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total" sheetId="2" r:id="rId5"/>
    <sheet state="visible" name="sales by category2" sheetId="3" r:id="rId6"/>
    <sheet state="visible" name="sales by country" sheetId="4" r:id="rId7"/>
    <sheet state="visible" name="Sales by chanel" sheetId="5" r:id="rId8"/>
    <sheet state="visible" name="Aging &amp; revenue" sheetId="6" r:id="rId9"/>
    <sheet state="visible" name="Y,M cat,count,region" sheetId="7" r:id="rId10"/>
    <sheet state="visible" name="Week" sheetId="8" r:id="rId11"/>
    <sheet state="visible" name="ABC " sheetId="9" r:id="rId12"/>
    <sheet state="visible" name="Years and mont" sheetId="10" r:id="rId13"/>
    <sheet state="visible" name="Revenue&amp;Profit by year" sheetId="11" r:id="rId14"/>
    <sheet state="visible" name="events" sheetId="12" r:id="rId15"/>
    <sheet state="visible" name="Copy of events чорновий" sheetId="13" r:id="rId16"/>
    <sheet state="visible" name="years and month чоровий" sheetId="14" r:id="rId17"/>
    <sheet state="visible" name="countries" sheetId="15" r:id="rId18"/>
    <sheet state="visible" name="products" sheetId="16" r:id="rId19"/>
  </sheets>
  <definedNames>
    <definedName name="years_and_month">'years and month чоровий'!$A$2:$U$1331</definedName>
    <definedName name="category_country">'ABC '!$C$1:$D$1</definedName>
    <definedName name="countries">countries!$A$1:$F$250</definedName>
    <definedName name="Aging_revenue_a1_c1">'Aging &amp; revenue'!$A$1:$C$1</definedName>
    <definedName name="event">events!$A$1:$N$1331</definedName>
    <definedName name="event2">'Copy of events чорновий'!$A$1:$Z$1331</definedName>
    <definedName name="sales_by_countries">'sales by country'!$C$1:$N$46</definedName>
    <definedName name="category">'sales by category2'!$A$2:$H$13</definedName>
    <definedName localSheetId="12" name="event">'Copy of events чорновий'!$A$1:$N$1331</definedName>
    <definedName name="abc_table">'ABC '!$A$2:$D$1331</definedName>
    <definedName name="aging_revenue">'Aging &amp; revenue'!$A$2:$F$1331</definedName>
    <definedName name="year_month_cat">'Y,M cat,count,region'!$A:$K</definedName>
    <definedName name="years_month_list">'Years and mont'!$A$2:$H$93</definedName>
    <definedName name="sales_by_country">'sales by country'!$A$1:$O$46</definedName>
    <definedName name="category_distribution">'sales by category2'!$A$82:$H$94</definedName>
    <definedName hidden="1" localSheetId="13" name="_xlnm._FilterDatabase">'years and month чоровий'!$A$1:$U$1331</definedName>
  </definedNames>
  <calcPr/>
  <pivotCaches>
    <pivotCache cacheId="0" r:id="rId20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4">
      <text>
        <t xml:space="preserve">Бачимо рейтинг категорій по кількост транзакцій. Лідери цього рейтингу Office supplies та Beverages також в верхній частині рейтингу персональний догляд, овочі та косметика, що свідчить про стабільний попит на ці категорії</t>
      </text>
    </comment>
    <comment authorId="0" ref="I15">
      <text>
        <t xml:space="preserve">бачимо ж ці категорії і в розрізі країн, як найпопулярніші категорї серед країн Європейського регіону
</t>
      </text>
    </comment>
    <comment authorId="0" ref="A81">
      <text>
        <t xml:space="preserve">В нашій таблиці ціна на категорії завжди одна, тому використовую Query та  avg щоб повернути знаення ціни і уникнути довгих розрахунків
	-Віка П</t>
      </text>
    </comment>
    <comment authorId="0" ref="C68">
      <text>
        <t xml:space="preserve">Щоб розумти причину відхилень на графіку оцінюю 'затратність' категорій. Відповідно рангування дає нам уявлення про категорії з найвищою чи найнижчою собівартістю. Що дає нам змогу зрозуміти  для яких категорій доцільно піднімати ціну.
	-Віка П</t>
      </text>
    </comment>
    <comment authorId="0" ref="G50">
      <text>
        <t xml:space="preserve">оцінюю залежність прибутку від доходів в розрізі категорій. Щоб зрозумти чи потрібна оптимізація для деяких категорій товарів
	-Віка П</t>
      </text>
    </comment>
    <comment authorId="0" ref="G32">
      <text>
        <t xml:space="preserve">звіряю результати попереднього рангування по кількості проданих одиниць щоб мати приблизне уявлення про те які товари замовляють більш масово і відповідно їх вплив на ревеню.
	-Віка П</t>
      </text>
    </comment>
    <comment authorId="0" ref="G15">
      <text>
        <t xml:space="preserve">рангування по кількості замовлень щоб гарантувати що товари мають стабільний попит і на результати не впливають випади чи аномальні значення
	-Віка П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49">
      <text>
        <t xml:space="preserve">Бачемо, що компанія зорієнтована на східну та південну Європу серед лідерів Україна, Чешська республіка Боснія та Герцеговина</t>
      </text>
    </comment>
    <comment authorId="0" ref="K50">
      <text>
        <t xml:space="preserve">Також прослідковується, що для країн Азії найпопулярніша категорія Meat
</t>
      </text>
    </comment>
    <comment authorId="0" ref="AC1">
      <text>
        <t xml:space="preserve">Якби була впевненість в тому, що категорії дійсно найпопулярніші можна б було розглянути їхню вартість і те в яких країнах популярніші преміум сегменти, а де дешевші товари. Чи впливає саме ціна на популярність цієї категорії на території цих країн чи якісь інші фактори типу як не якісне просування окремих категорій, які могли б продаватися на цій території навіть за умови більш високої ціни чи якісь інші фактории які з наведених даних визначити не можливо як то ментальність, чи конкуренція на ринку цієї країни, ринкова ціна тощо.
	-Віка П</t>
      </text>
    </comment>
    <comment authorId="0" ref="AB1">
      <text>
        <t xml:space="preserve">Для визначення 'популярності' категорії використала моду, але не врахувала, що таких значень може бути кілька, сподіваюсь  це не  вплине на оцінку((( Цей графік вважаю не сильно інформативним і  робила його тільки тому, що в умові завдання було вказано не менше трьох візуалізацій.
	-Віка П</t>
      </text>
    </comment>
    <comment authorId="0" ref="X2">
      <text>
        <t xml:space="preserve">Оцінюю 'вклад' кожної країни/регіону/субрегіону в тотал ревеню
	-Віка П</t>
      </text>
    </comment>
    <comment authorId="0" ref="S1">
      <text>
        <t xml:space="preserve">Я погано продумала те, як я буду переносити ці динамічні таблиці на дашборд. Проблема частково вирішена, але рішення не ефективне. Створювала незкінченну кількість іменованих діапазонів, щоб на них посилатися в формулах і в налаштуваннях data validation один зі списків мені навіть вдалося перенести звичайним копіюванням і незначним редагуванням формул на новому аркуші. Але є ще дві інші проблеми ці динамічні таблиці займають багато місця і графіки не підтримують динамічних діапазонів. тому потрібно будувати новий графік на іншому аркуші щоб управляти ним на іншому аркуші. І про зрізи я подумала вже тільки тоді як почала робити сам дашборд.
	-Віка П</t>
      </text>
    </comment>
    <comment authorId="0" ref="R1">
      <text>
        <t xml:space="preserve">Використовую випадаючі списки та на їх основі будую динамчні графіки щоб можна було оцінити одні і  ті ж показники в різних масштабах країн/субрегіонів/регіонів
	-Віка П</t>
      </text>
    </comment>
    <comment authorId="0" ref="Q1">
      <text>
        <t xml:space="preserve">Сховала проміжні розрахунки щоб аркуш виглядав охайніше
	-Віка П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3">
      <text>
        <t xml:space="preserve">В випадаючих списках суми щоб агрегувати дані у вигляді сум по місяцях з урахуванням року. А в графіках використані медіанні значення щоб агрегувати все по місяцях без урахування року і виключити випади і аномалії.</t>
      </text>
    </comment>
    <comment authorId="0" ref="L4">
      <text>
        <t xml:space="preserve">Бачимо нахилену лнію тренду, що говорить нам ,що прибуток на початку року зазвичай трохи вищий ніж в кінці року.  Також очевидні коливання протягом року спад до середини квтня і значне зростання в Травні-червні  і різкий спад в кінці літа.  Очевидно що коливання викликанні сезонністю попиту на окремі категорії.
</t>
      </text>
    </comment>
    <comment authorId="0" ref="L5">
      <text>
        <t xml:space="preserve">Для країн сезонність менш очевидна. Але теж є спад в квітні і зростання доходів в травні-червні
</t>
      </text>
    </comment>
    <comment authorId="0" ref="L6">
      <text>
        <t xml:space="preserve">Для регіонів коливання значні, оскільки суми прибутків між регіонами сильно різняться.
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2">
      <text>
        <t xml:space="preserve">Щоб з'ясувати, чому співвідношення ревеню і кількість замовлень в кінці тижня обернене. Знаходимо середню вартість замовлень по днях тижня.</t>
      </text>
    </comment>
    <comment authorId="0" ref="H2">
      <text>
        <t xml:space="preserve">щоб дослідити що більше впливає на розбіжність в кількості замовлень і прибутків(к-ть товарів чи їхня ціна)
  знаходимо середній цінник по днях тижня</t>
      </text>
    </comment>
    <comment authorId="0" ref="J2">
      <text>
        <t xml:space="preserve">Щоб порівняти неспіврозмірні величини переводимо потрібні нам значення в коефіцієнти від 0 до 1. 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A1">
      <text>
        <t xml:space="preserve">В кількох значеннях 'онлайн' виявилися слова з не однаковим регістром
	-Віка П</t>
      </text>
    </comment>
    <comment authorId="0" ref="X1">
      <text>
        <t xml:space="preserve">пусті значення замінені ярликом 'невизначено' для того щоб не спотворювати результати розрахунків по розподілу товарів/замовлень/доходв по країнах
	-Віка П</t>
      </text>
    </comment>
    <comment authorId="0" ref="W1">
      <text>
        <t xml:space="preserve">коди країн з пустими значеннями для підрахунків де нам потрібна конкретна кількість країн.
	-Віка П</t>
      </text>
    </comment>
  </commentList>
</comments>
</file>

<file path=xl/sharedStrings.xml><?xml version="1.0" encoding="utf-8"?>
<sst xmlns="http://schemas.openxmlformats.org/spreadsheetml/2006/main" count="26512" uniqueCount="907">
  <si>
    <t>SUM of total revenue</t>
  </si>
  <si>
    <t>SUM of total profit</t>
  </si>
  <si>
    <t xml:space="preserve">COUNTUNIQUE of </t>
  </si>
  <si>
    <t>COUNT of order id</t>
  </si>
  <si>
    <t>average value of check</t>
  </si>
  <si>
    <t>#6be7f6</t>
  </si>
  <si>
    <t>category</t>
  </si>
  <si>
    <t>total revenue</t>
  </si>
  <si>
    <t>A</t>
  </si>
  <si>
    <t>B</t>
  </si>
  <si>
    <t>C</t>
  </si>
  <si>
    <t>Order cnt</t>
  </si>
  <si>
    <t>Counties</t>
  </si>
  <si>
    <t>Total revenue</t>
  </si>
  <si>
    <t>Total cost</t>
  </si>
  <si>
    <t>Total profit</t>
  </si>
  <si>
    <t>Графіки на дашборді</t>
  </si>
  <si>
    <t>order count</t>
  </si>
  <si>
    <t>revenue</t>
  </si>
  <si>
    <t>percent from total</t>
  </si>
  <si>
    <t>cost</t>
  </si>
  <si>
    <t>profit</t>
  </si>
  <si>
    <t>соst percentage</t>
  </si>
  <si>
    <t>Видно залежність доходу від прибутку для більшості категорій. Категорія Одяг, Офісні штуки, Товари для дому та  М'ясо живуть своїм життям.</t>
  </si>
  <si>
    <t>В категорії М'ясо великий відсоток затрат</t>
  </si>
  <si>
    <t>Одяг найменш затратний</t>
  </si>
  <si>
    <t>Low price category</t>
  </si>
  <si>
    <t>Midlle price category</t>
  </si>
  <si>
    <t>High price category</t>
  </si>
  <si>
    <t>region</t>
  </si>
  <si>
    <t>subregion</t>
  </si>
  <si>
    <t>country</t>
  </si>
  <si>
    <t>revenue by country</t>
  </si>
  <si>
    <t>% from total revenue</t>
  </si>
  <si>
    <t>order cnt</t>
  </si>
  <si>
    <t>avg aging</t>
  </si>
  <si>
    <t>country`s most popular category</t>
  </si>
  <si>
    <t>revenue from category by country</t>
  </si>
  <si>
    <t>%category revenue of total country revenue</t>
  </si>
  <si>
    <t>Цікаво, що певні категорії, при високй популярності не завжди роблять достатній внесок до загального доходу</t>
  </si>
  <si>
    <t>Що певно залежить від ціни. Категорї напої, фрукти чи особистий догляд мають низьку ціну тому навіть стабільний попит не робить їх сильно дохіднимми.</t>
  </si>
  <si>
    <t>Values</t>
  </si>
  <si>
    <t>Offline</t>
  </si>
  <si>
    <t>Online</t>
  </si>
  <si>
    <t>year</t>
  </si>
  <si>
    <t>Units Sold</t>
  </si>
  <si>
    <t>orders count</t>
  </si>
  <si>
    <t>total cost</t>
  </si>
  <si>
    <t>COUNTA of countries</t>
  </si>
  <si>
    <t>в Азію найдовше</t>
  </si>
  <si>
    <t>залежності не має</t>
  </si>
  <si>
    <t>берем медіану щоб виклюити викиди і аномалії</t>
  </si>
  <si>
    <t>avg value of check</t>
  </si>
  <si>
    <t>avg price</t>
  </si>
  <si>
    <t>day</t>
  </si>
  <si>
    <t>relative sales volume</t>
  </si>
  <si>
    <t>normalized number of units sold</t>
  </si>
  <si>
    <t>relativ value of revenue</t>
  </si>
  <si>
    <t>relativ avg value of check</t>
  </si>
  <si>
    <t>relative average price</t>
  </si>
  <si>
    <t>бачимо що попит на товари не рівномірний в різні дні тижня. але цікавіше виглядає співвідношення з доходами</t>
  </si>
  <si>
    <t>в п'ятниицю к-ть замовлень мала, а от прибуток високий</t>
  </si>
  <si>
    <t>значить середня вартість чека зростає</t>
  </si>
  <si>
    <t>отже в п'ятницю більше оптових замовлень, а на вихідних навпаки</t>
  </si>
  <si>
    <t>Так. В п'ятницю і в четвер середня вартість чека значно зростає, при відносно низькій клькості замовлень, що значно підвищує дохід, а на вихідних навпаки</t>
  </si>
  <si>
    <t>Бачимо циклічність всіх трьох показників, пов'язану з днями тижня</t>
  </si>
  <si>
    <t>Отже поведінка клієнтів така: в п'ятницю вони більше схильні купувати дорогі товари, а на вихідних - дешевші,що призводить до зниження рівня доходів по вихідних</t>
  </si>
  <si>
    <t>Кількість проданих одиниць на вихідних висока, але їхня вартість відносно низька</t>
  </si>
  <si>
    <t>ймоврно, що зниження ціни стимулює збільшення продажів</t>
  </si>
  <si>
    <t>order</t>
  </si>
  <si>
    <t xml:space="preserve">cumulative share </t>
  </si>
  <si>
    <t>cumulative share</t>
  </si>
  <si>
    <t>Або 17рік не повністю, або справи пішли не дуже</t>
  </si>
  <si>
    <t>низсхідні лінії говорять, що справи пішли не дуже поч. з 14 року</t>
  </si>
  <si>
    <t>total</t>
  </si>
  <si>
    <t xml:space="preserve">Залежність витрат і доходів пряма </t>
  </si>
  <si>
    <t>Збільшеня витрат призводитиме до зростаня доходу</t>
  </si>
  <si>
    <t xml:space="preserve">В 15 мабуть були яксь акції чи розпродажі. </t>
  </si>
  <si>
    <t>Order ID</t>
  </si>
  <si>
    <t>Order Date</t>
  </si>
  <si>
    <t>Ship Date</t>
  </si>
  <si>
    <t>Order Priority</t>
  </si>
  <si>
    <t>Country Code</t>
  </si>
  <si>
    <t>Product ID</t>
  </si>
  <si>
    <t>Sales Channel</t>
  </si>
  <si>
    <t>Unit Price</t>
  </si>
  <si>
    <t>Unit Cost</t>
  </si>
  <si>
    <t>total profit</t>
  </si>
  <si>
    <t>day of week</t>
  </si>
  <si>
    <t>M</t>
  </si>
  <si>
    <t>NOR</t>
  </si>
  <si>
    <t>SRB</t>
  </si>
  <si>
    <t/>
  </si>
  <si>
    <t>L</t>
  </si>
  <si>
    <t>MNE</t>
  </si>
  <si>
    <t>H</t>
  </si>
  <si>
    <t>SVK</t>
  </si>
  <si>
    <t>FRA</t>
  </si>
  <si>
    <t>ESP</t>
  </si>
  <si>
    <t>HRV</t>
  </si>
  <si>
    <t>DEU</t>
  </si>
  <si>
    <t>ARM</t>
  </si>
  <si>
    <t>GEO</t>
  </si>
  <si>
    <t>GBR</t>
  </si>
  <si>
    <t>SVN</t>
  </si>
  <si>
    <t>ROU</t>
  </si>
  <si>
    <t>POL</t>
  </si>
  <si>
    <t>LUX</t>
  </si>
  <si>
    <t>CYP</t>
  </si>
  <si>
    <t>BEL</t>
  </si>
  <si>
    <t>LTU</t>
  </si>
  <si>
    <t>RUS</t>
  </si>
  <si>
    <t>MLT</t>
  </si>
  <si>
    <t>UKR</t>
  </si>
  <si>
    <t>CZE</t>
  </si>
  <si>
    <t>PRT</t>
  </si>
  <si>
    <t>BLR</t>
  </si>
  <si>
    <t>EST</t>
  </si>
  <si>
    <t>AUT</t>
  </si>
  <si>
    <t>MKD</t>
  </si>
  <si>
    <t>SMR</t>
  </si>
  <si>
    <t>NLD</t>
  </si>
  <si>
    <t>CHE</t>
  </si>
  <si>
    <t>HUN</t>
  </si>
  <si>
    <t>LVA</t>
  </si>
  <si>
    <t>BGR</t>
  </si>
  <si>
    <t>ITA</t>
  </si>
  <si>
    <t>IRL</t>
  </si>
  <si>
    <t>AND</t>
  </si>
  <si>
    <t>LIE</t>
  </si>
  <si>
    <t>FIN</t>
  </si>
  <si>
    <t>ALB</t>
  </si>
  <si>
    <t>SWE</t>
  </si>
  <si>
    <t>BIH</t>
  </si>
  <si>
    <t>online</t>
  </si>
  <si>
    <t>DNK</t>
  </si>
  <si>
    <t>MCO</t>
  </si>
  <si>
    <t>ISL</t>
  </si>
  <si>
    <t>GRC</t>
  </si>
  <si>
    <t>order id</t>
  </si>
  <si>
    <t xml:space="preserve"> </t>
  </si>
  <si>
    <t>cost coefficient</t>
  </si>
  <si>
    <t>countries</t>
  </si>
  <si>
    <t>aging</t>
  </si>
  <si>
    <t>Cereal</t>
  </si>
  <si>
    <t>Serbia</t>
  </si>
  <si>
    <t>Europe</t>
  </si>
  <si>
    <t>Southern Europe</t>
  </si>
  <si>
    <t>Household</t>
  </si>
  <si>
    <t>Undefined</t>
  </si>
  <si>
    <t>Clothes</t>
  </si>
  <si>
    <t>Montenegro</t>
  </si>
  <si>
    <t>Beverages</t>
  </si>
  <si>
    <t>Office Supplies</t>
  </si>
  <si>
    <t>Slovakia</t>
  </si>
  <si>
    <t>Eastern Europe</t>
  </si>
  <si>
    <t>Fruits</t>
  </si>
  <si>
    <t>France</t>
  </si>
  <si>
    <t>Western Europe</t>
  </si>
  <si>
    <t>Vegetables</t>
  </si>
  <si>
    <t>Spain</t>
  </si>
  <si>
    <t>Baby Food</t>
  </si>
  <si>
    <t>Croatia</t>
  </si>
  <si>
    <t>Germany</t>
  </si>
  <si>
    <t>Armenia</t>
  </si>
  <si>
    <t>Asia</t>
  </si>
  <si>
    <t>Western Asia</t>
  </si>
  <si>
    <t>Meat</t>
  </si>
  <si>
    <t>Georgia</t>
  </si>
  <si>
    <t>United Kingdom</t>
  </si>
  <si>
    <t>Northern Europe</t>
  </si>
  <si>
    <t>Slovenia</t>
  </si>
  <si>
    <t>Romania</t>
  </si>
  <si>
    <t>Poland</t>
  </si>
  <si>
    <t>Luxembourg</t>
  </si>
  <si>
    <t>Cyprus</t>
  </si>
  <si>
    <t>Belgium</t>
  </si>
  <si>
    <t>Lithuania</t>
  </si>
  <si>
    <t>Cosmetics</t>
  </si>
  <si>
    <t>Russia</t>
  </si>
  <si>
    <t>Malta</t>
  </si>
  <si>
    <t>Ukraine</t>
  </si>
  <si>
    <t>Snacks</t>
  </si>
  <si>
    <t>Norway</t>
  </si>
  <si>
    <t>Czech Republic</t>
  </si>
  <si>
    <t>Personal Care</t>
  </si>
  <si>
    <t>Portugal</t>
  </si>
  <si>
    <t>Belarus</t>
  </si>
  <si>
    <t>Estonia</t>
  </si>
  <si>
    <t>Austria</t>
  </si>
  <si>
    <t>Macedonia</t>
  </si>
  <si>
    <t>San Marino</t>
  </si>
  <si>
    <t>Netherlands</t>
  </si>
  <si>
    <t>Switzerland</t>
  </si>
  <si>
    <t>Hungary</t>
  </si>
  <si>
    <t>Latvia</t>
  </si>
  <si>
    <t>Bulgaria</t>
  </si>
  <si>
    <t>Italy</t>
  </si>
  <si>
    <t>Ireland</t>
  </si>
  <si>
    <t>Andorra</t>
  </si>
  <si>
    <t>Liechtenstein</t>
  </si>
  <si>
    <t>Finland</t>
  </si>
  <si>
    <t>Albania</t>
  </si>
  <si>
    <t>Sweden</t>
  </si>
  <si>
    <t>Bosnia and Herzegovina</t>
  </si>
  <si>
    <t>Denmark</t>
  </si>
  <si>
    <t>Monaco</t>
  </si>
  <si>
    <t>Iceland</t>
  </si>
  <si>
    <t>Greece</t>
  </si>
  <si>
    <t>Order</t>
  </si>
  <si>
    <t>month of order date</t>
  </si>
  <si>
    <t>order year</t>
  </si>
  <si>
    <t>order date</t>
  </si>
  <si>
    <t>shipng date</t>
  </si>
  <si>
    <t>product id</t>
  </si>
  <si>
    <t>units sold</t>
  </si>
  <si>
    <t>August</t>
  </si>
  <si>
    <t>July</t>
  </si>
  <si>
    <t>#N/A</t>
  </si>
  <si>
    <t>May</t>
  </si>
  <si>
    <t>June</t>
  </si>
  <si>
    <t>September</t>
  </si>
  <si>
    <t>March</t>
  </si>
  <si>
    <t>April</t>
  </si>
  <si>
    <t>November</t>
  </si>
  <si>
    <t>December</t>
  </si>
  <si>
    <t>October</t>
  </si>
  <si>
    <t>January</t>
  </si>
  <si>
    <t>February</t>
  </si>
  <si>
    <t>alpha-3</t>
  </si>
  <si>
    <t>alpha-2</t>
  </si>
  <si>
    <t>name</t>
  </si>
  <si>
    <t>sub-region</t>
  </si>
  <si>
    <t>AFG</t>
  </si>
  <si>
    <t>AF</t>
  </si>
  <si>
    <t>Afghanistan</t>
  </si>
  <si>
    <t>Southern Asia</t>
  </si>
  <si>
    <t>ALA</t>
  </si>
  <si>
    <t>AX</t>
  </si>
  <si>
    <t>Åland Islands</t>
  </si>
  <si>
    <t>AL</t>
  </si>
  <si>
    <t>DZA</t>
  </si>
  <si>
    <t>DZ</t>
  </si>
  <si>
    <t>Algeria</t>
  </si>
  <si>
    <t>Africa</t>
  </si>
  <si>
    <t>Northern Africa</t>
  </si>
  <si>
    <t>ASM</t>
  </si>
  <si>
    <t>AS</t>
  </si>
  <si>
    <t>American Samoa</t>
  </si>
  <si>
    <t>Oceania</t>
  </si>
  <si>
    <t>Polynesia</t>
  </si>
  <si>
    <t>AD</t>
  </si>
  <si>
    <t>AGO</t>
  </si>
  <si>
    <t>AO</t>
  </si>
  <si>
    <t>Angola</t>
  </si>
  <si>
    <t>Sub-Saharan Africa</t>
  </si>
  <si>
    <t>AIA</t>
  </si>
  <si>
    <t>AI</t>
  </si>
  <si>
    <t>Anguilla</t>
  </si>
  <si>
    <t>Americas</t>
  </si>
  <si>
    <t>Latin America and the Caribbean</t>
  </si>
  <si>
    <t>ATA</t>
  </si>
  <si>
    <t>AQ</t>
  </si>
  <si>
    <t>Antarctica</t>
  </si>
  <si>
    <t>ATG</t>
  </si>
  <si>
    <t>AG</t>
  </si>
  <si>
    <t>Antigua and Barbuda</t>
  </si>
  <si>
    <t>ARG</t>
  </si>
  <si>
    <t>AR</t>
  </si>
  <si>
    <t>Argentina</t>
  </si>
  <si>
    <t>AM</t>
  </si>
  <si>
    <t>ABW</t>
  </si>
  <si>
    <t>AW</t>
  </si>
  <si>
    <t>Aruba</t>
  </si>
  <si>
    <t>AUS</t>
  </si>
  <si>
    <t>AU</t>
  </si>
  <si>
    <t>Australia</t>
  </si>
  <si>
    <t>Australia and New Zealand</t>
  </si>
  <si>
    <t>AT</t>
  </si>
  <si>
    <t>AZE</t>
  </si>
  <si>
    <t>AZ</t>
  </si>
  <si>
    <t>Azerbaijan</t>
  </si>
  <si>
    <t>BHS</t>
  </si>
  <si>
    <t>BS</t>
  </si>
  <si>
    <t>Bahamas</t>
  </si>
  <si>
    <t>BHR</t>
  </si>
  <si>
    <t>BH</t>
  </si>
  <si>
    <t>Bahrain</t>
  </si>
  <si>
    <t>BGD</t>
  </si>
  <si>
    <t>BD</t>
  </si>
  <si>
    <t>Bangladesh</t>
  </si>
  <si>
    <t>BRB</t>
  </si>
  <si>
    <t>BB</t>
  </si>
  <si>
    <t>Barbados</t>
  </si>
  <si>
    <t>BY</t>
  </si>
  <si>
    <t>BE</t>
  </si>
  <si>
    <t>BLZ</t>
  </si>
  <si>
    <t>BZ</t>
  </si>
  <si>
    <t>Belize</t>
  </si>
  <si>
    <t>BEN</t>
  </si>
  <si>
    <t>BJ</t>
  </si>
  <si>
    <t>Benin</t>
  </si>
  <si>
    <t>BMU</t>
  </si>
  <si>
    <t>BM</t>
  </si>
  <si>
    <t>Bermuda</t>
  </si>
  <si>
    <t>Northern America</t>
  </si>
  <si>
    <t>BTN</t>
  </si>
  <si>
    <t>BT</t>
  </si>
  <si>
    <t>Bhutan</t>
  </si>
  <si>
    <t>BOL</t>
  </si>
  <si>
    <t>BO</t>
  </si>
  <si>
    <t>Bolivia (Plurinational State of)</t>
  </si>
  <si>
    <t>BES</t>
  </si>
  <si>
    <t>BQ</t>
  </si>
  <si>
    <t>Bonaire, Sint Eustatius and Saba</t>
  </si>
  <si>
    <t>BA</t>
  </si>
  <si>
    <t>BWA</t>
  </si>
  <si>
    <t>BW</t>
  </si>
  <si>
    <t>Botswana</t>
  </si>
  <si>
    <t>BVT</t>
  </si>
  <si>
    <t>BV</t>
  </si>
  <si>
    <t>Bouvet Island</t>
  </si>
  <si>
    <t>BRA</t>
  </si>
  <si>
    <t>BR</t>
  </si>
  <si>
    <t>Brazil</t>
  </si>
  <si>
    <t>IOT</t>
  </si>
  <si>
    <t>IO</t>
  </si>
  <si>
    <t>British Indian Ocean Territory</t>
  </si>
  <si>
    <t>BRN</t>
  </si>
  <si>
    <t>BN</t>
  </si>
  <si>
    <t>Brunei Darussalam</t>
  </si>
  <si>
    <t>South-eastern Asia</t>
  </si>
  <si>
    <t>BG</t>
  </si>
  <si>
    <t>BFA</t>
  </si>
  <si>
    <t>BF</t>
  </si>
  <si>
    <t>Burkina Faso</t>
  </si>
  <si>
    <t>BDI</t>
  </si>
  <si>
    <t>BI</t>
  </si>
  <si>
    <t>Burundi</t>
  </si>
  <si>
    <t>CPV</t>
  </si>
  <si>
    <t>CV</t>
  </si>
  <si>
    <t>Cabo Verde</t>
  </si>
  <si>
    <t>KHM</t>
  </si>
  <si>
    <t>KH</t>
  </si>
  <si>
    <t>Cambodia</t>
  </si>
  <si>
    <t>CMR</t>
  </si>
  <si>
    <t>CM</t>
  </si>
  <si>
    <t>Cameroon</t>
  </si>
  <si>
    <t>CAN</t>
  </si>
  <si>
    <t>CA</t>
  </si>
  <si>
    <t>Canada</t>
  </si>
  <si>
    <t>CYM</t>
  </si>
  <si>
    <t>KY</t>
  </si>
  <si>
    <t>Cayman Islands</t>
  </si>
  <si>
    <t>CAF</t>
  </si>
  <si>
    <t>CF</t>
  </si>
  <si>
    <t>Central African Republic</t>
  </si>
  <si>
    <t>TCD</t>
  </si>
  <si>
    <t>TD</t>
  </si>
  <si>
    <t>Chad</t>
  </si>
  <si>
    <t>CHL</t>
  </si>
  <si>
    <t>CL</t>
  </si>
  <si>
    <t>Chile</t>
  </si>
  <si>
    <t>CHN</t>
  </si>
  <si>
    <t>CN</t>
  </si>
  <si>
    <t>China</t>
  </si>
  <si>
    <t>Eastern Asia</t>
  </si>
  <si>
    <t>CXR</t>
  </si>
  <si>
    <t>CX</t>
  </si>
  <si>
    <t>Christmas Island</t>
  </si>
  <si>
    <t>CCK</t>
  </si>
  <si>
    <t>CC</t>
  </si>
  <si>
    <t>Cocos (Keeling) Islands</t>
  </si>
  <si>
    <t>COL</t>
  </si>
  <si>
    <t>CO</t>
  </si>
  <si>
    <t>Colombia</t>
  </si>
  <si>
    <t>COM</t>
  </si>
  <si>
    <t>KM</t>
  </si>
  <si>
    <t>Comoros</t>
  </si>
  <si>
    <t>COG</t>
  </si>
  <si>
    <t>CG</t>
  </si>
  <si>
    <t>Congo</t>
  </si>
  <si>
    <t>COD</t>
  </si>
  <si>
    <t>CD</t>
  </si>
  <si>
    <t>Congo, Democratic Republic of the</t>
  </si>
  <si>
    <t>COK</t>
  </si>
  <si>
    <t>CK</t>
  </si>
  <si>
    <t>Cook Islands</t>
  </si>
  <si>
    <t>CRI</t>
  </si>
  <si>
    <t>CR</t>
  </si>
  <si>
    <t>Costa Rica</t>
  </si>
  <si>
    <t>CIV</t>
  </si>
  <si>
    <t>CI</t>
  </si>
  <si>
    <t>Côte d'Ivoire</t>
  </si>
  <si>
    <t>HR</t>
  </si>
  <si>
    <t>CUB</t>
  </si>
  <si>
    <t>CU</t>
  </si>
  <si>
    <t>Cuba</t>
  </si>
  <si>
    <t>CUW</t>
  </si>
  <si>
    <t>CW</t>
  </si>
  <si>
    <t>Curaçao</t>
  </si>
  <si>
    <t>CY</t>
  </si>
  <si>
    <t>CZ</t>
  </si>
  <si>
    <t>DK</t>
  </si>
  <si>
    <t>DJI</t>
  </si>
  <si>
    <t>DJ</t>
  </si>
  <si>
    <t>Djibouti</t>
  </si>
  <si>
    <t>DMA</t>
  </si>
  <si>
    <t>DM</t>
  </si>
  <si>
    <t>Dominica</t>
  </si>
  <si>
    <t>DOM</t>
  </si>
  <si>
    <t>DO</t>
  </si>
  <si>
    <t>Dominican Republic</t>
  </si>
  <si>
    <t>ECU</t>
  </si>
  <si>
    <t>EC</t>
  </si>
  <si>
    <t>Ecuador</t>
  </si>
  <si>
    <t>EGY</t>
  </si>
  <si>
    <t>EG</t>
  </si>
  <si>
    <t>Egypt</t>
  </si>
  <si>
    <t>SLV</t>
  </si>
  <si>
    <t>SV</t>
  </si>
  <si>
    <t>El Salvador</t>
  </si>
  <si>
    <t>GNQ</t>
  </si>
  <si>
    <t>GQ</t>
  </si>
  <si>
    <t>Equatorial Guinea</t>
  </si>
  <si>
    <t>ERI</t>
  </si>
  <si>
    <t>ER</t>
  </si>
  <si>
    <t>Eritrea</t>
  </si>
  <si>
    <t>EE</t>
  </si>
  <si>
    <t>SWZ</t>
  </si>
  <si>
    <t>SZ</t>
  </si>
  <si>
    <t>Eswatini</t>
  </si>
  <si>
    <t>ETH</t>
  </si>
  <si>
    <t>ET</t>
  </si>
  <si>
    <t>Ethiopia</t>
  </si>
  <si>
    <t>FLK</t>
  </si>
  <si>
    <t>FK</t>
  </si>
  <si>
    <t>Falkland Islands (Malvinas)</t>
  </si>
  <si>
    <t>FRO</t>
  </si>
  <si>
    <t>FO</t>
  </si>
  <si>
    <t>Faroe Islands</t>
  </si>
  <si>
    <t>FJI</t>
  </si>
  <si>
    <t>FJ</t>
  </si>
  <si>
    <t>Fiji</t>
  </si>
  <si>
    <t>Melanesia</t>
  </si>
  <si>
    <t>FI</t>
  </si>
  <si>
    <t>FR</t>
  </si>
  <si>
    <t>GUF</t>
  </si>
  <si>
    <t>GF</t>
  </si>
  <si>
    <t>French Guiana</t>
  </si>
  <si>
    <t>PYF</t>
  </si>
  <si>
    <t>PF</t>
  </si>
  <si>
    <t>French Polynesia</t>
  </si>
  <si>
    <t>ATF</t>
  </si>
  <si>
    <t>TF</t>
  </si>
  <si>
    <t>French Southern Territories</t>
  </si>
  <si>
    <t>GAB</t>
  </si>
  <si>
    <t>GA</t>
  </si>
  <si>
    <t>Gabon</t>
  </si>
  <si>
    <t>GMB</t>
  </si>
  <si>
    <t>GM</t>
  </si>
  <si>
    <t>Gambia</t>
  </si>
  <si>
    <t>GE</t>
  </si>
  <si>
    <t>DE</t>
  </si>
  <si>
    <t>GHA</t>
  </si>
  <si>
    <t>GH</t>
  </si>
  <si>
    <t>Ghana</t>
  </si>
  <si>
    <t>GIB</t>
  </si>
  <si>
    <t>GI</t>
  </si>
  <si>
    <t>Gibraltar</t>
  </si>
  <si>
    <t>GR</t>
  </si>
  <si>
    <t>GRL</t>
  </si>
  <si>
    <t>GL</t>
  </si>
  <si>
    <t>Greenland</t>
  </si>
  <si>
    <t>GRD</t>
  </si>
  <si>
    <t>GD</t>
  </si>
  <si>
    <t>Grenada</t>
  </si>
  <si>
    <t>GLP</t>
  </si>
  <si>
    <t>GP</t>
  </si>
  <si>
    <t>Guadeloupe</t>
  </si>
  <si>
    <t>GUM</t>
  </si>
  <si>
    <t>GU</t>
  </si>
  <si>
    <t>Guam</t>
  </si>
  <si>
    <t>Micronesia</t>
  </si>
  <si>
    <t>GTM</t>
  </si>
  <si>
    <t>GT</t>
  </si>
  <si>
    <t>Guatemala</t>
  </si>
  <si>
    <t>GGY</t>
  </si>
  <si>
    <t>GG</t>
  </si>
  <si>
    <t>Guernsey</t>
  </si>
  <si>
    <t>GIN</t>
  </si>
  <si>
    <t>GN</t>
  </si>
  <si>
    <t>Guinea</t>
  </si>
  <si>
    <t>GNB</t>
  </si>
  <si>
    <t>GW</t>
  </si>
  <si>
    <t>Guinea-Bissau</t>
  </si>
  <si>
    <t>GUY</t>
  </si>
  <si>
    <t>GY</t>
  </si>
  <si>
    <t>Guyana</t>
  </si>
  <si>
    <t>HTI</t>
  </si>
  <si>
    <t>HT</t>
  </si>
  <si>
    <t>Haiti</t>
  </si>
  <si>
    <t>HMD</t>
  </si>
  <si>
    <t>HM</t>
  </si>
  <si>
    <t>Heard Island and McDonald Islands</t>
  </si>
  <si>
    <t>VAT</t>
  </si>
  <si>
    <t>VA</t>
  </si>
  <si>
    <t>Holy See</t>
  </si>
  <si>
    <t>HND</t>
  </si>
  <si>
    <t>HN</t>
  </si>
  <si>
    <t>Honduras</t>
  </si>
  <si>
    <t>HKG</t>
  </si>
  <si>
    <t>HK</t>
  </si>
  <si>
    <t>Hong Kong</t>
  </si>
  <si>
    <t>HU</t>
  </si>
  <si>
    <t>IS</t>
  </si>
  <si>
    <t>IND</t>
  </si>
  <si>
    <t>IN</t>
  </si>
  <si>
    <t>India</t>
  </si>
  <si>
    <t>IDN</t>
  </si>
  <si>
    <t>ID</t>
  </si>
  <si>
    <t>Indonesia</t>
  </si>
  <si>
    <t>IRN</t>
  </si>
  <si>
    <t>IR</t>
  </si>
  <si>
    <t>Iran (Islamic Republic of)</t>
  </si>
  <si>
    <t>IRQ</t>
  </si>
  <si>
    <t>IQ</t>
  </si>
  <si>
    <t>Iraq</t>
  </si>
  <si>
    <t>IE</t>
  </si>
  <si>
    <t>IMN</t>
  </si>
  <si>
    <t>IM</t>
  </si>
  <si>
    <t>Isle of Man</t>
  </si>
  <si>
    <t>ISR</t>
  </si>
  <si>
    <t>IL</t>
  </si>
  <si>
    <t>Israel</t>
  </si>
  <si>
    <t>IT</t>
  </si>
  <si>
    <t>JAM</t>
  </si>
  <si>
    <t>JM</t>
  </si>
  <si>
    <t>Jamaica</t>
  </si>
  <si>
    <t>JPN</t>
  </si>
  <si>
    <t>JP</t>
  </si>
  <si>
    <t>Japan</t>
  </si>
  <si>
    <t>JEY</t>
  </si>
  <si>
    <t>JE</t>
  </si>
  <si>
    <t>Jersey</t>
  </si>
  <si>
    <t>JOR</t>
  </si>
  <si>
    <t>JO</t>
  </si>
  <si>
    <t>Jordan</t>
  </si>
  <si>
    <t>KAZ</t>
  </si>
  <si>
    <t>KZ</t>
  </si>
  <si>
    <t>Kazakhstan</t>
  </si>
  <si>
    <t>Central Asia</t>
  </si>
  <si>
    <t>KEN</t>
  </si>
  <si>
    <t>KE</t>
  </si>
  <si>
    <t>Kenya</t>
  </si>
  <si>
    <t>KIR</t>
  </si>
  <si>
    <t>KI</t>
  </si>
  <si>
    <t>Kiribati</t>
  </si>
  <si>
    <t>PRK</t>
  </si>
  <si>
    <t>KP</t>
  </si>
  <si>
    <t>Korea (Democratic People's Republic of)</t>
  </si>
  <si>
    <t>KOR</t>
  </si>
  <si>
    <t>KR</t>
  </si>
  <si>
    <t>Korea, Republic of</t>
  </si>
  <si>
    <t>KWT</t>
  </si>
  <si>
    <t>KW</t>
  </si>
  <si>
    <t>Kuwait</t>
  </si>
  <si>
    <t>KGZ</t>
  </si>
  <si>
    <t>KG</t>
  </si>
  <si>
    <t>Kyrgyzstan</t>
  </si>
  <si>
    <t>LAO</t>
  </si>
  <si>
    <t>LA</t>
  </si>
  <si>
    <t>Lao People's Democratic Republic</t>
  </si>
  <si>
    <t>LV</t>
  </si>
  <si>
    <t>LBN</t>
  </si>
  <si>
    <t>LB</t>
  </si>
  <si>
    <t>Lebanon</t>
  </si>
  <si>
    <t>LSO</t>
  </si>
  <si>
    <t>LS</t>
  </si>
  <si>
    <t>Lesotho</t>
  </si>
  <si>
    <t>LBR</t>
  </si>
  <si>
    <t>LR</t>
  </si>
  <si>
    <t>Liberia</t>
  </si>
  <si>
    <t>LBY</t>
  </si>
  <si>
    <t>LY</t>
  </si>
  <si>
    <t>Libya</t>
  </si>
  <si>
    <t>LI</t>
  </si>
  <si>
    <t>LT</t>
  </si>
  <si>
    <t>LU</t>
  </si>
  <si>
    <t>MAC</t>
  </si>
  <si>
    <t>MO</t>
  </si>
  <si>
    <t>Macao</t>
  </si>
  <si>
    <t>MDG</t>
  </si>
  <si>
    <t>MG</t>
  </si>
  <si>
    <t>Madagascar</t>
  </si>
  <si>
    <t>MWI</t>
  </si>
  <si>
    <t>MW</t>
  </si>
  <si>
    <t>Malawi</t>
  </si>
  <si>
    <t>MYS</t>
  </si>
  <si>
    <t>MY</t>
  </si>
  <si>
    <t>Malaysia</t>
  </si>
  <si>
    <t>MDV</t>
  </si>
  <si>
    <t>MV</t>
  </si>
  <si>
    <t>Maldives</t>
  </si>
  <si>
    <t>MLI</t>
  </si>
  <si>
    <t>ML</t>
  </si>
  <si>
    <t>Mali</t>
  </si>
  <si>
    <t>MT</t>
  </si>
  <si>
    <t>MHL</t>
  </si>
  <si>
    <t>MH</t>
  </si>
  <si>
    <t>Marshall Islands</t>
  </si>
  <si>
    <t>MTQ</t>
  </si>
  <si>
    <t>MQ</t>
  </si>
  <si>
    <t>Martinique</t>
  </si>
  <si>
    <t>MRT</t>
  </si>
  <si>
    <t>MR</t>
  </si>
  <si>
    <t>Mauritania</t>
  </si>
  <si>
    <t>MUS</t>
  </si>
  <si>
    <t>MU</t>
  </si>
  <si>
    <t>Mauritius</t>
  </si>
  <si>
    <t>MYT</t>
  </si>
  <si>
    <t>YT</t>
  </si>
  <si>
    <t>Mayotte</t>
  </si>
  <si>
    <t>MEX</t>
  </si>
  <si>
    <t>MX</t>
  </si>
  <si>
    <t>Mexico</t>
  </si>
  <si>
    <t>FSM</t>
  </si>
  <si>
    <t>FM</t>
  </si>
  <si>
    <t>Micronesia (Federated States of)</t>
  </si>
  <si>
    <t>MDA</t>
  </si>
  <si>
    <t>MD</t>
  </si>
  <si>
    <t>Moldova, Republic of</t>
  </si>
  <si>
    <t>MC</t>
  </si>
  <si>
    <t>MNG</t>
  </si>
  <si>
    <t>MN</t>
  </si>
  <si>
    <t>Mongolia</t>
  </si>
  <si>
    <t>ME</t>
  </si>
  <si>
    <t>MSR</t>
  </si>
  <si>
    <t>MS</t>
  </si>
  <si>
    <t>Montserrat</t>
  </si>
  <si>
    <t>MAR</t>
  </si>
  <si>
    <t>MA</t>
  </si>
  <si>
    <t>Morocco</t>
  </si>
  <si>
    <t>MOZ</t>
  </si>
  <si>
    <t>MZ</t>
  </si>
  <si>
    <t>Mozambique</t>
  </si>
  <si>
    <t>MMR</t>
  </si>
  <si>
    <t>MM</t>
  </si>
  <si>
    <t>Myanmar</t>
  </si>
  <si>
    <t>NAM</t>
  </si>
  <si>
    <t>NA</t>
  </si>
  <si>
    <t>Namibia</t>
  </si>
  <si>
    <t>NRU</t>
  </si>
  <si>
    <t>NR</t>
  </si>
  <si>
    <t>Nauru</t>
  </si>
  <si>
    <t>NPL</t>
  </si>
  <si>
    <t>NP</t>
  </si>
  <si>
    <t>Nepal</t>
  </si>
  <si>
    <t>NL</t>
  </si>
  <si>
    <t>NCL</t>
  </si>
  <si>
    <t>NC</t>
  </si>
  <si>
    <t>New Caledonia</t>
  </si>
  <si>
    <t>NZL</t>
  </si>
  <si>
    <t>NZ</t>
  </si>
  <si>
    <t>New Zealand</t>
  </si>
  <si>
    <t>NIC</t>
  </si>
  <si>
    <t>NI</t>
  </si>
  <si>
    <t>Nicaragua</t>
  </si>
  <si>
    <t>NER</t>
  </si>
  <si>
    <t>NE</t>
  </si>
  <si>
    <t>Niger</t>
  </si>
  <si>
    <t>NGA</t>
  </si>
  <si>
    <t>NG</t>
  </si>
  <si>
    <t>Nigeria</t>
  </si>
  <si>
    <t>NIU</t>
  </si>
  <si>
    <t>NU</t>
  </si>
  <si>
    <t>Niue</t>
  </si>
  <si>
    <t>NFK</t>
  </si>
  <si>
    <t>NF</t>
  </si>
  <si>
    <t>Norfolk Island</t>
  </si>
  <si>
    <t>MK</t>
  </si>
  <si>
    <t>MNP</t>
  </si>
  <si>
    <t>MP</t>
  </si>
  <si>
    <t>Northern Mariana Islands</t>
  </si>
  <si>
    <t>NO</t>
  </si>
  <si>
    <t>OMN</t>
  </si>
  <si>
    <t>OM</t>
  </si>
  <si>
    <t>Oman</t>
  </si>
  <si>
    <t>PAK</t>
  </si>
  <si>
    <t>PK</t>
  </si>
  <si>
    <t>Pakistan</t>
  </si>
  <si>
    <t>PLW</t>
  </si>
  <si>
    <t>PW</t>
  </si>
  <si>
    <t>Palau</t>
  </si>
  <si>
    <t>PSE</t>
  </si>
  <si>
    <t>PS</t>
  </si>
  <si>
    <t>Palestine, State of</t>
  </si>
  <si>
    <t>PAN</t>
  </si>
  <si>
    <t>PA</t>
  </si>
  <si>
    <t>Panama</t>
  </si>
  <si>
    <t>PNG</t>
  </si>
  <si>
    <t>PG</t>
  </si>
  <si>
    <t>Papua New Guinea</t>
  </si>
  <si>
    <t>PRY</t>
  </si>
  <si>
    <t>PY</t>
  </si>
  <si>
    <t>Paraguay</t>
  </si>
  <si>
    <t>PER</t>
  </si>
  <si>
    <t>PE</t>
  </si>
  <si>
    <t>Peru</t>
  </si>
  <si>
    <t>PHL</t>
  </si>
  <si>
    <t>PH</t>
  </si>
  <si>
    <t>Philippines</t>
  </si>
  <si>
    <t>PCN</t>
  </si>
  <si>
    <t>PN</t>
  </si>
  <si>
    <t>Pitcairn</t>
  </si>
  <si>
    <t>PL</t>
  </si>
  <si>
    <t>PT</t>
  </si>
  <si>
    <t>PRI</t>
  </si>
  <si>
    <t>PR</t>
  </si>
  <si>
    <t>Puerto Rico</t>
  </si>
  <si>
    <t>QAT</t>
  </si>
  <si>
    <t>QA</t>
  </si>
  <si>
    <t>Qatar</t>
  </si>
  <si>
    <t>REU</t>
  </si>
  <si>
    <t>RE</t>
  </si>
  <si>
    <t>Réunion</t>
  </si>
  <si>
    <t>RO</t>
  </si>
  <si>
    <t>RU</t>
  </si>
  <si>
    <t>RWA</t>
  </si>
  <si>
    <t>RW</t>
  </si>
  <si>
    <t>Rwanda</t>
  </si>
  <si>
    <t>BLM</t>
  </si>
  <si>
    <t>BL</t>
  </si>
  <si>
    <t>Saint Barthélemy</t>
  </si>
  <si>
    <t>SHN</t>
  </si>
  <si>
    <t>SH</t>
  </si>
  <si>
    <t>Saint Helena, Ascension and Tristan da Cunha</t>
  </si>
  <si>
    <t>KNA</t>
  </si>
  <si>
    <t>KN</t>
  </si>
  <si>
    <t>Saint Kitts and Nevis</t>
  </si>
  <si>
    <t>LCA</t>
  </si>
  <si>
    <t>LC</t>
  </si>
  <si>
    <t>Saint Lucia</t>
  </si>
  <si>
    <t>MAF</t>
  </si>
  <si>
    <t>MF</t>
  </si>
  <si>
    <t>Saint Martin (French part)</t>
  </si>
  <si>
    <t>SPM</t>
  </si>
  <si>
    <t>PM</t>
  </si>
  <si>
    <t>Saint Pierre and Miquelon</t>
  </si>
  <si>
    <t>VCT</t>
  </si>
  <si>
    <t>VC</t>
  </si>
  <si>
    <t>Saint Vincent and the Grenadines</t>
  </si>
  <si>
    <t>WSM</t>
  </si>
  <si>
    <t>WS</t>
  </si>
  <si>
    <t>Samoa</t>
  </si>
  <si>
    <t>SM</t>
  </si>
  <si>
    <t>STP</t>
  </si>
  <si>
    <t>ST</t>
  </si>
  <si>
    <t>Sao Tome and Principe</t>
  </si>
  <si>
    <t>SAU</t>
  </si>
  <si>
    <t>SA</t>
  </si>
  <si>
    <t>Saudi Arabia</t>
  </si>
  <si>
    <t>SEN</t>
  </si>
  <si>
    <t>SN</t>
  </si>
  <si>
    <t>Senegal</t>
  </si>
  <si>
    <t>RS</t>
  </si>
  <si>
    <t>SYC</t>
  </si>
  <si>
    <t>SC</t>
  </si>
  <si>
    <t>Seychelles</t>
  </si>
  <si>
    <t>SLE</t>
  </si>
  <si>
    <t>SL</t>
  </si>
  <si>
    <t>Sierra Leone</t>
  </si>
  <si>
    <t>SGP</t>
  </si>
  <si>
    <t>SG</t>
  </si>
  <si>
    <t>Singapore</t>
  </si>
  <si>
    <t>SXM</t>
  </si>
  <si>
    <t>SX</t>
  </si>
  <si>
    <t>Sint Maarten (Dutch part)</t>
  </si>
  <si>
    <t>SK</t>
  </si>
  <si>
    <t>SI</t>
  </si>
  <si>
    <t>SLB</t>
  </si>
  <si>
    <t>SB</t>
  </si>
  <si>
    <t>Solomon Islands</t>
  </si>
  <si>
    <t>SOM</t>
  </si>
  <si>
    <t>SO</t>
  </si>
  <si>
    <t>Somalia</t>
  </si>
  <si>
    <t>ZAF</t>
  </si>
  <si>
    <t>ZA</t>
  </si>
  <si>
    <t>South Africa</t>
  </si>
  <si>
    <t>SGS</t>
  </si>
  <si>
    <t>GS</t>
  </si>
  <si>
    <t>South Georgia and the South Sandwich Islands</t>
  </si>
  <si>
    <t>SSD</t>
  </si>
  <si>
    <t>SS</t>
  </si>
  <si>
    <t>South Sudan</t>
  </si>
  <si>
    <t>ES</t>
  </si>
  <si>
    <t>LKA</t>
  </si>
  <si>
    <t>LK</t>
  </si>
  <si>
    <t>Sri Lanka</t>
  </si>
  <si>
    <t>SDN</t>
  </si>
  <si>
    <t>SD</t>
  </si>
  <si>
    <t>Sudan</t>
  </si>
  <si>
    <t>SUR</t>
  </si>
  <si>
    <t>SR</t>
  </si>
  <si>
    <t>Suriname</t>
  </si>
  <si>
    <t>SJM</t>
  </si>
  <si>
    <t>SJ</t>
  </si>
  <si>
    <t>Svalbard and Jan Mayen</t>
  </si>
  <si>
    <t>SE</t>
  </si>
  <si>
    <t>CH</t>
  </si>
  <si>
    <t>SYR</t>
  </si>
  <si>
    <t>SY</t>
  </si>
  <si>
    <t>Syrian Arab Republic</t>
  </si>
  <si>
    <t>TWN</t>
  </si>
  <si>
    <t>TW</t>
  </si>
  <si>
    <t>Taiwan, Province of China</t>
  </si>
  <si>
    <t>TJK</t>
  </si>
  <si>
    <t>TJ</t>
  </si>
  <si>
    <t>Tajikistan</t>
  </si>
  <si>
    <t>TZA</t>
  </si>
  <si>
    <t>TZ</t>
  </si>
  <si>
    <t>Tanzania, United Republic of</t>
  </si>
  <si>
    <t>THA</t>
  </si>
  <si>
    <t>TH</t>
  </si>
  <si>
    <t>Thailand</t>
  </si>
  <si>
    <t>TLS</t>
  </si>
  <si>
    <t>TL</t>
  </si>
  <si>
    <t>Timor-Leste</t>
  </si>
  <si>
    <t>TGO</t>
  </si>
  <si>
    <t>TG</t>
  </si>
  <si>
    <t>Togo</t>
  </si>
  <si>
    <t>TKL</t>
  </si>
  <si>
    <t>TK</t>
  </si>
  <si>
    <t>Tokelau</t>
  </si>
  <si>
    <t>TON</t>
  </si>
  <si>
    <t>TO</t>
  </si>
  <si>
    <t>Tonga</t>
  </si>
  <si>
    <t>TTO</t>
  </si>
  <si>
    <t>TT</t>
  </si>
  <si>
    <t>Trinidad and Tobago</t>
  </si>
  <si>
    <t>TUN</t>
  </si>
  <si>
    <t>TN</t>
  </si>
  <si>
    <t>Tunisia</t>
  </si>
  <si>
    <t>TUR</t>
  </si>
  <si>
    <t>TR</t>
  </si>
  <si>
    <t>Turkey</t>
  </si>
  <si>
    <t>TKM</t>
  </si>
  <si>
    <t>TM</t>
  </si>
  <si>
    <t>Turkmenistan</t>
  </si>
  <si>
    <t>TCA</t>
  </si>
  <si>
    <t>TC</t>
  </si>
  <si>
    <t>Turks and Caicos Islands</t>
  </si>
  <si>
    <t>TUV</t>
  </si>
  <si>
    <t>TV</t>
  </si>
  <si>
    <t>Tuvalu</t>
  </si>
  <si>
    <t>UGA</t>
  </si>
  <si>
    <t>UG</t>
  </si>
  <si>
    <t>Uganda</t>
  </si>
  <si>
    <t>UA</t>
  </si>
  <si>
    <t>ARE</t>
  </si>
  <si>
    <t>AE</t>
  </si>
  <si>
    <t>United Arab Emirates</t>
  </si>
  <si>
    <t>GB</t>
  </si>
  <si>
    <t>USA</t>
  </si>
  <si>
    <t>US</t>
  </si>
  <si>
    <t>United States of America</t>
  </si>
  <si>
    <t>UMI</t>
  </si>
  <si>
    <t>UM</t>
  </si>
  <si>
    <t>United States Minor Outlying Islands</t>
  </si>
  <si>
    <t>URY</t>
  </si>
  <si>
    <t>UY</t>
  </si>
  <si>
    <t>Uruguay</t>
  </si>
  <si>
    <t>UZB</t>
  </si>
  <si>
    <t>UZ</t>
  </si>
  <si>
    <t>Uzbekistan</t>
  </si>
  <si>
    <t>VUT</t>
  </si>
  <si>
    <t>VU</t>
  </si>
  <si>
    <t>Vanuatu</t>
  </si>
  <si>
    <t>VEN</t>
  </si>
  <si>
    <t>VE</t>
  </si>
  <si>
    <t>Venezuela (Bolivarian Republic of)</t>
  </si>
  <si>
    <t>VNM</t>
  </si>
  <si>
    <t>VN</t>
  </si>
  <si>
    <t>Viet Nam</t>
  </si>
  <si>
    <t>VGB</t>
  </si>
  <si>
    <t>VG</t>
  </si>
  <si>
    <t>Virgin Islands (British)</t>
  </si>
  <si>
    <t>VIR</t>
  </si>
  <si>
    <t>VI</t>
  </si>
  <si>
    <t>Virgin Islands (U.S.)</t>
  </si>
  <si>
    <t>WLF</t>
  </si>
  <si>
    <t>WF</t>
  </si>
  <si>
    <t>Wallis and Futuna</t>
  </si>
  <si>
    <t>ESH</t>
  </si>
  <si>
    <t>EH</t>
  </si>
  <si>
    <t>Western Sahara</t>
  </si>
  <si>
    <t>YEM</t>
  </si>
  <si>
    <t>YE</t>
  </si>
  <si>
    <t>Yemen</t>
  </si>
  <si>
    <t>ZMB</t>
  </si>
  <si>
    <t>ZM</t>
  </si>
  <si>
    <t>Zambia</t>
  </si>
  <si>
    <t>ZWE</t>
  </si>
  <si>
    <t>ZW</t>
  </si>
  <si>
    <t>Zimbabwe</t>
  </si>
  <si>
    <t>id</t>
  </si>
  <si>
    <t>item_type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</si>
</sst>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&quot;$&quot;#,##0.00"/>
    <numFmt numFmtId="165" formatCode="m/d/yyyy"/>
    <numFmt numFmtId="166" formatCode="[$$]#,##0.00"/>
    <numFmt numFmtId="167" formatCode="#,##0.000"/>
    <numFmt numFmtId="168" formatCode="[$$]#,##0"/>
    <numFmt numFmtId="169" formatCode="0.0"/>
    <numFmt numFmtId="170" formatCode="mmmm&quot; &quot;"/>
    <numFmt numFmtId="171" formatCode="M/d/yyyy"/>
  </numFmts>
  <fonts count="30">
    <font>
      <sz val="10.0"/>
      <color rgb="FF000000"/>
      <name val="Arial"/>
      <scheme val="minor"/>
    </font>
    <font>
      <b/>
      <sz val="9.0"/>
      <color rgb="FF000000"/>
      <name val="&quot;Google Sans Mono&quot;"/>
    </font>
    <font>
      <b/>
      <color theme="1"/>
      <name val="Arial"/>
      <scheme val="minor"/>
    </font>
    <font>
      <color theme="1"/>
      <name val="Arial"/>
      <scheme val="minor"/>
    </font>
    <font>
      <color rgb="FFFFFFFF"/>
      <name val="Arial"/>
      <scheme val="minor"/>
    </font>
    <font>
      <sz val="11.0"/>
      <color rgb="FFFFFFFF"/>
      <name val="Arial"/>
      <scheme val="minor"/>
    </font>
    <font>
      <sz val="9.0"/>
      <color rgb="FFFFFFFF"/>
      <name val="&quot;Google Sans Mono&quot;"/>
    </font>
    <font>
      <sz val="11.0"/>
      <color rgb="FF000000"/>
      <name val="Arial"/>
      <scheme val="minor"/>
    </font>
    <font>
      <color rgb="FF999999"/>
      <name val="Arial"/>
      <scheme val="minor"/>
    </font>
    <font>
      <b/>
      <color rgb="FF999999"/>
      <name val="Arial"/>
      <scheme val="minor"/>
    </font>
    <font>
      <color rgb="FF434343"/>
      <name val="Arial"/>
      <scheme val="minor"/>
    </font>
    <font>
      <sz val="11.0"/>
      <color theme="1"/>
      <name val="Arial"/>
      <scheme val="minor"/>
    </font>
    <font>
      <sz val="7.0"/>
      <color rgb="FF434343"/>
      <name val="&quot;Google Sans Mono&quot;"/>
    </font>
    <font>
      <sz val="9.0"/>
      <color rgb="FF434343"/>
      <name val="Arial"/>
    </font>
    <font>
      <sz val="9.0"/>
      <color rgb="FF434343"/>
      <name val="&quot;Google Sans Mono&quot;"/>
    </font>
    <font>
      <color rgb="FF434343"/>
      <name val="Arial"/>
    </font>
    <font>
      <b/>
      <sz val="10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sz val="9.0"/>
      <color rgb="FF000000"/>
      <name val="&quot;Google Sans Mono&quot;"/>
    </font>
    <font>
      <b/>
      <sz val="11.0"/>
      <color theme="1"/>
      <name val="Arial"/>
    </font>
    <font>
      <b/>
      <sz val="11.0"/>
      <color rgb="FF000000"/>
      <name val="Arial"/>
    </font>
    <font>
      <sz val="9.0"/>
      <color rgb="FF000000"/>
      <name val="Arial"/>
    </font>
    <font>
      <color theme="1"/>
      <name val="Arial"/>
    </font>
    <font>
      <color rgb="FFFFFFFF"/>
      <name val="Arial"/>
    </font>
    <font>
      <b/>
      <color rgb="FFFFFFFF"/>
      <name val="Arial"/>
      <scheme val="minor"/>
    </font>
    <font>
      <b/>
      <color rgb="FF666666"/>
      <name val="Arial"/>
      <scheme val="minor"/>
    </font>
    <font>
      <b/>
      <color theme="1"/>
      <name val="Arial"/>
    </font>
    <font>
      <sz val="10.0"/>
      <color rgb="FFFFFFFF"/>
      <name val="Arial"/>
    </font>
    <font>
      <b/>
      <sz val="10.0"/>
      <color rgb="FF000000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76A5AF"/>
        <bgColor rgb="FF76A5AF"/>
      </patternFill>
    </fill>
    <fill>
      <patternFill patternType="solid">
        <fgColor rgb="FFFF0000"/>
        <bgColor rgb="FFFF0000"/>
      </patternFill>
    </fill>
    <fill>
      <patternFill patternType="solid">
        <fgColor rgb="FFA2C4C9"/>
        <bgColor rgb="FFA2C4C9"/>
      </patternFill>
    </fill>
    <fill>
      <patternFill patternType="solid">
        <fgColor rgb="FF999999"/>
        <bgColor rgb="FF999999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134F5C"/>
        <bgColor rgb="FF134F5C"/>
      </patternFill>
    </fill>
    <fill>
      <patternFill patternType="solid">
        <fgColor rgb="FF45818E"/>
        <bgColor rgb="FF45818E"/>
      </patternFill>
    </fill>
    <fill>
      <patternFill patternType="solid">
        <fgColor rgb="FF57BB8A"/>
        <bgColor rgb="FF57BB8A"/>
      </patternFill>
    </fill>
    <fill>
      <patternFill patternType="solid">
        <fgColor rgb="FFCFE2F3"/>
        <bgColor rgb="FFCFE2F3"/>
      </patternFill>
    </fill>
    <fill>
      <patternFill patternType="solid">
        <fgColor rgb="FFE06666"/>
        <bgColor rgb="FFE06666"/>
      </patternFill>
    </fill>
    <fill>
      <patternFill patternType="solid">
        <fgColor rgb="FFB6D7A8"/>
        <bgColor rgb="FFB6D7A8"/>
      </patternFill>
    </fill>
  </fills>
  <borders count="1">
    <border/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2" fontId="2" numFmtId="0" xfId="0" applyAlignment="1" applyFont="1">
      <alignment horizontal="center"/>
    </xf>
    <xf borderId="0" fillId="2" fontId="2" numFmtId="10" xfId="0" applyAlignment="1" applyFont="1" applyNumberFormat="1">
      <alignment horizontal="center"/>
    </xf>
    <xf borderId="0" fillId="2" fontId="2" numFmtId="164" xfId="0" applyAlignment="1" applyFont="1" applyNumberFormat="1">
      <alignment horizontal="center"/>
    </xf>
    <xf borderId="0" fillId="2" fontId="3" numFmtId="0" xfId="0" applyFont="1"/>
    <xf borderId="0" fillId="3" fontId="4" numFmtId="0" xfId="0" applyFill="1" applyFont="1"/>
    <xf borderId="0" fillId="0" fontId="4" numFmtId="0" xfId="0" applyFont="1"/>
    <xf borderId="0" fillId="0" fontId="5" numFmtId="0" xfId="0" applyAlignment="1" applyFont="1">
      <alignment readingOrder="0"/>
    </xf>
    <xf borderId="0" fillId="2" fontId="3" numFmtId="10" xfId="0" applyFont="1" applyNumberFormat="1"/>
    <xf borderId="0" fillId="2" fontId="3" numFmtId="164" xfId="0" applyFont="1" applyNumberFormat="1"/>
    <xf borderId="0" fillId="2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168" xfId="0" applyFont="1" applyNumberFormat="1"/>
    <xf borderId="0" fillId="3" fontId="6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2" fontId="6" numFmtId="0" xfId="0" applyFont="1"/>
    <xf borderId="0" fillId="2" fontId="4" numFmtId="10" xfId="0" applyFont="1" applyNumberFormat="1"/>
    <xf borderId="0" fillId="2" fontId="4" numFmtId="164" xfId="0" applyFont="1" applyNumberFormat="1"/>
    <xf borderId="0" fillId="2" fontId="4" numFmtId="0" xfId="0" applyFont="1"/>
    <xf borderId="0" fillId="2" fontId="7" numFmtId="0" xfId="0" applyAlignment="1" applyFont="1">
      <alignment readingOrder="0"/>
    </xf>
    <xf borderId="0" fillId="2" fontId="8" numFmtId="0" xfId="0" applyFont="1"/>
    <xf borderId="0" fillId="2" fontId="9" numFmtId="0" xfId="0" applyAlignment="1" applyFont="1">
      <alignment horizontal="center"/>
    </xf>
    <xf borderId="0" fillId="2" fontId="10" numFmtId="0" xfId="0" applyFont="1"/>
    <xf borderId="0" fillId="2" fontId="11" numFmtId="0" xfId="0" applyAlignment="1" applyFont="1">
      <alignment readingOrder="0"/>
    </xf>
    <xf borderId="0" fillId="2" fontId="12" numFmtId="0" xfId="0" applyAlignment="1" applyFont="1">
      <alignment horizontal="left"/>
    </xf>
    <xf borderId="0" fillId="2" fontId="10" numFmtId="10" xfId="0" applyFont="1" applyNumberFormat="1"/>
    <xf borderId="0" fillId="2" fontId="10" numFmtId="0" xfId="0" applyAlignment="1" applyFont="1">
      <alignment readingOrder="0"/>
    </xf>
    <xf borderId="0" fillId="2" fontId="10" numFmtId="0" xfId="0" applyAlignment="1" applyFont="1">
      <alignment horizontal="center"/>
    </xf>
    <xf borderId="0" fillId="2" fontId="13" numFmtId="10" xfId="0" applyAlignment="1" applyFont="1" applyNumberFormat="1">
      <alignment readingOrder="0"/>
    </xf>
    <xf borderId="0" fillId="2" fontId="14" numFmtId="0" xfId="0" applyFont="1"/>
    <xf borderId="0" fillId="2" fontId="15" numFmtId="0" xfId="0" applyAlignment="1" applyFont="1">
      <alignment readingOrder="0"/>
    </xf>
    <xf borderId="0" fillId="2" fontId="15" numFmtId="0" xfId="0" applyFont="1"/>
    <xf borderId="0" fillId="2" fontId="14" numFmtId="10" xfId="0" applyAlignment="1" applyFont="1" applyNumberFormat="1">
      <alignment readingOrder="0"/>
    </xf>
    <xf borderId="0" fillId="3" fontId="3" numFmtId="0" xfId="0" applyFont="1"/>
    <xf borderId="0" fillId="3" fontId="3" numFmtId="10" xfId="0" applyFont="1" applyNumberFormat="1"/>
    <xf borderId="0" fillId="4" fontId="16" numFmtId="0" xfId="0" applyAlignment="1" applyFill="1" applyFont="1">
      <alignment horizontal="center" readingOrder="0"/>
    </xf>
    <xf borderId="0" fillId="4" fontId="16" numFmtId="0" xfId="0" applyAlignment="1" applyFont="1">
      <alignment horizontal="center"/>
    </xf>
    <xf borderId="0" fillId="0" fontId="17" numFmtId="0" xfId="0" applyFont="1"/>
    <xf borderId="0" fillId="0" fontId="17" numFmtId="166" xfId="0" applyFont="1" applyNumberFormat="1"/>
    <xf borderId="0" fillId="0" fontId="17" numFmtId="10" xfId="0" applyFont="1" applyNumberFormat="1"/>
    <xf borderId="0" fillId="5" fontId="18" numFmtId="0" xfId="0" applyAlignment="1" applyFill="1" applyFont="1">
      <alignment readingOrder="0"/>
    </xf>
    <xf borderId="0" fillId="5" fontId="17" numFmtId="0" xfId="0" applyFont="1"/>
    <xf borderId="0" fillId="6" fontId="4" numFmtId="0" xfId="0" applyAlignment="1" applyFill="1" applyFont="1">
      <alignment horizontal="center"/>
    </xf>
    <xf borderId="0" fillId="6" fontId="4" numFmtId="0" xfId="0" applyAlignment="1" applyFont="1">
      <alignment horizontal="center" readingOrder="0"/>
    </xf>
    <xf borderId="0" fillId="6" fontId="4" numFmtId="164" xfId="0" applyAlignment="1" applyFont="1" applyNumberFormat="1">
      <alignment horizontal="center" readingOrder="0"/>
    </xf>
    <xf borderId="0" fillId="0" fontId="3" numFmtId="0" xfId="0" applyFont="1"/>
    <xf borderId="0" fillId="0" fontId="3" numFmtId="164" xfId="0" applyFont="1" applyNumberFormat="1"/>
    <xf borderId="0" fillId="0" fontId="3" numFmtId="10" xfId="0" applyFont="1" applyNumberFormat="1"/>
    <xf borderId="0" fillId="3" fontId="19" numFmtId="0" xfId="0" applyFont="1"/>
    <xf borderId="0" fillId="3" fontId="19" numFmtId="164" xfId="0" applyFont="1" applyNumberFormat="1"/>
    <xf borderId="0" fillId="0" fontId="3" numFmtId="164" xfId="0" applyFont="1" applyNumberFormat="1"/>
    <xf borderId="0" fillId="5" fontId="3" numFmtId="0" xfId="0" applyAlignment="1" applyFont="1">
      <alignment readingOrder="0"/>
    </xf>
    <xf borderId="0" fillId="4" fontId="6" numFmtId="0" xfId="0" applyFont="1"/>
    <xf borderId="0" fillId="4" fontId="4" numFmtId="0" xfId="0" applyFont="1"/>
    <xf borderId="0" fillId="0" fontId="3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3" xfId="0" applyFont="1" applyNumberFormat="1"/>
    <xf borderId="0" fillId="0" fontId="20" numFmtId="0" xfId="0" applyAlignment="1" applyFont="1">
      <alignment horizontal="center" readingOrder="0" shrinkToFit="0" wrapText="1"/>
    </xf>
    <xf borderId="0" fillId="3" fontId="21" numFmtId="0" xfId="0" applyAlignment="1" applyFont="1">
      <alignment horizontal="center" readingOrder="0" shrinkToFit="0" wrapText="1"/>
    </xf>
    <xf borderId="0" fillId="0" fontId="20" numFmtId="164" xfId="0" applyAlignment="1" applyFont="1" applyNumberFormat="1">
      <alignment horizontal="center" readingOrder="0" shrinkToFit="0" wrapText="1"/>
    </xf>
    <xf borderId="0" fillId="0" fontId="20" numFmtId="169" xfId="0" applyAlignment="1" applyFont="1" applyNumberFormat="1">
      <alignment horizontal="center" readingOrder="0" shrinkToFit="0" wrapText="1"/>
    </xf>
    <xf borderId="0" fillId="0" fontId="20" numFmtId="0" xfId="0" applyAlignment="1" applyFont="1">
      <alignment horizontal="center" shrinkToFit="0" wrapText="1"/>
    </xf>
    <xf borderId="0" fillId="0" fontId="20" numFmtId="0" xfId="0" applyAlignment="1" applyFont="1">
      <alignment horizontal="center" shrinkToFit="0" wrapText="0"/>
    </xf>
    <xf borderId="0" fillId="0" fontId="20" numFmtId="10" xfId="0" applyAlignment="1" applyFont="1" applyNumberFormat="1">
      <alignment horizontal="center" readingOrder="0" shrinkToFit="0" wrapText="1"/>
    </xf>
    <xf borderId="0" fillId="0" fontId="20" numFmtId="164" xfId="0" applyAlignment="1" applyFont="1" applyNumberFormat="1">
      <alignment horizontal="center" shrinkToFit="0" wrapText="1"/>
    </xf>
    <xf borderId="0" fillId="3" fontId="22" numFmtId="0" xfId="0" applyFont="1"/>
    <xf borderId="0" fillId="3" fontId="22" numFmtId="164" xfId="0" applyFont="1" applyNumberFormat="1"/>
    <xf borderId="0" fillId="3" fontId="22" numFmtId="10" xfId="0" applyFont="1" applyNumberFormat="1"/>
    <xf borderId="0" fillId="0" fontId="23" numFmtId="169" xfId="0" applyFont="1" applyNumberFormat="1"/>
    <xf borderId="0" fillId="0" fontId="23" numFmtId="0" xfId="0" applyFont="1"/>
    <xf borderId="0" fillId="0" fontId="23" numFmtId="164" xfId="0" applyFont="1" applyNumberFormat="1"/>
    <xf borderId="0" fillId="0" fontId="23" numFmtId="10" xfId="0" applyFont="1" applyNumberFormat="1"/>
    <xf borderId="0" fillId="7" fontId="24" numFmtId="0" xfId="0" applyAlignment="1" applyFill="1" applyFont="1">
      <alignment readingOrder="0"/>
    </xf>
    <xf borderId="0" fillId="0" fontId="23" numFmtId="164" xfId="0" applyAlignment="1" applyFont="1" applyNumberFormat="1">
      <alignment readingOrder="0"/>
    </xf>
    <xf borderId="0" fillId="8" fontId="23" numFmtId="164" xfId="0" applyFill="1" applyFont="1" applyNumberFormat="1"/>
    <xf borderId="0" fillId="8" fontId="23" numFmtId="10" xfId="0" applyFont="1" applyNumberFormat="1"/>
    <xf borderId="0" fillId="8" fontId="23" numFmtId="0" xfId="0" applyFont="1"/>
    <xf borderId="0" fillId="3" fontId="23" numFmtId="0" xfId="0" applyFont="1"/>
    <xf borderId="0" fillId="3" fontId="23" numFmtId="164" xfId="0" applyFont="1" applyNumberFormat="1"/>
    <xf borderId="0" fillId="0" fontId="23" numFmtId="0" xfId="0" applyAlignment="1" applyFont="1">
      <alignment readingOrder="0"/>
    </xf>
    <xf borderId="0" fillId="0" fontId="23" numFmtId="164" xfId="0" applyFont="1" applyNumberFormat="1"/>
    <xf borderId="0" fillId="0" fontId="23" numFmtId="0" xfId="0" applyAlignment="1" applyFont="1">
      <alignment shrinkToFit="0" wrapText="0"/>
    </xf>
    <xf borderId="0" fillId="0" fontId="3" numFmtId="166" xfId="0" applyFont="1" applyNumberFormat="1"/>
    <xf borderId="0" fillId="0" fontId="3" numFmtId="166" xfId="0" applyFont="1" applyNumberFormat="1"/>
    <xf borderId="0" fillId="4" fontId="23" numFmtId="0" xfId="0" applyFont="1"/>
    <xf borderId="0" fillId="3" fontId="18" numFmtId="0" xfId="0" applyAlignment="1" applyFont="1">
      <alignment horizontal="left"/>
    </xf>
    <xf borderId="0" fillId="0" fontId="3" numFmtId="2" xfId="0" applyFont="1" applyNumberFormat="1"/>
    <xf borderId="0" fillId="6" fontId="25" numFmtId="0" xfId="0" applyAlignment="1" applyFont="1">
      <alignment horizontal="center"/>
    </xf>
    <xf borderId="0" fillId="6" fontId="25" numFmtId="2" xfId="0" applyAlignment="1" applyFont="1" applyNumberFormat="1">
      <alignment horizontal="center"/>
    </xf>
    <xf borderId="0" fillId="0" fontId="3" numFmtId="170" xfId="0" applyFont="1" applyNumberFormat="1"/>
    <xf borderId="0" fillId="5" fontId="3" numFmtId="0" xfId="0" applyFont="1"/>
    <xf borderId="0" fillId="3" fontId="26" numFmtId="0" xfId="0" applyAlignment="1" applyFont="1">
      <alignment horizontal="center"/>
    </xf>
    <xf borderId="0" fillId="9" fontId="26" numFmtId="0" xfId="0" applyAlignment="1" applyFill="1" applyFont="1">
      <alignment horizontal="center"/>
    </xf>
    <xf borderId="0" fillId="0" fontId="3" numFmtId="170" xfId="0" applyFont="1" applyNumberFormat="1"/>
    <xf borderId="0" fillId="3" fontId="3" numFmtId="0" xfId="0" applyAlignment="1" applyFont="1">
      <alignment readingOrder="0"/>
    </xf>
    <xf borderId="0" fillId="10" fontId="2" numFmtId="0" xfId="0" applyAlignment="1" applyFill="1" applyFont="1">
      <alignment horizontal="center" shrinkToFit="0" wrapText="1"/>
    </xf>
    <xf borderId="0" fillId="10" fontId="2" numFmtId="0" xfId="0" applyAlignment="1" applyFont="1">
      <alignment horizontal="center" readingOrder="0" shrinkToFit="0" wrapText="1"/>
    </xf>
    <xf borderId="0" fillId="10" fontId="2" numFmtId="169" xfId="0" applyAlignment="1" applyFont="1" applyNumberFormat="1">
      <alignment horizontal="center" readingOrder="0" shrinkToFit="0" wrapText="1"/>
    </xf>
    <xf borderId="0" fillId="10" fontId="27" numFmtId="169" xfId="0" applyAlignment="1" applyFont="1" applyNumberFormat="1">
      <alignment horizontal="center" readingOrder="0" shrinkToFit="0" wrapText="1"/>
    </xf>
    <xf borderId="0" fillId="0" fontId="3" numFmtId="169" xfId="0" applyFont="1" applyNumberFormat="1"/>
    <xf borderId="0" fillId="3" fontId="18" numFmtId="169" xfId="0" applyFont="1" applyNumberFormat="1"/>
    <xf borderId="0" fillId="0" fontId="2" numFmtId="0" xfId="0" applyAlignment="1" applyFont="1">
      <alignment horizontal="center" shrinkToFit="0" wrapText="1"/>
    </xf>
    <xf borderId="0" fillId="0" fontId="2" numFmtId="10" xfId="0" applyAlignment="1" applyFont="1" applyNumberFormat="1">
      <alignment horizontal="center" readingOrder="0" shrinkToFit="0" wrapText="1"/>
    </xf>
    <xf borderId="0" fillId="0" fontId="16" numFmtId="0" xfId="0" applyAlignment="1" applyFont="1">
      <alignment horizontal="center" shrinkToFit="0" wrapText="1"/>
    </xf>
    <xf borderId="0" fillId="0" fontId="2" numFmtId="2" xfId="0" applyAlignment="1" applyFont="1" applyNumberFormat="1">
      <alignment horizontal="center" shrinkToFit="0" wrapText="1"/>
    </xf>
    <xf borderId="0" fillId="11" fontId="17" numFmtId="0" xfId="0" applyAlignment="1" applyFill="1" applyFont="1">
      <alignment readingOrder="0"/>
    </xf>
    <xf borderId="0" fillId="3" fontId="17" numFmtId="0" xfId="0" applyFont="1"/>
    <xf borderId="0" fillId="4" fontId="3" numFmtId="0" xfId="0" applyFont="1"/>
    <xf borderId="0" fillId="4" fontId="3" numFmtId="0" xfId="0" applyAlignment="1" applyFont="1">
      <alignment readingOrder="0"/>
    </xf>
    <xf borderId="0" fillId="0" fontId="17" numFmtId="0" xfId="0" applyAlignment="1" applyFont="1">
      <alignment readingOrder="0"/>
    </xf>
    <xf borderId="0" fillId="12" fontId="28" numFmtId="0" xfId="0" applyFill="1" applyFont="1"/>
    <xf borderId="0" fillId="12" fontId="28" numFmtId="0" xfId="0" applyAlignment="1" applyFont="1">
      <alignment readingOrder="0"/>
    </xf>
    <xf borderId="0" fillId="3" fontId="18" numFmtId="0" xfId="0" applyFont="1"/>
    <xf borderId="0" fillId="3" fontId="18" numFmtId="10" xfId="0" applyFont="1" applyNumberFormat="1"/>
    <xf borderId="0" fillId="0" fontId="3" numFmtId="14" xfId="0" applyFont="1" applyNumberFormat="1"/>
    <xf borderId="0" fillId="13" fontId="25" numFmtId="0" xfId="0" applyAlignment="1" applyFill="1" applyFont="1">
      <alignment horizontal="center"/>
    </xf>
    <xf borderId="0" fillId="3" fontId="25" numFmtId="0" xfId="0" applyFont="1"/>
    <xf borderId="0" fillId="6" fontId="29" numFmtId="0" xfId="0" applyAlignment="1" applyFont="1">
      <alignment horizontal="center"/>
    </xf>
    <xf borderId="0" fillId="6" fontId="16" numFmtId="0" xfId="0" applyAlignment="1" applyFont="1">
      <alignment horizontal="center"/>
    </xf>
    <xf borderId="0" fillId="6" fontId="16" numFmtId="164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14" fontId="17" numFmtId="0" xfId="0" applyFill="1" applyFont="1"/>
    <xf borderId="0" fillId="14" fontId="17" numFmtId="164" xfId="0" applyFont="1" applyNumberFormat="1"/>
    <xf borderId="0" fillId="12" fontId="28" numFmtId="164" xfId="0" applyFont="1" applyNumberFormat="1"/>
    <xf borderId="0" fillId="0" fontId="2" numFmtId="0" xfId="0" applyAlignment="1" applyFont="1">
      <alignment horizontal="center" readingOrder="0"/>
    </xf>
    <xf borderId="0" fillId="0" fontId="3" numFmtId="165" xfId="0" applyAlignment="1" applyFont="1" applyNumberFormat="1">
      <alignment readingOrder="0"/>
    </xf>
    <xf borderId="0" fillId="0" fontId="3" numFmtId="166" xfId="0" applyAlignment="1" applyFont="1" applyNumberFormat="1">
      <alignment readingOrder="0"/>
    </xf>
    <xf borderId="0" fillId="0" fontId="16" numFmtId="0" xfId="0" applyAlignment="1" applyFont="1">
      <alignment horizontal="center" readingOrder="0"/>
    </xf>
    <xf borderId="0" fillId="0" fontId="16" numFmtId="0" xfId="0" applyAlignment="1" applyFont="1">
      <alignment horizontal="center"/>
    </xf>
    <xf borderId="0" fillId="0" fontId="16" numFmtId="167" xfId="0" applyAlignment="1" applyFont="1" applyNumberFormat="1">
      <alignment horizontal="center" readingOrder="0"/>
    </xf>
    <xf borderId="0" fillId="0" fontId="17" numFmtId="165" xfId="0" applyAlignment="1" applyFont="1" applyNumberFormat="1">
      <alignment readingOrder="0"/>
    </xf>
    <xf borderId="0" fillId="0" fontId="17" numFmtId="166" xfId="0" applyAlignment="1" applyFont="1" applyNumberFormat="1">
      <alignment readingOrder="0"/>
    </xf>
    <xf borderId="0" fillId="0" fontId="17" numFmtId="167" xfId="0" applyFont="1" applyNumberFormat="1"/>
    <xf borderId="0" fillId="5" fontId="17" numFmtId="0" xfId="0" applyAlignment="1" applyFont="1">
      <alignment readingOrder="0"/>
    </xf>
    <xf borderId="0" fillId="15" fontId="3" numFmtId="0" xfId="0" applyAlignment="1" applyFill="1" applyFont="1">
      <alignment readingOrder="0"/>
    </xf>
    <xf borderId="0" fillId="16" fontId="3" numFmtId="0" xfId="0" applyAlignment="1" applyFill="1" applyFont="1">
      <alignment readingOrder="0"/>
    </xf>
    <xf borderId="0" fillId="15" fontId="3" numFmtId="0" xfId="0" applyFont="1"/>
    <xf borderId="0" fillId="3" fontId="3" numFmtId="171" xfId="0" applyFont="1" applyNumberFormat="1"/>
    <xf borderId="0" fillId="0" fontId="3" numFmtId="165" xfId="0" applyFont="1" applyNumberFormat="1"/>
    <xf borderId="0" fillId="16" fontId="19" numFmtId="0" xfId="0" applyFont="1"/>
    <xf borderId="0" fillId="3" fontId="19" numFmtId="0" xfId="0" applyAlignment="1" applyFont="1">
      <alignment readingOrder="0"/>
    </xf>
    <xf borderId="0" fillId="16" fontId="3" numFmtId="0" xfId="0" applyFont="1"/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A64D79"/>
          <bgColor rgb="FFA64D79"/>
        </patternFill>
      </fill>
      <border/>
    </dxf>
    <dxf>
      <font/>
      <fill>
        <patternFill patternType="solid">
          <fgColor rgb="FF57BB8A"/>
          <bgColor rgb="FF57BB8A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CCCCCC"/>
                </a:solidFill>
                <a:latin typeface="Arial"/>
              </a:defRPr>
            </a:pPr>
            <a:r>
              <a:rPr b="1" sz="1400">
                <a:solidFill>
                  <a:srgbClr val="CCCCCC"/>
                </a:solidFill>
                <a:latin typeface="Arial"/>
              </a:rPr>
              <a:t>Categories ranked by order voume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spPr>
            <a:solidFill>
              <a:srgbClr val="A64D79"/>
            </a:solidFill>
            <a:ln cmpd="sng">
              <a:solidFill>
                <a:srgbClr val="000000"/>
              </a:solidFill>
            </a:ln>
          </c:spPr>
          <c:dPt>
            <c:idx val="1"/>
          </c:dPt>
          <c:cat>
            <c:strRef>
              <c:f>'sales by category2'!$A$16:$A$27</c:f>
            </c:strRef>
          </c:cat>
          <c:val>
            <c:numRef>
              <c:f>'sales by category2'!$B$16:$B$27</c:f>
              <c:numCache/>
            </c:numRef>
          </c:val>
        </c:ser>
        <c:axId val="568299823"/>
        <c:axId val="1350078885"/>
      </c:bar3DChart>
      <c:catAx>
        <c:axId val="56829982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CCCCCC"/>
                    </a:solidFill>
                    <a:latin typeface="+mn-lt"/>
                  </a:defRPr>
                </a:pPr>
                <a:r>
                  <a:rPr b="1" sz="1200">
                    <a:solidFill>
                      <a:srgbClr val="CCCCCC"/>
                    </a:solidFill>
                    <a:latin typeface="+mn-lt"/>
                  </a:rPr>
                  <a:t>Categories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200">
                <a:solidFill>
                  <a:srgbClr val="CCCCCC"/>
                </a:solidFill>
                <a:latin typeface="Arial"/>
              </a:defRPr>
            </a:pPr>
          </a:p>
        </c:txPr>
        <c:crossAx val="1350078885"/>
      </c:catAx>
      <c:valAx>
        <c:axId val="13500788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CCCCCC"/>
                    </a:solidFill>
                    <a:latin typeface="Arial"/>
                  </a:defRPr>
                </a:pPr>
                <a:r>
                  <a:rPr b="1" sz="1200">
                    <a:solidFill>
                      <a:srgbClr val="CCCCCC"/>
                    </a:solidFill>
                    <a:latin typeface="Arial"/>
                  </a:rPr>
                  <a:t>Order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sz="1200">
                <a:solidFill>
                  <a:srgbClr val="CCCCCC"/>
                </a:solidFill>
                <a:latin typeface="Arial"/>
              </a:defRPr>
            </a:pPr>
          </a:p>
        </c:txPr>
        <c:crossAx val="56829982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CCCCCC"/>
                </a:solidFill>
                <a:latin typeface="Arial"/>
              </a:defRPr>
            </a:pPr>
            <a:r>
              <a:rPr b="1" sz="1600">
                <a:solidFill>
                  <a:srgbClr val="CCCCCC"/>
                </a:solidFill>
                <a:latin typeface="Arial"/>
              </a:rPr>
              <a:t>Relationship between profit and revenue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A64D79"/>
              </a:solidFill>
              <a:ln cmpd="sng">
                <a:solidFill>
                  <a:srgbClr val="A64D79"/>
                </a:solidFill>
              </a:ln>
            </c:spPr>
          </c:marker>
          <c:xVal>
            <c:numRef>
              <c:f>'sales by category2'!$A$50:$A$61</c:f>
            </c:numRef>
          </c:xVal>
          <c:yVal>
            <c:numRef>
              <c:f>'sales by category2'!$B$50:$B$61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267416"/>
        <c:axId val="1417315461"/>
      </c:scatterChart>
      <c:valAx>
        <c:axId val="10792674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CCCCCC"/>
                    </a:solidFill>
                    <a:latin typeface="Arial"/>
                  </a:defRPr>
                </a:pPr>
                <a:r>
                  <a:rPr b="1" sz="1200">
                    <a:solidFill>
                      <a:srgbClr val="CCCCCC"/>
                    </a:solidFill>
                    <a:latin typeface="Arial"/>
                  </a:rPr>
                  <a:t>Revenue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B7B7B7"/>
                </a:solidFill>
                <a:latin typeface="Arial"/>
              </a:defRPr>
            </a:pPr>
          </a:p>
        </c:txPr>
        <c:crossAx val="1417315461"/>
      </c:valAx>
      <c:valAx>
        <c:axId val="1417315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B7B7B7"/>
                    </a:solidFill>
                    <a:latin typeface="Arial"/>
                  </a:defRPr>
                </a:pPr>
                <a:r>
                  <a:rPr b="1" sz="1200">
                    <a:solidFill>
                      <a:srgbClr val="B7B7B7"/>
                    </a:solidFill>
                    <a:latin typeface="Arial"/>
                  </a:rPr>
                  <a:t>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 sz="1200">
                <a:solidFill>
                  <a:srgbClr val="CCCCCC"/>
                </a:solidFill>
                <a:latin typeface="Arial"/>
              </a:defRPr>
            </a:pPr>
          </a:p>
        </c:txPr>
        <c:crossAx val="10792674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  <c:spPr>
    <a:solidFill>
      <a:srgbClr val="000000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B7B7B7"/>
                </a:solidFill>
                <a:latin typeface="Arial"/>
              </a:defRPr>
            </a:pPr>
            <a:r>
              <a:rPr b="1" sz="1600">
                <a:solidFill>
                  <a:srgbClr val="B7B7B7"/>
                </a:solidFill>
                <a:latin typeface="Arial"/>
              </a:rPr>
              <a:t>Average aging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dashboard!$P$22:$P$23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dashboard!$O$24:$O$68</c:f>
            </c:strRef>
          </c:cat>
          <c:val>
            <c:numRef>
              <c:f>dashboard!$P$24:$P$68</c:f>
              <c:numCache/>
            </c:numRef>
          </c:val>
        </c:ser>
        <c:axId val="15178067"/>
        <c:axId val="628022218"/>
      </c:bar3DChart>
      <c:catAx>
        <c:axId val="151780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CCCCCC"/>
                </a:solidFill>
                <a:latin typeface="Arial"/>
              </a:defRPr>
            </a:pPr>
          </a:p>
        </c:txPr>
        <c:crossAx val="628022218"/>
      </c:catAx>
      <c:valAx>
        <c:axId val="628022218"/>
        <c:scaling>
          <c:orientation val="minMax"/>
        </c:scaling>
        <c:delete val="0"/>
        <c:axPos val="l"/>
        <c:majorGridlines>
          <c:spPr>
            <a:ln>
              <a:solidFill>
                <a:srgbClr val="CCCCCC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CCCCCC"/>
                    </a:solidFill>
                    <a:latin typeface="Arial"/>
                  </a:defRPr>
                </a:pPr>
                <a:r>
                  <a:rPr b="1" sz="1400">
                    <a:solidFill>
                      <a:srgbClr val="CCCCCC"/>
                    </a:solidFill>
                    <a:latin typeface="Arial"/>
                  </a:rPr>
                  <a:t>Average count of days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B7B7B7"/>
                </a:solidFill>
                <a:latin typeface="Arial"/>
              </a:defRPr>
            </a:pPr>
          </a:p>
        </c:txPr>
        <c:crossAx val="151780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  <c:spPr>
    <a:solidFill>
      <a:srgbClr val="000000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B7B7B7"/>
                </a:solidFill>
                <a:latin typeface="Arial"/>
              </a:defRPr>
            </a:pPr>
            <a:r>
              <a:rPr b="1" sz="1600">
                <a:solidFill>
                  <a:srgbClr val="B7B7B7"/>
                </a:solidFill>
                <a:latin typeface="Arial"/>
              </a:rPr>
              <a:t>ABC group of categories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dashboard!$D$25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dashboard!$A$26:$A$37</c:f>
            </c:strRef>
          </c:cat>
          <c:val>
            <c:numRef>
              <c:f>dashboard!$D$26:$D$37</c:f>
              <c:numCache/>
            </c:numRef>
          </c:val>
        </c:ser>
        <c:ser>
          <c:idx val="1"/>
          <c:order val="1"/>
          <c:tx>
            <c:strRef>
              <c:f>dashboard!$E$25</c:f>
            </c:strRef>
          </c:tx>
          <c:spPr>
            <a:solidFill>
              <a:srgbClr val="A64D79"/>
            </a:solidFill>
            <a:ln cmpd="sng">
              <a:solidFill>
                <a:srgbClr val="000000"/>
              </a:solidFill>
            </a:ln>
          </c:spPr>
          <c:cat>
            <c:strRef>
              <c:f>dashboard!$A$26:$A$37</c:f>
            </c:strRef>
          </c:cat>
          <c:val>
            <c:numRef>
              <c:f>dashboard!$E$26:$E$37</c:f>
              <c:numCache/>
            </c:numRef>
          </c:val>
        </c:ser>
        <c:ser>
          <c:idx val="2"/>
          <c:order val="2"/>
          <c:tx>
            <c:strRef>
              <c:f>dashboard!$F$25</c:f>
            </c:strRef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cat>
            <c:strRef>
              <c:f>dashboard!$A$26:$A$37</c:f>
            </c:strRef>
          </c:cat>
          <c:val>
            <c:numRef>
              <c:f>dashboard!$F$26:$F$37</c:f>
              <c:numCache/>
            </c:numRef>
          </c:val>
        </c:ser>
        <c:overlap val="100"/>
        <c:axId val="1717991171"/>
        <c:axId val="452453643"/>
      </c:barChart>
      <c:catAx>
        <c:axId val="17179911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B7B7B7"/>
                    </a:solidFill>
                    <a:latin typeface="Arial"/>
                  </a:defRPr>
                </a:pPr>
                <a:r>
                  <a:rPr b="1" sz="1400">
                    <a:solidFill>
                      <a:srgbClr val="B7B7B7"/>
                    </a:solidFill>
                    <a:latin typeface="Arial"/>
                  </a:rPr>
                  <a:t>Group of cateoies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B7B7B7"/>
                </a:solidFill>
                <a:latin typeface="Arial"/>
              </a:defRPr>
            </a:pPr>
          </a:p>
        </c:txPr>
        <c:crossAx val="452453643"/>
      </c:catAx>
      <c:valAx>
        <c:axId val="4524536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717991171"/>
      </c:valAx>
      <c:lineChart>
        <c:varyColors val="0"/>
        <c:ser>
          <c:idx val="3"/>
          <c:order val="3"/>
          <c:tx>
            <c:strRef>
              <c:f>dashboard!$C$25</c:f>
            </c:strRef>
          </c:tx>
          <c:spPr>
            <a:ln cmpd="sng">
              <a:solidFill>
                <a:srgbClr val="351C7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dashboard!$A$26:$A$37</c:f>
            </c:strRef>
          </c:cat>
          <c:val>
            <c:numRef>
              <c:f>dashboard!$C$26:$C$37</c:f>
              <c:numCache/>
            </c:numRef>
          </c:val>
          <c:smooth val="0"/>
        </c:ser>
        <c:axId val="1051202207"/>
        <c:axId val="4879665"/>
      </c:lineChart>
      <c:catAx>
        <c:axId val="10512022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B7B7B7"/>
                </a:solidFill>
                <a:latin typeface="Arial"/>
              </a:defRPr>
            </a:pPr>
          </a:p>
        </c:txPr>
        <c:crossAx val="4879665"/>
      </c:catAx>
      <c:valAx>
        <c:axId val="487966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999999"/>
                    </a:solidFill>
                    <a:latin typeface="Arial"/>
                  </a:defRPr>
                </a:pPr>
                <a:r>
                  <a:rPr b="1" sz="1400">
                    <a:solidFill>
                      <a:srgbClr val="999999"/>
                    </a:solidFill>
                    <a:latin typeface="Arial"/>
                  </a:rPr>
                  <a:t>Cumulative share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05120220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  <c:spPr>
    <a:solidFill>
      <a:srgbClr val="000000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B7B7B7"/>
                </a:solidFill>
                <a:latin typeface="Arial"/>
              </a:defRPr>
            </a:pPr>
            <a:r>
              <a:rPr b="1" sz="1600">
                <a:solidFill>
                  <a:srgbClr val="B7B7B7"/>
                </a:solidFill>
                <a:latin typeface="Arial"/>
              </a:rPr>
              <a:t>Revenue trends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'Years and mont'!$N$2:$N$3</c:f>
            </c:strRef>
          </c:tx>
          <c:spPr>
            <a:ln cmpd="sng" w="19050">
              <a:solidFill>
                <a:srgbClr val="A64D79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A64D79">
                  <a:alpha val="100000"/>
                </a:srgbClr>
              </a:solidFill>
              <a:ln cmpd="sng">
                <a:solidFill>
                  <a:srgbClr val="A64D79">
                    <a:alpha val="100000"/>
                  </a:srgbClr>
                </a:solidFill>
              </a:ln>
            </c:spPr>
          </c:marker>
          <c:dPt>
            <c:idx val="0"/>
            <c:marker>
              <c:symbol val="none"/>
            </c:marker>
          </c:dPt>
          <c:trendline>
            <c:name/>
            <c:spPr>
              <a:ln w="19050">
                <a:solidFill>
                  <a:srgbClr val="A64D79">
                    <a:alpha val="4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'Years and mont'!$K$4:$K$94</c:f>
            </c:strRef>
          </c:cat>
          <c:val>
            <c:numRef>
              <c:f>'Years and mont'!$N$4:$N$94</c:f>
              <c:numCache/>
            </c:numRef>
          </c:val>
          <c:smooth val="0"/>
        </c:ser>
        <c:axId val="924395702"/>
        <c:axId val="1105854078"/>
      </c:lineChart>
      <c:catAx>
        <c:axId val="9243957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B7B7B7"/>
                    </a:solidFill>
                    <a:latin typeface="Arial"/>
                  </a:defRPr>
                </a:pPr>
                <a:r>
                  <a:rPr b="1" sz="1200">
                    <a:solidFill>
                      <a:srgbClr val="B7B7B7"/>
                    </a:solidFill>
                    <a:latin typeface="Arial"/>
                  </a:rPr>
                  <a:t>Timeline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200">
                <a:solidFill>
                  <a:srgbClr val="B7B7B7"/>
                </a:solidFill>
                <a:latin typeface="Arial"/>
              </a:defRPr>
            </a:pPr>
          </a:p>
        </c:txPr>
        <c:crossAx val="1105854078"/>
      </c:catAx>
      <c:valAx>
        <c:axId val="1105854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B7B7B7"/>
                    </a:solidFill>
                    <a:latin typeface="Arial"/>
                  </a:defRPr>
                </a:pPr>
                <a:r>
                  <a:rPr b="1" sz="1200">
                    <a:solidFill>
                      <a:srgbClr val="B7B7B7"/>
                    </a:solidFill>
                    <a:latin typeface="Arial"/>
                  </a:rPr>
                  <a:t>Revenue</a:t>
                </a:r>
              </a:p>
            </c:rich>
          </c:tx>
          <c:overlay val="0"/>
        </c:title>
        <c:numFmt formatCode="#,##0.00;(#,##0.00)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 sz="1200">
                <a:solidFill>
                  <a:srgbClr val="CCCCCC"/>
                </a:solidFill>
                <a:latin typeface="Arial"/>
              </a:defRPr>
            </a:pPr>
          </a:p>
        </c:txPr>
        <c:crossAx val="9243957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B7B7B7"/>
              </a:solidFill>
              <a:latin typeface="Arial"/>
            </a:defRPr>
          </a:pPr>
        </a:p>
      </c:txPr>
    </c:legend>
    <c:plotVisOnly val="1"/>
  </c:chart>
  <c:spPr>
    <a:solidFill>
      <a:srgbClr val="000000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CCCCCC"/>
                </a:solidFill>
                <a:latin typeface="Arial"/>
              </a:defRPr>
            </a:pPr>
            <a:r>
              <a:rPr b="1" sz="1600">
                <a:solidFill>
                  <a:srgbClr val="CCCCCC"/>
                </a:solidFill>
                <a:latin typeface="Arial"/>
              </a:rPr>
              <a:t>Revenue and order  trend by day of the week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Week!$J$1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Week!$I$2:$I$8</c:f>
            </c:strRef>
          </c:cat>
          <c:val>
            <c:numRef>
              <c:f>Week!$J$2:$J$8</c:f>
              <c:numCache/>
            </c:numRef>
          </c:val>
        </c:ser>
        <c:axId val="2050549190"/>
        <c:axId val="1989259034"/>
      </c:barChart>
      <c:lineChart>
        <c:varyColors val="0"/>
        <c:ser>
          <c:idx val="1"/>
          <c:order val="1"/>
          <c:tx>
            <c:strRef>
              <c:f>Week!$L$1</c:f>
            </c:strRef>
          </c:tx>
          <c:spPr>
            <a:ln cmpd="sng">
              <a:solidFill>
                <a:srgbClr val="741B47">
                  <a:alpha val="100000"/>
                </a:srgbClr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741B47">
                  <a:alpha val="100000"/>
                </a:srgbClr>
              </a:solidFill>
              <a:ln cmpd="sng">
                <a:solidFill>
                  <a:srgbClr val="741B47">
                    <a:alpha val="100000"/>
                  </a:srgbClr>
                </a:solidFill>
              </a:ln>
            </c:spPr>
          </c:marker>
          <c:cat>
            <c:strRef>
              <c:f>Week!$I$2:$I$8</c:f>
            </c:strRef>
          </c:cat>
          <c:val>
            <c:numRef>
              <c:f>Week!$L$2:$L$8</c:f>
              <c:numCache/>
            </c:numRef>
          </c:val>
          <c:smooth val="0"/>
        </c:ser>
        <c:axId val="2050549190"/>
        <c:axId val="1989259034"/>
      </c:lineChart>
      <c:catAx>
        <c:axId val="20505491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CCCCCC"/>
                    </a:solidFill>
                    <a:latin typeface="Arial"/>
                  </a:defRPr>
                </a:pPr>
                <a:r>
                  <a:rPr b="1" sz="1200">
                    <a:solidFill>
                      <a:srgbClr val="CCCCCC"/>
                    </a:solidFill>
                    <a:latin typeface="Arial"/>
                  </a:rPr>
                  <a:t>Day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1" sz="1400">
                <a:solidFill>
                  <a:srgbClr val="CCCCCC"/>
                </a:solidFill>
                <a:latin typeface="Arial"/>
              </a:defRPr>
            </a:pPr>
          </a:p>
        </c:txPr>
        <c:crossAx val="1989259034"/>
      </c:catAx>
      <c:valAx>
        <c:axId val="19892590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CCCCCC"/>
                    </a:solidFill>
                    <a:latin typeface="Arial"/>
                  </a:defRPr>
                </a:pPr>
                <a:r>
                  <a:rPr b="1" sz="1200">
                    <a:solidFill>
                      <a:srgbClr val="CCCCCC"/>
                    </a:solidFill>
                    <a:latin typeface="Arial"/>
                  </a:rPr>
                  <a:t>Relative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CCCCCC"/>
                </a:solidFill>
                <a:latin typeface="Arial"/>
              </a:defRPr>
            </a:pPr>
          </a:p>
        </c:txPr>
        <c:crossAx val="2050549190"/>
      </c:valAx>
    </c:plotArea>
    <c:legend>
      <c:legendPos val="r"/>
      <c:overlay val="0"/>
      <c:txPr>
        <a:bodyPr/>
        <a:lstStyle/>
        <a:p>
          <a:pPr lvl="0">
            <a:defRPr b="0" sz="1000">
              <a:solidFill>
                <a:srgbClr val="CCCCCC"/>
              </a:solidFill>
              <a:latin typeface="Arial"/>
            </a:defRPr>
          </a:pPr>
        </a:p>
      </c:txPr>
    </c:legend>
    <c:plotVisOnly val="1"/>
  </c:chart>
  <c:spPr>
    <a:solidFill>
      <a:srgbClr val="000000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CCCCCC"/>
                </a:solidFill>
                <a:latin typeface="Arial"/>
              </a:defRPr>
            </a:pPr>
            <a:r>
              <a:rPr b="1" sz="1400">
                <a:solidFill>
                  <a:srgbClr val="CCCCCC"/>
                </a:solidFill>
                <a:latin typeface="Arial"/>
              </a:rPr>
              <a:t>Order volume by sales channel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tx>
            <c:strRef>
              <c:f>'Sales by chanel'!$B$30</c:f>
            </c:strRef>
          </c:tx>
          <c:dPt>
            <c:idx val="0"/>
            <c:spPr>
              <a:solidFill>
                <a:srgbClr val="6BE7F6"/>
              </a:solidFill>
            </c:spPr>
          </c:dPt>
          <c:dPt>
            <c:idx val="1"/>
            <c:explosion val="0"/>
            <c:spPr>
              <a:solidFill>
                <a:srgbClr val="A64D7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chanel'!$A$31:$A$32</c:f>
            </c:strRef>
          </c:cat>
          <c:val>
            <c:numRef>
              <c:f>'Sales by chanel'!$B$31:$B$32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75"/>
      </c:doughnutChart>
    </c:plotArea>
    <c:legend>
      <c:legendPos val="r"/>
      <c:overlay val="0"/>
      <c:txPr>
        <a:bodyPr/>
        <a:lstStyle/>
        <a:p>
          <a:pPr lvl="0">
            <a:defRPr b="1" sz="1800">
              <a:solidFill>
                <a:srgbClr val="CCCCCC"/>
              </a:solidFill>
              <a:latin typeface="Arial"/>
            </a:defRPr>
          </a:pPr>
        </a:p>
      </c:txPr>
    </c:legend>
    <c:plotVisOnly val="1"/>
  </c:chart>
  <c:spPr>
    <a:solidFill>
      <a:srgbClr val="000000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57575"/>
                </a:solidFill>
                <a:latin typeface="Arial"/>
              </a:defRPr>
            </a:pPr>
            <a:r>
              <a:rPr b="1" sz="1400">
                <a:solidFill>
                  <a:srgbClr val="757575"/>
                </a:solidFill>
                <a:latin typeface="Arial"/>
              </a:rPr>
              <a:t>Categories ranked by order voume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'sales by category2'!$A$16:$A$27</c:f>
            </c:strRef>
          </c:cat>
          <c:val>
            <c:numRef>
              <c:f>'sales by category2'!$B$16:$B$27</c:f>
              <c:numCache/>
            </c:numRef>
          </c:val>
        </c:ser>
        <c:axId val="730665575"/>
        <c:axId val="1233833609"/>
      </c:barChart>
      <c:catAx>
        <c:axId val="73066557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3833609"/>
      </c:catAx>
      <c:valAx>
        <c:axId val="12338336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Order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066557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57575"/>
                </a:solidFill>
                <a:latin typeface="Arial"/>
              </a:defRPr>
            </a:pPr>
            <a:r>
              <a:rPr b="1" sz="1400">
                <a:solidFill>
                  <a:srgbClr val="757575"/>
                </a:solidFill>
                <a:latin typeface="Arial"/>
              </a:rPr>
              <a:t>Categories ranked by units sold</a:t>
            </a:r>
          </a:p>
        </c:rich>
      </c:tx>
      <c:layout>
        <c:manualLayout>
          <c:xMode val="edge"/>
          <c:yMode val="edge"/>
          <c:x val="0.03091666666666667"/>
          <c:y val="0.052695417789757414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'sales by category2'!$A$32:$A$43</c:f>
            </c:strRef>
          </c:cat>
          <c:val>
            <c:numRef>
              <c:f>'sales by category2'!$B$32:$B$43</c:f>
              <c:numCache/>
            </c:numRef>
          </c:val>
        </c:ser>
        <c:axId val="912348929"/>
        <c:axId val="1119744109"/>
      </c:barChart>
      <c:catAx>
        <c:axId val="91234892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9744109"/>
      </c:catAx>
      <c:valAx>
        <c:axId val="11197441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Units sold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234892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57575"/>
                </a:solidFill>
                <a:latin typeface="Arial"/>
              </a:defRPr>
            </a:pPr>
            <a:r>
              <a:rPr b="1" sz="1400">
                <a:solidFill>
                  <a:srgbClr val="757575"/>
                </a:solidFill>
                <a:latin typeface="Arial"/>
              </a:rPr>
              <a:t>Relationship between profit and revenue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'sales by category2'!$A$50:$A$61</c:f>
            </c:numRef>
          </c:xVal>
          <c:yVal>
            <c:numRef>
              <c:f>'sales by category2'!$B$50:$B$61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621522"/>
        <c:axId val="357011205"/>
      </c:scatterChart>
      <c:valAx>
        <c:axId val="14696215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Revenue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7011205"/>
      </c:valAx>
      <c:valAx>
        <c:axId val="3570112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96215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757575"/>
                </a:solidFill>
                <a:latin typeface="Arial"/>
              </a:defRPr>
            </a:pPr>
            <a:r>
              <a:rPr b="1" sz="1800">
                <a:solidFill>
                  <a:srgbClr val="757575"/>
                </a:solidFill>
                <a:latin typeface="Arial"/>
              </a:rPr>
              <a:t>Category distributon by price and order volume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'sales by category2'!$F$82</c:f>
            </c:strRef>
          </c:tx>
          <c:spPr>
            <a:solidFill>
              <a:srgbClr val="A64D79"/>
            </a:solidFill>
            <a:ln cmpd="sng">
              <a:solidFill>
                <a:srgbClr val="000000"/>
              </a:solidFill>
            </a:ln>
          </c:spPr>
          <c:dPt>
            <c:idx val="6"/>
          </c:dPt>
          <c:cat>
            <c:strRef>
              <c:f>'sales by category2'!$A$83:$A$94</c:f>
            </c:strRef>
          </c:cat>
          <c:val>
            <c:numRef>
              <c:f>'sales by category2'!$F$83:$F$94</c:f>
              <c:numCache/>
            </c:numRef>
          </c:val>
        </c:ser>
        <c:ser>
          <c:idx val="1"/>
          <c:order val="1"/>
          <c:tx>
            <c:strRef>
              <c:f>'sales by category2'!$G$82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'sales by category2'!$A$83:$A$94</c:f>
            </c:strRef>
          </c:cat>
          <c:val>
            <c:numRef>
              <c:f>'sales by category2'!$G$83:$G$94</c:f>
              <c:numCache/>
            </c:numRef>
          </c:val>
        </c:ser>
        <c:ser>
          <c:idx val="2"/>
          <c:order val="2"/>
          <c:tx>
            <c:strRef>
              <c:f>'sales by category2'!$H$82</c:f>
            </c:strRef>
          </c:tx>
          <c:spPr>
            <a:solidFill>
              <a:srgbClr val="45818E"/>
            </a:solidFill>
            <a:ln cmpd="sng">
              <a:solidFill>
                <a:srgbClr val="000000"/>
              </a:solidFill>
            </a:ln>
          </c:spPr>
          <c:cat>
            <c:strRef>
              <c:f>'sales by category2'!$A$83:$A$94</c:f>
            </c:strRef>
          </c:cat>
          <c:val>
            <c:numRef>
              <c:f>'sales by category2'!$H$83:$H$94</c:f>
              <c:numCache/>
            </c:numRef>
          </c:val>
        </c:ser>
        <c:overlap val="100"/>
        <c:axId val="1006676247"/>
        <c:axId val="151330179"/>
      </c:barChart>
      <c:catAx>
        <c:axId val="1006676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400">
                    <a:solidFill>
                      <a:srgbClr val="000000"/>
                    </a:solidFill>
                    <a:latin typeface="Arial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151330179"/>
      </c:catAx>
      <c:valAx>
        <c:axId val="151330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400">
                    <a:solidFill>
                      <a:srgbClr val="000000"/>
                    </a:solidFill>
                    <a:latin typeface="Arial"/>
                  </a:rPr>
                  <a:t>Order cout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200">
                <a:solidFill>
                  <a:srgbClr val="000000"/>
                </a:solidFill>
                <a:latin typeface="Arial"/>
              </a:defRPr>
            </a:pPr>
          </a:p>
        </c:txPr>
        <c:crossAx val="1006676247"/>
      </c:valAx>
    </c:plotArea>
    <c:legend>
      <c:legendPos val="t"/>
      <c:overlay val="0"/>
      <c:txPr>
        <a:bodyPr/>
        <a:lstStyle/>
        <a:p>
          <a:pPr lvl="0">
            <a:defRPr b="0" sz="120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757575"/>
                </a:solidFill>
                <a:latin typeface="Arial"/>
              </a:defRPr>
            </a:pPr>
            <a:r>
              <a:rPr b="1" sz="1800">
                <a:solidFill>
                  <a:srgbClr val="757575"/>
                </a:solidFill>
                <a:latin typeface="Arial"/>
              </a:rPr>
              <a:t>Category contribution to total revenue by country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'sales by country'!$AD$3</c:f>
            </c:strRef>
          </c:tx>
          <c:spPr>
            <a:solidFill>
              <a:srgbClr val="45818E"/>
            </a:solidFill>
            <a:ln cmpd="sng">
              <a:solidFill>
                <a:srgbClr val="000000"/>
              </a:solidFill>
            </a:ln>
          </c:spPr>
          <c:dPt>
            <c:idx val="2"/>
          </c:dPt>
          <c:dPt>
            <c:idx val="4"/>
          </c:dPt>
          <c:dPt>
            <c:idx val="5"/>
          </c:dPt>
          <c:cat>
            <c:strRef>
              <c:f>'sales by country'!$AC$4:$AC$48</c:f>
            </c:strRef>
          </c:cat>
          <c:val>
            <c:numRef>
              <c:f>'sales by country'!$AD$4:$AD$48</c:f>
              <c:numCache/>
            </c:numRef>
          </c:val>
        </c:ser>
        <c:ser>
          <c:idx val="1"/>
          <c:order val="1"/>
          <c:tx>
            <c:strRef>
              <c:f>'sales by country'!$AE$3</c:f>
            </c:strRef>
          </c:tx>
          <c:spPr>
            <a:solidFill>
              <a:srgbClr val="741B4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Pt>
            <c:idx val="5"/>
          </c:dPt>
          <c:dPt>
            <c:idx val="6"/>
          </c:dPt>
          <c:dPt>
            <c:idx val="7"/>
          </c:dPt>
          <c:dPt>
            <c:idx val="8"/>
          </c:dPt>
          <c:dPt>
            <c:idx val="9"/>
          </c:dPt>
          <c:dPt>
            <c:idx val="10"/>
          </c:dPt>
          <c:dPt>
            <c:idx val="11"/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Pt>
            <c:idx val="18"/>
          </c:dPt>
          <c:dPt>
            <c:idx val="19"/>
          </c:dPt>
          <c:dPt>
            <c:idx val="20"/>
          </c:dPt>
          <c:dPt>
            <c:idx val="21"/>
          </c:dPt>
          <c:dPt>
            <c:idx val="22"/>
          </c:dPt>
          <c:dPt>
            <c:idx val="23"/>
          </c:dPt>
          <c:dPt>
            <c:idx val="24"/>
          </c:dPt>
          <c:dPt>
            <c:idx val="25"/>
          </c:dPt>
          <c:dPt>
            <c:idx val="26"/>
          </c:dPt>
          <c:dPt>
            <c:idx val="27"/>
          </c:dPt>
          <c:dPt>
            <c:idx val="28"/>
          </c:dPt>
          <c:dPt>
            <c:idx val="29"/>
          </c:dPt>
          <c:dPt>
            <c:idx val="30"/>
          </c:dPt>
          <c:dPt>
            <c:idx val="31"/>
          </c:dPt>
          <c:dPt>
            <c:idx val="32"/>
          </c:dPt>
          <c:dPt>
            <c:idx val="33"/>
          </c:dPt>
          <c:dPt>
            <c:idx val="34"/>
          </c:dPt>
          <c:dPt>
            <c:idx val="35"/>
          </c:dPt>
          <c:dPt>
            <c:idx val="36"/>
          </c:dPt>
          <c:dPt>
            <c:idx val="37"/>
          </c:dPt>
          <c:dPt>
            <c:idx val="38"/>
          </c:dPt>
          <c:dPt>
            <c:idx val="39"/>
          </c:dPt>
          <c:dPt>
            <c:idx val="40"/>
          </c:dPt>
          <c:dPt>
            <c:idx val="41"/>
          </c:dPt>
          <c:dPt>
            <c:idx val="42"/>
          </c:dPt>
          <c:dPt>
            <c:idx val="43"/>
          </c:dPt>
          <c:dPt>
            <c:idx val="44"/>
          </c:dPt>
          <c:dLbls>
            <c:dLbl>
              <c:idx val="0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Household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Cometics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Office Supplies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Beverages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Personal Care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Baby Food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Office Supplies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Cosmetics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Clothes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Office Supplies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Baby Food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Vegetables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Office Supplies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Fruits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Personal Care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Cereal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6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Office Supplies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7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Cereal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8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Meat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9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Clothes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0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Office Supplies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1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Cosmetics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2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Personal Care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3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Beverages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4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Cereal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5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Fruits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6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Personal Care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7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Clothes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8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Cosmetics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9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Cosmetics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0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Cereal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1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Clothes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2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Vegetables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3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Office Supplies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4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Vegetables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5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Household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6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Clothes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7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Personal Care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8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Vegetables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9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Fruits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0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Cosmetics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1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Clothes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2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Meat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3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Beverages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4"/>
              <c:tx>
                <c:rich>
                  <a:bodyPr/>
                  <a:lstStyle/>
                  <a:p>
                    <a:pPr lvl="0">
                      <a:defRPr b="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>
                        <a:solidFill>
                          <a:srgbClr val="000000"/>
                        </a:solidFill>
                        <a:latin typeface="Arial"/>
                      </a:rPr>
                      <a:t>Household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'sales by country'!$AC$4:$AC$48</c:f>
            </c:strRef>
          </c:cat>
          <c:val>
            <c:numRef>
              <c:f>'sales by country'!$AE$4:$AE$48</c:f>
              <c:numCache/>
            </c:numRef>
          </c:val>
        </c:ser>
        <c:ser>
          <c:idx val="2"/>
          <c:order val="2"/>
          <c:tx>
            <c:strRef>
              <c:f>'sales by country'!$AF$3</c:f>
            </c:strRef>
          </c:tx>
          <c:cat>
            <c:strRef>
              <c:f>'sales by country'!$AC$4:$AC$48</c:f>
            </c:strRef>
          </c:cat>
          <c:val>
            <c:numRef>
              <c:f>'sales by country'!$AF$4:$AF$48</c:f>
              <c:numCache/>
            </c:numRef>
          </c:val>
        </c:ser>
        <c:axId val="598849091"/>
        <c:axId val="1245487839"/>
      </c:bar3DChart>
      <c:catAx>
        <c:axId val="5988490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Arial"/>
              </a:defRPr>
            </a:pPr>
          </a:p>
        </c:txPr>
        <c:crossAx val="1245487839"/>
      </c:catAx>
      <c:valAx>
        <c:axId val="12454878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8849091"/>
        <c:crosses val="max"/>
      </c:valAx>
    </c:plotArea>
    <c:legend>
      <c:legendPos val="t"/>
      <c:overlay val="0"/>
      <c:txPr>
        <a:bodyPr/>
        <a:lstStyle/>
        <a:p>
          <a:pPr lvl="0">
            <a:defRPr b="0" sz="120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57575"/>
                </a:solidFill>
                <a:latin typeface="Arial"/>
              </a:defRPr>
            </a:pPr>
            <a:r>
              <a:rPr b="1" sz="1400">
                <a:solidFill>
                  <a:srgbClr val="757575"/>
                </a:solidFill>
                <a:latin typeface="Arial"/>
              </a:rPr>
              <a:t>Reveue trends by sale channels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'Sales by chanel'!$B$14</c:f>
            </c:strRef>
          </c:tx>
          <c:spPr>
            <a:ln cmpd="sng">
              <a:solidFill>
                <a:srgbClr val="45818E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45818E">
                  <a:alpha val="100000"/>
                </a:srgbClr>
              </a:solidFill>
              <a:ln cmpd="sng">
                <a:solidFill>
                  <a:srgbClr val="45818E">
                    <a:alpha val="100000"/>
                  </a:srgbClr>
                </a:solidFill>
              </a:ln>
            </c:spPr>
          </c:marker>
          <c:cat>
            <c:strRef>
              <c:f>'Sales by chanel'!$A$15:$A$22</c:f>
            </c:strRef>
          </c:cat>
          <c:val>
            <c:numRef>
              <c:f>'Sales by chanel'!$B$15:$B$22</c:f>
              <c:numCache/>
            </c:numRef>
          </c:val>
          <c:smooth val="0"/>
        </c:ser>
        <c:ser>
          <c:idx val="1"/>
          <c:order val="1"/>
          <c:tx>
            <c:strRef>
              <c:f>'Sales by chanel'!$C$14</c:f>
            </c:strRef>
          </c:tx>
          <c:spPr>
            <a:ln cmpd="sng">
              <a:solidFill>
                <a:srgbClr val="741B47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741B47">
                  <a:alpha val="100000"/>
                </a:srgbClr>
              </a:solidFill>
              <a:ln cmpd="sng">
                <a:solidFill>
                  <a:srgbClr val="741B47">
                    <a:alpha val="100000"/>
                  </a:srgbClr>
                </a:solidFill>
              </a:ln>
            </c:spPr>
          </c:marker>
          <c:cat>
            <c:strRef>
              <c:f>'Sales by chanel'!$A$15:$A$22</c:f>
            </c:strRef>
          </c:cat>
          <c:val>
            <c:numRef>
              <c:f>'Sales by chanel'!$C$15:$C$22</c:f>
              <c:numCache/>
            </c:numRef>
          </c:val>
          <c:smooth val="0"/>
        </c:ser>
        <c:axId val="1027196617"/>
        <c:axId val="645173281"/>
      </c:lineChart>
      <c:catAx>
        <c:axId val="10271966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Timeline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5173281"/>
      </c:catAx>
      <c:valAx>
        <c:axId val="6451732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Revenue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71966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757575"/>
                </a:solidFill>
                <a:latin typeface="Arial"/>
              </a:defRPr>
            </a:pPr>
            <a:r>
              <a:rPr b="1" sz="1600">
                <a:solidFill>
                  <a:srgbClr val="757575"/>
                </a:solidFill>
                <a:latin typeface="Arial"/>
              </a:rPr>
              <a:t>Order volume by sales channel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'Sales by chanel'!$B$30</c:f>
            </c:strRef>
          </c:tx>
          <c:dPt>
            <c:idx val="0"/>
            <c:spPr>
              <a:solidFill>
                <a:srgbClr val="45818E"/>
              </a:solidFill>
            </c:spPr>
          </c:dPt>
          <c:dPt>
            <c:idx val="1"/>
            <c:explosion val="0"/>
            <c:spPr>
              <a:solidFill>
                <a:srgbClr val="A64D7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chanel'!$A$31:$A$32</c:f>
            </c:strRef>
          </c:cat>
          <c:val>
            <c:numRef>
              <c:f>'Sales by chanel'!$B$31:$B$32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75"/>
      </c:doughnutChart>
    </c:plotArea>
    <c:legend>
      <c:legendPos val="r"/>
      <c:overlay val="0"/>
      <c:txPr>
        <a:bodyPr/>
        <a:lstStyle/>
        <a:p>
          <a:pPr lvl="0">
            <a:defRPr b="1" sz="200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57575"/>
                </a:solidFill>
                <a:latin typeface="Arial"/>
              </a:defRPr>
            </a:pPr>
            <a:r>
              <a:rPr b="1" sz="1400">
                <a:solidFill>
                  <a:srgbClr val="757575"/>
                </a:solidFill>
                <a:latin typeface="Arial"/>
              </a:rPr>
              <a:t>Average aging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'Aging &amp; revenue'!$I$2</c:f>
            </c:strRef>
          </c:tx>
          <c:spPr>
            <a:solidFill>
              <a:srgbClr val="76A5AF"/>
            </a:solidFill>
            <a:ln cmpd="sng">
              <a:solidFill>
                <a:srgbClr val="000000"/>
              </a:solidFill>
            </a:ln>
          </c:spPr>
          <c:cat>
            <c:strRef>
              <c:f>'Aging &amp; revenue'!$H$3:$H$49</c:f>
            </c:strRef>
          </c:cat>
          <c:val>
            <c:numRef>
              <c:f>'Aging &amp; revenue'!$I$3:$I$49</c:f>
              <c:numCache/>
            </c:numRef>
          </c:val>
        </c:ser>
        <c:overlap val="100"/>
        <c:axId val="446187496"/>
        <c:axId val="1878889046"/>
      </c:barChart>
      <c:catAx>
        <c:axId val="44618749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Country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8889046"/>
      </c:catAx>
      <c:valAx>
        <c:axId val="18788890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Days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618749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57575"/>
                </a:solidFill>
                <a:latin typeface="Arial"/>
              </a:defRPr>
            </a:pPr>
            <a:r>
              <a:rPr b="1" sz="1400">
                <a:solidFill>
                  <a:srgbClr val="757575"/>
                </a:solidFill>
                <a:latin typeface="Arial"/>
              </a:rPr>
              <a:t>Relationship of revenue and aging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'Aging &amp; revenue'!$M$3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6A5AF"/>
              </a:solidFill>
              <a:ln cmpd="sng">
                <a:solidFill>
                  <a:srgbClr val="76A5AF"/>
                </a:solidFill>
              </a:ln>
            </c:spPr>
          </c:marker>
          <c:xVal>
            <c:numRef>
              <c:f>'Aging &amp; revenue'!$I$4:$I$49</c:f>
            </c:numRef>
          </c:xVal>
          <c:yVal>
            <c:numRef>
              <c:f>'Aging &amp; revenue'!$M$4:$M$49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710701"/>
        <c:axId val="994658308"/>
      </c:scatterChart>
      <c:valAx>
        <c:axId val="4497107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Average count of aging days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4658308"/>
      </c:valAx>
      <c:valAx>
        <c:axId val="9946583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Revenue</a:t>
                </a:r>
              </a:p>
            </c:rich>
          </c:tx>
          <c:overlay val="0"/>
        </c:title>
        <c:numFmt formatCode="#,##0.00;(#,##0.00)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97107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757575"/>
                </a:solidFill>
                <a:latin typeface="Arial"/>
              </a:defRPr>
            </a:pPr>
            <a:r>
              <a:rPr b="1" sz="1800">
                <a:solidFill>
                  <a:srgbClr val="757575"/>
                </a:solidFill>
                <a:latin typeface="Arial"/>
              </a:rPr>
              <a:t>Revenue and order  trend by day of the week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Week!$J$1</c:f>
            </c:strRef>
          </c:tx>
          <c:spPr>
            <a:solidFill>
              <a:srgbClr val="45818E"/>
            </a:solidFill>
            <a:ln cmpd="sng">
              <a:solidFill>
                <a:srgbClr val="000000"/>
              </a:solidFill>
            </a:ln>
          </c:spPr>
          <c:cat>
            <c:strRef>
              <c:f>Week!$I$2:$I$8</c:f>
            </c:strRef>
          </c:cat>
          <c:val>
            <c:numRef>
              <c:f>Week!$J$2:$J$8</c:f>
              <c:numCache/>
            </c:numRef>
          </c:val>
        </c:ser>
        <c:axId val="772224745"/>
        <c:axId val="590991130"/>
      </c:barChart>
      <c:lineChart>
        <c:varyColors val="0"/>
        <c:ser>
          <c:idx val="1"/>
          <c:order val="1"/>
          <c:tx>
            <c:strRef>
              <c:f>Week!$L$1</c:f>
            </c:strRef>
          </c:tx>
          <c:spPr>
            <a:ln cmpd="sng">
              <a:solidFill>
                <a:srgbClr val="741B47">
                  <a:alpha val="100000"/>
                </a:srgbClr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741B47">
                  <a:alpha val="100000"/>
                </a:srgbClr>
              </a:solidFill>
              <a:ln cmpd="sng">
                <a:solidFill>
                  <a:srgbClr val="741B47">
                    <a:alpha val="100000"/>
                  </a:srgbClr>
                </a:solidFill>
              </a:ln>
            </c:spPr>
          </c:marker>
          <c:cat>
            <c:strRef>
              <c:f>Week!$I$2:$I$8</c:f>
            </c:strRef>
          </c:cat>
          <c:val>
            <c:numRef>
              <c:f>Week!$L$2:$L$8</c:f>
              <c:numCache/>
            </c:numRef>
          </c:val>
          <c:smooth val="0"/>
        </c:ser>
        <c:axId val="772224745"/>
        <c:axId val="590991130"/>
      </c:lineChart>
      <c:catAx>
        <c:axId val="7722247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Day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590991130"/>
      </c:catAx>
      <c:valAx>
        <c:axId val="5909911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Relative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22247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757575"/>
                </a:solidFill>
                <a:latin typeface="Arial"/>
              </a:defRPr>
            </a:pPr>
            <a:r>
              <a:rPr b="1" sz="1800">
                <a:solidFill>
                  <a:srgbClr val="757575"/>
                </a:solidFill>
                <a:latin typeface="Arial"/>
              </a:rPr>
              <a:t>Average value of check and order count by days of week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Week!$J$1</c:f>
            </c:strRef>
          </c:tx>
          <c:spPr>
            <a:ln cmpd="sng">
              <a:solidFill>
                <a:srgbClr val="45818E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Week!$I$2:$I$8</c:f>
            </c:strRef>
          </c:cat>
          <c:val>
            <c:numRef>
              <c:f>Week!$J$2:$J$8</c:f>
              <c:numCache/>
            </c:numRef>
          </c:val>
          <c:smooth val="1"/>
        </c:ser>
        <c:ser>
          <c:idx val="1"/>
          <c:order val="1"/>
          <c:tx>
            <c:strRef>
              <c:f>Week!$M$1</c:f>
            </c:strRef>
          </c:tx>
          <c:spPr>
            <a:ln cmpd="sng">
              <a:solidFill>
                <a:srgbClr val="741B47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Week!$I$2:$I$8</c:f>
            </c:strRef>
          </c:cat>
          <c:val>
            <c:numRef>
              <c:f>Week!$M$2:$M$8</c:f>
              <c:numCache/>
            </c:numRef>
          </c:val>
          <c:smooth val="1"/>
        </c:ser>
        <c:axId val="2051450830"/>
        <c:axId val="152591932"/>
      </c:lineChart>
      <c:catAx>
        <c:axId val="20514508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Day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591932"/>
      </c:catAx>
      <c:valAx>
        <c:axId val="1525919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Relativ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14508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757575"/>
                </a:solidFill>
                <a:latin typeface="Arial"/>
              </a:defRPr>
            </a:pPr>
            <a:r>
              <a:rPr b="1" sz="1800">
                <a:solidFill>
                  <a:srgbClr val="757575"/>
                </a:solidFill>
                <a:latin typeface="Arial"/>
              </a:rPr>
              <a:t>Daily sales and average price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Week!$K$1</c:f>
            </c:strRef>
          </c:tx>
          <c:spPr>
            <a:solidFill>
              <a:srgbClr val="45818E"/>
            </a:solidFill>
            <a:ln cmpd="sng">
              <a:solidFill>
                <a:srgbClr val="45818E">
                  <a:alpha val="100000"/>
                </a:srgbClr>
              </a:solidFill>
            </a:ln>
          </c:spPr>
          <c:cat>
            <c:strRef>
              <c:f>Week!$I$2:$I$8</c:f>
            </c:strRef>
          </c:cat>
          <c:val>
            <c:numRef>
              <c:f>Week!$K$2:$K$8</c:f>
              <c:numCache/>
            </c:numRef>
          </c:val>
        </c:ser>
        <c:axId val="1116787146"/>
        <c:axId val="1935118346"/>
      </c:barChart>
      <c:lineChart>
        <c:varyColors val="0"/>
        <c:ser>
          <c:idx val="1"/>
          <c:order val="1"/>
          <c:tx>
            <c:strRef>
              <c:f>Week!$N$1</c:f>
            </c:strRef>
          </c:tx>
          <c:spPr>
            <a:ln cmpd="sng">
              <a:solidFill>
                <a:srgbClr val="741B47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Week!$I$2:$I$8</c:f>
            </c:strRef>
          </c:cat>
          <c:val>
            <c:numRef>
              <c:f>Week!$N$2:$N$8</c:f>
              <c:numCache/>
            </c:numRef>
          </c:val>
          <c:smooth val="0"/>
        </c:ser>
        <c:axId val="1116787146"/>
        <c:axId val="1935118346"/>
      </c:lineChart>
      <c:catAx>
        <c:axId val="11167871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Day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5118346"/>
      </c:catAx>
      <c:valAx>
        <c:axId val="19351183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>
                    <a:solidFill>
                      <a:srgbClr val="000000"/>
                    </a:solidFill>
                    <a:latin typeface="Arial"/>
                  </a:rPr>
                  <a:t>Relativ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67871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1"/>
          <c:order val="1"/>
          <c:tx>
            <c:strRef>
              <c:f>'ABC '!$I$3</c:f>
            </c:strRef>
          </c:tx>
          <c:spPr>
            <a:solidFill>
              <a:srgbClr val="57BB8A"/>
            </a:solidFill>
            <a:ln cmpd="sng">
              <a:solidFill>
                <a:srgbClr val="000000"/>
              </a:solidFill>
            </a:ln>
          </c:spPr>
          <c:cat>
            <c:strRef>
              <c:f>'ABC '!$F$4:$F$15</c:f>
            </c:strRef>
          </c:cat>
          <c:val>
            <c:numRef>
              <c:f>'ABC '!$I$4:$I$15</c:f>
              <c:numCache/>
            </c:numRef>
          </c:val>
        </c:ser>
        <c:ser>
          <c:idx val="2"/>
          <c:order val="2"/>
          <c:tx>
            <c:strRef>
              <c:f>'ABC '!$J$3</c:f>
            </c:strRef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cat>
            <c:strRef>
              <c:f>'ABC '!$F$4:$F$15</c:f>
            </c:strRef>
          </c:cat>
          <c:val>
            <c:numRef>
              <c:f>'ABC '!$J$4:$J$15</c:f>
              <c:numCache/>
            </c:numRef>
          </c:val>
        </c:ser>
        <c:ser>
          <c:idx val="3"/>
          <c:order val="3"/>
          <c:tx>
            <c:strRef>
              <c:f>'ABC '!$K$3</c:f>
            </c:strRef>
          </c:tx>
          <c:spPr>
            <a:solidFill>
              <a:srgbClr val="741B47"/>
            </a:solidFill>
            <a:ln cmpd="sng">
              <a:solidFill>
                <a:srgbClr val="000000"/>
              </a:solidFill>
            </a:ln>
          </c:spPr>
          <c:cat>
            <c:strRef>
              <c:f>'ABC '!$F$4:$F$15</c:f>
            </c:strRef>
          </c:cat>
          <c:val>
            <c:numRef>
              <c:f>'ABC '!$K$4:$K$15</c:f>
              <c:numCache/>
            </c:numRef>
          </c:val>
        </c:ser>
        <c:overlap val="100"/>
        <c:axId val="1643642278"/>
        <c:axId val="1349828983"/>
      </c:barChart>
      <c:catAx>
        <c:axId val="16436422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349828983"/>
      </c:catAx>
      <c:valAx>
        <c:axId val="13498289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3642278"/>
      </c:valAx>
      <c:lineChart>
        <c:varyColors val="0"/>
        <c:ser>
          <c:idx val="0"/>
          <c:order val="0"/>
          <c:tx>
            <c:strRef>
              <c:f>'ABC '!$H$3</c:f>
            </c:strRef>
          </c:tx>
          <c:spPr>
            <a:ln cmpd="sng">
              <a:solidFill>
                <a:srgbClr val="1C4587"/>
              </a:solidFill>
            </a:ln>
          </c:spPr>
          <c:marker>
            <c:symbol val="none"/>
          </c:marker>
          <c:cat>
            <c:strRef>
              <c:f>'ABC '!$F$4:$F$15</c:f>
            </c:strRef>
          </c:cat>
          <c:val>
            <c:numRef>
              <c:f>'ABC '!$H$4:$H$15</c:f>
              <c:numCache/>
            </c:numRef>
          </c:val>
          <c:smooth val="0"/>
        </c:ser>
        <c:axId val="1159054947"/>
        <c:axId val="1713335941"/>
      </c:lineChart>
      <c:catAx>
        <c:axId val="11590549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713335941"/>
      </c:catAx>
      <c:valAx>
        <c:axId val="171333594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905494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1"/>
          <c:order val="1"/>
          <c:tx>
            <c:strRef>
              <c:f>'ABC '!$R$2:$R$3</c:f>
            </c:strRef>
          </c:tx>
          <c:spPr>
            <a:solidFill>
              <a:srgbClr val="57BB8A"/>
            </a:solidFill>
            <a:ln cmpd="sng">
              <a:solidFill>
                <a:srgbClr val="000000"/>
              </a:solidFill>
            </a:ln>
          </c:spPr>
          <c:cat>
            <c:strRef>
              <c:f>'ABC '!$O$4:$O$49</c:f>
            </c:strRef>
          </c:cat>
          <c:val>
            <c:numRef>
              <c:f>'ABC '!$R$4:$R$49</c:f>
              <c:numCache/>
            </c:numRef>
          </c:val>
        </c:ser>
        <c:ser>
          <c:idx val="2"/>
          <c:order val="2"/>
          <c:tx>
            <c:strRef>
              <c:f>'ABC '!$S$2:$S$3</c:f>
            </c:strRef>
          </c:tx>
          <c:spPr>
            <a:solidFill>
              <a:srgbClr val="F6B26B"/>
            </a:solidFill>
            <a:ln cmpd="sng">
              <a:solidFill>
                <a:srgbClr val="F6B26B">
                  <a:alpha val="100000"/>
                </a:srgbClr>
              </a:solidFill>
            </a:ln>
          </c:spPr>
          <c:cat>
            <c:strRef>
              <c:f>'ABC '!$O$4:$O$49</c:f>
            </c:strRef>
          </c:cat>
          <c:val>
            <c:numRef>
              <c:f>'ABC '!$S$4:$S$49</c:f>
              <c:numCache/>
            </c:numRef>
          </c:val>
        </c:ser>
        <c:ser>
          <c:idx val="3"/>
          <c:order val="3"/>
          <c:tx>
            <c:strRef>
              <c:f>'ABC '!$T$2:$T$3</c:f>
            </c:strRef>
          </c:tx>
          <c:spPr>
            <a:solidFill>
              <a:srgbClr val="A64D79"/>
            </a:solidFill>
            <a:ln cmpd="sng">
              <a:solidFill>
                <a:srgbClr val="000000"/>
              </a:solidFill>
            </a:ln>
          </c:spPr>
          <c:cat>
            <c:strRef>
              <c:f>'ABC '!$O$4:$O$49</c:f>
            </c:strRef>
          </c:cat>
          <c:val>
            <c:numRef>
              <c:f>'ABC '!$T$4:$T$49</c:f>
              <c:numCache/>
            </c:numRef>
          </c:val>
        </c:ser>
        <c:overlap val="100"/>
        <c:axId val="852288074"/>
        <c:axId val="551639215"/>
      </c:barChart>
      <c:catAx>
        <c:axId val="8522880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551639215"/>
      </c:catAx>
      <c:valAx>
        <c:axId val="5516392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2288074"/>
      </c:valAx>
      <c:lineChart>
        <c:varyColors val="0"/>
        <c:ser>
          <c:idx val="0"/>
          <c:order val="0"/>
          <c:tx>
            <c:strRef>
              <c:f>'ABC '!$Q$2:$Q$3</c:f>
            </c:strRef>
          </c:tx>
          <c:spPr>
            <a:ln cmpd="sng">
              <a:solidFill>
                <a:srgbClr val="134F5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'ABC '!$O$4:$O$49</c:f>
            </c:strRef>
          </c:cat>
          <c:val>
            <c:numRef>
              <c:f>'ABC '!$Q$4:$Q$49</c:f>
              <c:numCache/>
            </c:numRef>
          </c:val>
          <c:smooth val="0"/>
        </c:ser>
        <c:axId val="1859456409"/>
        <c:axId val="1454002525"/>
      </c:lineChart>
      <c:catAx>
        <c:axId val="185945640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454002525"/>
      </c:catAx>
      <c:valAx>
        <c:axId val="145400252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945640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Revenue trends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'Years and mont'!$N$2</c:f>
            </c:strRef>
          </c:tx>
          <c:spPr>
            <a:ln cmpd="sng">
              <a:solidFill>
                <a:srgbClr val="76A5AF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76A5AF">
                  <a:alpha val="100000"/>
                </a:srgbClr>
              </a:solidFill>
              <a:ln cmpd="sng">
                <a:solidFill>
                  <a:srgbClr val="76A5AF">
                    <a:alpha val="100000"/>
                  </a:srgbClr>
                </a:solidFill>
              </a:ln>
            </c:spPr>
          </c:marker>
          <c:cat>
            <c:strRef>
              <c:f>'Years and mont'!$K$3:$K$94</c:f>
            </c:strRef>
          </c:cat>
          <c:val>
            <c:numRef>
              <c:f>'Years and mont'!$N$3:$N$94</c:f>
              <c:numCache/>
            </c:numRef>
          </c:val>
          <c:smooth val="0"/>
        </c:ser>
        <c:axId val="1700732285"/>
        <c:axId val="1941915398"/>
      </c:lineChart>
      <c:catAx>
        <c:axId val="17007322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Arial"/>
                  </a:defRPr>
                </a:pPr>
                <a:r>
                  <a:rPr b="1">
                    <a:solidFill>
                      <a:srgbClr val="000000"/>
                    </a:solidFill>
                    <a:latin typeface="Arial"/>
                  </a:rPr>
                  <a:t>Timeline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1" sz="1000">
                <a:solidFill>
                  <a:srgbClr val="000000"/>
                </a:solidFill>
                <a:latin typeface="Arial"/>
              </a:defRPr>
            </a:pPr>
          </a:p>
        </c:txPr>
        <c:crossAx val="1941915398"/>
      </c:catAx>
      <c:valAx>
        <c:axId val="19419153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Revenue</a:t>
                </a:r>
              </a:p>
            </c:rich>
          </c:tx>
          <c:overlay val="0"/>
        </c:title>
        <c:numFmt formatCode="#,##0.00;(#,##0.00)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07322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Relaionship of revenue and profit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5818E"/>
              </a:solidFill>
              <a:ln cmpd="sng">
                <a:solidFill>
                  <a:srgbClr val="45818E"/>
                </a:solidFill>
              </a:ln>
            </c:spPr>
          </c:marker>
          <c:xVal>
            <c:numRef>
              <c:f>'Years and mont'!$P$4:$P$94</c:f>
            </c:numRef>
          </c:xVal>
          <c:yVal>
            <c:numRef>
              <c:f>'Years and mont'!$N$4:$N$94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814977"/>
        <c:axId val="1954887473"/>
      </c:scatterChart>
      <c:valAx>
        <c:axId val="19738149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Profit</a:t>
                </a:r>
              </a:p>
            </c:rich>
          </c:tx>
          <c:overlay val="0"/>
        </c:title>
        <c:numFmt formatCode="#,##0.00;(#,##0.00)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4887473"/>
      </c:valAx>
      <c:valAx>
        <c:axId val="19548874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Revenue</a:t>
                </a:r>
              </a:p>
            </c:rich>
          </c:tx>
          <c:overlay val="0"/>
        </c:title>
        <c:numFmt formatCode="#,##0.00;(#,##0.00)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38149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Revenue and profit  trend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'Revenue&amp;Profit by year'!$C$1</c:f>
            </c:strRef>
          </c:tx>
          <c:spPr>
            <a:ln cmpd="sng">
              <a:solidFill>
                <a:srgbClr val="134F5C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134F5C">
                  <a:alpha val="100000"/>
                </a:srgbClr>
              </a:solidFill>
              <a:ln cmpd="sng">
                <a:solidFill>
                  <a:srgbClr val="134F5C">
                    <a:alpha val="100000"/>
                  </a:srgbClr>
                </a:solidFill>
              </a:ln>
            </c:spPr>
          </c:marker>
          <c:cat>
            <c:strRef>
              <c:f>'Revenue&amp;Profit by year'!$A$2:$A$9</c:f>
            </c:strRef>
          </c:cat>
          <c:val>
            <c:numRef>
              <c:f>'Revenue&amp;Profit by year'!$C$2:$C$9</c:f>
              <c:numCache/>
            </c:numRef>
          </c:val>
          <c:smooth val="0"/>
        </c:ser>
        <c:ser>
          <c:idx val="1"/>
          <c:order val="1"/>
          <c:tx>
            <c:strRef>
              <c:f>'Revenue&amp;Profit by year'!$E$1</c:f>
            </c:strRef>
          </c:tx>
          <c:spPr>
            <a:ln cmpd="sng">
              <a:solidFill>
                <a:srgbClr val="741B4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741B47">
                  <a:alpha val="100000"/>
                </a:srgbClr>
              </a:solidFill>
              <a:ln cmpd="sng">
                <a:solidFill>
                  <a:srgbClr val="741B47">
                    <a:alpha val="100000"/>
                  </a:srgbClr>
                </a:solidFill>
              </a:ln>
            </c:spPr>
          </c:marker>
          <c:cat>
            <c:strRef>
              <c:f>'Revenue&amp;Profit by year'!$A$2:$A$9</c:f>
            </c:strRef>
          </c:cat>
          <c:val>
            <c:numRef>
              <c:f>'Revenue&amp;Profit by year'!$E$2:$E$9</c:f>
              <c:numCache/>
            </c:numRef>
          </c:val>
          <c:smooth val="0"/>
        </c:ser>
        <c:axId val="1175553580"/>
        <c:axId val="1858277473"/>
      </c:lineChart>
      <c:catAx>
        <c:axId val="11755535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Timeline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8277473"/>
      </c:catAx>
      <c:valAx>
        <c:axId val="18582774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Revenue and 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55535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Relatioship of cost and profit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'Revenue&amp;Profit by year'!$E$1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5818E"/>
              </a:solidFill>
              <a:ln cmpd="sng">
                <a:solidFill>
                  <a:srgbClr val="45818E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'Revenue&amp;Profit by year'!$D$2:$D$9</c:f>
            </c:numRef>
          </c:xVal>
          <c:yVal>
            <c:numRef>
              <c:f>'Revenue&amp;Profit by year'!$E$2:$E$9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269996"/>
        <c:axId val="1739920678"/>
      </c:scatterChart>
      <c:valAx>
        <c:axId val="7852699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Cost by year</a:t>
                </a:r>
              </a:p>
            </c:rich>
          </c:tx>
          <c:overlay val="0"/>
        </c:title>
        <c:numFmt formatCode="&quot;$&quot;#,##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9920678"/>
      </c:valAx>
      <c:valAx>
        <c:axId val="1739920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Profit by year</a:t>
                </a:r>
              </a:p>
            </c:rich>
          </c:tx>
          <c:overlay val="0"/>
        </c:title>
        <c:numFmt formatCode="&quot;$&quot;#,##0.00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52699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342900</xdr:colOff>
      <xdr:row>5</xdr:row>
      <xdr:rowOff>95250</xdr:rowOff>
    </xdr:from>
    <xdr:ext cx="5476875" cy="3238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419100</xdr:colOff>
      <xdr:row>39</xdr:row>
      <xdr:rowOff>180975</xdr:rowOff>
    </xdr:from>
    <xdr:ext cx="5705475" cy="34099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333375</xdr:colOff>
      <xdr:row>21</xdr:row>
      <xdr:rowOff>190500</xdr:rowOff>
    </xdr:from>
    <xdr:ext cx="9639300" cy="36099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209550</xdr:colOff>
      <xdr:row>23</xdr:row>
      <xdr:rowOff>190500</xdr:rowOff>
    </xdr:from>
    <xdr:ext cx="5800725" cy="31718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209550</xdr:colOff>
      <xdr:row>40</xdr:row>
      <xdr:rowOff>0</xdr:rowOff>
    </xdr:from>
    <xdr:ext cx="5800725" cy="34099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333375</xdr:colOff>
      <xdr:row>39</xdr:row>
      <xdr:rowOff>180975</xdr:rowOff>
    </xdr:from>
    <xdr:ext cx="3848100" cy="34099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209550</xdr:colOff>
      <xdr:row>6</xdr:row>
      <xdr:rowOff>161925</xdr:rowOff>
    </xdr:from>
    <xdr:ext cx="5800725" cy="32385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209550</xdr:colOff>
      <xdr:row>0</xdr:row>
      <xdr:rowOff>0</xdr:rowOff>
    </xdr:from>
    <xdr:ext cx="5800725" cy="1352550"/>
    <xdr:grpSp>
      <xdr:nvGrpSpPr>
        <xdr:cNvPr id="2" name="Shape 2" title="Drawing"/>
        <xdr:cNvGrpSpPr/>
      </xdr:nvGrpSpPr>
      <xdr:grpSpPr>
        <a:xfrm>
          <a:off x="801875" y="1020100"/>
          <a:ext cx="5989200" cy="1335000"/>
          <a:chOff x="801875" y="1020100"/>
          <a:chExt cx="5989200" cy="1335000"/>
        </a:xfrm>
      </xdr:grpSpPr>
      <xdr:sp>
        <xdr:nvSpPr>
          <xdr:cNvPr id="3" name="Shape 3"/>
          <xdr:cNvSpPr/>
        </xdr:nvSpPr>
        <xdr:spPr>
          <a:xfrm>
            <a:off x="801875" y="1020100"/>
            <a:ext cx="5989200" cy="1335000"/>
          </a:xfrm>
          <a:prstGeom prst="rect">
            <a:avLst/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" name="Shape 4"/>
          <xdr:cNvSpPr txBox="1"/>
        </xdr:nvSpPr>
        <xdr:spPr>
          <a:xfrm flipH="1">
            <a:off x="1162325" y="1233400"/>
            <a:ext cx="5268300" cy="9084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rmAutofit fontScale="92500"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3500">
                <a:solidFill>
                  <a:srgbClr val="6BE7F6"/>
                </a:solidFill>
              </a:rPr>
              <a:t>Sales Insights Dashboard</a:t>
            </a:r>
            <a:endParaRPr b="1" sz="3500">
              <a:solidFill>
                <a:srgbClr val="6BE7F6"/>
              </a:solidFill>
            </a:endParaRPr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9525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30</xdr:row>
      <xdr:rowOff>142875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48</xdr:row>
      <xdr:rowOff>123825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0</xdr:colOff>
      <xdr:row>80</xdr:row>
      <xdr:rowOff>190500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381000</xdr:colOff>
      <xdr:row>2</xdr:row>
      <xdr:rowOff>0</xdr:rowOff>
    </xdr:from>
    <xdr:ext cx="5715000" cy="1041082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38100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32</xdr:row>
      <xdr:rowOff>133350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1</xdr:row>
      <xdr:rowOff>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0</xdr:colOff>
      <xdr:row>18</xdr:row>
      <xdr:rowOff>114300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8</xdr:row>
      <xdr:rowOff>57150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25</xdr:row>
      <xdr:rowOff>190500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43</xdr:row>
      <xdr:rowOff>123825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</xdr:row>
      <xdr:rowOff>180975</xdr:rowOff>
    </xdr:from>
    <xdr:ext cx="5762625" cy="36099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0</xdr:colOff>
      <xdr:row>1</xdr:row>
      <xdr:rowOff>180975</xdr:rowOff>
    </xdr:from>
    <xdr:ext cx="6915150" cy="42767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9525</xdr:colOff>
      <xdr:row>0</xdr:row>
      <xdr:rowOff>9525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16</xdr:col>
      <xdr:colOff>9525</xdr:colOff>
      <xdr:row>17</xdr:row>
      <xdr:rowOff>142875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104775</xdr:colOff>
      <xdr:row>1</xdr:row>
      <xdr:rowOff>0</xdr:rowOff>
    </xdr:from>
    <xdr:ext cx="571500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104775</xdr:colOff>
      <xdr:row>18</xdr:row>
      <xdr:rowOff>133350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A1331" sheet="Copy of events чорновий"/>
  </cacheSource>
  <cacheFields>
    <cacheField name="order id" numFmtId="0">
      <sharedItems containsSemiMixedTypes="0" containsString="0" containsNumber="1" containsInteger="1">
        <n v="1.00640618E8"/>
        <n v="1.00983083E8"/>
        <n v="1.01025998E8"/>
        <n v="1.02230632E8"/>
        <n v="1.03435266E8"/>
        <n v="1.03450715E8"/>
        <n v="1.03499639E8"/>
        <n v="1.0376228E8"/>
        <n v="1.03832662E8"/>
        <n v="1.04008615E8"/>
        <n v="1.04165685E8"/>
        <n v="1.04190576E8"/>
        <n v="1.04245078E8"/>
        <n v="1.0454849E8"/>
        <n v="1.0503E8"/>
        <n v="1.07651269E8"/>
        <n v="1.08407437E8"/>
        <n v="1.09914195E8"/>
        <n v="1.11063039E8"/>
        <n v="1.11246287E8"/>
        <n v="1.11496055E8"/>
        <n v="1.11893022E8"/>
        <n v="1.12330758E8"/>
        <n v="1.13524663E8"/>
        <n v="1.14954173E8"/>
        <n v="1.15363156E8"/>
        <n v="1.17929494E8"/>
        <n v="1.18086564E8"/>
        <n v="1.18659913E8"/>
        <n v="1.18859469E8"/>
        <n v="1.19935786E8"/>
        <n v="1.20419871E8"/>
        <n v="1.20977771E8"/>
        <n v="1.21380746E8"/>
        <n v="1.21945512E8"/>
        <n v="1.2214421E8"/>
        <n v="1.22372519E8"/>
        <n v="1.22967326E8"/>
        <n v="1.23086202E8"/>
        <n v="1.23544108E8"/>
        <n v="1.2393893E8"/>
        <n v="1.25339686E8"/>
        <n v="1.25349128E8"/>
        <n v="1.26948583E8"/>
        <n v="1.27694451E8"/>
        <n v="1.27838218E8"/>
        <n v="1.28003442E8"/>
        <n v="1.28686225E8"/>
        <n v="1.28766906E8"/>
        <n v="1.29127395E8"/>
        <n v="1.29169023E8"/>
        <n v="1.29875409E8"/>
        <n v="1.29902875E8"/>
        <n v="1.30356919E8"/>
        <n v="1.30754315E8"/>
        <n v="1.31585586E8"/>
        <n v="1.32069671E8"/>
        <n v="1.32603538E8"/>
        <n v="1.3327645E8"/>
        <n v="1.34121024E8"/>
        <n v="1.34790503E8"/>
        <n v="1.36624276E8"/>
        <n v="1.38025033E8"/>
        <n v="1.38182103E8"/>
        <n v="1.38820683E8"/>
        <n v="1.39201343E8"/>
        <n v="1.39949357E8"/>
        <n v="1.40461766E8"/>
        <n v="1.40499961E8"/>
        <n v="1.41764247E8"/>
        <n v="1.41846215E8"/>
        <n v="1.41875827E8"/>
        <n v="1.42375361E8"/>
        <n v="1.42987763E8"/>
        <n v="1.43414771E8"/>
        <n v="1.44282948E8"/>
        <n v="1.44743001E8"/>
        <n v="1.44978606E8"/>
        <n v="1.46349751E8"/>
        <n v="1.46545875E8"/>
        <n v="1.47826898E8"/>
        <n v="1.48894631E8"/>
        <n v="1.49274003E8"/>
        <n v="1.50293242E8"/>
        <n v="1.51312482E8"/>
        <n v="1.52191388E8"/>
        <n v="1.52411115E8"/>
        <n v="1.52505099E8"/>
        <n v="1.52746713E8"/>
        <n v="1.5397495E8"/>
        <n v="1.55086886E8"/>
        <n v="1.55914723E8"/>
        <n v="1.56158483E8"/>
        <n v="1.58479773E8"/>
        <n v="1.58673751E8"/>
        <n v="1.59232509E8"/>
        <n v="1.59805858E8"/>
        <n v="1.60578763E8"/>
        <n v="1.60751283E8"/>
        <n v="1.61399304E8"/>
        <n v="1.61607444E8"/>
        <n v="1.6181215E8"/>
        <n v="1.62791907E8"/>
        <n v="1.63587558E8"/>
        <n v="1.63744628E8"/>
        <n v="1.64259612E8"/>
        <n v="1.668105E8"/>
        <n v="1.68319404E8"/>
        <n v="1.68487203E8"/>
        <n v="1.68960559E8"/>
        <n v="1.68979442E8"/>
        <n v="1.69378983E8"/>
        <n v="1.69799983E8"/>
        <n v="1.73122918E8"/>
        <n v="1.74218118E8"/>
        <n v="1.74614226E8"/>
        <n v="1.74935233E8"/>
        <n v="1.75723588E8"/>
        <n v="1.76050603E8"/>
        <n v="1.76722657E8"/>
        <n v="1.7714709E8"/>
        <n v="1.78604066E8"/>
        <n v="1.79819428E8"/>
        <n v="1.80358016E8"/>
        <n v="1.80479466E8"/>
        <n v="1.81260526E8"/>
        <n v="1.82078921E8"/>
        <n v="1.82228696E8"/>
        <n v="1.83778369E8"/>
        <n v="1.83910119E8"/>
        <n v="1.84120833E8"/>
        <n v="1.84412229E8"/>
        <n v="1.84708344E8"/>
        <n v="1.84976994E8"/>
        <n v="1.8594731E8"/>
        <n v="1.85960614E8"/>
        <n v="1.8607949E8"/>
        <n v="1.86597907E8"/>
        <n v="1.86847674E8"/>
        <n v="1.8710345E8"/>
        <n v="1.88866841E8"/>
        <n v="1.89108455E8"/>
        <n v="1.89667212E8"/>
        <n v="1.89924275E8"/>
        <n v="1.9000281E8"/>
        <n v="1.92236125E8"/>
        <n v="1.92589318E8"/>
        <n v="1.92922341E8"/>
        <n v="1.93472945E8"/>
        <n v="1.94176757E8"/>
        <n v="1.94785726E8"/>
        <n v="1.94858253E8"/>
        <n v="1.94922626E8"/>
        <n v="1.95171105E8"/>
        <n v="1.95212733E8"/>
        <n v="1.95259082E8"/>
        <n v="1.96346127E8"/>
        <n v="1.98537814E8"/>
        <n v="2.0035485E8"/>
        <n v="2.00432097E8"/>
        <n v="2.00507199E8"/>
        <n v="2.01294267E8"/>
        <n v="2.02047002E8"/>
        <n v="2.0303663E8"/>
        <n v="2.03955876E8"/>
        <n v="2.04392325E8"/>
        <n v="2.04418504E8"/>
        <n v="2.05354487E8"/>
        <n v="2.08238399E8"/>
        <n v="2.08365428E8"/>
        <n v="2.09357202E8"/>
        <n v="2.09445178E8"/>
        <n v="2.09598815E8"/>
        <n v="2.09736573E8"/>
        <n v="2.11344611E8"/>
        <n v="2.12106788E8"/>
        <n v="2.12319648E8"/>
        <n v="2.12903726E8"/>
        <n v="2.14033257E8"/>
        <n v="2.14292466E8"/>
        <n v="2.15540015E8"/>
        <n v="2.15584218E8"/>
        <n v="2.16278588E8"/>
        <n v="2.17165648E8"/>
        <n v="2.17248904E8"/>
        <n v="2.1785916E8"/>
        <n v="2.17920958E8"/>
        <n v="2.1945132E8"/>
        <n v="2.20607459E8"/>
        <n v="2.21628844E8"/>
        <n v="2.22720611E8"/>
        <n v="2.23199975E8"/>
        <n v="2.23869454E8"/>
        <n v="2.2464708E8"/>
        <n v="2.282112E8"/>
        <n v="2.29105556E8"/>
        <n v="2.29355323E8"/>
        <n v="2.29693067E8"/>
        <n v="2.31341445E8"/>
        <n v="2.31369769E8"/>
        <n v="2.31450879E8"/>
        <n v="2.3186115E8"/>
        <n v="2.32196319E8"/>
        <n v="2.33440434E8"/>
        <n v="2.33709084E8"/>
        <n v="2.33811223E8"/>
        <n v="2.34082448E8"/>
        <n v="2.36042392E8"/>
        <n v="2.38170993E8"/>
        <n v="2.39048612E8"/>
        <n v="2.39386355E8"/>
        <n v="2.39554154E8"/>
        <n v="2.41392648E8"/>
        <n v="2.42168128E8"/>
        <n v="2.42265546E8"/>
        <n v="2.43070638E8"/>
        <n v="2.43144452E8"/>
        <n v="2.4322642E8"/>
        <n v="2.43340575E8"/>
        <n v="2.43391644E8"/>
        <n v="2.43521249E8"/>
        <n v="2.43684327E8"/>
        <n v="2.44023358E8"/>
        <n v="2.45440852E8"/>
        <n v="2.45556294E8"/>
        <n v="2.46603858E8"/>
        <n v="2.46922719E8"/>
        <n v="2.49039304E8"/>
        <n v="2.49606645E8"/>
        <n v="2.49765861E8"/>
        <n v="2.50848186E8"/>
        <n v="2.51208674E8"/>
        <n v="2.51823222E8"/>
        <n v="2.51907765E8"/>
        <n v="2.52541625E8"/>
        <n v="2.53055322E8"/>
        <n v="2.53211104E8"/>
        <n v="2.55047452E8"/>
        <n v="2.56095016E8"/>
        <n v="2.59006392E8"/>
        <n v="2.59032571E8"/>
        <n v="2.60630738E8"/>
        <n v="2.6118735E8"/>
        <n v="2.61640536E8"/>
        <n v="2.62177836E8"/>
        <n v="2.63098371E8"/>
        <n v="2.6342796E8"/>
        <n v="2.63647687E8"/>
        <n v="2.63852393E8"/>
        <n v="2.63882005E8"/>
        <n v="2.63977277E8"/>
        <n v="2.64163959E8"/>
        <n v="2.64526593E8"/>
        <n v="2.64856183E8"/>
        <n v="2.6492871E8"/>
        <n v="2.64959609E8"/>
        <n v="2.65191352E8"/>
        <n v="2.65914475E8"/>
        <n v="2.66614854E8"/>
        <n v="2.66638886E8"/>
        <n v="2.68373954E8"/>
        <n v="2.70358788E8"/>
        <n v="2.72361218E8"/>
        <n v="2.72425591E8"/>
        <n v="2.73662412E8"/>
        <n v="2.73940503E8"/>
        <n v="2.74694526E8"/>
        <n v="2.74989354E8"/>
        <n v="2.76784074E8"/>
        <n v="2.76850593E8"/>
        <n v="2.78513133E8"/>
        <n v="2.79338395E8"/>
        <n v="2.79703605E8"/>
        <n v="2.79816472E8"/>
        <n v="2.8019241E8"/>
        <n v="2.80477797E8"/>
        <n v="2.81100928E8"/>
        <n v="2.82917964E8"/>
        <n v="2.84108436E8"/>
        <n v="2.84310567E8"/>
        <n v="2.84403264E8"/>
        <n v="2.84435451E8"/>
        <n v="2.84595954E8"/>
        <n v="2.85343968E8"/>
        <n v="2.87151563E8"/>
        <n v="2.87917602E8"/>
        <n v="2.88073384E8"/>
        <n v="2.88656175E8"/>
        <n v="2.90317428E8"/>
        <n v="2.91160714E8"/>
        <n v="2.91179597E8"/>
        <n v="2.91305768E8"/>
        <n v="2.91531503E8"/>
        <n v="2.91611325E8"/>
        <n v="2.91995418E8"/>
        <n v="2.92424571E8"/>
        <n v="2.93178594E8"/>
        <n v="2.95168149E8"/>
        <n v="2.95787847E8"/>
        <n v="2.96073234E8"/>
        <n v="2.98228013E8"/>
        <n v="2.98978602E8"/>
        <n v="2.99335229E8"/>
        <n v="2.99739491E8"/>
        <n v="3.02015721E8"/>
        <n v="3.02442729E8"/>
        <n v="3.02744853E8"/>
        <n v="3.03534495E8"/>
        <n v="3.05569112E8"/>
        <n v="3.05616748E8"/>
        <n v="3.06256616E8"/>
        <n v="3.06839406E8"/>
        <n v="3.07305467E8"/>
        <n v="3.07721745E8"/>
        <n v="3.08582627E8"/>
        <n v="3.09148681E8"/>
        <n v="3.09188163E8"/>
        <n v="3.09285581E8"/>
        <n v="3.09342658E8"/>
        <n v="3.09655511E8"/>
        <n v="3.1058892E8"/>
        <n v="3.11221492E8"/>
        <n v="3.1168884E8"/>
        <n v="3.11921012E8"/>
        <n v="3.11956632E8"/>
        <n v="3.13178002E8"/>
        <n v="3.13705861E8"/>
        <n v="3.13821303E8"/>
        <n v="3.14782178E8"/>
        <n v="3.15066277E8"/>
        <n v="3.16466176E8"/>
        <n v="3.17006051E8"/>
        <n v="3.18523538E8"/>
        <n v="3.20431125E8"/>
        <n v="3.21628463E8"/>
        <n v="3.22524106E8"/>
        <n v="3.23293578E8"/>
        <n v="3.25314033E8"/>
        <n v="3.27072703E8"/>
        <n v="3.27604424E8"/>
        <n v="3.28322827E8"/>
        <n v="3.28721082E8"/>
        <n v="3.29529607E8"/>
        <n v="3.30590474E8"/>
        <n v="3.32268464E8"/>
        <n v="3.32353007E8"/>
        <n v="3.3330444E8"/>
        <n v="3.34539973E8"/>
        <n v="3.36111962E8"/>
        <n v="3.36813628E8"/>
        <n v="3.37354791E8"/>
        <n v="3.39786803E8"/>
        <n v="3.39999663E8"/>
        <n v="3.40213811E8"/>
        <n v="3.41398274E8"/>
        <n v="3.43185698E8"/>
        <n v="3.43730294E8"/>
        <n v="3.4388951E8"/>
        <n v="3.44160735E8"/>
        <n v="3.46498763E8"/>
        <n v="3.47609412E8"/>
        <n v="3.48080623E8"/>
        <n v="3.4906038E8"/>
        <n v="3.49212729E8"/>
        <n v="3.50550401E8"/>
        <n v="3.50977408E8"/>
        <n v="3.51247346E8"/>
        <n v="3.52342545E8"/>
        <n v="3.5319184E8"/>
        <n v="3.53320157E8"/>
        <n v="3.53383243E8"/>
        <n v="3.53415429E8"/>
        <n v="3.5347594E8"/>
        <n v="3.53492677E8"/>
        <n v="3.54270303E8"/>
        <n v="3.54655683E8"/>
        <n v="3.54667699E8"/>
        <n v="3.54931628E8"/>
        <n v="3.55534589E8"/>
        <n v="3.56413495E8"/>
        <n v="3.5743488E8"/>
        <n v="3.57482516E8"/>
        <n v="3.57930982E8"/>
        <n v="3.57943856E8"/>
        <n v="3.58594453E8"/>
        <n v="3.58624064E8"/>
        <n v="3.59197413E8"/>
        <n v="3.59893071E8"/>
        <n v="3.61311852E8"/>
        <n v="3.61659038E8"/>
        <n v="3.61725556E8"/>
        <n v="3.62258565E8"/>
        <n v="3.64715468E8"/>
        <n v="3.64854514E8"/>
        <n v="3.67328155E8"/>
        <n v="3.68865811E8"/>
        <n v="3.69170081E8"/>
        <n v="3.70484149E8"/>
        <n v="3.71814954E8"/>
        <n v="3.74663245E8"/>
        <n v="3.74848639E8"/>
        <n v="3.78216636E8"/>
        <n v="3.78714883E8"/>
        <n v="3.7887324E8"/>
        <n v="3.79900634E8"/>
        <n v="3.80379998E8"/>
        <n v="3.80498874E8"/>
        <n v="3.80610454E8"/>
        <n v="3.80684268E8"/>
        <n v="3.80733191E8"/>
        <n v="3.81759297E8"/>
        <n v="3.81774747E8"/>
        <n v="3.82581126E8"/>
        <n v="3.83611094E8"/>
        <n v="3.84128224E8"/>
        <n v="3.84483993E8"/>
        <n v="3.84601581E8"/>
        <n v="3.84976232E8"/>
        <n v="3.85080945E8"/>
        <n v="3.85340154E8"/>
        <n v="3.86009633E8"/>
        <n v="3.86319911E8"/>
        <n v="3.86440074E8"/>
        <n v="3.86601865E8"/>
        <n v="3.87098824E8"/>
        <n v="3.8872832E8"/>
        <n v="3.91026866E8"/>
        <n v="3.91200673E8"/>
        <n v="3.91849982E8"/>
        <n v="3.92217338E8"/>
        <n v="3.92252957E8"/>
        <n v="3.92518174E8"/>
        <n v="3.92676532E8"/>
        <n v="3.92752492E8"/>
        <n v="3.93709933E8"/>
        <n v="3.93842971E8"/>
        <n v="3.9385842E8"/>
        <n v="3.94110763E8"/>
        <n v="3.94356667E8"/>
        <n v="3.9445666E8"/>
        <n v="3.95562589E8"/>
        <n v="3.96462953E8"/>
        <n v="3.96552217E8"/>
        <n v="3.96718728E8"/>
        <n v="3.96832883E8"/>
        <n v="3.97874438E8"/>
        <n v="3.98104035E8"/>
        <n v="3.98333632E8"/>
        <n v="3.98645198E8"/>
        <n v="3.99115979E8"/>
        <n v="3.99256312E8"/>
        <n v="4.00267398E8"/>
        <n v="4.00904691E8"/>
        <n v="4.01993882E8"/>
        <n v="4.03337991E8"/>
        <n v="4.03665006E8"/>
        <n v="4.04789817E8"/>
        <n v="4.05986297E8"/>
        <n v="4.06270396E8"/>
        <n v="4.06564366E8"/>
        <n v="4.07220542E8"/>
        <n v="4.08540618E8"/>
        <n v="4.09112679E8"/>
        <n v="4.09514796E8"/>
        <n v="4.10229337E8"/>
        <n v="4.10291135E8"/>
        <n v="4.10514724E8"/>
        <n v="4.10740888E8"/>
        <n v="4.12215459E8"/>
        <n v="4.12416303E8"/>
        <n v="4.13078916E8"/>
        <n v="4.13245427E8"/>
        <n v="4.13951814E8"/>
        <n v="4.14359509E8"/>
        <n v="4.14579665E8"/>
        <n v="4.15837943E8"/>
        <n v="4.16682088E8"/>
        <n v="4.16953313E8"/>
        <n v="4.18404281E8"/>
        <n v="4.20875346E8"/>
        <n v="4.21456849E8"/>
        <n v="4.21660268E8"/>
        <n v="4.22568786E8"/>
        <n v="4.24181544E8"/>
        <n v="4.24297845E8"/>
        <n v="4.24541604E8"/>
        <n v="4.25547969E8"/>
        <n v="4.27432811E8"/>
        <n v="4.28419864E8"/>
        <n v="4.29123675E8"/>
        <n v="4.3068751E8"/>
        <n v="4.31240689E8"/>
        <n v="4.31432092E8"/>
        <n v="4.31753098E8"/>
        <n v="4.32031619E8"/>
        <n v="4.33079183E8"/>
        <n v="4.337345E8"/>
        <n v="4.34013879E8"/>
        <n v="4.34275662E8"/>
        <n v="4.34485948E8"/>
        <n v="4.35463559E8"/>
        <n v="4.36606395E8"/>
        <n v="4.36969029E8"/>
        <n v="4.37083184E8"/>
        <n v="4.37604176E8"/>
        <n v="4.38683927E8"/>
        <n v="4.39114367E8"/>
        <n v="4.39204919E8"/>
        <n v="4.3964008E8"/>
        <n v="4.39725911E8"/>
        <n v="4.42318427E8"/>
        <n v="4.43125665E8"/>
        <n v="4.43347108E8"/>
        <n v="4.43544518E8"/>
        <n v="4.43551385E8"/>
        <n v="4.44234168E8"/>
        <n v="4.44798934E8"/>
        <n v="4.4480623E8"/>
        <n v="4.45273578E8"/>
        <n v="4.45708739E8"/>
        <n v="4.45952498E8"/>
        <n v="4.46019017E8"/>
        <n v="4.46045196E8"/>
        <n v="4.4718331E8"/>
        <n v="4.47536504E8"/>
        <n v="4.47684133E8"/>
        <n v="4.4920634E8"/>
        <n v="4.50041043E8"/>
        <n v="4.50550019E8"/>
        <n v="4.52471768E8"/>
        <n v="4.52559745E8"/>
        <n v="4.54550588E8"/>
        <n v="4.55040681E8"/>
        <n v="4.56192958E8"/>
        <n v="4.56527268E8"/>
        <n v="4.56934964E8"/>
        <n v="4.58816373E8"/>
        <n v="4.59277713E8"/>
        <n v="4.59372985E8"/>
        <n v="4.60693061E8"/>
        <n v="4.61445796E8"/>
        <n v="4.61917865E8"/>
        <n v="4.62561166E8"/>
        <n v="4.63591134E8"/>
        <n v="4.6491121E8"/>
        <n v="4.65753209E8"/>
        <n v="4.66517961E8"/>
        <n v="4.66988742E8"/>
        <n v="4.67045819E8"/>
        <n v="4.67138516E8"/>
        <n v="4.67312324E8"/>
        <n v="4.67924726E8"/>
        <n v="4.68320834E8"/>
        <n v="4.68803632E8"/>
        <n v="4.69129359E8"/>
        <n v="4.69144809E8"/>
        <n v="4.69197165E8"/>
        <n v="4.69840466E8"/>
        <n v="4.69974792E8"/>
        <n v="4.70503079E8"/>
        <n v="4.71348512E8"/>
        <n v="4.71484124E8"/>
        <n v="4.73845756E8"/>
        <n v="4.7517656E8"/>
        <n v="4.75992381E8"/>
        <n v="4.76453721E8"/>
        <n v="4.76633536E8"/>
        <n v="4.7679404E8"/>
        <n v="4.7699145E8"/>
        <n v="4.77282845E8"/>
        <n v="4.77633464E8"/>
        <n v="4.7805103E8"/>
        <n v="4.78840672E8"/>
        <n v="4.79171121E8"/>
        <n v="4.79234206E8"/>
        <n v="4.80652987E8"/>
        <n v="4.80904042E8"/>
        <n v="4.81114327E8"/>
        <n v="4.81308305E8"/>
        <n v="4.81976497E8"/>
        <n v="4.83438193E8"/>
        <n v="4.83655774E8"/>
        <n v="4.83981502E8"/>
        <n v="4.85165965E8"/>
        <n v="4.85929429E8"/>
        <n v="4.86345708E8"/>
        <n v="4.8646115E8"/>
        <n v="4.8831638E8"/>
        <n v="4.88815915E8"/>
        <n v="4.89600837E8"/>
        <n v="4.89848029E8"/>
        <n v="4.91547477E8"/>
        <n v="4.92353856E8"/>
        <n v="4.95450627E8"/>
        <n v="4.95593106E8"/>
        <n v="4.95631301E8"/>
        <n v="4.96826493E8"/>
        <n v="4.97466361E8"/>
        <n v="4.97506701E8"/>
        <n v="4.97554337E8"/>
        <n v="4.98089492E8"/>
        <n v="4.98201072E8"/>
        <n v="4.9894694E8"/>
        <n v="4.99101436E8"/>
        <n v="5.04024684E8"/>
        <n v="5.04973971E8"/>
        <n v="5.0586704E8"/>
        <n v="5.07040774E8"/>
        <n v="5.07531726E8"/>
        <n v="5.08014523E8"/>
        <n v="5.09356057E8"/>
        <n v="5.09380948E8"/>
        <n v="5.10762822E8"/>
        <n v="5.10956799E8"/>
        <n v="5.11155498E8"/>
        <n v="5.1171211E8"/>
        <n v="5.12662255E8"/>
        <n v="5.12714612E8"/>
        <n v="5.13026177E8"/>
        <n v="5.13611114E8"/>
        <n v="5.13802516E8"/>
        <n v="5.15771901E8"/>
        <n v="5.15773189E8"/>
        <n v="5.16122949E8"/>
        <n v="5.16460692E8"/>
        <n v="5.16485583E8"/>
        <n v="5.16599738E8"/>
        <n v="5.16635358E8"/>
        <n v="5.16994559E8"/>
        <n v="5.17097985E8"/>
        <n v="5.17514264E8"/>
        <n v="5.18421494E8"/>
        <n v="5.19380223E8"/>
        <n v="5.2039088E8"/>
        <n v="5.20777547E8"/>
        <n v="5.20915305E8"/>
        <n v="5.21681344E8"/>
        <n v="5.21874034E8"/>
        <n v="5.22323358E8"/>
        <n v="5.23580348E8"/>
        <n v="5.23707807E8"/>
        <n v="5.23836123E8"/>
        <n v="5.23899209E8"/>
        <n v="5.24844634E8"/>
        <n v="5.24972951E8"/>
        <n v="5.25321424E8"/>
        <n v="5.25472486E8"/>
        <n v="5.25749719E8"/>
        <n v="5.26018369E8"/>
        <n v="5.26350104E8"/>
        <n v="5.26533353E8"/>
        <n v="5.27079236E8"/>
        <n v="5.2725991E8"/>
        <n v="5.27509677E8"/>
        <n v="5.30262696E8"/>
        <n v="5.30702579E8"/>
        <n v="5.30882394E8"/>
        <n v="5.31281936E8"/>
        <n v="5.33314406E8"/>
        <n v="5.33597218E8"/>
        <n v="5.34641349E8"/>
        <n v="5.34709155E8"/>
        <n v="5.35740411E8"/>
        <n v="5.3609575E8"/>
        <n v="5.38430345E8"/>
        <n v="5.39002406E8"/>
        <n v="5.4098252E8"/>
        <n v="5.43322694E8"/>
        <n v="5.43396508E8"/>
        <n v="5.44284856E8"/>
        <n v="5.44741475E8"/>
        <n v="5.45059049E8"/>
        <n v="5.46081721E8"/>
        <n v="5.46140086E8"/>
        <n v="5.46544349E8"/>
        <n v="5.47225844E8"/>
        <n v="5.47587192E8"/>
        <n v="5.47625386E8"/>
        <n v="5.48015487E8"/>
        <n v="5.48343789E8"/>
        <n v="5.48403012E8"/>
        <n v="5.49048888E8"/>
        <n v="5.4905833E8"/>
        <n v="5.49187934E8"/>
        <n v="5.51118266E8"/>
        <n v="5.52037513E8"/>
        <n v="5.52276551E8"/>
        <n v="5.52931869E8"/>
        <n v="5.53107821E8"/>
        <n v="5.54554927E8"/>
        <n v="5.54721438E8"/>
        <n v="5.56263816E8"/>
        <n v="5.56647908E8"/>
        <n v="5.56947886E8"/>
        <n v="5.59183347E8"/>
        <n v="5.59417665E8"/>
        <n v="5.60389268E8"/>
        <n v="5.60762631E8"/>
        <n v="5.61534678E8"/>
        <n v="5.63939225E8"/>
        <n v="5.64173543E8"/>
        <n v="5.66428315E8"/>
        <n v="5.67412793E8"/>
        <n v="5.67751824E8"/>
        <n v="5.69170606E8"/>
        <n v="5.69864976E8"/>
        <n v="5.69941365E8"/>
        <n v="5.7047652E8"/>
        <n v="5.70703542E8"/>
        <n v="5.71161448E8"/>
        <n v="5.71323239E8"/>
        <n v="5.72634732E8"/>
        <n v="5.74247491E8"/>
        <n v="5.74925124E8"/>
        <n v="5.7547959E8"/>
        <n v="5.75552117E8"/>
        <n v="5.75583016E8"/>
        <n v="5.75758969E8"/>
        <n v="5.7694472E8"/>
        <n v="5.77530944E8"/>
        <n v="5.78356206E8"/>
        <n v="5.78666484E8"/>
        <n v="5.79094779E8"/>
        <n v="5.79463422E8"/>
        <n v="5.80314862E8"/>
        <n v="5.80342328E8"/>
        <n v="5.80463349E8"/>
        <n v="5.8056935E8"/>
        <n v="5.8078221E8"/>
        <n v="5.81193768E8"/>
        <n v="5.82560193E8"/>
        <n v="5.82563626E8"/>
        <n v="5.82836139E8"/>
        <n v="5.83089339E8"/>
        <n v="5.83451974E8"/>
        <n v="5.83654105E8"/>
        <n v="5.85362994E8"/>
        <n v="5.85677134E8"/>
        <n v="5.86812674E8"/>
        <n v="5.87598884E8"/>
        <n v="5.87799727E8"/>
        <n v="5.87846076E8"/>
        <n v="5.88528859E8"/>
        <n v="5.89842927E8"/>
        <n v="5.91287887E8"/>
        <n v="5.91774117E8"/>
        <n v="5.93018233E8"/>
        <n v="5.93158566E8"/>
        <n v="5.94699656E8"/>
        <n v="5.94813811E8"/>
        <n v="5.94991052E8"/>
        <n v="5.95385873E8"/>
        <n v="5.95395314E8"/>
        <n v="5.95496594E8"/>
        <n v="5.95922315E8"/>
        <n v="5.96166074E8"/>
        <n v="5.97105491E8"/>
        <n v="5.97839343E8"/>
        <n v="5.98404109E8"/>
        <n v="5.99624192E8"/>
        <n v="5.99997556E8"/>
        <n v="6.00515115E8"/>
        <n v="6.01422345E8"/>
        <n v="6.01588857E8"/>
        <n v="6.0188626E8"/>
        <n v="6.01894414E8"/>
        <n v="6.02264344E8"/>
        <n v="6.02301251E8"/>
        <n v="6.02357041E8"/>
        <n v="6.04124295E8"/>
        <n v="6.04494225E8"/>
        <n v="6.0502938E8"/>
        <n v="6.06118571E8"/>
        <n v="6.06224572E8"/>
        <n v="6.07620608E8"/>
        <n v="6.07756221E8"/>
        <n v="6.08374631E8"/>
        <n v="6.08451879E8"/>
        <n v="6.09939754E8"/>
        <n v="6.09952628E8"/>
        <n v="6.11766231E8"/>
        <n v="6.11791121E8"/>
        <n v="6.13166129E8"/>
        <n v="6.14054477E8"/>
        <n v="6.14321839E8"/>
        <n v="6.14597785E8"/>
        <n v="6.15080583E8"/>
        <n v="6.15290009E8"/>
        <n v="6.1677531E8"/>
        <n v="6.21577537E8"/>
        <n v="6.22441852E8"/>
        <n v="6.2382158E8"/>
        <n v="6.24348151E8"/>
        <n v="6.24398362E8"/>
        <n v="6.24940383E8"/>
        <n v="6.25751483E8"/>
        <n v="6.26011979E8"/>
        <n v="6.26109397E8"/>
        <n v="6.26322257E8"/>
        <n v="6.26453149E8"/>
        <n v="6.27003753E8"/>
        <n v="6.27432048E8"/>
        <n v="6.28055179E8"/>
        <n v="6.28515231E8"/>
        <n v="6.28595054E8"/>
        <n v="6.2930144E8"/>
        <n v="6.30219399E8"/>
        <n v="6.30931794E8"/>
        <n v="6.3117212E8"/>
        <n v="6.3146094E8"/>
        <n v="6.31463515E8"/>
        <n v="6.33312737E8"/>
        <n v="6.33806264E8"/>
        <n v="6.33992946E8"/>
        <n v="6.34033286E8"/>
        <n v="6.36278617E8"/>
        <n v="6.36360585E8"/>
        <n v="6.36907756E8"/>
        <n v="6.37040793E8"/>
        <n v="6.37188422E8"/>
        <n v="6.3804115E8"/>
        <n v="6.38314521E8"/>
        <n v="6.385939E8"/>
        <n v="6.38856971E8"/>
        <n v="6.38937652E8"/>
        <n v="6.38957822E8"/>
        <n v="6.39126908E8"/>
        <n v="6.40295922E8"/>
        <n v="6.40394628E8"/>
        <n v="6.40476596E8"/>
        <n v="6.41537463E8"/>
        <n v="6.42123687E8"/>
        <n v="6.4295367E8"/>
        <n v="6.43027484E8"/>
        <n v="6.43259227E8"/>
        <n v="6.43448483E8"/>
        <n v="6.43770778E8"/>
        <n v="6.44592607E8"/>
        <n v="6.45111024E8"/>
        <n v="6.45309722E8"/>
        <n v="6.45701968E8"/>
        <n v="6.45956456E8"/>
        <n v="6.46691596E8"/>
        <n v="6.46981704E8"/>
        <n v="6.47943866E8"/>
        <n v="6.50078475E8"/>
        <n v="6.50208079E8"/>
        <n v="6.51247489E8"/>
        <n v="6.51895511E8"/>
        <n v="6.52252137E8"/>
        <n v="6.52501904E8"/>
        <n v="6.5308727E8"/>
        <n v="6.53152501E8"/>
        <n v="6.5354861E8"/>
        <n v="6.53800523E8"/>
        <n v="6.53909957E8"/>
        <n v="6.53920686E8"/>
        <n v="6.5528711E8"/>
        <n v="6.55328738E8"/>
        <n v="6.56244552E8"/>
        <n v="6.56689155E8"/>
        <n v="6.59193694E8"/>
        <n v="6.59196269E8"/>
        <n v="6.59671771E8"/>
        <n v="6.60312926E8"/>
        <n v="6.60481584E8"/>
        <n v="6.62623488E8"/>
        <n v="6.63080108E8"/>
        <n v="6.65786778E8"/>
        <n v="6.65817677E8"/>
        <n v="6.66483724E8"/>
        <n v="6.6692146E8"/>
        <n v="6.67054498E8"/>
        <n v="6.67324435E8"/>
        <n v="6.67420995E8"/>
        <n v="6.68280589E8"/>
        <n v="6.69353473E8"/>
        <n v="6.69550883E8"/>
        <n v="6.70274865E8"/>
        <n v="6.71616399E8"/>
        <n v="6.72330081E8"/>
        <n v="6.72856652E8"/>
        <n v="6.74060428E8"/>
        <n v="6.77851569E8"/>
        <n v="6.79039466E8"/>
        <n v="6.7910856E8"/>
        <n v="6.8032521E8"/>
        <n v="6.81713092E8"/>
        <n v="6.82066285E8"/>
        <n v="6.82162415E8"/>
        <n v="6.82314765E8"/>
        <n v="6.84239947E8"/>
        <n v="6.84853637E8"/>
        <n v="6.85233008E8"/>
        <n v="6.8559693E8"/>
        <n v="6.87374913E8"/>
        <n v="6.88650786E8"/>
        <n v="6.88698422E8"/>
        <n v="6.88903129E8"/>
        <n v="6.89349019E8"/>
        <n v="6.89421546E8"/>
        <n v="6.9022063E8"/>
        <n v="6.91383635E8"/>
        <n v="6.91760861E8"/>
        <n v="6.92555224E8"/>
        <n v="6.92704999E8"/>
        <n v="6.92757356E8"/>
        <n v="6.92952191E8"/>
        <n v="6.93210542E8"/>
        <n v="6.93583905E8"/>
        <n v="6.93831098E8"/>
        <n v="6.94771802E8"/>
        <n v="6.9491471E8"/>
        <n v="6.95059764E8"/>
        <n v="6.96197879E8"/>
        <n v="6.96839892E8"/>
        <n v="6.96844613E8"/>
        <n v="6.97617518E8"/>
        <n v="6.97638976E8"/>
        <n v="7.00069701E8"/>
        <n v="7.00304019E8"/>
        <n v="7.01298367E8"/>
        <n v="7.02357947E8"/>
        <n v="7.02815854E8"/>
        <n v="7.03966844E8"/>
        <n v="7.04139363E8"/>
        <n v="7.04233348E8"/>
        <n v="7.04361665E8"/>
        <n v="7.06176555E8"/>
        <n v="7.06301438E8"/>
        <n v="7.07661855E8"/>
        <n v="7.07718932E8"/>
        <n v="7.08320605E8"/>
        <n v="7.09071195E8"/>
        <n v="7.09105527E8"/>
        <n v="7.09276759E8"/>
        <n v="7.12595832E8"/>
        <n v="7.13009965E8"/>
        <n v="7.1335715E8"/>
        <n v="7.14165675E8"/>
        <n v="7.15309798E8"/>
        <n v="7.15863835E8"/>
        <n v="7.16054379E8"/>
        <n v="7.16411006E8"/>
        <n v="7.1783322E8"/>
        <n v="7.1929363E8"/>
        <n v="7.19404351E8"/>
        <n v="7.19730079E8"/>
        <n v="7.20229613E8"/>
        <n v="7.20878922E8"/>
        <n v="7.20931279E8"/>
        <n v="7.21318805E8"/>
        <n v="7.22233331E8"/>
        <n v="7.2224878E8"/>
        <n v="7.23893725E8"/>
        <n v="7.24085128E8"/>
        <n v="7.2622317E8"/>
        <n v="7.27175891E8"/>
        <n v="7.27426946E8"/>
        <n v="7.27821767E8"/>
        <n v="7.2799772E8"/>
        <n v="7.2879337E8"/>
        <n v="7.29373586E8"/>
        <n v="7.30490243E8"/>
        <n v="7.32703387E8"/>
        <n v="7.33636796E8"/>
        <n v="7.33648812E8"/>
        <n v="7.34189975E8"/>
        <n v="7.34318292E8"/>
        <n v="7.35445678E8"/>
        <n v="7.36240041E8"/>
        <n v="7.37095344E8"/>
        <n v="7.3773607E8"/>
        <n v="7.40300261E8"/>
        <n v="7.41690289E8"/>
        <n v="7.41866242E8"/>
        <n v="7.41964948E8"/>
        <n v="7.4210056E8"/>
        <n v="7.42569196E8"/>
        <n v="7.42843854E8"/>
        <n v="7.43619334E8"/>
        <n v="7.43769109E8"/>
        <n v="7.44583642E8"/>
        <n v="7.44683635E8"/>
        <n v="7.45467269E8"/>
        <n v="7.46563756E8"/>
        <n v="7.4732722E8"/>
        <n v="7.47774398E8"/>
        <n v="7.47826755E8"/>
        <n v="7.47955071E8"/>
        <n v="7.48357188E8"/>
        <n v="7.50047194E8"/>
        <n v="7.50439441E8"/>
        <n v="7.50959146E8"/>
        <n v="7.52792918E8"/>
        <n v="7.53166282E8"/>
        <n v="7.54227149E8"/>
        <n v="7.54541289E8"/>
        <n v="7.55318915E8"/>
        <n v="7.5560559E8"/>
        <n v="7.56252324E8"/>
        <n v="7.56395232E8"/>
        <n v="7.57468974E8"/>
        <n v="7.59086453E8"/>
        <n v="7.59594142E8"/>
        <n v="7.60280358E8"/>
        <n v="7.60346877E8"/>
        <n v="7.6061939E8"/>
        <n v="7.6172403E8"/>
        <n v="7.61887109E8"/>
        <n v="7.62117564E8"/>
        <n v="7.62655293E8"/>
        <n v="7.64483058E8"/>
        <n v="7.64592492E8"/>
        <n v="7.6481136E8"/>
        <n v="7.64837539E8"/>
        <n v="7.65101468E8"/>
        <n v="7.65552079E8"/>
        <n v="7.6573404E8"/>
        <n v="7.65858924E8"/>
        <n v="7.66118133E8"/>
        <n v="7.67490565E8"/>
        <n v="7.68230426E8"/>
        <n v="7.68676316E8"/>
        <n v="7.70821654E8"/>
        <n v="7.71674382E8"/>
        <n v="7.72643411E8"/>
        <n v="7.72893178E8"/>
        <n v="7.73645913E8"/>
        <n v="7.74698626E8"/>
        <n v="7.74926936E8"/>
        <n v="7.75008904E8"/>
        <n v="7.75347936E8"/>
        <n v="7.75849616E8"/>
        <n v="7.7701863E8"/>
        <n v="7.80590045E8"/>
        <n v="7.80899035E8"/>
        <n v="7.81083571E8"/>
        <n v="7.81416594E8"/>
        <n v="7.831169E8"/>
        <n v="7.83594977E8"/>
        <n v="7.83913838E8"/>
        <n v="7.84397923E8"/>
        <n v="7.85364806E8"/>
        <n v="7.86318385E8"/>
        <n v="7.8948425E8"/>
        <n v="7.89760196E8"/>
        <n v="7.90149009E8"/>
        <n v="7.91692674E8"/>
        <n v="7.91890084E8"/>
        <n v="7.92178905E8"/>
        <n v="7.92792594E8"/>
        <n v="7.95141351E8"/>
        <n v="7.96418511E8"/>
        <n v="7.97202146E8"/>
        <n v="7.973163E8"/>
        <n v="7.97461354E8"/>
        <n v="7.97718417E8"/>
        <n v="7.97788369E8"/>
        <n v="7.99109733E8"/>
        <n v="7.99848306E8"/>
        <n v="8.00045716E8"/>
        <n v="8.00352561E8"/>
        <n v="8.01352488E8"/>
        <n v="8.01925837E8"/>
        <n v="8.05095136E8"/>
        <n v="8.05974042E8"/>
        <n v="8.06197631E8"/>
        <n v="8.06662404E8"/>
        <n v="8.10752236E8"/>
        <n v="8.1197704E8"/>
        <n v="8.12632358E8"/>
        <n v="8.12637078E8"/>
        <n v="8.13973891E8"/>
        <n v="8.15755307E8"/>
        <n v="8.15917098E8"/>
        <n v="8.17006289E8"/>
        <n v="8.17061221E8"/>
        <n v="8.18976962E8"/>
        <n v="8.19037473E8"/>
        <n v="8.19152915E8"/>
        <n v="8.19516837E8"/>
        <n v="8.20195758E8"/>
        <n v="8.20437371E8"/>
        <n v="8.21131742E8"/>
        <n v="8.21916663E8"/>
        <n v="8.23236739E8"/>
        <n v="8.23505389E8"/>
        <n v="8.25065791E8"/>
        <n v="8.26677262E8"/>
        <n v="8.26936471E8"/>
        <n v="8.26968657E8"/>
        <n v="8.28993833E8"/>
        <n v="8.29356467E8"/>
        <n v="8.30172288E8"/>
        <n v="8.31143891E8"/>
        <n v="8.3205713E8"/>
        <n v="8.33473765E8"/>
        <n v="8.33706796E8"/>
        <n v="8.34065997E8"/>
        <n v="8.3509339E8"/>
        <n v="8.3526591E8"/>
        <n v="8.3534187E8"/>
        <n v="8.37608659E8"/>
        <n v="8.3790692E8"/>
        <n v="8.38788402E8"/>
        <n v="8.38895261E8"/>
        <n v="8.39437711E8"/>
        <n v="8.40747058E8"/>
        <n v="8.4078139E8"/>
        <n v="8.4268769E8"/>
        <n v="8.42725884E8"/>
        <n v="8.44105184E8"/>
        <n v="8.44307315E8"/>
        <n v="8.44575107E8"/>
        <n v="8.45067346E8"/>
        <n v="8.45738112E8"/>
        <n v="8.464136E8"/>
        <n v="8.47317397E8"/>
        <n v="8.48737466E8"/>
        <n v="8.49431836E8"/>
        <n v="8.49454581E8"/>
        <n v="8.50279843E8"/>
        <n v="8.50562655E8"/>
        <n v="8.50872075E8"/>
        <n v="8.52392995E8"/>
        <n v="8.53036296E8"/>
        <n v="8.56648051E8"/>
        <n v="8.57457864E8"/>
        <n v="8.59914767E8"/>
        <n v="8.60104024E8"/>
        <n v="8.61180341E8"/>
        <n v="8.61252868E8"/>
        <n v="8.6197685E8"/>
        <n v="8.61982858E8"/>
        <n v="8.6232661E8"/>
        <n v="8.62485826E8"/>
        <n v="8.63138997E8"/>
        <n v="8.63202941E8"/>
        <n v="8.63890445E8"/>
        <n v="8.64071118E8"/>
        <n v="8.6582421E8"/>
        <n v="8.66396272E8"/>
        <n v="8.67138278E8"/>
        <n v="8.6929177E8"/>
        <n v="8.70173251E8"/>
        <n v="8.70218312E8"/>
        <n v="8.71147E8"/>
        <n v="8.71923768E8"/>
        <n v="8.73432672E8"/>
        <n v="8.74172532E8"/>
        <n v="8.74349772E8"/>
        <n v="8.75220096E8"/>
        <n v="8.76856458E8"/>
        <n v="8.77062451E8"/>
        <n v="8.77084767E8"/>
        <n v="8.77687728E8"/>
        <n v="8.7861427E8"/>
        <n v="8.794052E8"/>
        <n v="8.79845082E8"/>
        <n v="8.79923617E8"/>
        <n v="8.80176818E8"/>
        <n v="8.8119477E8"/>
        <n v="8.8171705E8"/>
        <n v="8.83504474E8"/>
        <n v="8.84147775E8"/>
        <n v="8.84192836E8"/>
        <n v="8.84462773E8"/>
        <n v="8.85046851E8"/>
        <n v="8.85397469E8"/>
        <n v="8.85998284E8"/>
        <n v="8.86620128E8"/>
        <n v="8.86763894E8"/>
        <n v="8.8750118E8"/>
        <n v="8.89093768E8"/>
        <n v="8.89125955E8"/>
        <n v="8.91681563E8"/>
        <n v="8.91808593E8"/>
        <n v="8.92042911E8"/>
        <n v="8.94589078E8"/>
        <n v="8.97317206E8"/>
        <n v="8.97638213E8"/>
        <n v="8.97785842E8"/>
        <n v="8.98211562E8"/>
        <n v="8.99868094E8"/>
        <n v="9.00808799E8"/>
        <n v="9.01670968E8"/>
        <n v="9.01789844E8"/>
        <n v="9.04589211E8"/>
        <n v="9.048128E8"/>
        <n v="9.05036389E8"/>
        <n v="9.05509746E8"/>
        <n v="9.05947482E8"/>
        <n v="9.06345736E8"/>
        <n v="9.06508815E8"/>
        <n v="9.06794202E8"/>
        <n v="9.07047402E8"/>
        <n v="9.07349526E8"/>
        <n v="9.07691991E8"/>
        <n v="9.10610234E8"/>
        <n v="9.1088618E8"/>
        <n v="9.11891257E8"/>
        <n v="9.13074433E8"/>
        <n v="9.13729751E8"/>
        <n v="9.16089236E8"/>
        <n v="9.17485272E8"/>
        <n v="9.17639768E8"/>
        <n v="9.17792117E8"/>
        <n v="9.17835032E8"/>
        <n v="9.17874085E8"/>
        <n v="9.17904984E8"/>
        <n v="9.18364179E8"/>
        <n v="9.19133651E8"/>
        <n v="9.19922006E8"/>
        <n v="9.2001127E8"/>
        <n v="9.20688903E8"/>
        <n v="9.21133935E8"/>
        <n v="9.21230065E8"/>
        <n v="9.2169398E8"/>
        <n v="9.2236346E8"/>
        <n v="9.22564303E8"/>
        <n v="9.23160398E8"/>
        <n v="9.23922574E8"/>
        <n v="9.26064479E8"/>
        <n v="9.26280772E8"/>
        <n v="9.2676357E8"/>
        <n v="9.26826655E8"/>
        <n v="9.27351081E8"/>
        <n v="9.28168189E8"/>
        <n v="9.29812705E8"/>
        <n v="9.30136287E8"/>
        <n v="9.3029679E8"/>
        <n v="9.30457293E8"/>
        <n v="9.30670154E8"/>
        <n v="9.3147782E8"/>
        <n v="9.31559789E8"/>
        <n v="9.32475602E8"/>
        <n v="9.33642041E8"/>
        <n v="9.33699119E8"/>
        <n v="9.33720576E8"/>
        <n v="9.33963048E8"/>
        <n v="9.34718358E8"/>
        <n v="9.35789954E8"/>
        <n v="9.35907542E8"/>
        <n v="9.36411798E8"/>
        <n v="9.3654741E8"/>
        <n v="9.36664998E8"/>
        <n v="9.3787564E8"/>
        <n v="9.3820995E8"/>
        <n v="9.40682303E8"/>
        <n v="9.41061675E8"/>
        <n v="9.41524302E8"/>
        <n v="9.41933286E8"/>
        <n v="9.4237231E8"/>
        <n v="9.42454278E8"/>
        <n v="9.43274819E8"/>
        <n v="9.4424771E8"/>
        <n v="9.44609057E8"/>
        <n v="9.46421372E8"/>
        <n v="9.46823489E8"/>
        <n v="9.47073256E8"/>
        <n v="9.47507131E8"/>
        <n v="9.48075759E8"/>
        <n v="9.48518216E8"/>
        <n v="9.49388539E8"/>
        <n v="9.49732291E8"/>
        <n v="9.49912965E8"/>
        <n v="9.51698243E8"/>
        <n v="9.54040992E8"/>
        <n v="9.54065883E8"/>
        <n v="9.54341828E8"/>
        <n v="9.55466639E8"/>
        <n v="9.56594026E8"/>
        <n v="9.56969964E8"/>
        <n v="9.57926118E8"/>
        <n v="9.58366E8"/>
        <n v="9.60213077E8"/>
        <n v="9.62560546E8"/>
        <n v="9.63219296E8"/>
        <n v="9.65796363E8"/>
        <n v="9.66800153E8"/>
        <n v="9.67258059E8"/>
        <n v="9.67679059E8"/>
        <n v="9.6818546E8"/>
        <n v="9.69195258E8"/>
        <n v="9.69199979E8"/>
        <n v="9.69289243E8"/>
        <n v="9.70427358E8"/>
        <n v="9.71578347E8"/>
        <n v="9.71899354E8"/>
        <n v="9.72419059E8"/>
        <n v="9.72452533E8"/>
        <n v="9.72981679E8"/>
        <n v="9.73268353E8"/>
        <n v="9.7414726E8"/>
        <n v="9.7442063E8"/>
        <n v="9.75080668E8"/>
        <n v="9.75823962E8"/>
        <n v="9.76323497E8"/>
        <n v="9.77324712E8"/>
        <n v="9.79073941E8"/>
        <n v="9.79200112E8"/>
        <n v="9.80381143E8"/>
        <n v="9.80598723E8"/>
        <n v="9.80961358E8"/>
        <n v="9.81154048E8"/>
        <n v="9.81808078E8"/>
        <n v="9.82566821E8"/>
        <n v="9.85039174E8"/>
        <n v="9.85417258E8"/>
        <n v="9.86449801E8"/>
        <n v="9.87050187E8"/>
        <n v="9.87410676E8"/>
        <n v="9.8745917E8"/>
        <n v="9.87767302E8"/>
        <n v="9.8859986E8"/>
        <n v="9.88614022E8"/>
        <n v="9.89102828E8"/>
        <n v="9.89403665E8"/>
        <n v="9.9045509E8"/>
        <n v="9.9077481E8"/>
        <n v="9.91761863E8"/>
        <n v="9.92992675E8"/>
        <n v="9.93368613E8"/>
        <n v="9.94406735E8"/>
        <n v="9.94504153E8"/>
        <n v="9.94978797E8"/>
        <n v="9.96754205E8"/>
        <n v="9.98043382E8"/>
        <n v="9.99879729E8"/>
      </sharedItems>
    </cacheField>
    <cacheField name="Order Date" numFmtId="165">
      <sharedItems containsSemiMixedTypes="0" containsDate="1" containsString="0">
        <d v="2014-10-08T00:00:00Z"/>
        <d v="2016-08-11T00:00:00Z"/>
        <d v="2014-07-18T00:00:00Z"/>
        <d v="2017-05-13T00:00:00Z"/>
        <d v="2012-08-11T00:00:00Z"/>
        <d v="2015-03-15T00:00:00Z"/>
        <d v="2013-04-20T00:00:00Z"/>
        <d v="2011-11-12T00:00:00Z"/>
        <d v="2012-09-19T00:00:00Z"/>
        <d v="2011-01-23T00:00:00Z"/>
        <d v="2012-02-19T00:00:00Z"/>
        <d v="2017-02-22T00:00:00Z"/>
        <d v="2013-03-27T00:00:00Z"/>
        <d v="2014-01-01T00:00:00Z"/>
        <d v="2016-06-02T00:00:00Z"/>
        <d v="2013-10-28T00:00:00Z"/>
        <d v="2015-02-19T00:00:00Z"/>
        <d v="2012-03-12T00:00:00Z"/>
        <d v="2012-05-26T00:00:00Z"/>
        <d v="2017-06-09T00:00:00Z"/>
        <d v="2011-04-28T00:00:00Z"/>
        <d v="2016-10-28T00:00:00Z"/>
        <d v="2016-12-15T00:00:00Z"/>
        <d v="2010-10-29T00:00:00Z"/>
        <d v="2010-02-03T00:00:00Z"/>
        <d v="2015-12-04T00:00:00Z"/>
        <d v="2015-01-24T00:00:00Z"/>
        <d v="2016-02-19T00:00:00Z"/>
        <d v="2014-08-02T00:00:00Z"/>
        <d v="2011-06-02T00:00:00Z"/>
        <d v="2015-01-14T00:00:00Z"/>
        <d v="2015-05-13T00:00:00Z"/>
        <d v="2011-03-23T00:00:00Z"/>
        <d v="2016-11-21T00:00:00Z"/>
        <d v="2017-04-08T00:00:00Z"/>
        <d v="2017-04-27T00:00:00Z"/>
        <d v="2016-01-10T00:00:00Z"/>
        <d v="2017-03-24T00:00:00Z"/>
        <d v="2014-01-02T00:00:00Z"/>
        <d v="2010-05-13T00:00:00Z"/>
        <d v="2012-07-24T00:00:00Z"/>
        <d v="2017-07-11T00:00:00Z"/>
        <d v="2012-05-18T00:00:00Z"/>
        <d v="2017-05-24T00:00:00Z"/>
        <d v="2011-12-07T00:00:00Z"/>
        <d v="2013-09-20T00:00:00Z"/>
        <d v="2010-09-09T00:00:00Z"/>
        <d v="2011-01-25T00:00:00Z"/>
        <d v="2011-02-13T00:00:00Z"/>
        <d v="2013-06-16T00:00:00Z"/>
        <d v="2012-06-08T00:00:00Z"/>
        <d v="2011-04-19T00:00:00Z"/>
        <d v="2014-03-21T00:00:00Z"/>
        <d v="2013-09-18T00:00:00Z"/>
        <d v="2013-10-27T00:00:00Z"/>
        <d v="2017-03-13T00:00:00Z"/>
        <d v="2017-07-09T00:00:00Z"/>
        <d v="2012-09-20T00:00:00Z"/>
        <d v="2016-01-27T00:00:00Z"/>
        <d v="2011-02-28T00:00:00Z"/>
        <d v="2012-04-02T00:00:00Z"/>
        <d v="2016-02-20T00:00:00Z"/>
        <d v="2013-07-13T00:00:00Z"/>
        <d v="2014-08-09T00:00:00Z"/>
        <d v="2010-07-09T00:00:00Z"/>
        <d v="2016-08-27T00:00:00Z"/>
        <d v="2014-07-01T00:00:00Z"/>
        <d v="2014-07-08T00:00:00Z"/>
        <d v="2011-03-29T00:00:00Z"/>
        <d v="2013-07-15T00:00:00Z"/>
        <d v="2012-07-18T00:00:00Z"/>
        <d v="2011-03-13T00:00:00Z"/>
        <d v="2014-02-08T00:00:00Z"/>
        <d v="2013-08-18T00:00:00Z"/>
        <d v="2012-05-21T00:00:00Z"/>
        <d v="2013-03-12T00:00:00Z"/>
        <d v="2011-01-06T00:00:00Z"/>
        <d v="2017-05-01T00:00:00Z"/>
        <d v="2011-11-27T00:00:00Z"/>
        <d v="2015-09-29T00:00:00Z"/>
        <d v="2013-09-19T00:00:00Z"/>
        <d v="2013-04-29T00:00:00Z"/>
        <d v="2015-05-19T00:00:00Z"/>
        <d v="2017-06-06T00:00:00Z"/>
        <d v="2013-01-04T00:00:00Z"/>
        <d v="2012-05-07T00:00:00Z"/>
        <d v="2010-05-02T00:00:00Z"/>
        <d v="2011-08-22T00:00:00Z"/>
        <d v="2014-01-28T00:00:00Z"/>
        <d v="2015-03-12T00:00:00Z"/>
        <d v="2016-06-26T00:00:00Z"/>
        <d v="2014-03-22T00:00:00Z"/>
        <d v="2014-06-08T00:00:00Z"/>
        <d v="2012-11-19T00:00:00Z"/>
        <d v="2015-09-27T00:00:00Z"/>
        <d v="2011-10-29T00:00:00Z"/>
        <d v="2010-03-01T00:00:00Z"/>
        <d v="2012-08-22T00:00:00Z"/>
        <d v="2012-11-09T00:00:00Z"/>
        <d v="2011-08-30T00:00:00Z"/>
        <d v="2016-03-22T00:00:00Z"/>
        <d v="2017-04-17T00:00:00Z"/>
        <d v="2015-03-22T00:00:00Z"/>
        <d v="2011-10-10T00:00:00Z"/>
        <d v="2012-02-20T00:00:00Z"/>
        <d v="2014-08-03T00:00:00Z"/>
        <d v="2013-07-14T00:00:00Z"/>
        <d v="2010-10-22T00:00:00Z"/>
        <d v="2012-10-22T00:00:00Z"/>
        <d v="2015-06-08T00:00:00Z"/>
        <d v="2016-04-30T00:00:00Z"/>
        <d v="2017-06-24T00:00:00Z"/>
        <d v="2016-07-26T00:00:00Z"/>
        <d v="2014-06-09T00:00:00Z"/>
        <d v="2013-09-08T00:00:00Z"/>
        <d v="2012-09-08T00:00:00Z"/>
        <d v="2015-09-20T00:00:00Z"/>
        <d v="2012-05-05T00:00:00Z"/>
        <d v="2011-01-05T00:00:00Z"/>
        <d v="2017-05-03T00:00:00Z"/>
        <d v="2016-01-12T00:00:00Z"/>
        <d v="2010-05-31T00:00:00Z"/>
        <d v="2012-12-24T00:00:00Z"/>
        <d v="2014-10-27T00:00:00Z"/>
        <d v="2015-04-04T00:00:00Z"/>
        <d v="2016-11-27T00:00:00Z"/>
        <d v="2015-08-21T00:00:00Z"/>
        <d v="2012-01-06T00:00:00Z"/>
        <d v="2011-04-20T00:00:00Z"/>
        <d v="2015-08-25T00:00:00Z"/>
        <d v="2015-11-01T00:00:00Z"/>
        <d v="2017-04-16T00:00:00Z"/>
        <d v="2011-05-04T00:00:00Z"/>
        <d v="2014-05-16T00:00:00Z"/>
        <d v="2012-05-11T00:00:00Z"/>
        <d v="2012-07-28T00:00:00Z"/>
        <d v="2013-02-22T00:00:00Z"/>
        <d v="2017-06-20T00:00:00Z"/>
        <d v="2017-03-11T00:00:00Z"/>
        <d v="2012-11-01T00:00:00Z"/>
        <d v="2016-07-27T00:00:00Z"/>
        <d v="2017-07-10T00:00:00Z"/>
        <d v="2014-10-16T00:00:00Z"/>
        <d v="2011-05-17T00:00:00Z"/>
        <d v="2012-01-23T00:00:00Z"/>
        <d v="2014-07-25T00:00:00Z"/>
        <d v="2013-07-18T00:00:00Z"/>
        <d v="2013-09-26T00:00:00Z"/>
        <d v="2011-11-26T00:00:00Z"/>
        <d v="2014-04-01T00:00:00Z"/>
        <d v="2012-01-17T00:00:00Z"/>
        <d v="2014-02-09T00:00:00Z"/>
        <d v="2013-01-09T00:00:00Z"/>
        <d v="2012-01-29T00:00:00Z"/>
        <d v="2015-06-24T00:00:00Z"/>
        <d v="2010-06-15T00:00:00Z"/>
        <d v="2011-08-20T00:00:00Z"/>
        <d v="2015-08-07T00:00:00Z"/>
        <d v="2012-02-12T00:00:00Z"/>
        <d v="2015-08-29T00:00:00Z"/>
        <d v="2015-11-27T00:00:00Z"/>
        <d v="2014-03-18T00:00:00Z"/>
        <d v="2014-08-24T00:00:00Z"/>
        <d v="2011-08-23T00:00:00Z"/>
        <d v="2015-04-30T00:00:00Z"/>
        <d v="2015-02-26T00:00:00Z"/>
        <d v="2015-11-29T00:00:00Z"/>
        <d v="2012-03-20T00:00:00Z"/>
        <d v="2012-12-21T00:00:00Z"/>
        <d v="2017-06-07T00:00:00Z"/>
        <d v="2015-12-19T00:00:00Z"/>
        <d v="2014-05-20T00:00:00Z"/>
        <d v="2011-05-06T00:00:00Z"/>
        <d v="2014-06-18T00:00:00Z"/>
        <d v="2013-10-14T00:00:00Z"/>
        <d v="2011-07-28T00:00:00Z"/>
        <d v="2010-03-16T00:00:00Z"/>
        <d v="2010-05-30T00:00:00Z"/>
        <d v="2014-06-23T00:00:00Z"/>
        <d v="2012-11-30T00:00:00Z"/>
        <d v="2010-06-14T00:00:00Z"/>
        <d v="2011-11-28T00:00:00Z"/>
        <d v="2012-07-15T00:00:00Z"/>
        <d v="2015-08-28T00:00:00Z"/>
        <d v="2015-05-09T00:00:00Z"/>
        <d v="2010-01-03T00:00:00Z"/>
        <d v="2014-10-17T00:00:00Z"/>
        <d v="2017-07-07T00:00:00Z"/>
        <d v="2016-01-05T00:00:00Z"/>
        <d v="2014-09-28T00:00:00Z"/>
        <d v="2017-07-20T00:00:00Z"/>
        <d v="2014-03-09T00:00:00Z"/>
        <d v="2013-12-19T00:00:00Z"/>
        <d v="2012-12-22T00:00:00Z"/>
        <d v="2016-07-17T00:00:00Z"/>
        <d v="2017-03-04T00:00:00Z"/>
        <d v="2012-01-18T00:00:00Z"/>
        <d v="2011-12-06T00:00:00Z"/>
        <d v="2011-05-05T00:00:00Z"/>
        <d v="2014-06-14T00:00:00Z"/>
        <d v="2013-06-17T00:00:00Z"/>
        <d v="2016-08-06T00:00:00Z"/>
        <d v="2010-06-06T00:00:00Z"/>
        <d v="2016-02-26T00:00:00Z"/>
        <d v="2017-05-23T00:00:00Z"/>
        <d v="2016-12-21T00:00:00Z"/>
        <d v="2015-11-28T00:00:00Z"/>
        <d v="2010-06-05T00:00:00Z"/>
        <d v="2012-03-05T00:00:00Z"/>
        <d v="2015-07-13T00:00:00Z"/>
        <d v="2014-03-17T00:00:00Z"/>
        <d v="2012-06-29T00:00:00Z"/>
        <d v="2016-11-13T00:00:00Z"/>
        <d v="2013-01-30T00:00:00Z"/>
        <d v="2015-06-02T00:00:00Z"/>
        <d v="2010-09-03T00:00:00Z"/>
        <d v="2015-03-01T00:00:00Z"/>
        <d v="2016-05-31T00:00:00Z"/>
        <d v="2010-12-16T00:00:00Z"/>
        <d v="2012-10-01T00:00:00Z"/>
        <d v="2014-07-02T00:00:00Z"/>
        <d v="2013-05-22T00:00:00Z"/>
        <d v="2017-05-09T00:00:00Z"/>
        <d v="2015-11-05T00:00:00Z"/>
        <d v="2012-10-02T00:00:00Z"/>
        <d v="2015-06-22T00:00:00Z"/>
        <d v="2012-12-06T00:00:00Z"/>
        <d v="2011-08-06T00:00:00Z"/>
        <d v="2012-03-23T00:00:00Z"/>
        <d v="2012-06-10T00:00:00Z"/>
        <d v="2011-02-03T00:00:00Z"/>
        <d v="2016-09-05T00:00:00Z"/>
        <d v="2014-09-30T00:00:00Z"/>
        <d v="2016-01-24T00:00:00Z"/>
        <d v="2013-09-01T00:00:00Z"/>
        <d v="2014-08-18T00:00:00Z"/>
        <d v="2015-01-12T00:00:00Z"/>
        <d v="2013-09-23T00:00:00Z"/>
        <d v="2014-05-22T00:00:00Z"/>
        <d v="2010-02-25T00:00:00Z"/>
        <d v="2014-12-11T00:00:00Z"/>
        <d v="2010-06-26T00:00:00Z"/>
        <d v="2011-03-04T00:00:00Z"/>
        <d v="2010-07-20T00:00:00Z"/>
        <d v="2011-09-14T00:00:00Z"/>
        <d v="2017-04-13T00:00:00Z"/>
        <d v="2012-05-28T00:00:00Z"/>
        <d v="2015-03-21T00:00:00Z"/>
        <d v="2011-08-21T00:00:00Z"/>
        <d v="2010-10-25T00:00:00Z"/>
        <d v="2014-01-10T00:00:00Z"/>
        <d v="2010-01-01T00:00:00Z"/>
        <d v="2011-07-16T00:00:00Z"/>
        <d v="2011-10-23T00:00:00Z"/>
        <d v="2012-09-16T00:00:00Z"/>
        <d v="2015-01-20T00:00:00Z"/>
        <d v="2014-03-29T00:00:00Z"/>
        <d v="2016-07-20T00:00:00Z"/>
        <d v="2016-12-07T00:00:00Z"/>
        <d v="2013-06-29T00:00:00Z"/>
        <d v="2016-10-27T00:00:00Z"/>
        <d v="2014-08-31T00:00:00Z"/>
        <d v="2012-12-03T00:00:00Z"/>
        <d v="2015-01-15T00:00:00Z"/>
        <d v="2015-11-30T00:00:00Z"/>
        <d v="2016-02-21T00:00:00Z"/>
        <d v="2012-04-10T00:00:00Z"/>
        <d v="2017-02-13T00:00:00Z"/>
        <d v="2013-01-05T00:00:00Z"/>
        <d v="2013-10-23T00:00:00Z"/>
        <d v="2017-02-01T00:00:00Z"/>
        <d v="2012-05-24T00:00:00Z"/>
        <d v="2010-05-27T00:00:00Z"/>
        <d v="2016-05-28T00:00:00Z"/>
        <d v="2015-01-18T00:00:00Z"/>
        <d v="2015-04-27T00:00:00Z"/>
        <d v="2010-09-20T00:00:00Z"/>
        <d v="2014-01-16T00:00:00Z"/>
        <d v="2011-12-12T00:00:00Z"/>
        <d v="2016-07-25T00:00:00Z"/>
        <d v="2012-12-23T00:00:00Z"/>
        <d v="2011-08-13T00:00:00Z"/>
        <d v="2011-04-14T00:00:00Z"/>
        <d v="2012-11-14T00:00:00Z"/>
        <d v="2013-09-29T00:00:00Z"/>
        <d v="2013-07-29T00:00:00Z"/>
        <d v="2010-12-14T00:00:00Z"/>
        <d v="2012-04-23T00:00:00Z"/>
        <d v="2015-07-24T00:00:00Z"/>
        <d v="2017-02-26T00:00:00Z"/>
        <d v="2011-02-25T00:00:00Z"/>
        <d v="2014-05-05T00:00:00Z"/>
        <d v="2012-12-14T00:00:00Z"/>
        <d v="2016-04-11T00:00:00Z"/>
        <d v="2015-01-22T00:00:00Z"/>
        <d v="2010-08-15T00:00:00Z"/>
        <d v="2017-01-04T00:00:00Z"/>
        <d v="2013-10-19T00:00:00Z"/>
        <d v="2016-05-29T00:00:00Z"/>
        <d v="2010-12-05T00:00:00Z"/>
        <d v="2012-06-15T00:00:00Z"/>
        <d v="2013-10-10T00:00:00Z"/>
        <d v="2017-04-30T00:00:00Z"/>
        <d v="2015-10-07T00:00:00Z"/>
        <d v="2015-03-11T00:00:00Z"/>
        <d v="2011-04-27T00:00:00Z"/>
        <d v="2015-05-20T00:00:00Z"/>
        <d v="2015-12-24T00:00:00Z"/>
        <d v="2013-11-01T00:00:00Z"/>
        <d v="2013-04-21T00:00:00Z"/>
        <d v="2012-06-30T00:00:00Z"/>
        <d v="2016-12-14T00:00:00Z"/>
        <d v="2011-01-18T00:00:00Z"/>
        <d v="2012-01-30T00:00:00Z"/>
        <d v="2013-11-06T00:00:00Z"/>
        <d v="2010-10-06T00:00:00Z"/>
        <d v="2017-06-11T00:00:00Z"/>
        <d v="2010-04-18T00:00:00Z"/>
        <d v="2010-01-16T00:00:00Z"/>
        <d v="2011-12-09T00:00:00Z"/>
        <d v="2011-09-17T00:00:00Z"/>
        <d v="2015-05-26T00:00:00Z"/>
        <d v="2010-06-20T00:00:00Z"/>
        <d v="2017-01-22T00:00:00Z"/>
        <d v="2013-03-07T00:00:00Z"/>
        <d v="2014-02-19T00:00:00Z"/>
        <d v="2010-10-09T00:00:00Z"/>
        <d v="2011-03-18T00:00:00Z"/>
        <d v="2014-09-10T00:00:00Z"/>
        <d v="2010-05-03T00:00:00Z"/>
        <d v="2016-09-16T00:00:00Z"/>
        <d v="2012-03-25T00:00:00Z"/>
        <d v="2010-12-26T00:00:00Z"/>
        <d v="2016-03-29T00:00:00Z"/>
        <d v="2017-02-19T00:00:00Z"/>
        <d v="2013-06-08T00:00:00Z"/>
        <d v="2012-08-19T00:00:00Z"/>
        <d v="2014-05-15T00:00:00Z"/>
        <d v="2010-12-04T00:00:00Z"/>
        <d v="2014-10-02T00:00:00Z"/>
        <d v="2016-04-17T00:00:00Z"/>
        <d v="2012-10-14T00:00:00Z"/>
        <d v="2012-11-21T00:00:00Z"/>
        <d v="2015-01-31T00:00:00Z"/>
        <d v="2010-01-12T00:00:00Z"/>
        <d v="2015-05-22T00:00:00Z"/>
        <d v="2014-07-14T00:00:00Z"/>
        <d v="2016-01-16T00:00:00Z"/>
        <d v="2013-02-24T00:00:00Z"/>
        <d v="2016-12-20T00:00:00Z"/>
        <d v="2015-08-15T00:00:00Z"/>
        <d v="2014-01-26T00:00:00Z"/>
        <d v="2011-07-22T00:00:00Z"/>
        <d v="2017-01-06T00:00:00Z"/>
        <d v="2016-06-27T00:00:00Z"/>
        <d v="2014-11-29T00:00:00Z"/>
        <d v="2012-02-15T00:00:00Z"/>
        <d v="2012-09-13T00:00:00Z"/>
        <d v="2011-06-16T00:00:00Z"/>
        <d v="2013-09-11T00:00:00Z"/>
        <d v="2015-12-27T00:00:00Z"/>
        <d v="2014-09-14T00:00:00Z"/>
        <d v="2011-11-09T00:00:00Z"/>
        <d v="2012-08-16T00:00:00Z"/>
        <d v="2016-06-28T00:00:00Z"/>
        <d v="2012-11-16T00:00:00Z"/>
        <d v="2012-11-25T00:00:00Z"/>
        <d v="2010-11-07T00:00:00Z"/>
        <d v="2017-07-14T00:00:00Z"/>
        <d v="2014-04-24T00:00:00Z"/>
        <d v="2011-12-21T00:00:00Z"/>
        <d v="2015-01-30T00:00:00Z"/>
        <d v="2012-03-04T00:00:00Z"/>
        <d v="2014-10-06T00:00:00Z"/>
        <d v="2013-02-16T00:00:00Z"/>
        <d v="2016-07-22T00:00:00Z"/>
        <d v="2010-03-20T00:00:00Z"/>
        <d v="2016-09-25T00:00:00Z"/>
        <d v="2015-02-18T00:00:00Z"/>
        <d v="2015-11-06T00:00:00Z"/>
        <d v="2012-02-26T00:00:00Z"/>
        <d v="2013-03-31T00:00:00Z"/>
        <d v="2014-04-05T00:00:00Z"/>
        <d v="2013-12-23T00:00:00Z"/>
        <d v="2012-03-31T00:00:00Z"/>
        <d v="2017-01-03T00:00:00Z"/>
        <d v="2012-01-19T00:00:00Z"/>
        <d v="2016-11-30T00:00:00Z"/>
        <d v="2016-03-12T00:00:00Z"/>
        <d v="2015-01-04T00:00:00Z"/>
        <d v="2011-06-25T00:00:00Z"/>
        <d v="2011-07-05T00:00:00Z"/>
        <d v="2010-05-08T00:00:00Z"/>
        <d v="2017-03-12T00:00:00Z"/>
        <d v="2012-08-14T00:00:00Z"/>
        <d v="2011-12-26T00:00:00Z"/>
        <d v="2016-07-30T00:00:00Z"/>
        <d v="2016-01-31T00:00:00Z"/>
        <d v="2010-10-12T00:00:00Z"/>
        <d v="2016-01-21T00:00:00Z"/>
        <d v="2014-03-08T00:00:00Z"/>
        <d v="2010-02-07T00:00:00Z"/>
        <d v="2013-03-29T00:00:00Z"/>
        <d v="2014-10-29T00:00:00Z"/>
        <d v="2012-06-25T00:00:00Z"/>
        <d v="2010-02-19T00:00:00Z"/>
        <d v="2014-05-17T00:00:00Z"/>
        <d v="2015-06-01T00:00:00Z"/>
        <d v="2013-07-11T00:00:00Z"/>
        <d v="2010-06-28T00:00:00Z"/>
        <d v="2011-03-21T00:00:00Z"/>
        <d v="2016-10-15T00:00:00Z"/>
        <d v="2015-08-03T00:00:00Z"/>
        <d v="2014-12-09T00:00:00Z"/>
        <d v="2016-04-03T00:00:00Z"/>
        <d v="2014-08-07T00:00:00Z"/>
        <d v="2013-09-30T00:00:00Z"/>
        <d v="2013-03-30T00:00:00Z"/>
        <d v="2014-07-24T00:00:00Z"/>
        <d v="2012-02-06T00:00:00Z"/>
        <d v="2017-03-01T00:00:00Z"/>
        <d v="2013-01-24T00:00:00Z"/>
        <d v="2016-06-03T00:00:00Z"/>
        <d v="2012-12-31T00:00:00Z"/>
        <d v="2016-06-29T00:00:00Z"/>
        <d v="2015-05-10T00:00:00Z"/>
        <d v="2014-08-30T00:00:00Z"/>
        <d v="2012-01-10T00:00:00Z"/>
        <d v="2012-07-05T00:00:00Z"/>
        <d v="2016-09-20T00:00:00Z"/>
        <d v="2011-03-02T00:00:00Z"/>
        <d v="2013-12-07T00:00:00Z"/>
        <d v="2015-03-14T00:00:00Z"/>
        <d v="2016-05-15T00:00:00Z"/>
        <d v="2013-02-05T00:00:00Z"/>
        <d v="2011-12-20T00:00:00Z"/>
        <d v="2013-04-05T00:00:00Z"/>
        <d v="2010-08-19T00:00:00Z"/>
        <d v="2015-12-03T00:00:00Z"/>
        <d v="2013-11-04T00:00:00Z"/>
        <d v="2014-10-18T00:00:00Z"/>
        <d v="2013-06-05T00:00:00Z"/>
        <d v="2015-08-26T00:00:00Z"/>
        <d v="2016-08-01T00:00:00Z"/>
        <d v="2015-09-02T00:00:00Z"/>
        <d v="2011-06-05T00:00:00Z"/>
        <d v="2013-03-05T00:00:00Z"/>
        <d v="2010-09-27T00:00:00Z"/>
        <d v="2012-07-11T00:00:00Z"/>
        <d v="2010-09-25T00:00:00Z"/>
        <d v="2013-10-21T00:00:00Z"/>
        <d v="2011-11-29T00:00:00Z"/>
        <d v="2013-02-21T00:00:00Z"/>
        <d v="2011-06-13T00:00:00Z"/>
        <d v="2012-06-17T00:00:00Z"/>
        <d v="2017-02-11T00:00:00Z"/>
        <d v="2011-10-07T00:00:00Z"/>
        <d v="2015-03-17T00:00:00Z"/>
        <d v="2013-06-15T00:00:00Z"/>
        <d v="2015-03-20T00:00:00Z"/>
        <d v="2016-04-24T00:00:00Z"/>
        <d v="2013-04-03T00:00:00Z"/>
        <d v="2013-08-19T00:00:00Z"/>
        <d v="2014-01-04T00:00:00Z"/>
        <d v="2015-06-06T00:00:00Z"/>
        <d v="2011-11-06T00:00:00Z"/>
        <d v="2015-10-24T00:00:00Z"/>
        <d v="2014-08-22T00:00:00Z"/>
        <d v="2010-04-14T00:00:00Z"/>
        <d v="2016-07-03T00:00:00Z"/>
        <d v="2014-03-20T00:00:00Z"/>
        <d v="2011-12-24T00:00:00Z"/>
        <d v="2012-02-01T00:00:00Z"/>
        <d v="2014-07-19T00:00:00Z"/>
        <d v="2012-12-01T00:00:00Z"/>
        <d v="2013-11-15T00:00:00Z"/>
        <d v="2012-03-01T00:00:00Z"/>
        <d v="2017-01-28T00:00:00Z"/>
        <d v="2016-02-17T00:00:00Z"/>
        <d v="2016-02-15T00:00:00Z"/>
        <d v="2013-04-02T00:00:00Z"/>
        <d v="2014-01-07T00:00:00Z"/>
        <d v="2011-03-14T00:00:00Z"/>
        <d v="2010-08-01T00:00:00Z"/>
        <d v="2011-08-16T00:00:00Z"/>
        <d v="2013-03-11T00:00:00Z"/>
        <d v="2013-07-30T00:00:00Z"/>
        <d v="2016-03-10T00:00:00Z"/>
        <d v="2015-09-18T00:00:00Z"/>
        <d v="2016-11-12T00:00:00Z"/>
        <d v="2010-08-31T00:00:00Z"/>
        <d v="2010-12-18T00:00:00Z"/>
        <d v="2013-07-20T00:00:00Z"/>
        <d v="2013-11-27T00:00:00Z"/>
        <d v="2011-01-13T00:00:00Z"/>
        <d v="2010-05-26T00:00:00Z"/>
        <d v="2015-03-09T00:00:00Z"/>
        <d v="2014-08-16T00:00:00Z"/>
        <d v="2012-12-09T00:00:00Z"/>
        <d v="2010-07-31T00:00:00Z"/>
        <d v="2011-05-14T00:00:00Z"/>
        <d v="2017-07-22T00:00:00Z"/>
        <d v="2012-10-05T00:00:00Z"/>
        <d v="2016-02-04T00:00:00Z"/>
        <d v="2010-01-20T00:00:00Z"/>
        <d v="2015-05-14T00:00:00Z"/>
        <d v="2011-09-12T00:00:00Z"/>
        <d v="2010-01-11T00:00:00Z"/>
        <d v="2017-03-23T00:00:00Z"/>
        <d v="2010-01-23T00:00:00Z"/>
        <d v="2015-11-04T00:00:00Z"/>
        <d v="2014-09-07T00:00:00Z"/>
        <d v="2012-08-23T00:00:00Z"/>
        <d v="2017-07-18T00:00:00Z"/>
        <d v="2010-04-09T00:00:00Z"/>
        <d v="2016-11-11T00:00:00Z"/>
        <d v="2014-09-03T00:00:00Z"/>
        <d v="2016-10-05T00:00:00Z"/>
        <d v="2015-10-31T00:00:00Z"/>
        <d v="2011-03-03T00:00:00Z"/>
        <d v="2014-05-09T00:00:00Z"/>
        <d v="2010-05-01T00:00:00Z"/>
        <d v="2014-11-07T00:00:00Z"/>
        <d v="2013-03-20T00:00:00Z"/>
        <d v="2015-09-15T00:00:00Z"/>
        <d v="2012-06-05T00:00:00Z"/>
        <d v="2012-10-28T00:00:00Z"/>
        <d v="2015-04-08T00:00:00Z"/>
        <d v="2015-04-18T00:00:00Z"/>
        <d v="2014-06-10T00:00:00Z"/>
        <d v="2016-03-02T00:00:00Z"/>
        <d v="2013-10-29T00:00:00Z"/>
        <d v="2015-12-09T00:00:00Z"/>
        <d v="2011-07-13T00:00:00Z"/>
        <d v="2015-12-14T00:00:00Z"/>
        <d v="2011-10-03T00:00:00Z"/>
        <d v="2010-05-04T00:00:00Z"/>
        <d v="2015-07-22T00:00:00Z"/>
        <d v="2012-10-27T00:00:00Z"/>
        <d v="2014-03-11T00:00:00Z"/>
        <d v="2014-04-14T00:00:00Z"/>
        <d v="2011-09-22T00:00:00Z"/>
        <d v="2011-11-04T00:00:00Z"/>
        <d v="2010-09-07T00:00:00Z"/>
        <d v="2010-09-26T00:00:00Z"/>
        <d v="2015-05-15T00:00:00Z"/>
        <d v="2015-09-23T00:00:00Z"/>
        <d v="2012-05-22T00:00:00Z"/>
        <d v="2017-07-02T00:00:00Z"/>
        <d v="2011-02-01T00:00:00Z"/>
        <d v="2012-09-03T00:00:00Z"/>
        <d v="2010-02-11T00:00:00Z"/>
        <d v="2012-01-25T00:00:00Z"/>
        <d v="2015-06-14T00:00:00Z"/>
        <d v="2017-03-18T00:00:00Z"/>
        <d v="2016-10-22T00:00:00Z"/>
        <d v="2011-06-10T00:00:00Z"/>
        <d v="2010-03-02T00:00:00Z"/>
        <d v="2011-10-16T00:00:00Z"/>
        <d v="2010-02-16T00:00:00Z"/>
        <d v="2010-01-06T00:00:00Z"/>
        <d v="2015-11-16T00:00:00Z"/>
        <d v="2013-11-25T00:00:00Z"/>
        <d v="2013-02-06T00:00:00Z"/>
        <d v="2014-11-01T00:00:00Z"/>
        <d v="2014-12-25T00:00:00Z"/>
        <d v="2015-11-21T00:00:00Z"/>
        <d v="2012-09-09T00:00:00Z"/>
        <d v="2011-06-03T00:00:00Z"/>
        <d v="2011-11-19T00:00:00Z"/>
        <d v="2016-12-02T00:00:00Z"/>
        <d v="2012-06-14T00:00:00Z"/>
        <d v="2012-01-04T00:00:00Z"/>
        <d v="2013-06-19T00:00:00Z"/>
        <d v="2012-04-29T00:00:00Z"/>
        <d v="2010-12-21T00:00:00Z"/>
        <d v="2014-05-19T00:00:00Z"/>
        <d v="2010-09-29T00:00:00Z"/>
        <d v="2013-02-09T00:00:00Z"/>
        <d v="2012-08-07T00:00:00Z"/>
        <d v="2015-07-19T00:00:00Z"/>
        <d v="2010-05-10T00:00:00Z"/>
        <d v="2016-11-16T00:00:00Z"/>
        <d v="2015-01-21T00:00:00Z"/>
        <d v="2014-07-21T00:00:00Z"/>
        <d v="2010-07-24T00:00:00Z"/>
        <d v="2014-04-21T00:00:00Z"/>
        <d v="2017-05-31T00:00:00Z"/>
        <d v="2014-10-14T00:00:00Z"/>
        <d v="2012-03-10T00:00:00Z"/>
        <d v="2016-08-04T00:00:00Z"/>
        <d v="2013-04-30T00:00:00Z"/>
        <d v="2013-11-07T00:00:00Z"/>
        <d v="2010-11-25T00:00:00Z"/>
        <d v="2012-04-28T00:00:00Z"/>
        <d v="2011-06-09T00:00:00Z"/>
        <d v="2015-09-25T00:00:00Z"/>
        <d v="2016-09-19T00:00:00Z"/>
        <d v="2014-12-04T00:00:00Z"/>
        <d v="2014-10-31T00:00:00Z"/>
        <d v="2017-04-03T00:00:00Z"/>
        <d v="2015-05-30T00:00:00Z"/>
        <d v="2016-07-16T00:00:00Z"/>
        <d v="2011-07-08T00:00:00Z"/>
        <d v="2016-08-16T00:00:00Z"/>
        <d v="2014-12-21T00:00:00Z"/>
        <d v="2012-07-22T00:00:00Z"/>
        <d v="2016-01-20T00:00:00Z"/>
        <d v="2011-12-05T00:00:00Z"/>
        <d v="2012-09-30T00:00:00Z"/>
        <d v="2011-04-05T00:00:00Z"/>
        <d v="2013-02-25T00:00:00Z"/>
        <d v="2016-01-22T00:00:00Z"/>
        <d v="2015-07-03T00:00:00Z"/>
        <d v="2010-11-11T00:00:00Z"/>
        <d v="2017-04-21T00:00:00Z"/>
        <d v="2012-03-16T00:00:00Z"/>
        <d v="2012-03-21T00:00:00Z"/>
        <d v="2011-10-21T00:00:00Z"/>
        <d v="2017-04-07T00:00:00Z"/>
        <d v="2015-10-18T00:00:00Z"/>
        <d v="2016-10-24T00:00:00Z"/>
        <d v="2010-12-20T00:00:00Z"/>
        <d v="2010-09-19T00:00:00Z"/>
        <d v="2014-08-25T00:00:00Z"/>
        <d v="2016-03-14T00:00:00Z"/>
        <d v="2012-12-05T00:00:00Z"/>
        <d v="2017-06-28T00:00:00Z"/>
        <d v="2011-02-04T00:00:00Z"/>
        <d v="2015-04-03T00:00:00Z"/>
        <d v="2012-11-08T00:00:00Z"/>
        <d v="2011-03-15T00:00:00Z"/>
        <d v="2016-09-30T00:00:00Z"/>
        <d v="2012-04-22T00:00:00Z"/>
        <d v="2015-07-09T00:00:00Z"/>
        <d v="2013-03-24T00:00:00Z"/>
        <d v="2010-12-08T00:00:00Z"/>
        <d v="2016-09-28T00:00:00Z"/>
        <d v="2016-05-06T00:00:00Z"/>
        <d v="2011-09-10T00:00:00Z"/>
        <d v="2015-02-16T00:00:00Z"/>
        <d v="2011-04-18T00:00:00Z"/>
        <d v="2016-05-25T00:00:00Z"/>
        <d v="2011-01-31T00:00:00Z"/>
        <d v="2014-03-31T00:00:00Z"/>
        <d v="2010-05-22T00:00:00Z"/>
        <d v="2016-01-11T00:00:00Z"/>
        <d v="2010-10-07T00:00:00Z"/>
        <d v="2010-02-20T00:00:00Z"/>
        <d v="2012-04-13T00:00:00Z"/>
        <d v="2013-03-15T00:00:00Z"/>
        <d v="2015-05-05T00:00:00Z"/>
        <d v="2011-02-15T00:00:00Z"/>
        <d v="2011-04-26T00:00:00Z"/>
        <d v="2011-09-11T00:00:00Z"/>
        <d v="2016-06-09T00:00:00Z"/>
        <d v="2014-05-08T00:00:00Z"/>
        <d v="2012-11-05T00:00:00Z"/>
        <d v="2012-05-17T00:00:00Z"/>
        <d v="2016-11-14T00:00:00Z"/>
        <d v="2017-04-22T00:00:00Z"/>
        <d v="2014-05-10T00:00:00Z"/>
        <d v="2012-10-24T00:00:00Z"/>
        <d v="2012-08-12T00:00:00Z"/>
        <d v="2012-09-06T00:00:00Z"/>
        <d v="2014-11-03T00:00:00Z"/>
        <d v="2012-02-13T00:00:00Z"/>
        <d v="2015-07-12T00:00:00Z"/>
        <d v="2010-03-04T00:00:00Z"/>
        <d v="2014-04-09T00:00:00Z"/>
        <d v="2012-09-11T00:00:00Z"/>
        <d v="2015-04-24T00:00:00Z"/>
        <d v="2015-03-16T00:00:00Z"/>
        <d v="2014-02-12T00:00:00Z"/>
        <d v="2014-11-06T00:00:00Z"/>
        <d v="2010-09-12T00:00:00Z"/>
        <d v="2016-08-03T00:00:00Z"/>
        <d v="2014-01-27T00:00:00Z"/>
        <d v="2013-11-10T00:00:00Z"/>
        <d v="2011-01-21T00:00:00Z"/>
        <d v="2016-01-25T00:00:00Z"/>
        <d v="2011-09-02T00:00:00Z"/>
        <d v="2016-08-12T00:00:00Z"/>
        <d v="2016-05-23T00:00:00Z"/>
        <d v="2015-08-11T00:00:00Z"/>
        <d v="2017-01-14T00:00:00Z"/>
        <d v="2011-05-07T00:00:00Z"/>
        <d v="2015-09-09T00:00:00Z"/>
        <d v="2017-06-30T00:00:00Z"/>
        <d v="2011-01-02T00:00:00Z"/>
        <d v="2016-04-15T00:00:00Z"/>
        <d v="2013-05-24T00:00:00Z"/>
        <d v="2016-04-26T00:00:00Z"/>
        <d v="2015-12-25T00:00:00Z"/>
        <d v="2011-09-08T00:00:00Z"/>
        <d v="2010-07-19T00:00:00Z"/>
        <d v="2014-02-21T00:00:00Z"/>
        <d v="2013-03-03T00:00:00Z"/>
        <d v="2012-03-15T00:00:00Z"/>
        <d v="2014-09-25T00:00:00Z"/>
        <d v="2012-08-21T00:00:00Z"/>
        <d v="2011-07-17T00:00:00Z"/>
        <d v="2014-04-15T00:00:00Z"/>
        <d v="2014-01-14T00:00:00Z"/>
        <d v="2014-02-02T00:00:00Z"/>
        <d v="2015-07-26T00:00:00Z"/>
        <d v="2012-10-09T00:00:00Z"/>
        <d v="2012-09-17T00:00:00Z"/>
        <d v="2012-10-26T00:00:00Z"/>
        <d v="2013-07-24T00:00:00Z"/>
        <d v="2013-08-12T00:00:00Z"/>
        <d v="2011-03-30T00:00:00Z"/>
        <d v="2015-04-01T00:00:00Z"/>
        <d v="2015-10-19T00:00:00Z"/>
        <d v="2014-10-21T00:00:00Z"/>
        <d v="2015-11-02T00:00:00Z"/>
        <d v="2011-05-25T00:00:00Z"/>
        <d v="2015-10-27T00:00:00Z"/>
        <d v="2011-05-11T00:00:00Z"/>
        <d v="2012-04-26T00:00:00Z"/>
        <d v="2016-07-06T00:00:00Z"/>
        <d v="2016-09-12T00:00:00Z"/>
        <d v="2016-10-01T00:00:00Z"/>
        <d v="2013-06-20T00:00:00Z"/>
        <d v="2010-10-13T00:00:00Z"/>
        <d v="2011-04-07T00:00:00Z"/>
        <d v="2010-06-09T00:00:00Z"/>
        <d v="2016-02-29T00:00:00Z"/>
        <d v="2014-06-11T00:00:00Z"/>
        <d v="2012-10-12T00:00:00Z"/>
        <d v="2012-02-21T00:00:00Z"/>
        <d v="2010-12-02T00:00:00Z"/>
        <d v="2015-12-17T00:00:00Z"/>
        <d v="2017-02-09T00:00:00Z"/>
        <d v="2014-04-19T00:00:00Z"/>
        <d v="2016-03-23T00:00:00Z"/>
        <d v="2014-02-10T00:00:00Z"/>
        <d v="2014-05-28T00:00:00Z"/>
        <d v="2011-06-24T00:00:00Z"/>
        <d v="2015-05-31T00:00:00Z"/>
        <d v="2013-04-26T00:00:00Z"/>
        <d v="2015-07-28T00:00:00Z"/>
        <d v="2016-12-18T00:00:00Z"/>
        <d v="2016-03-11T00:00:00Z"/>
        <d v="2014-06-26T00:00:00Z"/>
        <d v="2011-11-21T00:00:00Z"/>
        <d v="2015-09-26T00:00:00Z"/>
        <d v="2014-07-28T00:00:00Z"/>
        <d v="2015-02-11T00:00:00Z"/>
        <d v="2012-10-18T00:00:00Z"/>
        <d v="2013-02-11T00:00:00Z"/>
        <d v="2014-06-24T00:00:00Z"/>
        <d v="2015-07-30T00:00:00Z"/>
        <d v="2012-10-04T00:00:00Z"/>
        <d v="2012-11-06T00:00:00Z"/>
        <d v="2010-10-31T00:00:00Z"/>
        <d v="2014-06-27T00:00:00Z"/>
        <d v="2012-12-15T00:00:00Z"/>
        <d v="2011-02-22T00:00:00Z"/>
        <d v="2012-06-03T00:00:00Z"/>
        <d v="2014-04-27T00:00:00Z"/>
        <d v="2017-06-21T00:00:00Z"/>
        <d v="2010-03-08T00:00:00Z"/>
        <d v="2013-05-26T00:00:00Z"/>
        <d v="2015-11-26T00:00:00Z"/>
        <d v="2013-08-24T00:00:00Z"/>
        <d v="2011-09-26T00:00:00Z"/>
        <d v="2016-04-29T00:00:00Z"/>
        <d v="2010-01-10T00:00:00Z"/>
        <d v="2010-06-23T00:00:00Z"/>
        <d v="2013-06-10T00:00:00Z"/>
        <d v="2016-11-04T00:00:00Z"/>
        <d v="2013-02-10T00:00:00Z"/>
        <d v="2016-12-27T00:00:00Z"/>
        <d v="2015-01-09T00:00:00Z"/>
        <d v="2016-12-23T00:00:00Z"/>
        <d v="2017-05-02T00:00:00Z"/>
        <d v="2015-06-23T00:00:00Z"/>
        <d v="2013-03-16T00:00:00Z"/>
        <d v="2010-08-23T00:00:00Z"/>
        <d v="2011-05-21T00:00:00Z"/>
        <d v="2010-03-19T00:00:00Z"/>
        <d v="2017-03-03T00:00:00Z"/>
        <d v="2012-06-13T00:00:00Z"/>
        <d v="2014-11-23T00:00:00Z"/>
        <d v="2011-12-08T00:00:00Z"/>
        <d v="2014-01-05T00:00:00Z"/>
        <d v="2010-05-16T00:00:00Z"/>
        <d v="2013-11-18T00:00:00Z"/>
        <d v="2017-07-17T00:00:00Z"/>
        <d v="2016-11-17T00:00:00Z"/>
        <d v="2016-01-30T00:00:00Z"/>
        <d v="2015-02-13T00:00:00Z"/>
        <d v="2016-12-31T00:00:00Z"/>
        <d v="2010-12-30T00:00:00Z"/>
        <d v="2016-09-18T00:00:00Z"/>
        <d v="2012-06-18T00:00:00Z"/>
        <d v="2017-01-12T00:00:00Z"/>
        <d v="2015-03-24T00:00:00Z"/>
        <d v="2016-11-15T00:00:00Z"/>
        <d v="2012-05-09T00:00:00Z"/>
        <d v="2014-01-08T00:00:00Z"/>
        <d v="2013-01-06T00:00:00Z"/>
        <d v="2012-01-07T00:00:00Z"/>
        <d v="2016-03-04T00:00:00Z"/>
        <d v="2011-02-02T00:00:00Z"/>
        <d v="2012-04-08T00:00:00Z"/>
        <d v="2015-03-07T00:00:00Z"/>
        <d v="2012-06-22T00:00:00Z"/>
        <d v="2012-10-30T00:00:00Z"/>
        <d v="2017-03-31T00:00:00Z"/>
        <d v="2012-04-06T00:00:00Z"/>
        <d v="2013-02-13T00:00:00Z"/>
        <d v="2014-01-21T00:00:00Z"/>
        <d v="2015-06-27T00:00:00Z"/>
        <d v="2013-07-19T00:00:00Z"/>
        <d v="2013-12-15T00:00:00Z"/>
        <d v="2011-06-27T00:00:00Z"/>
        <d v="2014-06-15T00:00:00Z"/>
        <d v="2010-07-12T00:00:00Z"/>
        <d v="2014-01-09T00:00:00Z"/>
        <d v="2012-08-20T00:00:00Z"/>
        <d v="2012-12-18T00:00:00Z"/>
        <d v="2014-11-10T00:00:00Z"/>
        <d v="2013-07-31T00:00:00Z"/>
        <d v="2012-10-19T00:00:00Z"/>
        <d v="2016-03-17T00:00:00Z"/>
        <d v="2010-07-28T00:00:00Z"/>
        <d v="2013-08-22T00:00:00Z"/>
        <d v="2014-05-27T00:00:00Z"/>
        <d v="2016-05-10T00:00:00Z"/>
        <d v="2010-08-14T00:00:00Z"/>
        <d v="2010-02-13T00:00:00Z"/>
        <d v="2014-03-14T00:00:00Z"/>
        <d v="2017-03-08T00:00:00Z"/>
        <d v="2016-09-27T00:00:00Z"/>
        <d v="2012-07-31T00:00:00Z"/>
        <d v="2011-10-09T00:00:00Z"/>
        <d v="2012-10-20T00:00:00Z"/>
        <d v="2014-12-12T00:00:00Z"/>
        <d v="2010-01-18T00:00:00Z"/>
        <d v="2013-03-14T00:00:00Z"/>
        <d v="2011-02-21T00:00:00Z"/>
        <d v="2012-08-01T00:00:00Z"/>
        <d v="2016-07-29T00:00:00Z"/>
        <d v="2012-03-02T00:00:00Z"/>
        <d v="2015-06-26T00:00:00Z"/>
        <d v="2011-02-26T00:00:00Z"/>
        <d v="2010-10-16T00:00:00Z"/>
        <d v="2014-07-06T00:00:00Z"/>
        <d v="2016-09-06T00:00:00Z"/>
        <d v="2014-06-19T00:00:00Z"/>
        <d v="2014-01-06T00:00:00Z"/>
        <d v="2014-07-26T00:00:00Z"/>
        <d v="2013-02-14T00:00:00Z"/>
        <d v="2012-01-02T00:00:00Z"/>
        <d v="2011-01-22T00:00:00Z"/>
        <d v="2014-11-24T00:00:00Z"/>
        <d v="2013-11-26T00:00:00Z"/>
        <d v="2013-06-27T00:00:00Z"/>
        <d v="2012-02-17T00:00:00Z"/>
        <d v="2013-09-10T00:00:00Z"/>
        <d v="2015-11-09T00:00:00Z"/>
        <d v="2017-04-25T00:00:00Z"/>
        <d v="2013-06-03T00:00:00Z"/>
        <d v="2015-02-12T00:00:00Z"/>
        <d v="2016-12-06T00:00:00Z"/>
        <d v="2011-05-23T00:00:00Z"/>
        <d v="2013-10-17T00:00:00Z"/>
        <d v="2014-11-22T00:00:00Z"/>
        <d v="2017-06-03T00:00:00Z"/>
        <d v="2015-11-25T00:00:00Z"/>
        <d v="2017-02-12T00:00:00Z"/>
        <d v="2016-11-29T00:00:00Z"/>
        <d v="2010-01-30T00:00:00Z"/>
        <d v="2010-08-28T00:00:00Z"/>
        <d v="2012-09-28T00:00:00Z"/>
        <d v="2015-05-06T00:00:00Z"/>
        <d v="2010-01-13T00:00:00Z"/>
        <d v="2016-03-28T00:00:00Z"/>
        <d v="2015-04-15T00:00:00Z"/>
        <d v="2012-09-29T00:00:00Z"/>
        <d v="2016-05-13T00:00:00Z"/>
        <d v="2011-01-28T00:00:00Z"/>
        <d v="2011-10-22T00:00:00Z"/>
        <d v="2010-01-26T00:00:00Z"/>
        <d v="2011-04-23T00:00:00Z"/>
        <d v="2011-11-05T00:00:00Z"/>
        <d v="2017-05-28T00:00:00Z"/>
        <d v="2011-07-20T00:00:00Z"/>
        <d v="2016-06-17T00:00:00Z"/>
        <d v="2011-07-24T00:00:00Z"/>
        <d v="2016-11-28T00:00:00Z"/>
        <d v="2017-05-06T00:00:00Z"/>
        <d v="2014-08-05T00:00:00Z"/>
        <d v="2012-08-29T00:00:00Z"/>
        <d v="2013-06-13T00:00:00Z"/>
        <d v="2016-05-09T00:00:00Z"/>
        <d v="2013-04-28T00:00:00Z"/>
        <d v="2016-08-14T00:00:00Z"/>
        <d v="2014-07-27T00:00:00Z"/>
        <d v="2010-08-27T00:00:00Z"/>
        <d v="2017-01-26T00:00:00Z"/>
        <d v="2012-04-21T00:00:00Z"/>
        <d v="2017-04-04T00:00:00Z"/>
        <d v="2010-02-10T00:00:00Z"/>
        <d v="2014-02-17T00:00:00Z"/>
        <d v="2014-12-23T00:00:00Z"/>
        <d v="2010-12-10T00:00:00Z"/>
        <d v="2010-10-20T00:00:00Z"/>
        <d v="2011-04-10T00:00:00Z"/>
        <d v="2015-07-27T00:00:00Z"/>
        <d v="2010-03-17T00:00:00Z"/>
        <d v="2012-07-08T00:00:00Z"/>
        <d v="2014-06-21T00:00:00Z"/>
        <d v="2011-12-30T00:00:00Z"/>
        <d v="2011-12-15T00:00:00Z"/>
        <d v="2014-11-25T00:00:00Z"/>
        <d v="2016-08-10T00:00:00Z"/>
        <d v="2014-08-11T00:00:00Z"/>
        <d v="2015-07-18T00:00:00Z"/>
        <d v="2013-05-14T00:00:00Z"/>
        <d v="2010-12-13T00:00:00Z"/>
        <d v="2011-07-29T00:00:00Z"/>
        <d v="2016-05-11T00:00:00Z"/>
        <d v="2013-12-27T00:00:00Z"/>
        <d v="2014-03-12T00:00:00Z"/>
        <d v="2012-05-02T00:00:00Z"/>
        <d v="2010-11-12T00:00:00Z"/>
        <d v="2016-12-12T00:00:00Z"/>
        <d v="2010-07-10T00:00:00Z"/>
        <d v="2011-07-12T00:00:00Z"/>
        <d v="2015-12-23T00:00:00Z"/>
        <d v="2017-03-19T00:00:00Z"/>
        <d v="2014-08-12T00:00:00Z"/>
        <d v="2014-04-30T00:00:00Z"/>
        <d v="2016-08-21T00:00:00Z"/>
        <d v="2013-12-08T00:00:00Z"/>
        <d v="2013-08-08T00:00:00Z"/>
        <d v="2011-01-27T00:00:00Z"/>
        <d v="2014-06-03T00:00:00Z"/>
        <d v="2014-08-10T00:00:00Z"/>
        <d v="2010-10-01T00:00:00Z"/>
        <d v="2013-11-05T00:00:00Z"/>
        <d v="2010-11-22T00:00:00Z"/>
        <d v="2011-09-18T00:00:00Z"/>
        <d v="2010-08-21T00:00:00Z"/>
        <d v="2010-06-19T00:00:00Z"/>
        <d v="2015-10-10T00:00:00Z"/>
        <d v="2017-02-21T00:00:00Z"/>
        <d v="2017-05-05T00:00:00Z"/>
        <d v="2010-04-10T00:00:00Z"/>
        <d v="2012-05-30T00:00:00Z"/>
        <d v="2011-04-13T00:00:00Z"/>
        <d v="2015-08-13T00:00:00Z"/>
        <d v="2013-05-08T00:00:00Z"/>
        <d v="2010-11-16T00:00:00Z"/>
        <d v="2014-04-13T00:00:00Z"/>
        <d v="2016-11-01T00:00:00Z"/>
        <d v="2015-10-13T00:00:00Z"/>
        <d v="2014-01-13T00:00:00Z"/>
        <d v="2014-04-22T00:00:00Z"/>
        <d v="2010-06-13T00:00:00Z"/>
        <d v="2012-04-05T00:00:00Z"/>
        <d v="2014-02-06T00:00:00Z"/>
        <d v="2017-07-03T00:00:00Z"/>
        <d v="2013-10-08T00:00:00Z"/>
        <d v="2013-11-02T00:00:00Z"/>
        <d v="2010-09-01T00:00:00Z"/>
        <d v="2013-10-31T00:00:00Z"/>
        <d v="2011-08-17T00:00:00Z"/>
        <d v="2012-09-12T00:00:00Z"/>
        <d v="2010-04-21T00:00:00Z"/>
        <d v="2013-03-10T00:00:00Z"/>
        <d v="2011-08-27T00:00:00Z"/>
        <d v="2013-08-05T00:00:00Z"/>
        <d v="2016-03-27T00:00:00Z"/>
        <d v="2017-03-17T00:00:00Z"/>
        <d v="2017-05-14T00:00:00Z"/>
        <d v="2011-04-09T00:00:00Z"/>
        <d v="2017-02-18T00:00:00Z"/>
        <d v="2015-07-05T00:00:00Z"/>
        <d v="2011-01-15T00:00:00Z"/>
        <d v="2011-02-17T00:00:00Z"/>
        <d v="2017-05-22T00:00:00Z"/>
        <d v="2013-06-25T00:00:00Z"/>
        <d v="2013-10-09T00:00:00Z"/>
        <d v="2012-04-19T00:00:00Z"/>
        <d v="2013-11-13T00:00:00Z"/>
        <d v="2015-12-02T00:00:00Z"/>
        <d v="2010-10-03T00:00:00Z"/>
        <d v="2016-02-25T00:00:00Z"/>
        <d v="2011-01-08T00:00:00Z"/>
        <d v="2016-06-01T00:00:00Z"/>
        <d v="2011-10-30T00:00:00Z"/>
        <d v="2010-03-14T00:00:00Z"/>
        <d v="2014-10-03T00:00:00Z"/>
        <d v="2011-02-09T00:00:00Z"/>
        <d v="2013-02-08T00:00:00Z"/>
        <d v="2014-12-19T00:00:00Z"/>
        <d v="2014-01-30T00:00:00Z"/>
        <d v="2015-03-19T00:00:00Z"/>
        <d v="2016-07-12T00:00:00Z"/>
        <d v="2013-09-07T00:00:00Z"/>
        <d v="2010-12-03T00:00:00Z"/>
        <d v="2012-04-07T00:00:00Z"/>
        <d v="2017-07-05T00:00:00Z"/>
        <d v="2017-01-24T00:00:00Z"/>
        <d v="2017-06-16T00:00:00Z"/>
        <d v="2011-07-14T00:00:00Z"/>
        <d v="2014-05-23T00:00:00Z"/>
        <d v="2011-05-22T00:00:00Z"/>
        <d v="2016-08-18T00:00:00Z"/>
        <d v="2015-08-31T00:00:00Z"/>
        <d v="2011-03-09T00:00:00Z"/>
        <d v="2010-08-25T00:00:00Z"/>
        <d v="2014-07-31T00:00:00Z"/>
        <d v="2012-08-26T00:00:00Z"/>
        <d v="2013-11-12T00:00:00Z"/>
        <d v="2011-12-28T00:00:00Z"/>
        <d v="2010-10-26T00:00:00Z"/>
        <d v="2013-06-01T00:00:00Z"/>
        <d v="2015-08-22T00:00:00Z"/>
        <d v="2017-03-15T00:00:00Z"/>
        <d v="2016-06-05T00:00:00Z"/>
        <d v="2011-05-18T00:00:00Z"/>
        <d v="2017-07-23T00:00:00Z"/>
        <d v="2017-02-06T00:00:00Z"/>
        <d v="2013-12-14T00:00:00Z"/>
        <d v="2010-09-18T00:00:00Z"/>
        <d v="2013-09-06T00:00:00Z"/>
        <d v="2013-07-27T00:00:00Z"/>
        <d v="2012-01-27T00:00:00Z"/>
        <d v="2011-04-17T00:00:00Z"/>
        <d v="2011-10-01T00:00:00Z"/>
        <d v="2013-01-31T00:00:00Z"/>
        <d v="2012-04-12T00:00:00Z"/>
        <d v="2014-08-13T00:00:00Z"/>
        <d v="2010-07-16T00:00:00Z"/>
        <d v="2010-11-28T00:00:00Z"/>
        <d v="2012-06-11T00:00:00Z"/>
        <d v="2015-04-22T00:00:00Z"/>
        <d v="2013-11-30T00:00:00Z"/>
        <d v="2014-01-17T00:00:00Z"/>
        <d v="2011-03-08T00:00:00Z"/>
        <d v="2016-02-08T00:00:00Z"/>
        <d v="2015-06-07T00:00:00Z"/>
        <d v="2017-01-10T00:00:00Z"/>
        <d v="2014-12-05T00:00:00Z"/>
      </sharedItems>
    </cacheField>
    <cacheField name="Ship Date" numFmtId="165">
      <sharedItems containsSemiMixedTypes="0" containsDate="1" containsString="0">
        <d v="2014-10-18T00:00:00Z"/>
        <d v="2016-08-11T00:00:00Z"/>
        <d v="2014-08-11T00:00:00Z"/>
        <d v="2017-06-13T00:00:00Z"/>
        <d v="2012-09-18T00:00:00Z"/>
        <d v="2015-04-18T00:00:00Z"/>
        <d v="2013-06-06T00:00:00Z"/>
        <d v="2011-12-14T00:00:00Z"/>
        <d v="2012-10-20T00:00:00Z"/>
        <d v="2011-02-22T00:00:00Z"/>
        <d v="2012-03-06T00:00:00Z"/>
        <d v="2017-03-12T00:00:00Z"/>
        <d v="2013-04-21T00:00:00Z"/>
        <d v="2014-01-05T00:00:00Z"/>
        <d v="2016-06-13T00:00:00Z"/>
        <d v="2013-11-11T00:00:00Z"/>
        <d v="2015-03-27T00:00:00Z"/>
        <d v="2012-04-16T00:00:00Z"/>
        <d v="2012-07-13T00:00:00Z"/>
        <d v="2017-07-02T00:00:00Z"/>
        <d v="2011-06-04T00:00:00Z"/>
        <d v="2016-12-02T00:00:00Z"/>
        <d v="2017-01-11T00:00:00Z"/>
        <d v="2010-12-09T00:00:00Z"/>
        <d v="2010-02-11T00:00:00Z"/>
        <d v="2016-01-10T00:00:00Z"/>
        <d v="2015-03-02T00:00:00Z"/>
        <d v="2016-03-13T00:00:00Z"/>
        <d v="2014-08-17T00:00:00Z"/>
        <d v="2011-07-01T00:00:00Z"/>
        <d v="2015-01-27T00:00:00Z"/>
        <d v="2015-06-26T00:00:00Z"/>
        <d v="2011-05-02T00:00:00Z"/>
        <d v="2016-12-18T00:00:00Z"/>
        <d v="2017-04-12T00:00:00Z"/>
        <d v="2017-05-24T00:00:00Z"/>
        <d v="2016-01-13T00:00:00Z"/>
        <d v="2017-04-25T00:00:00Z"/>
        <d v="2014-02-20T00:00:00Z"/>
        <d v="2010-06-22T00:00:00Z"/>
        <d v="2012-08-02T00:00:00Z"/>
        <d v="2017-07-24T00:00:00Z"/>
        <d v="2012-06-06T00:00:00Z"/>
        <d v="2017-07-09T00:00:00Z"/>
        <d v="2011-12-27T00:00:00Z"/>
        <d v="2013-10-29T00:00:00Z"/>
        <d v="2010-10-23T00:00:00Z"/>
        <d v="2011-03-13T00:00:00Z"/>
        <d v="2011-03-28T00:00:00Z"/>
        <d v="2013-06-20T00:00:00Z"/>
        <d v="2012-07-18T00:00:00Z"/>
        <d v="2011-04-26T00:00:00Z"/>
        <d v="2014-04-24T00:00:00Z"/>
        <d v="2013-10-01T00:00:00Z"/>
        <d v="2013-11-02T00:00:00Z"/>
        <d v="2017-04-13T00:00:00Z"/>
        <d v="2017-07-20T00:00:00Z"/>
        <d v="2012-11-06T00:00:00Z"/>
        <d v="2016-03-15T00:00:00Z"/>
        <d v="2011-04-08T00:00:00Z"/>
        <d v="2012-04-26T00:00:00Z"/>
        <d v="2016-03-08T00:00:00Z"/>
        <d v="2013-08-03T00:00:00Z"/>
        <d v="2014-08-16T00:00:00Z"/>
        <d v="2010-07-09T00:00:00Z"/>
        <d v="2016-09-06T00:00:00Z"/>
        <d v="2014-07-14T00:00:00Z"/>
        <d v="2014-07-20T00:00:00Z"/>
        <d v="2011-04-30T00:00:00Z"/>
        <d v="2013-08-29T00:00:00Z"/>
        <d v="2012-08-16T00:00:00Z"/>
        <d v="2011-04-16T00:00:00Z"/>
        <d v="2014-02-19T00:00:00Z"/>
        <d v="2013-09-01T00:00:00Z"/>
        <d v="2012-06-03T00:00:00Z"/>
        <d v="2013-08-01T00:00:00Z"/>
        <d v="2011-02-19T00:00:00Z"/>
        <d v="2012-01-07T00:00:00Z"/>
        <d v="2015-11-05T00:00:00Z"/>
        <d v="2013-09-25T00:00:00Z"/>
        <d v="2013-05-29T00:00:00Z"/>
        <d v="2015-06-21T00:00:00Z"/>
        <d v="2017-07-12T00:00:00Z"/>
        <d v="2012-06-22T00:00:00Z"/>
        <d v="2013-02-21T00:00:00Z"/>
        <d v="2012-05-19T00:00:00Z"/>
        <d v="2010-05-08T00:00:00Z"/>
        <d v="2011-09-20T00:00:00Z"/>
        <d v="2014-02-05T00:00:00Z"/>
        <d v="2015-03-29T00:00:00Z"/>
        <d v="2016-08-05T00:00:00Z"/>
        <d v="2015-06-18T00:00:00Z"/>
        <d v="2014-05-10T00:00:00Z"/>
        <d v="2012-12-17T00:00:00Z"/>
        <d v="2015-10-30T00:00:00Z"/>
        <d v="2011-11-13T00:00:00Z"/>
        <d v="2010-03-15T00:00:00Z"/>
        <d v="2012-10-03T00:00:00Z"/>
        <d v="2012-11-12T00:00:00Z"/>
        <d v="2011-10-19T00:00:00Z"/>
        <d v="2016-04-19T00:00:00Z"/>
        <d v="2017-05-01T00:00:00Z"/>
        <d v="2015-04-29T00:00:00Z"/>
        <d v="2011-11-21T00:00:00Z"/>
        <d v="2012-03-10T00:00:00Z"/>
        <d v="2014-09-21T00:00:00Z"/>
        <d v="2013-08-19T00:00:00Z"/>
        <d v="2010-12-10T00:00:00Z"/>
        <d v="2014-04-10T00:00:00Z"/>
        <d v="2012-11-20T00:00:00Z"/>
        <d v="2015-07-25T00:00:00Z"/>
        <d v="2017-08-13T00:00:00Z"/>
        <d v="2016-07-29T00:00:00Z"/>
        <d v="2014-06-14T00:00:00Z"/>
        <d v="2013-10-28T00:00:00Z"/>
        <d v="2012-09-16T00:00:00Z"/>
        <d v="2013-08-17T00:00:00Z"/>
        <d v="2015-10-18T00:00:00Z"/>
        <d v="2012-06-02T00:00:00Z"/>
        <d v="2016-05-16T00:00:00Z"/>
        <d v="2011-01-12T00:00:00Z"/>
        <d v="2017-06-03T00:00:00Z"/>
        <d v="2016-02-14T00:00:00Z"/>
        <d v="2010-07-12T00:00:00Z"/>
        <d v="2013-01-07T00:00:00Z"/>
        <d v="2014-06-11T00:00:00Z"/>
        <d v="2014-10-31T00:00:00Z"/>
        <d v="2015-04-07T00:00:00Z"/>
        <d v="2015-09-21T00:00:00Z"/>
        <d v="2012-01-27T00:00:00Z"/>
        <d v="2011-05-28T00:00:00Z"/>
        <d v="2015-08-29T00:00:00Z"/>
        <d v="2015-12-15T00:00:00Z"/>
        <d v="2017-04-23T00:00:00Z"/>
        <d v="2011-05-14T00:00:00Z"/>
        <d v="2014-05-20T00:00:00Z"/>
        <d v="2012-06-30T00:00:00Z"/>
        <d v="2012-09-03T00:00:00Z"/>
        <d v="2013-03-21T00:00:00Z"/>
        <d v="2017-08-05T00:00:00Z"/>
        <d v="2017-03-22T00:00:00Z"/>
        <d v="2012-12-16T00:00:00Z"/>
        <d v="2012-05-01T00:00:00Z"/>
        <d v="2016-09-13T00:00:00Z"/>
        <d v="2017-08-20T00:00:00Z"/>
        <d v="2014-11-13T00:00:00Z"/>
        <d v="2011-05-22T00:00:00Z"/>
        <d v="2012-02-07T00:00:00Z"/>
        <d v="2014-09-04T00:00:00Z"/>
        <d v="2013-08-14T00:00:00Z"/>
        <d v="2013-10-11T00:00:00Z"/>
        <d v="2011-04-12T00:00:00Z"/>
        <d v="2011-12-19T00:00:00Z"/>
        <d v="2014-05-04T00:00:00Z"/>
        <d v="2012-01-31T00:00:00Z"/>
        <d v="2014-02-25T00:00:00Z"/>
        <d v="2013-02-09T00:00:00Z"/>
        <d v="2015-07-28T00:00:00Z"/>
        <d v="2010-07-18T00:00:00Z"/>
        <d v="2011-09-26T00:00:00Z"/>
        <d v="2015-09-03T00:00:00Z"/>
        <d v="2012-02-20T00:00:00Z"/>
        <d v="2015-10-15T00:00:00Z"/>
        <d v="2015-12-29T00:00:00Z"/>
        <d v="2015-01-22T00:00:00Z"/>
        <d v="2014-04-20T00:00:00Z"/>
        <d v="2013-01-11T00:00:00Z"/>
        <d v="2014-09-24T00:00:00Z"/>
        <d v="2010-03-23T00:00:00Z"/>
        <d v="2015-05-15T00:00:00Z"/>
        <d v="2015-02-26T00:00:00Z"/>
        <d v="2015-12-03T00:00:00Z"/>
        <d v="2012-04-13T00:00:00Z"/>
        <d v="2012-12-24T00:00:00Z"/>
        <d v="2017-06-21T00:00:00Z"/>
        <d v="2015-12-19T00:00:00Z"/>
        <d v="2014-06-08T00:00:00Z"/>
        <d v="2012-06-15T00:00:00Z"/>
        <d v="2016-03-05T00:00:00Z"/>
        <d v="2011-06-25T00:00:00Z"/>
        <d v="2014-07-02T00:00:00Z"/>
        <d v="2013-10-17T00:00:00Z"/>
        <d v="2011-09-01T00:00:00Z"/>
        <d v="2010-04-01T00:00:00Z"/>
        <d v="2017-01-04T00:00:00Z"/>
        <d v="2010-06-27T00:00:00Z"/>
        <d v="2014-07-30T00:00:00Z"/>
        <d v="2012-12-03T00:00:00Z"/>
        <d v="2010-08-03T00:00:00Z"/>
        <d v="2011-12-10T00:00:00Z"/>
        <d v="2012-07-15T00:00:00Z"/>
        <d v="2015-10-07T00:00:00Z"/>
        <d v="2015-05-16T00:00:00Z"/>
        <d v="2010-02-22T00:00:00Z"/>
        <d v="2014-11-01T00:00:00Z"/>
        <d v="2017-08-04T00:00:00Z"/>
        <d v="2016-02-17T00:00:00Z"/>
        <d v="2014-10-16T00:00:00Z"/>
        <d v="2014-03-09T00:00:00Z"/>
        <d v="2014-01-26T00:00:00Z"/>
        <d v="2013-02-07T00:00:00Z"/>
        <d v="2016-07-26T00:00:00Z"/>
        <d v="2017-04-20T00:00:00Z"/>
        <d v="2012-02-13T00:00:00Z"/>
        <d v="2017-03-16T00:00:00Z"/>
        <d v="2010-05-03T00:00:00Z"/>
        <d v="2014-07-16T00:00:00Z"/>
        <d v="2013-07-03T00:00:00Z"/>
        <d v="2016-09-04T00:00:00Z"/>
        <d v="2016-03-28T00:00:00Z"/>
        <d v="2017-05-30T00:00:00Z"/>
        <d v="2017-01-22T00:00:00Z"/>
        <d v="2015-12-17T00:00:00Z"/>
        <d v="2010-06-25T00:00:00Z"/>
        <d v="2012-04-15T00:00:00Z"/>
        <d v="2015-07-29T00:00:00Z"/>
        <d v="2014-05-01T00:00:00Z"/>
        <d v="2012-08-14T00:00:00Z"/>
        <d v="2016-11-24T00:00:00Z"/>
        <d v="2013-03-07T00:00:00Z"/>
        <d v="2015-07-19T00:00:00Z"/>
        <d v="2010-10-01T00:00:00Z"/>
        <d v="2017-07-05T00:00:00Z"/>
        <d v="2016-06-12T00:00:00Z"/>
        <d v="2010-12-27T00:00:00Z"/>
        <d v="2012-10-30T00:00:00Z"/>
        <d v="2014-08-21T00:00:00Z"/>
        <d v="2017-05-13T00:00:00Z"/>
        <d v="2015-08-01T00:00:00Z"/>
        <d v="2013-01-16T00:00:00Z"/>
        <d v="2014-07-04T00:00:00Z"/>
        <d v="2012-03-30T00:00:00Z"/>
        <d v="2012-06-29T00:00:00Z"/>
        <d v="2011-02-27T00:00:00Z"/>
        <d v="2017-01-10T00:00:00Z"/>
        <d v="2016-09-22T00:00:00Z"/>
        <d v="2014-10-07T00:00:00Z"/>
        <d v="2011-12-23T00:00:00Z"/>
        <d v="2016-01-27T00:00:00Z"/>
        <d v="2013-10-18T00:00:00Z"/>
        <d v="2014-09-26T00:00:00Z"/>
        <d v="2015-02-21T00:00:00Z"/>
        <d v="2013-10-10T00:00:00Z"/>
        <d v="2014-06-19T00:00:00Z"/>
        <d v="2010-02-28T00:00:00Z"/>
        <d v="2015-01-24T00:00:00Z"/>
        <d v="2010-07-03T00:00:00Z"/>
        <d v="2011-03-21T00:00:00Z"/>
        <d v="2010-07-23T00:00:00Z"/>
        <d v="2017-05-11T00:00:00Z"/>
        <d v="2012-07-10T00:00:00Z"/>
        <d v="2015-04-15T00:00:00Z"/>
        <d v="2011-09-03T00:00:00Z"/>
        <d v="2010-11-05T00:00:00Z"/>
        <d v="2014-02-24T00:00:00Z"/>
        <d v="2010-01-10T00:00:00Z"/>
        <d v="2014-04-14T00:00:00Z"/>
        <d v="2011-08-28T00:00:00Z"/>
        <d v="2011-10-24T00:00:00Z"/>
        <d v="2012-11-03T00:00:00Z"/>
        <d v="2014-04-03T00:00:00Z"/>
        <d v="2016-09-02T00:00:00Z"/>
        <d v="2016-12-27T00:00:00Z"/>
        <d v="2013-06-29T00:00:00Z"/>
        <d v="2016-10-29T00:00:00Z"/>
        <d v="2014-09-05T00:00:00Z"/>
        <d v="2013-01-05T00:00:00Z"/>
        <d v="2015-02-16T00:00:00Z"/>
        <d v="2015-12-30T00:00:00Z"/>
        <d v="2016-04-02T00:00:00Z"/>
        <d v="2012-05-26T00:00:00Z"/>
        <d v="2017-02-20T00:00:00Z"/>
        <d v="2013-01-06T00:00:00Z"/>
        <d v="2013-10-26T00:00:00Z"/>
        <d v="2017-02-10T00:00:00Z"/>
        <d v="2010-06-06T00:00:00Z"/>
        <d v="2012-06-05T00:00:00Z"/>
        <d v="2010-06-01T00:00:00Z"/>
        <d v="2016-07-16T00:00:00Z"/>
        <d v="2015-06-04T00:00:00Z"/>
        <d v="2010-10-25T00:00:00Z"/>
        <d v="2014-01-28T00:00:00Z"/>
        <d v="2011-12-24T00:00:00Z"/>
        <d v="2016-09-01T00:00:00Z"/>
        <d v="2014-04-17T00:00:00Z"/>
        <d v="2013-01-17T00:00:00Z"/>
        <d v="2014-11-02T00:00:00Z"/>
        <d v="2011-08-18T00:00:00Z"/>
        <d v="2011-06-03T00:00:00Z"/>
        <d v="2010-07-01T00:00:00Z"/>
        <d v="2012-11-18T00:00:00Z"/>
        <d v="2013-08-10T00:00:00Z"/>
        <d v="2011-01-01T00:00:00Z"/>
        <d v="2012-05-05T00:00:00Z"/>
        <d v="2015-08-12T00:00:00Z"/>
        <d v="2017-04-17T00:00:00Z"/>
        <d v="2014-05-21T00:00:00Z"/>
        <d v="2016-05-07T00:00:00Z"/>
        <d v="2015-02-14T00:00:00Z"/>
        <d v="2010-08-26T00:00:00Z"/>
        <d v="2013-12-06T00:00:00Z"/>
        <d v="2016-07-10T00:00:00Z"/>
        <d v="2011-01-17T00:00:00Z"/>
        <d v="2012-07-12T00:00:00Z"/>
        <d v="2013-11-28T00:00:00Z"/>
        <d v="2014-06-02T00:00:00Z"/>
        <d v="2017-06-05T00:00:00Z"/>
        <d v="2015-04-17T00:00:00Z"/>
        <d v="2015-05-20T00:00:00Z"/>
        <d v="2016-02-02T00:00:00Z"/>
        <d v="2012-01-30T00:00:00Z"/>
        <d v="2013-11-16T00:00:00Z"/>
        <d v="2013-05-13T00:00:00Z"/>
        <d v="2012-07-19T00:00:00Z"/>
        <d v="2011-01-23T00:00:00Z"/>
        <d v="2012-03-14T00:00:00Z"/>
        <d v="2013-12-14T00:00:00Z"/>
        <d v="2010-11-22T00:00:00Z"/>
        <d v="2010-05-11T00:00:00Z"/>
        <d v="2012-06-16T00:00:00Z"/>
        <d v="2010-02-23T00:00:00Z"/>
        <d v="2012-01-28T00:00:00Z"/>
        <d v="2011-10-25T00:00:00Z"/>
        <d v="2015-06-13T00:00:00Z"/>
        <d v="2010-07-26T00:00:00Z"/>
        <d v="2017-03-07T00:00:00Z"/>
        <d v="2013-04-25T00:00:00Z"/>
        <d v="2017-05-28T00:00:00Z"/>
        <d v="2014-04-02T00:00:00Z"/>
        <d v="2010-11-20T00:00:00Z"/>
        <d v="2011-04-02T00:00:00Z"/>
        <d v="2014-09-17T00:00:00Z"/>
        <d v="2010-05-19T00:00:00Z"/>
        <d v="2016-09-28T00:00:00Z"/>
        <d v="2016-09-11T00:00:00Z"/>
        <d v="2012-04-22T00:00:00Z"/>
        <d v="2011-01-22T00:00:00Z"/>
        <d v="2016-05-08T00:00:00Z"/>
        <d v="2017-03-27T00:00:00Z"/>
        <d v="2013-07-09T00:00:00Z"/>
        <d v="2012-08-22T00:00:00Z"/>
        <d v="2014-06-09T00:00:00Z"/>
        <d v="2010-12-08T00:00:00Z"/>
        <d v="2014-10-04T00:00:00Z"/>
        <d v="2016-05-23T00:00:00Z"/>
        <d v="2012-11-27T00:00:00Z"/>
        <d v="2012-07-31T00:00:00Z"/>
        <d v="2012-12-29T00:00:00Z"/>
        <d v="2010-06-08T00:00:00Z"/>
        <d v="2015-02-06T00:00:00Z"/>
        <d v="2010-01-18T00:00:00Z"/>
        <d v="2015-06-29T00:00:00Z"/>
        <d v="2014-07-28T00:00:00Z"/>
        <d v="2013-03-17T00:00:00Z"/>
        <d v="2017-02-02T00:00:00Z"/>
        <d v="2015-10-03T00:00:00Z"/>
        <d v="2014-03-08T00:00:00Z"/>
        <d v="2011-08-06T00:00:00Z"/>
        <d v="2017-02-15T00:00:00Z"/>
        <d v="2012-08-03T00:00:00Z"/>
        <d v="2016-07-18T00:00:00Z"/>
        <d v="2014-12-14T00:00:00Z"/>
        <d v="2012-02-19T00:00:00Z"/>
        <d v="2011-07-30T00:00:00Z"/>
        <d v="2013-10-16T00:00:00Z"/>
        <d v="2011-04-03T00:00:00Z"/>
        <d v="2016-01-19T00:00:00Z"/>
        <d v="2014-10-08T00:00:00Z"/>
        <d v="2011-11-26T00:00:00Z"/>
        <d v="2012-09-06T00:00:00Z"/>
        <d v="2016-08-08T00:00:00Z"/>
        <d v="2012-11-28T00:00:00Z"/>
        <d v="2010-12-02T00:00:00Z"/>
        <d v="2017-07-16T00:00:00Z"/>
        <d v="2014-05-13T00:00:00Z"/>
        <d v="2011-12-29T00:00:00Z"/>
        <d v="2015-02-23T00:00:00Z"/>
        <d v="2013-04-13T00:00:00Z"/>
        <d v="2012-03-25T00:00:00Z"/>
        <d v="2014-10-23T00:00:00Z"/>
        <d v="2013-03-27T00:00:00Z"/>
        <d v="2016-08-26T00:00:00Z"/>
        <d v="2010-04-26T00:00:00Z"/>
        <d v="2011-06-19T00:00:00Z"/>
        <d v="2016-10-19T00:00:00Z"/>
        <d v="2015-04-03T00:00:00Z"/>
        <d v="2015-11-07T00:00:00Z"/>
        <d v="2012-03-18T00:00:00Z"/>
        <d v="2013-04-05T00:00:00Z"/>
        <d v="2011-01-02T00:00:00Z"/>
        <d v="2014-04-25T00:00:00Z"/>
        <d v="2014-01-04T00:00:00Z"/>
        <d v="2012-05-10T00:00:00Z"/>
        <d v="2017-01-08T00:00:00Z"/>
        <d v="2016-12-11T00:00:00Z"/>
        <d v="2015-02-22T00:00:00Z"/>
        <d v="2011-07-03T00:00:00Z"/>
        <d v="2010-06-03T00:00:00Z"/>
        <d v="2010-01-31T00:00:00Z"/>
        <d v="2012-08-29T00:00:00Z"/>
        <d v="2016-08-04T00:00:00Z"/>
        <d v="2016-02-09T00:00:00Z"/>
        <d v="2010-12-01T00:00:00Z"/>
        <d v="2016-02-26T00:00:00Z"/>
        <d v="2010-03-18T00:00:00Z"/>
        <d v="2013-03-31T00:00:00Z"/>
        <d v="2014-12-01T00:00:00Z"/>
        <d v="2012-08-12T00:00:00Z"/>
        <d v="2010-03-02T00:00:00Z"/>
        <d v="2014-05-26T00:00:00Z"/>
        <d v="2015-06-24T00:00:00Z"/>
        <d v="2015-01-05T00:00:00Z"/>
        <d v="2013-07-20T00:00:00Z"/>
        <d v="2011-04-11T00:00:00Z"/>
        <d v="2016-02-19T00:00:00Z"/>
        <d v="2015-09-08T00:00:00Z"/>
        <d v="2015-01-02T00:00:00Z"/>
        <d v="2016-05-19T00:00:00Z"/>
        <d v="2014-08-25T00:00:00Z"/>
        <d v="2016-07-04T00:00:00Z"/>
        <d v="2013-11-13T00:00:00Z"/>
        <d v="2013-05-18T00:00:00Z"/>
        <d v="2014-09-07T00:00:00Z"/>
        <d v="2016-12-22T00:00:00Z"/>
        <d v="2012-02-22T00:00:00Z"/>
        <d v="2017-04-10T00:00:00Z"/>
        <d v="2012-09-01T00:00:00Z"/>
        <d v="2013-01-31T00:00:00Z"/>
        <d v="2016-06-11T00:00:00Z"/>
        <d v="2016-07-02T00:00:00Z"/>
        <d v="2015-05-31T00:00:00Z"/>
        <d v="2014-09-11T00:00:00Z"/>
        <d v="2017-07-10T00:00:00Z"/>
        <d v="2012-02-23T00:00:00Z"/>
        <d v="2011-04-15T00:00:00Z"/>
        <d v="2012-02-18T00:00:00Z"/>
        <d v="2013-12-10T00:00:00Z"/>
        <d v="2015-04-11T00:00:00Z"/>
        <d v="2016-06-17T00:00:00Z"/>
        <d v="2013-03-04T00:00:00Z"/>
        <d v="2012-01-08T00:00:00Z"/>
        <d v="2013-05-17T00:00:00Z"/>
        <d v="2010-09-11T00:00:00Z"/>
        <d v="2015-12-11T00:00:00Z"/>
        <d v="2013-12-05T00:00:00Z"/>
        <d v="2014-11-11T00:00:00Z"/>
        <d v="2013-06-10T00:00:00Z"/>
        <d v="2015-10-13T00:00:00Z"/>
        <d v="2015-10-19T00:00:00Z"/>
        <d v="2011-06-29T00:00:00Z"/>
        <d v="2013-04-19T00:00:00Z"/>
        <d v="2010-09-08T00:00:00Z"/>
        <d v="2012-08-13T00:00:00Z"/>
        <d v="2010-11-03T00:00:00Z"/>
        <d v="2013-10-27T00:00:00Z"/>
        <d v="2013-12-03T00:00:00Z"/>
        <d v="2011-12-17T00:00:00Z"/>
        <d v="2015-02-19T00:00:00Z"/>
        <d v="2013-04-07T00:00:00Z"/>
        <d v="2011-07-29T00:00:00Z"/>
        <d v="2012-06-26T00:00:00Z"/>
        <d v="2017-02-19T00:00:00Z"/>
        <d v="2011-11-02T00:00:00Z"/>
        <d v="2010-10-08T00:00:00Z"/>
        <d v="2015-04-09T00:00:00Z"/>
        <d v="2016-04-28T00:00:00Z"/>
        <d v="2013-05-09T00:00:00Z"/>
        <d v="2013-09-27T00:00:00Z"/>
        <d v="2014-01-20T00:00:00Z"/>
        <d v="2013-04-01T00:00:00Z"/>
        <d v="2012-01-09T00:00:00Z"/>
        <d v="2014-02-27T00:00:00Z"/>
        <d v="2015-07-07T00:00:00Z"/>
        <d v="2011-11-25T00:00:00Z"/>
        <d v="2015-11-01T00:00:00Z"/>
        <d v="2014-09-19T00:00:00Z"/>
        <d v="2010-04-25T00:00:00Z"/>
        <d v="2016-08-14T00:00:00Z"/>
        <d v="2016-04-03T00:00:00Z"/>
        <d v="2014-04-16T00:00:00Z"/>
        <d v="2012-01-02T00:00:00Z"/>
        <d v="2015-02-10T00:00:00Z"/>
        <d v="2014-03-19T00:00:00Z"/>
        <d v="2011-09-06T00:00:00Z"/>
        <d v="2012-02-02T00:00:00Z"/>
        <d v="2014-08-18T00:00:00Z"/>
        <d v="2012-12-02T00:00:00Z"/>
        <d v="2015-04-16T00:00:00Z"/>
        <d v="2013-12-04T00:00:00Z"/>
        <d v="2012-03-22T00:00:00Z"/>
        <d v="2017-02-25T00:00:00Z"/>
        <d v="2016-03-22T00:00:00Z"/>
        <d v="2016-03-21T00:00:00Z"/>
        <d v="2013-05-02T00:00:00Z"/>
        <d v="2016-10-01T00:00:00Z"/>
        <d v="2014-02-10T00:00:00Z"/>
        <d v="2011-03-14T00:00:00Z"/>
        <d v="2010-09-07T00:00:00Z"/>
        <d v="2011-08-16T00:00:00Z"/>
        <d v="2013-04-12T00:00:00Z"/>
        <d v="2013-08-08T00:00:00Z"/>
        <d v="2016-04-08T00:00:00Z"/>
        <d v="2015-10-20T00:00:00Z"/>
        <d v="2016-12-21T00:00:00Z"/>
        <d v="2010-10-02T00:00:00Z"/>
        <d v="2011-01-26T00:00:00Z"/>
        <d v="2013-08-24T00:00:00Z"/>
        <d v="2013-12-11T00:00:00Z"/>
        <d v="2010-06-17T00:00:00Z"/>
        <d v="2015-03-21T00:00:00Z"/>
        <d v="2014-10-01T00:00:00Z"/>
        <d v="2013-01-24T00:00:00Z"/>
        <d v="2011-12-16T00:00:00Z"/>
        <d v="2010-09-04T00:00:00Z"/>
        <d v="2011-05-26T00:00:00Z"/>
        <d v="2017-08-10T00:00:00Z"/>
        <d v="2016-03-07T00:00:00Z"/>
        <d v="2010-02-04T00:00:00Z"/>
        <d v="2015-06-07T00:00:00Z"/>
        <d v="2011-09-29T00:00:00Z"/>
        <d v="2010-01-27T00:00:00Z"/>
        <d v="2011-11-14T00:00:00Z"/>
        <d v="2017-04-05T00:00:00Z"/>
        <d v="2010-02-05T00:00:00Z"/>
        <d v="2015-11-24T00:00:00Z"/>
        <d v="2016-12-03T00:00:00Z"/>
        <d v="2012-09-26T00:00:00Z"/>
        <d v="2010-05-04T00:00:00Z"/>
        <d v="2016-12-14T00:00:00Z"/>
        <d v="2017-05-19T00:00:00Z"/>
        <d v="2014-10-11T00:00:00Z"/>
        <d v="2016-11-13T00:00:00Z"/>
        <d v="2015-11-18T00:00:00Z"/>
        <d v="2011-04-17T00:00:00Z"/>
        <d v="2010-05-20T00:00:00Z"/>
        <d v="2014-11-07T00:00:00Z"/>
        <d v="2013-04-11T00:00:00Z"/>
        <d v="2012-12-26T00:00:00Z"/>
        <d v="2015-10-08T00:00:00Z"/>
        <d v="2012-12-11T00:00:00Z"/>
        <d v="2015-05-01T00:00:00Z"/>
        <d v="2015-05-10T00:00:00Z"/>
        <d v="2013-11-07T00:00:00Z"/>
        <d v="2016-01-11T00:00:00Z"/>
        <d v="2016-01-14T00:00:00Z"/>
        <d v="2010-06-12T00:00:00Z"/>
        <d v="2012-11-11T00:00:00Z"/>
        <d v="2014-03-20T00:00:00Z"/>
        <d v="2011-09-27T00:00:00Z"/>
        <d v="2011-12-22T00:00:00Z"/>
        <d v="2010-09-23T00:00:00Z"/>
        <d v="2010-11-04T00:00:00Z"/>
        <d v="2015-05-07T00:00:00Z"/>
        <d v="2015-06-22T00:00:00Z"/>
        <d v="2015-10-09T00:00:00Z"/>
        <d v="2016-09-05T00:00:00Z"/>
        <d v="2017-08-07T00:00:00Z"/>
        <d v="2012-03-19T00:00:00Z"/>
        <d v="2011-02-17T00:00:00Z"/>
        <d v="2012-02-21T00:00:00Z"/>
        <d v="2012-09-24T00:00:00Z"/>
        <d v="2010-03-06T00:00:00Z"/>
        <d v="2012-02-26T00:00:00Z"/>
        <d v="2015-06-20T00:00:00Z"/>
        <d v="2017-04-14T00:00:00Z"/>
        <d v="2016-10-22T00:00:00Z"/>
        <d v="2015-01-17T00:00:00Z"/>
        <d v="2011-07-24T00:00:00Z"/>
        <d v="2010-04-15T00:00:00Z"/>
        <d v="2011-11-07T00:00:00Z"/>
        <d v="2010-04-03T00:00:00Z"/>
        <d v="2010-02-03T00:00:00Z"/>
        <d v="2015-11-20T00:00:00Z"/>
        <d v="2011-08-04T00:00:00Z"/>
        <d v="2013-12-16T00:00:00Z"/>
        <d v="2013-03-22T00:00:00Z"/>
        <d v="2014-11-16T00:00:00Z"/>
        <d v="2013-10-13T00:00:00Z"/>
        <d v="2014-12-31T00:00:00Z"/>
        <d v="2015-11-23T00:00:00Z"/>
        <d v="2012-10-22T00:00:00Z"/>
        <d v="2011-06-21T00:00:00Z"/>
        <d v="2011-12-04T00:00:00Z"/>
        <d v="2017-01-12T00:00:00Z"/>
        <d v="2012-06-20T00:00:00Z"/>
        <d v="2012-01-11T00:00:00Z"/>
        <d v="2013-07-10T00:00:00Z"/>
        <d v="2012-05-11T00:00:00Z"/>
        <d v="2015-11-09T00:00:00Z"/>
        <d v="2011-02-02T00:00:00Z"/>
        <d v="2014-06-03T00:00:00Z"/>
        <d v="2010-10-29T00:00:00Z"/>
        <d v="2013-02-24T00:00:00Z"/>
        <d v="2012-08-27T00:00:00Z"/>
        <d v="2015-09-02T00:00:00Z"/>
        <d v="2010-06-07T00:00:00Z"/>
        <d v="2016-12-26T00:00:00Z"/>
        <d v="2015-03-10T00:00:00Z"/>
        <d v="2014-07-23T00:00:00Z"/>
        <d v="2010-09-01T00:00:00Z"/>
        <d v="2014-06-01T00:00:00Z"/>
        <d v="2014-10-25T00:00:00Z"/>
        <d v="2013-05-22T00:00:00Z"/>
        <d v="2013-12-19T00:00:00Z"/>
        <d v="2010-12-12T00:00:00Z"/>
        <d v="2012-05-30T00:00:00Z"/>
        <d v="2011-07-14T00:00:00Z"/>
        <d v="2015-09-29T00:00:00Z"/>
        <d v="2016-10-09T00:00:00Z"/>
        <d v="2014-12-06T00:00:00Z"/>
        <d v="2012-04-04T00:00:00Z"/>
        <d v="2014-12-02T00:00:00Z"/>
        <d v="2015-07-17T00:00:00Z"/>
        <d v="2016-08-15T00:00:00Z"/>
        <d v="2011-08-05T00:00:00Z"/>
        <d v="2011-09-24T00:00:00Z"/>
        <d v="2016-09-09T00:00:00Z"/>
        <d v="2015-01-13T00:00:00Z"/>
        <d v="2012-08-06T00:00:00Z"/>
        <d v="2016-01-28T00:00:00Z"/>
        <d v="2011-12-07T00:00:00Z"/>
        <d v="2012-10-29T00:00:00Z"/>
        <d v="2011-05-17T00:00:00Z"/>
        <d v="2013-02-28T00:00:00Z"/>
        <d v="2016-02-22T00:00:00Z"/>
        <d v="2015-07-16T00:00:00Z"/>
        <d v="2014-01-29T00:00:00Z"/>
        <d v="2010-12-19T00:00:00Z"/>
        <d v="2017-04-26T00:00:00Z"/>
        <d v="2012-03-23T00:00:00Z"/>
        <d v="2012-03-27T00:00:00Z"/>
        <d v="2015-11-30T00:00:00Z"/>
        <d v="2016-11-26T00:00:00Z"/>
        <d v="2010-12-24T00:00:00Z"/>
        <d v="2014-09-30T00:00:00Z"/>
        <d v="2017-01-01T00:00:00Z"/>
        <d v="2016-04-01T00:00:00Z"/>
        <d v="2017-07-13T00:00:00Z"/>
        <d v="2011-03-22T00:00:00Z"/>
        <d v="2015-04-26T00:00:00Z"/>
        <d v="2012-11-24T00:00:00Z"/>
        <d v="2011-03-29T00:00:00Z"/>
        <d v="2012-05-15T00:00:00Z"/>
        <d v="2015-07-15T00:00:00Z"/>
        <d v="2010-12-11T00:00:00Z"/>
        <d v="2016-11-01T00:00:00Z"/>
        <d v="2016-05-12T00:00:00Z"/>
        <d v="2011-10-14T00:00:00Z"/>
        <d v="2011-11-08T00:00:00Z"/>
        <d v="2015-02-20T00:00:00Z"/>
        <d v="2011-04-24T00:00:00Z"/>
        <d v="2016-05-28T00:00:00Z"/>
        <d v="2014-04-05T00:00:00Z"/>
        <d v="2010-06-26T00:00:00Z"/>
        <d v="2016-02-05T00:00:00Z"/>
        <d v="2010-10-19T00:00:00Z"/>
        <d v="2010-04-11T00:00:00Z"/>
        <d v="2012-05-04T00:00:00Z"/>
        <d v="2011-03-27T00:00:00Z"/>
        <d v="2011-05-24T00:00:00Z"/>
        <d v="2011-10-12T00:00:00Z"/>
        <d v="2016-07-28T00:00:00Z"/>
        <d v="2014-05-30T00:00:00Z"/>
        <d v="2012-06-25T00:00:00Z"/>
        <d v="2016-12-30T00:00:00Z"/>
        <d v="2012-06-17T00:00:00Z"/>
        <d v="2017-06-06T00:00:00Z"/>
        <d v="2011-12-21T00:00:00Z"/>
        <d v="2012-11-04T00:00:00Z"/>
        <d v="2012-09-04T00:00:00Z"/>
        <d v="2014-01-13T00:00:00Z"/>
        <d v="2014-07-26T00:00:00Z"/>
        <d v="2014-11-18T00:00:00Z"/>
        <d v="2012-09-21T00:00:00Z"/>
        <d v="2012-02-14T00:00:00Z"/>
        <d v="2015-08-30T00:00:00Z"/>
        <d v="2010-03-20T00:00:00Z"/>
        <d v="2013-09-10T00:00:00Z"/>
        <d v="2014-05-27T00:00:00Z"/>
        <d v="2010-03-19T00:00:00Z"/>
        <d v="2015-01-07T00:00:00Z"/>
        <d v="2012-09-27T00:00:00Z"/>
        <d v="2015-05-05T00:00:00Z"/>
        <d v="2015-04-02T00:00:00Z"/>
        <d v="2014-02-18T00:00:00Z"/>
        <d v="2014-07-15T00:00:00Z"/>
        <d v="2010-09-20T00:00:00Z"/>
        <d v="2016-04-12T00:00:00Z"/>
        <d v="2014-03-01T00:00:00Z"/>
        <d v="2013-11-30T00:00:00Z"/>
        <d v="2011-01-31T00:00:00Z"/>
        <d v="2011-02-26T00:00:00Z"/>
        <d v="2016-03-03T00:00:00Z"/>
        <d v="2011-10-21T00:00:00Z"/>
        <d v="2016-08-16T00:00:00Z"/>
        <d v="2016-07-05T00:00:00Z"/>
        <d v="2014-05-14T00:00:00Z"/>
        <d v="2015-09-19T00:00:00Z"/>
        <d v="2017-01-18T00:00:00Z"/>
        <d v="2015-09-16T00:00:00Z"/>
        <d v="2012-05-28T00:00:00Z"/>
        <d v="2016-10-31T00:00:00Z"/>
        <d v="2012-12-08T00:00:00Z"/>
        <d v="2016-03-30T00:00:00Z"/>
        <d v="2015-10-01T00:00:00Z"/>
        <d v="2011-01-11T00:00:00Z"/>
        <d v="2012-09-15T00:00:00Z"/>
        <d v="2016-05-05T00:00:00Z"/>
        <d v="2010-03-26T00:00:00Z"/>
        <d v="2015-06-23T00:00:00Z"/>
        <d v="2016-05-13T00:00:00Z"/>
        <d v="2016-02-01T00:00:00Z"/>
        <d v="2010-07-29T00:00:00Z"/>
        <d v="2014-03-14T00:00:00Z"/>
        <d v="2012-04-20T00:00:00Z"/>
        <d v="2014-10-05T00:00:00Z"/>
        <d v="2012-09-25T00:00:00Z"/>
        <d v="2011-08-11T00:00:00Z"/>
        <d v="2014-04-26T00:00:00Z"/>
        <d v="2014-01-06T00:00:00Z"/>
        <d v="2014-01-15T00:00:00Z"/>
        <d v="2014-03-22T00:00:00Z"/>
        <d v="2013-03-08T00:00:00Z"/>
        <d v="2015-04-01T00:00:00Z"/>
        <d v="2015-08-04T00:00:00Z"/>
        <d v="2014-04-29T00:00:00Z"/>
        <d v="2012-10-15T00:00:00Z"/>
        <d v="2012-12-12T00:00:00Z"/>
        <d v="2013-08-21T00:00:00Z"/>
        <d v="2013-09-06T00:00:00Z"/>
        <d v="2017-06-24T00:00:00Z"/>
        <d v="2011-05-10T00:00:00Z"/>
        <d v="2014-10-24T00:00:00Z"/>
        <d v="2015-12-14T00:00:00Z"/>
        <d v="2011-05-30T00:00:00Z"/>
        <d v="2015-12-09T00:00:00Z"/>
        <d v="2011-05-18T00:00:00Z"/>
        <d v="2017-07-25T00:00:00Z"/>
        <d v="2015-07-31T00:00:00Z"/>
        <d v="2016-07-31T00:00:00Z"/>
        <d v="2016-09-26T00:00:00Z"/>
        <d v="2016-11-06T00:00:00Z"/>
        <d v="2013-07-21T00:00:00Z"/>
        <d v="2016-12-13T00:00:00Z"/>
        <d v="2010-11-23T00:00:00Z"/>
        <d v="2011-04-18T00:00:00Z"/>
        <d v="2010-06-18T00:00:00Z"/>
        <d v="2016-03-19T00:00:00Z"/>
        <d v="2012-11-01T00:00:00Z"/>
        <d v="2010-09-26T00:00:00Z"/>
        <d v="2010-12-07T00:00:00Z"/>
        <d v="2015-12-22T00:00:00Z"/>
        <d v="2017-02-21T00:00:00Z"/>
        <d v="2014-04-23T00:00:00Z"/>
        <d v="2016-04-06T00:00:00Z"/>
        <d v="2011-08-09T00:00:00Z"/>
        <d v="2015-06-11T00:00:00Z"/>
        <d v="2013-06-01T00:00:00Z"/>
        <d v="2017-01-05T00:00:00Z"/>
        <d v="2016-04-20T00:00:00Z"/>
        <d v="2014-07-11T00:00:00Z"/>
        <d v="2010-08-15T00:00:00Z"/>
        <d v="2015-10-10T00:00:00Z"/>
        <d v="2014-08-31T00:00:00Z"/>
        <d v="2014-10-10T00:00:00Z"/>
        <d v="2015-02-12T00:00:00Z"/>
        <d v="2012-10-31T00:00:00Z"/>
        <d v="2013-03-28T00:00:00Z"/>
        <d v="2014-07-07T00:00:00Z"/>
        <d v="2012-11-13T00:00:00Z"/>
        <d v="2012-12-10T00:00:00Z"/>
        <d v="2010-11-29T00:00:00Z"/>
        <d v="2014-08-03T00:00:00Z"/>
        <d v="2011-03-02T00:00:00Z"/>
        <d v="2012-07-05T00:00:00Z"/>
        <d v="2017-07-23T00:00:00Z"/>
        <d v="2010-03-22T00:00:00Z"/>
        <d v="2013-07-13T00:00:00Z"/>
        <d v="2015-12-20T00:00:00Z"/>
        <d v="2013-08-31T00:00:00Z"/>
        <d v="2012-04-03T00:00:00Z"/>
        <d v="2011-10-17T00:00:00Z"/>
        <d v="2016-06-16T00:00:00Z"/>
        <d v="2010-02-26T00:00:00Z"/>
        <d v="2010-08-07T00:00:00Z"/>
        <d v="2017-04-01T00:00:00Z"/>
        <d v="2013-07-23T00:00:00Z"/>
        <d v="2016-11-19T00:00:00Z"/>
        <d v="2013-03-19T00:00:00Z"/>
        <d v="2017-01-28T00:00:00Z"/>
        <d v="2015-02-01T00:00:00Z"/>
        <d v="2017-01-24T00:00:00Z"/>
        <d v="2017-05-12T00:00:00Z"/>
        <d v="2013-01-04T00:00:00Z"/>
        <d v="2012-01-06T00:00:00Z"/>
        <d v="2015-07-14T00:00:00Z"/>
        <d v="2010-09-25T00:00:00Z"/>
        <d v="2016-01-02T00:00:00Z"/>
        <d v="2012-07-07T00:00:00Z"/>
        <d v="2015-03-26T00:00:00Z"/>
        <d v="2016-01-21T00:00:00Z"/>
        <d v="2014-12-21T00:00:00Z"/>
        <d v="2014-02-04T00:00:00Z"/>
        <d v="2017-08-31T00:00:00Z"/>
        <d v="2016-03-01T00:00:00Z"/>
        <d v="2012-02-11T00:00:00Z"/>
        <d v="2017-01-26T00:00:00Z"/>
        <d v="2011-01-06T00:00:00Z"/>
        <d v="2016-10-05T00:00:00Z"/>
        <d v="2017-03-01T00:00:00Z"/>
        <d v="2015-03-28T00:00:00Z"/>
        <d v="2016-12-16T00:00:00Z"/>
        <d v="2014-02-02T00:00:00Z"/>
        <d v="2013-02-10T00:00:00Z"/>
        <d v="2012-01-26T00:00:00Z"/>
        <d v="2016-03-26T00:00:00Z"/>
        <d v="2014-02-17T00:00:00Z"/>
        <d v="2011-02-25T00:00:00Z"/>
        <d v="2012-01-10T00:00:00Z"/>
        <d v="2012-05-06T00:00:00Z"/>
        <d v="2015-03-11T00:00:00Z"/>
        <d v="2012-08-01T00:00:00Z"/>
        <d v="2017-04-06T00:00:00Z"/>
        <d v="2012-04-08T00:00:00Z"/>
        <d v="2013-03-11T00:00:00Z"/>
        <d v="2013-09-07T00:00:00Z"/>
        <d v="2014-02-03T00:00:00Z"/>
        <d v="2016-03-16T00:00:00Z"/>
        <d v="2014-07-19T00:00:00Z"/>
        <d v="2011-08-12T00:00:00Z"/>
        <d v="2014-07-05T00:00:00Z"/>
        <d v="2010-07-14T00:00:00Z"/>
        <d v="2014-11-29T00:00:00Z"/>
        <d v="2014-03-04T00:00:00Z"/>
        <d v="2011-07-22T00:00:00Z"/>
        <d v="2013-09-13T00:00:00Z"/>
        <d v="2016-04-23T00:00:00Z"/>
        <d v="2010-09-13T00:00:00Z"/>
        <d v="2017-01-17T00:00:00Z"/>
        <d v="2014-11-17T00:00:00Z"/>
        <d v="2013-09-04T00:00:00Z"/>
        <d v="2014-07-09T00:00:00Z"/>
        <d v="2016-05-11T00:00:00Z"/>
        <d v="2014-06-23T00:00:00Z"/>
        <d v="2014-04-12T00:00:00Z"/>
        <d v="2014-09-15T00:00:00Z"/>
        <d v="2017-04-03T00:00:00Z"/>
        <d v="2017-07-22T00:00:00Z"/>
        <d v="2016-10-25T00:00:00Z"/>
        <d v="2010-07-20T00:00:00Z"/>
        <d v="2016-12-29T00:00:00Z"/>
        <d v="2016-01-25T00:00:00Z"/>
        <d v="2012-05-12T00:00:00Z"/>
        <d v="2014-12-19T00:00:00Z"/>
        <d v="2010-02-09T00:00:00Z"/>
        <d v="2015-03-13T00:00:00Z"/>
        <d v="2013-03-23T00:00:00Z"/>
        <d v="2012-08-21T00:00:00Z"/>
        <d v="2016-08-06T00:00:00Z"/>
        <d v="2015-08-13T00:00:00Z"/>
        <d v="2016-10-14T00:00:00Z"/>
        <d v="2010-11-11T00:00:00Z"/>
        <d v="2014-08-05T00:00:00Z"/>
        <d v="2016-07-19T00:00:00Z"/>
        <d v="2012-09-30T00:00:00Z"/>
        <d v="2014-04-06T00:00:00Z"/>
        <d v="2011-07-17T00:00:00Z"/>
        <d v="2014-07-21T00:00:00Z"/>
        <d v="2010-10-10T00:00:00Z"/>
        <d v="2016-02-23T00:00:00Z"/>
        <d v="2014-02-08T00:00:00Z"/>
        <d v="2014-08-19T00:00:00Z"/>
        <d v="2010-08-25T00:00:00Z"/>
        <d v="2011-01-28T00:00:00Z"/>
        <d v="2016-04-07T00:00:00Z"/>
        <d v="2014-11-27T00:00:00Z"/>
        <d v="2014-01-02T00:00:00Z"/>
        <d v="2013-07-08T00:00:00Z"/>
        <d v="2012-03-05T00:00:00Z"/>
        <d v="2013-10-03T00:00:00Z"/>
        <d v="2012-07-30T00:00:00Z"/>
        <d v="2016-06-18T00:00:00Z"/>
        <d v="2015-12-23T00:00:00Z"/>
        <d v="2017-03-14T00:00:00Z"/>
        <d v="2013-03-09T00:00:00Z"/>
        <d v="2013-06-15T00:00:00Z"/>
        <d v="2017-08-23T00:00:00Z"/>
        <d v="2017-01-02T00:00:00Z"/>
        <d v="2011-05-29T00:00:00Z"/>
        <d v="2013-11-24T00:00:00Z"/>
        <d v="2014-12-15T00:00:00Z"/>
        <d v="2017-07-21T00:00:00Z"/>
        <d v="2010-02-24T00:00:00Z"/>
        <d v="2017-03-23T00:00:00Z"/>
        <d v="2013-11-17T00:00:00Z"/>
        <d v="2016-11-29T00:00:00Z"/>
        <d v="2010-10-15T00:00:00Z"/>
        <d v="2016-11-28T00:00:00Z"/>
        <d v="2013-04-29T00:00:00Z"/>
        <d v="2017-05-14T00:00:00Z"/>
        <d v="2012-10-21T00:00:00Z"/>
        <d v="2015-05-23T00:00:00Z"/>
        <d v="2010-01-20T00:00:00Z"/>
        <d v="2012-07-28T00:00:00Z"/>
        <d v="2010-02-18T00:00:00Z"/>
        <d v="2016-05-04T00:00:00Z"/>
        <d v="2015-05-28T00:00:00Z"/>
        <d v="2012-10-17T00:00:00Z"/>
        <d v="2016-06-09T00:00:00Z"/>
        <d v="2011-02-13T00:00:00Z"/>
        <d v="2010-02-21T00:00:00Z"/>
        <d v="2012-12-21T00:00:00Z"/>
        <d v="2016-10-15T00:00:00Z"/>
        <d v="2015-12-25T00:00:00Z"/>
        <d v="2011-11-24T00:00:00Z"/>
        <d v="2017-06-11T00:00:00Z"/>
        <d v="2011-08-26T00:00:00Z"/>
        <d v="2016-08-01T00:00:00Z"/>
        <d v="2015-03-30T00:00:00Z"/>
        <d v="2017-01-09T00:00:00Z"/>
        <d v="2013-03-30T00:00:00Z"/>
        <d v="2017-06-15T00:00:00Z"/>
        <d v="2014-09-02T00:00:00Z"/>
        <d v="2013-07-29T00:00:00Z"/>
        <d v="2016-06-01T00:00:00Z"/>
        <d v="2013-05-25T00:00:00Z"/>
        <d v="2013-04-03T00:00:00Z"/>
        <d v="2016-09-14T00:00:00Z"/>
        <d v="2014-07-29T00:00:00Z"/>
        <d v="2017-02-24T00:00:00Z"/>
        <d v="2012-05-02T00:00:00Z"/>
        <d v="2017-05-16T00:00:00Z"/>
        <d v="2014-12-24T00:00:00Z"/>
        <d v="2010-12-26T00:00:00Z"/>
        <d v="2010-11-13T00:00:00Z"/>
        <d v="2015-08-11T00:00:00Z"/>
        <d v="2010-04-20T00:00:00Z"/>
        <d v="2012-07-29T00:00:00Z"/>
        <d v="2014-06-26T00:00:00Z"/>
        <d v="2011-12-31T00:00:00Z"/>
        <d v="2011-12-18T00:00:00Z"/>
        <d v="2016-05-31T00:00:00Z"/>
        <d v="2014-11-28T00:00:00Z"/>
        <d v="2012-04-10T00:00:00Z"/>
        <d v="2014-09-25T00:00:00Z"/>
        <d v="2010-12-23T00:00:00Z"/>
        <d v="2011-09-16T00:00:00Z"/>
        <d v="2013-12-30T00:00:00Z"/>
        <d v="2010-02-20T00:00:00Z"/>
        <d v="2014-03-28T00:00:00Z"/>
        <d v="2011-05-25T00:00:00Z"/>
        <d v="2011-09-04T00:00:00Z"/>
        <d v="2016-10-27T00:00:00Z"/>
        <d v="2010-12-21T00:00:00Z"/>
        <d v="2010-12-25T00:00:00Z"/>
        <d v="2015-08-21T00:00:00Z"/>
        <d v="2016-10-02T00:00:00Z"/>
        <d v="2010-11-06T00:00:00Z"/>
        <d v="2012-06-09T00:00:00Z"/>
        <d v="2017-02-07T00:00:00Z"/>
        <d v="2010-05-01T00:00:00Z"/>
        <d v="2014-09-08T00:00:00Z"/>
        <d v="2013-01-15T00:00:00Z"/>
        <d v="2010-10-05T00:00:00Z"/>
        <d v="2010-07-19T00:00:00Z"/>
        <d v="2017-02-28T00:00:00Z"/>
        <d v="2011-07-25T00:00:00Z"/>
        <d v="2013-05-27T00:00:00Z"/>
        <d v="2017-06-20T00:00:00Z"/>
        <d v="2014-06-15T00:00:00Z"/>
        <d v="2012-06-11T00:00:00Z"/>
        <d v="2011-05-12T00:00:00Z"/>
        <d v="2015-09-01T00:00:00Z"/>
        <d v="2013-05-12T00:00:00Z"/>
        <d v="2013-03-12T00:00:00Z"/>
        <d v="2012-03-26T00:00:00Z"/>
        <d v="2017-06-28T00:00:00Z"/>
        <d v="2016-11-20T00:00:00Z"/>
        <d v="2016-01-18T00:00:00Z"/>
        <d v="2012-11-21T00:00:00Z"/>
        <d v="2014-01-23T00:00:00Z"/>
        <d v="2014-05-11T00:00:00Z"/>
        <d v="2010-08-01T00:00:00Z"/>
        <d v="2012-05-16T00:00:00Z"/>
        <d v="2017-07-31T00:00:00Z"/>
        <d v="2015-06-10T00:00:00Z"/>
        <d v="2013-11-01T00:00:00Z"/>
        <d v="2013-12-17T00:00:00Z"/>
        <d v="2011-05-09T00:00:00Z"/>
        <d v="2010-10-03T00:00:00Z"/>
        <d v="2013-10-07T00:00:00Z"/>
        <d v="2011-10-06T00:00:00Z"/>
        <d v="2012-09-23T00:00:00Z"/>
        <d v="2010-04-24T00:00:00Z"/>
        <d v="2013-11-04T00:00:00Z"/>
        <d v="2011-09-18T00:00:00Z"/>
        <d v="2017-06-12T00:00:00Z"/>
        <d v="2014-06-12T00:00:00Z"/>
        <d v="2013-08-11T00:00:00Z"/>
        <d v="2013-11-23T00:00:00Z"/>
        <d v="2017-04-02T00:00:00Z"/>
        <d v="2011-05-23T00:00:00Z"/>
        <d v="2017-03-10T00:00:00Z"/>
        <d v="2015-07-21T00:00:00Z"/>
        <d v="2016-11-25T00:00:00Z"/>
        <d v="2011-02-16T00:00:00Z"/>
        <d v="2011-06-02T00:00:00Z"/>
        <d v="2011-03-15T00:00:00Z"/>
        <d v="2017-05-25T00:00:00Z"/>
        <d v="2014-06-21T00:00:00Z"/>
        <d v="2013-07-26T00:00:00Z"/>
        <d v="2017-03-15T00:00:00Z"/>
        <d v="2013-07-05T00:00:00Z"/>
        <d v="2013-11-21T00:00:00Z"/>
        <d v="2011-06-24T00:00:00Z"/>
        <d v="2015-12-16T00:00:00Z"/>
        <d v="2010-11-18T00:00:00Z"/>
        <d v="2012-09-17T00:00:00Z"/>
        <d v="2011-11-30T00:00:00Z"/>
        <d v="2010-03-16T00:00:00Z"/>
        <d v="2017-03-20T00:00:00Z"/>
        <d v="2014-10-09T00:00:00Z"/>
        <d v="2013-02-08T00:00:00Z"/>
        <d v="2015-01-31T00:00:00Z"/>
        <d v="2014-03-16T00:00:00Z"/>
        <d v="2016-08-30T00:00:00Z"/>
        <d v="2013-10-20T00:00:00Z"/>
        <d v="2011-01-04T00:00:00Z"/>
        <d v="2016-09-30T00:00:00Z"/>
        <d v="2017-08-14T00:00:00Z"/>
        <d v="2017-03-06T00:00:00Z"/>
        <d v="2017-07-03T00:00:00Z"/>
        <d v="2011-08-27T00:00:00Z"/>
        <d v="2014-01-27T00:00:00Z"/>
        <d v="2011-06-17T00:00:00Z"/>
        <d v="2016-05-27T00:00:00Z"/>
        <d v="2015-10-16T00:00:00Z"/>
        <d v="2011-01-08T00:00:00Z"/>
        <d v="2010-09-18T00:00:00Z"/>
        <d v="2011-03-19T00:00:00Z"/>
        <d v="2010-09-10T00:00:00Z"/>
        <d v="2014-08-08T00:00:00Z"/>
        <d v="2013-02-03T00:00:00Z"/>
        <d v="2013-12-07T00:00:00Z"/>
        <d v="2010-10-31T00:00:00Z"/>
        <d v="2014-06-16T00:00:00Z"/>
        <d v="2012-08-17T00:00:00Z"/>
        <d v="2015-10-04T00:00:00Z"/>
        <d v="2017-04-09T00:00:00Z"/>
        <d v="2016-06-26T00:00:00Z"/>
        <d v="2011-06-08T00:00:00Z"/>
        <d v="2011-06-15T00:00:00Z"/>
        <d v="2014-04-08T00:00:00Z"/>
        <d v="2011-03-10T00:00:00Z"/>
        <d v="2015-09-24T00:00:00Z"/>
        <d v="2013-10-08T00:00:00Z"/>
        <d v="2013-08-09T00:00:00Z"/>
        <d v="2011-06-05T00:00:00Z"/>
        <d v="2013-03-13T00:00:00Z"/>
        <d v="2012-04-25T00:00:00Z"/>
        <d v="2014-09-06T00:00:00Z"/>
        <d v="2010-08-27T00:00:00Z"/>
        <d v="2014-12-11T00:00:00Z"/>
        <d v="2012-07-08T00:00:00Z"/>
        <d v="2015-05-25T00:00:00Z"/>
        <d v="2011-03-09T00:00:00Z"/>
        <d v="2016-02-16T00:00:00Z"/>
        <d v="2015-06-30T00:00:00Z"/>
        <d v="2017-01-13T00:00:00Z"/>
        <d v="2010-09-22T00:00:00Z"/>
      </sharedItems>
    </cacheField>
    <cacheField name="Order Priority" numFmtId="0">
      <sharedItems>
        <s v="M"/>
        <s v="C"/>
        <s v="L"/>
        <s v="H"/>
      </sharedItems>
    </cacheField>
    <cacheField name="Country Code" numFmtId="0">
      <sharedItems>
        <s v="NOR"/>
        <s v="SRB"/>
        <e v="#N/A"/>
        <s v="MNE"/>
        <s v="SVK"/>
        <s v="FRA"/>
        <s v="ESP"/>
        <s v="HRV"/>
        <s v="DEU"/>
        <s v="ARM"/>
        <s v="GEO"/>
        <s v="GBR"/>
        <s v="SVN"/>
        <s v="ROU"/>
        <s v="POL"/>
        <s v="LUX"/>
        <s v="CYP"/>
        <s v="BEL"/>
        <s v="LTU"/>
        <s v="RUS"/>
        <s v="MLT"/>
        <s v="UKR"/>
        <s v="CZE"/>
        <s v="PRT"/>
        <s v="BLR"/>
        <s v="EST"/>
        <s v="AUT"/>
        <s v="MKD"/>
        <s v="SMR"/>
        <s v="NLD"/>
        <s v="CHE"/>
        <s v="HUN"/>
        <s v="LVA"/>
        <s v="BGR"/>
        <s v="ITA"/>
        <s v="IRL"/>
        <s v="AND"/>
        <s v="LIE"/>
        <s v="FIN"/>
        <s v="ALB"/>
        <s v="SWE"/>
        <s v="BIH"/>
        <s v="DNK"/>
        <s v="MCO"/>
        <s v="ISL"/>
        <s v="GRC"/>
      </sharedItems>
    </cacheField>
    <cacheField name="Product ID" numFmtId="0">
      <sharedItems containsSemiMixedTypes="0" containsString="0" containsNumber="1" containsInteger="1">
        <n v="2103.0"/>
        <n v="7940.0"/>
        <n v="2455.0"/>
        <n v="1270.0"/>
        <n v="8681.0"/>
        <n v="4594.0"/>
        <n v="5988.0"/>
        <n v="7331.0"/>
        <n v="8875.0"/>
        <n v="8293.0"/>
        <n v="8969.0"/>
        <n v="3127.0"/>
      </sharedItems>
    </cacheField>
    <cacheField name=" " numFmtId="0">
      <sharedItems>
        <s v="Online"/>
        <s v="Offline"/>
      </sharedItems>
    </cacheField>
    <cacheField name="Units Sold" numFmtId="0">
      <sharedItems containsSemiMixedTypes="0" containsString="0" containsNumber="1" containsInteger="1">
        <n v="650.0"/>
        <n v="1993.0"/>
        <n v="4693.0"/>
        <n v="1171.0"/>
        <n v="7648.0"/>
        <n v="2220.0"/>
        <n v="6698.0"/>
        <n v="4419.0"/>
        <n v="5247.0"/>
        <n v="7315.0"/>
        <n v="3796.0"/>
        <n v="1162.0"/>
        <n v="7290.0"/>
        <n v="7076.0"/>
        <n v="9566.0"/>
        <n v="5258.0"/>
        <n v="9025.0"/>
        <n v="4908.0"/>
        <n v="4876.0"/>
        <n v="9103.0"/>
        <n v="3015.0"/>
        <n v="486.0"/>
        <n v="22.0"/>
        <n v="3325.0"/>
        <n v="6349.0"/>
        <n v="7376.0"/>
        <n v="6813.0"/>
        <n v="3293.0"/>
        <n v="2960.0"/>
        <n v="2013.0"/>
        <n v="519.0"/>
        <n v="3771.0"/>
        <n v="8866.0"/>
        <n v="8115.0"/>
        <n v="5242.0"/>
        <n v="4041.0"/>
        <n v="1603.0"/>
        <n v="7619.0"/>
        <n v="2797.0"/>
        <n v="8302.0"/>
        <n v="5138.0"/>
        <n v="9653.0"/>
        <n v="2447.0"/>
        <n v="5762.0"/>
        <n v="6481.0"/>
        <n v="9024.0"/>
        <n v="7918.0"/>
        <n v="9968.0"/>
        <n v="3844.0"/>
        <n v="520.0"/>
        <n v="2839.0"/>
        <n v="1875.0"/>
        <n v="2.0"/>
        <n v="4364.0"/>
        <n v="1962.0"/>
        <n v="7954.0"/>
        <n v="1205.0"/>
        <n v="9188.0"/>
        <n v="8318.0"/>
        <n v="8246.0"/>
        <n v="6360.0"/>
        <n v="9014.0"/>
        <n v="3529.0"/>
        <n v="10.0"/>
        <n v="8980.0"/>
        <n v="1625.0"/>
        <n v="2980.0"/>
        <n v="4613.0"/>
        <n v="5915.0"/>
        <n v="46.0"/>
        <n v="4302.0"/>
        <n v="3065.0"/>
        <n v="888.0"/>
        <n v="2112.0"/>
        <n v="8473.0"/>
        <n v="5386.0"/>
        <n v="1525.0"/>
        <n v="1246.0"/>
        <n v="6999.0"/>
        <n v="5036.0"/>
        <n v="4119.0"/>
        <n v="85.0"/>
        <n v="2350.0"/>
        <n v="3965.0"/>
        <n v="5581.0"/>
        <n v="5669.0"/>
        <n v="691.0"/>
        <n v="8503.0"/>
        <n v="3464.0"/>
        <n v="2511.0"/>
        <n v="7486.0"/>
        <n v="9620.0"/>
        <n v="6542.0"/>
        <n v="3944.0"/>
        <n v="9293.0"/>
        <n v="8959.0"/>
        <n v="7679.0"/>
        <n v="8732.0"/>
        <n v="496.0"/>
        <n v="2089.0"/>
        <n v="2666.0"/>
        <n v="2598.0"/>
        <n v="8048.0"/>
        <n v="4529.0"/>
        <n v="6924.0"/>
        <n v="1789.0"/>
        <n v="8307.0"/>
        <n v="7962.0"/>
        <n v="8039.0"/>
        <n v="3627.0"/>
        <n v="1860.0"/>
        <n v="6443.0"/>
        <n v="9773.0"/>
        <n v="3867.0"/>
        <n v="1085.0"/>
        <n v="6078.0"/>
        <n v="9370.0"/>
        <n v="6140.0"/>
        <n v="5016.0"/>
        <n v="615.0"/>
        <n v="1767.0"/>
        <n v="1420.0"/>
        <n v="800.0"/>
        <n v="6740.0"/>
        <n v="7872.0"/>
        <n v="54.0"/>
        <n v="4375.0"/>
        <n v="2958.0"/>
        <n v="1946.0"/>
        <n v="4301.0"/>
        <n v="531.0"/>
        <n v="8159.0"/>
        <n v="7658.0"/>
        <n v="4796.0"/>
        <n v="8733.0"/>
        <n v="3911.0"/>
        <n v="7322.0"/>
        <n v="1234.0"/>
        <n v="8750.0"/>
        <n v="249.0"/>
        <n v="5598.0"/>
        <n v="1668.0"/>
        <n v="4909.0"/>
        <n v="5796.0"/>
        <n v="314.0"/>
        <n v="8863.0"/>
        <n v="1799.0"/>
        <n v="72.0"/>
        <n v="280.0"/>
        <n v="1742.0"/>
        <n v="791.0"/>
        <n v="4322.0"/>
        <n v="6641.0"/>
        <n v="356.0"/>
        <n v="2037.0"/>
        <n v="606.0"/>
        <n v="1167.0"/>
        <n v="3391.0"/>
        <n v="6302.0"/>
        <n v="9053.0"/>
        <n v="1905.0"/>
        <n v="3931.0"/>
        <n v="3086.0"/>
        <n v="833.0"/>
        <n v="7811.0"/>
        <n v="1224.0"/>
        <n v="8815.0"/>
        <n v="2303.0"/>
        <n v="8337.0"/>
        <n v="3802.0"/>
        <n v="4568.0"/>
        <n v="422.0"/>
        <n v="5967.0"/>
        <n v="8957.0"/>
        <n v="1798.0"/>
        <n v="6052.0"/>
        <n v="2758.0"/>
        <n v="1935.0"/>
        <n v="495.0"/>
        <n v="4958.0"/>
        <n v="7633.0"/>
        <n v="8222.0"/>
        <n v="6509.0"/>
        <n v="9377.0"/>
        <n v="1504.0"/>
        <n v="3755.0"/>
        <n v="6833.0"/>
        <n v="8687.0"/>
        <n v="6801.0"/>
        <n v="6918.0"/>
        <n v="1620.0"/>
        <n v="6280.0"/>
        <n v="192.0"/>
        <n v="138.0"/>
        <n v="7929.0"/>
        <n v="6311.0"/>
        <n v="313.0"/>
        <n v="1722.0"/>
        <n v="905.0"/>
        <n v="9067.0"/>
        <n v="8566.0"/>
        <n v="8792.0"/>
        <n v="9044.0"/>
        <n v="8944.0"/>
        <n v="8651.0"/>
        <n v="8597.0"/>
        <n v="8253.0"/>
        <n v="2304.0"/>
        <n v="1785.0"/>
        <n v="614.0"/>
        <n v="8858.0"/>
        <n v="701.0"/>
        <n v="8739.0"/>
        <n v="3851.0"/>
        <n v="2204.0"/>
        <n v="462.0"/>
        <n v="789.0"/>
        <n v="257.0"/>
        <n v="4417.0"/>
        <n v="8775.0"/>
        <n v="5119.0"/>
        <n v="3008.0"/>
        <n v="123.0"/>
        <n v="407.0"/>
        <n v="7084.0"/>
        <n v="8942.0"/>
        <n v="3961.0"/>
        <n v="1534.0"/>
        <n v="3548.0"/>
        <n v="9648.0"/>
        <n v="3064.0"/>
        <n v="3061.0"/>
        <n v="4602.0"/>
        <n v="2349.0"/>
        <n v="5282.0"/>
        <n v="9996.0"/>
        <n v="4104.0"/>
        <n v="3103.0"/>
        <n v="5509.0"/>
        <n v="3042.0"/>
        <n v="8064.0"/>
        <n v="8641.0"/>
        <n v="7404.0"/>
        <n v="5597.0"/>
        <n v="840.0"/>
        <n v="8152.0"/>
        <n v="5685.0"/>
        <n v="7147.0"/>
        <n v="6291.0"/>
        <n v="4869.0"/>
        <n v="8857.0"/>
        <n v="6115.0"/>
        <n v="3227.0"/>
        <n v="6672.0"/>
        <n v="4028.0"/>
        <n v="6592.0"/>
        <n v="5641.0"/>
        <n v="1644.0"/>
        <n v="3937.0"/>
        <n v="7069.0"/>
        <n v="4316.0"/>
        <n v="5413.0"/>
        <n v="5097.0"/>
        <n v="7080.0"/>
        <n v="1293.0"/>
        <n v="9367.0"/>
        <n v="2767.0"/>
        <n v="4016.0"/>
        <n v="8468.0"/>
        <n v="2866.0"/>
        <n v="567.0"/>
        <n v="2854.0"/>
        <n v="2670.0"/>
        <n v="101.0"/>
        <n v="9625.0"/>
        <n v="7122.0"/>
        <n v="8476.0"/>
        <n v="3383.0"/>
        <n v="71.0"/>
        <n v="6171.0"/>
        <n v="8632.0"/>
        <n v="233.0"/>
        <n v="9780.0"/>
        <n v="5368.0"/>
        <n v="2705.0"/>
        <n v="9505.0"/>
        <n v="3126.0"/>
        <n v="6788.0"/>
        <n v="3784.0"/>
        <n v="6916.0"/>
        <n v="9052.0"/>
        <n v="3504.0"/>
        <n v="1151.0"/>
        <n v="3267.0"/>
        <n v="8801.0"/>
        <n v="8431.0"/>
        <n v="2018.0"/>
        <n v="8379.0"/>
        <n v="7785.0"/>
        <n v="1457.0"/>
        <n v="3545.0"/>
        <n v="7642.0"/>
        <n v="6993.0"/>
        <n v="9454.0"/>
        <n v="7371.0"/>
        <n v="558.0"/>
        <n v="5312.0"/>
        <n v="2819.0"/>
        <n v="4503.0"/>
        <n v="3331.0"/>
        <n v="222.0"/>
        <n v="9018.0"/>
        <n v="6210.0"/>
        <n v="4509.0"/>
        <n v="3214.0"/>
        <n v="5185.0"/>
        <n v="1390.0"/>
        <n v="5552.0"/>
        <n v="9896.0"/>
        <n v="3968.0"/>
        <n v="8229.0"/>
        <n v="7990.0"/>
        <n v="7048.0"/>
        <n v="1545.0"/>
        <n v="5864.0"/>
        <n v="8609.0"/>
        <n v="6506.0"/>
        <n v="6936.0"/>
        <n v="4284.0"/>
        <n v="6876.0"/>
        <n v="4728.0"/>
        <n v="3988.0"/>
        <n v="7923.0"/>
        <n v="4477.0"/>
        <n v="9495.0"/>
        <n v="1046.0"/>
        <n v="6667.0"/>
        <n v="1854.0"/>
        <n v="9492.0"/>
        <n v="9634.0"/>
        <n v="9321.0"/>
        <n v="2311.0"/>
        <n v="5682.0"/>
        <n v="6191.0"/>
        <n v="5129.0"/>
        <n v="6287.0"/>
        <n v="3403.0"/>
        <n v="3664.0"/>
        <n v="5539.0"/>
        <n v="4205.0"/>
        <n v="3646.0"/>
        <n v="3578.0"/>
        <n v="8662.0"/>
        <n v="4508.0"/>
        <n v="869.0"/>
        <n v="750.0"/>
        <n v="4844.0"/>
        <n v="6169.0"/>
        <n v="4141.0"/>
        <n v="2809.0"/>
        <n v="2334.0"/>
        <n v="240.0"/>
        <n v="5193.0"/>
        <n v="5310.0"/>
        <n v="9353.0"/>
        <n v="2908.0"/>
        <n v="1011.0"/>
        <n v="9440.0"/>
        <n v="9528.0"/>
        <n v="1779.0"/>
        <n v="5875.0"/>
        <n v="8586.0"/>
        <n v="2396.0"/>
        <n v="4922.0"/>
        <n v="3685.0"/>
        <n v="3352.0"/>
        <n v="9212.0"/>
        <n v="9061.0"/>
        <n v="1801.0"/>
        <n v="1485.0"/>
        <n v="9214.0"/>
        <n v="6267.0"/>
        <n v="7413.0"/>
        <n v="9419.0"/>
        <n v="4445.0"/>
        <n v="4486.0"/>
        <n v="3348.0"/>
        <n v="7162.0"/>
        <n v="35.0"/>
        <n v="4897.0"/>
        <n v="1562.0"/>
        <n v="9005.0"/>
        <n v="5866.0"/>
        <n v="9895.0"/>
        <n v="1749.0"/>
        <n v="6927.0"/>
        <n v="9946.0"/>
        <n v="9914.0"/>
        <n v="3112.0"/>
        <n v="7902.0"/>
        <n v="933.0"/>
        <n v="6212.0"/>
        <n v="1009.0"/>
        <n v="1877.0"/>
        <n v="2864.0"/>
        <n v="9569.0"/>
        <n v="7683.0"/>
        <n v="9501.0"/>
        <n v="5060.0"/>
        <n v="2938.0"/>
        <n v="9999.0"/>
        <n v="2203.0"/>
        <n v="2394.0"/>
        <n v="3827.0"/>
        <n v="5972.0"/>
        <n v="4681.0"/>
        <n v="5222.0"/>
        <n v="3705.0"/>
        <n v="3045.0"/>
        <n v="6373.0"/>
        <n v="5742.0"/>
        <n v="4988.0"/>
        <n v="7756.0"/>
        <n v="7346.0"/>
        <n v="4615.0"/>
        <n v="1053.0"/>
        <n v="7468.0"/>
        <n v="6742.0"/>
        <n v="523.0"/>
        <n v="8743.0"/>
        <n v="6686.0"/>
        <n v="4629.0"/>
        <n v="6828.0"/>
        <n v="6142.0"/>
        <n v="7670.0"/>
        <n v="6873.0"/>
        <n v="5462.0"/>
        <n v="7778.0"/>
        <n v="5529.0"/>
        <n v="2300.0"/>
        <n v="5157.0"/>
        <n v="9222.0"/>
        <n v="286.0"/>
        <n v="4463.0"/>
        <n v="5102.0"/>
        <n v="4388.0"/>
        <n v="4832.0"/>
        <n v="3119.0"/>
        <n v="9284.0"/>
        <n v="6211.0"/>
        <n v="2569.0"/>
        <n v="2004.0"/>
        <n v="8086.0"/>
        <n v="7360.0"/>
        <n v="6395.0"/>
        <n v="7042.0"/>
        <n v="2191.0"/>
        <n v="4543.0"/>
        <n v="4344.0"/>
        <n v="4606.0"/>
        <n v="3979.0"/>
        <n v="5223.0"/>
        <n v="7302.0"/>
        <n v="7498.0"/>
        <n v="3600.0"/>
        <n v="8016.0"/>
        <n v="150.0"/>
        <n v="7955.0"/>
        <n v="5722.0"/>
        <n v="7813.0"/>
        <n v="6086.0"/>
        <n v="8860.0"/>
        <n v="2558.0"/>
        <n v="9198.0"/>
        <n v="4191.0"/>
        <n v="6612.0"/>
        <n v="6609.0"/>
        <n v="532.0"/>
        <n v="3206.0"/>
        <n v="674.0"/>
        <n v="2902.0"/>
        <n v="2199.0"/>
        <n v="389.0"/>
        <n v="7701.0"/>
        <n v="1482.0"/>
        <n v="5655.0"/>
        <n v="5177.0"/>
        <n v="2554.0"/>
        <n v="9350.0"/>
        <n v="8124.0"/>
        <n v="3524.0"/>
        <n v="707.0"/>
        <n v="9586.0"/>
        <n v="5116.0"/>
        <n v="3534.0"/>
        <n v="5566.0"/>
        <n v="7617.0"/>
        <n v="4744.0"/>
        <n v="6903.0"/>
        <n v="5201.0"/>
        <n v="3975.0"/>
        <n v="6109.0"/>
        <n v="5794.0"/>
        <n v="3540.0"/>
        <n v="334.0"/>
        <n v="4852.0"/>
        <n v="8538.0"/>
        <n v="8993.0"/>
        <n v="6000.0"/>
        <n v="6618.0"/>
        <n v="5306.0"/>
        <n v="1340.0"/>
        <n v="475.0"/>
        <n v="5504.0"/>
        <n v="6489.0"/>
        <n v="5419.0"/>
        <n v="6065.0"/>
        <n v="2815.0"/>
        <n v="9336.0"/>
        <n v="7529.0"/>
        <n v="8169.0"/>
        <n v="920.0"/>
        <n v="616.0"/>
        <n v="983.0"/>
        <n v="5773.0"/>
        <n v="6413.0"/>
        <n v="5579.0"/>
        <n v="1886.0"/>
        <n v="1201.0"/>
        <n v="8092.0"/>
        <n v="5523.0"/>
        <n v="6956.0"/>
        <n v="8179.0"/>
        <n v="5397.0"/>
        <n v="8267.0"/>
        <n v="4657.0"/>
        <n v="9229.0"/>
        <n v="4723.0"/>
        <n v="5090.0"/>
        <n v="4840.0"/>
        <n v="1172.0"/>
        <n v="1354.0"/>
        <n v="344.0"/>
        <n v="4159.0"/>
        <n v="5578.0"/>
        <n v="2099.0"/>
        <n v="2807.0"/>
        <n v="1225.0"/>
        <n v="7455.0"/>
        <n v="1211.0"/>
        <n v="4778.0"/>
        <n v="8451.0"/>
        <n v="6238.0"/>
        <n v="4906.0"/>
        <n v="4755.0"/>
        <n v="9048.0"/>
        <n v="1276.0"/>
        <n v="8678.0"/>
        <n v="6411.0"/>
        <n v="3346.0"/>
        <n v="9736.0"/>
        <n v="245.0"/>
        <n v="9357.0"/>
        <n v="3519.0"/>
        <n v="2523.0"/>
        <n v="347.0"/>
        <n v="2622.0"/>
        <n v="5772.0"/>
        <n v="8676.0"/>
        <n v="5868.0"/>
        <n v="7171.0"/>
        <n v="855.0"/>
        <n v="206.0"/>
        <n v="2144.0"/>
        <n v="6240.0"/>
        <n v="4604.0"/>
        <n v="7623.0"/>
        <n v="8342.0"/>
        <n v="4061.0"/>
        <n v="959.0"/>
        <n v="6153.0"/>
        <n v="3488.0"/>
        <n v="8771.0"/>
        <n v="1642.0"/>
        <n v="8631.0"/>
        <n v="5997.0"/>
        <n v="4924.0"/>
        <n v="2326.0"/>
        <n v="1126.0"/>
        <n v="5839.0"/>
        <n v="7009.0"/>
        <n v="2502.0"/>
        <n v="4701.0"/>
        <n v="7797.0"/>
        <n v="4437.0"/>
        <n v="7222.0"/>
        <n v="7603.0"/>
        <n v="1105.0"/>
        <n v="1051.0"/>
        <n v="8416.0"/>
        <n v="2197.0"/>
        <n v="2738.0"/>
        <n v="9034.0"/>
        <n v="9640.0"/>
        <n v="2826.0"/>
        <n v="1296.0"/>
        <n v="5005.0"/>
        <n v="4080.0"/>
        <n v="8504.0"/>
        <n v="9270.0"/>
        <n v="5957.0"/>
        <n v="2979.0"/>
        <n v="5944.0"/>
        <n v="7915.0"/>
        <n v="5633.0"/>
        <n v="3605.0"/>
        <n v="2273.0"/>
        <n v="2045.0"/>
        <n v="17.0"/>
        <n v="3138.0"/>
        <n v="7840.0"/>
        <n v="9880.0"/>
        <n v="9379.0"/>
        <n v="7547.0"/>
        <n v="1775.0"/>
        <n v="3314.0"/>
        <n v="6779.0"/>
        <n v="5370.0"/>
        <n v="5541.0"/>
        <n v="8753.0"/>
        <n v="6986.0"/>
        <n v="8439.0"/>
        <n v="2130.0"/>
        <n v="1111.0"/>
        <n v="1176.0"/>
        <n v="6348.0"/>
        <n v="1500.0"/>
        <n v="2359.0"/>
        <n v="1645.0"/>
        <n v="7604.0"/>
        <n v="114.0"/>
        <n v="1957.0"/>
        <n v="4839.0"/>
        <n v="9963.0"/>
        <n v="3940.0"/>
        <n v="6571.0"/>
        <n v="3843.0"/>
        <n v="3473.0"/>
        <n v="5143.0"/>
        <n v="2073.0"/>
        <n v="3376.0"/>
        <n v="3493.0"/>
        <n v="4622.0"/>
        <n v="7416.0"/>
        <n v="5769.0"/>
        <n v="6997.0"/>
        <n v="9022.0"/>
        <n v="9759.0"/>
        <n v="3682.0"/>
        <n v="5751.0"/>
        <n v="3981.0"/>
        <n v="3256.0"/>
        <n v="9679.0"/>
        <n v="3341.0"/>
        <n v="2111.0"/>
        <n v="3633.0"/>
        <n v="2973.0"/>
        <n v="492.0"/>
        <n v="979.0"/>
        <n v="9445.0"/>
        <n v="1004.0"/>
        <n v="343.0"/>
        <n v="7581.0"/>
        <n v="8910.0"/>
        <n v="9236.0"/>
        <n v="9085.0"/>
        <n v="4565.0"/>
        <n v="7170.0"/>
        <n v="5534.0"/>
        <n v="2715.0"/>
        <n v="8220.0"/>
        <n v="6097.0"/>
        <n v="4197.0"/>
        <n v="1448.0"/>
        <n v="1975.0"/>
        <n v="6054.0"/>
        <n v="7516.0"/>
        <n v="6660.0"/>
        <n v="8729.0"/>
        <n v="9619.0"/>
        <n v="3095.0"/>
        <n v="7309.0"/>
        <n v="9127.0"/>
        <n v="5869.0"/>
        <n v="5046.0"/>
        <n v="859.0"/>
        <n v="2227.0"/>
        <n v="5217.0"/>
        <n v="7006.0"/>
        <n v="1362.0"/>
        <n v="2378.0"/>
        <n v="3020.0"/>
        <n v="7948.0"/>
        <n v="5260.0"/>
        <n v="5075.0"/>
        <n v="773.0"/>
        <n v="3734.0"/>
        <n v="9766.0"/>
        <n v="2422.0"/>
        <n v="1856.0"/>
        <n v="5572.0"/>
        <n v="6485.0"/>
        <n v="7967.0"/>
        <n v="6128.0"/>
        <n v="7656.0"/>
        <n v="3699.0"/>
        <n v="7480.0"/>
        <n v="9929.0"/>
        <n v="6765.0"/>
        <n v="9559.0"/>
        <n v="9530.0"/>
        <n v="5510.0"/>
        <n v="7644.0"/>
        <n v="5639.0"/>
        <n v="2802.0"/>
        <n v="978.0"/>
        <n v="1465.0"/>
        <n v="3092.0"/>
        <n v="2366.0"/>
        <n v="374.0"/>
        <n v="2787.0"/>
        <n v="2258.0"/>
        <n v="3180.0"/>
        <n v="9689.0"/>
        <n v="2659.0"/>
        <n v="2129.0"/>
        <n v="493.0"/>
        <n v="4177.0"/>
        <n v="7296.0"/>
        <n v="7426.0"/>
        <n v="428.0"/>
        <n v="3287.0"/>
        <n v="3582.0"/>
        <n v="7392.0"/>
        <n v="4077.0"/>
        <n v="1443.0"/>
        <n v="8338.0"/>
        <n v="1220.0"/>
        <n v="339.0"/>
        <n v="1997.0"/>
        <n v="4868.0"/>
        <n v="6842.0"/>
        <n v="6375.0"/>
        <n v="7461.0"/>
        <n v="3231.0"/>
        <n v="1523.0"/>
        <n v="7347.0"/>
        <n v="2206.0"/>
        <n v="2602.0"/>
        <n v="2624.0"/>
        <n v="9711.0"/>
        <n v="8539.0"/>
        <n v="1529.0"/>
        <n v="263.0"/>
        <n v="3199.0"/>
        <n v="9941.0"/>
        <n v="4339.0"/>
        <n v="479.0"/>
        <n v="4100.0"/>
        <n v="3135.0"/>
        <n v="4780.0"/>
        <n v="5593.0"/>
        <n v="6711.0"/>
        <n v="2180.0"/>
        <n v="2942.0"/>
        <n v="167.0"/>
        <n v="6213.0"/>
        <n v="1456.0"/>
        <n v="3394.0"/>
        <n v="7837.0"/>
        <n v="2093.0"/>
        <n v="4013.0"/>
        <n v="3382.0"/>
        <n v="9410.0"/>
        <n v="306.0"/>
        <n v="2981.0"/>
        <n v="829.0"/>
        <n v="4705.0"/>
        <n v="673.0"/>
        <n v="710.0"/>
        <n v="6647.0"/>
        <n v="5856.0"/>
        <n v="112.0"/>
        <n v="4047.0"/>
        <n v="7523.0"/>
        <n v="3134.0"/>
        <n v="4977.0"/>
        <n v="3555.0"/>
        <n v="9560.0"/>
        <n v="4934.0"/>
        <n v="8131.0"/>
        <n v="1543.0"/>
        <n v="342.0"/>
        <n v="6416.0"/>
        <n v="1725.0"/>
        <n v="9269.0"/>
        <n v="5118.0"/>
        <n v="9843.0"/>
        <n v="1522.0"/>
        <n v="9875.0"/>
        <n v="7459.0"/>
        <n v="9223.0"/>
        <n v="4757.0"/>
        <n v="8668.0"/>
        <n v="1891.0"/>
        <n v="1194.0"/>
        <n v="8412.0"/>
        <n v="5342.0"/>
        <n v="8517.0"/>
        <n v="2873.0"/>
        <n v="5191.0"/>
        <n v="6201.0"/>
        <n v="7769.0"/>
        <n v="8918.0"/>
        <n v="9680.0"/>
        <n v="391.0"/>
        <n v="33.0"/>
        <n v="3870.0"/>
        <n v="8994.0"/>
        <n v="9958.0"/>
        <n v="9102.0"/>
        <n v="6199.0"/>
        <n v="5735.0"/>
        <n v="5104.0"/>
        <n v="4985.0"/>
        <n v="3559.0"/>
        <n v="7932.0"/>
        <n v="5422.0"/>
        <n v="3840.0"/>
        <n v="8082.0"/>
        <n v="5072.0"/>
        <n v="6266.0"/>
        <n v="2091.0"/>
        <n v="8315.0"/>
        <n v="198.0"/>
        <n v="1723.0"/>
        <n v="2169.0"/>
        <n v="5873.0"/>
        <n v="956.0"/>
        <n v="661.0"/>
        <n v="2265.0"/>
        <n v="2222.0"/>
        <n v="8367.0"/>
        <n v="5926.0"/>
        <n v="600.0"/>
        <n v="2548.0"/>
        <n v="4011.0"/>
        <n v="477.0"/>
        <n v="4637.0"/>
        <n v="1336.0"/>
        <n v="5657.0"/>
        <n v="8807.0"/>
        <n v="5259.0"/>
        <n v="5745.0"/>
        <n v="8895.0"/>
        <n v="7270.0"/>
        <n v="2485.0"/>
        <n v="9278.0"/>
        <n v="9264.0"/>
        <n v="9381.0"/>
        <n v="5731.0"/>
        <n v="5037.0"/>
        <n v="4376.0"/>
        <n v="8626.0"/>
        <n v="2179.0"/>
        <n v="7684.0"/>
        <n v="8288.0"/>
        <n v="9340.0"/>
        <n v="7152.0"/>
        <n v="5124.0"/>
        <n v="2190.0"/>
        <n v="9146.0"/>
        <n v="8614.0"/>
        <n v="6662.0"/>
        <n v="8778.0"/>
        <n v="8938.0"/>
        <n v="9610.0"/>
        <n v="1797.0"/>
        <n v="4348.0"/>
        <n v="7088.0"/>
        <n v="4920.0"/>
        <n v="8872.0"/>
        <n v="792.0"/>
        <n v="1657.0"/>
        <n v="3824.0"/>
        <n v="6589.0"/>
        <n v="803.0"/>
        <n v="2948.0"/>
        <n v="8441.0"/>
        <n v="3118.0"/>
        <n v="3747.0"/>
        <n v="8319.0"/>
        <n v="5095.0"/>
        <n v="1735.0"/>
        <n v="4429.0"/>
        <n v="653.0"/>
        <n v="7489.0"/>
        <n v="9558.0"/>
        <n v="5009.0"/>
        <n v="6707.0"/>
        <n v="7151.0"/>
        <n v="2069.0"/>
        <n v="8286.0"/>
        <n v="1842.0"/>
        <n v="1984.0"/>
        <n v="9956.0"/>
        <n v="3574.0"/>
        <n v="8644.0"/>
        <n v="1747.0"/>
        <n v="1352.0"/>
        <n v="153.0"/>
        <n v="1494.0"/>
        <n v="3562.0"/>
        <n v="2771.0"/>
        <n v="1581.0"/>
        <n v="2859.0"/>
        <n v="2341.0"/>
        <n v="7291.0"/>
        <n v="9186.0"/>
        <n v="3661.0"/>
        <n v="9587.0"/>
        <n v="1916.0"/>
        <n v="7410.0"/>
        <n v="5382.0"/>
        <n v="4377.0"/>
        <n v="4487.0"/>
        <n v="562.0"/>
        <n v="4354.0"/>
        <n v="7008.0"/>
        <n v="7495.0"/>
        <n v="1429.0"/>
        <n v="4390.0"/>
        <n v="4507.0"/>
        <n v="723.0"/>
        <n v="3013.0"/>
        <n v="757.0"/>
        <n v="9405.0"/>
        <n v="9641.0"/>
        <n v="2708.0"/>
        <n v="2392.0"/>
        <n v="3035.0"/>
        <n v="9923.0"/>
        <n v="8181.0"/>
        <n v="6378.0"/>
        <n v="6380.0"/>
        <n v="8764.0"/>
        <n v="3532.0"/>
        <n v="1279.0"/>
        <n v="9382.0"/>
        <n v="2727.0"/>
        <n v="6574.0"/>
        <n v="3530.0"/>
        <n v="235.0"/>
        <n v="6368.0"/>
        <n v="7259.0"/>
        <n v="4453.0"/>
        <n v="1210.0"/>
        <n v="5122.0"/>
        <n v="7873.0"/>
        <n v="9394.0"/>
        <n v="1212.0"/>
        <n v="1539.0"/>
        <n v="9997.0"/>
        <n v="5935.0"/>
        <n v="2796.0"/>
        <n v="4233.0"/>
        <n v="8841.0"/>
        <n v="7390.0"/>
        <n v="548.0"/>
        <n v="2022.0"/>
        <n v="9631.0"/>
        <n v="5754.0"/>
        <n v="7939.0"/>
        <n v="4789.0"/>
        <n v="6447.0"/>
        <n v="1505.0"/>
        <n v="8310.0"/>
        <n v="6728.0"/>
        <n v="3801.0"/>
        <n v="8850.0"/>
        <n v="6791.0"/>
        <n v="8685.0"/>
        <n v="2466.0"/>
        <n v="5391.0"/>
        <n v="1462.0"/>
        <n v="2162.0"/>
        <n v="3183.0"/>
        <n v="1743.0"/>
        <n v="161.0"/>
        <n v="963.0"/>
        <n v="6864.0"/>
        <n v="6531.0"/>
        <n v="4396.0"/>
        <n v="4484.0"/>
        <n v="649.0"/>
        <n v="8186.0"/>
        <n v="8458.0"/>
        <n v="4828.0"/>
        <n v="6225.0"/>
        <n v="1818.0"/>
        <n v="8978.0"/>
        <n v="6856.0"/>
        <n v="9172.0"/>
        <n v="5427.0"/>
        <n v="2337.0"/>
        <n v="244.0"/>
        <n v="4406.0"/>
        <n v="2098.0"/>
        <n v="3006.0"/>
        <n v="4505.0"/>
        <n v="9985.0"/>
        <n v="2260.0"/>
        <n v="2900.0"/>
        <n v="2400.0"/>
        <n v="4157.0"/>
        <n v="1027.0"/>
        <n v="7733.0"/>
        <n v="7258.0"/>
        <n v="6552.0"/>
        <n v="3864.0"/>
        <n v="5283.0"/>
        <n v="3050.0"/>
        <n v="2264.0"/>
        <n v="1223.0"/>
        <n v="7518.0"/>
        <n v="1547.0"/>
        <n v="2599.0"/>
        <n v="5077.0"/>
        <n v="5871.0"/>
        <n v="4133.0"/>
        <n v="4983.0"/>
        <n v="6605.0"/>
        <n v="7128.0"/>
        <n v="4593.0"/>
        <n v="4752.0"/>
        <n v="8869.0"/>
        <n v="171.0"/>
        <n v="7397.0"/>
        <n v="3062.0"/>
        <n v="1557.0"/>
        <n v="8902.0"/>
        <n v="9132.0"/>
        <n v="4611.0"/>
        <n v="1342.0"/>
        <n v="5556.0"/>
        <n v="9246.0"/>
        <n v="810.0"/>
        <n v="884.0"/>
        <n v="1251.0"/>
        <n v="50.0"/>
        <n v="9691.0"/>
        <n v="6744.0"/>
        <n v="2749.0"/>
        <n v="1255.0"/>
        <n v="2717.0"/>
        <n v="6960.0"/>
        <n v="8738.0"/>
        <n v="461.0"/>
        <n v="7577.0"/>
        <n v="865.0"/>
        <n v="9787.0"/>
        <n v="3235.0"/>
        <n v="6700.0"/>
        <n v="5479.0"/>
        <n v="4765.0"/>
        <n v="4341.0"/>
        <n v="1607.0"/>
        <n v="2457.0"/>
        <n v="5792.0"/>
        <n v="611.0"/>
        <n v="474.0"/>
        <n v="6992.0"/>
        <n v="5933.0"/>
        <n v="8383.0"/>
        <n v="5930.0"/>
        <n v="166.0"/>
        <n v="1124.0"/>
        <n v="7728.0"/>
        <n v="6158.0"/>
        <n v="4567.0"/>
        <n v="7807.0"/>
        <n v="2735.0"/>
        <n v="3969.0"/>
        <n v="8524.0"/>
        <n v="7462.0"/>
        <n v="7829.0"/>
        <n v="1164.0"/>
        <n v="1044.0"/>
        <n v="3886.0"/>
        <n v="5436.0"/>
        <n v="9453.0"/>
        <n v="176.0"/>
        <n v="1458.0"/>
        <n v="7245.0"/>
        <n v="4835.0"/>
        <n v="4175.0"/>
        <n v="7643.0"/>
        <n v="4957.0"/>
        <n v="9950.0"/>
        <n v="3636.0"/>
        <n v="9616.0"/>
        <n v="9821.0"/>
        <n v="8196.0"/>
        <n v="8509.0"/>
        <n v="6905.0"/>
        <n v="3069.0"/>
        <n v="9234.0"/>
        <n v="9311.0"/>
        <n v="8847.0"/>
        <n v="6699.0"/>
        <n v="4338.0"/>
        <n v="3743.0"/>
        <n v="5086.0"/>
        <n v="8659.0"/>
        <n v="317.0"/>
        <n v="7742.0"/>
        <n v="7870.0"/>
        <n v="1793.0"/>
        <n v="3136.0"/>
        <n v="8854.0"/>
        <n v="3938.0"/>
        <n v="6637.0"/>
        <n v="8194.0"/>
        <n v="7338.0"/>
        <n v="3223.0"/>
        <n v="927.0"/>
        <n v="4219.0"/>
        <n v="634.0"/>
        <n v="1161.0"/>
        <n v="2856.0"/>
        <n v="1303.0"/>
        <n v="6134.0"/>
        <n v="2531.0"/>
        <n v="8076.0"/>
        <n v="1913.0"/>
        <n v="5919.0"/>
        <n v="8790.0"/>
        <n v="7458.0"/>
        <n v="2647.0"/>
        <n v="4448.0"/>
        <n v="1097.0"/>
        <n v="6852.0"/>
        <n v="1845.0"/>
        <n v="3841.0"/>
        <n v="8098.0"/>
        <n v="9107.0"/>
        <n v="4282.0"/>
        <n v="1173.0"/>
        <n v="9275.0"/>
        <n v="2789.0"/>
        <n v="9898.0"/>
        <n v="4695.0"/>
        <n v="3915.0"/>
        <n v="4046.0"/>
        <n v="8843.0"/>
        <n v="7098.0"/>
        <n v="6028.0"/>
        <n v="7652.0"/>
        <n v="9917.0"/>
        <n v="6819.0"/>
        <n v="7846.0"/>
        <n v="7763.0"/>
        <n v="2019.0"/>
        <n v="4836.0"/>
        <n v="2736.0"/>
        <n v="9666.0"/>
        <n v="5971.0"/>
        <n v="4966.0"/>
        <n v="8878.0"/>
        <n v="7271.0"/>
        <n v="5540.0"/>
        <n v="6473.0"/>
        <n v="4021.0"/>
        <n v="9210.0"/>
        <n v="7514.0"/>
        <n v="785.0"/>
        <n v="8151.0"/>
        <n v="9809.0"/>
        <n v="6285.0"/>
        <n v="7533.0"/>
        <n v="480.0"/>
        <n v="651.0"/>
        <n v="7242.0"/>
        <n v="1911.0"/>
        <n v="6850.0"/>
        <n v="9461.0"/>
        <n v="6505.0"/>
        <n v="2009.0"/>
        <n v="6448.0"/>
        <n v="5269.0"/>
        <n v="6666.0"/>
        <n v="3082.0"/>
        <n v="478.0"/>
        <n v="5471.0"/>
        <n v="9169.0"/>
        <n v="5755.0"/>
        <n v="589.0"/>
        <n v="677.0"/>
        <n v="1573.0"/>
        <n v="6893.0"/>
        <n v="4674.0"/>
        <n v="955.0"/>
        <n v="8591.0"/>
        <n v="5928.0"/>
        <n v="5421.0"/>
        <n v="9808.0"/>
        <n v="7120.0"/>
        <n v="2212.0"/>
        <n v="3836.0"/>
        <n v="5720.0"/>
        <n v="1272.0"/>
        <n v="8940.0"/>
        <n v="5616.0"/>
        <n v="9967.0"/>
        <n v="1150.0"/>
        <n v="7522.0"/>
        <n v="1713.0"/>
        <n v="6362.0"/>
        <n v="6526.0"/>
        <n v="1138.0"/>
        <n v="3229.0"/>
        <n v="7454.0"/>
        <n v="8702.0"/>
        <n v="5906.0"/>
        <n v="4734.0"/>
        <n v="5192.0"/>
        <n v="574.0"/>
        <n v="2070.0"/>
        <n v="5486.0"/>
      </sharedItems>
    </cacheField>
    <cacheField name="Unit Price" numFmtId="166">
      <sharedItems containsSemiMixedTypes="0" containsString="0" containsNumber="1">
        <n v="205.7"/>
        <n v="668.27"/>
        <n v="109.28"/>
        <n v="47.45"/>
        <n v="651.21"/>
        <n v="9.33"/>
        <n v="154.06"/>
        <n v="255.28"/>
        <n v="421.89"/>
        <n v="437.2"/>
        <n v="152.58"/>
        <n v="81.73"/>
      </sharedItems>
    </cacheField>
    <cacheField name="Unit Cost" numFmtId="166">
      <sharedItems containsSemiMixedTypes="0" containsString="0" containsNumber="1">
        <n v="117.11"/>
        <n v="502.54"/>
        <n v="35.84"/>
        <n v="31.79"/>
        <n v="524.96"/>
        <n v="6.92"/>
        <n v="90.93"/>
        <n v="159.42"/>
        <n v="364.69"/>
        <n v="263.33"/>
        <n v="97.44"/>
        <n v="56.67"/>
      </sharedItems>
    </cacheField>
    <cacheField name="total revenue" numFmtId="166">
      <sharedItems containsSemiMixedTypes="0" containsString="0" containsNumber="1">
        <n v="133705.0"/>
        <n v="409960.1"/>
        <n v="3136191.11"/>
        <n v="127966.88"/>
        <n v="362897.60000000003"/>
        <n v="1445686.2000000002"/>
        <n v="62492.340000000004"/>
        <n v="680791.14"/>
        <n v="1339454.16"/>
        <n v="1504695.5"/>
        <n v="2536752.92"/>
        <n v="490236.18"/>
        <n v="68015.7"/>
        <n v="1806361.28"/>
        <n v="1045372.48"/>
        <n v="3513763.6599999997"/>
        <n v="2303902.0"/>
        <n v="536346.24"/>
        <n v="1244745.28"/>
        <n v="3840464.67"/>
        <n v="28129.95"/>
        <n v="124066.08"/>
        <n v="14326.62"/>
        <n v="1453690.0"/>
        <n v="59236.17"/>
        <n v="4803324.96"/>
        <n v="63565.29"/>
        <n v="502445.94000000006"/>
        <n v="608872.0"/>
        <n v="307143.54000000004"/>
        <n v="42417.87"/>
        <n v="308203.83"/>
        <n v="82719.78"/>
        <n v="75712.95"/>
        <n v="248732.90000000002"/>
        <n v="191745.45"/>
        <n v="76062.35"/>
        <n v="361521.55000000005"/>
        <n v="714018.16"/>
        <n v="1707721.4"/>
        <n v="243798.1"/>
        <n v="1472854.7400000002"/>
        <n v="503347.89999999997"/>
        <n v="1470923.36"/>
        <n v="998462.86"/>
        <n v="84193.92"/>
        <n v="2021307.04"/>
        <n v="2544631.04"/>
        <n v="2568829.88"/>
        <n v="338629.2"/>
        <n v="134710.55000000002"/>
        <n v="153243.75"/>
        <n v="1336.54"/>
        <n v="672317.84"/>
        <n v="1277674.02"/>
        <n v="650080.42"/>
        <n v="98484.65000000001"/>
        <n v="4016993.6"/>
        <n v="679830.14"/>
        <n v="1270378.76"/>
        <n v="695020.8"/>
        <n v="427714.30000000005"/>
        <n v="538454.8200000001"/>
        <n v="6512.1"/>
        <n v="981334.4"/>
        <n v="710450.0"/>
        <n v="459098.8"/>
        <n v="2016803.5999999999"/>
        <n v="483432.95"/>
        <n v="11742.88"/>
        <n v="470122.56"/>
        <n v="2048247.55"/>
        <n v="8285.04"/>
        <n v="1411386.24"/>
        <n v="5662251.71"/>
        <n v="1107900.2"/>
        <n v="389302.0"/>
        <n v="811407.66"/>
        <n v="1078265.94"/>
        <n v="2201739.1999999997"/>
        <n v="1800826.8"/>
        <n v="55352.850000000006"/>
        <n v="1570434.5"/>
        <n v="2582047.6500000004"/>
        <n v="2440013.1999999997"/>
        <n v="1447182.32"/>
        <n v="291525.99"/>
        <n v="929207.84"/>
        <n v="1302.42"/>
        <n v="32319.12"/>
        <n v="1097809.2"/>
        <n v="69844.38"/>
        <n v="1051273.6"/>
        <n v="1670041.76"/>
        <n v="601775.52"/>
        <n v="86703.69"/>
        <n v="3779712.51"/>
        <n v="5000641.59"/>
        <n v="713666.36"/>
        <n v="216851.19999999998"/>
        <n v="881328.21"/>
        <n v="291340.48"/>
        <n v="123275.1"/>
        <n v="1227963.84"/>
        <n v="2949330.0900000003"/>
        <n v="2921166.36"/>
        <n v="195501.92"/>
        <n v="5409601.470000001"/>
        <n v="5184934.0200000005"/>
        <n v="2052195.92"/>
        <n v="1530195.03"/>
        <n v="784715.4"/>
        <n v="60113.19"/>
        <n v="1067993.44"/>
        <n v="795441.8999999999"/>
        <n v="276978.8"/>
        <n v="2657301.6"/>
        <n v="6261689.899999999"/>
        <n v="1262998.0"/>
        <n v="548148.48"/>
        <n v="259462.35"/>
        <n v="1180833.09"/>
        <n v="620824.0"/>
        <n v="37960.0"/>
        <n v="1038364.4"/>
        <n v="5126325.12"/>
        <n v="503.82"/>
        <n v="2849043.75"/>
        <n v="451331.64"/>
        <n v="850791.2"/>
        <n v="470013.28"/>
        <n v="135553.68"/>
        <n v="1256975.54"/>
        <n v="5117611.66"/>
        <n v="391977.08"/>
        <n v="81478.89"/>
        <n v="602528.66"/>
        <n v="4768159.62"/>
        <n v="539504.7999999999"/>
        <n v="64600.92"/>
        <n v="956200.0"/>
        <n v="162151.29"/>
        <n v="854142.8400000001"/>
        <n v="79146.6"/>
        <n v="536455.52"/>
        <n v="275020.2"/>
        <n v="2929.62"/>
        <n v="420549.35000000003"/>
        <n v="786522.7999999999"/>
        <n v="48115.44"/>
        <n v="57596.0"/>
        <n v="142373.66"/>
        <n v="201926.48"/>
        <n v="353237.06"/>
        <n v="1366053.7"/>
        <n v="237904.12"/>
        <n v="310805.46"/>
        <n v="255665.34"/>
        <n v="2120610.96"/>
        <n v="779871.09"/>
        <n v="2208253.1100000003"/>
        <n v="961559.16"/>
        <n v="3957971.6"/>
        <n v="486308.4"/>
        <n v="808606.7"/>
        <n v="2009634.06"/>
        <n v="128331.98"/>
        <n v="3414969.1999999997"/>
        <n v="535132.7999999999"/>
        <n v="5740416.15"/>
        <n v="473727.1"/>
        <n v="3644936.4"/>
        <n v="415482.56"/>
        <n v="2974727.2800000003"/>
        <n v="64388.76"/>
        <n v="3885770.0700000003"/>
        <n v="425009.65"/>
        <n v="758558.22"/>
        <n v="923414.16"/>
        <n v="420815.64"/>
        <n v="158147.55000000002"/>
        <n v="772764.96"/>
        <n v="208835.55"/>
        <n v="2091730.6199999999"/>
        <n v="4970685.930000001"/>
        <n v="390133.9"/>
        <n v="1661617.52"/>
        <n v="3956062.53"/>
        <n v="309372.8"/>
        <n v="410346.4"/>
        <n v="1744328.24"/>
        <n v="412198.15"/>
        <n v="63453.33"/>
        <n v="4505070.78"/>
        <n v="708264.0"/>
        <n v="2649469.1999999997"/>
        <n v="29579.52"/>
        <n v="60333.6"/>
        <n v="376231.05000000005"/>
        <n v="689666.08"/>
        <n v="34204.64"/>
        <n v="752858.4"/>
        <n v="604784.35"/>
        <n v="5904521.07"/>
        <n v="936092.48"/>
        <n v="3843862.4"/>
        <n v="989311.84"/>
        <n v="5889543.24"/>
        <n v="424392.80000000005"/>
        <n v="707046.23"/>
        <n v="5598452.37"/>
        <n v="5374436.13"/>
        <n v="1539694.08"/>
        <n v="84698.25"/>
        <n v="5728.62"/>
        <n v="5768418.180000001"/>
        <n v="144195.69999999998"/>
        <n v="235257.1"/>
        <n v="414665.55000000005"/>
        <n v="314742.23000000004"/>
        <n v="963588.7999999999"/>
        <n v="117939.36"/>
        <n v="37438.05"/>
        <n v="108425.73"/>
        <n v="361164.87"/>
        <n v="1931112.4"/>
        <n v="5714367.75"/>
        <n v="788633.14"/>
        <n v="28064.64"/>
        <n v="13441.44"/>
        <n v="44476.96"/>
        <n v="2988668.76"/>
        <n v="977181.76"/>
        <n v="604369.38"/>
        <n v="391599.52"/>
        <n v="168352.6"/>
        <n v="6282874.08"/>
        <n v="467505.12000000005"/>
        <n v="1993353.81"/>
        <n v="2996868.4200000004"/>
        <n v="361886.94"/>
        <n v="2309290.4"/>
        <n v="1092362.8800000001"/>
        <n v="2742580.08"/>
        <n v="28950.99"/>
        <n v="450250.57"/>
        <n v="28381.86"/>
        <n v="881233.92"/>
        <n v="2205874.48"/>
        <n v="351319.80000000005"/>
        <n v="3644822.37"/>
        <n v="39858.0"/>
        <n v="666262.9600000001"/>
        <n v="53041.05"/>
        <n v="781024.16"/>
        <n v="959880.78"/>
        <n v="742912.02"/>
        <n v="3872280.4"/>
        <n v="4086471.05"/>
        <n v="2156507.29"/>
        <n v="4344873.12"/>
        <n v="191128.6"/>
        <n v="1005807.3600000001"/>
        <n v="52630.53"/>
        <n v="693587.16"/>
        <n v="809840.8999999999"/>
        <n v="577749.37"/>
        <n v="658535.28"/>
        <n v="591532.64"/>
        <n v="1301162.16"/>
        <n v="66056.4"/>
        <n v="265970.1"/>
        <n v="2391207.7600000002"/>
        <n v="422188.86000000004"/>
        <n v="826091.2"/>
        <n v="1741867.5999999999"/>
        <n v="437294.28"/>
        <n v="369236.07"/>
        <n v="1247768.8"/>
        <n v="1167324.0"/>
        <n v="15560.06"/>
        <n v="786651.25"/>
        <n v="3113738.4"/>
        <n v="1305812.56"/>
        <n v="276492.59"/>
        <n v="5802.83"/>
        <n v="1575332.8800000001"/>
        <n v="5621244.720000001"/>
        <n v="98300.37"/>
        <n v="4275816.0"/>
        <n v="3587273.36"/>
        <n v="25237.65"/>
        <n v="451012.25"/>
        <n v="476965.08"/>
        <n v="63332.04"/>
        <n v="1654364.8"/>
        <n v="565244.68"/>
        <n v="52891.77"/>
        <n v="2310794.56"/>
        <n v="894501.12"/>
        <n v="177323.06"/>
        <n v="357017.76"/>
        <n v="3847797.1999999997"/>
        <n v="78661.23"/>
        <n v="515155.04"/>
        <n v="2138991.12"/>
        <n v="636268.05"/>
        <n v="13593.81"/>
        <n v="546142.7"/>
        <n v="1571959.4"/>
        <n v="571537.89"/>
        <n v="2413417.12"/>
        <n v="68771.43000000001"/>
        <n v="85139.64000000001"/>
        <n v="252054.40000000002"/>
        <n v="1883853.13"/>
        <n v="42012.99"/>
        <n v="272242.63"/>
        <n v="18144.06"/>
        <n v="405217.34"/>
        <n v="3942669.6"/>
        <n v="57939.3"/>
        <n v="368520.57"/>
        <n v="152504.30000000002"/>
        <n v="1641686.0"/>
        <n v="246028.25000000003"/>
        <n v="12968.7"/>
        <n v="3615517.9200000004"/>
        <n v="2526250.88"/>
        <n v="605437.4400000001"/>
        <n v="2100699.12"/>
        <n v="379125.5"/>
        <n v="1449773.5999999999"/>
        <n v="73310.25"/>
        <n v="3918735.28"/>
        <n v="186158.5"/>
        <n v="1770871.2999999998"/>
        <n v="710975.68"/>
        <n v="3032419.1999999997"/>
        <n v="203275.80000000002"/>
        <n v="3006187.1999999997"/>
        <n v="1206963.84"/>
        <n v="1743553.5999999999"/>
        <n v="5159536.83"/>
        <n v="920918.8999999999"/>
        <n v="4151214.0"/>
        <n v="441296.94"/>
        <n v="728569.76"/>
        <n v="151527.42"/>
        <n v="4149902.4"/>
        <n v="4211984.8"/>
        <n v="6069928.41"/>
        <n v="352612.38"/>
        <n v="3700175.22"/>
        <n v="944622.78"/>
        <n v="3340056.0900000003"/>
        <n v="4094157.27"/>
        <n v="161472.35"/>
        <n v="1545804.96"/>
        <n v="853338.34"/>
        <n v="1838426.0"/>
        <n v="556306.68"/>
        <n v="913391.84"/>
        <n v="3654411.1799999997"/>
        <n v="1970897.5999999999"/>
        <n v="379926.8"/>
        <n v="61297.5"/>
        <n v="739097.52"/>
        <n v="674148.3200000001"/>
        <n v="1810445.2"/>
        <n v="1829248.8900000001"/>
        <n v="190757.82"/>
        <n v="19615.2"/>
        <n v="48450.69"/>
        <n v="818058.6"/>
        <n v="443799.85000000003"/>
        <n v="1893718.6800000002"/>
        <n v="82629.03"/>
        <n v="1031603.2"/>
        <n v="778723.4400000001"/>
        <n v="777778.7999999999"/>
        <n v="278768.75"/>
        <n v="938278.08"/>
        <n v="611650.88"/>
        <n v="750998.76"/>
        <n v="402696.8"/>
        <n v="855698.56"/>
        <n v="1419200.72"/>
        <n v="2313092.08"/>
        <n v="370465.69999999995"/>
        <n v="228779.1"/>
        <n v="85966.62"/>
        <n v="2739932.4"/>
        <n v="1892390.64"/>
        <n v="6294435.13"/>
        <n v="2894628.45"/>
        <n v="1145186.08"/>
        <n v="158862.6"/>
        <n v="585350.26"/>
        <n v="22792.350000000002"/>
        <n v="535144.16"/>
        <n v="170695.36000000002"/>
        <n v="3936986.0"/>
        <n v="278341.7"/>
        <n v="1081325.6"/>
        <n v="1168804.23"/>
        <n v="756982.56"/>
        <n v="4196117.9399999995"/>
        <n v="782150.7999999999"/>
        <n v="1599839.76"/>
        <n v="1083401.92"/>
        <n v="41854.38"/>
        <n v="254343.76"/>
        <n v="863530.56"/>
        <n v="623495.91"/>
        <n v="957020.72"/>
        <n v="9413.97"/>
        <n v="1222321.1700000002"/>
        <n v="1252140.8"/>
        <n v="4183566.8"/>
        <n v="627931.5900000001"/>
        <n v="1463724.06"/>
        <n v="413553.80000000005"/>
        <n v="452628.28"/>
        <n v="817218.27"/>
        <n v="336133.74000000005"/>
        <n v="1046656.7999999999"/>
        <n v="2492180.67"/>
        <n v="1228440.4"/>
        <n v="714226.9800000001"/>
        <n v="1074165.4"/>
        <n v="570792.3"/>
        <n v="116631.9"/>
        <n v="248867.85"/>
        <n v="59460.090000000004"/>
        <n v="627485.76"/>
        <n v="768451.28"/>
        <n v="5183102.12"/>
        <n v="68538.18000000001"/>
        <n v="218981.75"/>
        <n v="86061.69"/>
        <n v="816103.04"/>
        <n v="551023.66"/>
        <n v="42744.79"/>
        <n v="414855.35000000003"/>
        <n v="1706802.08"/>
        <n v="952185.2999999999"/>
        <n v="1743051.84"/>
        <n v="946236.52"/>
        <n v="71561.1"/>
        <n v="1048682.34"/>
        <n v="1123533.4"/>
        <n v="1599934.5999999999"/>
        <n v="851797.74"/>
        <n v="350934.0"/>
        <n v="1316478.96"/>
        <n v="2354192.16"/>
        <n v="44061.16"/>
        <n v="918039.1"/>
        <n v="786014.12"/>
        <n v="676015.28"/>
        <n v="3146646.72"/>
        <n v="254915.87000000002"/>
        <n v="6045833.640000001"/>
        <n v="2620358.79"/>
        <n v="528443.2999999999"/>
        <n v="511581.12"/>
        <n v="1245729.16"/>
        <n v="68668.8"/>
        <n v="303442.75"/>
        <n v="1797681.76"/>
        <n v="334302.78"/>
        <n v="1159737.04"/>
        <n v="669236.64"/>
        <n v="218554.7"/>
        <n v="607115.8200000001"/>
        <n v="2283495.6"/>
        <n v="3080640.78"/>
        <n v="5010688.46"/>
        <n v="2678579.61"/>
        <n v="740520.0"/>
        <n v="380359.2"/>
        <n v="97681.5"/>
        <n v="377464.75"/>
        <n v="873062.7600000001"/>
        <n v="5087903.73"/>
        <n v="928601.8800000001"/>
        <n v="724127.8"/>
        <n v="526180.6"/>
        <n v="1005157.4400000001"/>
        <n v="198862.95"/>
        <n v="313739.4"/>
        <n v="4303846.890000001"/>
        <n v="346443.72000000003"/>
        <n v="1401663.2"/>
        <n v="438915.54000000004"/>
        <n v="237180.46000000002"/>
        <n v="104342.55"/>
        <n v="18458.050000000003"/>
        <n v="3248974.8899999997"/>
        <n v="625240.98"/>
        <n v="862839.9"/>
        <n v="423116.21"/>
        <n v="208738.42"/>
        <n v="443657.5"/>
        <n v="1671106.7999999998"/>
        <n v="32878.92"/>
        <n v="180482.96"/>
        <n v="1971840.2"/>
        <n v="1052361.2"/>
        <n v="167688.30000000002"/>
        <n v="1420888.48"/>
        <n v="1944467.76"/>
        <n v="3170272.88"/>
        <n v="1419947.0999999999"/>
        <n v="3386943.21"/>
        <n v="324876.75"/>
        <n v="1256621.3"/>
        <n v="892623.64"/>
        <n v="33028.2"/>
        <n v="146024.8"/>
        <n v="2047010.28"/>
        <n v="1302728.04"/>
        <n v="1849860.0999999999"/>
        <n v="2623200.0"/>
        <n v="1689443.04"/>
        <n v="49504.98"/>
        <n v="206440.4"/>
        <n v="97707.5"/>
        <n v="847946.24"/>
        <n v="530345.97"/>
        <n v="3528906.99"/>
        <n v="2558762.85"/>
        <n v="1833156.1500000001"/>
        <n v="3938765.04"/>
        <n v="1922003.12"/>
        <n v="76216.77"/>
        <n v="75191.6"/>
        <n v="157252.48"/>
        <n v="414717.87"/>
        <n v="3857922.71"/>
        <n v="978495.54"/>
        <n v="859500.74"/>
        <n v="17596.38"/>
        <n v="98157.73000000001"/>
        <n v="661359.16"/>
        <n v="603553.4400000001"/>
        <n v="1775727.68"/>
        <n v="5326246.59"/>
        <n v="831461.8200000001"/>
        <n v="77131.11"/>
        <n v="1964741.73"/>
        <n v="1898405.2999999998"/>
        <n v="224106.35"/>
        <n v="784165.4"/>
        <n v="1235555.2"/>
        <n v="128076.16"/>
        <n v="12632.82"/>
        <n v="379090.8"/>
        <n v="28115.120000000003"/>
        <n v="38803.47"/>
        <n v="609563.84"/>
        <n v="320265.42000000004"/>
        <n v="133192.15"/>
        <n v="186910.50000000003"/>
        <n v="1533493.5"/>
        <n v="529449.2"/>
        <n v="226716.1"/>
        <n v="690700.23"/>
        <n v="1592436.64"/>
        <n v="45772.98"/>
        <n v="1213856.4"/>
        <n v="1380543.84"/>
        <n v="262473.2"/>
        <n v="2215319.84"/>
        <n v="59814.63"/>
        <n v="688272.2"/>
        <n v="6340180.5600000005"/>
        <n v="37382.100000000006"/>
        <n v="504355.83"/>
        <n v="4090880.4"/>
        <n v="542137.14"/>
        <n v="23539.59"/>
        <n v="52945.26"/>
        <n v="403945.32"/>
        <n v="880691.7600000001"/>
        <n v="1336624.56"/>
        <n v="4879707.54"/>
        <n v="762118.5"/>
        <n v="278436.60000000003"/>
        <n v="1104764.26"/>
        <n v="7977.15"/>
        <n v="137663.62"/>
        <n v="547320.32"/>
        <n v="681907.2"/>
        <n v="1942381.5599999998"/>
        <n v="3332775.6"/>
        <n v="3519406.38"/>
        <n v="619627.38"/>
        <n v="197266.3"/>
        <n v="791043.75"/>
        <n v="672399.84"/>
        <n v="532199.04"/>
        <n v="1338279.1800000002"/>
        <n v="179437.76"/>
        <n v="943195.68"/>
        <n v="490134.81"/>
        <n v="233643.80000000002"/>
        <n v="354901.08"/>
        <n v="53428.700000000004"/>
        <n v="3802415.1900000004"/>
        <n v="4683904.43"/>
        <n v="1055568.78"/>
        <n v="3061338.21"/>
        <n v="852056.16"/>
        <n v="2889418.77"/>
        <n v="1112621.32"/>
        <n v="3207629.67"/>
        <n v="168600.90000000002"/>
        <n v="702351.77"/>
        <n v="3550626.2399999998"/>
        <n v="1430708.37"/>
        <n v="1829723.26"/>
        <n v="84287.22"/>
        <n v="1470871.2000000002"/>
        <n v="1192261.14"/>
        <n v="266587.2"/>
        <n v="763662.9"/>
        <n v="839256.0"/>
        <n v="929317.12"/>
        <n v="6036716.7"/>
        <n v="3879257.97"/>
        <n v="1302418.8"/>
        <n v="649560.32"/>
        <n v="864951.2"/>
        <n v="867819.98"/>
        <n v="393954.4"/>
        <n v="580251.4400000001"/>
        <n v="420656.5"/>
        <n v="7172.13"/>
        <n v="2097031.26"/>
        <n v="2001395.2"/>
        <n v="1507490.4000000001"/>
        <n v="4100498.8"/>
        <n v="824736.16"/>
        <n v="16560.75"/>
        <n v="510554.84"/>
        <n v="554047.67"/>
        <n v="449986.11000000004"/>
        <n v="586833.6"/>
        <n v="1414506.48"/>
        <n v="3692803.17"/>
        <n v="2947323.54"/>
        <n v="5639530.53"/>
        <n v="1387077.3"/>
        <n v="52716.950000000004"/>
        <n v="181174.56"/>
        <n v="518822.04000000004"/>
        <n v="228870.00000000003"/>
        <n v="257791.52"/>
        <n v="179765.6"/>
        <n v="3324468.8"/>
        <n v="5409.3"/>
        <n v="825638.73"/>
        <n v="3233758.53"/>
        <n v="814275.99"/>
        <n v="430563.2"/>
        <n v="2772239.19"/>
        <n v="314088.39"/>
        <n v="2320901.71"/>
        <n v="420337.39"/>
        <n v="426416.1"/>
        <n v="275920.48000000004"/>
        <n v="82243.95"/>
        <n v="910444.8600000001"/>
        <n v="2334267.11"/>
        <n v="3009892.62"/>
        <n v="4955890.32"/>
        <n v="2522206.8"/>
        <n v="1786194.16"/>
        <n v="1855825.4"/>
        <n v="4117224.51"/>
        <n v="1553398.98"/>
        <n v="470029.23000000004"/>
        <n v="818891.7"/>
        <n v="154497.2"/>
        <n v="459268.55000000005"/>
        <n v="514714.46"/>
        <n v="434232.69999999995"/>
        <n v="747308.1"/>
        <n v="458020.38"/>
        <n v="75797.52"/>
        <n v="637534.5900000001"/>
        <n v="771939.8500000001"/>
        <n v="109717.12"/>
        <n v="87561.04"/>
        <n v="359718.45"/>
        <n v="83130.3"/>
        <n v="4037979.1999999997"/>
        <n v="1386189.3"/>
        <n v="939020.5"/>
        <n v="1830357.6"/>
        <n v="3698206.1799999997"/>
        <n v="221896.95"/>
        <n v="5493179.399999999"/>
        <n v="939303.8200000001"/>
        <n v="863322.8999999999"/>
        <n v="967654.96"/>
        <n v="863470.0"/>
        <n v="923719.3200000001"/>
        <n v="4894494.36"/>
        <n v="4337058.600000001"/>
        <n v="713421.17"/>
        <n v="4205426.8"/>
        <n v="252954.35"/>
        <n v="3083594.01"/>
        <n v="85154.91"/>
        <n v="904178.14"/>
        <n v="46258.14"/>
        <n v="1766027.04"/>
        <n v="1037962.2"/>
        <n v="176696.3"/>
        <n v="105671.15000000001"/>
        <n v="3397362.5700000003"/>
        <n v="1068975.48"/>
        <n v="910183.74"/>
        <n v="1589146.06"/>
        <n v="1966654.2000000002"/>
        <n v="3474865.6"/>
        <n v="802570.8"/>
        <n v="774343.5000000001"/>
        <n v="516572.70999999996"/>
        <n v="569733.7200000001"/>
        <n v="6359716.86"/>
        <n v="498205.39999999997"/>
        <n v="473799.68"/>
        <n v="455399.56"/>
        <n v="623027.79"/>
        <n v="530019.05"/>
        <n v="38066.4"/>
        <n v="1638811.9"/>
        <n v="935010.2400000001"/>
        <n v="836647.68"/>
        <n v="302319.27"/>
        <n v="611340.4"/>
        <n v="1514966.82"/>
        <n v="552903.4500000001"/>
        <n v="453574.55000000005"/>
        <n v="778886.9"/>
        <n v="2324613.9"/>
        <n v="1951360.32"/>
        <n v="860398.6200000001"/>
        <n v="229007.46000000002"/>
        <n v="92637.57"/>
        <n v="46406.100000000006"/>
        <n v="69514.25"/>
        <n v="43123.26"/>
        <n v="146715.40000000002"/>
        <n v="258556.48"/>
        <n v="3489.42"/>
        <n v="1814922.27"/>
        <n v="1470432.1800000002"/>
        <n v="347510.4"/>
        <n v="791881.9700000001"/>
        <n v="1121805.51"/>
        <n v="174003.17"/>
        <n v="4599.69"/>
        <n v="432754.54"/>
        <n v="1826184.4"/>
        <n v="346195.2"/>
        <n v="4962573.02"/>
        <n v="65937.68000000001"/>
        <n v="839105.36"/>
        <n v="33420.06"/>
        <n v="3118610.88"/>
        <n v="1040776.56"/>
        <n v="220172.94000000003"/>
        <n v="3645373.6"/>
        <n v="187953.2"/>
        <n v="143020.71"/>
        <n v="873088.4"/>
        <n v="1001347.6"/>
        <n v="2886571.38"/>
        <n v="4151463.75"/>
        <n v="4985962.47"/>
        <n v="353083.68"/>
        <n v="14209.59"/>
        <n v="4784439.87"/>
        <n v="1436569.26"/>
        <n v="1137594.4"/>
        <n v="214459.52000000002"/>
        <n v="1061218.08"/>
        <n v="1756472.2999999998"/>
        <n v="124965.17000000001"/>
        <n v="114983.59999999999"/>
        <n v="1349626.1099999999"/>
        <n v="812477.93"/>
        <n v="2825600.19"/>
        <n v="73794.74"/>
        <n v="38253.0"/>
        <n v="800302.8"/>
        <n v="1220238.4"/>
        <n v="1427781.04"/>
        <n v="2831303.79"/>
        <n v="919720.2"/>
        <n v="321501.76"/>
        <n v="70455.63"/>
        <n v="678956.64"/>
        <n v="13584.48"/>
        <n v="277391.62"/>
        <n v="73119.21"/>
        <n v="430530.1"/>
        <n v="618242.78"/>
        <n v="516025.56000000006"/>
        <n v="3090566.8"/>
        <n v="2402184.8"/>
        <n v="129098.34"/>
        <n v="1303293.2"/>
        <n v="67754.17"/>
        <n v="43897.65"/>
        <n v="31933.850000000002"/>
        <n v="146047.0"/>
        <n v="1696846.16"/>
        <n v="3813485.7600000002"/>
        <n v="1044.96"/>
        <n v="2635446.87"/>
        <n v="356966.35000000003"/>
        <n v="148708.30000000002"/>
        <n v="2099746.53"/>
        <n v="1499818.95"/>
        <n v="89194.8"/>
        <n v="403255.82"/>
        <n v="5294988.510000001"/>
        <n v="650976.27"/>
        <n v="144286.38"/>
        <n v="1319771.2"/>
        <n v="440358.0"/>
        <n v="439814.05000000005"/>
        <n v="1306523.04"/>
        <n v="1075643.04"/>
        <n v="991141.6200000001"/>
        <n v="468568.75"/>
        <n v="1149133.54"/>
        <n v="2354447.44"/>
        <n v="732863.42"/>
        <n v="1783007.5999999999"/>
        <n v="288528.78"/>
        <n v="56655.3"/>
        <n v="399149.4"/>
        <n v="241757.34000000003"/>
        <n v="3478763.8200000003"/>
        <n v="1299523.86"/>
        <n v="1919939.71"/>
        <n v="1067788.7"/>
        <n v="57855.33"/>
        <n v="5191789.63"/>
        <n v="5807490.78"/>
        <n v="6468853.6"/>
        <n v="170945.19999999998"/>
        <n v="21489.93"/>
        <n v="1632714.3"/>
        <n v="3794478.6599999997"/>
        <n v="92908.14"/>
        <n v="84921.66"/>
        <n v="4142605.73"/>
        <n v="1179689.5"/>
        <n v="417149.92000000004"/>
        <n v="1272570.8"/>
        <n v="290877.07"/>
        <n v="3346431.48"/>
        <n v="50587.26"/>
        <n v="1678848.0"/>
        <n v="1245112.92"/>
        <n v="781392.3200000001"/>
        <n v="4080481.8600000003"/>
        <n v="1397352.57"/>
        <n v="1710395.5"/>
        <n v="132317.46"/>
        <n v="753295.6"/>
        <n v="1449477.63"/>
        <n v="339394.18"/>
        <n v="137984.6"/>
        <n v="1144049.56"/>
        <n v="2477759.9699999997"/>
        <n v="45362.200000000004"/>
        <n v="288989.2"/>
        <n v="247519.2"/>
        <n v="1156163.12"/>
        <n v="242820.16"/>
        <n v="1721091.9"/>
        <n v="3960168.02"/>
        <n v="3389.32"/>
        <n v="400962.0"/>
        <n v="1113985.5999999999"/>
        <n v="438322.08"/>
        <n v="318764.79"/>
        <n v="714376.22"/>
        <n v="684748.48"/>
        <n v="563645.04"/>
        <n v="3780403.3899999997"/>
        <n v="485595.38999999996"/>
        <n v="3850420.4"/>
        <n v="2218719.51"/>
        <n v="2423758.05"/>
        <n v="2270715.6"/>
        <n v="1855885.6"/>
        <n v="4179632.0"/>
        <n v="1086442.0"/>
        <n v="1908484.5999999999"/>
        <n v="6032809.44"/>
        <n v="278869.29"/>
        <n v="3957750.09"/>
        <n v="882917.86"/>
        <n v="776000.22"/>
        <n v="357650.48000000004"/>
        <n v="705002.98"/>
        <n v="178089.67"/>
        <n v="5134986.68"/>
        <n v="1264583.04"/>
        <n v="443183.0"/>
        <n v="66728.16"/>
        <n v="3424215.48"/>
        <n v="337391.4"/>
        <n v="6111997.42"/>
        <n v="16075.59"/>
        <n v="80368.62"/>
        <n v="62156.46"/>
        <n v="5866074.06"/>
        <n v="976744.64"/>
        <n v="1050180.8"/>
        <n v="85267.65000000001"/>
        <n v="2905637.96"/>
        <n v="774576.64"/>
        <n v="301212.60000000003"/>
        <n v="1012044.0"/>
        <n v="1366820.32"/>
        <n v="49057.14"/>
        <n v="64730.16"/>
        <n v="255277.42"/>
        <n v="2490227.04"/>
        <n v="4290822.69"/>
        <n v="325545.12"/>
        <n v="7491.99"/>
        <n v="752565.4400000001"/>
        <n v="1287927.78"/>
        <n v="29090.94"/>
        <n v="577262.8200000001"/>
        <n v="1269313.02"/>
        <n v="3404835.65"/>
        <n v="16187.55"/>
        <n v="1130635.12"/>
        <n v="2683220.4"/>
        <n v="100601.18000000001"/>
        <n v="3274190.8"/>
        <n v="1472505.48"/>
        <n v="2189934.8"/>
        <n v="4367665.470000001"/>
        <n v="3016935.39"/>
        <n v="98174.05"/>
        <n v="3495780.54"/>
        <n v="378899.39999999997"/>
        <n v="408108.8"/>
        <n v="6483446.760000001"/>
        <n v="169586.30000000002"/>
        <n v="5776525.88"/>
        <n v="266557.26"/>
        <n v="278106.39999999997"/>
        <n v="39057.840000000004"/>
        <n v="630303.66"/>
        <n v="2380377.7399999998"/>
        <n v="569994.7"/>
        <n v="442787.16000000003"/>
        <n v="243568.86000000002"/>
        <n v="135659.55000000002"/>
        <n v="1023485.2"/>
        <n v="1026347.72"/>
        <n v="841565.28"/>
        <n v="1123251.46"/>
        <n v="1003846.08"/>
        <n v="1600589.2"/>
        <n v="1462784.4600000002"/>
        <n v="808341.24"/>
        <n v="4825466.100000001"/>
        <n v="588144.96"/>
        <n v="1117360.56"/>
        <n v="41863.71"/>
        <n v="85749.96"/>
        <n v="1111489.12"/>
        <n v="65384.64"/>
        <n v="69928.35"/>
        <n v="930579.0900000001"/>
        <n v="358794.7"/>
        <n v="492524.96"/>
        <n v="1425097.2000000002"/>
        <n v="6745.59"/>
        <n v="1271154.57"/>
        <n v="35919.65"/>
        <n v="6285079.35"/>
        <n v="1485292.46"/>
        <n v="1763476.6800000002"/>
        <n v="1598501.8399999999"/>
        <n v="467572.10000000003"/>
        <n v="470846.35000000003"/>
        <n v="894019.68"/>
        <n v="521273.94"/>
        <n v="449841.92000000004"/>
        <n v="2691658.1999999997"/>
        <n v="5707204.44"/>
        <n v="726532.3999999999"/>
        <n v="326503.12"/>
        <n v="4101810.4"/>
        <n v="416085.66000000003"/>
        <n v="61335.42"/>
        <n v="2358993.1"/>
        <n v="157043.44999999998"/>
        <n v="695895.04"/>
        <n v="810199.8"/>
        <n v="1118321.54"/>
        <n v="1375355.52"/>
        <n v="686029.18"/>
        <n v="248897.0"/>
        <n v="243038.90000000002"/>
        <n v="3442075.6"/>
        <n v="87646.02"/>
        <n v="64899.48"/>
        <n v="309399.36"/>
        <n v="392875.92"/>
        <n v="6510146.37"/>
        <n v="914346.1"/>
        <n v="1179604.44"/>
        <n v="1850667.5999999999"/>
        <n v="966144.48"/>
        <n v="3117767.1"/>
        <n v="59885.44"/>
        <n v="853061.58"/>
        <n v="973460.4"/>
        <n v="1469497.9800000002"/>
        <n v="3845225.58"/>
        <n v="376705.55000000005"/>
        <n v="730705.6200000001"/>
        <n v="526913.31"/>
        <n v="657986.0"/>
        <n v="77532.3"/>
        <n v="1383949.5999999999"/>
        <n v="451922.89999999997"/>
        <n v="2540094.27"/>
        <n v="419932.5"/>
        <n v="2865054.9899999998"/>
        <n v="412103.25"/>
        <n v="117011.70000000001"/>
        <n v="255802.95"/>
        <n v="300733.39999999997"/>
        <n v="1407916.02"/>
        <n v="347838.24"/>
        <n v="1164794.6099999999"/>
        <n v="13158.53"/>
        <n v="148359.78"/>
        <n v="3000940.8"/>
        <n v="1006165.86"/>
        <n v="677247.76"/>
        <n v="1960404.8"/>
        <n v="165676.72"/>
        <n v="1683860.2"/>
        <n v="1303039.48"/>
        <n v="395666.0"/>
        <n v="993119.6"/>
        <n v="58079.25"/>
        <n v="794829.6"/>
        <n v="3787728.42"/>
        <n v="2997443.1999999997"/>
        <n v="85574.76"/>
        <n v="836083.62"/>
        <n v="360038.22000000003"/>
        <n v="37590.64"/>
        <n v="2869231.2600000002"/>
        <n v="917245.6"/>
        <n v="458655.48000000004"/>
        <n v="1900614.45"/>
        <n v="6672675.95"/>
        <n v="988072.0"/>
        <n v="1888509.0"/>
        <n v="262272.0"/>
        <n v="1753796.73"/>
        <n v="48731.15"/>
        <n v="1974080.24"/>
        <n v="3173197.6"/>
        <n v="1672594.56"/>
        <n v="2582195.28"/>
        <n v="2309727.6"/>
        <n v="26142.66"/>
        <n v="1333460.0"/>
        <n v="107426.8"/>
        <n v="251571.09999999998"/>
        <n v="5024053.859999999"/>
        <n v="126436.31000000001"/>
        <n v="1736833.73"/>
        <n v="2219664.4"/>
        <n v="3923413.17"/>
        <n v="196110.85"/>
        <n v="1272060.24"/>
        <n v="539826.65"/>
        <n v="778947.84"/>
        <n v="375385.89"/>
        <n v="3175619.04"/>
        <n v="1366358.1400000001"/>
        <n v="26091.180000000004"/>
        <n v="395590.65"/>
        <n v="2081042.56"/>
        <n v="3120720.33"/>
        <n v="2046242.74"/>
        <n v="680720.4"/>
        <n v="220935.84000000003"/>
        <n v="3755664.78"/>
        <n v="1406875.92"/>
        <n v="1945334.79"/>
        <n v="873923.8200000001"/>
        <n v="51837.48"/>
        <n v="2360318.88"/>
        <n v="206776.8"/>
        <n v="386484.8"/>
        <n v="102244.23000000001"/>
        <n v="10285.0"/>
        <n v="6310876.11"/>
        <n v="4391760.24"/>
        <n v="1201862.8"/>
        <n v="59549.75"/>
        <n v="1769337.57"/>
        <n v="568840.8"/>
        <n v="1333244.04"/>
        <n v="21874.45"/>
        <n v="4934218.17"/>
        <n v="364934.85"/>
        <n v="4129037.4299999997"/>
        <n v="2161853.4499999997"/>
        <n v="317915.0"/>
        <n v="3567979.5900000003"/>
        <n v="2010305.8499999999"/>
        <n v="2826902.6100000003"/>
        <n v="1073909.89"/>
        <n v="268500.96"/>
        <n v="54039.36"/>
        <n v="408312.97"/>
        <n v="121002.72"/>
        <n v="4672543.84"/>
        <n v="3964845.9099999997"/>
        <n v="397773.35000000003"/>
        <n v="55326.9"/>
        <n v="70033.73999999999"/>
        <n v="53333.8"/>
        <n v="3260365.92"/>
        <n v="503293.34"/>
        <n v="149522.4"/>
        <n v="208590.2"/>
        <n v="42610.11"/>
        <n v="1992970.96"/>
        <n v="298880.8"/>
        <n v="2584652.49"/>
        <n v="1300591.9200000002"/>
        <n v="4859329.0200000005"/>
        <n v="371486.05000000005"/>
        <n v="758008.4400000001"/>
        <n v="159293.52000000002"/>
        <n v="2530602.06"/>
        <n v="3224083.38"/>
        <n v="594046.08"/>
        <n v="6155888.13"/>
        <n v="307657.82"/>
        <n v="76947.2"/>
        <n v="299910.6"/>
        <n v="9171.39"/>
        <n v="4841616.149999999"/>
        <n v="1234278.8"/>
        <n v="1825310.0"/>
        <n v="1177480.58"/>
        <n v="235209.65000000002"/>
        <n v="2046715.0"/>
        <n v="2367799.56"/>
        <n v="89717.28"/>
        <n v="91629.93000000001"/>
        <n v="3583291.1999999997"/>
        <n v="513173.86"/>
        <n v="3589862.01"/>
        <n v="4496605.05"/>
        <n v="28633.77"/>
        <n v="1899433.7999999998"/>
        <n v="6222261.97"/>
        <n v="1819827.9"/>
        <n v="317867.55000000005"/>
        <n v="541810.24"/>
        <n v="1028324.8"/>
        <n v="1830158.8199999998"/>
        <n v="1636439.5999999999"/>
        <n v="1046190.2"/>
        <n v="3785714.8"/>
        <n v="15041.650000000001"/>
        <n v="72232.86"/>
        <n v="643215.1"/>
        <n v="756448.77"/>
        <n v="7432.4"/>
        <n v="800558.08"/>
        <n v="1364047.24"/>
        <n v="430344.64"/>
        <n v="1022496.22"/>
        <n v="3456966.6599999997"/>
        <n v="599734.74"/>
        <n v="491765.34"/>
        <n v="101302.56"/>
        <n v="39363.27"/>
        <n v="267478.26"/>
        <n v="296380.08"/>
        <n v="435768.48000000004"/>
        <n v="332629.84"/>
        <n v="1322759.16"/>
        <n v="732176.0"/>
        <n v="4099168.1799999997"/>
        <n v="276587.68"/>
        <n v="1244188.56"/>
        <n v="1245764.73"/>
        <n v="280856.55"/>
        <n v="960571.2"/>
        <n v="1903878.24"/>
        <n v="407796.82"/>
        <n v="914953.6"/>
        <n v="462813.32999999996"/>
        <n v="325127.4"/>
        <n v="1834377.72"/>
        <n v="379516.5"/>
        <n v="2039838.15"/>
        <n v="182255.45"/>
        <n v="884949.4400000001"/>
        <n v="432127.15"/>
        <n v="349967.86000000004"/>
        <n v="95869.29000000001"/>
        <n v="1158993.3800000001"/>
        <n v="1013572.0"/>
        <n v="429673.34"/>
        <n v="469660.10000000003"/>
        <n v="222777.75"/>
        <n v="319972.95"/>
        <n v="623326.76"/>
        <n v="1362352.58"/>
        <n v="775669.4400000001"/>
        <n v="492668.44"/>
        <n v="1574016.4"/>
        <n v="1527813.02"/>
        <n v="557316.87"/>
        <n v="1197142.6800000002"/>
        <n v="1195967.78"/>
        <n v="882706.7999999999"/>
        <n v="737876.88"/>
        <n v="698446.08"/>
        <n v="4077988.7399999998"/>
        <n v="283323.95"/>
        <n v="1021506.2"/>
        <n v="1354605.2400000002"/>
        <n v="345008.95"/>
        <n v="262873.0"/>
        <n v="2730893.9699999997"/>
        <n v="613524.18"/>
        <n v="272600.25"/>
        <n v="4026612.0"/>
        <n v="1146486.12"/>
        <n v="119775.3"/>
        <n v="5447068.77"/>
        <n v="1511174.54"/>
        <n v="217892.18000000002"/>
        <n v="1604434.8"/>
        <n v="1160533.98"/>
        <n v="73238.40000000001"/>
        <n v="133910.69999999998"/>
        <n v="343632.9"/>
        <n v="393092.69999999995"/>
        <n v="1409045.0"/>
        <n v="88271.13"/>
        <n v="2744394.4499999997"/>
        <n v="164195.57"/>
        <n v="1015563.52"/>
        <n v="983835.8400000001"/>
        <n v="811742.14"/>
        <n v="2812318.7399999998"/>
        <n v="2059608.14"/>
        <n v="4166163.75"/>
        <n v="319433.06"/>
        <n v="834765.18"/>
        <n v="1905604.7999999998"/>
        <n v="1412576.1400000001"/>
        <n v="878097.9"/>
        <n v="27948.050000000003"/>
        <n v="73982.56"/>
        <n v="14676.09"/>
        <n v="1061935.58"/>
        <n v="4460788.5"/>
        <n v="221781.30000000002"/>
        <n v="145713.90000000002"/>
        <n v="2193110.48"/>
        <n v="2500963.92"/>
        <n v="1383872.8800000001"/>
        <n v="801607.8400000001"/>
        <n v="3112864.0"/>
        <n v="196490.45"/>
        <n v="1172272.1400000001"/>
        <n v="1440476.52"/>
        <n v="182018.2"/>
        <n v="1176604.0"/>
        <n v="536644.08"/>
        <n v="1377296.4"/>
        <n v="1155211.2"/>
        <n v="814602.91"/>
        <n v="748891.5"/>
        <n v="5026726.9399999995"/>
        <n v="352364.1"/>
        <n v="59357.46"/>
        <n v="588582.08"/>
        <n v="4361130.02"/>
        <n v="760491.26"/>
        <n v="30126.57"/>
        <n v="1148363.24"/>
        <n v="711214.4600000001"/>
        <n v="280239.7"/>
        <n v="44168.22"/>
        <n v="246360.40000000002"/>
        <n v="146530.72"/>
        <n v="905004.0"/>
        <n v="3666129.2199999997"/>
      </sharedItems>
    </cacheField>
    <cacheField name="total cost" numFmtId="166">
      <sharedItems containsSemiMixedTypes="0" containsString="0" containsNumber="1">
        <n v="76121.5"/>
        <n v="233400.23"/>
        <n v="2358420.22"/>
        <n v="41968.64000000001"/>
        <n v="243129.91999999998"/>
        <n v="1165411.2000000002"/>
        <n v="46350.159999999996"/>
        <n v="401819.67000000004"/>
        <n v="836476.74"/>
        <n v="856659.65"/>
        <n v="1907641.84"/>
        <n v="423769.77999999997"/>
        <n v="50446.8"/>
        <n v="1128055.92"/>
        <n v="342845.44000000006"/>
        <n v="2642355.3200000003"/>
        <n v="1438765.5"/>
        <n v="175902.72000000003"/>
        <n v="777331.9199999999"/>
        <n v="3319773.07"/>
        <n v="20863.8"/>
        <n v="77478.12"/>
        <n v="11549.12"/>
        <n v="875572.25"/>
        <n v="43935.08"/>
        <n v="3872104.9600000004"/>
        <n v="47145.96"/>
        <n v="320869.92"/>
        <n v="346645.6"/>
        <n v="196146.72"/>
        <n v="29411.73"/>
        <n v="213702.57"/>
        <n v="61352.72"/>
        <n v="56155.8"/>
        <n v="166643.18"/>
        <n v="128463.39"/>
        <n v="50959.369999999995"/>
        <n v="242208.00999999998"/>
        <n v="445897.74"/>
        <n v="972247.22"/>
        <n v="163337.02"/>
        <n v="940588.32"/>
        <n v="286568.17"/>
        <n v="918578.0399999999"/>
        <n v="589317.3300000001"/>
        <n v="62446.08"/>
        <n v="1262287.5599999998"/>
        <n v="1589098.5599999998"/>
        <n v="1931763.76"/>
        <n v="272979.2"/>
        <n v="90251.81"/>
        <n v="106256.25"/>
        <n v="1005.08"/>
        <n v="396818.52"/>
        <n v="1029971.52"/>
        <n v="450753.18"/>
        <n v="68287.35"/>
        <n v="2419476.04"/>
        <n v="471381.06"/>
        <n v="749808.78"/>
        <n v="227942.40000000002"/>
        <n v="286555.06"/>
        <n v="343865.76"/>
        <n v="5249.6"/>
        <n v="321843.2"/>
        <n v="427911.25"/>
        <n v="270971.4"/>
        <n v="1214741.29"/>
        <n v="335203.05"/>
        <n v="7333.32"/>
        <n v="154183.68000000002"/>
        <n v="1540285.1"/>
        <n v="6144.96"/>
        <n v="1061364.48"/>
        <n v="4258021.42"/>
        <n v="630754.46"/>
        <n v="243115.49999999997"/>
        <n v="654100.16"/>
        <n v="636419.0700000001"/>
        <n v="1326129.88"/>
        <n v="1084656.27"/>
        <n v="44621.600000000006"/>
        <n v="1180969.0"/>
        <n v="2081466.4000000001"/>
        <n v="1469644.73"/>
        <n v="903751.98"/>
        <n v="252000.79"/>
        <n v="304747.52"/>
        <n v="1049.92"/>
        <n v="23970.88"/>
        <n v="661221.63"/>
        <n v="51803.12"/>
        <n v="344780.80000000005"/>
        <n v="1042925.6399999999"/>
        <n v="384303.36"/>
        <n v="64307.56"/>
        <n v="3267257.71"/>
        <n v="4031167.8400000003"/>
        <n v="494842.44"/>
        <n v="130611.68"/>
        <n v="761837.41"/>
        <n v="95549.44"/>
        <n v="82590.42"/>
        <n v="784197.12"/>
        <n v="2377543.8400000003"/>
        <n v="2525113.56"/>
        <n v="64117.76000000001"/>
        <n v="4360842.720000001"/>
        <n v="4179731.5200000005"/>
        <n v="1281577.38"/>
        <n v="1322730.63"/>
        <n v="678323.4"/>
        <n v="44585.56"/>
        <n v="350264.32"/>
        <n v="452864.37"/>
        <n v="172970.69999999998"/>
        <n v="1600519.74"/>
        <n v="4708799.8"/>
        <n v="719055.4"/>
        <n v="179773.44000000003"/>
        <n v="224284.35"/>
        <n v="887988.18"/>
        <n v="373928.6"/>
        <n v="25432.0"/>
        <n v="612868.2000000001"/>
        <n v="4132485.12"/>
        <n v="373.68"/>
        <n v="2296700.0"/>
        <n v="288227.52"/>
        <n v="512440.18"/>
        <n v="154147.84000000003"/>
        <n v="84652.01999999999"/>
        <n v="741897.8700000001"/>
        <n v="3848451.3200000003"/>
        <n v="271789.32"/>
        <n v="60432.36"/>
        <n v="355627.23000000004"/>
        <n v="3843757.12"/>
        <n v="324949.22"/>
        <n v="47914.08"/>
        <n v="313600.00000000006"/>
        <n v="130715.04000000001"/>
        <n v="545469.12"/>
        <n v="53025.72"/>
        <n v="175938.56000000003"/>
        <n v="184254.84"/>
        <n v="2172.88"/>
        <n v="281754.77"/>
        <n v="473730.67"/>
        <n v="36182.880000000005"/>
        <n v="32790.8"/>
        <n v="98719.14"/>
        <n v="126101.21999999999"/>
        <n v="244927.74000000002"/>
        <n v="777727.51"/>
        <n v="178904.24000000002"/>
        <n v="198485.28"/>
        <n v="221002.13999999998"/>
        <n v="1324301.94"/>
        <n v="586464.18"/>
        <n v="1780139.36"/>
        <n v="614066.88"/>
        <n v="2383926.4899999998"/>
        <n v="303695.1"/>
        <n v="460359.41"/>
        <n v="1620026.56"/>
        <n v="75744.69"/>
        <n v="2056870.63"/>
        <n v="322315.92"/>
        <n v="4627522.4"/>
        <n v="269704.33"/>
        <n v="2195382.21"/>
        <n v="136263.68000000002"/>
        <n v="2398017.2800000003"/>
        <n v="41119.68"/>
        <n v="3132436.3200000003"/>
        <n v="284743.02999999997"/>
        <n v="655712.62"/>
        <n v="589706.88"/>
        <n v="268739.52"/>
        <n v="109656.45"/>
        <n v="456104.88000000006"/>
        <n v="180521.55"/>
        <n v="1808133.02"/>
        <n v="4007019.68"/>
        <n v="261377.38"/>
        <n v="1037664.7799999999"/>
        <n v="3419698.13"/>
        <n v="176133.44"/>
        <n v="134579.2"/>
        <n v="1089316.8599999999"/>
        <n v="276159.73"/>
        <n v="47062.92"/>
        <n v="3631673.2800000003"/>
        <n v="426594.6"/>
        <n v="2290253.2"/>
        <n v="17458.56"/>
        <n v="36339.54"/>
        <n v="252062.91"/>
        <n v="226186.24000000002"/>
        <n v="11217.920000000002"/>
        <n v="453454.25999999995"/>
        <n v="454798.7"/>
        <n v="4759812.32"/>
        <n v="307005.44"/>
        <n v="2315197.36"/>
        <n v="324459.52"/>
        <n v="4747738.24"/>
        <n v="284329.76"/>
        <n v="490252.17000000004"/>
        <n v="4513081.12"/>
        <n v="4332494.88"/>
        <n v="1157852.1600000001"/>
        <n v="56745.15"/>
        <n v="4248.88"/>
        <n v="4650095.680000001"/>
        <n v="82094.11"/>
        <n v="157614.82"/>
        <n v="277812.81"/>
        <n v="218236.17"/>
        <n v="580379.32"/>
        <n v="73652.04"/>
        <n v="25082.309999999998"/>
        <n v="93725.33"/>
        <n v="250424.73"/>
        <n v="1163128.6099999999"/>
        <n v="4606524.0"/>
        <n v="465470.67000000004"/>
        <n v="20815.36"/>
        <n v="4408.320000000001"/>
        <n v="14586.880000000001"/>
        <n v="2583463.96"/>
        <n v="320481.28"/>
        <n v="385959.83999999997"/>
        <n v="244550.27999999997"/>
        <n v="112790.92"/>
        <n v="5064814.08"/>
        <n v="298556.16"/>
        <n v="1606902.56"/>
        <n v="2415865.9200000004"/>
        <n v="213594.57"/>
        <n v="1390909.0599999998"/>
        <n v="358256.64"/>
        <n v="2062424.1600000001"/>
        <n v="21472.76"/>
        <n v="312195.03"/>
        <n v="21050.64"/>
        <n v="289013.76"/>
        <n v="1377548.22"/>
        <n v="235373.16"/>
        <n v="2938201.12"/>
        <n v="26703.6"/>
        <n v="461973.84"/>
        <n v="39340.2"/>
        <n v="256148.48"/>
        <n v="612995.04"/>
        <n v="474435.36"/>
        <n v="2332313.81"/>
        <n v="3073032.1"/>
        <n v="1621696.58"/>
        <n v="3502533.12"/>
        <n v="128050.12"/>
        <n v="642324.48"/>
        <n v="39035.72"/>
        <n v="599550.36"/>
        <n v="461062.07"/>
        <n v="400600.23000000004"/>
        <n v="420551.04"/>
        <n v="194001.92"/>
        <n v="812563.74"/>
        <n v="48993.6"/>
        <n v="151423.23"/>
        <n v="1493287.14"/>
        <n v="269616.48"/>
        <n v="470313.76"/>
        <n v="991687.48"/>
        <n v="279263.04"/>
        <n v="297652.32"/>
        <n v="751543.82"/>
        <n v="703091.1"/>
        <n v="9183.93"/>
        <n v="545448.75"/>
        <n v="1875436.2599999998"/>
        <n v="770722.68"/>
        <n v="191714.61000000002"/>
        <n v="4023.57"/>
        <n v="983780.82"/>
        <n v="4531454.720000001"/>
        <n v="84972.77"/>
        <n v="2575367.4"/>
        <n v="2697634.72"/>
        <n v="18718.6"/>
        <n v="302163.95"/>
        <n v="304597.44"/>
        <n v="46972.96"/>
        <n v="996440.72"/>
        <n v="391929.72000000003"/>
        <n v="39229.48"/>
        <n v="1443069.8399999999"/>
        <n v="558607.6799999999"/>
        <n v="104660.43000000001"/>
        <n v="117089.28000000001"/>
        <n v="2317567.33"/>
        <n v="58342.52"/>
        <n v="321709.56"/>
        <n v="1335780.18"/>
        <n v="441175.95"/>
        <n v="10082.44"/>
        <n v="322346.85000000003"/>
        <n v="894954.62"/>
        <n v="396293.31"/>
        <n v="1507156.68"/>
        <n v="51007.32"/>
        <n v="54371.52"/>
        <n v="168868.47999999998"/>
        <n v="1416660.26"/>
        <n v="31160.76"/>
        <n v="188767.77000000002"/>
        <n v="12580.74"/>
        <n v="280969.86"/>
        <n v="2374709.94"/>
        <n v="42973.2"/>
        <n v="255525.03"/>
        <n v="102173.06"/>
        <n v="988804.1499999999"/>
        <n v="164831.15"/>
        <n v="9618.8"/>
        <n v="2914577.9200000004"/>
        <n v="1577620.3199999998"/>
        <n v="386641.92"/>
        <n v="1311867.18"/>
        <n v="254002.1"/>
        <n v="825391.28"/>
        <n v="49115.549999999996"/>
        <n v="2946894.56"/>
        <n v="105984.55"/>
        <n v="1008199.99"/>
        <n v="233175.04"/>
        <n v="1826456.88"/>
        <n v="136188.36"/>
        <n v="1810657.0799999998"/>
        <n v="753737.7599999999"/>
        <n v="1050160.04"/>
        <n v="4159258.08"/>
        <n v="524301.47"/>
        <n v="2500318.3499999996"/>
        <n v="381465.74"/>
        <n v="238945.28000000003"/>
        <n v="105066.18000000001"/>
        <n v="2499528.36"/>
        <n v="2536921.2199999997"/>
        <n v="4893152.16"/>
        <n v="225183.84"/>
        <n v="2982822.72"/>
        <n v="603251.04"/>
        <n v="2692519.8400000003"/>
        <n v="3300423.52"/>
        <n v="108181.37"/>
        <n v="1336224.16"/>
        <n v="503661.27"/>
        <n v="1107302.65"/>
        <n v="355266.24"/>
        <n v="570404.76"/>
        <n v="3158944.78"/>
        <n v="1187091.64"/>
        <n v="228833.77"/>
        <n v="42502.5"/>
        <n v="471999.36"/>
        <n v="221096.96000000002"/>
        <n v="1090449.53"/>
        <n v="1474612.6400000001"/>
        <n v="132267.78"/>
        <n v="13600.800000000001"/>
        <n v="35935.56"/>
        <n v="482838.30000000005"/>
        <n v="297331.87"/>
        <n v="1526583.6800000002"/>
        <n v="57293.37"/>
        <n v="338329.60000000003"/>
        <n v="539951.76"/>
        <n v="468464.06999999995"/>
        <n v="186766.25"/>
        <n v="307722.24000000005"/>
        <n v="381970.31999999995"/>
        <n v="479599.68"/>
        <n v="132070.40000000002"/>
        <n v="534375.84"/>
        <n v="837647.16"/>
        <n v="1444504.6199999999"/>
        <n v="210915.11"/>
        <n v="135031.05000000002"/>
        <n v="63760.88"/>
        <n v="1650289.1099999999"/>
        <n v="1181780.46"/>
        <n v="4733424.26"/>
        <n v="2333447.2"/>
        <n v="715158.12"/>
        <n v="106432.92"/>
        <n v="405870.54000000004"/>
        <n v="18373.600000000002"/>
        <n v="175508.48"/>
        <n v="55982.08"/>
        <n v="2371286.65"/>
        <n v="186480.13999999998"/>
        <n v="354636.80000000005"/>
        <n v="878942.4600000001"/>
        <n v="248263.68000000002"/>
        <n v="3627206.7399999998"/>
        <n v="471097.37"/>
        <n v="999085.1399999999"/>
        <n v="355317.76"/>
        <n v="31043.12"/>
        <n v="176357.04"/>
        <n v="283207.68000000005"/>
        <n v="468869.82"/>
        <n v="564857.16"/>
        <n v="6982.28"/>
        <n v="985349.92"/>
        <n v="754177.12"/>
        <n v="2519804.77"/>
        <n v="435395.61"/>
        <n v="863925.93"/>
        <n v="286750.2"/>
        <n v="267152.34"/>
        <n v="566643.3300000001"/>
        <n v="214660.32"/>
        <n v="630412.02"/>
        <n v="2009021.9200000002"/>
        <n v="699380.92"/>
        <n v="456116.64"/>
        <n v="611548.42"/>
        <n v="336895.65"/>
        <n v="66401.37"/>
        <n v="172560.15"/>
        <n v="44101.159999999996"/>
        <n v="205793.28000000003"/>
        <n v="453558.84"/>
        <n v="3897700.24"/>
        <n v="50834.32"/>
        <n v="146710.85"/>
        <n v="59673.51"/>
        <n v="267653.12000000005"/>
        <n v="382069.14"/>
        <n v="29638.41"/>
        <n v="277939.97"/>
        <n v="1065882.1199999999"/>
        <n v="542102.19"/>
        <n v="1088519.76"/>
        <n v="558492.06"/>
        <n v="53076.4"/>
        <n v="669705.12"/>
        <n v="639654.82"/>
        <n v="910881.58"/>
        <n v="502751.97000000003"/>
        <n v="224112.0"/>
        <n v="822128.94"/>
        <n v="1470171.24"/>
        <n v="26005.980000000003"/>
        <n v="522661.93"/>
        <n v="463924.86000000004"/>
        <n v="399000.84"/>
        <n v="2536606.72"/>
        <n v="176753.73"/>
        <n v="4873728.640000001"/>
        <n v="2265089.59"/>
        <n v="300855.59"/>
        <n v="319477.68"/>
        <n v="735259.9800000001"/>
        <n v="50931.2"/>
        <n v="203297.05"/>
        <n v="1122635.64"/>
        <n v="213491.04"/>
        <n v="724245.0599999999"/>
        <n v="394999.92000000004"/>
        <n v="146424.74"/>
        <n v="387713.76"/>
        <n v="1375372.5899999999"/>
        <n v="2662966.38"/>
        <n v="3768044.92"/>
        <n v="2315416.81"/>
        <n v="421596.0"/>
        <n v="254828.63999999998"/>
        <n v="78744.0"/>
        <n v="252889.44999999998"/>
        <n v="557551.6799999999"/>
        <n v="4101512.4800000004"/>
        <n v="593019.84"/>
        <n v="502096.2"/>
        <n v="299567.38"/>
        <n v="329656.32"/>
        <n v="133231.88999999998"/>
        <n v="210195.47999999998"/>
        <n v="3469460.64"/>
        <n v="279278.72000000003"/>
        <n v="844235.98"/>
        <n v="353823.04000000004"/>
        <n v="164456.34"/>
        <n v="69906.20999999999"/>
        <n v="12366.31"/>
        <n v="2808477.69"/>
        <n v="540470.58"/>
        <n v="551023.2"/>
        <n v="293380.59"/>
        <n v="144735.18"/>
        <n v="297236.5"/>
        <n v="951401.64"/>
        <n v="24386.079999999998"/>
        <n v="112709.93999999999"/>
        <n v="1122616.46"/>
        <n v="599134.76"/>
        <n v="112345.86"/>
        <n v="887331.72"/>
        <n v="1214302.14"/>
        <n v="2384049.7600000002"/>
        <n v="808410.33"/>
        <n v="2730316.96"/>
        <n v="225263.25"/>
        <n v="715424.99"/>
        <n v="526848.42"/>
        <n v="24496.8"/>
        <n v="87952.22"/>
        <n v="1769475.88"/>
        <n v="831942.72"/>
        <n v="1053170.23"/>
        <n v="1579980.0"/>
        <n v="1055041.5599999998"/>
        <n v="36717.52"/>
        <n v="121846.20000000001"/>
        <n v="55627.25"/>
        <n v="500478.72000000003"/>
        <n v="367731.63"/>
        <n v="2844758.24"/>
        <n v="2211844.85"/>
        <n v="1477762.4000000001"/>
        <n v="3404745.84"/>
        <n v="1200273.18"/>
        <n v="56529.479999999996"/>
        <n v="52136.4"/>
        <n v="98202.71999999999"/>
        <n v="358490.27"/>
        <n v="2901163.42"/>
        <n v="624882.72"/>
        <n v="507298.47000000003"/>
        <n v="13051.119999999999"/>
        <n v="68060.67"/>
        <n v="458573.64"/>
        <n v="197944.32"/>
        <n v="1108925.52"/>
        <n v="4293647.84"/>
        <n v="490749.21"/>
        <n v="57207.64"/>
        <n v="1698361.33"/>
        <n v="1080808.19"/>
        <n v="150144.16999999998"/>
        <n v="462833.7"/>
        <n v="771592.7999999999"/>
        <n v="42004.48"/>
        <n v="9369.68"/>
        <n v="236738.69999999998"/>
        <n v="19494.48"/>
        <n v="28780.28"/>
        <n v="199915.52000000002"/>
        <n v="204526.56"/>
        <n v="89234.53"/>
        <n v="119364.0"/>
        <n v="873055.05"/>
        <n v="318892.63"/>
        <n v="151892.62"/>
        <n v="478918.17000000004"/>
        <n v="994461.96"/>
        <n v="33949.52"/>
        <n v="758042.1"/>
        <n v="881637.12"/>
        <n v="149432.36"/>
        <n v="1383446.7599999998"/>
        <n v="44364.12"/>
        <n v="391850.06"/>
        <n v="5111010.5600000005"/>
        <n v="23872.8"/>
        <n v="349710.57"/>
        <n v="2463978.81"/>
        <n v="319982.67000000004"/>
        <n v="17459.16"/>
        <n v="33811.68"/>
        <n v="238418.46000000002"/>
        <n v="562423.6799999999"/>
        <n v="788908.68"/>
        <n v="3669547.08"/>
        <n v="433892.55"/>
        <n v="186543.72"/>
        <n v="652059.03"/>
        <n v="5916.6"/>
        <n v="103523.24"/>
        <n v="341796.48"/>
        <n v="223641.60000000003"/>
        <n v="1679032.76"/>
        <n v="2007364.5899999999"/>
        <n v="3042243.98"/>
        <n v="395703.83999999997"/>
        <n v="112308.49"/>
        <n v="683793.75"/>
        <n v="220523.52000000002"/>
        <n v="339870.72"/>
        <n v="854646.24"/>
        <n v="58849.280000000006"/>
        <n v="309335.04000000004"/>
        <n v="339849.99"/>
        <n v="156533.96"/>
        <n v="226645.44"/>
        <n v="35795.54"/>
        <n v="3065241.4400000004"/>
        <n v="3522302.8600000003"/>
        <n v="912454.38"/>
        <n v="2467836.96"/>
        <n v="279444.48000000004"/>
        <n v="2329247.52"/>
        <n v="656696.4600000001"/>
        <n v="2772738.07"/>
        <n v="107671.2"/>
        <n v="528169.54"/>
        <n v="3069231.04"/>
        <n v="1153337.12"/>
        <n v="1375954.52"/>
        <n v="62515.28"/>
        <n v="939321.6"/>
        <n v="1030613.94"/>
        <n v="151774.56"/>
        <n v="487687.2"/>
        <n v="477808.8"/>
        <n v="304783.36000000004"/>
        <n v="4866379.2"/>
        <n v="3127186.72"/>
        <n v="784460.07"/>
        <n v="213032.96000000002"/>
        <n v="283673.60000000003"/>
        <n v="512208.69000000006"/>
        <n v="129203.20000000001"/>
        <n v="362361.66"/>
        <n v="239489.95"/>
        <n v="6199.73"/>
        <n v="1576970.52"/>
        <n v="1249852.7999999998"/>
        <n v="962707.2"/>
        <n v="2469772.07"/>
        <n v="270484.48000000004"/>
        <n v="12283.0"/>
        <n v="301342.02"/>
        <n v="384165.93"/>
        <n v="362747.36000000004"/>
        <n v="192460.80000000002"/>
        <n v="883346.22"/>
        <n v="3192131.57"/>
        <n v="2547724.34"/>
        <n v="4240935.0600000005"/>
        <n v="1118164.8"/>
        <n v="35318.69"/>
        <n v="106933.68000000001"/>
        <n v="359741.16000000003"/>
        <n v="146160.0"/>
        <n v="84546.56000000001"/>
        <n v="58956.8"/>
        <n v="2002361.3199999998"/>
        <n v="3624.06"/>
        <n v="713698.33"/>
        <n v="2431791.06"/>
        <n v="564603.21"/>
        <n v="141209.6"/>
        <n v="2396377.9899999998"/>
        <n v="217782.81"/>
        <n v="1745321.4200000002"/>
        <n v="291453.81"/>
        <n v="242769.03"/>
        <n v="191317.92"/>
        <n v="60999.8"/>
        <n v="581424.48"/>
        <n v="1755372.22"/>
        <n v="2426365.12"/>
        <n v="3726836.64"/>
        <n v="1519150.77"/>
        <n v="1115461.74"/>
        <n v="1056566.42"/>
        <n v="3559009.71"/>
        <n v="1342788.58"/>
        <n v="325909.17"/>
        <n v="466214.91"/>
        <n v="103508.23999999999"/>
        <n v="307695.41"/>
        <n v="303797.13"/>
        <n v="247219.21"/>
        <n v="425460.63"/>
        <n v="270334.89"/>
        <n v="44737.560000000005"/>
        <n v="513935.84"/>
        <n v="535248.15"/>
        <n v="35983.36"/>
        <n v="54681.06"/>
        <n v="240999.99"/>
        <n v="61657.2"/>
        <n v="2432115.88"/>
        <n v="885242.4"/>
        <n v="534607.15"/>
        <n v="1143041.4"/>
        <n v="2781056.3600000003"/>
        <n v="153859.05000000002"/>
        <n v="4130878.8000000003"/>
        <n v="554400.2100000001"/>
        <n v="491510.67"/>
        <n v="727677.92"/>
        <n v="520076.74999999994"/>
        <n v="589901.76"/>
        <n v="3945599.3600000003"/>
        <n v="3496233.6"/>
        <n v="494672.43"/>
        <n v="2532971.27"/>
        <n v="175393.65"/>
        <n v="2665519.21"/>
        <n v="63158.84"/>
        <n v="533668.17"/>
        <n v="34309.36"/>
        <n v="1102867.5599999998"/>
        <n v="590937.0599999999"/>
        <n v="100597.49"/>
        <n v="70796.33"/>
        <n v="2738716.3200000003"/>
        <n v="682664.64"/>
        <n v="684459.48"/>
        <n v="1195040.12"/>
        <n v="1585379.2000000002"/>
        <n v="2092946.8399999999"/>
        <n v="512534.39999999997"/>
        <n v="494508.0"/>
        <n v="388463.42000000004"/>
        <n v="363840.95999999996"/>
        <n v="5126759.36"/>
        <n v="283640.42"/>
        <n v="295883.51999999996"/>
        <n v="315765.24"/>
        <n v="431995.41000000003"/>
        <n v="367504.95"/>
        <n v="28233.6"/>
        <n v="933015.37"/>
        <n v="597112.32"/>
        <n v="274391.04000000004"/>
        <n v="209622.33000000002"/>
        <n v="423891.60000000003"/>
        <n v="967481.76"/>
        <n v="383372.55"/>
        <n v="303880.61"/>
        <n v="540065.1"/>
        <n v="2009441.9"/>
        <n v="1218606.48"/>
        <n v="549464.16"/>
        <n v="158789.34"/>
        <n v="68708.68"/>
        <n v="31090.62"/>
        <n v="46572.35"/>
        <n v="31984.239999999998"/>
        <n v="98294.68"/>
        <n v="84797.44"/>
        <n v="2588.08"/>
        <n v="1463063.52"/>
        <n v="1185359.6800000002"/>
        <n v="113971.20000000001"/>
        <n v="549075.63"/>
        <n v="969710.71"/>
        <n v="120650.43000000001"/>
        <n v="3411.56"/>
        <n v="255422.37000000002"/>
        <n v="1099929.41"/>
        <n v="231939.84"/>
        <n v="3731862.04"/>
        <n v="38918.04"/>
        <n v="524013.54"/>
        <n v="24787.44"/>
        <n v="2695788.48"/>
        <n v="649955.34"/>
        <n v="140605.91999999998"/>
        <n v="2195645.54"/>
        <n v="110934.6"/>
        <n v="123629.91"/>
        <n v="525870.01"/>
        <n v="570091.48"/>
        <n v="2495208.98"/>
        <n v="3346620.0"/>
        <n v="3749450.94"/>
        <n v="115799.04000000001"/>
        <n v="10539.16"/>
        <n v="3856881.12"/>
        <n v="1158061.76"/>
        <n v="685184.6599999999"/>
        <n v="148702.08000000002"/>
        <n v="348042.24000000005"/>
        <n v="1000002.29"/>
        <n v="86648.43000000001"/>
        <n v="69255.79"/>
        <n v="1166643.31"/>
        <n v="563356.47"/>
        <n v="2277801.44"/>
        <n v="43555.47"/>
        <n v="28372.0"/>
        <n v="499781.69999999995"/>
        <n v="762027.6"/>
        <n v="891636.0599999999"/>
        <n v="2447434.59"/>
        <n v="795024.2"/>
        <n v="105441.28000000001"/>
        <n v="60903.23"/>
        <n v="222673.92"/>
        <n v="10075.52"/>
        <n v="192337.98"/>
        <n v="54232.04"/>
        <n v="245111.23"/>
        <n v="364902.09"/>
        <n v="329542.08"/>
        <n v="1861479.7699999998"/>
        <n v="1500142.2"/>
        <n v="111595.14"/>
        <n v="784986.73"/>
        <n v="46979.43"/>
        <n v="32558.6"/>
        <n v="21394.67"/>
        <n v="83148.1"/>
        <n v="1059664.74"/>
        <n v="3074165.7600000002"/>
        <n v="775.04"/>
        <n v="2124513.12"/>
        <n v="239156.16999999998"/>
        <n v="99629.86"/>
        <n v="1815062.13"/>
        <n v="1296472.95"/>
        <n v="66155.2"/>
        <n v="279609.78"/>
        <n v="4268449.760000001"/>
        <n v="562716.67"/>
        <n v="124723.98"/>
        <n v="751377.76"/>
        <n v="274999.5"/>
        <n v="294661.51"/>
        <n v="815911.5599999999"/>
        <n v="352773.12000000005"/>
        <n v="798989.1200000001"/>
        <n v="313926.25"/>
        <n v="678246.87"/>
        <n v="1470330.66"/>
        <n v="432554.01"/>
        <n v="1015109.48"/>
        <n v="184259.04"/>
        <n v="37957.26"/>
        <n v="267417.48"/>
        <n v="167629.86000000002"/>
        <n v="2804336.3200000003"/>
        <n v="829896.48"/>
        <n v="1443797.4200000002"/>
        <n v="607918.01"/>
        <n v="42910.92"/>
        <n v="3904233.2600000002"/>
        <n v="4681593.28"/>
        <n v="4864587.2"/>
        <n v="102962.03"/>
        <n v="17323.68"/>
        <n v="1411350.3"/>
        <n v="3280021.86"/>
        <n v="68909.36"/>
        <n v="62985.84"/>
        <n v="3115245.46"/>
        <n v="671625.85"/>
        <n v="289243.68"/>
        <n v="794708.7"/>
        <n v="201688.53"/>
        <n v="2892721.08"/>
        <n v="37520.24"/>
        <n v="1011187.2"/>
        <n v="734896.26"/>
        <n v="461196.96"/>
        <n v="3289399.3600000003"/>
        <n v="1050811.1400000001"/>
        <n v="973769.65"/>
        <n v="99502.92"/>
        <n v="453717.58999999997"/>
        <n v="1090009.26"/>
        <n v="200318.79"/>
        <n v="92445.31999999999"/>
        <n v="675246.18"/>
        <n v="2141824.37"/>
        <n v="30391.239999999998"/>
        <n v="174061.12999999998"/>
        <n v="81177.6"/>
        <n v="722013.1799999999"/>
        <n v="79636.48000000001"/>
        <n v="979859.37"/>
        <n v="2978052.04"/>
        <n v="2000.46"/>
        <n v="301524.0"/>
        <n v="670964.84"/>
        <n v="143754.24000000002"/>
        <n v="239711.58000000002"/>
        <n v="421642.41000000003"/>
        <n v="224573.44000000003"/>
        <n v="487225.84"/>
        <n v="2842868.7800000003"/>
        <n v="419758.19"/>
        <n v="2319147.31"/>
        <n v="1917904.71"/>
        <n v="2095144.05"/>
        <n v="1418040.9"/>
        <n v="1158983.4"/>
        <n v="2517434.8"/>
        <n v="654375.0499999999"/>
        <n v="1086546.58"/>
        <n v="4863229.44"/>
        <n v="241060.09"/>
        <n v="3421156.89"/>
        <n v="521119.83"/>
        <n v="458014.41000000003"/>
        <n v="247987.92"/>
        <n v="488835.42000000004"/>
        <n v="123483.93000000001"/>
        <n v="3861517.3600000003"/>
        <n v="807582.72"/>
        <n v="296918.6"/>
        <n v="49491.84"/>
        <n v="2575014.96"/>
        <n v="199136.7"/>
        <n v="4596230.84"/>
        <n v="11923.16"/>
        <n v="59608.88"/>
        <n v="46101.04"/>
        <n v="4411296.12"/>
        <n v="320337.92000000004"/>
        <n v="344422.4"/>
        <n v="57126.63"/>
        <n v="2185043.92"/>
        <n v="254033.92"/>
        <n v="201802.91999999998"/>
        <n v="576181.2"/>
        <n v="806730.9600000001"/>
        <n v="36385.36"/>
        <n v="44882.64"/>
        <n v="150671.01"/>
        <n v="2007447.04"/>
        <n v="3458961.4400000004"/>
        <n v="106767.36000000002"/>
        <n v="5556.76"/>
        <n v="469970.16"/>
        <n v="822491.04"/>
        <n v="21576.56"/>
        <n v="340714.71"/>
        <n v="810603.36"/>
        <n v="2560441.3000000003"/>
        <n v="12006.2"/>
        <n v="706071.1799999999"/>
        <n v="2319428.4"/>
        <n v="59377.29"/>
        <n v="1972078.3699999999"/>
        <n v="869108.9400000001"/>
        <n v="1319019.97"/>
        <n v="3520906.72"/>
        <n v="2607898.19"/>
        <n v="65773.51"/>
        <n v="3021821.34"/>
        <n v="215716.62"/>
        <n v="232346.24"/>
        <n v="5226501.760000001"/>
        <n v="113617.45999999999"/>
        <n v="4343955.76"/>
        <n v="170227.68"/>
        <n v="158332.72"/>
        <n v="24391.26"/>
        <n v="544846.86"/>
        <n v="1790047.48"/>
        <n v="324511.81"/>
        <n v="282770.88"/>
        <n v="143760.33000000002"/>
        <n v="90887.61"/>
        <n v="616455.5299999999"/>
        <n v="605775.66"/>
        <n v="276003.84"/>
        <n v="662970.63"/>
        <n v="329226.24000000005"/>
        <n v="964051.1299999999"/>
        <n v="934157.28"/>
        <n v="698746.04"/>
        <n v="3889953.6"/>
        <n v="192890.88"/>
        <n v="697781.34"/>
        <n v="31050.04"/>
        <n v="54761.28"/>
        <n v="694114.6799999999"/>
        <n v="48495.36"/>
        <n v="51865.4"/>
        <n v="750167.8400000001"/>
        <n v="248781.30000000002"/>
        <n v="161530.88"/>
        <n v="910089.6"/>
        <n v="5003.16"/>
        <n v="1098810.97"/>
        <n v="24065.03"/>
        <n v="4726388.7"/>
        <n v="876656.1300000001"/>
        <n v="1421591.6800000002"/>
        <n v="1202075.68"/>
        <n v="275972.55000000005"/>
        <n v="315452.17"/>
        <n v="293207.04000000004"/>
        <n v="361441.26"/>
        <n v="311911.68"/>
        <n v="2326722.2"/>
        <n v="4600749.44"/>
        <n v="413632.52"/>
        <n v="203898.18"/>
        <n v="2470562.06"/>
        <n v="265718.88"/>
        <n v="45492.08"/>
        <n v="1773966.2000000002"/>
        <n v="118096.90000000001"/>
        <n v="228229.12000000002"/>
        <n v="517406.39999999997"/>
        <n v="660060.87"/>
        <n v="1108715.52"/>
        <n v="404911.29000000004"/>
        <n v="141703.1"/>
        <n v="162828.38"/>
        <n v="2073197.0899999999"/>
        <n v="65006.479999999996"/>
        <n v="48135.52"/>
        <n v="193217.03999999998"/>
        <n v="245347.37999999998"/>
        <n v="5248025.12"/>
        <n v="539669.55"/>
        <n v="1019673.24"/>
        <n v="1114675.89"/>
        <n v="316861.44"/>
        <n v="2695059.1"/>
        <n v="19640.320000000003"/>
        <n v="737403.18"/>
        <n v="621667.2"/>
        <n v="938444.64"/>
        <n v="2891615.16"/>
        <n v="252380.81"/>
        <n v="466640.16"/>
        <n v="365351.49"/>
        <n v="396311.64999999997"/>
        <n v="57505.2"/>
        <n v="787916.08"/>
        <n v="257290.67"/>
        <n v="1910154.54"/>
        <n v="281341.5"/>
        <n v="2476609.79"/>
        <n v="276096.14999999997"/>
        <n v="78394.14"/>
        <n v="171379.88999999998"/>
        <n v="171214.82"/>
        <n v="1134963.52"/>
        <n v="114078.72000000002"/>
        <n v="875927.2200000001"/>
        <n v="9123.87"/>
        <n v="87565.59000000001"/>
        <n v="1807497.1199999999"/>
        <n v="593863.8300000001"/>
        <n v="399728.28"/>
        <n v="1180771.72"/>
        <n v="103463.57999999999"/>
        <n v="958662.46"/>
        <n v="769085.9400000001"/>
        <n v="238313.65"/>
        <n v="565407.08"/>
        <n v="43077.0"/>
        <n v="478733.93999999994"/>
        <n v="3274186.82"/>
        <n v="1805390.48"/>
        <n v="63470.24"/>
        <n v="493477.11000000004"/>
        <n v="212503.41"/>
        <n v="22186.920000000002"/>
        <n v="2312973.7600000002"/>
        <n v="552466.34"/>
        <n v="292904.64"/>
        <n v="1642928.45"/>
        <n v="5017861.9"/>
        <n v="595125.7999999999"/>
        <n v="1522384.0"/>
        <n v="86016.00000000001"/>
        <n v="1516016.33"/>
        <n v="32648.329999999998"/>
        <n v="1232794.8599999999"/>
        <n v="1911249.14"/>
        <n v="1044519.84"/>
        <n v="1941814.56"/>
        <n v="1391172.39"/>
        <n v="19389.84"/>
        <n v="803156.5"/>
        <n v="71972.56"/>
        <n v="143225.53"/>
        <n v="3778095.72"/>
        <n v="87668.49"/>
        <n v="1306101.46"/>
        <n v="1336926.41"/>
        <n v="2950412.3400000003"/>
        <n v="131388.07"/>
        <n v="794389.86"/>
        <n v="374305.35000000003"/>
        <n v="255467.52000000002"/>
        <n v="260285.31"/>
        <n v="2388070.08"/>
        <n v="806458.17"/>
        <n v="16662.239999999998"/>
        <n v="265033.23"/>
        <n v="1299591.8399999999"/>
        <n v="2697611.93"/>
        <n v="1538777.48"/>
        <n v="410004.81"/>
        <n v="141093.12"/>
        <n v="3246470.38"/>
        <n v="830372.76"/>
        <n v="1681585.59"/>
        <n v="704496.3200000001"/>
        <n v="38447.52"/>
        <n v="1473997.3199999998"/>
        <n v="129130.2"/>
        <n v="232783.71999999997"/>
        <n v="70894.17"/>
        <n v="5855.5"/>
        <n v="5087387.36"/>
        <n v="3540330.24"/>
        <n v="723894.1699999999"/>
        <n v="39896.45"/>
        <n v="1426316.32"/>
        <n v="394423.2"/>
        <n v="851430.72"/>
        <n v="14655.19"/>
        <n v="3977621.9200000004"/>
        <n v="315456.85"/>
        <n v="3569221.03"/>
        <n v="1625716.9000000001"/>
        <n v="212993.0"/>
        <n v="2876255.8400000003"/>
        <n v="1737747.85"/>
        <n v="2278851.3600000003"/>
        <n v="807581.78"/>
        <n v="88058.88"/>
        <n v="40080.64"/>
        <n v="307051.94"/>
        <n v="75565.07999999999"/>
        <n v="3513759.68"/>
        <n v="2981569.8200000003"/>
        <n v="266495.57"/>
        <n v="41035.6"/>
        <n v="60538.54"/>
        <n v="35731.96"/>
        <n v="2818324.32"/>
        <n v="348973.86"/>
        <n v="90058.86"/>
        <n v="139748.84"/>
        <n v="31603.64"/>
        <n v="1244591.94"/>
        <n v="98022.40000000001"/>
        <n v="2083566.2400000002"/>
        <n v="830578.5599999999"/>
        <n v="3917251.5200000005"/>
        <n v="248883.91"/>
        <n v="611053.4400000001"/>
        <n v="101727.36"/>
        <n v="2039994.56"/>
        <n v="2786960.98"/>
        <n v="194826.24000000002"/>
        <n v="4962446.88"/>
        <n v="181587.21000000002"/>
        <n v="46346.079999999994"/>
        <n v="170746.38"/>
        <n v="6802.36"/>
        <n v="3640902.3000000003"/>
        <n v="770795.7"/>
        <n v="1099402.75"/>
        <n v="694977.9900000001"/>
        <n v="157583.03"/>
        <n v="1165244.5"/>
        <n v="1908754.56"/>
        <n v="66542.72"/>
        <n v="67961.31999999999"/>
        <n v="2158252.6799999997"/>
        <n v="302887.83"/>
        <n v="3103147.21"/>
        <n v="3624848.8000000003"/>
        <n v="21237.48"/>
        <n v="1081393.74"/>
        <n v="4679149.94"/>
        <n v="1036072.17"/>
        <n v="212961.21"/>
        <n v="177694.72000000003"/>
        <n v="337254.4"/>
        <n v="1582025.22"/>
        <n v="985644.19"/>
        <n v="595621.46"/>
        <n v="2280174.4699999997"/>
        <n v="10077.43"/>
        <n v="53574.64"/>
        <n v="445992.9"/>
        <n v="653889.17"/>
        <n v="4476.61"/>
        <n v="499941.11999999994"/>
        <n v="805094.2200000001"/>
        <n v="141137.92"/>
        <n v="603502.41"/>
        <n v="2988269.86"/>
        <n v="415844.46"/>
        <n v="314049.12"/>
        <n v="33223.68"/>
        <n v="29195.48"/>
        <n v="231213.46"/>
        <n v="185086.62"/>
        <n v="278288.64"/>
        <n v="207724.25999999998"/>
        <n v="780724.9800000001"/>
        <n v="240128.00000000003"/>
        <n v="3082580.3600000003"/>
        <n v="90711.04000000001"/>
        <n v="734350.68"/>
        <n v="1004248.4800000001"/>
        <n v="188165.01"/>
        <n v="315033.60000000003"/>
        <n v="1188954.3599999999"/>
        <n v="240691.71000000002"/>
        <n v="520905.27999999997"/>
        <n v="400064.93"/>
        <n v="217825.08"/>
        <n v="1585672.1199999999"/>
        <n v="216067.95"/>
        <n v="1763276.15"/>
        <n v="122105.39"/>
        <n v="290232.32"/>
        <n v="289511.52999999997"/>
        <n v="242660.94"/>
        <n v="66473.91"/>
        <n v="684066.39"/>
        <n v="332416.00000000006"/>
        <n v="253603.77000000002"/>
        <n v="314657.42"/>
        <n v="149254.05"/>
        <n v="221863.05000000002"/>
        <n v="367902.78"/>
        <n v="804093.9900000001"/>
        <n v="254392.32000000004"/>
        <n v="341606.76"/>
        <n v="896125.72"/>
        <n v="901752.81"/>
        <n v="386432.73000000004"/>
        <n v="764514.24"/>
        <n v="705889.5900000001"/>
        <n v="531663.27"/>
        <n v="471219.83999999997"/>
        <n v="436173.11999999994"/>
        <n v="3525093.54"/>
        <n v="189818.09"/>
        <n v="581568.26"/>
        <n v="865072.32"/>
        <n v="231145.09"/>
        <n v="176116.6"/>
        <n v="2360638.37"/>
        <n v="391806.24"/>
        <n v="182633.55"/>
        <n v="2425269.3"/>
        <n v="732164.16"/>
        <n v="76490.4"/>
        <n v="4096203.54"/>
        <n v="891932.3700000001"/>
        <n v="151082.22"/>
        <n v="1001954.7"/>
        <n v="684975.6900000001"/>
        <n v="46771.2"/>
        <n v="76238.61"/>
        <n v="230223.18"/>
        <n v="223797.21"/>
        <n v="802203.5"/>
        <n v="65470.12"/>
        <n v="2372308.45"/>
        <n v="113850.03"/>
        <n v="599410.56"/>
        <n v="628293.12"/>
        <n v="479110.17000000004"/>
        <n v="2431023.54"/>
        <n v="1548828.28"/>
        <n v="3601313.75"/>
        <n v="240214.12"/>
        <n v="533094.24"/>
        <n v="1084907.04"/>
        <n v="833737.17"/>
        <n v="560767.2"/>
        <n v="18724.31"/>
        <n v="24263.680000000004"/>
        <n v="10885.16"/>
        <n v="626780.49"/>
        <n v="3595976.0000000005"/>
        <n v="148586.46"/>
        <n v="93055.2"/>
        <n v="1369577.22"/>
        <n v="2161882.32"/>
        <n v="864215.82"/>
        <n v="555819.36"/>
        <n v="1874909.5999999999"/>
        <n v="131642.38999999998"/>
        <n v="748631.52"/>
        <n v="1161211.52"/>
        <n v="121946.44"/>
        <n v="669869.2"/>
        <n v="463885.68"/>
        <n v="812914.2000000001"/>
        <n v="657689.76"/>
        <n v="564829.89"/>
        <n v="603704.0"/>
        <n v="3780105.8800000004"/>
        <n v="200609.43"/>
        <n v="44025.04"/>
        <n v="193034.24000000002"/>
        <n v="3279576.04"/>
        <n v="571890.52"/>
        <n v="22344.68"/>
        <n v="677792.2200000001"/>
        <n v="493142.34"/>
        <n v="187751.74"/>
        <n v="32759.28"/>
        <n v="165053.68"/>
        <n v="91507.07999999999"/>
        <n v="545093.1"/>
        <n v="2756934.44"/>
      </sharedItems>
    </cacheField>
    <cacheField name="total profit" numFmtId="166">
      <sharedItems containsSemiMixedTypes="0" containsString="0" containsNumber="1">
        <n v="57583.5"/>
        <n v="176559.86999999997"/>
        <n v="777770.8899999997"/>
        <n v="85998.23999999999"/>
        <n v="119767.68000000005"/>
        <n v="280275.0"/>
        <n v="16142.180000000008"/>
        <n v="278971.47"/>
        <n v="502977.4199999999"/>
        <n v="648035.85"/>
        <n v="629111.0799999998"/>
        <n v="66466.40000000002"/>
        <n v="17568.899999999994"/>
        <n v="678305.3600000001"/>
        <n v="702527.0399999999"/>
        <n v="871408.3399999994"/>
        <n v="865136.5"/>
        <n v="360443.51999999996"/>
        <n v="467413.3600000001"/>
        <n v="520691.6000000001"/>
        <n v="7266.1500000000015"/>
        <n v="46587.96000000001"/>
        <n v="2777.5"/>
        <n v="578117.75"/>
        <n v="15301.089999999997"/>
        <n v="931219.9999999995"/>
        <n v="16419.33"/>
        <n v="181576.02000000008"/>
        <n v="262226.4"/>
        <n v="110996.82000000004"/>
        <n v="13006.140000000003"/>
        <n v="94501.26000000001"/>
        <n v="21367.059999999998"/>
        <n v="19557.149999999994"/>
        <n v="82089.72000000003"/>
        <n v="63282.06000000001"/>
        <n v="25102.98000000001"/>
        <n v="119313.54000000007"/>
        <n v="268120.42000000004"/>
        <n v="735474.1799999999"/>
        <n v="80461.08000000002"/>
        <n v="532266.4200000003"/>
        <n v="216779.72999999998"/>
        <n v="552345.3200000002"/>
        <n v="409145.5299999999"/>
        <n v="21747.839999999997"/>
        <n v="759019.4800000002"/>
        <n v="955532.4800000002"/>
        <n v="637066.1199999999"/>
        <n v="65650.0"/>
        <n v="44458.74000000002"/>
        <n v="46987.5"/>
        <n v="331.4599999999999"/>
        <n v="275499.31999999995"/>
        <n v="247702.5"/>
        <n v="199327.24000000005"/>
        <n v="30197.300000000003"/>
        <n v="1597517.56"/>
        <n v="208449.08000000002"/>
        <n v="520569.98"/>
        <n v="467078.4"/>
        <n v="141159.24000000005"/>
        <n v="194589.06000000006"/>
        <n v="1262.5"/>
        <n v="659491.2"/>
        <n v="282538.75"/>
        <n v="188127.39999999997"/>
        <n v="802062.3099999998"/>
        <n v="148229.90000000002"/>
        <n v="4409.5599999999995"/>
        <n v="315938.88"/>
        <n v="507962.44999999995"/>
        <n v="2140.080000000001"/>
        <n v="350021.76"/>
        <n v="1404230.29"/>
        <n v="477145.74"/>
        <n v="146186.50000000003"/>
        <n v="157307.5"/>
        <n v="441846.8699999999"/>
        <n v="875609.3199999998"/>
        <n v="716170.53"/>
        <n v="10731.25"/>
        <n v="389465.5"/>
        <n v="500581.25000000023"/>
        <n v="970368.4699999997"/>
        <n v="543430.3400000001"/>
        <n v="39525.19999999998"/>
        <n v="624460.32"/>
        <n v="252.5"/>
        <n v="8348.239999999998"/>
        <n v="436587.56999999995"/>
        <n v="18041.260000000002"/>
        <n v="706492.8"/>
        <n v="627116.1200000001"/>
        <n v="217472.16000000003"/>
        <n v="22396.130000000005"/>
        <n v="512454.7999999998"/>
        <n v="969473.7499999995"/>
        <n v="218823.91999999998"/>
        <n v="86239.51999999999"/>
        <n v="119490.79999999993"/>
        <n v="195791.03999999998"/>
        <n v="40684.68000000001"/>
        <n v="443766.7200000001"/>
        <n v="571786.25"/>
        <n v="396052.7999999998"/>
        <n v="131384.16"/>
        <n v="1048758.75"/>
        <n v="1005202.5"/>
        <n v="770618.54"/>
        <n v="207464.40000000014"/>
        <n v="106392.0"/>
        <n v="15527.630000000005"/>
        <n v="717729.1199999999"/>
        <n v="342577.5299999999"/>
        <n v="104008.1"/>
        <n v="1056781.86"/>
        <n v="1552890.0999999996"/>
        <n v="543942.6"/>
        <n v="368375.0399999999"/>
        <n v="35178.0"/>
        <n v="292844.91000000003"/>
        <n v="246895.40000000002"/>
        <n v="12528.0"/>
        <n v="425496.19999999995"/>
        <n v="993840.0"/>
        <n v="130.14"/>
        <n v="552343.75"/>
        <n v="163104.12"/>
        <n v="338351.01999999996"/>
        <n v="315865.44"/>
        <n v="50901.66"/>
        <n v="515077.6699999999"/>
        <n v="1269160.3399999999"/>
        <n v="120187.76000000001"/>
        <n v="21046.53"/>
        <n v="246901.43"/>
        <n v="924402.5"/>
        <n v="214555.57999999996"/>
        <n v="16686.839999999997"/>
        <n v="642600.0"/>
        <n v="31436.25"/>
        <n v="308673.7200000001"/>
        <n v="26120.880000000005"/>
        <n v="360516.95999999996"/>
        <n v="90765.36000000002"/>
        <n v="756.7399999999998"/>
        <n v="138794.58000000002"/>
        <n v="312792.12999999995"/>
        <n v="11932.559999999998"/>
        <n v="24805.199999999997"/>
        <n v="43654.520000000004"/>
        <n v="75825.26000000002"/>
        <n v="108309.31999999998"/>
        <n v="588326.19"/>
        <n v="58999.879999999976"/>
        <n v="112320.18000000002"/>
        <n v="34663.20000000001"/>
        <n v="796309.02"/>
        <n v="193406.90999999992"/>
        <n v="428113.75000000023"/>
        <n v="347492.28"/>
        <n v="1574045.1100000003"/>
        <n v="182613.30000000005"/>
        <n v="348247.29"/>
        <n v="389607.5"/>
        <n v="52587.28999999999"/>
        <n v="1358098.5699999998"/>
        <n v="212816.87999999995"/>
        <n v="1112893.75"/>
        <n v="204022.76999999996"/>
        <n v="1449554.19"/>
        <n v="279218.88"/>
        <n v="576710.0"/>
        <n v="23269.08"/>
        <n v="753333.75"/>
        <n v="140266.62000000005"/>
        <n v="102845.59999999998"/>
        <n v="333707.28"/>
        <n v="152076.12"/>
        <n v="48491.10000000002"/>
        <n v="316660.0799999999"/>
        <n v="28314.0"/>
        <n v="283597.59999999986"/>
        <n v="963666.2500000005"/>
        <n v="128756.52000000002"/>
        <n v="623952.7400000001"/>
        <n v="536364.3999999999"/>
        <n v="133239.36"/>
        <n v="275767.2"/>
        <n v="655011.3800000001"/>
        <n v="136038.42000000004"/>
        <n v="16390.410000000003"/>
        <n v="873397.5"/>
        <n v="281669.4"/>
        <n v="359215.99999999953"/>
        <n v="12120.96"/>
        <n v="23994.059999999998"/>
        <n v="124168.14000000004"/>
        <n v="463479.83999999997"/>
        <n v="22986.719999999998"/>
        <n v="299404.1400000001"/>
        <n v="149985.64999999997"/>
        <n v="1144708.75"/>
        <n v="629087.04"/>
        <n v="1528665.04"/>
        <n v="664852.32"/>
        <n v="1141805.0"/>
        <n v="140063.04000000004"/>
        <n v="216794.05999999994"/>
        <n v="1085371.25"/>
        <n v="1041941.25"/>
        <n v="381841.9199999999"/>
        <n v="27953.1"/>
        <n v="1479.7399999999998"/>
        <n v="1118322.5"/>
        <n v="62101.58999999998"/>
        <n v="77642.28"/>
        <n v="136852.74000000005"/>
        <n v="96506.06000000003"/>
        <n v="383209.48"/>
        <n v="44287.32000000001"/>
        <n v="12355.740000000005"/>
        <n v="14700.399999999994"/>
        <n v="110740.13999999998"/>
        <n v="767983.79"/>
        <n v="1107843.75"/>
        <n v="323162.47"/>
        <n v="7249.279999999999"/>
        <n v="9033.119999999999"/>
        <n v="29890.079999999998"/>
        <n v="405204.7999999998"/>
        <n v="656700.48"/>
        <n v="218409.54000000004"/>
        <n v="147049.24000000005"/>
        <n v="55561.68000000001"/>
        <n v="1218060.0"/>
        <n v="168948.96000000008"/>
        <n v="386451.25"/>
        <n v="581002.5"/>
        <n v="148292.37"/>
        <n v="918381.3400000001"/>
        <n v="734106.2400000001"/>
        <n v="680155.9199999999"/>
        <n v="7478.230000000003"/>
        <n v="138055.53999999998"/>
        <n v="7331.220000000001"/>
        <n v="592220.16"/>
        <n v="828326.26"/>
        <n v="115946.64000000004"/>
        <n v="706621.25"/>
        <n v="13154.400000000001"/>
        <n v="204289.12000000005"/>
        <n v="13700.850000000006"/>
        <n v="524875.68"/>
        <n v="346885.74"/>
        <n v="268476.66000000003"/>
        <n v="1539966.5899999999"/>
        <n v="1013438.9499999997"/>
        <n v="534810.71"/>
        <n v="842340.0"/>
        <n v="63078.48000000001"/>
        <n v="363482.8800000001"/>
        <n v="13594.809999999998"/>
        <n v="94036.80000000005"/>
        <n v="348778.8299999999"/>
        <n v="177149.13999999996"/>
        <n v="237984.24000000005"/>
        <n v="397530.72"/>
        <n v="488598.4199999999"/>
        <n v="17062.799999999996"/>
        <n v="114546.86999999997"/>
        <n v="897920.6200000003"/>
        <n v="152572.38000000006"/>
        <n v="355777.43999999994"/>
        <n v="750180.1199999999"/>
        <n v="158031.24000000005"/>
        <n v="71583.75"/>
        <n v="496224.9800000001"/>
        <n v="464232.9"/>
        <n v="6376.129999999999"/>
        <n v="241202.5"/>
        <n v="1238302.1400000001"/>
        <n v="535089.88"/>
        <n v="84777.98000000001"/>
        <n v="1779.2599999999998"/>
        <n v="591552.0600000002"/>
        <n v="1089790.0"/>
        <n v="13327.599999999991"/>
        <n v="1700448.6"/>
        <n v="889638.6399999997"/>
        <n v="6519.050000000003"/>
        <n v="148848.3"/>
        <n v="172367.64"/>
        <n v="16359.080000000002"/>
        <n v="657924.0800000001"/>
        <n v="173314.96000000002"/>
        <n v="13662.289999999994"/>
        <n v="867724.7200000002"/>
        <n v="335893.44000000006"/>
        <n v="72662.62999999999"/>
        <n v="239928.47999999998"/>
        <n v="1530229.8699999996"/>
        <n v="20318.71"/>
        <n v="193445.47999999998"/>
        <n v="803210.9400000002"/>
        <n v="195092.10000000003"/>
        <n v="3511.369999999999"/>
        <n v="223795.84999999992"/>
        <n v="677004.7799999999"/>
        <n v="175244.58000000002"/>
        <n v="906260.4400000002"/>
        <n v="17764.110000000008"/>
        <n v="30768.120000000017"/>
        <n v="83185.92000000004"/>
        <n v="467192.8699999999"/>
        <n v="10852.23"/>
        <n v="83474.85999999999"/>
        <n v="5563.3200000000015"/>
        <n v="124247.48000000004"/>
        <n v="1567959.6600000001"/>
        <n v="14966.100000000006"/>
        <n v="112995.54000000001"/>
        <n v="50331.24000000002"/>
        <n v="652881.8500000001"/>
        <n v="81197.10000000003"/>
        <n v="3349.9000000000015"/>
        <n v="700940.0"/>
        <n v="948630.56"/>
        <n v="218795.52000000008"/>
        <n v="788831.9400000002"/>
        <n v="125123.4"/>
        <n v="624382.3199999998"/>
        <n v="24194.700000000004"/>
        <n v="971840.7199999997"/>
        <n v="80173.95"/>
        <n v="762671.3099999998"/>
        <n v="477800.64"/>
        <n v="1205962.3199999998"/>
        <n v="67087.44000000003"/>
        <n v="1195530.1199999999"/>
        <n v="453226.0800000002"/>
        <n v="693393.5599999998"/>
        <n v="1000278.75"/>
        <n v="396617.42999999993"/>
        <n v="1650895.6500000004"/>
        <n v="59831.20000000001"/>
        <n v="489624.48"/>
        <n v="46461.240000000005"/>
        <n v="1650374.04"/>
        <n v="1675063.58"/>
        <n v="1176776.25"/>
        <n v="127428.54000000001"/>
        <n v="717352.5"/>
        <n v="341371.74"/>
        <n v="647536.25"/>
        <n v="793733.75"/>
        <n v="53290.98000000001"/>
        <n v="209580.80000000005"/>
        <n v="349677.06999999995"/>
        <n v="731123.3500000001"/>
        <n v="201040.44000000006"/>
        <n v="342987.07999999996"/>
        <n v="495466.3999999999"/>
        <n v="783805.96"/>
        <n v="151093.03"/>
        <n v="18795.0"/>
        <n v="267098.16000000003"/>
        <n v="453051.36000000004"/>
        <n v="719995.6699999999"/>
        <n v="354636.25"/>
        <n v="58490.04000000001"/>
        <n v="6014.4"/>
        <n v="12515.130000000005"/>
        <n v="335220.29999999993"/>
        <n v="146467.98000000004"/>
        <n v="367135.0"/>
        <n v="25335.659999999996"/>
        <n v="693273.5999999999"/>
        <n v="238771.68000000005"/>
        <n v="309314.73"/>
        <n v="92002.5"/>
        <n v="630555.8399999999"/>
        <n v="229680.56000000006"/>
        <n v="271399.08"/>
        <n v="270626.39999999997"/>
        <n v="321322.7200000001"/>
        <n v="581553.5599999999"/>
        <n v="868587.4600000002"/>
        <n v="159550.58999999997"/>
        <n v="93748.04999999999"/>
        <n v="22205.739999999998"/>
        <n v="1089643.29"/>
        <n v="710610.1799999999"/>
        <n v="1561010.87"/>
        <n v="561181.25"/>
        <n v="430027.9600000001"/>
        <n v="52429.68000000001"/>
        <n v="179479.71999999997"/>
        <n v="4418.75"/>
        <n v="359635.68000000005"/>
        <n v="114713.28000000001"/>
        <n v="1565699.35"/>
        <n v="91861.56000000003"/>
        <n v="726688.8"/>
        <n v="289861.7699999999"/>
        <n v="508718.88"/>
        <n v="568911.1999999997"/>
        <n v="311053.42999999993"/>
        <n v="600754.6200000001"/>
        <n v="728084.1599999999"/>
        <n v="10811.259999999998"/>
        <n v="77986.72"/>
        <n v="580322.88"/>
        <n v="154626.09000000003"/>
        <n v="392163.55999999994"/>
        <n v="2431.6899999999996"/>
        <n v="236971.25000000012"/>
        <n v="497963.68000000005"/>
        <n v="1663762.0299999998"/>
        <n v="192535.9800000001"/>
        <n v="599798.13"/>
        <n v="126803.60000000003"/>
        <n v="185475.94"/>
        <n v="250574.93999999994"/>
        <n v="121473.42000000004"/>
        <n v="416244.7799999999"/>
        <n v="483158.74999999977"/>
        <n v="529059.4799999999"/>
        <n v="258110.34000000008"/>
        <n v="462616.97999999986"/>
        <n v="233896.65000000002"/>
        <n v="50230.53"/>
        <n v="76307.70000000001"/>
        <n v="15358.930000000008"/>
        <n v="421692.48"/>
        <n v="314892.44"/>
        <n v="1285401.88"/>
        <n v="17703.860000000008"/>
        <n v="72270.9"/>
        <n v="26388.18"/>
        <n v="548449.9199999999"/>
        <n v="168954.52000000002"/>
        <n v="13106.380000000001"/>
        <n v="136915.38000000006"/>
        <n v="640919.9600000002"/>
        <n v="410083.11"/>
        <n v="654532.0800000001"/>
        <n v="387744.45999999996"/>
        <n v="18484.700000000004"/>
        <n v="378977.2200000001"/>
        <n v="483878.57999999996"/>
        <n v="689053.0199999999"/>
        <n v="349045.76999999996"/>
        <n v="126822.0"/>
        <n v="494350.02"/>
        <n v="884020.9200000002"/>
        <n v="18055.18"/>
        <n v="395377.17"/>
        <n v="322089.25999999995"/>
        <n v="277014.44"/>
        <n v="610040.0"/>
        <n v="78162.14000000001"/>
        <n v="1172105.0"/>
        <n v="355269.2000000002"/>
        <n v="227587.7099999999"/>
        <n v="192103.44"/>
        <n v="510469.1799999998"/>
        <n v="17737.600000000006"/>
        <n v="100145.70000000001"/>
        <n v="675046.1200000001"/>
        <n v="120811.74000000002"/>
        <n v="435491.9800000001"/>
        <n v="274236.72"/>
        <n v="72129.96000000002"/>
        <n v="219402.06000000006"/>
        <n v="908123.0100000002"/>
        <n v="417674.3999999999"/>
        <n v="1242643.54"/>
        <n v="363162.7999999998"/>
        <n v="318924.0"/>
        <n v="125530.56000000003"/>
        <n v="18937.5"/>
        <n v="124575.30000000002"/>
        <n v="315511.0800000002"/>
        <n v="986391.25"/>
        <n v="335582.04000000015"/>
        <n v="222031.60000000003"/>
        <n v="226613.21999999997"/>
        <n v="675501.1200000001"/>
        <n v="65631.06000000003"/>
        <n v="103543.92000000004"/>
        <n v="834386.2500000005"/>
        <n v="67165.0"/>
        <n v="557427.22"/>
        <n v="85092.5"/>
        <n v="72724.12000000002"/>
        <n v="34436.34000000001"/>
        <n v="6091.740000000003"/>
        <n v="440497.1999999997"/>
        <n v="84770.40000000002"/>
        <n v="311816.70000000007"/>
        <n v="129735.62"/>
        <n v="64003.24000000002"/>
        <n v="146421.0"/>
        <n v="719705.1599999998"/>
        <n v="8492.84"/>
        <n v="67773.02"/>
        <n v="849223.74"/>
        <n v="453226.43999999994"/>
        <n v="55342.44000000002"/>
        <n v="533556.76"/>
        <n v="730165.6200000001"/>
        <n v="786223.1199999996"/>
        <n v="611536.7699999999"/>
        <n v="656626.25"/>
        <n v="99613.5"/>
        <n v="541196.31"/>
        <n v="365775.22"/>
        <n v="8531.399999999998"/>
        <n v="58072.57999999999"/>
        <n v="277534.40000000014"/>
        <n v="470785.32000000007"/>
        <n v="796689.8699999999"/>
        <n v="1043220.0"/>
        <n v="634401.4800000002"/>
        <n v="12787.460000000006"/>
        <n v="84594.19999999998"/>
        <n v="42080.25"/>
        <n v="347467.51999999996"/>
        <n v="162614.33999999997"/>
        <n v="684148.75"/>
        <n v="346918.0"/>
        <n v="355393.75"/>
        <n v="534019.2000000002"/>
        <n v="721729.9400000002"/>
        <n v="19687.290000000008"/>
        <n v="23055.200000000004"/>
        <n v="59049.760000000024"/>
        <n v="56227.59999999998"/>
        <n v="956759.29"/>
        <n v="353612.82000000007"/>
        <n v="352202.26999999996"/>
        <n v="4545.260000000002"/>
        <n v="30097.060000000012"/>
        <n v="202785.52000000002"/>
        <n v="405609.12000000005"/>
        <n v="666802.1599999999"/>
        <n v="1032598.75"/>
        <n v="340712.61000000004"/>
        <n v="19923.47"/>
        <n v="266380.3999999999"/>
        <n v="817597.1099999999"/>
        <n v="73962.18000000002"/>
        <n v="321331.7"/>
        <n v="463962.4"/>
        <n v="86071.68"/>
        <n v="3263.1399999999994"/>
        <n v="142352.1"/>
        <n v="8620.640000000003"/>
        <n v="10023.190000000002"/>
        <n v="409648.31999999995"/>
        <n v="115738.86000000004"/>
        <n v="43957.619999999995"/>
        <n v="67546.50000000003"/>
        <n v="660438.45"/>
        <n v="210556.56999999995"/>
        <n v="74823.48000000001"/>
        <n v="211782.05999999994"/>
        <n v="597974.6799999999"/>
        <n v="11823.460000000006"/>
        <n v="455814.29999999993"/>
        <n v="498906.7200000001"/>
        <n v="113040.84000000003"/>
        <n v="831873.0800000001"/>
        <n v="15450.509999999995"/>
        <n v="296422.13999999996"/>
        <n v="1229170.0"/>
        <n v="13509.300000000007"/>
        <n v="154645.26"/>
        <n v="1626901.5899999999"/>
        <n v="222154.46999999997"/>
        <n v="6080.43"/>
        <n v="19133.58"/>
        <n v="165526.86"/>
        <n v="318268.0800000002"/>
        <n v="547715.88"/>
        <n v="1210160.46"/>
        <n v="328225.95"/>
        <n v="91892.88000000003"/>
        <n v="452705.23"/>
        <n v="2060.5499999999993"/>
        <n v="34140.37999999999"/>
        <n v="205523.83999999997"/>
        <n v="458265.5999999999"/>
        <n v="263348.7999999998"/>
        <n v="1325411.0100000002"/>
        <n v="477162.3999999999"/>
        <n v="223923.54000000004"/>
        <n v="84957.80999999998"/>
        <n v="107250.0"/>
        <n v="451876.31999999995"/>
        <n v="192328.32000000007"/>
        <n v="483632.9400000002"/>
        <n v="120588.48000000001"/>
        <n v="633860.64"/>
        <n v="150284.82"/>
        <n v="77109.84000000003"/>
        <n v="128255.64000000001"/>
        <n v="17633.160000000003"/>
        <n v="737173.75"/>
        <n v="1161601.5699999994"/>
        <n v="143114.40000000002"/>
        <n v="593501.25"/>
        <n v="572611.6799999999"/>
        <n v="560171.25"/>
        <n v="455924.86"/>
        <n v="434891.6000000001"/>
        <n v="60929.700000000026"/>
        <n v="174182.22999999998"/>
        <n v="481395.1999999997"/>
        <n v="277371.25"/>
        <n v="453768.74"/>
        <n v="21771.940000000002"/>
        <n v="531549.6000000002"/>
        <n v="161647.19999999995"/>
        <n v="114812.64000000001"/>
        <n v="275975.7"/>
        <n v="361447.2"/>
        <n v="624533.76"/>
        <n v="1170337.5"/>
        <n v="752071.25"/>
        <n v="517958.7300000001"/>
        <n v="436527.3599999999"/>
        <n v="581277.5999999999"/>
        <n v="355611.2899999999"/>
        <n v="264751.2"/>
        <n v="217889.7800000001"/>
        <n v="181166.55"/>
        <n v="972.4000000000005"/>
        <n v="520060.74"/>
        <n v="751542.4000000001"/>
        <n v="544783.2000000002"/>
        <n v="1630726.73"/>
        <n v="554251.6799999999"/>
        <n v="4277.75"/>
        <n v="209212.82"/>
        <n v="169881.74000000005"/>
        <n v="87238.75"/>
        <n v="394372.79999999993"/>
        <n v="531160.26"/>
        <n v="500671.6000000001"/>
        <n v="399599.2000000002"/>
        <n v="1398595.4699999997"/>
        <n v="268912.5"/>
        <n v="17398.260000000002"/>
        <n v="74240.87999999999"/>
        <n v="159080.88"/>
        <n v="82710.00000000003"/>
        <n v="173244.95999999996"/>
        <n v="120808.8"/>
        <n v="1322107.48"/>
        <n v="1785.2400000000002"/>
        <n v="111940.40000000002"/>
        <n v="801967.4699999997"/>
        <n v="249672.78000000003"/>
        <n v="289353.6"/>
        <n v="375861.2000000002"/>
        <n v="96305.58000000002"/>
        <n v="575580.2899999998"/>
        <n v="128883.58000000002"/>
        <n v="183647.06999999998"/>
        <n v="84602.56000000003"/>
        <n v="21244.149999999994"/>
        <n v="329020.3800000001"/>
        <n v="578894.8899999999"/>
        <n v="583527.5"/>
        <n v="1229053.6800000002"/>
        <n v="1003056.0299999998"/>
        <n v="670732.4199999999"/>
        <n v="799258.98"/>
        <n v="558214.7999999998"/>
        <n v="210610.3999999999"/>
        <n v="144120.06000000006"/>
        <n v="352676.79"/>
        <n v="50988.96000000002"/>
        <n v="151573.14000000007"/>
        <n v="210917.33000000002"/>
        <n v="187013.48999999996"/>
        <n v="321847.47"/>
        <n v="187685.49"/>
        <n v="31059.96"/>
        <n v="123598.75000000006"/>
        <n v="236691.70000000007"/>
        <n v="73733.76"/>
        <n v="32879.979999999996"/>
        <n v="118718.46000000002"/>
        <n v="21473.100000000006"/>
        <n v="1605863.3199999998"/>
        <n v="500946.9"/>
        <n v="404413.35"/>
        <n v="687316.2000000002"/>
        <n v="917149.8199999994"/>
        <n v="68037.9"/>
        <n v="1362300.5999999992"/>
        <n v="384903.61"/>
        <n v="371812.2299999999"/>
        <n v="239977.03999999992"/>
        <n v="343393.25000000006"/>
        <n v="333817.56000000006"/>
        <n v="948895.0"/>
        <n v="840825.0000000005"/>
        <n v="218748.74000000005"/>
        <n v="1672455.5299999998"/>
        <n v="77560.70000000001"/>
        <n v="418074.7999999998"/>
        <n v="21996.070000000007"/>
        <n v="370509.97"/>
        <n v="11948.779999999999"/>
        <n v="663159.4800000002"/>
        <n v="447025.14"/>
        <n v="76098.80999999998"/>
        <n v="34874.82000000001"/>
        <n v="658646.25"/>
        <n v="386310.83999999997"/>
        <n v="225724.26"/>
        <n v="394105.93999999994"/>
        <n v="381275.0"/>
        <n v="1381918.7600000002"/>
        <n v="290036.4000000001"/>
        <n v="279835.5000000001"/>
        <n v="128109.28999999992"/>
        <n v="205892.76000000013"/>
        <n v="1232957.5"/>
        <n v="214564.97999999998"/>
        <n v="177916.16000000003"/>
        <n v="139634.32"/>
        <n v="191032.38"/>
        <n v="162514.10000000003"/>
        <n v="9832.800000000003"/>
        <n v="705796.5299999999"/>
        <n v="337897.92000000016"/>
        <n v="562256.64"/>
        <n v="92696.94"/>
        <n v="187448.8"/>
        <n v="547485.06"/>
        <n v="169530.90000000008"/>
        <n v="149693.94000000006"/>
        <n v="238821.80000000005"/>
        <n v="315172.0"/>
        <n v="732753.8400000001"/>
        <n v="310934.4600000001"/>
        <n v="70218.12000000002"/>
        <n v="23928.890000000014"/>
        <n v="15315.480000000007"/>
        <n v="22941.9"/>
        <n v="11139.020000000004"/>
        <n v="48420.72000000003"/>
        <n v="173759.04"/>
        <n v="901.3400000000001"/>
        <n v="351858.75"/>
        <n v="285072.5"/>
        <n v="233539.2"/>
        <n v="242806.34000000008"/>
        <n v="152094.80000000005"/>
        <n v="53352.740000000005"/>
        <n v="1188.1299999999997"/>
        <n v="177332.16999999995"/>
        <n v="726254.99"/>
        <n v="114255.36000000002"/>
        <n v="1230710.9799999995"/>
        <n v="27019.640000000007"/>
        <n v="315091.82"/>
        <n v="8632.619999999999"/>
        <n v="422822.3999999999"/>
        <n v="390821.2200000001"/>
        <n v="79567.02000000005"/>
        <n v="1449728.06"/>
        <n v="77018.6"/>
        <n v="19390.79999999999"/>
        <n v="347218.39"/>
        <n v="431256.12"/>
        <n v="391362.3999999999"/>
        <n v="804843.75"/>
        <n v="1236511.5299999998"/>
        <n v="237284.63999999998"/>
        <n v="3670.4300000000003"/>
        <n v="927558.75"/>
        <n v="278507.5"/>
        <n v="452409.74"/>
        <n v="65757.44"/>
        <n v="713175.8400000001"/>
        <n v="756470.0099999998"/>
        <n v="38316.740000000005"/>
        <n v="45727.81"/>
        <n v="182982.7999999998"/>
        <n v="249121.46000000008"/>
        <n v="547798.75"/>
        <n v="30239.270000000004"/>
        <n v="9881.0"/>
        <n v="300521.1000000001"/>
        <n v="458210.79999999993"/>
        <n v="536144.9800000001"/>
        <n v="383869.2000000002"/>
        <n v="124696.0"/>
        <n v="216060.47999999998"/>
        <n v="9552.400000000001"/>
        <n v="456282.72"/>
        <n v="3508.959999999999"/>
        <n v="85053.63999999998"/>
        <n v="18887.170000000006"/>
        <n v="185418.86999999997"/>
        <n v="253340.69"/>
        <n v="186483.48000000004"/>
        <n v="1229087.03"/>
        <n v="902042.5999999999"/>
        <n v="17503.199999999997"/>
        <n v="518306.47"/>
        <n v="20774.739999999998"/>
        <n v="11339.050000000003"/>
        <n v="10539.180000000004"/>
        <n v="62898.899999999994"/>
        <n v="637181.4199999999"/>
        <n v="739320.0"/>
        <n v="269.9200000000001"/>
        <n v="510933.75"/>
        <n v="117810.18000000005"/>
        <n v="49078.44000000002"/>
        <n v="284684.3999999999"/>
        <n v="203346.0"/>
        <n v="23039.600000000006"/>
        <n v="123646.03999999998"/>
        <n v="1026538.75"/>
        <n v="88259.59999999998"/>
        <n v="19562.40000000001"/>
        <n v="568393.44"/>
        <n v="165358.5"/>
        <n v="145152.54000000004"/>
        <n v="490611.4800000001"/>
        <n v="722869.9199999999"/>
        <n v="192152.5"/>
        <n v="154642.5"/>
        <n v="470886.67000000004"/>
        <n v="884116.78"/>
        <n v="300309.41000000003"/>
        <n v="767898.1199999999"/>
        <n v="104269.74000000002"/>
        <n v="18698.04"/>
        <n v="131731.92000000004"/>
        <n v="74127.48000000001"/>
        <n v="674427.5"/>
        <n v="469627.3800000001"/>
        <n v="476142.2899999998"/>
        <n v="459870.68999999994"/>
        <n v="14944.410000000003"/>
        <n v="1287556.3699999996"/>
        <n v="1125897.5"/>
        <n v="1604266.3999999994"/>
        <n v="67983.16999999998"/>
        <n v="4166.25"/>
        <n v="221364.0"/>
        <n v="514456.7999999998"/>
        <n v="23998.78"/>
        <n v="21935.820000000007"/>
        <n v="1027360.27"/>
        <n v="508063.65"/>
        <n v="127906.24000000005"/>
        <n v="477862.1000000001"/>
        <n v="89188.54000000001"/>
        <n v="453710.3999999999"/>
        <n v="13067.020000000004"/>
        <n v="667660.8"/>
        <n v="510216.6599999999"/>
        <n v="320195.36000000004"/>
        <n v="791082.5"/>
        <n v="346541.42999999993"/>
        <n v="736625.85"/>
        <n v="32814.53999999999"/>
        <n v="299578.01"/>
        <n v="359468.3699999999"/>
        <n v="139075.38999999998"/>
        <n v="45539.28000000001"/>
        <n v="468803.38"/>
        <n v="335935.5999999996"/>
        <n v="14970.960000000006"/>
        <n v="114928.07000000004"/>
        <n v="166341.6"/>
        <n v="434149.9400000002"/>
        <n v="163183.68"/>
        <n v="741232.5299999999"/>
        <n v="982115.98"/>
        <n v="1388.8600000000001"/>
        <n v="99438.0"/>
        <n v="443020.7599999999"/>
        <n v="294567.83999999997"/>
        <n v="79053.20999999996"/>
        <n v="292733.80999999994"/>
        <n v="460175.0399999999"/>
        <n v="76419.20000000001"/>
        <n v="937534.6099999994"/>
        <n v="65837.19999999995"/>
        <n v="1531273.0899999999"/>
        <n v="300814.7999999998"/>
        <n v="328613.99999999977"/>
        <n v="852674.7000000002"/>
        <n v="696902.2000000002"/>
        <n v="1662197.2000000002"/>
        <n v="432066.95000000007"/>
        <n v="821938.0199999998"/>
        <n v="1169580.0"/>
        <n v="37809.19999999998"/>
        <n v="536593.1999999997"/>
        <n v="361798.02999999997"/>
        <n v="317985.80999999994"/>
        <n v="109662.56000000003"/>
        <n v="216167.55999999994"/>
        <n v="54605.740000000005"/>
        <n v="1273469.3199999994"/>
        <n v="457000.32000000007"/>
        <n v="146264.40000000002"/>
        <n v="17236.320000000007"/>
        <n v="849200.52"/>
        <n v="138254.7"/>
        <n v="1515766.58"/>
        <n v="4152.43"/>
        <n v="20759.739999999998"/>
        <n v="16055.419999999998"/>
        <n v="1454777.9399999995"/>
        <n v="656406.72"/>
        <n v="705758.4"/>
        <n v="28141.02000000001"/>
        <n v="720594.04"/>
        <n v="520542.72"/>
        <n v="99409.68000000005"/>
        <n v="435862.80000000005"/>
        <n v="560089.36"/>
        <n v="12671.779999999999"/>
        <n v="19847.520000000004"/>
        <n v="104606.41"/>
        <n v="482780.0"/>
        <n v="831861.25"/>
        <n v="218777.75999999998"/>
        <n v="1935.2299999999996"/>
        <n v="282595.2800000001"/>
        <n v="465436.74"/>
        <n v="7514.379999999997"/>
        <n v="236548.11000000004"/>
        <n v="458709.66000000003"/>
        <n v="844394.3499999996"/>
        <n v="4181.3499999999985"/>
        <n v="424563.9400000002"/>
        <n v="363792.0"/>
        <n v="41223.89000000001"/>
        <n v="1302112.43"/>
        <n v="603396.5399999999"/>
        <n v="870914.8299999998"/>
        <n v="846758.7500000005"/>
        <n v="409037.2000000002"/>
        <n v="32400.540000000008"/>
        <n v="473959.2000000002"/>
        <n v="163182.77999999997"/>
        <n v="175762.56"/>
        <n v="1256945.0"/>
        <n v="55968.840000000026"/>
        <n v="1432570.12"/>
        <n v="96329.58000000002"/>
        <n v="119773.67999999996"/>
        <n v="14666.580000000005"/>
        <n v="85456.80000000005"/>
        <n v="590330.2599999998"/>
        <n v="245482.88999999996"/>
        <n v="160016.28000000003"/>
        <n v="99808.53"/>
        <n v="44771.94000000002"/>
        <n v="407029.67000000004"/>
        <n v="420572.05999999994"/>
        <n v="565561.44"/>
        <n v="460280.82999999996"/>
        <n v="674619.8399999999"/>
        <n v="636538.0700000001"/>
        <n v="528627.1800000002"/>
        <n v="109595.19999999995"/>
        <n v="935512.5000000005"/>
        <n v="395254.07999999996"/>
        <n v="419579.2200000001"/>
        <n v="10813.669999999998"/>
        <n v="30988.680000000008"/>
        <n v="417374.4400000002"/>
        <n v="16889.28"/>
        <n v="18062.950000000004"/>
        <n v="180411.25"/>
        <n v="110013.4"/>
        <n v="330994.08"/>
        <n v="515007.6000000002"/>
        <n v="1742.4300000000003"/>
        <n v="172343.6000000001"/>
        <n v="11854.620000000003"/>
        <n v="1558690.6499999994"/>
        <n v="608636.3299999998"/>
        <n v="341885.0"/>
        <n v="396426.1599999999"/>
        <n v="191599.55"/>
        <n v="155394.18000000005"/>
        <n v="600812.64"/>
        <n v="159832.68"/>
        <n v="137930.24000000005"/>
        <n v="364935.99999999953"/>
        <n v="1106455.0"/>
        <n v="312899.8799999999"/>
        <n v="122604.94"/>
        <n v="1631248.3399999999"/>
        <n v="150366.78000000003"/>
        <n v="15843.339999999997"/>
        <n v="585026.8999999999"/>
        <n v="38946.549999999974"/>
        <n v="467665.92000000004"/>
        <n v="292793.4000000001"/>
        <n v="458260.67000000004"/>
        <n v="266640.0"/>
        <n v="281117.89"/>
        <n v="107193.9"/>
        <n v="80210.52000000002"/>
        <n v="1368878.5100000002"/>
        <n v="22639.540000000008"/>
        <n v="16763.960000000006"/>
        <n v="116182.32"/>
        <n v="147528.54"/>
        <n v="1262121.25"/>
        <n v="374676.54999999993"/>
        <n v="159931.19999999995"/>
        <n v="735991.71"/>
        <n v="649283.04"/>
        <n v="422708.0"/>
        <n v="40245.119999999995"/>
        <n v="115658.3999999999"/>
        <n v="351793.20000000007"/>
        <n v="531053.3400000002"/>
        <n v="953610.4199999999"/>
        <n v="124324.74000000005"/>
        <n v="264065.46000000014"/>
        <n v="161561.82000000007"/>
        <n v="261674.35000000003"/>
        <n v="20027.100000000006"/>
        <n v="596033.5199999999"/>
        <n v="194632.22999999995"/>
        <n v="629939.73"/>
        <n v="138591.0"/>
        <n v="388445.1999999997"/>
        <n v="136007.10000000003"/>
        <n v="38617.56000000001"/>
        <n v="84423.06000000003"/>
        <n v="129518.57999999996"/>
        <n v="272952.5"/>
        <n v="233759.51999999996"/>
        <n v="288867.3899999998"/>
        <n v="4034.66"/>
        <n v="60794.18999999999"/>
        <n v="1193443.68"/>
        <n v="412302.0299999999"/>
        <n v="277519.48"/>
        <n v="779633.0800000001"/>
        <n v="62213.140000000014"/>
        <n v="725197.74"/>
        <n v="533953.5399999999"/>
        <n v="157352.35"/>
        <n v="427712.52"/>
        <n v="15002.25"/>
        <n v="316095.66000000003"/>
        <n v="513541.6000000001"/>
        <n v="1192052.7199999997"/>
        <n v="22104.519999999997"/>
        <n v="342606.50999999995"/>
        <n v="147534.81000000003"/>
        <n v="15403.719999999998"/>
        <n v="556257.5"/>
        <n v="364779.26"/>
        <n v="165750.84000000003"/>
        <n v="257686.0"/>
        <n v="1654814.0499999998"/>
        <n v="392946.20000000007"/>
        <n v="366125.0"/>
        <n v="176256.0"/>
        <n v="237780.3999999999"/>
        <n v="16082.820000000003"/>
        <n v="741285.3800000001"/>
        <n v="1261948.4600000002"/>
        <n v="628074.7200000001"/>
        <n v="640380.7199999997"/>
        <n v="918555.2100000002"/>
        <n v="6752.82"/>
        <n v="530303.5"/>
        <n v="35454.240000000005"/>
        <n v="108345.56999999998"/>
        <n v="1245958.1399999992"/>
        <n v="38767.82000000001"/>
        <n v="430732.27"/>
        <n v="882737.99"/>
        <n v="973000.8299999996"/>
        <n v="64722.78"/>
        <n v="477670.38"/>
        <n v="165521.3"/>
        <n v="523480.31999999995"/>
        <n v="115100.58000000002"/>
        <n v="787548.96"/>
        <n v="559899.9700000001"/>
        <n v="9428.940000000006"/>
        <n v="130557.42000000004"/>
        <n v="781450.7200000002"/>
        <n v="423108.3999999999"/>
        <n v="507465.26"/>
        <n v="270715.59"/>
        <n v="79842.72000000003"/>
        <n v="509194.3999999999"/>
        <n v="576503.1599999999"/>
        <n v="263749.19999999995"/>
        <n v="169427.5"/>
        <n v="13389.960000000006"/>
        <n v="886321.56"/>
        <n v="77646.59999999999"/>
        <n v="153701.08000000002"/>
        <n v="31350.060000000012"/>
        <n v="4429.5"/>
        <n v="1223488.75"/>
        <n v="851430.0"/>
        <n v="477968.6300000001"/>
        <n v="19653.300000000003"/>
        <n v="343021.25"/>
        <n v="174417.60000000003"/>
        <n v="481813.32000000007"/>
        <n v="7219.26"/>
        <n v="956596.2499999995"/>
        <n v="49478.0"/>
        <n v="559816.3999999999"/>
        <n v="536136.5499999996"/>
        <n v="104922.0"/>
        <n v="691723.75"/>
        <n v="272557.99999999977"/>
        <n v="548051.25"/>
        <n v="266328.10999999987"/>
        <n v="180442.08000000002"/>
        <n v="13958.720000000001"/>
        <n v="101261.02999999997"/>
        <n v="45437.640000000014"/>
        <n v="1158784.1599999997"/>
        <n v="983276.0899999994"/>
        <n v="131277.78000000003"/>
        <n v="14291.300000000003"/>
        <n v="9495.19999999999"/>
        <n v="17601.840000000004"/>
        <n v="442041.6000000001"/>
        <n v="154319.48000000004"/>
        <n v="59463.53999999999"/>
        <n v="68841.36000000002"/>
        <n v="11006.470000000001"/>
        <n v="748379.02"/>
        <n v="200858.39999999997"/>
        <n v="501086.25"/>
        <n v="470013.3600000002"/>
        <n v="942077.5"/>
        <n v="122602.14000000004"/>
        <n v="146955.0"/>
        <n v="57566.16000000002"/>
        <n v="490607.5"/>
        <n v="437122.3999999999"/>
        <n v="399219.83999999997"/>
        <n v="1193441.25"/>
        <n v="126070.60999999999"/>
        <n v="30601.120000000003"/>
        <n v="129164.21999999997"/>
        <n v="2369.0299999999997"/>
        <n v="1200713.8499999992"/>
        <n v="463483.1000000001"/>
        <n v="725907.25"/>
        <n v="482502.58999999997"/>
        <n v="77626.62000000002"/>
        <n v="881470.5"/>
        <n v="459045.0"/>
        <n v="23174.559999999998"/>
        <n v="23668.610000000015"/>
        <n v="1425038.52"/>
        <n v="210286.02999999997"/>
        <n v="486714.7999999998"/>
        <n v="871756.2499999995"/>
        <n v="7396.290000000001"/>
        <n v="818040.0599999998"/>
        <n v="1543112.0299999993"/>
        <n v="783755.7299999999"/>
        <n v="104906.34000000005"/>
        <n v="364115.51999999996"/>
        <n v="691070.4"/>
        <n v="248133.59999999986"/>
        <n v="650795.4099999999"/>
        <n v="450568.74"/>
        <n v="1505540.33"/>
        <n v="4964.220000000001"/>
        <n v="18658.22"/>
        <n v="197222.19999999995"/>
        <n v="102559.59999999998"/>
        <n v="2955.79"/>
        <n v="300616.96"/>
        <n v="558953.0199999999"/>
        <n v="289206.72"/>
        <n v="418993.80999999994"/>
        <n v="468696.7999999998"/>
        <n v="183890.27999999997"/>
        <n v="177716.22000000003"/>
        <n v="68078.88"/>
        <n v="10167.789999999997"/>
        <n v="36264.80000000002"/>
        <n v="111293.46000000002"/>
        <n v="157479.84000000003"/>
        <n v="124905.58000000005"/>
        <n v="542034.1799999998"/>
        <n v="492048.0"/>
        <n v="1016587.8199999994"/>
        <n v="185876.63999999998"/>
        <n v="509837.88"/>
        <n v="241516.24999999988"/>
        <n v="92691.53999999998"/>
        <n v="645537.5999999999"/>
        <n v="714923.8800000001"/>
        <n v="167105.11"/>
        <n v="394048.32"/>
        <n v="62748.399999999965"/>
        <n v="107302.32000000004"/>
        <n v="248705.6000000001"/>
        <n v="163448.55"/>
        <n v="276562.0"/>
        <n v="60150.06000000001"/>
        <n v="594717.1200000001"/>
        <n v="142615.62000000005"/>
        <n v="107306.92000000004"/>
        <n v="29395.380000000005"/>
        <n v="474926.9900000001"/>
        <n v="681156.0"/>
        <n v="176069.57"/>
        <n v="155002.68000000005"/>
        <n v="73523.70000000001"/>
        <n v="98109.9"/>
        <n v="255423.97999999998"/>
        <n v="558258.59"/>
        <n v="521277.12"/>
        <n v="151061.68"/>
        <n v="677890.6799999999"/>
        <n v="626060.21"/>
        <n v="170884.13999999996"/>
        <n v="432628.4400000002"/>
        <n v="490078.18999999994"/>
        <n v="351043.5299999999"/>
        <n v="266657.04000000004"/>
        <n v="262272.96"/>
        <n v="552895.1999999997"/>
        <n v="93505.86000000002"/>
        <n v="439937.93999999994"/>
        <n v="489532.9200000003"/>
        <n v="113863.86000000002"/>
        <n v="86756.4"/>
        <n v="370255.5999999996"/>
        <n v="221717.94000000006"/>
        <n v="89966.70000000001"/>
        <n v="1601342.7000000002"/>
        <n v="414321.9600000001"/>
        <n v="43284.90000000001"/>
        <n v="1350865.2299999995"/>
        <n v="619242.1699999999"/>
        <n v="66809.96000000002"/>
        <n v="602480.1000000001"/>
        <n v="475558.2899999999"/>
        <n v="26467.20000000001"/>
        <n v="57672.08999999998"/>
        <n v="113409.72000000003"/>
        <n v="169295.48999999996"/>
        <n v="606841.5"/>
        <n v="22801.010000000002"/>
        <n v="372085.99999999953"/>
        <n v="50345.54000000001"/>
        <n v="416152.95999999996"/>
        <n v="355542.7200000001"/>
        <n v="332631.97"/>
        <n v="381295.1999999997"/>
        <n v="510779.85999999987"/>
        <n v="564850.0"/>
        <n v="79218.94"/>
        <n v="301670.94000000006"/>
        <n v="820697.7599999998"/>
        <n v="578838.9700000001"/>
        <n v="317330.70000000007"/>
        <n v="9223.740000000002"/>
        <n v="49718.87999999999"/>
        <n v="3790.9300000000003"/>
        <n v="435155.0900000001"/>
        <n v="864812.4999999995"/>
        <n v="73194.84000000003"/>
        <n v="52658.700000000026"/>
        <n v="823533.26"/>
        <n v="339081.6000000001"/>
        <n v="519657.0600000002"/>
        <n v="245788.4800000001"/>
        <n v="1237954.4000000001"/>
        <n v="64848.06000000003"/>
        <n v="423640.6200000001"/>
        <n v="279265.0"/>
        <n v="60071.76000000001"/>
        <n v="506734.80000000005"/>
        <n v="72758.39999999997"/>
        <n v="564382.1999999998"/>
        <n v="497521.43999999994"/>
        <n v="249773.02000000002"/>
        <n v="145187.5"/>
        <n v="1246621.0599999991"/>
        <n v="151754.66999999998"/>
        <n v="15332.419999999998"/>
        <n v="395547.83999999997"/>
        <n v="1081553.9799999995"/>
        <n v="188600.74"/>
        <n v="7781.889999999999"/>
        <n v="470571.0199999999"/>
        <n v="218072.12000000005"/>
        <n v="92487.96000000002"/>
        <n v="11408.940000000002"/>
        <n v="81306.72000000003"/>
        <n v="55023.640000000014"/>
        <n v="359910.9"/>
        <n v="909194.7799999998"/>
      </sharedItems>
    </cacheField>
    <cacheField name="category" numFmtId="0">
      <sharedItems>
        <s v="Cereal"/>
        <s v="Household"/>
        <s v="Clothes"/>
        <s v="Beverages"/>
        <s v="Office Supplies"/>
        <s v="Fruits"/>
        <s v="Vegetables"/>
        <s v="Baby Food"/>
        <s v="Meat"/>
        <s v="Cosmetics"/>
        <s v="Snacks"/>
        <s v="Personal Care"/>
      </sharedItems>
    </cacheField>
    <cacheField name="cost coefficient" numFmtId="167">
      <sharedItems containsSemiMixedTypes="0" containsString="0" containsNumber="1">
        <n v="0.5693242586290714"/>
        <n v="0.5693242586290715"/>
        <n v="0.7520014365451091"/>
        <n v="0.32796486090775995"/>
        <n v="0.6699683877766068"/>
        <n v="0.8061301269943644"/>
        <n v="0.7416934619506965"/>
        <n v="0.5902245878229262"/>
        <n v="0.6244907552491382"/>
        <n v="0.8644196354499988"/>
        <n v="0.7416934619506967"/>
        <n v="0.6244907552491381"/>
        <n v="0.7520014365451092"/>
        <n v="0.7416934619506966"/>
        <n v="0.6023101555352242"/>
        <n v="0.8061301269943645"/>
        <n v="0.6386158081006684"/>
        <n v="0.6933806435825278"/>
        <n v="0.6699683877766069"/>
        <n v="0.3279648609077599"/>
        <n v="0.6023101555352243"/>
        <n v="0.752001436545109"/>
        <n v="0.8061301269943643"/>
        <n v="0.8644196354499989"/>
        <n v="0.6386158081006685"/>
        <n v="0.6933806435825279"/>
        <n v="0.602310155535224"/>
        <n v="0.6933806435825277"/>
        <n v="0.864419635449999"/>
        <n v="0.32796486090775984"/>
        <n v="0.6386158081006683"/>
        <n v="0.5902245878229261"/>
        <n v="0.5902245878229263"/>
        <n v="0.669968387776607"/>
      </sharedItems>
    </cacheField>
    <cacheField name="countries" numFmtId="0">
      <sharedItems>
        <s v="Norway"/>
        <s v="Serbia"/>
        <e v="#N/A"/>
        <s v="Montenegro"/>
        <s v="Slovakia"/>
        <s v="France"/>
        <s v="Spain"/>
        <s v="Croatia"/>
        <s v="Germany"/>
        <s v="Armenia"/>
        <s v="Georgia"/>
        <s v="United Kingdom"/>
        <s v="Slovenia"/>
        <s v="Romania"/>
        <s v="Poland"/>
        <s v="Luxembourg"/>
        <s v="Cyprus"/>
        <s v="Belgium"/>
        <s v="Lithuania"/>
        <s v="Russia"/>
        <s v="Malta"/>
        <s v="Ukraine"/>
        <s v="Czech Republic"/>
        <s v="Portugal"/>
        <s v="Belarus"/>
        <s v="Estonia"/>
        <s v="Austria"/>
        <s v="Macedonia"/>
        <s v="San Marino"/>
        <s v="Netherlands"/>
        <s v="Switzerland"/>
        <s v="Hungary"/>
        <s v="Latvia"/>
        <s v="Bulgaria"/>
        <s v="Italy"/>
        <s v="Ireland"/>
        <s v="Andorra"/>
        <s v="Liechtenstein"/>
        <s v="Finland"/>
        <s v="Albania"/>
        <s v="Sweden"/>
        <s v="Bosnia and Herzegovina"/>
        <s v="Denmark"/>
        <s v="Monaco"/>
        <s v="Iceland"/>
        <s v="Greece"/>
      </sharedItems>
    </cacheField>
    <cacheField name="region" numFmtId="0">
      <sharedItems>
        <s v="Europe"/>
        <e v="#N/A"/>
        <s v="Asia"/>
      </sharedItems>
    </cacheField>
    <cacheField name="subregion" numFmtId="0">
      <sharedItems>
        <s v="Northern Europe"/>
        <s v="Southern Europe"/>
        <e v="#N/A"/>
        <s v="Eastern Europe"/>
        <s v="Western Europe"/>
        <s v="Western Asia"/>
      </sharedItems>
    </cacheField>
    <cacheField name="aging" numFmtId="0">
      <sharedItems containsSemiMixedTypes="0" containsString="0" containsNumber="1" containsInteger="1">
        <n v="10.0"/>
        <n v="0.0"/>
        <n v="24.0"/>
        <n v="31.0"/>
        <n v="38.0"/>
        <n v="34.0"/>
        <n v="47.0"/>
        <n v="32.0"/>
        <n v="30.0"/>
        <n v="16.0"/>
        <n v="18.0"/>
        <n v="25.0"/>
        <n v="4.0"/>
        <n v="11.0"/>
        <n v="14.0"/>
        <n v="36.0"/>
        <n v="35.0"/>
        <n v="48.0"/>
        <n v="23.0"/>
        <n v="37.0"/>
        <n v="27.0"/>
        <n v="41.0"/>
        <n v="8.0"/>
        <n v="15.0"/>
        <n v="29.0"/>
        <n v="13.0"/>
        <n v="44.0"/>
        <n v="40.0"/>
        <n v="3.0"/>
        <n v="49.0"/>
        <n v="9.0"/>
        <n v="19.0"/>
        <n v="46.0"/>
        <n v="20.0"/>
        <n v="39.0"/>
        <n v="43.0"/>
        <n v="7.0"/>
        <n v="6.0"/>
        <n v="17.0"/>
        <n v="21.0"/>
        <n v="12.0"/>
        <n v="45.0"/>
        <n v="33.0"/>
        <n v="28.0"/>
        <n v="42.0"/>
        <n v="50.0"/>
        <n v="5.0"/>
        <n v="2.0"/>
        <n v="22.0"/>
        <n v="26.0"/>
        <n v="1.0"/>
      </sharedItems>
    </cacheField>
    <cacheField name="category2" numFmtId="0">
      <sharedItems>
        <s v="Cereal"/>
        <s v="Household"/>
        <s v="Clothes"/>
        <s v="Beverages"/>
        <s v="Office Supplies"/>
        <s v="Fruits"/>
        <s v="Vegetables"/>
        <s v="Baby Food"/>
        <s v="Meat"/>
        <s v="Cosmetics"/>
        <s v="Snacks"/>
        <s v="Personal Care"/>
      </sharedItems>
    </cacheField>
    <cacheField name="year" numFmtId="0">
      <sharedItems containsSemiMixedTypes="0" containsString="0" containsNumber="1" containsInteger="1">
        <n v="2014.0"/>
        <n v="2016.0"/>
        <n v="2017.0"/>
        <n v="2012.0"/>
        <n v="2015.0"/>
        <n v="2013.0"/>
        <n v="2011.0"/>
        <n v="2010.0"/>
      </sharedItems>
    </cacheField>
    <cacheField name=" 2" numFmtId="0">
      <sharedItems containsSemiMixedTypes="0" containsString="0" containsNumber="1" containsInteger="1">
        <n v="10.0"/>
        <n v="8.0"/>
        <n v="7.0"/>
        <n v="5.0"/>
        <n v="3.0"/>
        <n v="4.0"/>
        <n v="11.0"/>
        <n v="9.0"/>
        <n v="1.0"/>
        <n v="2.0"/>
        <n v="6.0"/>
        <n v="12.0"/>
      </sharedItems>
    </cacheField>
    <cacheField name=" 3" numFmtId="0">
      <sharedItems>
        <s v="NOR"/>
        <s v="SRB"/>
        <s v=""/>
        <s v="MNE"/>
        <s v="SVK"/>
        <s v="FRA"/>
        <s v="ESP"/>
        <s v="HRV"/>
        <s v="DEU"/>
        <s v="ARM"/>
        <s v="GEO"/>
        <s v="GBR"/>
        <s v="SVN"/>
        <s v="ROU"/>
        <s v="POL"/>
        <s v="LUX"/>
        <s v="CYP"/>
        <s v="BEL"/>
        <s v="LTU"/>
        <s v="RUS"/>
        <s v="MLT"/>
        <s v="UKR"/>
        <s v="CZE"/>
        <s v="PRT"/>
        <s v="BLR"/>
        <s v="EST"/>
        <s v="AUT"/>
        <s v="MKD"/>
        <s v="SMR"/>
        <s v="NLD"/>
        <s v="CHE"/>
        <s v="HUN"/>
        <s v="LVA"/>
        <s v="BGR"/>
        <s v="ITA"/>
        <s v="IRL"/>
        <s v="AND"/>
        <s v="LIE"/>
        <s v="FIN"/>
        <s v="ALB"/>
        <s v="SWE"/>
        <s v="BIH"/>
        <s v="DNK"/>
        <s v="MCO"/>
        <s v="ISL"/>
        <s v="GRC"/>
      </sharedItems>
    </cacheField>
    <cacheField name=" 4" numFmtId="0">
      <sharedItems>
        <s v="Norway"/>
        <s v="Serbia"/>
        <s v="Undefined"/>
        <s v="Montenegro"/>
        <s v="Slovakia"/>
        <s v="France"/>
        <s v="Spain"/>
        <s v="Croatia"/>
        <s v="Germany"/>
        <s v="Armenia"/>
        <s v="Georgia"/>
        <s v="United Kingdom"/>
        <s v="Slovenia"/>
        <s v="Romania"/>
        <s v="Poland"/>
        <s v="Luxembourg"/>
        <s v="Cyprus"/>
        <s v="Belgium"/>
        <s v="Lithuania"/>
        <s v="Russia"/>
        <s v="Malta"/>
        <s v="Ukraine"/>
        <s v="Czech Republic"/>
        <s v="Portugal"/>
        <s v="Belarus"/>
        <s v="Estonia"/>
        <s v="Austria"/>
        <s v="Macedonia"/>
        <s v="San Marino"/>
        <s v="Netherlands"/>
        <s v="Switzerland"/>
        <s v="Hungary"/>
        <s v="Latvia"/>
        <s v="Bulgaria"/>
        <s v="Italy"/>
        <s v="Ireland"/>
        <s v="Andorra"/>
        <s v="Liechtenstein"/>
        <s v="Finland"/>
        <s v="Albania"/>
        <s v="Sweden"/>
        <s v="Bosnia and Herzegovina"/>
        <s v="Denmark"/>
        <s v="Monaco"/>
        <s v="Iceland"/>
        <s v="Greece"/>
      </sharedItems>
    </cacheField>
    <cacheField name=" 5" numFmtId="0">
      <sharedItems>
        <s v="Europe"/>
        <s v="Undefined"/>
        <s v="Asia"/>
      </sharedItems>
    </cacheField>
    <cacheField name=" 6" numFmtId="0">
      <sharedItems>
        <s v="Northern Europe"/>
        <s v="Southern Europe"/>
        <s v="Undefined"/>
        <s v="Eastern Europe"/>
        <s v="Western Europe"/>
        <s v="Western Asia"/>
      </sharedItems>
    </cacheField>
    <cacheField name=" 7" numFmtId="0">
      <sharedItems>
        <s v="Online"/>
        <s v="Offline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 by chanel" cacheId="0" dataCaption="" rowGrandTotals="0" colGrandTotals="0" compact="0" compactData="0">
  <location ref="A1:K11" firstHeaderRow="0" firstDataRow="2" firstDataCol="1"/>
  <pivotFields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Country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 " axis="axisCol" compact="0" outline="0" multipleItemSelectionAllowed="1" showAll="0" sortType="ascending">
      <items>
        <item x="1"/>
        <item x="0"/>
        <item t="default"/>
      </items>
    </pivotField>
    <pivotField name="Units Sol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t="default"/>
      </items>
    </pivotField>
    <pivotField name="Unit Pric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t="default"/>
      </items>
    </pivotField>
    <pivotField name="total cost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t="default"/>
      </items>
    </pivotField>
    <pivotField name="total profit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ost coefficient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countri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subregio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g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category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year" axis="axisRow" compact="0" outline="0" multipleItemSelectionAllowed="1" showAll="0" sortType="ascending">
      <items>
        <item x="7"/>
        <item x="6"/>
        <item x="3"/>
        <item x="5"/>
        <item x="0"/>
        <item x="4"/>
        <item x="1"/>
        <item x="2"/>
        <item t="default"/>
      </items>
    </pivotField>
    <pivotField name=" 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 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 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 5" compact="0" outline="0" multipleItemSelectionAllowed="1" showAll="0">
      <items>
        <item x="0"/>
        <item x="1"/>
        <item x="2"/>
        <item t="default"/>
      </items>
    </pivotField>
    <pivotField name=" 6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 7" compact="0" outline="0" multipleItemSelectionAllowed="1" showAll="0">
      <items>
        <item x="0"/>
        <item x="1"/>
        <item t="default"/>
      </items>
    </pivotField>
  </pivotFields>
  <rowFields>
    <field x="20"/>
  </rowFields>
  <colFields>
    <field x="6"/>
    <field x="-2"/>
  </colFields>
  <dataFields>
    <dataField name="Units Sold" fld="7" baseField="0"/>
    <dataField name="orders count" fld="0" subtotal="countNums" baseField="0"/>
    <dataField name="total revenue" fld="10" baseField="0"/>
    <dataField name="total cost" fld="11" baseField="0"/>
    <dataField name="COUNTA of countries" fld="1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3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4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5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88"/>
    <col customWidth="1" min="3" max="3" width="17.38"/>
    <col customWidth="1" min="4" max="4" width="17.25"/>
    <col customWidth="1" min="5" max="5" width="9.88"/>
    <col customWidth="1" min="14" max="14" width="8.63"/>
    <col customWidth="1" min="15" max="15" width="16.75"/>
    <col customWidth="1" min="16" max="16" width="7.13"/>
  </cols>
  <sheetData>
    <row r="1">
      <c r="A1" s="1"/>
      <c r="B1" s="2"/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6"/>
      <c r="R1" s="6"/>
      <c r="S1" s="6"/>
      <c r="T1" s="7"/>
      <c r="U1" s="7" t="s">
        <v>0</v>
      </c>
      <c r="V1" s="7" t="s">
        <v>1</v>
      </c>
      <c r="W1" s="7" t="s">
        <v>2</v>
      </c>
      <c r="X1" s="7" t="s">
        <v>3</v>
      </c>
      <c r="Y1" s="7" t="s">
        <v>3</v>
      </c>
      <c r="Z1" s="8" t="s">
        <v>4</v>
      </c>
    </row>
    <row r="2">
      <c r="A2" s="5"/>
      <c r="B2" s="5"/>
      <c r="C2" s="9"/>
      <c r="D2" s="10"/>
      <c r="E2" s="10"/>
      <c r="F2" s="5"/>
      <c r="G2" s="5"/>
      <c r="H2" s="5"/>
      <c r="I2" s="5"/>
      <c r="J2" s="11"/>
      <c r="K2" s="5"/>
      <c r="L2" s="5"/>
      <c r="M2" s="5"/>
      <c r="N2" s="5"/>
      <c r="O2" s="5"/>
      <c r="P2" s="5"/>
      <c r="Q2" s="6"/>
      <c r="R2" s="12" t="s">
        <v>5</v>
      </c>
      <c r="S2" s="6"/>
      <c r="T2" s="7"/>
      <c r="U2" s="13">
        <v>1.7046263561700003E9</v>
      </c>
      <c r="V2" s="13">
        <v>5.018423040799997E8</v>
      </c>
      <c r="W2" s="7">
        <v>45.0</v>
      </c>
      <c r="X2" s="7">
        <v>1330.0</v>
      </c>
      <c r="Y2" s="7">
        <v>1330.0</v>
      </c>
      <c r="Z2" s="13">
        <f>U2/Y2</f>
        <v>1281673.952</v>
      </c>
    </row>
    <row r="3">
      <c r="A3" s="5"/>
      <c r="B3" s="5"/>
      <c r="C3" s="9"/>
      <c r="D3" s="10"/>
      <c r="E3" s="10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6"/>
      <c r="R3" s="6"/>
      <c r="S3" s="6"/>
      <c r="T3" s="7"/>
      <c r="U3" s="7"/>
      <c r="V3" s="13"/>
      <c r="W3" s="7"/>
      <c r="X3" s="7"/>
      <c r="Y3" s="7"/>
      <c r="Z3" s="7"/>
    </row>
    <row r="4">
      <c r="A4" s="5"/>
      <c r="B4" s="5"/>
      <c r="C4" s="9"/>
      <c r="D4" s="10"/>
      <c r="E4" s="10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6"/>
      <c r="R4" s="6"/>
      <c r="S4" s="6"/>
      <c r="T4" s="7"/>
      <c r="U4" s="7"/>
      <c r="V4" s="7"/>
      <c r="W4" s="7"/>
      <c r="X4" s="7"/>
      <c r="Y4" s="7"/>
      <c r="Z4" s="7"/>
    </row>
    <row r="5">
      <c r="A5" s="5"/>
      <c r="B5" s="5"/>
      <c r="C5" s="9"/>
      <c r="D5" s="10"/>
      <c r="E5" s="10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/>
      <c r="R5" s="6"/>
      <c r="S5" s="6"/>
      <c r="T5" s="7"/>
      <c r="U5" s="7"/>
      <c r="V5" s="7"/>
      <c r="W5" s="7"/>
      <c r="X5" s="7"/>
      <c r="Y5" s="7"/>
      <c r="Z5" s="7"/>
    </row>
    <row r="6">
      <c r="A6" s="5"/>
      <c r="B6" s="5"/>
      <c r="C6" s="9"/>
      <c r="D6" s="10"/>
      <c r="E6" s="10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6"/>
      <c r="R6" s="6"/>
      <c r="S6" s="6"/>
      <c r="T6" s="7"/>
      <c r="U6" s="14"/>
      <c r="V6" s="7"/>
      <c r="W6" s="7"/>
      <c r="X6" s="7"/>
      <c r="Y6" s="7"/>
      <c r="Z6" s="7"/>
    </row>
    <row r="7">
      <c r="A7" s="5"/>
      <c r="B7" s="5"/>
      <c r="C7" s="9"/>
      <c r="D7" s="10"/>
      <c r="E7" s="10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6"/>
      <c r="R7" s="6"/>
      <c r="S7" s="6"/>
      <c r="T7" s="7"/>
      <c r="U7" s="7"/>
      <c r="V7" s="7"/>
      <c r="W7" s="7"/>
      <c r="X7" s="7"/>
      <c r="Y7" s="7"/>
      <c r="Z7" s="7"/>
    </row>
    <row r="8">
      <c r="A8" s="5"/>
      <c r="B8" s="5"/>
      <c r="C8" s="9"/>
      <c r="D8" s="10"/>
      <c r="E8" s="10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6"/>
      <c r="R8" s="6"/>
      <c r="S8" s="6"/>
      <c r="T8" s="7"/>
      <c r="U8" s="7"/>
      <c r="V8" s="7"/>
      <c r="W8" s="7"/>
      <c r="X8" s="7"/>
      <c r="Y8" s="7"/>
      <c r="Z8" s="7"/>
    </row>
    <row r="9">
      <c r="A9" s="5"/>
      <c r="B9" s="5"/>
      <c r="C9" s="9"/>
      <c r="D9" s="10"/>
      <c r="E9" s="10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6"/>
      <c r="R9" s="6"/>
      <c r="S9" s="6"/>
      <c r="T9" s="7"/>
      <c r="U9" s="7"/>
      <c r="V9" s="7"/>
      <c r="W9" s="7"/>
      <c r="X9" s="7"/>
      <c r="Y9" s="7"/>
      <c r="Z9" s="7"/>
    </row>
    <row r="10">
      <c r="A10" s="15"/>
      <c r="B10" s="16"/>
      <c r="C10" s="17"/>
      <c r="D10" s="18"/>
      <c r="E10" s="18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6"/>
      <c r="R10" s="6"/>
      <c r="S10" s="6"/>
      <c r="T10" s="7"/>
      <c r="U10" s="7"/>
      <c r="V10" s="7"/>
      <c r="W10" s="7"/>
      <c r="X10" s="7"/>
      <c r="Y10" s="7"/>
      <c r="Z10" s="7"/>
    </row>
    <row r="11">
      <c r="A11" s="5"/>
      <c r="B11" s="5"/>
      <c r="C11" s="9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6"/>
      <c r="R11" s="6"/>
      <c r="S11" s="6"/>
      <c r="T11" s="7"/>
      <c r="U11" s="7"/>
      <c r="V11" s="7"/>
      <c r="W11" s="7"/>
      <c r="X11" s="7"/>
      <c r="Y11" s="7"/>
      <c r="Z11" s="7"/>
    </row>
    <row r="12">
      <c r="A12" s="5"/>
      <c r="B12" s="5"/>
      <c r="C12" s="9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  <c r="R12" s="6"/>
      <c r="S12" s="6"/>
      <c r="T12" s="7"/>
      <c r="U12" s="7"/>
      <c r="V12" s="7"/>
      <c r="W12" s="7"/>
      <c r="X12" s="7"/>
      <c r="Y12" s="7"/>
      <c r="Z12" s="7"/>
    </row>
    <row r="13">
      <c r="A13" s="5"/>
      <c r="B13" s="5"/>
      <c r="C13" s="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6"/>
      <c r="R13" s="6"/>
      <c r="S13" s="6"/>
      <c r="T13" s="7"/>
      <c r="U13" s="7"/>
      <c r="V13" s="7"/>
      <c r="W13" s="7"/>
      <c r="X13" s="7"/>
      <c r="Y13" s="7"/>
      <c r="Z13" s="7"/>
    </row>
    <row r="14">
      <c r="A14" s="5"/>
      <c r="B14" s="5"/>
      <c r="C14" s="9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6"/>
      <c r="R14" s="6"/>
      <c r="S14" s="6"/>
      <c r="T14" s="7"/>
      <c r="U14" s="7"/>
      <c r="V14" s="7"/>
      <c r="W14" s="7"/>
      <c r="X14" s="7"/>
      <c r="Y14" s="7"/>
      <c r="Z14" s="7"/>
    </row>
    <row r="15">
      <c r="A15" s="5"/>
      <c r="B15" s="5"/>
      <c r="C15" s="9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6"/>
      <c r="R15" s="6"/>
      <c r="S15" s="6"/>
      <c r="T15" s="7"/>
      <c r="U15" s="7"/>
      <c r="V15" s="7"/>
      <c r="W15" s="7"/>
      <c r="X15" s="7"/>
      <c r="Y15" s="7"/>
      <c r="Z15" s="7"/>
    </row>
    <row r="16">
      <c r="A16" s="5"/>
      <c r="B16" s="5"/>
      <c r="C16" s="9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6"/>
      <c r="R16" s="6"/>
      <c r="S16" s="6"/>
      <c r="T16" s="7"/>
      <c r="U16" s="7"/>
      <c r="V16" s="7"/>
      <c r="W16" s="7"/>
      <c r="X16" s="7"/>
      <c r="Y16" s="7"/>
      <c r="Z16" s="7"/>
    </row>
    <row r="17">
      <c r="A17" s="5"/>
      <c r="B17" s="5"/>
      <c r="C17" s="9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6"/>
      <c r="R17" s="6"/>
      <c r="S17" s="6"/>
      <c r="T17" s="7"/>
      <c r="U17" s="7"/>
      <c r="V17" s="7"/>
      <c r="W17" s="7"/>
      <c r="X17" s="7"/>
      <c r="Y17" s="7"/>
      <c r="Z17" s="7"/>
    </row>
    <row r="18">
      <c r="A18" s="5"/>
      <c r="B18" s="5"/>
      <c r="C18" s="9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6"/>
      <c r="R18" s="6"/>
      <c r="S18" s="6"/>
      <c r="T18" s="7"/>
      <c r="U18" s="7"/>
      <c r="V18" s="7"/>
      <c r="W18" s="7"/>
      <c r="X18" s="7"/>
      <c r="Y18" s="7"/>
      <c r="Z18" s="7"/>
    </row>
    <row r="19">
      <c r="A19" s="5"/>
      <c r="B19" s="5"/>
      <c r="C19" s="9"/>
      <c r="D19" s="5"/>
      <c r="E19" s="5"/>
      <c r="F19" s="16"/>
      <c r="G19" s="19"/>
      <c r="H19" s="5"/>
      <c r="I19" s="5"/>
      <c r="J19" s="5"/>
      <c r="K19" s="5"/>
      <c r="L19" s="5"/>
      <c r="M19" s="5"/>
      <c r="N19" s="5"/>
      <c r="O19" s="5"/>
      <c r="P19" s="5"/>
      <c r="Q19" s="6"/>
      <c r="R19" s="6"/>
      <c r="S19" s="6"/>
      <c r="T19" s="7"/>
      <c r="U19" s="7"/>
      <c r="V19" s="7"/>
      <c r="W19" s="7"/>
      <c r="X19" s="7"/>
      <c r="Y19" s="7"/>
      <c r="Z19" s="7"/>
    </row>
    <row r="20">
      <c r="A20" s="5"/>
      <c r="B20" s="5"/>
      <c r="C20" s="9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6"/>
      <c r="R20" s="6"/>
      <c r="S20" s="6"/>
      <c r="T20" s="7"/>
      <c r="U20" s="7"/>
      <c r="V20" s="7"/>
      <c r="W20" s="7"/>
      <c r="X20" s="7"/>
      <c r="Y20" s="7"/>
      <c r="Z20" s="7"/>
    </row>
    <row r="21">
      <c r="A21" s="5"/>
      <c r="B21" s="5"/>
      <c r="C21" s="9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6"/>
      <c r="R21" s="6"/>
      <c r="S21" s="6"/>
      <c r="T21" s="7"/>
      <c r="U21" s="7"/>
      <c r="V21" s="7"/>
      <c r="W21" s="7"/>
      <c r="X21" s="7"/>
      <c r="Y21" s="7"/>
      <c r="Z21" s="7"/>
    </row>
    <row r="22">
      <c r="A22" s="5"/>
      <c r="B22" s="5"/>
      <c r="C22" s="9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20" t="s">
        <v>6</v>
      </c>
      <c r="P22" s="5"/>
      <c r="Q22" s="6"/>
      <c r="R22" s="6"/>
      <c r="S22" s="6"/>
      <c r="T22" s="7"/>
      <c r="U22" s="7"/>
      <c r="V22" s="7"/>
      <c r="W22" s="7"/>
      <c r="X22" s="7"/>
      <c r="Y22" s="7"/>
      <c r="Z22" s="7"/>
    </row>
    <row r="23">
      <c r="A23" s="5"/>
      <c r="B23" s="5"/>
      <c r="C23" s="9"/>
      <c r="D23" s="5"/>
      <c r="E23" s="5"/>
      <c r="F23" s="5"/>
      <c r="G23" s="5"/>
      <c r="H23" s="5"/>
      <c r="I23" s="5"/>
      <c r="J23" s="5"/>
      <c r="K23" s="5"/>
      <c r="L23" s="5"/>
      <c r="M23" s="5"/>
      <c r="N23" s="21"/>
      <c r="O23" s="22" t="str">
        <f>IFERROR(__xludf.DUMMYFUNCTION("IF($O$22='Aging &amp; revenue'!$A$1, QUERY(aging_revenue, ""select A, avg(D), min(D), max(D), count(E), sum(F) where A &lt;&gt; 'Undefined' group by A order by avg(D) desc label avg(D)'average_aging', min(D)'min_aging', max(D)'max_aging', count(E)'order_count', sum"&amp;"(F)'revenue'""), IF($O$22='Aging &amp; revenue'!$B$1, QUERY(aging_revenue,""select B, avg(D), min(D), max(D), count(E), sum(F) where B &lt;&gt; 'Undefined' group by B order by avg(D) desc label  avg(D)'average_aging', min(D)'min_aging', max(D)'max_aging', count(E)'"&amp;"order_count', sum(F)'revenue'""), QUERY(aging_revenue,""select C, avg(D), min(D), max(D), count(E), sum(F) group by C order by avg(D) desc label avg(D)'average_aging', min(D)'min_aging', max(D)'max_aging', count(E)'order_count', sum(F)'revenue'"")))"),"")</f>
        <v/>
      </c>
      <c r="P23" s="23" t="str">
        <f>IFERROR(__xludf.DUMMYFUNCTION("""COMPUTED_VALUE"""),"average_aging")</f>
        <v>average_aging</v>
      </c>
      <c r="Q23" s="6" t="str">
        <f>IFERROR(__xludf.DUMMYFUNCTION("""COMPUTED_VALUE"""),"min_aging")</f>
        <v>min_aging</v>
      </c>
      <c r="R23" s="6" t="str">
        <f>IFERROR(__xludf.DUMMYFUNCTION("""COMPUTED_VALUE"""),"max_aging")</f>
        <v>max_aging</v>
      </c>
      <c r="S23" s="6" t="str">
        <f>IFERROR(__xludf.DUMMYFUNCTION("""COMPUTED_VALUE"""),"order_count")</f>
        <v>order_count</v>
      </c>
      <c r="T23" s="6" t="str">
        <f>IFERROR(__xludf.DUMMYFUNCTION("""COMPUTED_VALUE"""),"revenue")</f>
        <v>revenue</v>
      </c>
      <c r="U23" s="7"/>
      <c r="V23" s="7"/>
      <c r="W23" s="7"/>
      <c r="X23" s="7"/>
      <c r="Y23" s="7"/>
      <c r="Z23" s="7"/>
    </row>
    <row r="24">
      <c r="A24" s="24" t="s">
        <v>7</v>
      </c>
      <c r="B24" s="5"/>
      <c r="C24" s="9"/>
      <c r="D24" s="5"/>
      <c r="E24" s="5"/>
      <c r="F24" s="5"/>
      <c r="G24" s="5"/>
      <c r="H24" s="5"/>
      <c r="I24" s="5"/>
      <c r="J24" s="5"/>
      <c r="K24" s="5"/>
      <c r="L24" s="5"/>
      <c r="M24" s="5"/>
      <c r="N24" s="21"/>
      <c r="O24" s="23" t="str">
        <f>IFERROR(__xludf.DUMMYFUNCTION("""COMPUTED_VALUE"""),"Cereal")</f>
        <v>Cereal</v>
      </c>
      <c r="P24" s="23">
        <f>IFERROR(__xludf.DUMMYFUNCTION("""COMPUTED_VALUE"""),27.184466019417474)</f>
        <v>27.18446602</v>
      </c>
      <c r="Q24" s="6">
        <f>IFERROR(__xludf.DUMMYFUNCTION("""COMPUTED_VALUE"""),0.0)</f>
        <v>0</v>
      </c>
      <c r="R24" s="6">
        <f>IFERROR(__xludf.DUMMYFUNCTION("""COMPUTED_VALUE"""),50.0)</f>
        <v>50</v>
      </c>
      <c r="S24" s="6">
        <f>IFERROR(__xludf.DUMMYFUNCTION("""COMPUTED_VALUE"""),103.0)</f>
        <v>103</v>
      </c>
      <c r="T24" s="7">
        <f>IFERROR(__xludf.DUMMYFUNCTION("""COMPUTED_VALUE"""),9.579140450000003E7)</f>
        <v>95791404.5</v>
      </c>
      <c r="U24" s="7"/>
      <c r="V24" s="7"/>
      <c r="W24" s="7"/>
      <c r="X24" s="7"/>
      <c r="Y24" s="7"/>
      <c r="Z24" s="7"/>
    </row>
    <row r="25">
      <c r="A25" s="25" t="str">
        <f>IFERROR(__xludf.DUMMYFUNCTION("IF($A$24='ABC '!$C$1, QUERY(abc_table, ""select A, count(C) group by A order by count(C) desc label A'category', count(C)'sales'""), QUERY(abc_table, ""select A, sum(D) group by A order by sum(D) desc label A'category', sum(D)'revenue'""))"),"category")</f>
        <v>category</v>
      </c>
      <c r="B25" s="23" t="str">
        <f>IFERROR(__xludf.DUMMYFUNCTION("""COMPUTED_VALUE"""),"revenue")</f>
        <v>revenue</v>
      </c>
      <c r="C25" s="26"/>
      <c r="D25" s="27" t="s">
        <v>8</v>
      </c>
      <c r="E25" s="27" t="s">
        <v>9</v>
      </c>
      <c r="F25" s="27" t="s">
        <v>10</v>
      </c>
      <c r="G25" s="5"/>
      <c r="H25" s="5"/>
      <c r="I25" s="5"/>
      <c r="J25" s="5"/>
      <c r="K25" s="5"/>
      <c r="L25" s="5"/>
      <c r="M25" s="5"/>
      <c r="N25" s="21"/>
      <c r="O25" s="23" t="str">
        <f>IFERROR(__xludf.DUMMYFUNCTION("""COMPUTED_VALUE"""),"Office Supplies")</f>
        <v>Office Supplies</v>
      </c>
      <c r="P25" s="23">
        <f>IFERROR(__xludf.DUMMYFUNCTION("""COMPUTED_VALUE"""),26.70731707317073)</f>
        <v>26.70731707</v>
      </c>
      <c r="Q25" s="6">
        <f>IFERROR(__xludf.DUMMYFUNCTION("""COMPUTED_VALUE"""),1.0)</f>
        <v>1</v>
      </c>
      <c r="R25" s="6">
        <f>IFERROR(__xludf.DUMMYFUNCTION("""COMPUTED_VALUE"""),50.0)</f>
        <v>50</v>
      </c>
      <c r="S25" s="6">
        <f>IFERROR(__xludf.DUMMYFUNCTION("""COMPUTED_VALUE"""),123.0)</f>
        <v>123</v>
      </c>
      <c r="T25" s="7">
        <f>IFERROR(__xludf.DUMMYFUNCTION("""COMPUTED_VALUE"""),4.022139956100001E8)</f>
        <v>402213995.6</v>
      </c>
      <c r="U25" s="7"/>
      <c r="V25" s="7"/>
      <c r="W25" s="7"/>
      <c r="X25" s="7"/>
      <c r="Y25" s="7"/>
      <c r="Z25" s="7"/>
    </row>
    <row r="26">
      <c r="A26" s="28" t="str">
        <f>IFERROR(__xludf.DUMMYFUNCTION("""COMPUTED_VALUE"""),"Office Supplies")</f>
        <v>Office Supplies</v>
      </c>
      <c r="B26" s="23">
        <f>IFERROR(__xludf.DUMMYFUNCTION("""COMPUTED_VALUE"""),4.022139956100001E8)</f>
        <v>402213995.6</v>
      </c>
      <c r="C26" s="29">
        <f t="shared" ref="C26:C37" si="1">IF(A26&lt;&gt;"",SUM(B$26:B26)/SUM(B$26:B$37), "")</f>
        <v>0.2359543452</v>
      </c>
      <c r="D26" s="30">
        <f t="shared" ref="D26:D37" si="2">IF($C26&lt;=80%, $B26, "")</f>
        <v>402213995.6</v>
      </c>
      <c r="E26" s="23" t="str">
        <f t="shared" ref="E26:E37" si="3">IF(AND($C26&lt;=95%, $C26&gt;80%), $B26, "")</f>
        <v/>
      </c>
      <c r="F26" s="23" t="str">
        <f t="shared" ref="F26:F37" si="4">IF(AND($C26&lt;=100%, $C26&gt;95%), $B26, "")</f>
        <v/>
      </c>
      <c r="G26" s="5"/>
      <c r="H26" s="5"/>
      <c r="I26" s="5"/>
      <c r="J26" s="5"/>
      <c r="K26" s="5"/>
      <c r="L26" s="5"/>
      <c r="M26" s="5"/>
      <c r="N26" s="21"/>
      <c r="O26" s="23" t="str">
        <f>IFERROR(__xludf.DUMMYFUNCTION("""COMPUTED_VALUE"""),"Baby Food")</f>
        <v>Baby Food</v>
      </c>
      <c r="P26" s="23">
        <f>IFERROR(__xludf.DUMMYFUNCTION("""COMPUTED_VALUE"""),26.339285714285715)</f>
        <v>26.33928571</v>
      </c>
      <c r="Q26" s="6">
        <f>IFERROR(__xludf.DUMMYFUNCTION("""COMPUTED_VALUE"""),0.0)</f>
        <v>0</v>
      </c>
      <c r="R26" s="6">
        <f>IFERROR(__xludf.DUMMYFUNCTION("""COMPUTED_VALUE"""),50.0)</f>
        <v>50</v>
      </c>
      <c r="S26" s="6">
        <f>IFERROR(__xludf.DUMMYFUNCTION("""COMPUTED_VALUE"""),112.0)</f>
        <v>112</v>
      </c>
      <c r="T26" s="7">
        <f>IFERROR(__xludf.DUMMYFUNCTION("""COMPUTED_VALUE"""),1.436475876800001E8)</f>
        <v>143647587.7</v>
      </c>
      <c r="U26" s="7"/>
      <c r="V26" s="7"/>
      <c r="W26" s="7"/>
      <c r="X26" s="7"/>
      <c r="Y26" s="7"/>
      <c r="Z26" s="7"/>
    </row>
    <row r="27">
      <c r="A27" s="23" t="str">
        <f>IFERROR(__xludf.DUMMYFUNCTION("""COMPUTED_VALUE"""),"Household")</f>
        <v>Household</v>
      </c>
      <c r="B27" s="23">
        <f>IFERROR(__xludf.DUMMYFUNCTION("""COMPUTED_VALUE"""),2.942051992299999E8)</f>
        <v>294205199.2</v>
      </c>
      <c r="C27" s="29">
        <f t="shared" si="1"/>
        <v>0.4085465371</v>
      </c>
      <c r="D27" s="30">
        <f t="shared" si="2"/>
        <v>294205199.2</v>
      </c>
      <c r="E27" s="23" t="str">
        <f t="shared" si="3"/>
        <v/>
      </c>
      <c r="F27" s="23" t="str">
        <f t="shared" si="4"/>
        <v/>
      </c>
      <c r="G27" s="5"/>
      <c r="H27" s="5"/>
      <c r="I27" s="5"/>
      <c r="J27" s="5"/>
      <c r="K27" s="5"/>
      <c r="L27" s="5"/>
      <c r="M27" s="5"/>
      <c r="N27" s="21"/>
      <c r="O27" s="23" t="str">
        <f>IFERROR(__xludf.DUMMYFUNCTION("""COMPUTED_VALUE"""),"Cosmetics")</f>
        <v>Cosmetics</v>
      </c>
      <c r="P27" s="23">
        <f>IFERROR(__xludf.DUMMYFUNCTION("""COMPUTED_VALUE"""),25.912280701754387)</f>
        <v>25.9122807</v>
      </c>
      <c r="Q27" s="6">
        <f>IFERROR(__xludf.DUMMYFUNCTION("""COMPUTED_VALUE"""),0.0)</f>
        <v>0</v>
      </c>
      <c r="R27" s="6">
        <f>IFERROR(__xludf.DUMMYFUNCTION("""COMPUTED_VALUE"""),50.0)</f>
        <v>50</v>
      </c>
      <c r="S27" s="6">
        <f>IFERROR(__xludf.DUMMYFUNCTION("""COMPUTED_VALUE"""),114.0)</f>
        <v>114</v>
      </c>
      <c r="T27" s="7">
        <f>IFERROR(__xludf.DUMMYFUNCTION("""COMPUTED_VALUE"""),2.3315482519999996E8)</f>
        <v>233154825.2</v>
      </c>
      <c r="U27" s="7"/>
      <c r="V27" s="7"/>
      <c r="W27" s="7"/>
      <c r="X27" s="7"/>
      <c r="Y27" s="7"/>
      <c r="Z27" s="7"/>
    </row>
    <row r="28">
      <c r="A28" s="23" t="str">
        <f>IFERROR(__xludf.DUMMYFUNCTION("""COMPUTED_VALUE"""),"Cosmetics")</f>
        <v>Cosmetics</v>
      </c>
      <c r="B28" s="23">
        <f>IFERROR(__xludf.DUMMYFUNCTION("""COMPUTED_VALUE"""),2.3315482519999996E8)</f>
        <v>233154825.2</v>
      </c>
      <c r="C28" s="29">
        <f t="shared" si="1"/>
        <v>0.5453242094</v>
      </c>
      <c r="D28" s="30">
        <f t="shared" si="2"/>
        <v>233154825.2</v>
      </c>
      <c r="E28" s="23" t="str">
        <f t="shared" si="3"/>
        <v/>
      </c>
      <c r="F28" s="23" t="str">
        <f t="shared" si="4"/>
        <v/>
      </c>
      <c r="G28" s="5"/>
      <c r="H28" s="5"/>
      <c r="I28" s="5"/>
      <c r="J28" s="5"/>
      <c r="K28" s="5"/>
      <c r="L28" s="5"/>
      <c r="M28" s="5"/>
      <c r="N28" s="21"/>
      <c r="O28" s="23" t="str">
        <f>IFERROR(__xludf.DUMMYFUNCTION("""COMPUTED_VALUE"""),"Meat")</f>
        <v>Meat</v>
      </c>
      <c r="P28" s="23">
        <f>IFERROR(__xludf.DUMMYFUNCTION("""COMPUTED_VALUE"""),25.846846846846848)</f>
        <v>25.84684685</v>
      </c>
      <c r="Q28" s="6">
        <f>IFERROR(__xludf.DUMMYFUNCTION("""COMPUTED_VALUE"""),0.0)</f>
        <v>0</v>
      </c>
      <c r="R28" s="6">
        <f>IFERROR(__xludf.DUMMYFUNCTION("""COMPUTED_VALUE"""),50.0)</f>
        <v>50</v>
      </c>
      <c r="S28" s="6">
        <f>IFERROR(__xludf.DUMMYFUNCTION("""COMPUTED_VALUE"""),111.0)</f>
        <v>111</v>
      </c>
      <c r="T28" s="7">
        <f>IFERROR(__xludf.DUMMYFUNCTION("""COMPUTED_VALUE"""),2.2585374881999996E8)</f>
        <v>225853748.8</v>
      </c>
      <c r="U28" s="7"/>
      <c r="V28" s="7"/>
      <c r="W28" s="7"/>
      <c r="X28" s="7"/>
      <c r="Y28" s="7"/>
      <c r="Z28" s="7"/>
    </row>
    <row r="29">
      <c r="A29" s="31" t="str">
        <f>IFERROR(__xludf.DUMMYFUNCTION("""COMPUTED_VALUE"""),"Meat")</f>
        <v>Meat</v>
      </c>
      <c r="B29" s="23">
        <f>IFERROR(__xludf.DUMMYFUNCTION("""COMPUTED_VALUE"""),2.2585374881999996E8)</f>
        <v>225853748.8</v>
      </c>
      <c r="C29" s="29">
        <f t="shared" si="1"/>
        <v>0.6778187869</v>
      </c>
      <c r="D29" s="30">
        <f t="shared" si="2"/>
        <v>225853748.8</v>
      </c>
      <c r="E29" s="23" t="str">
        <f t="shared" si="3"/>
        <v/>
      </c>
      <c r="F29" s="23" t="str">
        <f t="shared" si="4"/>
        <v/>
      </c>
      <c r="G29" s="5"/>
      <c r="H29" s="5"/>
      <c r="I29" s="5"/>
      <c r="J29" s="5"/>
      <c r="K29" s="5"/>
      <c r="L29" s="5"/>
      <c r="M29" s="5"/>
      <c r="N29" s="21"/>
      <c r="O29" s="23" t="str">
        <f>IFERROR(__xludf.DUMMYFUNCTION("""COMPUTED_VALUE"""),"Snacks")</f>
        <v>Snacks</v>
      </c>
      <c r="P29" s="23">
        <f>IFERROR(__xludf.DUMMYFUNCTION("""COMPUTED_VALUE"""),25.54368932038835)</f>
        <v>25.54368932</v>
      </c>
      <c r="Q29" s="6">
        <f>IFERROR(__xludf.DUMMYFUNCTION("""COMPUTED_VALUE"""),0.0)</f>
        <v>0</v>
      </c>
      <c r="R29" s="6">
        <f>IFERROR(__xludf.DUMMYFUNCTION("""COMPUTED_VALUE"""),49.0)</f>
        <v>49</v>
      </c>
      <c r="S29" s="6">
        <f>IFERROR(__xludf.DUMMYFUNCTION("""COMPUTED_VALUE"""),103.0)</f>
        <v>103</v>
      </c>
      <c r="T29" s="7">
        <f>IFERROR(__xludf.DUMMYFUNCTION("""COMPUTED_VALUE"""),7.478861280000001E7)</f>
        <v>74788612.8</v>
      </c>
      <c r="U29" s="7"/>
      <c r="V29" s="7"/>
      <c r="W29" s="7"/>
      <c r="X29" s="7"/>
      <c r="Y29" s="7"/>
      <c r="Z29" s="7"/>
    </row>
    <row r="30">
      <c r="A30" s="32" t="str">
        <f>IFERROR(__xludf.DUMMYFUNCTION("""COMPUTED_VALUE"""),"Baby Food")</f>
        <v>Baby Food</v>
      </c>
      <c r="B30" s="23">
        <f>IFERROR(__xludf.DUMMYFUNCTION("""COMPUTED_VALUE"""),1.436475876800001E8)</f>
        <v>143647587.7</v>
      </c>
      <c r="C30" s="29">
        <f t="shared" si="1"/>
        <v>0.7620880387</v>
      </c>
      <c r="D30" s="30">
        <f t="shared" si="2"/>
        <v>143647587.7</v>
      </c>
      <c r="E30" s="23" t="str">
        <f t="shared" si="3"/>
        <v/>
      </c>
      <c r="F30" s="23" t="str">
        <f t="shared" si="4"/>
        <v/>
      </c>
      <c r="G30" s="5"/>
      <c r="H30" s="5"/>
      <c r="I30" s="5"/>
      <c r="J30" s="5"/>
      <c r="K30" s="5"/>
      <c r="L30" s="5"/>
      <c r="M30" s="5"/>
      <c r="N30" s="21"/>
      <c r="O30" s="23" t="str">
        <f>IFERROR(__xludf.DUMMYFUNCTION("""COMPUTED_VALUE"""),"Fruits")</f>
        <v>Fruits</v>
      </c>
      <c r="P30" s="23">
        <f>IFERROR(__xludf.DUMMYFUNCTION("""COMPUTED_VALUE"""),24.419642857142858)</f>
        <v>24.41964286</v>
      </c>
      <c r="Q30" s="6">
        <f>IFERROR(__xludf.DUMMYFUNCTION("""COMPUTED_VALUE"""),1.0)</f>
        <v>1</v>
      </c>
      <c r="R30" s="6">
        <f>IFERROR(__xludf.DUMMYFUNCTION("""COMPUTED_VALUE"""),50.0)</f>
        <v>50</v>
      </c>
      <c r="S30" s="6">
        <f>IFERROR(__xludf.DUMMYFUNCTION("""COMPUTED_VALUE"""),112.0)</f>
        <v>112</v>
      </c>
      <c r="T30" s="7">
        <f>IFERROR(__xludf.DUMMYFUNCTION("""COMPUTED_VALUE"""),5520299.759999999)</f>
        <v>5520299.76</v>
      </c>
      <c r="U30" s="7"/>
      <c r="V30" s="7"/>
      <c r="W30" s="7"/>
      <c r="X30" s="7"/>
      <c r="Y30" s="7"/>
      <c r="Z30" s="7"/>
    </row>
    <row r="31">
      <c r="A31" s="23" t="str">
        <f>IFERROR(__xludf.DUMMYFUNCTION("""COMPUTED_VALUE"""),"Cereal")</f>
        <v>Cereal</v>
      </c>
      <c r="B31" s="23">
        <f>IFERROR(__xludf.DUMMYFUNCTION("""COMPUTED_VALUE"""),9.579140450000003E7)</f>
        <v>95791404.5</v>
      </c>
      <c r="C31" s="29">
        <f t="shared" si="1"/>
        <v>0.8182829956</v>
      </c>
      <c r="D31" s="30" t="str">
        <f t="shared" si="2"/>
        <v/>
      </c>
      <c r="E31" s="23">
        <f t="shared" si="3"/>
        <v>95791404.5</v>
      </c>
      <c r="F31" s="23" t="str">
        <f t="shared" si="4"/>
        <v/>
      </c>
      <c r="G31" s="5"/>
      <c r="H31" s="5"/>
      <c r="I31" s="5"/>
      <c r="J31" s="5"/>
      <c r="K31" s="5"/>
      <c r="L31" s="5"/>
      <c r="M31" s="5"/>
      <c r="N31" s="21"/>
      <c r="O31" s="23" t="str">
        <f>IFERROR(__xludf.DUMMYFUNCTION("""COMPUTED_VALUE"""),"Beverages")</f>
        <v>Beverages</v>
      </c>
      <c r="P31" s="23">
        <f>IFERROR(__xludf.DUMMYFUNCTION("""COMPUTED_VALUE"""),24.123966942148762)</f>
        <v>24.12396694</v>
      </c>
      <c r="Q31" s="6">
        <f>IFERROR(__xludf.DUMMYFUNCTION("""COMPUTED_VALUE"""),0.0)</f>
        <v>0</v>
      </c>
      <c r="R31" s="6">
        <f>IFERROR(__xludf.DUMMYFUNCTION("""COMPUTED_VALUE"""),50.0)</f>
        <v>50</v>
      </c>
      <c r="S31" s="6">
        <f>IFERROR(__xludf.DUMMYFUNCTION("""COMPUTED_VALUE"""),121.0)</f>
        <v>121</v>
      </c>
      <c r="T31" s="7">
        <f>IFERROR(__xludf.DUMMYFUNCTION("""COMPUTED_VALUE"""),2.9093160849999987E7)</f>
        <v>29093160.85</v>
      </c>
      <c r="U31" s="7"/>
      <c r="V31" s="7"/>
      <c r="W31" s="7"/>
      <c r="X31" s="7"/>
      <c r="Y31" s="7"/>
      <c r="Z31" s="7"/>
    </row>
    <row r="32">
      <c r="A32" s="23" t="str">
        <f>IFERROR(__xludf.DUMMYFUNCTION("""COMPUTED_VALUE"""),"Vegetables")</f>
        <v>Vegetables</v>
      </c>
      <c r="B32" s="23">
        <f>IFERROR(__xludf.DUMMYFUNCTION("""COMPUTED_VALUE"""),8.974672864E7)</f>
        <v>89746728.64</v>
      </c>
      <c r="C32" s="29">
        <f t="shared" si="1"/>
        <v>0.8709319109</v>
      </c>
      <c r="D32" s="30" t="str">
        <f t="shared" si="2"/>
        <v/>
      </c>
      <c r="E32" s="23">
        <f t="shared" si="3"/>
        <v>89746728.64</v>
      </c>
      <c r="F32" s="23" t="str">
        <f t="shared" si="4"/>
        <v/>
      </c>
      <c r="G32" s="5"/>
      <c r="H32" s="5"/>
      <c r="I32" s="5"/>
      <c r="J32" s="5"/>
      <c r="K32" s="5"/>
      <c r="L32" s="5"/>
      <c r="M32" s="5"/>
      <c r="N32" s="21"/>
      <c r="O32" s="23" t="str">
        <f>IFERROR(__xludf.DUMMYFUNCTION("""COMPUTED_VALUE"""),"Household")</f>
        <v>Household</v>
      </c>
      <c r="P32" s="23">
        <f>IFERROR(__xludf.DUMMYFUNCTION("""COMPUTED_VALUE"""),23.938144329896907)</f>
        <v>23.93814433</v>
      </c>
      <c r="Q32" s="6">
        <f>IFERROR(__xludf.DUMMYFUNCTION("""COMPUTED_VALUE"""),0.0)</f>
        <v>0</v>
      </c>
      <c r="R32" s="6">
        <f>IFERROR(__xludf.DUMMYFUNCTION("""COMPUTED_VALUE"""),50.0)</f>
        <v>50</v>
      </c>
      <c r="S32" s="6">
        <f>IFERROR(__xludf.DUMMYFUNCTION("""COMPUTED_VALUE"""),97.0)</f>
        <v>97</v>
      </c>
      <c r="T32" s="7">
        <f>IFERROR(__xludf.DUMMYFUNCTION("""COMPUTED_VALUE"""),2.942051992299999E8)</f>
        <v>294205199.2</v>
      </c>
      <c r="U32" s="7"/>
      <c r="V32" s="7"/>
      <c r="W32" s="7"/>
      <c r="X32" s="7"/>
      <c r="Y32" s="7"/>
      <c r="Z32" s="7"/>
    </row>
    <row r="33">
      <c r="A33" s="23" t="str">
        <f>IFERROR(__xludf.DUMMYFUNCTION("""COMPUTED_VALUE"""),"Snacks")</f>
        <v>Snacks</v>
      </c>
      <c r="B33" s="23">
        <f>IFERROR(__xludf.DUMMYFUNCTION("""COMPUTED_VALUE"""),7.478861280000001E7)</f>
        <v>74788612.8</v>
      </c>
      <c r="C33" s="29">
        <f t="shared" si="1"/>
        <v>0.9148058147</v>
      </c>
      <c r="D33" s="30" t="str">
        <f t="shared" si="2"/>
        <v/>
      </c>
      <c r="E33" s="23">
        <f t="shared" si="3"/>
        <v>74788612.8</v>
      </c>
      <c r="F33" s="23" t="str">
        <f t="shared" si="4"/>
        <v/>
      </c>
      <c r="G33" s="5"/>
      <c r="H33" s="5"/>
      <c r="I33" s="5"/>
      <c r="J33" s="5"/>
      <c r="K33" s="5"/>
      <c r="L33" s="5"/>
      <c r="M33" s="5"/>
      <c r="N33" s="21"/>
      <c r="O33" s="23" t="str">
        <f>IFERROR(__xludf.DUMMYFUNCTION("""COMPUTED_VALUE"""),"Vegetables")</f>
        <v>Vegetables</v>
      </c>
      <c r="P33" s="23">
        <f>IFERROR(__xludf.DUMMYFUNCTION("""COMPUTED_VALUE"""),23.49122807017544)</f>
        <v>23.49122807</v>
      </c>
      <c r="Q33" s="6">
        <f>IFERROR(__xludf.DUMMYFUNCTION("""COMPUTED_VALUE"""),0.0)</f>
        <v>0</v>
      </c>
      <c r="R33" s="6">
        <f>IFERROR(__xludf.DUMMYFUNCTION("""COMPUTED_VALUE"""),50.0)</f>
        <v>50</v>
      </c>
      <c r="S33" s="6">
        <f>IFERROR(__xludf.DUMMYFUNCTION("""COMPUTED_VALUE"""),114.0)</f>
        <v>114</v>
      </c>
      <c r="T33" s="7">
        <f>IFERROR(__xludf.DUMMYFUNCTION("""COMPUTED_VALUE"""),8.974672864E7)</f>
        <v>89746728.64</v>
      </c>
      <c r="U33" s="7"/>
      <c r="V33" s="7"/>
      <c r="W33" s="7"/>
      <c r="X33" s="7"/>
      <c r="Y33" s="7"/>
      <c r="Z33" s="7"/>
    </row>
    <row r="34">
      <c r="A34" s="23" t="str">
        <f>IFERROR(__xludf.DUMMYFUNCTION("""COMPUTED_VALUE"""),"Clothes")</f>
        <v>Clothes</v>
      </c>
      <c r="B34" s="23">
        <f>IFERROR(__xludf.DUMMYFUNCTION("""COMPUTED_VALUE"""),6.462655279999998E7)</f>
        <v>64626552.8</v>
      </c>
      <c r="C34" s="29">
        <f t="shared" si="1"/>
        <v>0.9527182596</v>
      </c>
      <c r="D34" s="30" t="str">
        <f t="shared" si="2"/>
        <v/>
      </c>
      <c r="E34" s="23" t="str">
        <f t="shared" si="3"/>
        <v/>
      </c>
      <c r="F34" s="23">
        <f t="shared" si="4"/>
        <v>64626552.8</v>
      </c>
      <c r="G34" s="5"/>
      <c r="H34" s="5"/>
      <c r="I34" s="5"/>
      <c r="J34" s="5"/>
      <c r="K34" s="5"/>
      <c r="L34" s="5"/>
      <c r="M34" s="5"/>
      <c r="N34" s="21"/>
      <c r="O34" s="23" t="str">
        <f>IFERROR(__xludf.DUMMYFUNCTION("""COMPUTED_VALUE"""),"Clothes")</f>
        <v>Clothes</v>
      </c>
      <c r="P34" s="23">
        <f>IFERROR(__xludf.DUMMYFUNCTION("""COMPUTED_VALUE"""),23.104761904761904)</f>
        <v>23.1047619</v>
      </c>
      <c r="Q34" s="6">
        <f>IFERROR(__xludf.DUMMYFUNCTION("""COMPUTED_VALUE"""),0.0)</f>
        <v>0</v>
      </c>
      <c r="R34" s="6">
        <f>IFERROR(__xludf.DUMMYFUNCTION("""COMPUTED_VALUE"""),50.0)</f>
        <v>50</v>
      </c>
      <c r="S34" s="6">
        <f>IFERROR(__xludf.DUMMYFUNCTION("""COMPUTED_VALUE"""),105.0)</f>
        <v>105</v>
      </c>
      <c r="T34" s="7">
        <f>IFERROR(__xludf.DUMMYFUNCTION("""COMPUTED_VALUE"""),6.462655279999998E7)</f>
        <v>64626552.8</v>
      </c>
      <c r="U34" s="7"/>
      <c r="V34" s="7"/>
      <c r="W34" s="7"/>
      <c r="X34" s="7"/>
      <c r="Y34" s="7"/>
      <c r="Z34" s="7"/>
    </row>
    <row r="35">
      <c r="A35" s="23" t="str">
        <f>IFERROR(__xludf.DUMMYFUNCTION("""COMPUTED_VALUE"""),"Personal Care")</f>
        <v>Personal Care</v>
      </c>
      <c r="B35" s="23">
        <f>IFERROR(__xludf.DUMMYFUNCTION("""COMPUTED_VALUE"""),4.598424028000001E7)</f>
        <v>45984240.28</v>
      </c>
      <c r="C35" s="29">
        <f t="shared" si="1"/>
        <v>0.9796944002</v>
      </c>
      <c r="D35" s="30" t="str">
        <f t="shared" si="2"/>
        <v/>
      </c>
      <c r="E35" s="23" t="str">
        <f t="shared" si="3"/>
        <v/>
      </c>
      <c r="F35" s="23">
        <f t="shared" si="4"/>
        <v>45984240.28</v>
      </c>
      <c r="G35" s="5"/>
      <c r="H35" s="5"/>
      <c r="I35" s="5"/>
      <c r="J35" s="5"/>
      <c r="K35" s="5"/>
      <c r="L35" s="5"/>
      <c r="M35" s="5"/>
      <c r="N35" s="21"/>
      <c r="O35" s="23" t="str">
        <f>IFERROR(__xludf.DUMMYFUNCTION("""COMPUTED_VALUE"""),"Personal Care")</f>
        <v>Personal Care</v>
      </c>
      <c r="P35" s="23">
        <f>IFERROR(__xludf.DUMMYFUNCTION("""COMPUTED_VALUE"""),20.721739130434784)</f>
        <v>20.72173913</v>
      </c>
      <c r="Q35" s="6">
        <f>IFERROR(__xludf.DUMMYFUNCTION("""COMPUTED_VALUE"""),0.0)</f>
        <v>0</v>
      </c>
      <c r="R35" s="6">
        <f>IFERROR(__xludf.DUMMYFUNCTION("""COMPUTED_VALUE"""),50.0)</f>
        <v>50</v>
      </c>
      <c r="S35" s="6">
        <f>IFERROR(__xludf.DUMMYFUNCTION("""COMPUTED_VALUE"""),115.0)</f>
        <v>115</v>
      </c>
      <c r="T35" s="7">
        <f>IFERROR(__xludf.DUMMYFUNCTION("""COMPUTED_VALUE"""),4.598424028000001E7)</f>
        <v>45984240.28</v>
      </c>
      <c r="U35" s="7"/>
      <c r="V35" s="7"/>
      <c r="W35" s="7"/>
      <c r="X35" s="7"/>
      <c r="Y35" s="7"/>
      <c r="Z35" s="7"/>
    </row>
    <row r="36">
      <c r="A36" s="23" t="str">
        <f>IFERROR(__xludf.DUMMYFUNCTION("""COMPUTED_VALUE"""),"Beverages")</f>
        <v>Beverages</v>
      </c>
      <c r="B36" s="23">
        <f>IFERROR(__xludf.DUMMYFUNCTION("""COMPUTED_VALUE"""),2.9093160849999987E7)</f>
        <v>29093160.85</v>
      </c>
      <c r="C36" s="29">
        <f t="shared" si="1"/>
        <v>0.9967615778</v>
      </c>
      <c r="D36" s="30" t="str">
        <f t="shared" si="2"/>
        <v/>
      </c>
      <c r="E36" s="23" t="str">
        <f t="shared" si="3"/>
        <v/>
      </c>
      <c r="F36" s="23">
        <f t="shared" si="4"/>
        <v>29093160.85</v>
      </c>
      <c r="G36" s="5"/>
      <c r="H36" s="5"/>
      <c r="I36" s="5"/>
      <c r="J36" s="5"/>
      <c r="K36" s="5"/>
      <c r="L36" s="5"/>
      <c r="M36" s="5"/>
      <c r="N36" s="5"/>
      <c r="O36" s="23"/>
      <c r="P36" s="23"/>
      <c r="Q36" s="6"/>
      <c r="R36" s="6"/>
      <c r="S36" s="6"/>
      <c r="T36" s="7"/>
      <c r="U36" s="7"/>
      <c r="V36" s="7"/>
      <c r="W36" s="7"/>
      <c r="X36" s="7"/>
      <c r="Y36" s="7"/>
      <c r="Z36" s="7"/>
    </row>
    <row r="37">
      <c r="A37" s="23" t="str">
        <f>IFERROR(__xludf.DUMMYFUNCTION("""COMPUTED_VALUE"""),"Fruits")</f>
        <v>Fruits</v>
      </c>
      <c r="B37" s="23">
        <f>IFERROR(__xludf.DUMMYFUNCTION("""COMPUTED_VALUE"""),5520299.759999999)</f>
        <v>5520299.76</v>
      </c>
      <c r="C37" s="33">
        <f t="shared" si="1"/>
        <v>1</v>
      </c>
      <c r="D37" s="30" t="str">
        <f t="shared" si="2"/>
        <v/>
      </c>
      <c r="E37" s="23" t="str">
        <f t="shared" si="3"/>
        <v/>
      </c>
      <c r="F37" s="23">
        <f t="shared" si="4"/>
        <v>5520299.76</v>
      </c>
      <c r="G37" s="5"/>
      <c r="H37" s="5"/>
      <c r="I37" s="5"/>
      <c r="J37" s="5"/>
      <c r="K37" s="5"/>
      <c r="L37" s="5"/>
      <c r="M37" s="5"/>
      <c r="N37" s="5"/>
      <c r="O37" s="23"/>
      <c r="P37" s="23"/>
      <c r="Q37" s="6"/>
      <c r="R37" s="6"/>
      <c r="S37" s="6"/>
      <c r="T37" s="7"/>
      <c r="U37" s="7"/>
      <c r="V37" s="7"/>
      <c r="W37" s="7"/>
      <c r="X37" s="7"/>
      <c r="Y37" s="7"/>
      <c r="Z37" s="7"/>
    </row>
    <row r="38">
      <c r="A38" s="5"/>
      <c r="B38" s="5"/>
      <c r="C38" s="9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23"/>
      <c r="P38" s="23"/>
      <c r="Q38" s="6"/>
      <c r="R38" s="6"/>
      <c r="S38" s="6"/>
      <c r="T38" s="7"/>
      <c r="U38" s="7"/>
      <c r="V38" s="7"/>
      <c r="W38" s="7"/>
      <c r="X38" s="7"/>
      <c r="Y38" s="7"/>
      <c r="Z38" s="7"/>
    </row>
    <row r="39">
      <c r="A39" s="5"/>
      <c r="B39" s="5"/>
      <c r="C39" s="9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23"/>
      <c r="P39" s="23"/>
      <c r="Q39" s="6"/>
      <c r="R39" s="6"/>
      <c r="S39" s="6"/>
      <c r="T39" s="7"/>
      <c r="U39" s="7"/>
      <c r="V39" s="7"/>
      <c r="W39" s="7"/>
      <c r="X39" s="7"/>
      <c r="Y39" s="7"/>
      <c r="Z39" s="7"/>
    </row>
    <row r="40">
      <c r="A40" s="5"/>
      <c r="B40" s="5"/>
      <c r="C40" s="9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23"/>
      <c r="P40" s="23"/>
      <c r="Q40" s="6"/>
      <c r="R40" s="6"/>
      <c r="S40" s="6"/>
      <c r="T40" s="7"/>
      <c r="U40" s="7"/>
      <c r="V40" s="7"/>
      <c r="W40" s="7"/>
      <c r="X40" s="7"/>
      <c r="Y40" s="7"/>
      <c r="Z40" s="7"/>
    </row>
    <row r="41">
      <c r="A41" s="5"/>
      <c r="B41" s="5"/>
      <c r="C41" s="9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23"/>
      <c r="P41" s="23"/>
      <c r="Q41" s="6"/>
      <c r="R41" s="6"/>
      <c r="S41" s="6"/>
      <c r="T41" s="7"/>
      <c r="U41" s="7"/>
      <c r="V41" s="7"/>
      <c r="W41" s="7"/>
      <c r="X41" s="7"/>
      <c r="Y41" s="7"/>
      <c r="Z41" s="7"/>
    </row>
    <row r="42">
      <c r="A42" s="5"/>
      <c r="B42" s="5"/>
      <c r="C42" s="9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23"/>
      <c r="P42" s="23"/>
      <c r="Q42" s="6"/>
      <c r="R42" s="6"/>
      <c r="S42" s="6"/>
      <c r="T42" s="7"/>
      <c r="U42" s="7"/>
      <c r="V42" s="7"/>
      <c r="W42" s="7"/>
      <c r="X42" s="7"/>
      <c r="Y42" s="7"/>
      <c r="Z42" s="7"/>
    </row>
    <row r="43">
      <c r="A43" s="5"/>
      <c r="B43" s="5"/>
      <c r="C43" s="9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23"/>
      <c r="P43" s="23"/>
      <c r="Q43" s="6"/>
      <c r="R43" s="6"/>
      <c r="S43" s="6"/>
      <c r="T43" s="7"/>
      <c r="U43" s="7"/>
      <c r="V43" s="7"/>
      <c r="W43" s="7"/>
      <c r="X43" s="7"/>
      <c r="Y43" s="7"/>
      <c r="Z43" s="7"/>
    </row>
    <row r="44">
      <c r="A44" s="5"/>
      <c r="B44" s="5"/>
      <c r="C44" s="9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23"/>
      <c r="P44" s="23"/>
      <c r="Q44" s="6"/>
      <c r="R44" s="6"/>
      <c r="S44" s="6"/>
      <c r="T44" s="7"/>
      <c r="U44" s="7"/>
      <c r="V44" s="7"/>
      <c r="W44" s="7"/>
      <c r="X44" s="7"/>
      <c r="Y44" s="7"/>
      <c r="Z44" s="7"/>
    </row>
    <row r="45">
      <c r="A45" s="5"/>
      <c r="B45" s="5"/>
      <c r="C45" s="9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23"/>
      <c r="P45" s="23"/>
      <c r="Q45" s="6"/>
      <c r="R45" s="6"/>
      <c r="S45" s="6"/>
      <c r="T45" s="7"/>
      <c r="U45" s="7"/>
      <c r="V45" s="7"/>
      <c r="W45" s="7"/>
      <c r="X45" s="7"/>
      <c r="Y45" s="7"/>
      <c r="Z45" s="7"/>
    </row>
    <row r="46">
      <c r="A46" s="5"/>
      <c r="B46" s="5"/>
      <c r="C46" s="9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23"/>
      <c r="P46" s="23"/>
      <c r="Q46" s="6"/>
      <c r="R46" s="6"/>
      <c r="S46" s="6"/>
      <c r="T46" s="7"/>
      <c r="U46" s="7"/>
      <c r="V46" s="7"/>
      <c r="W46" s="7"/>
      <c r="X46" s="7"/>
      <c r="Y46" s="7"/>
      <c r="Z46" s="7"/>
    </row>
    <row r="47">
      <c r="A47" s="5"/>
      <c r="B47" s="5"/>
      <c r="C47" s="9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23"/>
      <c r="P47" s="23"/>
      <c r="Q47" s="6"/>
      <c r="R47" s="6"/>
      <c r="S47" s="6"/>
      <c r="T47" s="7"/>
      <c r="U47" s="7"/>
      <c r="V47" s="7"/>
      <c r="W47" s="7"/>
      <c r="X47" s="7"/>
      <c r="Y47" s="7"/>
      <c r="Z47" s="7"/>
    </row>
    <row r="48">
      <c r="A48" s="5"/>
      <c r="B48" s="5"/>
      <c r="C48" s="9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23"/>
      <c r="P48" s="23"/>
      <c r="Q48" s="6"/>
      <c r="R48" s="6"/>
      <c r="S48" s="6"/>
      <c r="T48" s="7"/>
      <c r="U48" s="7"/>
      <c r="V48" s="7"/>
      <c r="W48" s="7"/>
      <c r="X48" s="7"/>
      <c r="Y48" s="7"/>
      <c r="Z48" s="7"/>
    </row>
    <row r="49">
      <c r="A49" s="5"/>
      <c r="B49" s="5"/>
      <c r="C49" s="9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23"/>
      <c r="P49" s="23"/>
      <c r="Q49" s="6"/>
      <c r="R49" s="6"/>
      <c r="S49" s="6"/>
      <c r="T49" s="7"/>
      <c r="U49" s="7"/>
      <c r="V49" s="7"/>
      <c r="W49" s="7"/>
      <c r="X49" s="7"/>
      <c r="Y49" s="7"/>
      <c r="Z49" s="7"/>
    </row>
    <row r="50">
      <c r="A50" s="5"/>
      <c r="B50" s="5"/>
      <c r="C50" s="9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23"/>
      <c r="P50" s="23"/>
      <c r="Q50" s="6"/>
      <c r="R50" s="6"/>
      <c r="S50" s="6"/>
      <c r="T50" s="7"/>
      <c r="U50" s="7"/>
      <c r="V50" s="7"/>
      <c r="W50" s="7"/>
      <c r="X50" s="7"/>
      <c r="Y50" s="7"/>
      <c r="Z50" s="7"/>
    </row>
    <row r="51">
      <c r="A51" s="5"/>
      <c r="B51" s="5"/>
      <c r="C51" s="9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23"/>
      <c r="P51" s="23"/>
      <c r="Q51" s="6"/>
      <c r="R51" s="6"/>
      <c r="S51" s="6"/>
      <c r="T51" s="7"/>
      <c r="U51" s="7"/>
      <c r="V51" s="7"/>
      <c r="W51" s="7"/>
      <c r="X51" s="7"/>
      <c r="Y51" s="7"/>
      <c r="Z51" s="7"/>
    </row>
    <row r="52">
      <c r="A52" s="5"/>
      <c r="B52" s="5"/>
      <c r="C52" s="9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23"/>
      <c r="P52" s="23"/>
      <c r="Q52" s="6"/>
      <c r="R52" s="6"/>
      <c r="S52" s="6"/>
      <c r="T52" s="7"/>
      <c r="U52" s="7"/>
      <c r="V52" s="7"/>
      <c r="W52" s="7"/>
      <c r="X52" s="7"/>
      <c r="Y52" s="7"/>
      <c r="Z52" s="7"/>
    </row>
    <row r="53">
      <c r="A53" s="5"/>
      <c r="B53" s="5"/>
      <c r="C53" s="9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23"/>
      <c r="P53" s="23"/>
      <c r="Q53" s="6"/>
      <c r="R53" s="6"/>
      <c r="S53" s="6"/>
      <c r="T53" s="7"/>
      <c r="U53" s="7"/>
      <c r="V53" s="7"/>
      <c r="W53" s="7"/>
      <c r="X53" s="7"/>
      <c r="Y53" s="7"/>
      <c r="Z53" s="7"/>
    </row>
    <row r="54">
      <c r="A54" s="5"/>
      <c r="B54" s="5"/>
      <c r="C54" s="9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23"/>
      <c r="P54" s="23"/>
      <c r="Q54" s="6"/>
      <c r="R54" s="6"/>
      <c r="S54" s="6"/>
      <c r="T54" s="7"/>
      <c r="U54" s="7"/>
      <c r="V54" s="7"/>
      <c r="W54" s="7"/>
      <c r="X54" s="7"/>
      <c r="Y54" s="7"/>
      <c r="Z54" s="7"/>
    </row>
    <row r="55">
      <c r="A55" s="5"/>
      <c r="B55" s="5"/>
      <c r="C55" s="9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23"/>
      <c r="P55" s="23"/>
      <c r="Q55" s="6"/>
      <c r="R55" s="6"/>
      <c r="S55" s="6"/>
      <c r="T55" s="7"/>
      <c r="U55" s="7"/>
      <c r="V55" s="7"/>
      <c r="W55" s="7"/>
      <c r="X55" s="7"/>
      <c r="Y55" s="7"/>
      <c r="Z55" s="7"/>
    </row>
    <row r="56">
      <c r="A56" s="5"/>
      <c r="B56" s="5"/>
      <c r="C56" s="9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23"/>
      <c r="P56" s="23"/>
      <c r="Q56" s="6"/>
      <c r="R56" s="6"/>
      <c r="S56" s="6"/>
      <c r="T56" s="7"/>
      <c r="U56" s="7"/>
      <c r="V56" s="7"/>
      <c r="W56" s="7"/>
      <c r="X56" s="7"/>
      <c r="Y56" s="7"/>
      <c r="Z56" s="7"/>
    </row>
    <row r="57">
      <c r="A57" s="5"/>
      <c r="B57" s="5"/>
      <c r="C57" s="9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23"/>
      <c r="P57" s="23"/>
      <c r="Q57" s="6"/>
      <c r="R57" s="6"/>
      <c r="S57" s="6"/>
      <c r="T57" s="7"/>
      <c r="U57" s="7"/>
      <c r="V57" s="7"/>
      <c r="W57" s="7"/>
      <c r="X57" s="7"/>
      <c r="Y57" s="7"/>
      <c r="Z57" s="7"/>
    </row>
    <row r="58">
      <c r="A58" s="5"/>
      <c r="B58" s="5"/>
      <c r="C58" s="9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23"/>
      <c r="P58" s="23"/>
      <c r="Q58" s="6"/>
      <c r="R58" s="6"/>
      <c r="S58" s="6"/>
      <c r="T58" s="7"/>
      <c r="U58" s="7"/>
      <c r="V58" s="7"/>
      <c r="W58" s="7"/>
      <c r="X58" s="7"/>
      <c r="Y58" s="7"/>
      <c r="Z58" s="7"/>
    </row>
    <row r="59">
      <c r="A59" s="5"/>
      <c r="B59" s="5"/>
      <c r="C59" s="9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23"/>
      <c r="P59" s="23"/>
      <c r="Q59" s="6"/>
      <c r="R59" s="6"/>
      <c r="S59" s="6"/>
      <c r="T59" s="7"/>
      <c r="U59" s="7"/>
      <c r="V59" s="7"/>
      <c r="W59" s="7"/>
      <c r="X59" s="7"/>
      <c r="Y59" s="7"/>
      <c r="Z59" s="7"/>
    </row>
    <row r="60">
      <c r="A60" s="5"/>
      <c r="B60" s="5"/>
      <c r="C60" s="9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23"/>
      <c r="P60" s="23"/>
      <c r="Q60" s="6"/>
      <c r="R60" s="6"/>
      <c r="S60" s="6"/>
      <c r="T60" s="7"/>
      <c r="U60" s="7"/>
      <c r="V60" s="7"/>
      <c r="W60" s="7"/>
      <c r="X60" s="7"/>
      <c r="Y60" s="7"/>
      <c r="Z60" s="7"/>
    </row>
    <row r="61">
      <c r="A61" s="5"/>
      <c r="B61" s="5"/>
      <c r="C61" s="9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23"/>
      <c r="P61" s="23"/>
      <c r="Q61" s="6"/>
      <c r="R61" s="6"/>
      <c r="S61" s="6"/>
      <c r="T61" s="7"/>
      <c r="U61" s="7"/>
      <c r="V61" s="7"/>
      <c r="W61" s="7"/>
      <c r="X61" s="7"/>
      <c r="Y61" s="7"/>
      <c r="Z61" s="7"/>
    </row>
    <row r="62">
      <c r="A62" s="5"/>
      <c r="B62" s="5"/>
      <c r="C62" s="9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23"/>
      <c r="P62" s="23"/>
      <c r="Q62" s="6"/>
      <c r="R62" s="6"/>
      <c r="S62" s="6"/>
      <c r="T62" s="7"/>
      <c r="U62" s="7"/>
      <c r="V62" s="7"/>
      <c r="W62" s="7"/>
      <c r="X62" s="7"/>
      <c r="Y62" s="7"/>
      <c r="Z62" s="7"/>
    </row>
    <row r="63">
      <c r="A63" s="5"/>
      <c r="B63" s="5"/>
      <c r="C63" s="9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23"/>
      <c r="P63" s="23"/>
      <c r="Q63" s="6"/>
      <c r="R63" s="6"/>
      <c r="S63" s="6"/>
      <c r="T63" s="7"/>
      <c r="U63" s="7"/>
      <c r="V63" s="7"/>
      <c r="W63" s="7"/>
      <c r="X63" s="7"/>
      <c r="Y63" s="7"/>
      <c r="Z63" s="7"/>
    </row>
    <row r="64">
      <c r="A64" s="5"/>
      <c r="B64" s="5"/>
      <c r="C64" s="9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23"/>
      <c r="P64" s="23"/>
      <c r="Q64" s="6"/>
      <c r="R64" s="6"/>
      <c r="S64" s="6"/>
      <c r="T64" s="7"/>
      <c r="U64" s="7"/>
      <c r="V64" s="7"/>
      <c r="W64" s="7"/>
      <c r="X64" s="7"/>
      <c r="Y64" s="7"/>
      <c r="Z64" s="7"/>
    </row>
    <row r="65">
      <c r="A65" s="5"/>
      <c r="B65" s="5"/>
      <c r="C65" s="9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23"/>
      <c r="P65" s="23"/>
      <c r="Q65" s="6"/>
      <c r="R65" s="6"/>
      <c r="S65" s="6"/>
      <c r="T65" s="7"/>
      <c r="U65" s="7"/>
      <c r="V65" s="7"/>
      <c r="W65" s="7"/>
      <c r="X65" s="7"/>
      <c r="Y65" s="7"/>
      <c r="Z65" s="7"/>
    </row>
    <row r="66">
      <c r="A66" s="5"/>
      <c r="B66" s="5"/>
      <c r="C66" s="9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23"/>
      <c r="P66" s="23"/>
      <c r="Q66" s="6"/>
      <c r="R66" s="6"/>
      <c r="S66" s="6"/>
      <c r="T66" s="7"/>
      <c r="U66" s="7"/>
      <c r="V66" s="7"/>
      <c r="W66" s="7"/>
      <c r="X66" s="7"/>
      <c r="Y66" s="7"/>
      <c r="Z66" s="7"/>
    </row>
    <row r="67">
      <c r="A67" s="5"/>
      <c r="B67" s="5"/>
      <c r="C67" s="9"/>
      <c r="D67" s="5"/>
      <c r="E67" s="5"/>
      <c r="F67" s="5"/>
      <c r="G67" s="5"/>
      <c r="H67" s="5"/>
      <c r="I67" s="5"/>
      <c r="J67" s="5"/>
      <c r="K67" s="5"/>
      <c r="L67" s="5"/>
      <c r="M67" s="5"/>
      <c r="N67" s="23"/>
      <c r="O67" s="23"/>
      <c r="P67" s="23"/>
      <c r="Q67" s="6"/>
      <c r="R67" s="6"/>
      <c r="S67" s="6"/>
      <c r="T67" s="7"/>
      <c r="U67" s="7"/>
      <c r="V67" s="7"/>
      <c r="W67" s="7"/>
      <c r="X67" s="7"/>
      <c r="Y67" s="7"/>
      <c r="Z67" s="7"/>
    </row>
    <row r="68">
      <c r="A68" s="5"/>
      <c r="B68" s="5"/>
      <c r="C68" s="9"/>
      <c r="D68" s="5"/>
      <c r="E68" s="5"/>
      <c r="F68" s="5"/>
      <c r="G68" s="5"/>
      <c r="H68" s="5"/>
      <c r="I68" s="5"/>
      <c r="J68" s="5"/>
      <c r="K68" s="5"/>
      <c r="L68" s="5"/>
      <c r="M68" s="5"/>
      <c r="N68" s="23"/>
      <c r="O68" s="23"/>
      <c r="P68" s="23"/>
      <c r="Q68" s="6"/>
      <c r="R68" s="6"/>
      <c r="S68" s="6"/>
      <c r="T68" s="7"/>
      <c r="U68" s="7"/>
      <c r="V68" s="7"/>
      <c r="W68" s="7"/>
      <c r="X68" s="7"/>
      <c r="Y68" s="7"/>
      <c r="Z68" s="7"/>
    </row>
    <row r="69">
      <c r="A69" s="34"/>
      <c r="B69" s="34"/>
      <c r="C69" s="35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6"/>
      <c r="R69" s="6"/>
      <c r="S69" s="6"/>
      <c r="T69" s="7"/>
      <c r="U69" s="7"/>
      <c r="V69" s="7"/>
      <c r="W69" s="7"/>
      <c r="X69" s="7"/>
      <c r="Y69" s="7"/>
      <c r="Z69" s="7"/>
    </row>
    <row r="70">
      <c r="A70" s="34"/>
      <c r="B70" s="34"/>
      <c r="C70" s="35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6"/>
      <c r="R70" s="6"/>
      <c r="S70" s="6"/>
      <c r="T70" s="7"/>
      <c r="U70" s="7"/>
      <c r="V70" s="7"/>
      <c r="W70" s="7"/>
      <c r="X70" s="7"/>
      <c r="Y70" s="7"/>
      <c r="Z70" s="7"/>
    </row>
    <row r="71">
      <c r="A71" s="34"/>
      <c r="B71" s="34"/>
      <c r="C71" s="35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</row>
    <row r="72">
      <c r="A72" s="34"/>
      <c r="B72" s="34"/>
      <c r="C72" s="35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</row>
    <row r="73">
      <c r="A73" s="34"/>
      <c r="B73" s="34"/>
      <c r="C73" s="35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</row>
    <row r="74">
      <c r="A74" s="34"/>
      <c r="B74" s="34"/>
      <c r="C74" s="35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</row>
    <row r="75">
      <c r="A75" s="34"/>
      <c r="B75" s="34"/>
      <c r="C75" s="35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</row>
    <row r="76">
      <c r="A76" s="34"/>
      <c r="B76" s="34"/>
      <c r="C76" s="35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</row>
    <row r="77">
      <c r="A77" s="34"/>
      <c r="B77" s="34"/>
      <c r="C77" s="35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</row>
    <row r="78">
      <c r="A78" s="34"/>
      <c r="B78" s="34"/>
      <c r="C78" s="35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</row>
    <row r="79">
      <c r="A79" s="34"/>
      <c r="B79" s="34"/>
      <c r="C79" s="35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</row>
    <row r="80">
      <c r="A80" s="34"/>
      <c r="B80" s="34"/>
      <c r="C80" s="35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</row>
    <row r="81">
      <c r="A81" s="34"/>
      <c r="B81" s="34"/>
      <c r="C81" s="35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</row>
    <row r="82">
      <c r="A82" s="34"/>
      <c r="B82" s="34"/>
      <c r="C82" s="35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>
      <c r="A83" s="34"/>
      <c r="B83" s="34"/>
      <c r="C83" s="35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</row>
    <row r="84">
      <c r="A84" s="34"/>
      <c r="B84" s="34"/>
      <c r="C84" s="35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</row>
    <row r="85">
      <c r="A85" s="34"/>
      <c r="B85" s="34"/>
      <c r="C85" s="35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</row>
    <row r="86">
      <c r="A86" s="34"/>
      <c r="B86" s="34"/>
      <c r="C86" s="35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</row>
    <row r="87">
      <c r="A87" s="34"/>
      <c r="B87" s="34"/>
      <c r="C87" s="35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</row>
    <row r="88">
      <c r="A88" s="34"/>
      <c r="B88" s="34"/>
      <c r="C88" s="35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</row>
    <row r="89">
      <c r="A89" s="34"/>
      <c r="B89" s="34"/>
      <c r="C89" s="35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</row>
    <row r="90">
      <c r="A90" s="34"/>
      <c r="B90" s="34"/>
      <c r="C90" s="35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</row>
    <row r="91">
      <c r="A91" s="34"/>
      <c r="B91" s="34"/>
      <c r="C91" s="35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</row>
    <row r="92">
      <c r="A92" s="34"/>
      <c r="B92" s="34"/>
      <c r="C92" s="35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</row>
    <row r="93">
      <c r="A93" s="34"/>
      <c r="B93" s="34"/>
      <c r="C93" s="35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</row>
    <row r="94">
      <c r="A94" s="34"/>
      <c r="B94" s="34"/>
      <c r="C94" s="35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</row>
    <row r="95">
      <c r="A95" s="34"/>
      <c r="B95" s="34"/>
      <c r="C95" s="35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</row>
    <row r="96">
      <c r="A96" s="34"/>
      <c r="B96" s="34"/>
      <c r="C96" s="35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</row>
    <row r="97">
      <c r="A97" s="34"/>
      <c r="B97" s="34"/>
      <c r="C97" s="35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</row>
    <row r="98">
      <c r="A98" s="34"/>
      <c r="B98" s="34"/>
      <c r="C98" s="35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</row>
    <row r="99">
      <c r="A99" s="34"/>
      <c r="B99" s="34"/>
      <c r="C99" s="35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</row>
    <row r="100">
      <c r="A100" s="34"/>
      <c r="B100" s="34"/>
      <c r="C100" s="35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</row>
    <row r="101">
      <c r="A101" s="34"/>
      <c r="B101" s="34"/>
      <c r="C101" s="35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</row>
    <row r="102">
      <c r="A102" s="34"/>
      <c r="B102" s="34"/>
      <c r="C102" s="35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</row>
    <row r="103">
      <c r="A103" s="34"/>
      <c r="B103" s="34"/>
      <c r="C103" s="35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</row>
    <row r="104">
      <c r="A104" s="34"/>
      <c r="B104" s="34"/>
      <c r="C104" s="35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</row>
    <row r="105">
      <c r="A105" s="34"/>
      <c r="B105" s="34"/>
      <c r="C105" s="35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</row>
    <row r="106">
      <c r="A106" s="34"/>
      <c r="B106" s="34"/>
      <c r="C106" s="35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</row>
    <row r="107">
      <c r="A107" s="34"/>
      <c r="B107" s="34"/>
      <c r="C107" s="35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</row>
    <row r="108">
      <c r="A108" s="34"/>
      <c r="B108" s="34"/>
      <c r="C108" s="35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</row>
    <row r="109">
      <c r="A109" s="34"/>
      <c r="B109" s="34"/>
      <c r="C109" s="35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</row>
    <row r="110">
      <c r="A110" s="34"/>
      <c r="B110" s="34"/>
      <c r="C110" s="35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</row>
    <row r="111">
      <c r="A111" s="34"/>
      <c r="B111" s="34"/>
      <c r="C111" s="35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</row>
    <row r="112">
      <c r="A112" s="34"/>
      <c r="B112" s="34"/>
      <c r="C112" s="35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</row>
    <row r="113">
      <c r="A113" s="34"/>
      <c r="B113" s="34"/>
      <c r="C113" s="35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</row>
    <row r="114">
      <c r="A114" s="34"/>
      <c r="B114" s="34"/>
      <c r="C114" s="35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</row>
    <row r="115">
      <c r="A115" s="34"/>
      <c r="B115" s="34"/>
      <c r="C115" s="35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</row>
    <row r="116">
      <c r="A116" s="34"/>
      <c r="B116" s="34"/>
      <c r="C116" s="35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</row>
    <row r="117">
      <c r="A117" s="34"/>
      <c r="B117" s="34"/>
      <c r="C117" s="35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</row>
    <row r="118">
      <c r="A118" s="34"/>
      <c r="B118" s="34"/>
      <c r="C118" s="35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</row>
    <row r="119">
      <c r="A119" s="34"/>
      <c r="B119" s="34"/>
      <c r="C119" s="35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</row>
    <row r="120">
      <c r="A120" s="34"/>
      <c r="B120" s="34"/>
      <c r="C120" s="35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</row>
    <row r="121">
      <c r="A121" s="34"/>
      <c r="B121" s="34"/>
      <c r="C121" s="35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</row>
    <row r="122">
      <c r="A122" s="34"/>
      <c r="B122" s="34"/>
      <c r="C122" s="35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</row>
    <row r="123">
      <c r="A123" s="34"/>
      <c r="B123" s="34"/>
      <c r="C123" s="35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</row>
    <row r="124">
      <c r="A124" s="34"/>
      <c r="B124" s="34"/>
      <c r="C124" s="35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</row>
    <row r="125">
      <c r="A125" s="34"/>
      <c r="B125" s="34"/>
      <c r="C125" s="35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</row>
    <row r="126">
      <c r="A126" s="34"/>
      <c r="B126" s="34"/>
      <c r="C126" s="35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</row>
    <row r="127">
      <c r="A127" s="34"/>
      <c r="B127" s="34"/>
      <c r="C127" s="35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</row>
    <row r="128">
      <c r="A128" s="34"/>
      <c r="B128" s="34"/>
      <c r="C128" s="35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</row>
    <row r="129">
      <c r="A129" s="34"/>
      <c r="B129" s="34"/>
      <c r="C129" s="35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</row>
    <row r="130">
      <c r="A130" s="34"/>
      <c r="B130" s="34"/>
      <c r="C130" s="35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</row>
    <row r="131">
      <c r="A131" s="34"/>
      <c r="B131" s="34"/>
      <c r="C131" s="35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</row>
    <row r="132">
      <c r="A132" s="34"/>
      <c r="B132" s="34"/>
      <c r="C132" s="35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</row>
    <row r="133">
      <c r="A133" s="34"/>
      <c r="B133" s="34"/>
      <c r="C133" s="35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</row>
    <row r="134">
      <c r="A134" s="34"/>
      <c r="B134" s="34"/>
      <c r="C134" s="35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</row>
    <row r="135">
      <c r="A135" s="34"/>
      <c r="B135" s="34"/>
      <c r="C135" s="35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</row>
    <row r="136">
      <c r="A136" s="34"/>
      <c r="B136" s="34"/>
      <c r="C136" s="35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</row>
    <row r="137">
      <c r="A137" s="34"/>
      <c r="B137" s="34"/>
      <c r="C137" s="35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</row>
    <row r="138">
      <c r="A138" s="34"/>
      <c r="B138" s="34"/>
      <c r="C138" s="35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</row>
    <row r="139">
      <c r="A139" s="34"/>
      <c r="B139" s="34"/>
      <c r="C139" s="35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</row>
    <row r="140">
      <c r="A140" s="34"/>
      <c r="B140" s="34"/>
      <c r="C140" s="35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</row>
    <row r="141">
      <c r="A141" s="34"/>
      <c r="B141" s="34"/>
      <c r="C141" s="35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</row>
    <row r="142">
      <c r="A142" s="34"/>
      <c r="B142" s="34"/>
      <c r="C142" s="35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</row>
    <row r="143">
      <c r="A143" s="34"/>
      <c r="B143" s="34"/>
      <c r="C143" s="35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</row>
    <row r="144">
      <c r="A144" s="34"/>
      <c r="B144" s="34"/>
      <c r="C144" s="35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</row>
    <row r="145">
      <c r="A145" s="34"/>
      <c r="B145" s="34"/>
      <c r="C145" s="35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</row>
    <row r="146">
      <c r="A146" s="34"/>
      <c r="B146" s="34"/>
      <c r="C146" s="35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</row>
    <row r="147">
      <c r="A147" s="34"/>
      <c r="B147" s="34"/>
      <c r="C147" s="35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</row>
    <row r="148">
      <c r="A148" s="34"/>
      <c r="B148" s="34"/>
      <c r="C148" s="35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</row>
    <row r="149">
      <c r="A149" s="34"/>
      <c r="B149" s="34"/>
      <c r="C149" s="35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</row>
    <row r="150">
      <c r="A150" s="34"/>
      <c r="B150" s="34"/>
      <c r="C150" s="35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</row>
    <row r="151">
      <c r="A151" s="34"/>
      <c r="B151" s="34"/>
      <c r="C151" s="35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</row>
    <row r="152">
      <c r="A152" s="34"/>
      <c r="B152" s="34"/>
      <c r="C152" s="35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</row>
    <row r="153">
      <c r="A153" s="34"/>
      <c r="B153" s="34"/>
      <c r="C153" s="35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</row>
    <row r="154">
      <c r="A154" s="34"/>
      <c r="B154" s="34"/>
      <c r="C154" s="35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</row>
    <row r="155">
      <c r="A155" s="34"/>
      <c r="B155" s="34"/>
      <c r="C155" s="35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</row>
    <row r="156">
      <c r="A156" s="34"/>
      <c r="B156" s="34"/>
      <c r="C156" s="35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</row>
    <row r="157">
      <c r="A157" s="34"/>
      <c r="B157" s="34"/>
      <c r="C157" s="35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</row>
    <row r="158">
      <c r="A158" s="34"/>
      <c r="B158" s="34"/>
      <c r="C158" s="35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</row>
    <row r="159">
      <c r="A159" s="34"/>
      <c r="B159" s="34"/>
      <c r="C159" s="35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</row>
    <row r="160">
      <c r="A160" s="34"/>
      <c r="B160" s="34"/>
      <c r="C160" s="35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</row>
    <row r="161">
      <c r="A161" s="34"/>
      <c r="B161" s="34"/>
      <c r="C161" s="35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</row>
    <row r="162">
      <c r="A162" s="34"/>
      <c r="B162" s="34"/>
      <c r="C162" s="35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</row>
    <row r="163">
      <c r="A163" s="34"/>
      <c r="B163" s="34"/>
      <c r="C163" s="35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</row>
    <row r="164">
      <c r="A164" s="34"/>
      <c r="B164" s="34"/>
      <c r="C164" s="35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</row>
    <row r="165">
      <c r="A165" s="34"/>
      <c r="B165" s="34"/>
      <c r="C165" s="35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</row>
    <row r="166">
      <c r="A166" s="34"/>
      <c r="B166" s="34"/>
      <c r="C166" s="35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</row>
    <row r="167">
      <c r="A167" s="34"/>
      <c r="B167" s="34"/>
      <c r="C167" s="35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</row>
    <row r="168">
      <c r="A168" s="34"/>
      <c r="B168" s="34"/>
      <c r="C168" s="35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</row>
    <row r="169">
      <c r="A169" s="34"/>
      <c r="B169" s="34"/>
      <c r="C169" s="35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</row>
    <row r="170">
      <c r="A170" s="34"/>
      <c r="B170" s="34"/>
      <c r="C170" s="35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</row>
    <row r="171">
      <c r="A171" s="34"/>
      <c r="B171" s="34"/>
      <c r="C171" s="35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</row>
    <row r="172">
      <c r="A172" s="34"/>
      <c r="B172" s="34"/>
      <c r="C172" s="35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</row>
    <row r="173">
      <c r="A173" s="34"/>
      <c r="B173" s="34"/>
      <c r="C173" s="35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</row>
    <row r="174">
      <c r="A174" s="34"/>
      <c r="B174" s="34"/>
      <c r="C174" s="35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</row>
    <row r="175">
      <c r="A175" s="34"/>
      <c r="B175" s="34"/>
      <c r="C175" s="35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</row>
    <row r="176">
      <c r="A176" s="34"/>
      <c r="B176" s="34"/>
      <c r="C176" s="35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</row>
    <row r="177">
      <c r="A177" s="34"/>
      <c r="B177" s="34"/>
      <c r="C177" s="35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</row>
    <row r="178">
      <c r="A178" s="34"/>
      <c r="B178" s="34"/>
      <c r="C178" s="35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</row>
    <row r="179">
      <c r="A179" s="34"/>
      <c r="B179" s="34"/>
      <c r="C179" s="35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</row>
    <row r="180">
      <c r="A180" s="34"/>
      <c r="B180" s="34"/>
      <c r="C180" s="35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</row>
    <row r="181">
      <c r="A181" s="34"/>
      <c r="B181" s="34"/>
      <c r="C181" s="35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</row>
    <row r="182">
      <c r="A182" s="34"/>
      <c r="B182" s="34"/>
      <c r="C182" s="35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</row>
    <row r="183">
      <c r="A183" s="34"/>
      <c r="B183" s="34"/>
      <c r="C183" s="35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</row>
    <row r="184">
      <c r="A184" s="34"/>
      <c r="B184" s="34"/>
      <c r="C184" s="35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</row>
    <row r="185">
      <c r="A185" s="34"/>
      <c r="B185" s="34"/>
      <c r="C185" s="35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</row>
    <row r="186">
      <c r="A186" s="34"/>
      <c r="B186" s="34"/>
      <c r="C186" s="35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</row>
    <row r="187">
      <c r="A187" s="34"/>
      <c r="B187" s="34"/>
      <c r="C187" s="35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</row>
    <row r="188">
      <c r="A188" s="34"/>
      <c r="B188" s="34"/>
      <c r="C188" s="35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</row>
    <row r="189">
      <c r="A189" s="34"/>
      <c r="B189" s="34"/>
      <c r="C189" s="35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</row>
    <row r="190">
      <c r="A190" s="34"/>
      <c r="B190" s="34"/>
      <c r="C190" s="35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>
      <c r="A191" s="34"/>
      <c r="B191" s="34"/>
      <c r="C191" s="35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</row>
    <row r="192">
      <c r="A192" s="34"/>
      <c r="B192" s="34"/>
      <c r="C192" s="35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</row>
    <row r="193">
      <c r="A193" s="34"/>
      <c r="B193" s="34"/>
      <c r="C193" s="35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</row>
    <row r="194">
      <c r="A194" s="34"/>
      <c r="B194" s="34"/>
      <c r="C194" s="35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</row>
    <row r="195">
      <c r="A195" s="34"/>
      <c r="B195" s="34"/>
      <c r="C195" s="35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</row>
    <row r="196">
      <c r="A196" s="34"/>
      <c r="B196" s="34"/>
      <c r="C196" s="35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</row>
    <row r="197">
      <c r="A197" s="34"/>
      <c r="B197" s="34"/>
      <c r="C197" s="35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</row>
    <row r="198">
      <c r="A198" s="34"/>
      <c r="B198" s="34"/>
      <c r="C198" s="35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</row>
    <row r="199">
      <c r="A199" s="34"/>
      <c r="B199" s="34"/>
      <c r="C199" s="35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</row>
    <row r="200">
      <c r="A200" s="34"/>
      <c r="B200" s="34"/>
      <c r="C200" s="35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</row>
    <row r="201">
      <c r="A201" s="34"/>
      <c r="B201" s="34"/>
      <c r="C201" s="35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</row>
    <row r="202">
      <c r="A202" s="34"/>
      <c r="B202" s="34"/>
      <c r="C202" s="35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</row>
    <row r="203">
      <c r="A203" s="34"/>
      <c r="B203" s="34"/>
      <c r="C203" s="35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</row>
    <row r="204">
      <c r="A204" s="34"/>
      <c r="B204" s="34"/>
      <c r="C204" s="35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</row>
    <row r="205">
      <c r="A205" s="34"/>
      <c r="B205" s="34"/>
      <c r="C205" s="35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</row>
    <row r="206">
      <c r="A206" s="34"/>
      <c r="B206" s="34"/>
      <c r="C206" s="35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</row>
    <row r="207">
      <c r="A207" s="34"/>
      <c r="B207" s="34"/>
      <c r="C207" s="35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</row>
    <row r="208">
      <c r="A208" s="34"/>
      <c r="B208" s="34"/>
      <c r="C208" s="35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</row>
    <row r="209">
      <c r="A209" s="34"/>
      <c r="B209" s="34"/>
      <c r="C209" s="35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</row>
    <row r="210">
      <c r="A210" s="34"/>
      <c r="B210" s="34"/>
      <c r="C210" s="35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</row>
    <row r="211">
      <c r="A211" s="34"/>
      <c r="B211" s="34"/>
      <c r="C211" s="35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</row>
    <row r="212">
      <c r="A212" s="34"/>
      <c r="B212" s="34"/>
      <c r="C212" s="35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</row>
    <row r="213">
      <c r="A213" s="34"/>
      <c r="B213" s="34"/>
      <c r="C213" s="35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</row>
    <row r="214">
      <c r="A214" s="34"/>
      <c r="B214" s="34"/>
      <c r="C214" s="35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</row>
    <row r="215">
      <c r="A215" s="34"/>
      <c r="B215" s="34"/>
      <c r="C215" s="35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</row>
    <row r="216">
      <c r="A216" s="34"/>
      <c r="B216" s="34"/>
      <c r="C216" s="35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</row>
    <row r="217">
      <c r="A217" s="34"/>
      <c r="B217" s="34"/>
      <c r="C217" s="35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</row>
    <row r="218">
      <c r="A218" s="34"/>
      <c r="B218" s="34"/>
      <c r="C218" s="35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</row>
    <row r="219">
      <c r="A219" s="34"/>
      <c r="B219" s="34"/>
      <c r="C219" s="35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</row>
    <row r="220">
      <c r="A220" s="34"/>
      <c r="B220" s="34"/>
      <c r="C220" s="35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</row>
    <row r="221">
      <c r="A221" s="34"/>
      <c r="B221" s="34"/>
      <c r="C221" s="35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</row>
    <row r="222">
      <c r="A222" s="34"/>
      <c r="B222" s="34"/>
      <c r="C222" s="35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</row>
    <row r="223">
      <c r="A223" s="34"/>
      <c r="B223" s="34"/>
      <c r="C223" s="35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</row>
    <row r="224">
      <c r="A224" s="34"/>
      <c r="B224" s="34"/>
      <c r="C224" s="35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</row>
    <row r="225">
      <c r="A225" s="34"/>
      <c r="B225" s="34"/>
      <c r="C225" s="35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</row>
    <row r="226">
      <c r="A226" s="34"/>
      <c r="B226" s="34"/>
      <c r="C226" s="35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>
      <c r="A227" s="34"/>
      <c r="B227" s="34"/>
      <c r="C227" s="35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</row>
    <row r="228">
      <c r="A228" s="34"/>
      <c r="B228" s="34"/>
      <c r="C228" s="35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</row>
    <row r="229">
      <c r="A229" s="34"/>
      <c r="B229" s="34"/>
      <c r="C229" s="35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</row>
    <row r="230">
      <c r="A230" s="34"/>
      <c r="B230" s="34"/>
      <c r="C230" s="35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</row>
    <row r="231">
      <c r="A231" s="34"/>
      <c r="B231" s="34"/>
      <c r="C231" s="35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</row>
    <row r="232">
      <c r="A232" s="34"/>
      <c r="B232" s="34"/>
      <c r="C232" s="35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</row>
    <row r="233">
      <c r="A233" s="34"/>
      <c r="B233" s="34"/>
      <c r="C233" s="35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</row>
    <row r="234">
      <c r="A234" s="34"/>
      <c r="B234" s="34"/>
      <c r="C234" s="35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</row>
    <row r="235">
      <c r="A235" s="34"/>
      <c r="B235" s="34"/>
      <c r="C235" s="35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</row>
    <row r="236">
      <c r="A236" s="34"/>
      <c r="B236" s="34"/>
      <c r="C236" s="35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</row>
    <row r="237">
      <c r="A237" s="34"/>
      <c r="B237" s="34"/>
      <c r="C237" s="35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</row>
    <row r="238">
      <c r="A238" s="34"/>
      <c r="B238" s="34"/>
      <c r="C238" s="35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</row>
    <row r="239">
      <c r="A239" s="34"/>
      <c r="B239" s="34"/>
      <c r="C239" s="35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</row>
    <row r="240">
      <c r="A240" s="34"/>
      <c r="B240" s="34"/>
      <c r="C240" s="35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</row>
    <row r="241">
      <c r="A241" s="34"/>
      <c r="B241" s="34"/>
      <c r="C241" s="35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</row>
    <row r="242">
      <c r="A242" s="34"/>
      <c r="B242" s="34"/>
      <c r="C242" s="35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</row>
    <row r="243">
      <c r="A243" s="34"/>
      <c r="B243" s="34"/>
      <c r="C243" s="35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</row>
    <row r="244">
      <c r="A244" s="34"/>
      <c r="B244" s="34"/>
      <c r="C244" s="35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</row>
    <row r="245">
      <c r="A245" s="34"/>
      <c r="B245" s="34"/>
      <c r="C245" s="35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</row>
    <row r="246">
      <c r="A246" s="34"/>
      <c r="B246" s="34"/>
      <c r="C246" s="35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</row>
    <row r="247">
      <c r="A247" s="34"/>
      <c r="B247" s="34"/>
      <c r="C247" s="35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</row>
    <row r="248">
      <c r="A248" s="34"/>
      <c r="B248" s="34"/>
      <c r="C248" s="35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</row>
    <row r="249">
      <c r="A249" s="34"/>
      <c r="B249" s="34"/>
      <c r="C249" s="35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</row>
    <row r="250">
      <c r="A250" s="34"/>
      <c r="B250" s="34"/>
      <c r="C250" s="35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</row>
    <row r="251">
      <c r="A251" s="34"/>
      <c r="B251" s="34"/>
      <c r="C251" s="35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</row>
    <row r="252">
      <c r="A252" s="34"/>
      <c r="B252" s="34"/>
      <c r="C252" s="35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</row>
    <row r="253">
      <c r="A253" s="34"/>
      <c r="B253" s="34"/>
      <c r="C253" s="35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</row>
    <row r="254">
      <c r="A254" s="34"/>
      <c r="B254" s="34"/>
      <c r="C254" s="35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</row>
    <row r="255">
      <c r="A255" s="34"/>
      <c r="B255" s="34"/>
      <c r="C255" s="35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</row>
    <row r="256">
      <c r="A256" s="34"/>
      <c r="B256" s="34"/>
      <c r="C256" s="35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</row>
    <row r="257">
      <c r="A257" s="34"/>
      <c r="B257" s="34"/>
      <c r="C257" s="35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</row>
    <row r="258">
      <c r="A258" s="34"/>
      <c r="B258" s="34"/>
      <c r="C258" s="35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</row>
    <row r="259">
      <c r="A259" s="34"/>
      <c r="B259" s="34"/>
      <c r="C259" s="35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</row>
    <row r="260">
      <c r="A260" s="34"/>
      <c r="B260" s="34"/>
      <c r="C260" s="35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</row>
    <row r="261">
      <c r="A261" s="34"/>
      <c r="B261" s="34"/>
      <c r="C261" s="35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</row>
    <row r="262">
      <c r="A262" s="34"/>
      <c r="B262" s="34"/>
      <c r="C262" s="35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</row>
    <row r="263">
      <c r="A263" s="34"/>
      <c r="B263" s="34"/>
      <c r="C263" s="35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</row>
    <row r="264">
      <c r="A264" s="34"/>
      <c r="B264" s="34"/>
      <c r="C264" s="35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</row>
    <row r="265">
      <c r="A265" s="34"/>
      <c r="B265" s="34"/>
      <c r="C265" s="35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</row>
    <row r="266">
      <c r="A266" s="34"/>
      <c r="B266" s="34"/>
      <c r="C266" s="35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</row>
    <row r="267">
      <c r="A267" s="34"/>
      <c r="B267" s="34"/>
      <c r="C267" s="35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</row>
    <row r="268">
      <c r="A268" s="34"/>
      <c r="B268" s="34"/>
      <c r="C268" s="35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</row>
    <row r="269">
      <c r="A269" s="34"/>
      <c r="B269" s="34"/>
      <c r="C269" s="35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</row>
    <row r="270">
      <c r="A270" s="34"/>
      <c r="B270" s="34"/>
      <c r="C270" s="35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</row>
    <row r="271">
      <c r="A271" s="34"/>
      <c r="B271" s="34"/>
      <c r="C271" s="35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</row>
    <row r="272">
      <c r="A272" s="34"/>
      <c r="B272" s="34"/>
      <c r="C272" s="35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</row>
    <row r="273">
      <c r="A273" s="34"/>
      <c r="B273" s="34"/>
      <c r="C273" s="35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</row>
    <row r="274">
      <c r="A274" s="34"/>
      <c r="B274" s="34"/>
      <c r="C274" s="35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</row>
    <row r="275">
      <c r="A275" s="34"/>
      <c r="B275" s="34"/>
      <c r="C275" s="35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</row>
    <row r="276">
      <c r="A276" s="34"/>
      <c r="B276" s="34"/>
      <c r="C276" s="35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</row>
    <row r="277">
      <c r="A277" s="34"/>
      <c r="B277" s="34"/>
      <c r="C277" s="35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</row>
    <row r="278">
      <c r="A278" s="34"/>
      <c r="B278" s="34"/>
      <c r="C278" s="35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</row>
    <row r="279">
      <c r="A279" s="34"/>
      <c r="B279" s="34"/>
      <c r="C279" s="35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</row>
    <row r="280">
      <c r="A280" s="34"/>
      <c r="B280" s="34"/>
      <c r="C280" s="35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</row>
    <row r="281">
      <c r="A281" s="34"/>
      <c r="B281" s="34"/>
      <c r="C281" s="35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</row>
    <row r="282">
      <c r="A282" s="34"/>
      <c r="B282" s="34"/>
      <c r="C282" s="35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</row>
    <row r="283">
      <c r="A283" s="34"/>
      <c r="B283" s="34"/>
      <c r="C283" s="35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</row>
    <row r="284">
      <c r="A284" s="34"/>
      <c r="B284" s="34"/>
      <c r="C284" s="35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</row>
    <row r="285">
      <c r="A285" s="34"/>
      <c r="B285" s="34"/>
      <c r="C285" s="35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</row>
    <row r="286">
      <c r="A286" s="34"/>
      <c r="B286" s="34"/>
      <c r="C286" s="35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</row>
    <row r="287">
      <c r="A287" s="34"/>
      <c r="B287" s="34"/>
      <c r="C287" s="35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</row>
    <row r="288">
      <c r="A288" s="34"/>
      <c r="B288" s="34"/>
      <c r="C288" s="35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</row>
    <row r="289">
      <c r="A289" s="34"/>
      <c r="B289" s="34"/>
      <c r="C289" s="35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</row>
    <row r="290">
      <c r="A290" s="34"/>
      <c r="B290" s="34"/>
      <c r="C290" s="35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</row>
    <row r="291">
      <c r="A291" s="34"/>
      <c r="B291" s="34"/>
      <c r="C291" s="35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</row>
    <row r="292">
      <c r="A292" s="34"/>
      <c r="B292" s="34"/>
      <c r="C292" s="35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</row>
    <row r="293">
      <c r="A293" s="34"/>
      <c r="B293" s="34"/>
      <c r="C293" s="35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</row>
    <row r="294">
      <c r="A294" s="34"/>
      <c r="B294" s="34"/>
      <c r="C294" s="35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</row>
    <row r="295">
      <c r="A295" s="34"/>
      <c r="B295" s="34"/>
      <c r="C295" s="35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</row>
    <row r="296">
      <c r="A296" s="34"/>
      <c r="B296" s="34"/>
      <c r="C296" s="35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</row>
    <row r="297">
      <c r="A297" s="34"/>
      <c r="B297" s="34"/>
      <c r="C297" s="35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</row>
    <row r="298">
      <c r="A298" s="34"/>
      <c r="B298" s="34"/>
      <c r="C298" s="35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</row>
    <row r="299">
      <c r="A299" s="34"/>
      <c r="B299" s="34"/>
      <c r="C299" s="35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</row>
    <row r="300">
      <c r="A300" s="34"/>
      <c r="B300" s="34"/>
      <c r="C300" s="35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</row>
    <row r="301">
      <c r="A301" s="34"/>
      <c r="B301" s="34"/>
      <c r="C301" s="35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</row>
    <row r="302">
      <c r="A302" s="34"/>
      <c r="B302" s="34"/>
      <c r="C302" s="35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</row>
    <row r="303">
      <c r="A303" s="34"/>
      <c r="B303" s="34"/>
      <c r="C303" s="35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</row>
    <row r="304">
      <c r="A304" s="34"/>
      <c r="B304" s="34"/>
      <c r="C304" s="35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</row>
    <row r="305">
      <c r="A305" s="34"/>
      <c r="B305" s="34"/>
      <c r="C305" s="35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</row>
    <row r="306">
      <c r="A306" s="34"/>
      <c r="B306" s="34"/>
      <c r="C306" s="35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</row>
    <row r="307">
      <c r="A307" s="34"/>
      <c r="B307" s="34"/>
      <c r="C307" s="35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</row>
    <row r="308">
      <c r="A308" s="34"/>
      <c r="B308" s="34"/>
      <c r="C308" s="35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</row>
    <row r="309">
      <c r="A309" s="34"/>
      <c r="B309" s="34"/>
      <c r="C309" s="35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</row>
    <row r="310">
      <c r="A310" s="34"/>
      <c r="B310" s="34"/>
      <c r="C310" s="35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</row>
    <row r="311">
      <c r="A311" s="34"/>
      <c r="B311" s="34"/>
      <c r="C311" s="35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</row>
    <row r="312">
      <c r="A312" s="34"/>
      <c r="B312" s="34"/>
      <c r="C312" s="35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</row>
    <row r="313">
      <c r="A313" s="34"/>
      <c r="B313" s="34"/>
      <c r="C313" s="35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</row>
    <row r="314">
      <c r="A314" s="34"/>
      <c r="B314" s="34"/>
      <c r="C314" s="35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</row>
    <row r="315">
      <c r="A315" s="34"/>
      <c r="B315" s="34"/>
      <c r="C315" s="35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</row>
    <row r="316">
      <c r="A316" s="34"/>
      <c r="B316" s="34"/>
      <c r="C316" s="35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>
      <c r="A317" s="34"/>
      <c r="B317" s="34"/>
      <c r="C317" s="35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</row>
    <row r="318">
      <c r="A318" s="34"/>
      <c r="B318" s="34"/>
      <c r="C318" s="35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</row>
    <row r="319">
      <c r="A319" s="34"/>
      <c r="B319" s="34"/>
      <c r="C319" s="35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</row>
    <row r="320">
      <c r="A320" s="34"/>
      <c r="B320" s="34"/>
      <c r="C320" s="35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</row>
    <row r="321">
      <c r="A321" s="34"/>
      <c r="B321" s="34"/>
      <c r="C321" s="35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</row>
    <row r="322">
      <c r="A322" s="34"/>
      <c r="B322" s="34"/>
      <c r="C322" s="35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</row>
    <row r="323">
      <c r="A323" s="34"/>
      <c r="B323" s="34"/>
      <c r="C323" s="35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</row>
    <row r="324">
      <c r="A324" s="34"/>
      <c r="B324" s="34"/>
      <c r="C324" s="35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</row>
    <row r="325">
      <c r="A325" s="34"/>
      <c r="B325" s="34"/>
      <c r="C325" s="35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</row>
    <row r="326">
      <c r="A326" s="34"/>
      <c r="B326" s="34"/>
      <c r="C326" s="35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</row>
    <row r="327">
      <c r="A327" s="34"/>
      <c r="B327" s="34"/>
      <c r="C327" s="35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</row>
    <row r="328">
      <c r="A328" s="34"/>
      <c r="B328" s="34"/>
      <c r="C328" s="35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</row>
    <row r="329">
      <c r="A329" s="34"/>
      <c r="B329" s="34"/>
      <c r="C329" s="35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</row>
    <row r="330">
      <c r="A330" s="34"/>
      <c r="B330" s="34"/>
      <c r="C330" s="35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</row>
    <row r="331">
      <c r="A331" s="34"/>
      <c r="B331" s="34"/>
      <c r="C331" s="35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</row>
    <row r="332">
      <c r="A332" s="34"/>
      <c r="B332" s="34"/>
      <c r="C332" s="35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</row>
    <row r="333">
      <c r="A333" s="34"/>
      <c r="B333" s="34"/>
      <c r="C333" s="35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</row>
    <row r="334">
      <c r="A334" s="34"/>
      <c r="B334" s="34"/>
      <c r="C334" s="35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>
      <c r="A335" s="34"/>
      <c r="B335" s="34"/>
      <c r="C335" s="35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</row>
    <row r="336">
      <c r="A336" s="34"/>
      <c r="B336" s="34"/>
      <c r="C336" s="35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</row>
    <row r="337">
      <c r="A337" s="34"/>
      <c r="B337" s="34"/>
      <c r="C337" s="35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</row>
    <row r="338">
      <c r="A338" s="34"/>
      <c r="B338" s="34"/>
      <c r="C338" s="35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</row>
    <row r="339">
      <c r="A339" s="34"/>
      <c r="B339" s="34"/>
      <c r="C339" s="35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</row>
    <row r="340">
      <c r="A340" s="34"/>
      <c r="B340" s="34"/>
      <c r="C340" s="35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</row>
    <row r="341">
      <c r="A341" s="34"/>
      <c r="B341" s="34"/>
      <c r="C341" s="35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</row>
    <row r="342">
      <c r="A342" s="34"/>
      <c r="B342" s="34"/>
      <c r="C342" s="35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</row>
    <row r="343">
      <c r="A343" s="34"/>
      <c r="B343" s="34"/>
      <c r="C343" s="35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</row>
    <row r="344">
      <c r="A344" s="34"/>
      <c r="B344" s="34"/>
      <c r="C344" s="35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</row>
    <row r="345">
      <c r="A345" s="34"/>
      <c r="B345" s="34"/>
      <c r="C345" s="35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</row>
    <row r="346">
      <c r="A346" s="34"/>
      <c r="B346" s="34"/>
      <c r="C346" s="35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</row>
    <row r="347">
      <c r="A347" s="34"/>
      <c r="B347" s="34"/>
      <c r="C347" s="35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</row>
    <row r="348">
      <c r="A348" s="34"/>
      <c r="B348" s="34"/>
      <c r="C348" s="35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</row>
    <row r="349">
      <c r="A349" s="34"/>
      <c r="B349" s="34"/>
      <c r="C349" s="35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</row>
    <row r="350">
      <c r="A350" s="34"/>
      <c r="B350" s="34"/>
      <c r="C350" s="35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</row>
    <row r="351">
      <c r="A351" s="34"/>
      <c r="B351" s="34"/>
      <c r="C351" s="35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</row>
    <row r="352">
      <c r="A352" s="34"/>
      <c r="B352" s="34"/>
      <c r="C352" s="35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>
      <c r="A353" s="34"/>
      <c r="B353" s="34"/>
      <c r="C353" s="35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</row>
    <row r="354">
      <c r="A354" s="34"/>
      <c r="B354" s="34"/>
      <c r="C354" s="35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</row>
    <row r="355">
      <c r="A355" s="34"/>
      <c r="B355" s="34"/>
      <c r="C355" s="35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</row>
    <row r="356">
      <c r="A356" s="34"/>
      <c r="B356" s="34"/>
      <c r="C356" s="35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</row>
    <row r="357">
      <c r="A357" s="34"/>
      <c r="B357" s="34"/>
      <c r="C357" s="35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</row>
    <row r="358">
      <c r="A358" s="34"/>
      <c r="B358" s="34"/>
      <c r="C358" s="35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</row>
    <row r="359">
      <c r="A359" s="34"/>
      <c r="B359" s="34"/>
      <c r="C359" s="35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</row>
    <row r="360">
      <c r="A360" s="34"/>
      <c r="B360" s="34"/>
      <c r="C360" s="35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</row>
    <row r="361">
      <c r="A361" s="34"/>
      <c r="B361" s="34"/>
      <c r="C361" s="35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</row>
    <row r="362">
      <c r="A362" s="34"/>
      <c r="B362" s="34"/>
      <c r="C362" s="35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</row>
    <row r="363">
      <c r="A363" s="34"/>
      <c r="B363" s="34"/>
      <c r="C363" s="35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</row>
    <row r="364">
      <c r="A364" s="34"/>
      <c r="B364" s="34"/>
      <c r="C364" s="35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</row>
    <row r="365">
      <c r="A365" s="34"/>
      <c r="B365" s="34"/>
      <c r="C365" s="35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</row>
    <row r="366">
      <c r="A366" s="34"/>
      <c r="B366" s="34"/>
      <c r="C366" s="35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</row>
    <row r="367">
      <c r="A367" s="34"/>
      <c r="B367" s="34"/>
      <c r="C367" s="35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</row>
    <row r="368">
      <c r="A368" s="34"/>
      <c r="B368" s="34"/>
      <c r="C368" s="35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</row>
    <row r="369">
      <c r="A369" s="34"/>
      <c r="B369" s="34"/>
      <c r="C369" s="35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</row>
    <row r="370">
      <c r="A370" s="34"/>
      <c r="B370" s="34"/>
      <c r="C370" s="35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</row>
    <row r="371">
      <c r="A371" s="34"/>
      <c r="B371" s="34"/>
      <c r="C371" s="35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</row>
    <row r="372">
      <c r="A372" s="34"/>
      <c r="B372" s="34"/>
      <c r="C372" s="35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</row>
    <row r="373">
      <c r="A373" s="34"/>
      <c r="B373" s="34"/>
      <c r="C373" s="35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</row>
    <row r="374">
      <c r="A374" s="34"/>
      <c r="B374" s="34"/>
      <c r="C374" s="35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</row>
    <row r="375">
      <c r="A375" s="34"/>
      <c r="B375" s="34"/>
      <c r="C375" s="35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</row>
    <row r="376">
      <c r="A376" s="34"/>
      <c r="B376" s="34"/>
      <c r="C376" s="35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</row>
    <row r="377">
      <c r="A377" s="34"/>
      <c r="B377" s="34"/>
      <c r="C377" s="35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</row>
    <row r="378">
      <c r="A378" s="34"/>
      <c r="B378" s="34"/>
      <c r="C378" s="35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</row>
    <row r="379">
      <c r="A379" s="34"/>
      <c r="B379" s="34"/>
      <c r="C379" s="35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</row>
    <row r="380">
      <c r="A380" s="34"/>
      <c r="B380" s="34"/>
      <c r="C380" s="35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</row>
    <row r="381">
      <c r="A381" s="34"/>
      <c r="B381" s="34"/>
      <c r="C381" s="35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</row>
    <row r="382">
      <c r="A382" s="34"/>
      <c r="B382" s="34"/>
      <c r="C382" s="35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</row>
    <row r="383">
      <c r="A383" s="34"/>
      <c r="B383" s="34"/>
      <c r="C383" s="35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</row>
    <row r="384">
      <c r="A384" s="34"/>
      <c r="B384" s="34"/>
      <c r="C384" s="35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</row>
    <row r="385">
      <c r="A385" s="34"/>
      <c r="B385" s="34"/>
      <c r="C385" s="35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</row>
    <row r="386">
      <c r="A386" s="34"/>
      <c r="B386" s="34"/>
      <c r="C386" s="35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</row>
    <row r="387">
      <c r="A387" s="34"/>
      <c r="B387" s="34"/>
      <c r="C387" s="35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</row>
    <row r="388">
      <c r="A388" s="34"/>
      <c r="B388" s="34"/>
      <c r="C388" s="35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</row>
    <row r="389">
      <c r="A389" s="34"/>
      <c r="B389" s="34"/>
      <c r="C389" s="35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</row>
    <row r="390">
      <c r="A390" s="34"/>
      <c r="B390" s="34"/>
      <c r="C390" s="35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</row>
    <row r="391">
      <c r="A391" s="34"/>
      <c r="B391" s="34"/>
      <c r="C391" s="35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</row>
    <row r="392">
      <c r="A392" s="34"/>
      <c r="B392" s="34"/>
      <c r="C392" s="35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</row>
    <row r="393">
      <c r="A393" s="34"/>
      <c r="B393" s="34"/>
      <c r="C393" s="35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</row>
    <row r="394">
      <c r="A394" s="34"/>
      <c r="B394" s="34"/>
      <c r="C394" s="35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</row>
    <row r="395">
      <c r="A395" s="34"/>
      <c r="B395" s="34"/>
      <c r="C395" s="35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</row>
    <row r="396">
      <c r="A396" s="34"/>
      <c r="B396" s="34"/>
      <c r="C396" s="35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</row>
    <row r="397">
      <c r="A397" s="34"/>
      <c r="B397" s="34"/>
      <c r="C397" s="35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</row>
    <row r="398">
      <c r="A398" s="34"/>
      <c r="B398" s="34"/>
      <c r="C398" s="35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</row>
    <row r="399">
      <c r="A399" s="34"/>
      <c r="B399" s="34"/>
      <c r="C399" s="35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</row>
    <row r="400">
      <c r="A400" s="34"/>
      <c r="B400" s="34"/>
      <c r="C400" s="35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</row>
    <row r="401">
      <c r="A401" s="34"/>
      <c r="B401" s="34"/>
      <c r="C401" s="35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</row>
    <row r="402">
      <c r="A402" s="34"/>
      <c r="B402" s="34"/>
      <c r="C402" s="35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</row>
    <row r="403">
      <c r="A403" s="34"/>
      <c r="B403" s="34"/>
      <c r="C403" s="35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</row>
    <row r="404">
      <c r="A404" s="34"/>
      <c r="B404" s="34"/>
      <c r="C404" s="35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</row>
    <row r="405">
      <c r="A405" s="34"/>
      <c r="B405" s="34"/>
      <c r="C405" s="35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</row>
    <row r="406">
      <c r="A406" s="34"/>
      <c r="B406" s="34"/>
      <c r="C406" s="35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</row>
    <row r="407">
      <c r="A407" s="34"/>
      <c r="B407" s="34"/>
      <c r="C407" s="35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</row>
    <row r="408">
      <c r="A408" s="34"/>
      <c r="B408" s="34"/>
      <c r="C408" s="35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</row>
    <row r="409">
      <c r="A409" s="34"/>
      <c r="B409" s="34"/>
      <c r="C409" s="35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</row>
    <row r="410">
      <c r="A410" s="34"/>
      <c r="B410" s="34"/>
      <c r="C410" s="35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</row>
    <row r="411">
      <c r="A411" s="34"/>
      <c r="B411" s="34"/>
      <c r="C411" s="35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</row>
    <row r="412">
      <c r="A412" s="34"/>
      <c r="B412" s="34"/>
      <c r="C412" s="35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</row>
    <row r="413">
      <c r="A413" s="34"/>
      <c r="B413" s="34"/>
      <c r="C413" s="35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</row>
    <row r="414">
      <c r="A414" s="34"/>
      <c r="B414" s="34"/>
      <c r="C414" s="35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</row>
    <row r="415">
      <c r="A415" s="34"/>
      <c r="B415" s="34"/>
      <c r="C415" s="35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</row>
    <row r="416">
      <c r="A416" s="34"/>
      <c r="B416" s="34"/>
      <c r="C416" s="35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</row>
    <row r="417">
      <c r="A417" s="34"/>
      <c r="B417" s="34"/>
      <c r="C417" s="35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</row>
    <row r="418">
      <c r="A418" s="34"/>
      <c r="B418" s="34"/>
      <c r="C418" s="35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</row>
    <row r="419">
      <c r="A419" s="34"/>
      <c r="B419" s="34"/>
      <c r="C419" s="35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</row>
    <row r="420">
      <c r="A420" s="34"/>
      <c r="B420" s="34"/>
      <c r="C420" s="35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</row>
    <row r="421">
      <c r="A421" s="34"/>
      <c r="B421" s="34"/>
      <c r="C421" s="35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</row>
    <row r="422">
      <c r="A422" s="34"/>
      <c r="B422" s="34"/>
      <c r="C422" s="35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</row>
    <row r="423">
      <c r="A423" s="34"/>
      <c r="B423" s="34"/>
      <c r="C423" s="35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</row>
    <row r="424">
      <c r="A424" s="34"/>
      <c r="B424" s="34"/>
      <c r="C424" s="35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</row>
    <row r="425">
      <c r="A425" s="34"/>
      <c r="B425" s="34"/>
      <c r="C425" s="35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</row>
    <row r="426">
      <c r="A426" s="34"/>
      <c r="B426" s="34"/>
      <c r="C426" s="35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</row>
    <row r="427">
      <c r="A427" s="34"/>
      <c r="B427" s="34"/>
      <c r="C427" s="35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</row>
    <row r="428">
      <c r="A428" s="34"/>
      <c r="B428" s="34"/>
      <c r="C428" s="35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</row>
    <row r="429">
      <c r="A429" s="34"/>
      <c r="B429" s="34"/>
      <c r="C429" s="35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</row>
    <row r="430">
      <c r="A430" s="34"/>
      <c r="B430" s="34"/>
      <c r="C430" s="35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</row>
    <row r="431">
      <c r="A431" s="34"/>
      <c r="B431" s="34"/>
      <c r="C431" s="35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</row>
    <row r="432">
      <c r="A432" s="34"/>
      <c r="B432" s="34"/>
      <c r="C432" s="35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</row>
    <row r="433">
      <c r="A433" s="34"/>
      <c r="B433" s="34"/>
      <c r="C433" s="35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</row>
    <row r="434">
      <c r="A434" s="34"/>
      <c r="B434" s="34"/>
      <c r="C434" s="35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</row>
    <row r="435">
      <c r="A435" s="34"/>
      <c r="B435" s="34"/>
      <c r="C435" s="35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</row>
    <row r="436">
      <c r="A436" s="34"/>
      <c r="B436" s="34"/>
      <c r="C436" s="35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</row>
    <row r="437">
      <c r="A437" s="34"/>
      <c r="B437" s="34"/>
      <c r="C437" s="35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</row>
    <row r="438">
      <c r="A438" s="34"/>
      <c r="B438" s="34"/>
      <c r="C438" s="35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</row>
    <row r="439">
      <c r="A439" s="34"/>
      <c r="B439" s="34"/>
      <c r="C439" s="35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</row>
    <row r="440">
      <c r="A440" s="34"/>
      <c r="B440" s="34"/>
      <c r="C440" s="35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</row>
    <row r="441">
      <c r="A441" s="34"/>
      <c r="B441" s="34"/>
      <c r="C441" s="35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</row>
    <row r="442">
      <c r="A442" s="34"/>
      <c r="B442" s="34"/>
      <c r="C442" s="35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</row>
    <row r="443">
      <c r="A443" s="34"/>
      <c r="B443" s="34"/>
      <c r="C443" s="35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</row>
    <row r="444">
      <c r="A444" s="34"/>
      <c r="B444" s="34"/>
      <c r="C444" s="35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</row>
    <row r="445">
      <c r="A445" s="34"/>
      <c r="B445" s="34"/>
      <c r="C445" s="35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</row>
    <row r="446">
      <c r="A446" s="34"/>
      <c r="B446" s="34"/>
      <c r="C446" s="35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</row>
    <row r="447">
      <c r="A447" s="34"/>
      <c r="B447" s="34"/>
      <c r="C447" s="35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</row>
    <row r="448">
      <c r="A448" s="34"/>
      <c r="B448" s="34"/>
      <c r="C448" s="35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</row>
    <row r="449">
      <c r="A449" s="34"/>
      <c r="B449" s="34"/>
      <c r="C449" s="35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</row>
    <row r="450">
      <c r="A450" s="34"/>
      <c r="B450" s="34"/>
      <c r="C450" s="35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</row>
    <row r="451">
      <c r="A451" s="34"/>
      <c r="B451" s="34"/>
      <c r="C451" s="35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</row>
    <row r="452">
      <c r="A452" s="34"/>
      <c r="B452" s="34"/>
      <c r="C452" s="35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</row>
    <row r="453">
      <c r="A453" s="34"/>
      <c r="B453" s="34"/>
      <c r="C453" s="35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</row>
    <row r="454">
      <c r="A454" s="34"/>
      <c r="B454" s="34"/>
      <c r="C454" s="35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</row>
    <row r="455">
      <c r="A455" s="34"/>
      <c r="B455" s="34"/>
      <c r="C455" s="35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</row>
    <row r="456">
      <c r="A456" s="34"/>
      <c r="B456" s="34"/>
      <c r="C456" s="35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</row>
    <row r="457">
      <c r="A457" s="34"/>
      <c r="B457" s="34"/>
      <c r="C457" s="35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</row>
    <row r="458">
      <c r="A458" s="34"/>
      <c r="B458" s="34"/>
      <c r="C458" s="35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</row>
    <row r="459">
      <c r="A459" s="34"/>
      <c r="B459" s="34"/>
      <c r="C459" s="35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</row>
    <row r="460">
      <c r="A460" s="34"/>
      <c r="B460" s="34"/>
      <c r="C460" s="35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</row>
    <row r="461">
      <c r="A461" s="34"/>
      <c r="B461" s="34"/>
      <c r="C461" s="35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</row>
    <row r="462">
      <c r="A462" s="34"/>
      <c r="B462" s="34"/>
      <c r="C462" s="35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</row>
    <row r="463">
      <c r="A463" s="34"/>
      <c r="B463" s="34"/>
      <c r="C463" s="35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</row>
    <row r="464">
      <c r="A464" s="34"/>
      <c r="B464" s="34"/>
      <c r="C464" s="35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</row>
    <row r="465">
      <c r="A465" s="34"/>
      <c r="B465" s="34"/>
      <c r="C465" s="35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</row>
    <row r="466">
      <c r="A466" s="34"/>
      <c r="B466" s="34"/>
      <c r="C466" s="35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</row>
    <row r="467">
      <c r="A467" s="34"/>
      <c r="B467" s="34"/>
      <c r="C467" s="35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</row>
    <row r="468">
      <c r="A468" s="34"/>
      <c r="B468" s="34"/>
      <c r="C468" s="35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</row>
    <row r="469">
      <c r="A469" s="34"/>
      <c r="B469" s="34"/>
      <c r="C469" s="35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</row>
    <row r="470">
      <c r="A470" s="34"/>
      <c r="B470" s="34"/>
      <c r="C470" s="35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</row>
    <row r="471">
      <c r="A471" s="34"/>
      <c r="B471" s="34"/>
      <c r="C471" s="35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</row>
    <row r="472">
      <c r="A472" s="34"/>
      <c r="B472" s="34"/>
      <c r="C472" s="35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</row>
    <row r="473">
      <c r="A473" s="34"/>
      <c r="B473" s="34"/>
      <c r="C473" s="35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</row>
    <row r="474">
      <c r="A474" s="34"/>
      <c r="B474" s="34"/>
      <c r="C474" s="35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</row>
    <row r="475">
      <c r="A475" s="34"/>
      <c r="B475" s="34"/>
      <c r="C475" s="35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</row>
    <row r="476">
      <c r="A476" s="34"/>
      <c r="B476" s="34"/>
      <c r="C476" s="35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</row>
    <row r="477">
      <c r="A477" s="34"/>
      <c r="B477" s="34"/>
      <c r="C477" s="35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</row>
    <row r="478">
      <c r="A478" s="34"/>
      <c r="B478" s="34"/>
      <c r="C478" s="35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</row>
    <row r="479">
      <c r="A479" s="34"/>
      <c r="B479" s="34"/>
      <c r="C479" s="35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</row>
    <row r="480">
      <c r="A480" s="34"/>
      <c r="B480" s="34"/>
      <c r="C480" s="35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</row>
    <row r="481">
      <c r="A481" s="34"/>
      <c r="B481" s="34"/>
      <c r="C481" s="35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</row>
    <row r="482">
      <c r="A482" s="34"/>
      <c r="B482" s="34"/>
      <c r="C482" s="35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</row>
    <row r="483">
      <c r="A483" s="34"/>
      <c r="B483" s="34"/>
      <c r="C483" s="35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</row>
    <row r="484">
      <c r="A484" s="34"/>
      <c r="B484" s="34"/>
      <c r="C484" s="35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</row>
    <row r="485">
      <c r="A485" s="34"/>
      <c r="B485" s="34"/>
      <c r="C485" s="35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</row>
    <row r="486">
      <c r="A486" s="34"/>
      <c r="B486" s="34"/>
      <c r="C486" s="35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</row>
    <row r="487">
      <c r="A487" s="34"/>
      <c r="B487" s="34"/>
      <c r="C487" s="35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</row>
    <row r="488">
      <c r="A488" s="34"/>
      <c r="B488" s="34"/>
      <c r="C488" s="35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</row>
    <row r="489">
      <c r="A489" s="34"/>
      <c r="B489" s="34"/>
      <c r="C489" s="35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</row>
    <row r="490">
      <c r="A490" s="34"/>
      <c r="B490" s="34"/>
      <c r="C490" s="35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</row>
    <row r="491">
      <c r="A491" s="34"/>
      <c r="B491" s="34"/>
      <c r="C491" s="35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</row>
    <row r="492">
      <c r="A492" s="34"/>
      <c r="B492" s="34"/>
      <c r="C492" s="35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</row>
    <row r="493">
      <c r="A493" s="34"/>
      <c r="B493" s="34"/>
      <c r="C493" s="35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</row>
    <row r="494">
      <c r="A494" s="34"/>
      <c r="B494" s="34"/>
      <c r="C494" s="35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</row>
    <row r="495">
      <c r="A495" s="34"/>
      <c r="B495" s="34"/>
      <c r="C495" s="35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</row>
    <row r="496">
      <c r="A496" s="34"/>
      <c r="B496" s="34"/>
      <c r="C496" s="35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</row>
    <row r="497">
      <c r="A497" s="34"/>
      <c r="B497" s="34"/>
      <c r="C497" s="35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</row>
    <row r="498">
      <c r="A498" s="34"/>
      <c r="B498" s="34"/>
      <c r="C498" s="35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</row>
    <row r="499">
      <c r="A499" s="34"/>
      <c r="B499" s="34"/>
      <c r="C499" s="35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</row>
    <row r="500">
      <c r="A500" s="34"/>
      <c r="B500" s="34"/>
      <c r="C500" s="35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</row>
    <row r="501">
      <c r="A501" s="34"/>
      <c r="B501" s="34"/>
      <c r="C501" s="35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</row>
    <row r="502">
      <c r="A502" s="34"/>
      <c r="B502" s="34"/>
      <c r="C502" s="35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</row>
    <row r="503">
      <c r="A503" s="34"/>
      <c r="B503" s="34"/>
      <c r="C503" s="35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</row>
    <row r="504">
      <c r="A504" s="34"/>
      <c r="B504" s="34"/>
      <c r="C504" s="35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</row>
    <row r="505">
      <c r="A505" s="34"/>
      <c r="B505" s="34"/>
      <c r="C505" s="35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</row>
    <row r="506">
      <c r="A506" s="34"/>
      <c r="B506" s="34"/>
      <c r="C506" s="35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</row>
    <row r="507">
      <c r="A507" s="34"/>
      <c r="B507" s="34"/>
      <c r="C507" s="35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</row>
    <row r="508">
      <c r="A508" s="34"/>
      <c r="B508" s="34"/>
      <c r="C508" s="35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</row>
    <row r="509">
      <c r="A509" s="34"/>
      <c r="B509" s="34"/>
      <c r="C509" s="35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</row>
    <row r="510">
      <c r="A510" s="34"/>
      <c r="B510" s="34"/>
      <c r="C510" s="35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</row>
    <row r="511">
      <c r="A511" s="34"/>
      <c r="B511" s="34"/>
      <c r="C511" s="35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</row>
    <row r="512">
      <c r="A512" s="34"/>
      <c r="B512" s="34"/>
      <c r="C512" s="35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</row>
    <row r="513">
      <c r="A513" s="34"/>
      <c r="B513" s="34"/>
      <c r="C513" s="35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</row>
    <row r="514">
      <c r="A514" s="34"/>
      <c r="B514" s="34"/>
      <c r="C514" s="35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</row>
    <row r="515">
      <c r="A515" s="34"/>
      <c r="B515" s="34"/>
      <c r="C515" s="35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</row>
    <row r="516">
      <c r="A516" s="34"/>
      <c r="B516" s="34"/>
      <c r="C516" s="35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</row>
    <row r="517">
      <c r="A517" s="34"/>
      <c r="B517" s="34"/>
      <c r="C517" s="35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</row>
    <row r="518">
      <c r="A518" s="34"/>
      <c r="B518" s="34"/>
      <c r="C518" s="35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</row>
    <row r="519">
      <c r="A519" s="34"/>
      <c r="B519" s="34"/>
      <c r="C519" s="35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</row>
    <row r="520">
      <c r="A520" s="34"/>
      <c r="B520" s="34"/>
      <c r="C520" s="35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</row>
    <row r="521">
      <c r="A521" s="34"/>
      <c r="B521" s="34"/>
      <c r="C521" s="35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</row>
    <row r="522">
      <c r="A522" s="34"/>
      <c r="B522" s="34"/>
      <c r="C522" s="35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</row>
    <row r="523">
      <c r="A523" s="34"/>
      <c r="B523" s="34"/>
      <c r="C523" s="35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</row>
    <row r="524">
      <c r="A524" s="34"/>
      <c r="B524" s="34"/>
      <c r="C524" s="35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</row>
    <row r="525">
      <c r="A525" s="34"/>
      <c r="B525" s="34"/>
      <c r="C525" s="35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</row>
    <row r="526">
      <c r="A526" s="34"/>
      <c r="B526" s="34"/>
      <c r="C526" s="35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</row>
    <row r="527">
      <c r="A527" s="34"/>
      <c r="B527" s="34"/>
      <c r="C527" s="35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</row>
    <row r="528">
      <c r="A528" s="34"/>
      <c r="B528" s="34"/>
      <c r="C528" s="35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</row>
    <row r="529">
      <c r="A529" s="34"/>
      <c r="B529" s="34"/>
      <c r="C529" s="35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</row>
    <row r="530">
      <c r="A530" s="34"/>
      <c r="B530" s="34"/>
      <c r="C530" s="35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</row>
    <row r="531">
      <c r="A531" s="34"/>
      <c r="B531" s="34"/>
      <c r="C531" s="35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</row>
    <row r="532">
      <c r="A532" s="34"/>
      <c r="B532" s="34"/>
      <c r="C532" s="35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</row>
    <row r="533">
      <c r="A533" s="34"/>
      <c r="B533" s="34"/>
      <c r="C533" s="35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</row>
    <row r="534">
      <c r="A534" s="34"/>
      <c r="B534" s="34"/>
      <c r="C534" s="35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</row>
    <row r="535">
      <c r="A535" s="34"/>
      <c r="B535" s="34"/>
      <c r="C535" s="35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</row>
    <row r="536">
      <c r="A536" s="34"/>
      <c r="B536" s="34"/>
      <c r="C536" s="35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</row>
    <row r="537">
      <c r="A537" s="34"/>
      <c r="B537" s="34"/>
      <c r="C537" s="35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</row>
    <row r="538">
      <c r="A538" s="34"/>
      <c r="B538" s="34"/>
      <c r="C538" s="35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</row>
    <row r="539">
      <c r="A539" s="34"/>
      <c r="B539" s="34"/>
      <c r="C539" s="35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</row>
    <row r="540">
      <c r="A540" s="34"/>
      <c r="B540" s="34"/>
      <c r="C540" s="35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</row>
    <row r="541">
      <c r="A541" s="34"/>
      <c r="B541" s="34"/>
      <c r="C541" s="35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</row>
    <row r="542">
      <c r="A542" s="34"/>
      <c r="B542" s="34"/>
      <c r="C542" s="35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</row>
    <row r="543">
      <c r="A543" s="34"/>
      <c r="B543" s="34"/>
      <c r="C543" s="35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</row>
    <row r="544">
      <c r="A544" s="34"/>
      <c r="B544" s="34"/>
      <c r="C544" s="35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</row>
    <row r="545">
      <c r="A545" s="34"/>
      <c r="B545" s="34"/>
      <c r="C545" s="35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</row>
    <row r="546">
      <c r="A546" s="34"/>
      <c r="B546" s="34"/>
      <c r="C546" s="35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</row>
    <row r="547">
      <c r="A547" s="34"/>
      <c r="B547" s="34"/>
      <c r="C547" s="35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</row>
    <row r="548">
      <c r="A548" s="34"/>
      <c r="B548" s="34"/>
      <c r="C548" s="35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</row>
    <row r="549">
      <c r="A549" s="34"/>
      <c r="B549" s="34"/>
      <c r="C549" s="35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</row>
    <row r="550">
      <c r="A550" s="34"/>
      <c r="B550" s="34"/>
      <c r="C550" s="35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</row>
    <row r="551">
      <c r="A551" s="34"/>
      <c r="B551" s="34"/>
      <c r="C551" s="35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</row>
    <row r="552">
      <c r="A552" s="34"/>
      <c r="B552" s="34"/>
      <c r="C552" s="35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</row>
    <row r="553">
      <c r="A553" s="34"/>
      <c r="B553" s="34"/>
      <c r="C553" s="35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</row>
    <row r="554">
      <c r="A554" s="34"/>
      <c r="B554" s="34"/>
      <c r="C554" s="35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</row>
    <row r="555">
      <c r="A555" s="34"/>
      <c r="B555" s="34"/>
      <c r="C555" s="35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</row>
    <row r="556">
      <c r="A556" s="34"/>
      <c r="B556" s="34"/>
      <c r="C556" s="35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</row>
    <row r="557">
      <c r="A557" s="34"/>
      <c r="B557" s="34"/>
      <c r="C557" s="35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</row>
    <row r="558">
      <c r="A558" s="34"/>
      <c r="B558" s="34"/>
      <c r="C558" s="35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</row>
    <row r="559">
      <c r="A559" s="34"/>
      <c r="B559" s="34"/>
      <c r="C559" s="35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</row>
    <row r="560">
      <c r="A560" s="34"/>
      <c r="B560" s="34"/>
      <c r="C560" s="35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</row>
    <row r="561">
      <c r="A561" s="34"/>
      <c r="B561" s="34"/>
      <c r="C561" s="35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</row>
    <row r="562">
      <c r="A562" s="34"/>
      <c r="B562" s="34"/>
      <c r="C562" s="35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</row>
    <row r="563">
      <c r="A563" s="34"/>
      <c r="B563" s="34"/>
      <c r="C563" s="35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</row>
    <row r="564">
      <c r="A564" s="34"/>
      <c r="B564" s="34"/>
      <c r="C564" s="35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</row>
    <row r="565">
      <c r="A565" s="34"/>
      <c r="B565" s="34"/>
      <c r="C565" s="35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</row>
    <row r="566">
      <c r="A566" s="34"/>
      <c r="B566" s="34"/>
      <c r="C566" s="35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</row>
    <row r="567">
      <c r="A567" s="34"/>
      <c r="B567" s="34"/>
      <c r="C567" s="35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</row>
    <row r="568">
      <c r="A568" s="34"/>
      <c r="B568" s="34"/>
      <c r="C568" s="35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</row>
    <row r="569">
      <c r="A569" s="34"/>
      <c r="B569" s="34"/>
      <c r="C569" s="35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</row>
    <row r="570">
      <c r="A570" s="34"/>
      <c r="B570" s="34"/>
      <c r="C570" s="35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</row>
    <row r="571">
      <c r="A571" s="34"/>
      <c r="B571" s="34"/>
      <c r="C571" s="35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</row>
    <row r="572">
      <c r="A572" s="34"/>
      <c r="B572" s="34"/>
      <c r="C572" s="35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</row>
    <row r="573">
      <c r="A573" s="34"/>
      <c r="B573" s="34"/>
      <c r="C573" s="35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</row>
    <row r="574">
      <c r="A574" s="34"/>
      <c r="B574" s="34"/>
      <c r="C574" s="35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</row>
    <row r="575">
      <c r="A575" s="34"/>
      <c r="B575" s="34"/>
      <c r="C575" s="35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</row>
    <row r="576">
      <c r="A576" s="34"/>
      <c r="B576" s="34"/>
      <c r="C576" s="35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</row>
    <row r="577">
      <c r="A577" s="34"/>
      <c r="B577" s="34"/>
      <c r="C577" s="35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</row>
    <row r="578">
      <c r="A578" s="34"/>
      <c r="B578" s="34"/>
      <c r="C578" s="35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</row>
    <row r="579">
      <c r="A579" s="34"/>
      <c r="B579" s="34"/>
      <c r="C579" s="35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</row>
    <row r="580">
      <c r="A580" s="34"/>
      <c r="B580" s="34"/>
      <c r="C580" s="35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</row>
    <row r="581">
      <c r="A581" s="34"/>
      <c r="B581" s="34"/>
      <c r="C581" s="35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</row>
    <row r="582">
      <c r="A582" s="34"/>
      <c r="B582" s="34"/>
      <c r="C582" s="35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</row>
    <row r="583">
      <c r="A583" s="34"/>
      <c r="B583" s="34"/>
      <c r="C583" s="35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</row>
    <row r="584">
      <c r="A584" s="34"/>
      <c r="B584" s="34"/>
      <c r="C584" s="35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</row>
    <row r="585">
      <c r="A585" s="34"/>
      <c r="B585" s="34"/>
      <c r="C585" s="35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</row>
    <row r="586">
      <c r="A586" s="34"/>
      <c r="B586" s="34"/>
      <c r="C586" s="35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</row>
    <row r="587">
      <c r="A587" s="34"/>
      <c r="B587" s="34"/>
      <c r="C587" s="35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</row>
    <row r="588">
      <c r="A588" s="34"/>
      <c r="B588" s="34"/>
      <c r="C588" s="35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</row>
    <row r="589">
      <c r="A589" s="34"/>
      <c r="B589" s="34"/>
      <c r="C589" s="35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</row>
    <row r="590">
      <c r="A590" s="34"/>
      <c r="B590" s="34"/>
      <c r="C590" s="35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</row>
    <row r="591">
      <c r="A591" s="34"/>
      <c r="B591" s="34"/>
      <c r="C591" s="35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</row>
    <row r="592">
      <c r="A592" s="34"/>
      <c r="B592" s="34"/>
      <c r="C592" s="35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</row>
    <row r="593">
      <c r="A593" s="34"/>
      <c r="B593" s="34"/>
      <c r="C593" s="35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</row>
    <row r="594">
      <c r="A594" s="34"/>
      <c r="B594" s="34"/>
      <c r="C594" s="35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</row>
    <row r="595">
      <c r="A595" s="34"/>
      <c r="B595" s="34"/>
      <c r="C595" s="35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</row>
    <row r="596">
      <c r="A596" s="34"/>
      <c r="B596" s="34"/>
      <c r="C596" s="35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</row>
    <row r="597">
      <c r="A597" s="34"/>
      <c r="B597" s="34"/>
      <c r="C597" s="35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</row>
    <row r="598">
      <c r="A598" s="34"/>
      <c r="B598" s="34"/>
      <c r="C598" s="35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</row>
    <row r="599">
      <c r="A599" s="34"/>
      <c r="B599" s="34"/>
      <c r="C599" s="35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</row>
    <row r="600">
      <c r="A600" s="34"/>
      <c r="B600" s="34"/>
      <c r="C600" s="35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</row>
    <row r="601">
      <c r="A601" s="34"/>
      <c r="B601" s="34"/>
      <c r="C601" s="35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</row>
    <row r="602">
      <c r="A602" s="34"/>
      <c r="B602" s="34"/>
      <c r="C602" s="35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</row>
    <row r="603">
      <c r="A603" s="34"/>
      <c r="B603" s="34"/>
      <c r="C603" s="35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</row>
    <row r="604">
      <c r="A604" s="34"/>
      <c r="B604" s="34"/>
      <c r="C604" s="35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</row>
    <row r="605">
      <c r="A605" s="34"/>
      <c r="B605" s="34"/>
      <c r="C605" s="35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</row>
    <row r="606">
      <c r="A606" s="34"/>
      <c r="B606" s="34"/>
      <c r="C606" s="35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</row>
    <row r="607">
      <c r="A607" s="34"/>
      <c r="B607" s="34"/>
      <c r="C607" s="35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</row>
    <row r="608">
      <c r="A608" s="34"/>
      <c r="B608" s="34"/>
      <c r="C608" s="35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</row>
    <row r="609">
      <c r="A609" s="34"/>
      <c r="B609" s="34"/>
      <c r="C609" s="35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</row>
    <row r="610">
      <c r="A610" s="34"/>
      <c r="B610" s="34"/>
      <c r="C610" s="35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</row>
    <row r="611">
      <c r="A611" s="34"/>
      <c r="B611" s="34"/>
      <c r="C611" s="35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</row>
    <row r="612">
      <c r="A612" s="34"/>
      <c r="B612" s="34"/>
      <c r="C612" s="35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</row>
    <row r="613">
      <c r="A613" s="34"/>
      <c r="B613" s="34"/>
      <c r="C613" s="35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</row>
    <row r="614">
      <c r="A614" s="34"/>
      <c r="B614" s="34"/>
      <c r="C614" s="35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</row>
    <row r="615">
      <c r="A615" s="34"/>
      <c r="B615" s="34"/>
      <c r="C615" s="35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</row>
    <row r="616">
      <c r="A616" s="34"/>
      <c r="B616" s="34"/>
      <c r="C616" s="35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</row>
    <row r="617">
      <c r="A617" s="34"/>
      <c r="B617" s="34"/>
      <c r="C617" s="35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</row>
    <row r="618">
      <c r="A618" s="34"/>
      <c r="B618" s="34"/>
      <c r="C618" s="35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</row>
    <row r="619">
      <c r="A619" s="34"/>
      <c r="B619" s="34"/>
      <c r="C619" s="35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</row>
    <row r="620">
      <c r="A620" s="34"/>
      <c r="B620" s="34"/>
      <c r="C620" s="35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</row>
    <row r="621">
      <c r="A621" s="34"/>
      <c r="B621" s="34"/>
      <c r="C621" s="35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</row>
    <row r="622">
      <c r="A622" s="34"/>
      <c r="B622" s="34"/>
      <c r="C622" s="35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</row>
    <row r="623">
      <c r="A623" s="34"/>
      <c r="B623" s="34"/>
      <c r="C623" s="35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</row>
    <row r="624">
      <c r="A624" s="34"/>
      <c r="B624" s="34"/>
      <c r="C624" s="35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</row>
    <row r="625">
      <c r="A625" s="34"/>
      <c r="B625" s="34"/>
      <c r="C625" s="35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</row>
    <row r="626">
      <c r="A626" s="34"/>
      <c r="B626" s="34"/>
      <c r="C626" s="35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</row>
    <row r="627">
      <c r="A627" s="34"/>
      <c r="B627" s="34"/>
      <c r="C627" s="35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</row>
    <row r="628">
      <c r="A628" s="34"/>
      <c r="B628" s="34"/>
      <c r="C628" s="35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</row>
    <row r="629">
      <c r="A629" s="34"/>
      <c r="B629" s="34"/>
      <c r="C629" s="35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</row>
    <row r="630">
      <c r="A630" s="34"/>
      <c r="B630" s="34"/>
      <c r="C630" s="35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</row>
    <row r="631">
      <c r="A631" s="34"/>
      <c r="B631" s="34"/>
      <c r="C631" s="35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</row>
    <row r="632">
      <c r="A632" s="34"/>
      <c r="B632" s="34"/>
      <c r="C632" s="35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</row>
    <row r="633">
      <c r="A633" s="34"/>
      <c r="B633" s="34"/>
      <c r="C633" s="35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</row>
    <row r="634">
      <c r="A634" s="34"/>
      <c r="B634" s="34"/>
      <c r="C634" s="35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</row>
    <row r="635">
      <c r="A635" s="34"/>
      <c r="B635" s="34"/>
      <c r="C635" s="35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</row>
    <row r="636">
      <c r="A636" s="34"/>
      <c r="B636" s="34"/>
      <c r="C636" s="35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</row>
    <row r="637">
      <c r="A637" s="34"/>
      <c r="B637" s="34"/>
      <c r="C637" s="35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</row>
    <row r="638">
      <c r="A638" s="34"/>
      <c r="B638" s="34"/>
      <c r="C638" s="35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</row>
    <row r="639">
      <c r="A639" s="34"/>
      <c r="B639" s="34"/>
      <c r="C639" s="35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</row>
    <row r="640">
      <c r="A640" s="34"/>
      <c r="B640" s="34"/>
      <c r="C640" s="35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</row>
    <row r="641">
      <c r="A641" s="34"/>
      <c r="B641" s="34"/>
      <c r="C641" s="35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</row>
    <row r="642">
      <c r="A642" s="34"/>
      <c r="B642" s="34"/>
      <c r="C642" s="35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</row>
    <row r="643">
      <c r="A643" s="34"/>
      <c r="B643" s="34"/>
      <c r="C643" s="35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</row>
    <row r="644">
      <c r="A644" s="34"/>
      <c r="B644" s="34"/>
      <c r="C644" s="35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</row>
    <row r="645">
      <c r="A645" s="34"/>
      <c r="B645" s="34"/>
      <c r="C645" s="35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</row>
    <row r="646">
      <c r="A646" s="34"/>
      <c r="B646" s="34"/>
      <c r="C646" s="35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</row>
    <row r="647">
      <c r="A647" s="34"/>
      <c r="B647" s="34"/>
      <c r="C647" s="35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</row>
    <row r="648">
      <c r="A648" s="34"/>
      <c r="B648" s="34"/>
      <c r="C648" s="35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</row>
    <row r="649">
      <c r="A649" s="34"/>
      <c r="B649" s="34"/>
      <c r="C649" s="35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</row>
    <row r="650">
      <c r="A650" s="34"/>
      <c r="B650" s="34"/>
      <c r="C650" s="35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</row>
    <row r="651">
      <c r="A651" s="34"/>
      <c r="B651" s="34"/>
      <c r="C651" s="35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</row>
    <row r="652">
      <c r="A652" s="34"/>
      <c r="B652" s="34"/>
      <c r="C652" s="35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</row>
    <row r="653">
      <c r="A653" s="34"/>
      <c r="B653" s="34"/>
      <c r="C653" s="35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</row>
    <row r="654">
      <c r="A654" s="34"/>
      <c r="B654" s="34"/>
      <c r="C654" s="35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</row>
    <row r="655">
      <c r="A655" s="34"/>
      <c r="B655" s="34"/>
      <c r="C655" s="35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</row>
    <row r="656">
      <c r="A656" s="34"/>
      <c r="B656" s="34"/>
      <c r="C656" s="35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</row>
    <row r="657">
      <c r="A657" s="34"/>
      <c r="B657" s="34"/>
      <c r="C657" s="35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</row>
    <row r="658">
      <c r="A658" s="34"/>
      <c r="B658" s="34"/>
      <c r="C658" s="35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</row>
    <row r="659">
      <c r="A659" s="34"/>
      <c r="B659" s="34"/>
      <c r="C659" s="35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</row>
    <row r="660">
      <c r="A660" s="34"/>
      <c r="B660" s="34"/>
      <c r="C660" s="35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</row>
    <row r="661">
      <c r="A661" s="34"/>
      <c r="B661" s="34"/>
      <c r="C661" s="35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</row>
    <row r="662">
      <c r="A662" s="34"/>
      <c r="B662" s="34"/>
      <c r="C662" s="35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</row>
    <row r="663">
      <c r="A663" s="34"/>
      <c r="B663" s="34"/>
      <c r="C663" s="35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</row>
    <row r="664">
      <c r="A664" s="34"/>
      <c r="B664" s="34"/>
      <c r="C664" s="35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</row>
    <row r="665">
      <c r="A665" s="34"/>
      <c r="B665" s="34"/>
      <c r="C665" s="35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</row>
    <row r="666">
      <c r="A666" s="34"/>
      <c r="B666" s="34"/>
      <c r="C666" s="35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</row>
    <row r="667">
      <c r="A667" s="34"/>
      <c r="B667" s="34"/>
      <c r="C667" s="35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</row>
    <row r="668">
      <c r="A668" s="34"/>
      <c r="B668" s="34"/>
      <c r="C668" s="35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</row>
    <row r="669">
      <c r="A669" s="34"/>
      <c r="B669" s="34"/>
      <c r="C669" s="35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</row>
    <row r="670">
      <c r="A670" s="34"/>
      <c r="B670" s="34"/>
      <c r="C670" s="35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</row>
    <row r="671">
      <c r="A671" s="34"/>
      <c r="B671" s="34"/>
      <c r="C671" s="35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</row>
    <row r="672">
      <c r="A672" s="34"/>
      <c r="B672" s="34"/>
      <c r="C672" s="35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</row>
    <row r="673">
      <c r="A673" s="34"/>
      <c r="B673" s="34"/>
      <c r="C673" s="35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</row>
    <row r="674">
      <c r="A674" s="34"/>
      <c r="B674" s="34"/>
      <c r="C674" s="35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</row>
    <row r="675">
      <c r="A675" s="34"/>
      <c r="B675" s="34"/>
      <c r="C675" s="35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</row>
    <row r="676">
      <c r="A676" s="34"/>
      <c r="B676" s="34"/>
      <c r="C676" s="35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</row>
    <row r="677">
      <c r="A677" s="34"/>
      <c r="B677" s="34"/>
      <c r="C677" s="35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</row>
    <row r="678">
      <c r="A678" s="34"/>
      <c r="B678" s="34"/>
      <c r="C678" s="35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</row>
    <row r="679">
      <c r="A679" s="34"/>
      <c r="B679" s="34"/>
      <c r="C679" s="35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</row>
    <row r="680">
      <c r="A680" s="34"/>
      <c r="B680" s="34"/>
      <c r="C680" s="35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</row>
    <row r="681">
      <c r="A681" s="34"/>
      <c r="B681" s="34"/>
      <c r="C681" s="35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</row>
    <row r="682">
      <c r="A682" s="34"/>
      <c r="B682" s="34"/>
      <c r="C682" s="35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</row>
    <row r="683">
      <c r="A683" s="34"/>
      <c r="B683" s="34"/>
      <c r="C683" s="35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</row>
    <row r="684">
      <c r="A684" s="34"/>
      <c r="B684" s="34"/>
      <c r="C684" s="35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</row>
    <row r="685">
      <c r="A685" s="34"/>
      <c r="B685" s="34"/>
      <c r="C685" s="35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</row>
    <row r="686">
      <c r="A686" s="34"/>
      <c r="B686" s="34"/>
      <c r="C686" s="35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</row>
    <row r="687">
      <c r="A687" s="34"/>
      <c r="B687" s="34"/>
      <c r="C687" s="35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</row>
    <row r="688">
      <c r="A688" s="34"/>
      <c r="B688" s="34"/>
      <c r="C688" s="35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</row>
    <row r="689">
      <c r="A689" s="34"/>
      <c r="B689" s="34"/>
      <c r="C689" s="35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</row>
    <row r="690">
      <c r="A690" s="34"/>
      <c r="B690" s="34"/>
      <c r="C690" s="35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</row>
    <row r="691">
      <c r="A691" s="34"/>
      <c r="B691" s="34"/>
      <c r="C691" s="35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</row>
    <row r="692">
      <c r="A692" s="34"/>
      <c r="B692" s="34"/>
      <c r="C692" s="35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</row>
    <row r="693">
      <c r="A693" s="34"/>
      <c r="B693" s="34"/>
      <c r="C693" s="35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</row>
    <row r="694">
      <c r="A694" s="34"/>
      <c r="B694" s="34"/>
      <c r="C694" s="35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</row>
    <row r="695">
      <c r="A695" s="34"/>
      <c r="B695" s="34"/>
      <c r="C695" s="35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</row>
    <row r="696">
      <c r="A696" s="34"/>
      <c r="B696" s="34"/>
      <c r="C696" s="35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</row>
    <row r="697">
      <c r="A697" s="34"/>
      <c r="B697" s="34"/>
      <c r="C697" s="35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</row>
    <row r="698">
      <c r="A698" s="34"/>
      <c r="B698" s="34"/>
      <c r="C698" s="35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</row>
    <row r="699">
      <c r="A699" s="34"/>
      <c r="B699" s="34"/>
      <c r="C699" s="35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</row>
    <row r="700">
      <c r="A700" s="34"/>
      <c r="B700" s="34"/>
      <c r="C700" s="35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</row>
    <row r="701">
      <c r="A701" s="34"/>
      <c r="B701" s="34"/>
      <c r="C701" s="35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</row>
    <row r="702">
      <c r="A702" s="34"/>
      <c r="B702" s="34"/>
      <c r="C702" s="35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</row>
    <row r="703">
      <c r="A703" s="34"/>
      <c r="B703" s="34"/>
      <c r="C703" s="35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</row>
    <row r="704">
      <c r="A704" s="34"/>
      <c r="B704" s="34"/>
      <c r="C704" s="35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</row>
    <row r="705">
      <c r="A705" s="34"/>
      <c r="B705" s="34"/>
      <c r="C705" s="35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</row>
    <row r="706">
      <c r="A706" s="34"/>
      <c r="B706" s="34"/>
      <c r="C706" s="35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</row>
    <row r="707">
      <c r="A707" s="34"/>
      <c r="B707" s="34"/>
      <c r="C707" s="35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</row>
    <row r="708">
      <c r="A708" s="34"/>
      <c r="B708" s="34"/>
      <c r="C708" s="35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</row>
    <row r="709">
      <c r="A709" s="34"/>
      <c r="B709" s="34"/>
      <c r="C709" s="35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</row>
    <row r="710">
      <c r="A710" s="34"/>
      <c r="B710" s="34"/>
      <c r="C710" s="35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</row>
    <row r="711">
      <c r="A711" s="34"/>
      <c r="B711" s="34"/>
      <c r="C711" s="35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</row>
    <row r="712">
      <c r="A712" s="34"/>
      <c r="B712" s="34"/>
      <c r="C712" s="35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</row>
    <row r="713">
      <c r="A713" s="34"/>
      <c r="B713" s="34"/>
      <c r="C713" s="35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</row>
    <row r="714">
      <c r="A714" s="34"/>
      <c r="B714" s="34"/>
      <c r="C714" s="35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</row>
    <row r="715">
      <c r="A715" s="34"/>
      <c r="B715" s="34"/>
      <c r="C715" s="35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</row>
    <row r="716">
      <c r="A716" s="34"/>
      <c r="B716" s="34"/>
      <c r="C716" s="35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</row>
    <row r="717">
      <c r="A717" s="34"/>
      <c r="B717" s="34"/>
      <c r="C717" s="35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</row>
    <row r="718">
      <c r="A718" s="34"/>
      <c r="B718" s="34"/>
      <c r="C718" s="35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</row>
    <row r="719">
      <c r="A719" s="34"/>
      <c r="B719" s="34"/>
      <c r="C719" s="35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</row>
    <row r="720">
      <c r="A720" s="34"/>
      <c r="B720" s="34"/>
      <c r="C720" s="35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</row>
    <row r="721">
      <c r="A721" s="34"/>
      <c r="B721" s="34"/>
      <c r="C721" s="35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</row>
    <row r="722">
      <c r="A722" s="34"/>
      <c r="B722" s="34"/>
      <c r="C722" s="35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</row>
    <row r="723">
      <c r="A723" s="34"/>
      <c r="B723" s="34"/>
      <c r="C723" s="35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</row>
    <row r="724">
      <c r="A724" s="34"/>
      <c r="B724" s="34"/>
      <c r="C724" s="35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</row>
    <row r="725">
      <c r="A725" s="34"/>
      <c r="B725" s="34"/>
      <c r="C725" s="35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</row>
    <row r="726">
      <c r="A726" s="34"/>
      <c r="B726" s="34"/>
      <c r="C726" s="35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</row>
    <row r="727">
      <c r="A727" s="34"/>
      <c r="B727" s="34"/>
      <c r="C727" s="35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</row>
    <row r="728">
      <c r="A728" s="34"/>
      <c r="B728" s="34"/>
      <c r="C728" s="35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</row>
    <row r="729">
      <c r="A729" s="34"/>
      <c r="B729" s="34"/>
      <c r="C729" s="35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</row>
    <row r="730">
      <c r="A730" s="34"/>
      <c r="B730" s="34"/>
      <c r="C730" s="35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</row>
    <row r="731">
      <c r="A731" s="34"/>
      <c r="B731" s="34"/>
      <c r="C731" s="35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</row>
    <row r="732">
      <c r="A732" s="34"/>
      <c r="B732" s="34"/>
      <c r="C732" s="35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</row>
    <row r="733">
      <c r="A733" s="34"/>
      <c r="B733" s="34"/>
      <c r="C733" s="35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</row>
    <row r="734">
      <c r="A734" s="34"/>
      <c r="B734" s="34"/>
      <c r="C734" s="35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</row>
    <row r="735">
      <c r="A735" s="34"/>
      <c r="B735" s="34"/>
      <c r="C735" s="35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</row>
    <row r="736">
      <c r="A736" s="34"/>
      <c r="B736" s="34"/>
      <c r="C736" s="35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</row>
    <row r="737">
      <c r="A737" s="34"/>
      <c r="B737" s="34"/>
      <c r="C737" s="35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</row>
    <row r="738">
      <c r="A738" s="34"/>
      <c r="B738" s="34"/>
      <c r="C738" s="35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</row>
    <row r="739">
      <c r="A739" s="34"/>
      <c r="B739" s="34"/>
      <c r="C739" s="35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</row>
    <row r="740">
      <c r="A740" s="34"/>
      <c r="B740" s="34"/>
      <c r="C740" s="35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</row>
    <row r="741">
      <c r="A741" s="34"/>
      <c r="B741" s="34"/>
      <c r="C741" s="35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</row>
    <row r="742">
      <c r="A742" s="34"/>
      <c r="B742" s="34"/>
      <c r="C742" s="35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</row>
    <row r="743">
      <c r="A743" s="34"/>
      <c r="B743" s="34"/>
      <c r="C743" s="35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</row>
    <row r="744">
      <c r="A744" s="34"/>
      <c r="B744" s="34"/>
      <c r="C744" s="35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</row>
    <row r="745">
      <c r="A745" s="34"/>
      <c r="B745" s="34"/>
      <c r="C745" s="35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</row>
    <row r="746">
      <c r="A746" s="34"/>
      <c r="B746" s="34"/>
      <c r="C746" s="35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</row>
    <row r="747">
      <c r="A747" s="34"/>
      <c r="B747" s="34"/>
      <c r="C747" s="35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</row>
    <row r="748">
      <c r="A748" s="34"/>
      <c r="B748" s="34"/>
      <c r="C748" s="35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</row>
    <row r="749">
      <c r="A749" s="34"/>
      <c r="B749" s="34"/>
      <c r="C749" s="35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</row>
    <row r="750">
      <c r="A750" s="34"/>
      <c r="B750" s="34"/>
      <c r="C750" s="35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</row>
    <row r="751">
      <c r="A751" s="34"/>
      <c r="B751" s="34"/>
      <c r="C751" s="35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</row>
    <row r="752">
      <c r="A752" s="34"/>
      <c r="B752" s="34"/>
      <c r="C752" s="35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</row>
    <row r="753">
      <c r="A753" s="34"/>
      <c r="B753" s="34"/>
      <c r="C753" s="35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</row>
    <row r="754">
      <c r="A754" s="34"/>
      <c r="B754" s="34"/>
      <c r="C754" s="35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</row>
    <row r="755">
      <c r="A755" s="34"/>
      <c r="B755" s="34"/>
      <c r="C755" s="35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</row>
    <row r="756">
      <c r="A756" s="34"/>
      <c r="B756" s="34"/>
      <c r="C756" s="35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</row>
    <row r="757">
      <c r="A757" s="34"/>
      <c r="B757" s="34"/>
      <c r="C757" s="35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</row>
    <row r="758">
      <c r="A758" s="34"/>
      <c r="B758" s="34"/>
      <c r="C758" s="35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</row>
    <row r="759">
      <c r="A759" s="34"/>
      <c r="B759" s="34"/>
      <c r="C759" s="35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</row>
    <row r="760">
      <c r="A760" s="34"/>
      <c r="B760" s="34"/>
      <c r="C760" s="35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</row>
    <row r="761">
      <c r="A761" s="34"/>
      <c r="B761" s="34"/>
      <c r="C761" s="35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</row>
    <row r="762">
      <c r="A762" s="34"/>
      <c r="B762" s="34"/>
      <c r="C762" s="35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</row>
    <row r="763">
      <c r="A763" s="34"/>
      <c r="B763" s="34"/>
      <c r="C763" s="35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</row>
    <row r="764">
      <c r="A764" s="34"/>
      <c r="B764" s="34"/>
      <c r="C764" s="35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</row>
    <row r="765">
      <c r="A765" s="34"/>
      <c r="B765" s="34"/>
      <c r="C765" s="35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</row>
    <row r="766">
      <c r="A766" s="34"/>
      <c r="B766" s="34"/>
      <c r="C766" s="35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</row>
    <row r="767">
      <c r="A767" s="34"/>
      <c r="B767" s="34"/>
      <c r="C767" s="35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</row>
    <row r="768">
      <c r="A768" s="34"/>
      <c r="B768" s="34"/>
      <c r="C768" s="35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</row>
    <row r="769">
      <c r="A769" s="34"/>
      <c r="B769" s="34"/>
      <c r="C769" s="35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</row>
    <row r="770">
      <c r="A770" s="34"/>
      <c r="B770" s="34"/>
      <c r="C770" s="35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</row>
    <row r="771">
      <c r="A771" s="34"/>
      <c r="B771" s="34"/>
      <c r="C771" s="35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</row>
    <row r="772">
      <c r="A772" s="34"/>
      <c r="B772" s="34"/>
      <c r="C772" s="35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</row>
    <row r="773">
      <c r="A773" s="34"/>
      <c r="B773" s="34"/>
      <c r="C773" s="35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</row>
    <row r="774">
      <c r="A774" s="34"/>
      <c r="B774" s="34"/>
      <c r="C774" s="35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</row>
    <row r="775">
      <c r="A775" s="34"/>
      <c r="B775" s="34"/>
      <c r="C775" s="35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</row>
    <row r="776">
      <c r="A776" s="34"/>
      <c r="B776" s="34"/>
      <c r="C776" s="35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</row>
    <row r="777">
      <c r="A777" s="34"/>
      <c r="B777" s="34"/>
      <c r="C777" s="35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</row>
    <row r="778">
      <c r="A778" s="34"/>
      <c r="B778" s="34"/>
      <c r="C778" s="35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</row>
    <row r="779">
      <c r="A779" s="34"/>
      <c r="B779" s="34"/>
      <c r="C779" s="35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</row>
    <row r="780">
      <c r="A780" s="34"/>
      <c r="B780" s="34"/>
      <c r="C780" s="35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</row>
    <row r="781">
      <c r="A781" s="34"/>
      <c r="B781" s="34"/>
      <c r="C781" s="35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</row>
    <row r="782">
      <c r="A782" s="34"/>
      <c r="B782" s="34"/>
      <c r="C782" s="35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</row>
    <row r="783">
      <c r="A783" s="34"/>
      <c r="B783" s="34"/>
      <c r="C783" s="35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</row>
    <row r="784">
      <c r="A784" s="34"/>
      <c r="B784" s="34"/>
      <c r="C784" s="35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</row>
    <row r="785">
      <c r="A785" s="34"/>
      <c r="B785" s="34"/>
      <c r="C785" s="35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</row>
    <row r="786">
      <c r="A786" s="34"/>
      <c r="B786" s="34"/>
      <c r="C786" s="35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</row>
    <row r="787">
      <c r="A787" s="34"/>
      <c r="B787" s="34"/>
      <c r="C787" s="35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</row>
    <row r="788">
      <c r="A788" s="34"/>
      <c r="B788" s="34"/>
      <c r="C788" s="35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</row>
    <row r="789">
      <c r="A789" s="34"/>
      <c r="B789" s="34"/>
      <c r="C789" s="35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</row>
    <row r="790">
      <c r="A790" s="34"/>
      <c r="B790" s="34"/>
      <c r="C790" s="35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</row>
    <row r="791">
      <c r="A791" s="34"/>
      <c r="B791" s="34"/>
      <c r="C791" s="35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</row>
    <row r="792">
      <c r="A792" s="34"/>
      <c r="B792" s="34"/>
      <c r="C792" s="35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</row>
    <row r="793">
      <c r="A793" s="34"/>
      <c r="B793" s="34"/>
      <c r="C793" s="35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</row>
    <row r="794">
      <c r="A794" s="34"/>
      <c r="B794" s="34"/>
      <c r="C794" s="35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</row>
    <row r="795">
      <c r="A795" s="34"/>
      <c r="B795" s="34"/>
      <c r="C795" s="35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</row>
    <row r="796">
      <c r="A796" s="34"/>
      <c r="B796" s="34"/>
      <c r="C796" s="35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</row>
    <row r="797">
      <c r="A797" s="34"/>
      <c r="B797" s="34"/>
      <c r="C797" s="35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</row>
    <row r="798">
      <c r="A798" s="34"/>
      <c r="B798" s="34"/>
      <c r="C798" s="35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</row>
    <row r="799">
      <c r="A799" s="34"/>
      <c r="B799" s="34"/>
      <c r="C799" s="35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</row>
    <row r="800">
      <c r="A800" s="34"/>
      <c r="B800" s="34"/>
      <c r="C800" s="35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</row>
    <row r="801">
      <c r="A801" s="34"/>
      <c r="B801" s="34"/>
      <c r="C801" s="35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</row>
    <row r="802">
      <c r="A802" s="34"/>
      <c r="B802" s="34"/>
      <c r="C802" s="35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</row>
    <row r="803">
      <c r="A803" s="34"/>
      <c r="B803" s="34"/>
      <c r="C803" s="35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</row>
    <row r="804">
      <c r="A804" s="34"/>
      <c r="B804" s="34"/>
      <c r="C804" s="35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</row>
    <row r="805">
      <c r="A805" s="34"/>
      <c r="B805" s="34"/>
      <c r="C805" s="35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</row>
    <row r="806">
      <c r="A806" s="34"/>
      <c r="B806" s="34"/>
      <c r="C806" s="35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</row>
    <row r="807">
      <c r="A807" s="34"/>
      <c r="B807" s="34"/>
      <c r="C807" s="35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</row>
    <row r="808">
      <c r="A808" s="34"/>
      <c r="B808" s="34"/>
      <c r="C808" s="35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</row>
    <row r="809">
      <c r="A809" s="34"/>
      <c r="B809" s="34"/>
      <c r="C809" s="35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</row>
    <row r="810">
      <c r="A810" s="34"/>
      <c r="B810" s="34"/>
      <c r="C810" s="35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</row>
    <row r="811">
      <c r="A811" s="34"/>
      <c r="B811" s="34"/>
      <c r="C811" s="35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</row>
    <row r="812">
      <c r="A812" s="34"/>
      <c r="B812" s="34"/>
      <c r="C812" s="35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</row>
    <row r="813">
      <c r="A813" s="34"/>
      <c r="B813" s="34"/>
      <c r="C813" s="35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</row>
    <row r="814">
      <c r="A814" s="34"/>
      <c r="B814" s="34"/>
      <c r="C814" s="35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</row>
    <row r="815">
      <c r="A815" s="34"/>
      <c r="B815" s="34"/>
      <c r="C815" s="35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</row>
    <row r="816">
      <c r="A816" s="34"/>
      <c r="B816" s="34"/>
      <c r="C816" s="35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</row>
    <row r="817">
      <c r="A817" s="34"/>
      <c r="B817" s="34"/>
      <c r="C817" s="35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</row>
    <row r="818">
      <c r="A818" s="34"/>
      <c r="B818" s="34"/>
      <c r="C818" s="35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</row>
    <row r="819">
      <c r="A819" s="34"/>
      <c r="B819" s="34"/>
      <c r="C819" s="35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</row>
    <row r="820">
      <c r="A820" s="34"/>
      <c r="B820" s="34"/>
      <c r="C820" s="35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</row>
    <row r="821">
      <c r="A821" s="34"/>
      <c r="B821" s="34"/>
      <c r="C821" s="35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</row>
    <row r="822">
      <c r="A822" s="34"/>
      <c r="B822" s="34"/>
      <c r="C822" s="35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</row>
    <row r="823">
      <c r="A823" s="34"/>
      <c r="B823" s="34"/>
      <c r="C823" s="35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</row>
    <row r="824">
      <c r="A824" s="34"/>
      <c r="B824" s="34"/>
      <c r="C824" s="35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</row>
    <row r="825">
      <c r="A825" s="34"/>
      <c r="B825" s="34"/>
      <c r="C825" s="35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</row>
    <row r="826">
      <c r="A826" s="34"/>
      <c r="B826" s="34"/>
      <c r="C826" s="35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</row>
    <row r="827">
      <c r="A827" s="34"/>
      <c r="B827" s="34"/>
      <c r="C827" s="35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</row>
    <row r="828">
      <c r="A828" s="34"/>
      <c r="B828" s="34"/>
      <c r="C828" s="35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</row>
    <row r="829">
      <c r="A829" s="34"/>
      <c r="B829" s="34"/>
      <c r="C829" s="35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</row>
    <row r="830">
      <c r="A830" s="34"/>
      <c r="B830" s="34"/>
      <c r="C830" s="35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</row>
    <row r="831">
      <c r="A831" s="34"/>
      <c r="B831" s="34"/>
      <c r="C831" s="35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</row>
    <row r="832">
      <c r="A832" s="34"/>
      <c r="B832" s="34"/>
      <c r="C832" s="35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</row>
    <row r="833">
      <c r="A833" s="34"/>
      <c r="B833" s="34"/>
      <c r="C833" s="35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</row>
    <row r="834">
      <c r="A834" s="34"/>
      <c r="B834" s="34"/>
      <c r="C834" s="35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</row>
    <row r="835">
      <c r="A835" s="34"/>
      <c r="B835" s="34"/>
      <c r="C835" s="35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</row>
    <row r="836">
      <c r="A836" s="34"/>
      <c r="B836" s="34"/>
      <c r="C836" s="35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</row>
    <row r="837">
      <c r="A837" s="34"/>
      <c r="B837" s="34"/>
      <c r="C837" s="35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</row>
    <row r="838">
      <c r="A838" s="34"/>
      <c r="B838" s="34"/>
      <c r="C838" s="35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</row>
    <row r="839">
      <c r="A839" s="34"/>
      <c r="B839" s="34"/>
      <c r="C839" s="35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</row>
    <row r="840">
      <c r="A840" s="34"/>
      <c r="B840" s="34"/>
      <c r="C840" s="35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</row>
    <row r="841">
      <c r="A841" s="34"/>
      <c r="B841" s="34"/>
      <c r="C841" s="35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</row>
    <row r="842">
      <c r="A842" s="34"/>
      <c r="B842" s="34"/>
      <c r="C842" s="35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</row>
    <row r="843">
      <c r="A843" s="34"/>
      <c r="B843" s="34"/>
      <c r="C843" s="35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</row>
    <row r="844">
      <c r="A844" s="34"/>
      <c r="B844" s="34"/>
      <c r="C844" s="35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</row>
    <row r="845">
      <c r="A845" s="34"/>
      <c r="B845" s="34"/>
      <c r="C845" s="35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</row>
    <row r="846">
      <c r="A846" s="34"/>
      <c r="B846" s="34"/>
      <c r="C846" s="35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</row>
    <row r="847">
      <c r="A847" s="34"/>
      <c r="B847" s="34"/>
      <c r="C847" s="35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</row>
    <row r="848">
      <c r="A848" s="34"/>
      <c r="B848" s="34"/>
      <c r="C848" s="35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</row>
    <row r="849">
      <c r="A849" s="34"/>
      <c r="B849" s="34"/>
      <c r="C849" s="35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</row>
    <row r="850">
      <c r="A850" s="34"/>
      <c r="B850" s="34"/>
      <c r="C850" s="35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</row>
    <row r="851">
      <c r="A851" s="34"/>
      <c r="B851" s="34"/>
      <c r="C851" s="35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</row>
    <row r="852">
      <c r="A852" s="34"/>
      <c r="B852" s="34"/>
      <c r="C852" s="35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</row>
    <row r="853">
      <c r="A853" s="34"/>
      <c r="B853" s="34"/>
      <c r="C853" s="35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</row>
    <row r="854">
      <c r="A854" s="34"/>
      <c r="B854" s="34"/>
      <c r="C854" s="35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</row>
    <row r="855">
      <c r="A855" s="34"/>
      <c r="B855" s="34"/>
      <c r="C855" s="35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</row>
    <row r="856">
      <c r="A856" s="34"/>
      <c r="B856" s="34"/>
      <c r="C856" s="35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</row>
    <row r="857">
      <c r="A857" s="34"/>
      <c r="B857" s="34"/>
      <c r="C857" s="35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</row>
    <row r="858">
      <c r="A858" s="34"/>
      <c r="B858" s="34"/>
      <c r="C858" s="35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</row>
    <row r="859">
      <c r="A859" s="34"/>
      <c r="B859" s="34"/>
      <c r="C859" s="35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</row>
    <row r="860">
      <c r="A860" s="34"/>
      <c r="B860" s="34"/>
      <c r="C860" s="35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</row>
    <row r="861">
      <c r="A861" s="34"/>
      <c r="B861" s="34"/>
      <c r="C861" s="35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</row>
    <row r="862">
      <c r="A862" s="34"/>
      <c r="B862" s="34"/>
      <c r="C862" s="35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</row>
    <row r="863">
      <c r="A863" s="34"/>
      <c r="B863" s="34"/>
      <c r="C863" s="35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</row>
    <row r="864">
      <c r="A864" s="34"/>
      <c r="B864" s="34"/>
      <c r="C864" s="35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</row>
    <row r="865">
      <c r="A865" s="34"/>
      <c r="B865" s="34"/>
      <c r="C865" s="35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</row>
    <row r="866">
      <c r="A866" s="34"/>
      <c r="B866" s="34"/>
      <c r="C866" s="35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</row>
    <row r="867">
      <c r="A867" s="34"/>
      <c r="B867" s="34"/>
      <c r="C867" s="35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</row>
    <row r="868">
      <c r="A868" s="34"/>
      <c r="B868" s="34"/>
      <c r="C868" s="35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</row>
    <row r="869">
      <c r="A869" s="34"/>
      <c r="B869" s="34"/>
      <c r="C869" s="35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</row>
    <row r="870">
      <c r="A870" s="34"/>
      <c r="B870" s="34"/>
      <c r="C870" s="35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</row>
    <row r="871">
      <c r="A871" s="34"/>
      <c r="B871" s="34"/>
      <c r="C871" s="35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</row>
    <row r="872">
      <c r="A872" s="34"/>
      <c r="B872" s="34"/>
      <c r="C872" s="35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</row>
    <row r="873">
      <c r="A873" s="34"/>
      <c r="B873" s="34"/>
      <c r="C873" s="35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</row>
    <row r="874">
      <c r="A874" s="34"/>
      <c r="B874" s="34"/>
      <c r="C874" s="35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</row>
    <row r="875">
      <c r="A875" s="34"/>
      <c r="B875" s="34"/>
      <c r="C875" s="35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</row>
    <row r="876">
      <c r="A876" s="34"/>
      <c r="B876" s="34"/>
      <c r="C876" s="35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</row>
    <row r="877">
      <c r="A877" s="34"/>
      <c r="B877" s="34"/>
      <c r="C877" s="35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</row>
    <row r="878">
      <c r="A878" s="34"/>
      <c r="B878" s="34"/>
      <c r="C878" s="35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</row>
    <row r="879">
      <c r="A879" s="34"/>
      <c r="B879" s="34"/>
      <c r="C879" s="35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</row>
    <row r="880">
      <c r="A880" s="34"/>
      <c r="B880" s="34"/>
      <c r="C880" s="35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</row>
    <row r="881">
      <c r="A881" s="34"/>
      <c r="B881" s="34"/>
      <c r="C881" s="35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</row>
    <row r="882">
      <c r="A882" s="34"/>
      <c r="B882" s="34"/>
      <c r="C882" s="35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</row>
    <row r="883">
      <c r="A883" s="34"/>
      <c r="B883" s="34"/>
      <c r="C883" s="35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</row>
    <row r="884">
      <c r="A884" s="34"/>
      <c r="B884" s="34"/>
      <c r="C884" s="35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</row>
    <row r="885">
      <c r="A885" s="34"/>
      <c r="B885" s="34"/>
      <c r="C885" s="35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</row>
    <row r="886">
      <c r="A886" s="34"/>
      <c r="B886" s="34"/>
      <c r="C886" s="35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</row>
    <row r="887">
      <c r="A887" s="34"/>
      <c r="B887" s="34"/>
      <c r="C887" s="35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</row>
    <row r="888">
      <c r="A888" s="34"/>
      <c r="B888" s="34"/>
      <c r="C888" s="35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</row>
    <row r="889">
      <c r="A889" s="34"/>
      <c r="B889" s="34"/>
      <c r="C889" s="35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</row>
    <row r="890">
      <c r="A890" s="34"/>
      <c r="B890" s="34"/>
      <c r="C890" s="35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</row>
    <row r="891">
      <c r="A891" s="34"/>
      <c r="B891" s="34"/>
      <c r="C891" s="35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</row>
    <row r="892">
      <c r="A892" s="34"/>
      <c r="B892" s="34"/>
      <c r="C892" s="35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</row>
    <row r="893">
      <c r="A893" s="34"/>
      <c r="B893" s="34"/>
      <c r="C893" s="35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</row>
    <row r="894">
      <c r="A894" s="34"/>
      <c r="B894" s="34"/>
      <c r="C894" s="35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</row>
    <row r="895">
      <c r="A895" s="34"/>
      <c r="B895" s="34"/>
      <c r="C895" s="35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</row>
    <row r="896">
      <c r="A896" s="34"/>
      <c r="B896" s="34"/>
      <c r="C896" s="35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</row>
    <row r="897">
      <c r="A897" s="34"/>
      <c r="B897" s="34"/>
      <c r="C897" s="35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</row>
    <row r="898">
      <c r="A898" s="34"/>
      <c r="B898" s="34"/>
      <c r="C898" s="35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</row>
    <row r="899">
      <c r="A899" s="34"/>
      <c r="B899" s="34"/>
      <c r="C899" s="35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</row>
    <row r="900">
      <c r="A900" s="34"/>
      <c r="B900" s="34"/>
      <c r="C900" s="35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</row>
    <row r="901">
      <c r="A901" s="34"/>
      <c r="B901" s="34"/>
      <c r="C901" s="35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</row>
    <row r="902">
      <c r="A902" s="34"/>
      <c r="B902" s="34"/>
      <c r="C902" s="35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</row>
    <row r="903">
      <c r="A903" s="34"/>
      <c r="B903" s="34"/>
      <c r="C903" s="35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</row>
    <row r="904">
      <c r="A904" s="34"/>
      <c r="B904" s="34"/>
      <c r="C904" s="35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</row>
    <row r="905">
      <c r="A905" s="34"/>
      <c r="B905" s="34"/>
      <c r="C905" s="35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</row>
    <row r="906">
      <c r="A906" s="34"/>
      <c r="B906" s="34"/>
      <c r="C906" s="35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</row>
    <row r="907">
      <c r="A907" s="34"/>
      <c r="B907" s="34"/>
      <c r="C907" s="35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</row>
    <row r="908">
      <c r="A908" s="34"/>
      <c r="B908" s="34"/>
      <c r="C908" s="35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</row>
    <row r="909">
      <c r="A909" s="34"/>
      <c r="B909" s="34"/>
      <c r="C909" s="35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</row>
    <row r="910">
      <c r="A910" s="34"/>
      <c r="B910" s="34"/>
      <c r="C910" s="35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</row>
    <row r="911">
      <c r="A911" s="34"/>
      <c r="B911" s="34"/>
      <c r="C911" s="35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</row>
    <row r="912">
      <c r="A912" s="34"/>
      <c r="B912" s="34"/>
      <c r="C912" s="35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</row>
    <row r="913">
      <c r="A913" s="34"/>
      <c r="B913" s="34"/>
      <c r="C913" s="35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</row>
    <row r="914">
      <c r="A914" s="34"/>
      <c r="B914" s="34"/>
      <c r="C914" s="35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</row>
    <row r="915">
      <c r="A915" s="34"/>
      <c r="B915" s="34"/>
      <c r="C915" s="35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</row>
    <row r="916">
      <c r="A916" s="34"/>
      <c r="B916" s="34"/>
      <c r="C916" s="35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</row>
    <row r="917">
      <c r="A917" s="34"/>
      <c r="B917" s="34"/>
      <c r="C917" s="35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</row>
    <row r="918">
      <c r="A918" s="34"/>
      <c r="B918" s="34"/>
      <c r="C918" s="35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</row>
    <row r="919">
      <c r="A919" s="34"/>
      <c r="B919" s="34"/>
      <c r="C919" s="35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</row>
    <row r="920">
      <c r="A920" s="34"/>
      <c r="B920" s="34"/>
      <c r="C920" s="35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</row>
    <row r="921">
      <c r="A921" s="34"/>
      <c r="B921" s="34"/>
      <c r="C921" s="35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</row>
    <row r="922">
      <c r="A922" s="34"/>
      <c r="B922" s="34"/>
      <c r="C922" s="35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</row>
    <row r="923">
      <c r="A923" s="34"/>
      <c r="B923" s="34"/>
      <c r="C923" s="35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</row>
    <row r="924">
      <c r="A924" s="34"/>
      <c r="B924" s="34"/>
      <c r="C924" s="35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</row>
    <row r="925">
      <c r="A925" s="34"/>
      <c r="B925" s="34"/>
      <c r="C925" s="35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</row>
    <row r="926">
      <c r="A926" s="34"/>
      <c r="B926" s="34"/>
      <c r="C926" s="35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</row>
    <row r="927">
      <c r="A927" s="34"/>
      <c r="B927" s="34"/>
      <c r="C927" s="35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</row>
    <row r="928">
      <c r="A928" s="34"/>
      <c r="B928" s="34"/>
      <c r="C928" s="35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</row>
    <row r="929">
      <c r="A929" s="34"/>
      <c r="B929" s="34"/>
      <c r="C929" s="35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</row>
    <row r="930">
      <c r="A930" s="34"/>
      <c r="B930" s="34"/>
      <c r="C930" s="35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</row>
    <row r="931">
      <c r="A931" s="34"/>
      <c r="B931" s="34"/>
      <c r="C931" s="35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</row>
    <row r="932">
      <c r="A932" s="34"/>
      <c r="B932" s="34"/>
      <c r="C932" s="35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</row>
    <row r="933">
      <c r="A933" s="34"/>
      <c r="B933" s="34"/>
      <c r="C933" s="35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</row>
    <row r="934">
      <c r="A934" s="34"/>
      <c r="B934" s="34"/>
      <c r="C934" s="35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</row>
    <row r="935">
      <c r="A935" s="34"/>
      <c r="B935" s="34"/>
      <c r="C935" s="35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</row>
    <row r="936">
      <c r="A936" s="34"/>
      <c r="B936" s="34"/>
      <c r="C936" s="35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</row>
    <row r="937">
      <c r="A937" s="34"/>
      <c r="B937" s="34"/>
      <c r="C937" s="35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</row>
    <row r="938">
      <c r="A938" s="34"/>
      <c r="B938" s="34"/>
      <c r="C938" s="35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</row>
    <row r="939">
      <c r="A939" s="34"/>
      <c r="B939" s="34"/>
      <c r="C939" s="35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</row>
    <row r="940">
      <c r="A940" s="34"/>
      <c r="B940" s="34"/>
      <c r="C940" s="35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</row>
    <row r="941">
      <c r="A941" s="34"/>
      <c r="B941" s="34"/>
      <c r="C941" s="35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</row>
    <row r="942">
      <c r="A942" s="34"/>
      <c r="B942" s="34"/>
      <c r="C942" s="35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</row>
    <row r="943">
      <c r="A943" s="34"/>
      <c r="B943" s="34"/>
      <c r="C943" s="35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</row>
    <row r="944">
      <c r="A944" s="34"/>
      <c r="B944" s="34"/>
      <c r="C944" s="35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</row>
    <row r="945">
      <c r="A945" s="34"/>
      <c r="B945" s="34"/>
      <c r="C945" s="35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</row>
    <row r="946">
      <c r="A946" s="34"/>
      <c r="B946" s="34"/>
      <c r="C946" s="35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</row>
    <row r="947">
      <c r="A947" s="34"/>
      <c r="B947" s="34"/>
      <c r="C947" s="35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</row>
    <row r="948">
      <c r="A948" s="34"/>
      <c r="B948" s="34"/>
      <c r="C948" s="35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</row>
    <row r="949">
      <c r="A949" s="34"/>
      <c r="B949" s="34"/>
      <c r="C949" s="35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</row>
    <row r="950">
      <c r="A950" s="34"/>
      <c r="B950" s="34"/>
      <c r="C950" s="35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</row>
    <row r="951">
      <c r="A951" s="34"/>
      <c r="B951" s="34"/>
      <c r="C951" s="35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</row>
    <row r="952">
      <c r="A952" s="34"/>
      <c r="B952" s="34"/>
      <c r="C952" s="35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</row>
    <row r="953">
      <c r="A953" s="34"/>
      <c r="B953" s="34"/>
      <c r="C953" s="35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</row>
    <row r="954">
      <c r="A954" s="34"/>
      <c r="B954" s="34"/>
      <c r="C954" s="35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</row>
    <row r="955">
      <c r="A955" s="34"/>
      <c r="B955" s="34"/>
      <c r="C955" s="35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</row>
    <row r="956">
      <c r="A956" s="34"/>
      <c r="B956" s="34"/>
      <c r="C956" s="35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</row>
    <row r="957">
      <c r="A957" s="34"/>
      <c r="B957" s="34"/>
      <c r="C957" s="35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</row>
    <row r="958">
      <c r="A958" s="34"/>
      <c r="B958" s="34"/>
      <c r="C958" s="35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</row>
    <row r="959">
      <c r="A959" s="34"/>
      <c r="B959" s="34"/>
      <c r="C959" s="35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</row>
    <row r="960">
      <c r="A960" s="34"/>
      <c r="B960" s="34"/>
      <c r="C960" s="35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</row>
    <row r="961">
      <c r="A961" s="34"/>
      <c r="B961" s="34"/>
      <c r="C961" s="35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</row>
    <row r="962">
      <c r="A962" s="34"/>
      <c r="B962" s="34"/>
      <c r="C962" s="35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</row>
    <row r="963">
      <c r="A963" s="34"/>
      <c r="B963" s="34"/>
      <c r="C963" s="35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</row>
    <row r="964">
      <c r="A964" s="34"/>
      <c r="B964" s="34"/>
      <c r="C964" s="35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</row>
    <row r="965">
      <c r="A965" s="34"/>
      <c r="B965" s="34"/>
      <c r="C965" s="35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</row>
    <row r="966">
      <c r="A966" s="34"/>
      <c r="B966" s="34"/>
      <c r="C966" s="35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</row>
    <row r="967">
      <c r="A967" s="34"/>
      <c r="B967" s="34"/>
      <c r="C967" s="35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</row>
    <row r="968">
      <c r="A968" s="34"/>
      <c r="B968" s="34"/>
      <c r="C968" s="35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</row>
    <row r="969">
      <c r="A969" s="34"/>
      <c r="B969" s="34"/>
      <c r="C969" s="35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</row>
    <row r="970">
      <c r="A970" s="34"/>
      <c r="B970" s="34"/>
      <c r="C970" s="35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</row>
    <row r="971">
      <c r="A971" s="34"/>
      <c r="B971" s="34"/>
      <c r="C971" s="35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</row>
    <row r="972">
      <c r="A972" s="34"/>
      <c r="B972" s="34"/>
      <c r="C972" s="35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</row>
    <row r="973">
      <c r="A973" s="34"/>
      <c r="B973" s="34"/>
      <c r="C973" s="35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</row>
    <row r="974">
      <c r="A974" s="34"/>
      <c r="B974" s="34"/>
      <c r="C974" s="35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</row>
    <row r="975">
      <c r="A975" s="34"/>
      <c r="B975" s="34"/>
      <c r="C975" s="35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</row>
    <row r="976">
      <c r="A976" s="34"/>
      <c r="B976" s="34"/>
      <c r="C976" s="35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</row>
    <row r="977">
      <c r="A977" s="34"/>
      <c r="B977" s="34"/>
      <c r="C977" s="35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</row>
    <row r="978">
      <c r="A978" s="34"/>
      <c r="B978" s="34"/>
      <c r="C978" s="35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</row>
    <row r="979">
      <c r="A979" s="34"/>
      <c r="B979" s="34"/>
      <c r="C979" s="35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</row>
    <row r="980">
      <c r="A980" s="34"/>
      <c r="B980" s="34"/>
      <c r="C980" s="35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</row>
    <row r="981">
      <c r="A981" s="34"/>
      <c r="B981" s="34"/>
      <c r="C981" s="35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</row>
    <row r="982">
      <c r="A982" s="34"/>
      <c r="B982" s="34"/>
      <c r="C982" s="35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</row>
    <row r="983">
      <c r="A983" s="34"/>
      <c r="B983" s="34"/>
      <c r="C983" s="35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</row>
    <row r="984">
      <c r="A984" s="34"/>
      <c r="B984" s="34"/>
      <c r="C984" s="35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</row>
    <row r="985">
      <c r="A985" s="34"/>
      <c r="B985" s="34"/>
      <c r="C985" s="35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</row>
    <row r="986">
      <c r="A986" s="34"/>
      <c r="B986" s="34"/>
      <c r="C986" s="35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</row>
    <row r="987">
      <c r="A987" s="34"/>
      <c r="B987" s="34"/>
      <c r="C987" s="35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</row>
    <row r="988">
      <c r="A988" s="34"/>
      <c r="B988" s="34"/>
      <c r="C988" s="35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</row>
    <row r="989">
      <c r="A989" s="34"/>
      <c r="B989" s="34"/>
      <c r="C989" s="35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</row>
    <row r="990">
      <c r="A990" s="34"/>
      <c r="B990" s="34"/>
      <c r="C990" s="35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</row>
    <row r="991">
      <c r="A991" s="34"/>
      <c r="B991" s="34"/>
      <c r="C991" s="35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</row>
    <row r="992">
      <c r="A992" s="34"/>
      <c r="B992" s="34"/>
      <c r="C992" s="35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</row>
    <row r="993">
      <c r="A993" s="34"/>
      <c r="B993" s="34"/>
      <c r="C993" s="35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</row>
    <row r="994">
      <c r="A994" s="34"/>
      <c r="B994" s="34"/>
      <c r="C994" s="35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</row>
    <row r="995">
      <c r="A995" s="34"/>
      <c r="B995" s="34"/>
      <c r="C995" s="35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</row>
    <row r="996">
      <c r="A996" s="34"/>
      <c r="B996" s="34"/>
      <c r="C996" s="35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</row>
    <row r="997">
      <c r="A997" s="34"/>
      <c r="B997" s="34"/>
      <c r="C997" s="35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</row>
    <row r="998">
      <c r="A998" s="34"/>
      <c r="B998" s="34"/>
      <c r="C998" s="35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</row>
    <row r="999">
      <c r="A999" s="34"/>
      <c r="B999" s="34"/>
      <c r="C999" s="35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</row>
    <row r="1000">
      <c r="A1000" s="34"/>
      <c r="B1000" s="34"/>
      <c r="C1000" s="35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</row>
    <row r="1001">
      <c r="A1001" s="34"/>
      <c r="B1001" s="34"/>
      <c r="C1001" s="35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</row>
    <row r="1002">
      <c r="A1002" s="34"/>
      <c r="B1002" s="34"/>
      <c r="C1002" s="35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</row>
    <row r="1003">
      <c r="A1003" s="34"/>
      <c r="B1003" s="34"/>
      <c r="C1003" s="35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</row>
    <row r="1004">
      <c r="A1004" s="34"/>
      <c r="B1004" s="34"/>
      <c r="C1004" s="35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</row>
    <row r="1005">
      <c r="A1005" s="34"/>
      <c r="B1005" s="34"/>
      <c r="C1005" s="35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</row>
    <row r="1006">
      <c r="A1006" s="34"/>
      <c r="B1006" s="34"/>
      <c r="C1006" s="35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</row>
    <row r="1007">
      <c r="A1007" s="34"/>
      <c r="B1007" s="34"/>
      <c r="C1007" s="35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</row>
    <row r="1008">
      <c r="A1008" s="34"/>
      <c r="B1008" s="34"/>
      <c r="C1008" s="35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</row>
    <row r="1009">
      <c r="A1009" s="34"/>
      <c r="B1009" s="34"/>
      <c r="C1009" s="35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</row>
    <row r="1010">
      <c r="A1010" s="34"/>
      <c r="B1010" s="34"/>
      <c r="C1010" s="35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</row>
    <row r="1011">
      <c r="A1011" s="34"/>
      <c r="B1011" s="34"/>
      <c r="C1011" s="35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</row>
    <row r="1012">
      <c r="A1012" s="34"/>
      <c r="B1012" s="34"/>
      <c r="C1012" s="35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</row>
    <row r="1013">
      <c r="A1013" s="34"/>
      <c r="B1013" s="34"/>
      <c r="C1013" s="35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</row>
    <row r="1014">
      <c r="A1014" s="34"/>
      <c r="B1014" s="34"/>
      <c r="C1014" s="35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</row>
    <row r="1015">
      <c r="A1015" s="34"/>
      <c r="B1015" s="34"/>
      <c r="C1015" s="35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</row>
    <row r="1016">
      <c r="A1016" s="34"/>
      <c r="B1016" s="34"/>
      <c r="C1016" s="35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</row>
    <row r="1017">
      <c r="A1017" s="34"/>
      <c r="B1017" s="34"/>
      <c r="C1017" s="35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</row>
    <row r="1018">
      <c r="A1018" s="34"/>
      <c r="B1018" s="34"/>
      <c r="C1018" s="35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</row>
    <row r="1019">
      <c r="A1019" s="34"/>
      <c r="B1019" s="34"/>
      <c r="C1019" s="35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</row>
    <row r="1020">
      <c r="A1020" s="34"/>
      <c r="B1020" s="34"/>
      <c r="C1020" s="35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</row>
    <row r="1021">
      <c r="A1021" s="34"/>
      <c r="B1021" s="34"/>
      <c r="C1021" s="35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</row>
    <row r="1022">
      <c r="A1022" s="34"/>
      <c r="B1022" s="34"/>
      <c r="C1022" s="35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</row>
    <row r="1023">
      <c r="A1023" s="34"/>
      <c r="B1023" s="34"/>
      <c r="C1023" s="35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</row>
    <row r="1024">
      <c r="A1024" s="34"/>
      <c r="B1024" s="34"/>
      <c r="C1024" s="35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</row>
    <row r="1025">
      <c r="A1025" s="34"/>
      <c r="B1025" s="34"/>
      <c r="C1025" s="35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</row>
    <row r="1026">
      <c r="A1026" s="34"/>
      <c r="B1026" s="34"/>
      <c r="C1026" s="35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</row>
    <row r="1027">
      <c r="A1027" s="34"/>
      <c r="B1027" s="34"/>
      <c r="C1027" s="35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</row>
    <row r="1028">
      <c r="A1028" s="34"/>
      <c r="B1028" s="34"/>
      <c r="C1028" s="35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</row>
    <row r="1029">
      <c r="A1029" s="34"/>
      <c r="B1029" s="34"/>
      <c r="C1029" s="35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</row>
    <row r="1030">
      <c r="A1030" s="34"/>
      <c r="B1030" s="34"/>
      <c r="C1030" s="35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</row>
    <row r="1031">
      <c r="A1031" s="34"/>
      <c r="B1031" s="34"/>
      <c r="C1031" s="35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</row>
    <row r="1032">
      <c r="A1032" s="34"/>
      <c r="B1032" s="34"/>
      <c r="C1032" s="35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</row>
    <row r="1033">
      <c r="A1033" s="34"/>
      <c r="B1033" s="34"/>
      <c r="C1033" s="35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</row>
    <row r="1034">
      <c r="A1034" s="34"/>
      <c r="B1034" s="34"/>
      <c r="C1034" s="35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</row>
    <row r="1035">
      <c r="A1035" s="34"/>
      <c r="B1035" s="34"/>
      <c r="C1035" s="35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</row>
    <row r="1036">
      <c r="A1036" s="34"/>
      <c r="B1036" s="34"/>
      <c r="C1036" s="35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</row>
    <row r="1037">
      <c r="A1037" s="34"/>
      <c r="B1037" s="34"/>
      <c r="C1037" s="35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</row>
    <row r="1038">
      <c r="A1038" s="34"/>
      <c r="B1038" s="34"/>
      <c r="C1038" s="35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</row>
    <row r="1039">
      <c r="A1039" s="34"/>
      <c r="B1039" s="34"/>
      <c r="C1039" s="35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</row>
    <row r="1040">
      <c r="A1040" s="34"/>
      <c r="B1040" s="34"/>
      <c r="C1040" s="35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</row>
    <row r="1041">
      <c r="A1041" s="34"/>
      <c r="B1041" s="34"/>
      <c r="C1041" s="35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</row>
    <row r="1042">
      <c r="A1042" s="34"/>
      <c r="B1042" s="34"/>
      <c r="C1042" s="35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</row>
    <row r="1043">
      <c r="A1043" s="34"/>
      <c r="B1043" s="34"/>
      <c r="C1043" s="35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</row>
    <row r="1044">
      <c r="A1044" s="34"/>
      <c r="B1044" s="34"/>
      <c r="C1044" s="35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</row>
    <row r="1045">
      <c r="A1045" s="34"/>
      <c r="B1045" s="34"/>
      <c r="C1045" s="35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</row>
    <row r="1046">
      <c r="A1046" s="34"/>
      <c r="B1046" s="34"/>
      <c r="C1046" s="35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</row>
    <row r="1047">
      <c r="A1047" s="34"/>
      <c r="B1047" s="34"/>
      <c r="C1047" s="35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</row>
    <row r="1048">
      <c r="A1048" s="34"/>
      <c r="B1048" s="34"/>
      <c r="C1048" s="35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</row>
    <row r="1049">
      <c r="A1049" s="34"/>
      <c r="B1049" s="34"/>
      <c r="C1049" s="35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</row>
    <row r="1050">
      <c r="A1050" s="34"/>
      <c r="B1050" s="34"/>
      <c r="C1050" s="35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</row>
    <row r="1051">
      <c r="A1051" s="34"/>
      <c r="B1051" s="34"/>
      <c r="C1051" s="35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</row>
    <row r="1052">
      <c r="A1052" s="34"/>
      <c r="B1052" s="34"/>
      <c r="C1052" s="35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</row>
    <row r="1053">
      <c r="A1053" s="34"/>
      <c r="B1053" s="34"/>
      <c r="C1053" s="35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</row>
    <row r="1054">
      <c r="A1054" s="34"/>
      <c r="B1054" s="34"/>
      <c r="C1054" s="35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</row>
    <row r="1055">
      <c r="A1055" s="34"/>
      <c r="B1055" s="34"/>
      <c r="C1055" s="35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</row>
    <row r="1056">
      <c r="A1056" s="34"/>
      <c r="B1056" s="34"/>
      <c r="C1056" s="35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</row>
    <row r="1057">
      <c r="A1057" s="34"/>
      <c r="B1057" s="34"/>
      <c r="C1057" s="35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</row>
    <row r="1058">
      <c r="A1058" s="34"/>
      <c r="B1058" s="34"/>
      <c r="C1058" s="35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</row>
    <row r="1059">
      <c r="A1059" s="34"/>
      <c r="B1059" s="34"/>
      <c r="C1059" s="35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</row>
    <row r="1060">
      <c r="A1060" s="34"/>
      <c r="B1060" s="34"/>
      <c r="C1060" s="35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</row>
    <row r="1061">
      <c r="A1061" s="34"/>
      <c r="B1061" s="34"/>
      <c r="C1061" s="35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</row>
    <row r="1062">
      <c r="A1062" s="34"/>
      <c r="B1062" s="34"/>
      <c r="C1062" s="35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</row>
    <row r="1063">
      <c r="A1063" s="34"/>
      <c r="B1063" s="34"/>
      <c r="C1063" s="35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</row>
    <row r="1064">
      <c r="A1064" s="34"/>
      <c r="B1064" s="34"/>
      <c r="C1064" s="35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</row>
    <row r="1065">
      <c r="A1065" s="34"/>
      <c r="B1065" s="34"/>
      <c r="C1065" s="35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</row>
    <row r="1066">
      <c r="A1066" s="34"/>
      <c r="B1066" s="34"/>
      <c r="C1066" s="35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</row>
    <row r="1067">
      <c r="A1067" s="34"/>
      <c r="B1067" s="34"/>
      <c r="C1067" s="35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</row>
    <row r="1068">
      <c r="A1068" s="34"/>
      <c r="B1068" s="34"/>
      <c r="C1068" s="35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</row>
    <row r="1069">
      <c r="A1069" s="34"/>
      <c r="B1069" s="34"/>
      <c r="C1069" s="35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</row>
    <row r="1070">
      <c r="A1070" s="34"/>
      <c r="B1070" s="34"/>
      <c r="C1070" s="35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</row>
    <row r="1071">
      <c r="A1071" s="34"/>
      <c r="B1071" s="34"/>
      <c r="C1071" s="35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</row>
    <row r="1072">
      <c r="A1072" s="34"/>
      <c r="B1072" s="34"/>
      <c r="C1072" s="35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</row>
    <row r="1073">
      <c r="A1073" s="34"/>
      <c r="B1073" s="34"/>
      <c r="C1073" s="35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</row>
    <row r="1074">
      <c r="A1074" s="34"/>
      <c r="B1074" s="34"/>
      <c r="C1074" s="35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</row>
    <row r="1075">
      <c r="A1075" s="34"/>
      <c r="B1075" s="34"/>
      <c r="C1075" s="35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</row>
    <row r="1076">
      <c r="A1076" s="34"/>
      <c r="B1076" s="34"/>
      <c r="C1076" s="35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</row>
    <row r="1077">
      <c r="A1077" s="34"/>
      <c r="B1077" s="34"/>
      <c r="C1077" s="35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</row>
    <row r="1078">
      <c r="A1078" s="34"/>
      <c r="B1078" s="34"/>
      <c r="C1078" s="35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</row>
    <row r="1079">
      <c r="A1079" s="34"/>
      <c r="B1079" s="34"/>
      <c r="C1079" s="35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</row>
    <row r="1080">
      <c r="A1080" s="34"/>
      <c r="B1080" s="34"/>
      <c r="C1080" s="35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</row>
    <row r="1081">
      <c r="A1081" s="34"/>
      <c r="B1081" s="34"/>
      <c r="C1081" s="35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</row>
    <row r="1082">
      <c r="A1082" s="34"/>
      <c r="B1082" s="34"/>
      <c r="C1082" s="35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</row>
    <row r="1083">
      <c r="A1083" s="34"/>
      <c r="B1083" s="34"/>
      <c r="C1083" s="35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</row>
    <row r="1084">
      <c r="A1084" s="34"/>
      <c r="B1084" s="34"/>
      <c r="C1084" s="35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</row>
    <row r="1085">
      <c r="A1085" s="34"/>
      <c r="B1085" s="34"/>
      <c r="C1085" s="35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</row>
    <row r="1086">
      <c r="A1086" s="34"/>
      <c r="B1086" s="34"/>
      <c r="C1086" s="35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</row>
    <row r="1087">
      <c r="A1087" s="34"/>
      <c r="B1087" s="34"/>
      <c r="C1087" s="35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</row>
    <row r="1088">
      <c r="A1088" s="34"/>
      <c r="B1088" s="34"/>
      <c r="C1088" s="35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</row>
    <row r="1089">
      <c r="A1089" s="34"/>
      <c r="B1089" s="34"/>
      <c r="C1089" s="35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</row>
    <row r="1090">
      <c r="A1090" s="34"/>
      <c r="B1090" s="34"/>
      <c r="C1090" s="35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</row>
    <row r="1091">
      <c r="A1091" s="34"/>
      <c r="B1091" s="34"/>
      <c r="C1091" s="35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</row>
    <row r="1092">
      <c r="A1092" s="34"/>
      <c r="B1092" s="34"/>
      <c r="C1092" s="35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</row>
    <row r="1093">
      <c r="A1093" s="34"/>
      <c r="B1093" s="34"/>
      <c r="C1093" s="35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</row>
    <row r="1094">
      <c r="A1094" s="34"/>
      <c r="B1094" s="34"/>
      <c r="C1094" s="35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</row>
    <row r="1095">
      <c r="A1095" s="34"/>
      <c r="B1095" s="34"/>
      <c r="C1095" s="35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</row>
    <row r="1096">
      <c r="A1096" s="34"/>
      <c r="B1096" s="34"/>
      <c r="C1096" s="35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</row>
    <row r="1097">
      <c r="A1097" s="34"/>
      <c r="B1097" s="34"/>
      <c r="C1097" s="35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</row>
    <row r="1098">
      <c r="A1098" s="34"/>
      <c r="B1098" s="34"/>
      <c r="C1098" s="35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</row>
    <row r="1099">
      <c r="A1099" s="34"/>
      <c r="B1099" s="34"/>
      <c r="C1099" s="35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</row>
    <row r="1100">
      <c r="A1100" s="34"/>
      <c r="B1100" s="34"/>
      <c r="C1100" s="35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</row>
    <row r="1101">
      <c r="A1101" s="34"/>
      <c r="B1101" s="34"/>
      <c r="C1101" s="35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</row>
    <row r="1102">
      <c r="A1102" s="34"/>
      <c r="B1102" s="34"/>
      <c r="C1102" s="35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</row>
    <row r="1103">
      <c r="A1103" s="34"/>
      <c r="B1103" s="34"/>
      <c r="C1103" s="35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</row>
    <row r="1104">
      <c r="A1104" s="34"/>
      <c r="B1104" s="34"/>
      <c r="C1104" s="35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</row>
    <row r="1105">
      <c r="A1105" s="34"/>
      <c r="B1105" s="34"/>
      <c r="C1105" s="35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</row>
    <row r="1106">
      <c r="A1106" s="34"/>
      <c r="B1106" s="34"/>
      <c r="C1106" s="35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</row>
    <row r="1107">
      <c r="A1107" s="34"/>
      <c r="B1107" s="34"/>
      <c r="C1107" s="35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</row>
    <row r="1108">
      <c r="A1108" s="34"/>
      <c r="B1108" s="34"/>
      <c r="C1108" s="35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</row>
    <row r="1109">
      <c r="A1109" s="34"/>
      <c r="B1109" s="34"/>
      <c r="C1109" s="35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</row>
    <row r="1110">
      <c r="A1110" s="34"/>
      <c r="B1110" s="34"/>
      <c r="C1110" s="35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</row>
    <row r="1111">
      <c r="A1111" s="34"/>
      <c r="B1111" s="34"/>
      <c r="C1111" s="35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</row>
    <row r="1112">
      <c r="A1112" s="34"/>
      <c r="B1112" s="34"/>
      <c r="C1112" s="35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</row>
    <row r="1113">
      <c r="A1113" s="34"/>
      <c r="B1113" s="34"/>
      <c r="C1113" s="35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</row>
    <row r="1114">
      <c r="A1114" s="34"/>
      <c r="B1114" s="34"/>
      <c r="C1114" s="35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</row>
    <row r="1115">
      <c r="A1115" s="34"/>
      <c r="B1115" s="34"/>
      <c r="C1115" s="35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</row>
    <row r="1116">
      <c r="A1116" s="34"/>
      <c r="B1116" s="34"/>
      <c r="C1116" s="35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</row>
    <row r="1117">
      <c r="A1117" s="34"/>
      <c r="B1117" s="34"/>
      <c r="C1117" s="35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</row>
    <row r="1118">
      <c r="A1118" s="34"/>
      <c r="B1118" s="34"/>
      <c r="C1118" s="35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</row>
    <row r="1119">
      <c r="A1119" s="34"/>
      <c r="B1119" s="34"/>
      <c r="C1119" s="35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</row>
    <row r="1120">
      <c r="A1120" s="34"/>
      <c r="B1120" s="34"/>
      <c r="C1120" s="35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</row>
    <row r="1121">
      <c r="A1121" s="34"/>
      <c r="B1121" s="34"/>
      <c r="C1121" s="35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</row>
    <row r="1122">
      <c r="A1122" s="34"/>
      <c r="B1122" s="34"/>
      <c r="C1122" s="35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</row>
    <row r="1123">
      <c r="A1123" s="34"/>
      <c r="B1123" s="34"/>
      <c r="C1123" s="35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</row>
    <row r="1124">
      <c r="A1124" s="34"/>
      <c r="B1124" s="34"/>
      <c r="C1124" s="35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</row>
    <row r="1125">
      <c r="A1125" s="34"/>
      <c r="B1125" s="34"/>
      <c r="C1125" s="35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</row>
    <row r="1126">
      <c r="A1126" s="34"/>
      <c r="B1126" s="34"/>
      <c r="C1126" s="35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</row>
    <row r="1127">
      <c r="A1127" s="34"/>
      <c r="B1127" s="34"/>
      <c r="C1127" s="35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</row>
    <row r="1128">
      <c r="A1128" s="34"/>
      <c r="B1128" s="34"/>
      <c r="C1128" s="35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</row>
    <row r="1129">
      <c r="A1129" s="34"/>
      <c r="B1129" s="34"/>
      <c r="C1129" s="35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</row>
    <row r="1130">
      <c r="A1130" s="34"/>
      <c r="B1130" s="34"/>
      <c r="C1130" s="35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</row>
    <row r="1131">
      <c r="A1131" s="34"/>
      <c r="B1131" s="34"/>
      <c r="C1131" s="35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</row>
    <row r="1132">
      <c r="A1132" s="34"/>
      <c r="B1132" s="34"/>
      <c r="C1132" s="35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</row>
    <row r="1133">
      <c r="A1133" s="34"/>
      <c r="B1133" s="34"/>
      <c r="C1133" s="35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</row>
    <row r="1134">
      <c r="A1134" s="34"/>
      <c r="B1134" s="34"/>
      <c r="C1134" s="35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</row>
    <row r="1135">
      <c r="A1135" s="34"/>
      <c r="B1135" s="34"/>
      <c r="C1135" s="35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</row>
    <row r="1136">
      <c r="A1136" s="34"/>
      <c r="B1136" s="34"/>
      <c r="C1136" s="35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</row>
    <row r="1137">
      <c r="A1137" s="34"/>
      <c r="B1137" s="34"/>
      <c r="C1137" s="35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</row>
    <row r="1138">
      <c r="A1138" s="34"/>
      <c r="B1138" s="34"/>
      <c r="C1138" s="35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</row>
    <row r="1139">
      <c r="A1139" s="34"/>
      <c r="B1139" s="34"/>
      <c r="C1139" s="35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</row>
    <row r="1140">
      <c r="A1140" s="34"/>
      <c r="B1140" s="34"/>
      <c r="C1140" s="35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</row>
    <row r="1141">
      <c r="A1141" s="34"/>
      <c r="B1141" s="34"/>
      <c r="C1141" s="35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</row>
    <row r="1142">
      <c r="A1142" s="34"/>
      <c r="B1142" s="34"/>
      <c r="C1142" s="35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</row>
    <row r="1143">
      <c r="A1143" s="34"/>
      <c r="B1143" s="34"/>
      <c r="C1143" s="35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</row>
    <row r="1144">
      <c r="A1144" s="34"/>
      <c r="B1144" s="34"/>
      <c r="C1144" s="35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</row>
    <row r="1145">
      <c r="A1145" s="34"/>
      <c r="B1145" s="34"/>
      <c r="C1145" s="35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</row>
    <row r="1146">
      <c r="A1146" s="34"/>
      <c r="B1146" s="34"/>
      <c r="C1146" s="35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</row>
    <row r="1147">
      <c r="A1147" s="34"/>
      <c r="B1147" s="34"/>
      <c r="C1147" s="35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</row>
    <row r="1148">
      <c r="A1148" s="34"/>
      <c r="B1148" s="34"/>
      <c r="C1148" s="35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</row>
    <row r="1149">
      <c r="A1149" s="34"/>
      <c r="B1149" s="34"/>
      <c r="C1149" s="35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</row>
    <row r="1150">
      <c r="A1150" s="34"/>
      <c r="B1150" s="34"/>
      <c r="C1150" s="35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</row>
    <row r="1151">
      <c r="A1151" s="34"/>
      <c r="B1151" s="34"/>
      <c r="C1151" s="35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</row>
    <row r="1152">
      <c r="A1152" s="34"/>
      <c r="B1152" s="34"/>
      <c r="C1152" s="35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</row>
    <row r="1153">
      <c r="A1153" s="34"/>
      <c r="B1153" s="34"/>
      <c r="C1153" s="35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</row>
    <row r="1154">
      <c r="A1154" s="34"/>
      <c r="B1154" s="34"/>
      <c r="C1154" s="35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</row>
    <row r="1155">
      <c r="A1155" s="34"/>
      <c r="B1155" s="34"/>
      <c r="C1155" s="35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</row>
    <row r="1156">
      <c r="A1156" s="34"/>
      <c r="B1156" s="34"/>
      <c r="C1156" s="35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</row>
    <row r="1157">
      <c r="A1157" s="34"/>
      <c r="B1157" s="34"/>
      <c r="C1157" s="35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</row>
    <row r="1158">
      <c r="A1158" s="34"/>
      <c r="B1158" s="34"/>
      <c r="C1158" s="35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</row>
    <row r="1159">
      <c r="A1159" s="34"/>
      <c r="B1159" s="34"/>
      <c r="C1159" s="35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</row>
    <row r="1160">
      <c r="A1160" s="34"/>
      <c r="B1160" s="34"/>
      <c r="C1160" s="35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</row>
    <row r="1161">
      <c r="A1161" s="34"/>
      <c r="B1161" s="34"/>
      <c r="C1161" s="35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</row>
    <row r="1162">
      <c r="A1162" s="34"/>
      <c r="B1162" s="34"/>
      <c r="C1162" s="35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</row>
    <row r="1163">
      <c r="A1163" s="34"/>
      <c r="B1163" s="34"/>
      <c r="C1163" s="35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</row>
    <row r="1164">
      <c r="A1164" s="34"/>
      <c r="B1164" s="34"/>
      <c r="C1164" s="35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</row>
    <row r="1165">
      <c r="A1165" s="34"/>
      <c r="B1165" s="34"/>
      <c r="C1165" s="35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</row>
    <row r="1166">
      <c r="A1166" s="34"/>
      <c r="B1166" s="34"/>
      <c r="C1166" s="35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</row>
    <row r="1167">
      <c r="A1167" s="34"/>
      <c r="B1167" s="34"/>
      <c r="C1167" s="35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</row>
    <row r="1168">
      <c r="A1168" s="34"/>
      <c r="B1168" s="34"/>
      <c r="C1168" s="35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</row>
    <row r="1169">
      <c r="A1169" s="34"/>
      <c r="B1169" s="34"/>
      <c r="C1169" s="35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</row>
    <row r="1170">
      <c r="A1170" s="34"/>
      <c r="B1170" s="34"/>
      <c r="C1170" s="35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</row>
    <row r="1171">
      <c r="A1171" s="34"/>
      <c r="B1171" s="34"/>
      <c r="C1171" s="35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</row>
    <row r="1172">
      <c r="A1172" s="34"/>
      <c r="B1172" s="34"/>
      <c r="C1172" s="35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</row>
    <row r="1173">
      <c r="A1173" s="34"/>
      <c r="B1173" s="34"/>
      <c r="C1173" s="35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</row>
    <row r="1174">
      <c r="A1174" s="34"/>
      <c r="B1174" s="34"/>
      <c r="C1174" s="35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</row>
    <row r="1175">
      <c r="A1175" s="34"/>
      <c r="B1175" s="34"/>
      <c r="C1175" s="35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</row>
    <row r="1176">
      <c r="A1176" s="34"/>
      <c r="B1176" s="34"/>
      <c r="C1176" s="35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</row>
    <row r="1177">
      <c r="A1177" s="34"/>
      <c r="B1177" s="34"/>
      <c r="C1177" s="35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</row>
    <row r="1178">
      <c r="A1178" s="34"/>
      <c r="B1178" s="34"/>
      <c r="C1178" s="35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</row>
    <row r="1179">
      <c r="A1179" s="34"/>
      <c r="B1179" s="34"/>
      <c r="C1179" s="35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</row>
    <row r="1180">
      <c r="A1180" s="34"/>
      <c r="B1180" s="34"/>
      <c r="C1180" s="35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</row>
    <row r="1181">
      <c r="A1181" s="34"/>
      <c r="B1181" s="34"/>
      <c r="C1181" s="35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</row>
    <row r="1182">
      <c r="A1182" s="34"/>
      <c r="B1182" s="34"/>
      <c r="C1182" s="35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</row>
    <row r="1183">
      <c r="A1183" s="34"/>
      <c r="B1183" s="34"/>
      <c r="C1183" s="35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</row>
    <row r="1184">
      <c r="A1184" s="34"/>
      <c r="B1184" s="34"/>
      <c r="C1184" s="35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</row>
    <row r="1185">
      <c r="A1185" s="34"/>
      <c r="B1185" s="34"/>
      <c r="C1185" s="35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</row>
    <row r="1186">
      <c r="A1186" s="34"/>
      <c r="B1186" s="34"/>
      <c r="C1186" s="35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</row>
    <row r="1187">
      <c r="A1187" s="34"/>
      <c r="B1187" s="34"/>
      <c r="C1187" s="35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</row>
    <row r="1188">
      <c r="A1188" s="34"/>
      <c r="B1188" s="34"/>
      <c r="C1188" s="35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</row>
    <row r="1189">
      <c r="A1189" s="34"/>
      <c r="B1189" s="34"/>
      <c r="C1189" s="35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</row>
    <row r="1190">
      <c r="A1190" s="34"/>
      <c r="B1190" s="34"/>
      <c r="C1190" s="35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</row>
    <row r="1191">
      <c r="A1191" s="34"/>
      <c r="B1191" s="34"/>
      <c r="C1191" s="35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</row>
    <row r="1192">
      <c r="A1192" s="34"/>
      <c r="B1192" s="34"/>
      <c r="C1192" s="35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</row>
    <row r="1193">
      <c r="A1193" s="34"/>
      <c r="B1193" s="34"/>
      <c r="C1193" s="35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</row>
    <row r="1194">
      <c r="A1194" s="34"/>
      <c r="B1194" s="34"/>
      <c r="C1194" s="35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</row>
    <row r="1195">
      <c r="A1195" s="34"/>
      <c r="B1195" s="34"/>
      <c r="C1195" s="35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</row>
    <row r="1196">
      <c r="A1196" s="34"/>
      <c r="B1196" s="34"/>
      <c r="C1196" s="35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</row>
    <row r="1197">
      <c r="A1197" s="34"/>
      <c r="B1197" s="34"/>
      <c r="C1197" s="35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</row>
    <row r="1198">
      <c r="A1198" s="34"/>
      <c r="B1198" s="34"/>
      <c r="C1198" s="35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</row>
    <row r="1199">
      <c r="A1199" s="34"/>
      <c r="B1199" s="34"/>
      <c r="C1199" s="35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</row>
    <row r="1200">
      <c r="A1200" s="34"/>
      <c r="B1200" s="34"/>
      <c r="C1200" s="35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</row>
    <row r="1201">
      <c r="A1201" s="34"/>
      <c r="B1201" s="34"/>
      <c r="C1201" s="35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</row>
    <row r="1202">
      <c r="A1202" s="34"/>
      <c r="B1202" s="34"/>
      <c r="C1202" s="35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</row>
    <row r="1203">
      <c r="A1203" s="34"/>
      <c r="B1203" s="34"/>
      <c r="C1203" s="35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</row>
    <row r="1204">
      <c r="A1204" s="34"/>
      <c r="B1204" s="34"/>
      <c r="C1204" s="35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</row>
    <row r="1205">
      <c r="A1205" s="34"/>
      <c r="B1205" s="34"/>
      <c r="C1205" s="35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</row>
    <row r="1206">
      <c r="A1206" s="34"/>
      <c r="B1206" s="34"/>
      <c r="C1206" s="35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</row>
    <row r="1207">
      <c r="A1207" s="34"/>
      <c r="B1207" s="34"/>
      <c r="C1207" s="35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</row>
    <row r="1208">
      <c r="A1208" s="34"/>
      <c r="B1208" s="34"/>
      <c r="C1208" s="35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</row>
    <row r="1209">
      <c r="A1209" s="34"/>
      <c r="B1209" s="34"/>
      <c r="C1209" s="35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</row>
    <row r="1210">
      <c r="A1210" s="34"/>
      <c r="B1210" s="34"/>
      <c r="C1210" s="35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</row>
    <row r="1211">
      <c r="A1211" s="34"/>
      <c r="B1211" s="34"/>
      <c r="C1211" s="35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</row>
    <row r="1212">
      <c r="A1212" s="34"/>
      <c r="B1212" s="34"/>
      <c r="C1212" s="35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</row>
    <row r="1213">
      <c r="A1213" s="34"/>
      <c r="B1213" s="34"/>
      <c r="C1213" s="35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</row>
    <row r="1214">
      <c r="A1214" s="34"/>
      <c r="B1214" s="34"/>
      <c r="C1214" s="35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</row>
    <row r="1215">
      <c r="A1215" s="34"/>
      <c r="B1215" s="34"/>
      <c r="C1215" s="35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</row>
    <row r="1216">
      <c r="A1216" s="34"/>
      <c r="B1216" s="34"/>
      <c r="C1216" s="35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</row>
    <row r="1217">
      <c r="A1217" s="34"/>
      <c r="B1217" s="34"/>
      <c r="C1217" s="35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</row>
    <row r="1218">
      <c r="A1218" s="34"/>
      <c r="B1218" s="34"/>
      <c r="C1218" s="35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</row>
    <row r="1219">
      <c r="A1219" s="34"/>
      <c r="B1219" s="34"/>
      <c r="C1219" s="35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</row>
    <row r="1220">
      <c r="A1220" s="34"/>
      <c r="B1220" s="34"/>
      <c r="C1220" s="35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</row>
    <row r="1221">
      <c r="A1221" s="34"/>
      <c r="B1221" s="34"/>
      <c r="C1221" s="35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</row>
    <row r="1222">
      <c r="A1222" s="34"/>
      <c r="B1222" s="34"/>
      <c r="C1222" s="35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</row>
    <row r="1223">
      <c r="A1223" s="34"/>
      <c r="B1223" s="34"/>
      <c r="C1223" s="35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</row>
    <row r="1224">
      <c r="A1224" s="34"/>
      <c r="B1224" s="34"/>
      <c r="C1224" s="35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</row>
    <row r="1225">
      <c r="A1225" s="34"/>
      <c r="B1225" s="34"/>
      <c r="C1225" s="35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</row>
    <row r="1226">
      <c r="A1226" s="34"/>
      <c r="B1226" s="34"/>
      <c r="C1226" s="35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</row>
    <row r="1227">
      <c r="A1227" s="34"/>
      <c r="B1227" s="34"/>
      <c r="C1227" s="35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</row>
    <row r="1228">
      <c r="A1228" s="34"/>
      <c r="B1228" s="34"/>
      <c r="C1228" s="35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</row>
    <row r="1229">
      <c r="A1229" s="34"/>
      <c r="B1229" s="34"/>
      <c r="C1229" s="35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</row>
    <row r="1230">
      <c r="A1230" s="34"/>
      <c r="B1230" s="34"/>
      <c r="C1230" s="35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</row>
    <row r="1231">
      <c r="A1231" s="34"/>
      <c r="B1231" s="34"/>
      <c r="C1231" s="35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</row>
    <row r="1232">
      <c r="A1232" s="34"/>
      <c r="B1232" s="34"/>
      <c r="C1232" s="35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</row>
    <row r="1233">
      <c r="A1233" s="34"/>
      <c r="B1233" s="34"/>
      <c r="C1233" s="35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</row>
    <row r="1234">
      <c r="A1234" s="34"/>
      <c r="B1234" s="34"/>
      <c r="C1234" s="35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</row>
    <row r="1235">
      <c r="A1235" s="34"/>
      <c r="B1235" s="34"/>
      <c r="C1235" s="35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</row>
    <row r="1236">
      <c r="A1236" s="34"/>
      <c r="B1236" s="34"/>
      <c r="C1236" s="35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</row>
    <row r="1237">
      <c r="A1237" s="34"/>
      <c r="B1237" s="34"/>
      <c r="C1237" s="35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</row>
    <row r="1238">
      <c r="A1238" s="34"/>
      <c r="B1238" s="34"/>
      <c r="C1238" s="35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</row>
    <row r="1239">
      <c r="A1239" s="34"/>
      <c r="B1239" s="34"/>
      <c r="C1239" s="35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</row>
    <row r="1240">
      <c r="A1240" s="34"/>
      <c r="B1240" s="34"/>
      <c r="C1240" s="35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</row>
    <row r="1241">
      <c r="A1241" s="34"/>
      <c r="B1241" s="34"/>
      <c r="C1241" s="35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</row>
    <row r="1242">
      <c r="A1242" s="34"/>
      <c r="B1242" s="34"/>
      <c r="C1242" s="35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</row>
    <row r="1243">
      <c r="A1243" s="34"/>
      <c r="B1243" s="34"/>
      <c r="C1243" s="35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</row>
    <row r="1244">
      <c r="A1244" s="34"/>
      <c r="B1244" s="34"/>
      <c r="C1244" s="35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</row>
    <row r="1245">
      <c r="A1245" s="34"/>
      <c r="B1245" s="34"/>
      <c r="C1245" s="35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</row>
    <row r="1246">
      <c r="A1246" s="34"/>
      <c r="B1246" s="34"/>
      <c r="C1246" s="35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</row>
    <row r="1247">
      <c r="A1247" s="34"/>
      <c r="B1247" s="34"/>
      <c r="C1247" s="35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</row>
    <row r="1248">
      <c r="A1248" s="34"/>
      <c r="B1248" s="34"/>
      <c r="C1248" s="35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</row>
    <row r="1249">
      <c r="A1249" s="34"/>
      <c r="B1249" s="34"/>
      <c r="C1249" s="35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</row>
    <row r="1250">
      <c r="A1250" s="34"/>
      <c r="B1250" s="34"/>
      <c r="C1250" s="35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</row>
    <row r="1251">
      <c r="A1251" s="34"/>
      <c r="B1251" s="34"/>
      <c r="C1251" s="35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</row>
    <row r="1252">
      <c r="A1252" s="34"/>
      <c r="B1252" s="34"/>
      <c r="C1252" s="35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</row>
    <row r="1253">
      <c r="A1253" s="34"/>
      <c r="B1253" s="34"/>
      <c r="C1253" s="35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</row>
    <row r="1254">
      <c r="A1254" s="34"/>
      <c r="B1254" s="34"/>
      <c r="C1254" s="35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</row>
    <row r="1255">
      <c r="A1255" s="34"/>
      <c r="B1255" s="34"/>
      <c r="C1255" s="35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</row>
    <row r="1256">
      <c r="A1256" s="34"/>
      <c r="B1256" s="34"/>
      <c r="C1256" s="35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</row>
    <row r="1257">
      <c r="A1257" s="34"/>
      <c r="B1257" s="34"/>
      <c r="C1257" s="35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</row>
    <row r="1258">
      <c r="A1258" s="34"/>
      <c r="B1258" s="34"/>
      <c r="C1258" s="35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</row>
    <row r="1259">
      <c r="A1259" s="34"/>
      <c r="B1259" s="34"/>
      <c r="C1259" s="35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</row>
    <row r="1260">
      <c r="A1260" s="34"/>
      <c r="B1260" s="34"/>
      <c r="C1260" s="35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</row>
    <row r="1261">
      <c r="A1261" s="34"/>
      <c r="B1261" s="34"/>
      <c r="C1261" s="35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</row>
    <row r="1262">
      <c r="A1262" s="34"/>
      <c r="B1262" s="34"/>
      <c r="C1262" s="35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</row>
    <row r="1263">
      <c r="A1263" s="34"/>
      <c r="B1263" s="34"/>
      <c r="C1263" s="35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</row>
    <row r="1264">
      <c r="A1264" s="34"/>
      <c r="B1264" s="34"/>
      <c r="C1264" s="35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</row>
    <row r="1265">
      <c r="A1265" s="34"/>
      <c r="B1265" s="34"/>
      <c r="C1265" s="35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</row>
    <row r="1266">
      <c r="A1266" s="34"/>
      <c r="B1266" s="34"/>
      <c r="C1266" s="35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</row>
    <row r="1267">
      <c r="A1267" s="34"/>
      <c r="B1267" s="34"/>
      <c r="C1267" s="35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</row>
    <row r="1268">
      <c r="A1268" s="34"/>
      <c r="B1268" s="34"/>
      <c r="C1268" s="35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</row>
    <row r="1269">
      <c r="A1269" s="34"/>
      <c r="B1269" s="34"/>
      <c r="C1269" s="35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</row>
    <row r="1270">
      <c r="A1270" s="34"/>
      <c r="B1270" s="34"/>
      <c r="C1270" s="35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</row>
    <row r="1271">
      <c r="A1271" s="34"/>
      <c r="B1271" s="34"/>
      <c r="C1271" s="35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</row>
    <row r="1272">
      <c r="A1272" s="34"/>
      <c r="B1272" s="34"/>
      <c r="C1272" s="35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</row>
    <row r="1273">
      <c r="A1273" s="34"/>
      <c r="B1273" s="34"/>
      <c r="C1273" s="35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</row>
    <row r="1274">
      <c r="A1274" s="34"/>
      <c r="B1274" s="34"/>
      <c r="C1274" s="35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</row>
    <row r="1275">
      <c r="A1275" s="34"/>
      <c r="B1275" s="34"/>
      <c r="C1275" s="35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</row>
    <row r="1276">
      <c r="A1276" s="34"/>
      <c r="B1276" s="34"/>
      <c r="C1276" s="35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</row>
    <row r="1277">
      <c r="A1277" s="34"/>
      <c r="B1277" s="34"/>
      <c r="C1277" s="35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</row>
    <row r="1278">
      <c r="A1278" s="34"/>
      <c r="B1278" s="34"/>
      <c r="C1278" s="35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</row>
    <row r="1279">
      <c r="A1279" s="34"/>
      <c r="B1279" s="34"/>
      <c r="C1279" s="35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</row>
    <row r="1280">
      <c r="A1280" s="34"/>
      <c r="B1280" s="34"/>
      <c r="C1280" s="35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</row>
    <row r="1281">
      <c r="A1281" s="34"/>
      <c r="B1281" s="34"/>
      <c r="C1281" s="35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</row>
    <row r="1282">
      <c r="A1282" s="34"/>
      <c r="B1282" s="34"/>
      <c r="C1282" s="35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</row>
    <row r="1283">
      <c r="A1283" s="34"/>
      <c r="B1283" s="34"/>
      <c r="C1283" s="35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</row>
    <row r="1284">
      <c r="A1284" s="34"/>
      <c r="B1284" s="34"/>
      <c r="C1284" s="35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</row>
    <row r="1285">
      <c r="A1285" s="34"/>
      <c r="B1285" s="34"/>
      <c r="C1285" s="35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</row>
    <row r="1286">
      <c r="A1286" s="34"/>
      <c r="B1286" s="34"/>
      <c r="C1286" s="35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</row>
    <row r="1287">
      <c r="A1287" s="34"/>
      <c r="B1287" s="34"/>
      <c r="C1287" s="35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</row>
    <row r="1288">
      <c r="A1288" s="34"/>
      <c r="B1288" s="34"/>
      <c r="C1288" s="35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</row>
    <row r="1289">
      <c r="A1289" s="34"/>
      <c r="B1289" s="34"/>
      <c r="C1289" s="35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</row>
    <row r="1290">
      <c r="A1290" s="34"/>
      <c r="B1290" s="34"/>
      <c r="C1290" s="35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</row>
    <row r="1291">
      <c r="A1291" s="34"/>
      <c r="B1291" s="34"/>
      <c r="C1291" s="35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</row>
    <row r="1292">
      <c r="A1292" s="34"/>
      <c r="B1292" s="34"/>
      <c r="C1292" s="35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</row>
    <row r="1293">
      <c r="A1293" s="34"/>
      <c r="B1293" s="34"/>
      <c r="C1293" s="35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</row>
    <row r="1294">
      <c r="A1294" s="34"/>
      <c r="B1294" s="34"/>
      <c r="C1294" s="35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</row>
    <row r="1295">
      <c r="A1295" s="34"/>
      <c r="B1295" s="34"/>
      <c r="C1295" s="35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</row>
    <row r="1296">
      <c r="A1296" s="34"/>
      <c r="B1296" s="34"/>
      <c r="C1296" s="35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</row>
    <row r="1297">
      <c r="A1297" s="34"/>
      <c r="B1297" s="34"/>
      <c r="C1297" s="35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</row>
    <row r="1298">
      <c r="A1298" s="34"/>
      <c r="B1298" s="34"/>
      <c r="C1298" s="35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</row>
    <row r="1299">
      <c r="A1299" s="34"/>
      <c r="B1299" s="34"/>
      <c r="C1299" s="35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</row>
    <row r="1300">
      <c r="A1300" s="34"/>
      <c r="B1300" s="34"/>
      <c r="C1300" s="35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</row>
    <row r="1301">
      <c r="A1301" s="34"/>
      <c r="B1301" s="34"/>
      <c r="C1301" s="35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</row>
    <row r="1302">
      <c r="A1302" s="34"/>
      <c r="B1302" s="34"/>
      <c r="C1302" s="35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</row>
    <row r="1303">
      <c r="A1303" s="34"/>
      <c r="B1303" s="34"/>
      <c r="C1303" s="35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</row>
    <row r="1304">
      <c r="A1304" s="34"/>
      <c r="B1304" s="34"/>
      <c r="C1304" s="35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</row>
    <row r="1305">
      <c r="A1305" s="34"/>
      <c r="B1305" s="34"/>
      <c r="C1305" s="35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</row>
    <row r="1306">
      <c r="A1306" s="34"/>
      <c r="B1306" s="34"/>
      <c r="C1306" s="35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</row>
    <row r="1307">
      <c r="A1307" s="34"/>
      <c r="B1307" s="34"/>
      <c r="C1307" s="35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</row>
    <row r="1308">
      <c r="A1308" s="34"/>
      <c r="B1308" s="34"/>
      <c r="C1308" s="35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</row>
    <row r="1309">
      <c r="A1309" s="34"/>
      <c r="B1309" s="34"/>
      <c r="C1309" s="35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</row>
    <row r="1310">
      <c r="A1310" s="34"/>
      <c r="B1310" s="34"/>
      <c r="C1310" s="35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</row>
    <row r="1311">
      <c r="A1311" s="34"/>
      <c r="B1311" s="34"/>
      <c r="C1311" s="35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</row>
    <row r="1312">
      <c r="A1312" s="34"/>
      <c r="B1312" s="34"/>
      <c r="C1312" s="35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</row>
    <row r="1313">
      <c r="A1313" s="34"/>
      <c r="B1313" s="34"/>
      <c r="C1313" s="35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</row>
    <row r="1314">
      <c r="A1314" s="34"/>
      <c r="B1314" s="34"/>
      <c r="C1314" s="35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</row>
    <row r="1315">
      <c r="A1315" s="34"/>
      <c r="B1315" s="34"/>
      <c r="C1315" s="35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</row>
    <row r="1316">
      <c r="A1316" s="34"/>
      <c r="B1316" s="34"/>
      <c r="C1316" s="35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</row>
    <row r="1317">
      <c r="A1317" s="34"/>
      <c r="B1317" s="34"/>
      <c r="C1317" s="35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</row>
    <row r="1318">
      <c r="A1318" s="34"/>
      <c r="B1318" s="34"/>
      <c r="C1318" s="35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</row>
    <row r="1319">
      <c r="A1319" s="34"/>
      <c r="B1319" s="34"/>
      <c r="C1319" s="35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</row>
    <row r="1320">
      <c r="A1320" s="34"/>
      <c r="B1320" s="34"/>
      <c r="C1320" s="35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</row>
    <row r="1321">
      <c r="A1321" s="34"/>
      <c r="B1321" s="34"/>
      <c r="C1321" s="35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</row>
    <row r="1322">
      <c r="A1322" s="34"/>
      <c r="B1322" s="34"/>
      <c r="C1322" s="35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</row>
    <row r="1323">
      <c r="A1323" s="34"/>
      <c r="B1323" s="34"/>
      <c r="C1323" s="35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</row>
    <row r="1324">
      <c r="A1324" s="34"/>
      <c r="B1324" s="34"/>
      <c r="C1324" s="35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</row>
    <row r="1325">
      <c r="A1325" s="34"/>
      <c r="B1325" s="34"/>
      <c r="C1325" s="35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</row>
    <row r="1326">
      <c r="A1326" s="34"/>
      <c r="B1326" s="34"/>
      <c r="C1326" s="35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</row>
    <row r="1327">
      <c r="A1327" s="34"/>
      <c r="B1327" s="34"/>
      <c r="C1327" s="35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</row>
    <row r="1328">
      <c r="A1328" s="34"/>
      <c r="B1328" s="34"/>
      <c r="C1328" s="35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</row>
    <row r="1329">
      <c r="A1329" s="34"/>
      <c r="B1329" s="34"/>
      <c r="C1329" s="35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</row>
    <row r="1330">
      <c r="A1330" s="34"/>
      <c r="B1330" s="34"/>
      <c r="C1330" s="35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</row>
    <row r="1331">
      <c r="A1331" s="34"/>
      <c r="B1331" s="34"/>
      <c r="C1331" s="35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</row>
    <row r="1332">
      <c r="A1332" s="34"/>
      <c r="B1332" s="34"/>
      <c r="C1332" s="35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</row>
    <row r="1333">
      <c r="A1333" s="34"/>
      <c r="B1333" s="34"/>
      <c r="C1333" s="35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</row>
    <row r="1334">
      <c r="A1334" s="34"/>
      <c r="B1334" s="34"/>
      <c r="C1334" s="35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</row>
    <row r="1335">
      <c r="A1335" s="34"/>
      <c r="B1335" s="34"/>
      <c r="C1335" s="35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</row>
    <row r="1336">
      <c r="A1336" s="34"/>
      <c r="B1336" s="34"/>
      <c r="C1336" s="35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</row>
    <row r="1337">
      <c r="A1337" s="34"/>
      <c r="B1337" s="34"/>
      <c r="C1337" s="35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</row>
    <row r="1338">
      <c r="A1338" s="34"/>
      <c r="B1338" s="34"/>
      <c r="C1338" s="35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</row>
    <row r="1339">
      <c r="A1339" s="34"/>
      <c r="B1339" s="34"/>
      <c r="C1339" s="35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</row>
    <row r="1340">
      <c r="A1340" s="34"/>
      <c r="B1340" s="34"/>
      <c r="C1340" s="35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</row>
    <row r="1341">
      <c r="A1341" s="34"/>
      <c r="B1341" s="34"/>
      <c r="C1341" s="35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</row>
    <row r="1342">
      <c r="A1342" s="34"/>
      <c r="B1342" s="34"/>
      <c r="C1342" s="35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</row>
    <row r="1343">
      <c r="A1343" s="34"/>
      <c r="B1343" s="34"/>
      <c r="C1343" s="35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</row>
    <row r="1344">
      <c r="A1344" s="34"/>
      <c r="B1344" s="34"/>
      <c r="C1344" s="35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</row>
    <row r="1345">
      <c r="A1345" s="34"/>
      <c r="B1345" s="34"/>
      <c r="C1345" s="35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</row>
    <row r="1346">
      <c r="A1346" s="34"/>
      <c r="B1346" s="34"/>
      <c r="C1346" s="35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</row>
    <row r="1347">
      <c r="A1347" s="34"/>
      <c r="B1347" s="34"/>
      <c r="C1347" s="35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</row>
    <row r="1348">
      <c r="A1348" s="34"/>
      <c r="B1348" s="34"/>
      <c r="C1348" s="35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</row>
    <row r="1349">
      <c r="A1349" s="34"/>
      <c r="B1349" s="34"/>
      <c r="C1349" s="35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</row>
    <row r="1350">
      <c r="A1350" s="34"/>
      <c r="B1350" s="34"/>
      <c r="C1350" s="35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</row>
    <row r="1351">
      <c r="A1351" s="34"/>
      <c r="B1351" s="34"/>
      <c r="C1351" s="35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</row>
    <row r="1352">
      <c r="A1352" s="34"/>
      <c r="B1352" s="34"/>
      <c r="C1352" s="35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</row>
    <row r="1353">
      <c r="A1353" s="34"/>
      <c r="B1353" s="34"/>
      <c r="C1353" s="35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</row>
    <row r="1354">
      <c r="A1354" s="34"/>
      <c r="B1354" s="34"/>
      <c r="C1354" s="35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</row>
    <row r="1355">
      <c r="A1355" s="34"/>
      <c r="B1355" s="34"/>
      <c r="C1355" s="35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</row>
    <row r="1356">
      <c r="A1356" s="34"/>
      <c r="B1356" s="34"/>
      <c r="C1356" s="35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</row>
    <row r="1357">
      <c r="A1357" s="34"/>
      <c r="B1357" s="34"/>
      <c r="C1357" s="35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</row>
    <row r="1358">
      <c r="A1358" s="34"/>
      <c r="B1358" s="34"/>
      <c r="C1358" s="35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</row>
    <row r="1359">
      <c r="A1359" s="34"/>
      <c r="B1359" s="34"/>
      <c r="C1359" s="35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</row>
    <row r="1360">
      <c r="A1360" s="34"/>
      <c r="B1360" s="34"/>
      <c r="C1360" s="35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</row>
    <row r="1361">
      <c r="A1361" s="34"/>
      <c r="B1361" s="34"/>
      <c r="C1361" s="35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</row>
    <row r="1362">
      <c r="A1362" s="34"/>
      <c r="B1362" s="34"/>
      <c r="C1362" s="35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</row>
    <row r="1363">
      <c r="A1363" s="34"/>
      <c r="B1363" s="34"/>
      <c r="C1363" s="35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</row>
    <row r="1364">
      <c r="A1364" s="34"/>
      <c r="B1364" s="34"/>
      <c r="C1364" s="35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</row>
    <row r="1365">
      <c r="A1365" s="34"/>
      <c r="B1365" s="34"/>
      <c r="C1365" s="35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</row>
    <row r="1366">
      <c r="A1366" s="34"/>
      <c r="B1366" s="34"/>
      <c r="C1366" s="35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</row>
    <row r="1367">
      <c r="A1367" s="34"/>
      <c r="B1367" s="34"/>
      <c r="C1367" s="35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</row>
    <row r="1368">
      <c r="A1368" s="34"/>
      <c r="B1368" s="34"/>
      <c r="C1368" s="35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</row>
    <row r="1369">
      <c r="A1369" s="34"/>
      <c r="B1369" s="34"/>
      <c r="C1369" s="35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</row>
    <row r="1370">
      <c r="A1370" s="34"/>
      <c r="B1370" s="34"/>
      <c r="C1370" s="35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</row>
    <row r="1371">
      <c r="A1371" s="34"/>
      <c r="B1371" s="34"/>
      <c r="C1371" s="35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</row>
    <row r="1372">
      <c r="A1372" s="34"/>
      <c r="B1372" s="34"/>
      <c r="C1372" s="35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</row>
    <row r="1373">
      <c r="A1373" s="34"/>
      <c r="B1373" s="34"/>
      <c r="C1373" s="35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</row>
    <row r="1374">
      <c r="A1374" s="34"/>
      <c r="B1374" s="34"/>
      <c r="C1374" s="35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</row>
    <row r="1375">
      <c r="A1375" s="34"/>
      <c r="B1375" s="34"/>
      <c r="C1375" s="35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</row>
    <row r="1376">
      <c r="A1376" s="34"/>
      <c r="B1376" s="34"/>
      <c r="C1376" s="35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</row>
    <row r="1377">
      <c r="A1377" s="34"/>
      <c r="B1377" s="34"/>
      <c r="C1377" s="35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</row>
    <row r="1378">
      <c r="A1378" s="34"/>
      <c r="B1378" s="34"/>
      <c r="C1378" s="35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</row>
    <row r="1379">
      <c r="A1379" s="34"/>
      <c r="B1379" s="34"/>
      <c r="C1379" s="35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</row>
    <row r="1380">
      <c r="A1380" s="34"/>
      <c r="B1380" s="34"/>
      <c r="C1380" s="35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</row>
    <row r="1381">
      <c r="A1381" s="34"/>
      <c r="B1381" s="34"/>
      <c r="C1381" s="35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</row>
    <row r="1382">
      <c r="A1382" s="34"/>
      <c r="B1382" s="34"/>
      <c r="C1382" s="35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</row>
    <row r="1383">
      <c r="A1383" s="34"/>
      <c r="B1383" s="34"/>
      <c r="C1383" s="35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</row>
    <row r="1384">
      <c r="A1384" s="34"/>
      <c r="B1384" s="34"/>
      <c r="C1384" s="35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</row>
    <row r="1385">
      <c r="A1385" s="34"/>
      <c r="B1385" s="34"/>
      <c r="C1385" s="35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</row>
    <row r="1386">
      <c r="A1386" s="34"/>
      <c r="B1386" s="34"/>
      <c r="C1386" s="35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</row>
    <row r="1387">
      <c r="A1387" s="34"/>
      <c r="B1387" s="34"/>
      <c r="C1387" s="35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</row>
    <row r="1388">
      <c r="A1388" s="34"/>
      <c r="B1388" s="34"/>
      <c r="C1388" s="35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</row>
    <row r="1389">
      <c r="A1389" s="34"/>
      <c r="B1389" s="34"/>
      <c r="C1389" s="35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</row>
    <row r="1390">
      <c r="A1390" s="34"/>
      <c r="B1390" s="34"/>
      <c r="C1390" s="35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</row>
    <row r="1391">
      <c r="A1391" s="34"/>
      <c r="B1391" s="34"/>
      <c r="C1391" s="35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</row>
    <row r="1392">
      <c r="A1392" s="34"/>
      <c r="B1392" s="34"/>
      <c r="C1392" s="35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</row>
    <row r="1393">
      <c r="A1393" s="34"/>
      <c r="B1393" s="34"/>
      <c r="C1393" s="35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</row>
    <row r="1394">
      <c r="A1394" s="34"/>
      <c r="B1394" s="34"/>
      <c r="C1394" s="35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</row>
    <row r="1395">
      <c r="A1395" s="34"/>
      <c r="B1395" s="34"/>
      <c r="C1395" s="35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</row>
    <row r="1396">
      <c r="A1396" s="34"/>
      <c r="B1396" s="34"/>
      <c r="C1396" s="35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</row>
    <row r="1397">
      <c r="A1397" s="34"/>
      <c r="B1397" s="34"/>
      <c r="C1397" s="35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</row>
    <row r="1398">
      <c r="A1398" s="34"/>
      <c r="B1398" s="34"/>
      <c r="C1398" s="35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</row>
    <row r="1399">
      <c r="A1399" s="34"/>
      <c r="B1399" s="34"/>
      <c r="C1399" s="35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</row>
    <row r="1400">
      <c r="A1400" s="34"/>
      <c r="B1400" s="34"/>
      <c r="C1400" s="35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</row>
    <row r="1401">
      <c r="A1401" s="34"/>
      <c r="B1401" s="34"/>
      <c r="C1401" s="35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</row>
    <row r="1402">
      <c r="A1402" s="34"/>
      <c r="B1402" s="34"/>
      <c r="C1402" s="35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</row>
    <row r="1403">
      <c r="A1403" s="34"/>
      <c r="B1403" s="34"/>
      <c r="C1403" s="35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</row>
    <row r="1404">
      <c r="A1404" s="34"/>
      <c r="B1404" s="34"/>
      <c r="C1404" s="35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</row>
    <row r="1405">
      <c r="A1405" s="34"/>
      <c r="B1405" s="34"/>
      <c r="C1405" s="35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</row>
    <row r="1406">
      <c r="A1406" s="34"/>
      <c r="B1406" s="34"/>
      <c r="C1406" s="35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</row>
    <row r="1407">
      <c r="A1407" s="34"/>
      <c r="B1407" s="34"/>
      <c r="C1407" s="35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</row>
    <row r="1408">
      <c r="A1408" s="34"/>
      <c r="B1408" s="34"/>
      <c r="C1408" s="35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</row>
    <row r="1409">
      <c r="A1409" s="34"/>
      <c r="B1409" s="34"/>
      <c r="C1409" s="35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</row>
    <row r="1410">
      <c r="A1410" s="34"/>
      <c r="B1410" s="34"/>
      <c r="C1410" s="35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</row>
    <row r="1411">
      <c r="A1411" s="34"/>
      <c r="B1411" s="34"/>
      <c r="C1411" s="35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</row>
    <row r="1412">
      <c r="A1412" s="34"/>
      <c r="B1412" s="34"/>
      <c r="C1412" s="35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</row>
    <row r="1413">
      <c r="A1413" s="34"/>
      <c r="B1413" s="34"/>
      <c r="C1413" s="35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</row>
    <row r="1414">
      <c r="A1414" s="34"/>
      <c r="B1414" s="34"/>
      <c r="C1414" s="35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</row>
    <row r="1415">
      <c r="A1415" s="34"/>
      <c r="B1415" s="34"/>
      <c r="C1415" s="35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</row>
    <row r="1416">
      <c r="A1416" s="34"/>
      <c r="B1416" s="34"/>
      <c r="C1416" s="35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</row>
    <row r="1417">
      <c r="A1417" s="34"/>
      <c r="B1417" s="34"/>
      <c r="C1417" s="35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</row>
    <row r="1418">
      <c r="A1418" s="34"/>
      <c r="B1418" s="34"/>
      <c r="C1418" s="35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</row>
    <row r="1419">
      <c r="A1419" s="34"/>
      <c r="B1419" s="34"/>
      <c r="C1419" s="35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</row>
    <row r="1420">
      <c r="A1420" s="34"/>
      <c r="B1420" s="34"/>
      <c r="C1420" s="35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</row>
    <row r="1421">
      <c r="A1421" s="34"/>
      <c r="B1421" s="34"/>
      <c r="C1421" s="35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</row>
    <row r="1422">
      <c r="A1422" s="34"/>
      <c r="B1422" s="34"/>
      <c r="C1422" s="35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</row>
    <row r="1423">
      <c r="A1423" s="34"/>
      <c r="B1423" s="34"/>
      <c r="C1423" s="35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</row>
    <row r="1424">
      <c r="A1424" s="34"/>
      <c r="B1424" s="34"/>
      <c r="C1424" s="35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</row>
    <row r="1425">
      <c r="A1425" s="34"/>
      <c r="B1425" s="34"/>
      <c r="C1425" s="35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</row>
    <row r="1426">
      <c r="A1426" s="34"/>
      <c r="B1426" s="34"/>
      <c r="C1426" s="35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</row>
    <row r="1427">
      <c r="A1427" s="34"/>
      <c r="B1427" s="34"/>
      <c r="C1427" s="35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</row>
    <row r="1428">
      <c r="A1428" s="34"/>
      <c r="B1428" s="34"/>
      <c r="C1428" s="35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</row>
    <row r="1429">
      <c r="A1429" s="34"/>
      <c r="B1429" s="34"/>
      <c r="C1429" s="35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</row>
    <row r="1430">
      <c r="A1430" s="34"/>
      <c r="B1430" s="34"/>
      <c r="C1430" s="35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</row>
    <row r="1431">
      <c r="A1431" s="34"/>
      <c r="B1431" s="34"/>
      <c r="C1431" s="35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</row>
    <row r="1432">
      <c r="A1432" s="34"/>
      <c r="B1432" s="34"/>
      <c r="C1432" s="35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</row>
    <row r="1433">
      <c r="A1433" s="34"/>
      <c r="B1433" s="34"/>
      <c r="C1433" s="35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</row>
    <row r="1434">
      <c r="A1434" s="34"/>
      <c r="B1434" s="34"/>
      <c r="C1434" s="35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</row>
    <row r="1435">
      <c r="A1435" s="34"/>
      <c r="B1435" s="34"/>
      <c r="C1435" s="35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</row>
    <row r="1436">
      <c r="A1436" s="34"/>
      <c r="B1436" s="34"/>
      <c r="C1436" s="35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</row>
    <row r="1437">
      <c r="A1437" s="34"/>
      <c r="B1437" s="34"/>
      <c r="C1437" s="35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</row>
    <row r="1438">
      <c r="A1438" s="34"/>
      <c r="B1438" s="34"/>
      <c r="C1438" s="35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</row>
    <row r="1439">
      <c r="A1439" s="34"/>
      <c r="B1439" s="34"/>
      <c r="C1439" s="35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</row>
    <row r="1440">
      <c r="A1440" s="34"/>
      <c r="B1440" s="34"/>
      <c r="C1440" s="35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</row>
    <row r="1441">
      <c r="A1441" s="34"/>
      <c r="B1441" s="34"/>
      <c r="C1441" s="35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</row>
    <row r="1442">
      <c r="A1442" s="34"/>
      <c r="B1442" s="34"/>
      <c r="C1442" s="35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</row>
    <row r="1443">
      <c r="A1443" s="34"/>
      <c r="B1443" s="34"/>
      <c r="C1443" s="35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</row>
    <row r="1444">
      <c r="A1444" s="34"/>
      <c r="B1444" s="34"/>
      <c r="C1444" s="35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</row>
    <row r="1445">
      <c r="A1445" s="34"/>
      <c r="B1445" s="34"/>
      <c r="C1445" s="35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</row>
    <row r="1446">
      <c r="A1446" s="34"/>
      <c r="B1446" s="34"/>
      <c r="C1446" s="35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</row>
    <row r="1447">
      <c r="A1447" s="34"/>
      <c r="B1447" s="34"/>
      <c r="C1447" s="35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</row>
    <row r="1448">
      <c r="A1448" s="34"/>
      <c r="B1448" s="34"/>
      <c r="C1448" s="35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</row>
    <row r="1449">
      <c r="A1449" s="34"/>
      <c r="B1449" s="34"/>
      <c r="C1449" s="35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</row>
    <row r="1450">
      <c r="A1450" s="34"/>
      <c r="B1450" s="34"/>
      <c r="C1450" s="35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</row>
    <row r="1451">
      <c r="A1451" s="34"/>
      <c r="B1451" s="34"/>
      <c r="C1451" s="35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</row>
    <row r="1452">
      <c r="A1452" s="34"/>
      <c r="B1452" s="34"/>
      <c r="C1452" s="35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</row>
    <row r="1453">
      <c r="A1453" s="34"/>
      <c r="B1453" s="34"/>
      <c r="C1453" s="35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</row>
    <row r="1454">
      <c r="A1454" s="34"/>
      <c r="B1454" s="34"/>
      <c r="C1454" s="35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</row>
    <row r="1455">
      <c r="A1455" s="34"/>
      <c r="B1455" s="34"/>
      <c r="C1455" s="35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</row>
    <row r="1456">
      <c r="A1456" s="34"/>
      <c r="B1456" s="34"/>
      <c r="C1456" s="35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</row>
    <row r="1457">
      <c r="A1457" s="34"/>
      <c r="B1457" s="34"/>
      <c r="C1457" s="35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</row>
    <row r="1458">
      <c r="A1458" s="34"/>
      <c r="B1458" s="34"/>
      <c r="C1458" s="35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</row>
    <row r="1459">
      <c r="A1459" s="34"/>
      <c r="B1459" s="34"/>
      <c r="C1459" s="35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</row>
    <row r="1460">
      <c r="A1460" s="34"/>
      <c r="B1460" s="34"/>
      <c r="C1460" s="35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</row>
    <row r="1461">
      <c r="A1461" s="34"/>
      <c r="B1461" s="34"/>
      <c r="C1461" s="35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</row>
    <row r="1462">
      <c r="A1462" s="34"/>
      <c r="B1462" s="34"/>
      <c r="C1462" s="35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</row>
    <row r="1463">
      <c r="A1463" s="34"/>
      <c r="B1463" s="34"/>
      <c r="C1463" s="35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</row>
    <row r="1464">
      <c r="A1464" s="34"/>
      <c r="B1464" s="34"/>
      <c r="C1464" s="35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</row>
    <row r="1465">
      <c r="A1465" s="34"/>
      <c r="B1465" s="34"/>
      <c r="C1465" s="35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</row>
    <row r="1466">
      <c r="A1466" s="34"/>
      <c r="B1466" s="34"/>
      <c r="C1466" s="35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</row>
    <row r="1467">
      <c r="A1467" s="34"/>
      <c r="B1467" s="34"/>
      <c r="C1467" s="35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</row>
    <row r="1468">
      <c r="A1468" s="34"/>
      <c r="B1468" s="34"/>
      <c r="C1468" s="35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</row>
    <row r="1469">
      <c r="A1469" s="34"/>
      <c r="B1469" s="34"/>
      <c r="C1469" s="35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</row>
    <row r="1470">
      <c r="A1470" s="34"/>
      <c r="B1470" s="34"/>
      <c r="C1470" s="35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</row>
    <row r="1471">
      <c r="A1471" s="34"/>
      <c r="B1471" s="34"/>
      <c r="C1471" s="35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</row>
    <row r="1472">
      <c r="A1472" s="34"/>
      <c r="B1472" s="34"/>
      <c r="C1472" s="35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</row>
    <row r="1473">
      <c r="A1473" s="34"/>
      <c r="B1473" s="34"/>
      <c r="C1473" s="35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</row>
    <row r="1474">
      <c r="A1474" s="34"/>
      <c r="B1474" s="34"/>
      <c r="C1474" s="35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</row>
    <row r="1475">
      <c r="A1475" s="34"/>
      <c r="B1475" s="34"/>
      <c r="C1475" s="35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</row>
    <row r="1476">
      <c r="A1476" s="34"/>
      <c r="B1476" s="34"/>
      <c r="C1476" s="35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</row>
    <row r="1477">
      <c r="A1477" s="34"/>
      <c r="B1477" s="34"/>
      <c r="C1477" s="35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</row>
    <row r="1478">
      <c r="A1478" s="34"/>
      <c r="B1478" s="34"/>
      <c r="C1478" s="35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</row>
    <row r="1479">
      <c r="A1479" s="34"/>
      <c r="B1479" s="34"/>
      <c r="C1479" s="35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</row>
    <row r="1480">
      <c r="A1480" s="34"/>
      <c r="B1480" s="34"/>
      <c r="C1480" s="35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</row>
    <row r="1481">
      <c r="A1481" s="34"/>
      <c r="B1481" s="34"/>
      <c r="C1481" s="35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</row>
    <row r="1482">
      <c r="A1482" s="34"/>
      <c r="B1482" s="34"/>
      <c r="C1482" s="35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</row>
    <row r="1483">
      <c r="A1483" s="34"/>
      <c r="B1483" s="34"/>
      <c r="C1483" s="35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</row>
    <row r="1484">
      <c r="A1484" s="34"/>
      <c r="B1484" s="34"/>
      <c r="C1484" s="35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</row>
    <row r="1485">
      <c r="A1485" s="34"/>
      <c r="B1485" s="34"/>
      <c r="C1485" s="35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</row>
    <row r="1486">
      <c r="A1486" s="34"/>
      <c r="B1486" s="34"/>
      <c r="C1486" s="35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</row>
    <row r="1487">
      <c r="A1487" s="34"/>
      <c r="B1487" s="34"/>
      <c r="C1487" s="35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</row>
    <row r="1488">
      <c r="A1488" s="34"/>
      <c r="B1488" s="34"/>
      <c r="C1488" s="35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</row>
    <row r="1489">
      <c r="A1489" s="34"/>
      <c r="B1489" s="34"/>
      <c r="C1489" s="35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</row>
    <row r="1490">
      <c r="A1490" s="34"/>
      <c r="B1490" s="34"/>
      <c r="C1490" s="35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</row>
    <row r="1491">
      <c r="A1491" s="34"/>
      <c r="B1491" s="34"/>
      <c r="C1491" s="35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</row>
    <row r="1492">
      <c r="A1492" s="34"/>
      <c r="B1492" s="34"/>
      <c r="C1492" s="35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</row>
    <row r="1493">
      <c r="A1493" s="34"/>
      <c r="B1493" s="34"/>
      <c r="C1493" s="35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</row>
    <row r="1494">
      <c r="A1494" s="34"/>
      <c r="B1494" s="34"/>
      <c r="C1494" s="35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</row>
    <row r="1495">
      <c r="A1495" s="34"/>
      <c r="B1495" s="34"/>
      <c r="C1495" s="35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</row>
    <row r="1496">
      <c r="A1496" s="34"/>
      <c r="B1496" s="34"/>
      <c r="C1496" s="35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</row>
    <row r="1497">
      <c r="A1497" s="34"/>
      <c r="B1497" s="34"/>
      <c r="C1497" s="35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</row>
    <row r="1498">
      <c r="A1498" s="34"/>
      <c r="B1498" s="34"/>
      <c r="C1498" s="35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</row>
    <row r="1499">
      <c r="A1499" s="34"/>
      <c r="B1499" s="34"/>
      <c r="C1499" s="35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</row>
    <row r="1500">
      <c r="A1500" s="34"/>
      <c r="B1500" s="34"/>
      <c r="C1500" s="35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</row>
    <row r="1501">
      <c r="A1501" s="34"/>
      <c r="B1501" s="34"/>
      <c r="C1501" s="35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</row>
    <row r="1502">
      <c r="A1502" s="34"/>
      <c r="B1502" s="34"/>
      <c r="C1502" s="35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</row>
    <row r="1503">
      <c r="A1503" s="34"/>
      <c r="B1503" s="34"/>
      <c r="C1503" s="35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</row>
    <row r="1504">
      <c r="A1504" s="34"/>
      <c r="B1504" s="34"/>
      <c r="C1504" s="35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</row>
    <row r="1505">
      <c r="A1505" s="34"/>
      <c r="B1505" s="34"/>
      <c r="C1505" s="35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</row>
    <row r="1506">
      <c r="A1506" s="34"/>
      <c r="B1506" s="34"/>
      <c r="C1506" s="35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</row>
    <row r="1507">
      <c r="A1507" s="34"/>
      <c r="B1507" s="34"/>
      <c r="C1507" s="35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</row>
    <row r="1508">
      <c r="A1508" s="34"/>
      <c r="B1508" s="34"/>
      <c r="C1508" s="35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</row>
    <row r="1509">
      <c r="A1509" s="34"/>
      <c r="B1509" s="34"/>
      <c r="C1509" s="35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</row>
    <row r="1510">
      <c r="A1510" s="34"/>
      <c r="B1510" s="34"/>
      <c r="C1510" s="35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</row>
    <row r="1511">
      <c r="A1511" s="34"/>
      <c r="B1511" s="34"/>
      <c r="C1511" s="35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</row>
    <row r="1512">
      <c r="A1512" s="34"/>
      <c r="B1512" s="34"/>
      <c r="C1512" s="35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</row>
    <row r="1513">
      <c r="A1513" s="34"/>
      <c r="B1513" s="34"/>
      <c r="C1513" s="35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</row>
    <row r="1514">
      <c r="A1514" s="34"/>
      <c r="B1514" s="34"/>
      <c r="C1514" s="35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</row>
    <row r="1515">
      <c r="A1515" s="34"/>
      <c r="B1515" s="34"/>
      <c r="C1515" s="35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</row>
    <row r="1516">
      <c r="A1516" s="34"/>
      <c r="B1516" s="34"/>
      <c r="C1516" s="35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</row>
    <row r="1517">
      <c r="A1517" s="34"/>
      <c r="B1517" s="34"/>
      <c r="C1517" s="35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</row>
    <row r="1518">
      <c r="A1518" s="34"/>
      <c r="B1518" s="34"/>
      <c r="C1518" s="35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</row>
    <row r="1519">
      <c r="A1519" s="34"/>
      <c r="B1519" s="34"/>
      <c r="C1519" s="35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</row>
    <row r="1520">
      <c r="A1520" s="34"/>
      <c r="B1520" s="34"/>
      <c r="C1520" s="35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</row>
    <row r="1521">
      <c r="A1521" s="34"/>
      <c r="B1521" s="34"/>
      <c r="C1521" s="35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</row>
    <row r="1522">
      <c r="A1522" s="34"/>
      <c r="B1522" s="34"/>
      <c r="C1522" s="35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</row>
    <row r="1523">
      <c r="A1523" s="34"/>
      <c r="B1523" s="34"/>
      <c r="C1523" s="35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</row>
    <row r="1524">
      <c r="A1524" s="34"/>
      <c r="B1524" s="34"/>
      <c r="C1524" s="35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</row>
    <row r="1525">
      <c r="A1525" s="34"/>
      <c r="B1525" s="34"/>
      <c r="C1525" s="35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</row>
    <row r="1526">
      <c r="A1526" s="34"/>
      <c r="B1526" s="34"/>
      <c r="C1526" s="35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</row>
    <row r="1527">
      <c r="A1527" s="34"/>
      <c r="B1527" s="34"/>
      <c r="C1527" s="35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</row>
    <row r="1528">
      <c r="A1528" s="34"/>
      <c r="B1528" s="34"/>
      <c r="C1528" s="35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</row>
    <row r="1529">
      <c r="A1529" s="34"/>
      <c r="B1529" s="34"/>
      <c r="C1529" s="35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</row>
    <row r="1530">
      <c r="A1530" s="34"/>
      <c r="B1530" s="34"/>
      <c r="C1530" s="35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</row>
    <row r="1531">
      <c r="A1531" s="34"/>
      <c r="B1531" s="34"/>
      <c r="C1531" s="35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</row>
    <row r="1532">
      <c r="A1532" s="34"/>
      <c r="B1532" s="34"/>
      <c r="C1532" s="35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</row>
    <row r="1533">
      <c r="A1533" s="34"/>
      <c r="B1533" s="34"/>
      <c r="C1533" s="35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</row>
    <row r="1534">
      <c r="A1534" s="34"/>
      <c r="B1534" s="34"/>
      <c r="C1534" s="35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</row>
    <row r="1535">
      <c r="A1535" s="34"/>
      <c r="B1535" s="34"/>
      <c r="C1535" s="35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</row>
    <row r="1536">
      <c r="A1536" s="34"/>
      <c r="B1536" s="34"/>
      <c r="C1536" s="35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</row>
    <row r="1537">
      <c r="A1537" s="34"/>
      <c r="B1537" s="34"/>
      <c r="C1537" s="35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</row>
    <row r="1538">
      <c r="A1538" s="34"/>
      <c r="B1538" s="34"/>
      <c r="C1538" s="35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</row>
    <row r="1539">
      <c r="A1539" s="34"/>
      <c r="B1539" s="34"/>
      <c r="C1539" s="35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</row>
    <row r="1540">
      <c r="A1540" s="34"/>
      <c r="B1540" s="34"/>
      <c r="C1540" s="35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</row>
    <row r="1541">
      <c r="A1541" s="34"/>
      <c r="B1541" s="34"/>
      <c r="C1541" s="35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</row>
    <row r="1542">
      <c r="A1542" s="34"/>
      <c r="B1542" s="34"/>
      <c r="C1542" s="35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</row>
    <row r="1543">
      <c r="A1543" s="34"/>
      <c r="B1543" s="34"/>
      <c r="C1543" s="35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</row>
    <row r="1544">
      <c r="A1544" s="34"/>
      <c r="B1544" s="34"/>
      <c r="C1544" s="35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</row>
    <row r="1545">
      <c r="A1545" s="34"/>
      <c r="B1545" s="34"/>
      <c r="C1545" s="35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</row>
    <row r="1546">
      <c r="A1546" s="34"/>
      <c r="B1546" s="34"/>
      <c r="C1546" s="35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</row>
    <row r="1547">
      <c r="A1547" s="34"/>
      <c r="B1547" s="34"/>
      <c r="C1547" s="35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</row>
    <row r="1548">
      <c r="A1548" s="34"/>
      <c r="B1548" s="34"/>
      <c r="C1548" s="35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</row>
    <row r="1549">
      <c r="A1549" s="34"/>
      <c r="B1549" s="34"/>
      <c r="C1549" s="35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</row>
    <row r="1550">
      <c r="A1550" s="34"/>
      <c r="B1550" s="34"/>
      <c r="C1550" s="35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</row>
    <row r="1551">
      <c r="A1551" s="34"/>
      <c r="B1551" s="34"/>
      <c r="C1551" s="35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</row>
    <row r="1552">
      <c r="A1552" s="34"/>
      <c r="B1552" s="34"/>
      <c r="C1552" s="35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</row>
    <row r="1553">
      <c r="A1553" s="34"/>
      <c r="B1553" s="34"/>
      <c r="C1553" s="35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</row>
    <row r="1554">
      <c r="A1554" s="34"/>
      <c r="B1554" s="34"/>
      <c r="C1554" s="35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</row>
    <row r="1555">
      <c r="A1555" s="34"/>
      <c r="B1555" s="34"/>
      <c r="C1555" s="35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</row>
    <row r="1556">
      <c r="A1556" s="34"/>
      <c r="B1556" s="34"/>
      <c r="C1556" s="35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</row>
    <row r="1557">
      <c r="A1557" s="34"/>
      <c r="B1557" s="34"/>
      <c r="C1557" s="35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</row>
    <row r="1558">
      <c r="A1558" s="34"/>
      <c r="B1558" s="34"/>
      <c r="C1558" s="35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</row>
    <row r="1559">
      <c r="A1559" s="34"/>
      <c r="B1559" s="34"/>
      <c r="C1559" s="35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</row>
    <row r="1560">
      <c r="A1560" s="34"/>
      <c r="B1560" s="34"/>
      <c r="C1560" s="35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</row>
    <row r="1561">
      <c r="A1561" s="34"/>
      <c r="B1561" s="34"/>
      <c r="C1561" s="35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</row>
    <row r="1562">
      <c r="A1562" s="34"/>
      <c r="B1562" s="34"/>
      <c r="C1562" s="35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</row>
    <row r="1563">
      <c r="A1563" s="34"/>
      <c r="B1563" s="34"/>
      <c r="C1563" s="35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</row>
    <row r="1564">
      <c r="A1564" s="34"/>
      <c r="B1564" s="34"/>
      <c r="C1564" s="35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</row>
    <row r="1565">
      <c r="A1565" s="34"/>
      <c r="B1565" s="34"/>
      <c r="C1565" s="35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</row>
    <row r="1566">
      <c r="A1566" s="34"/>
      <c r="B1566" s="34"/>
      <c r="C1566" s="35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</row>
    <row r="1567">
      <c r="A1567" s="34"/>
      <c r="B1567" s="34"/>
      <c r="C1567" s="35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</row>
    <row r="1568">
      <c r="A1568" s="34"/>
      <c r="B1568" s="34"/>
      <c r="C1568" s="35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</row>
    <row r="1569">
      <c r="A1569" s="34"/>
      <c r="B1569" s="34"/>
      <c r="C1569" s="35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</row>
    <row r="1570">
      <c r="A1570" s="34"/>
      <c r="B1570" s="34"/>
      <c r="C1570" s="35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</row>
    <row r="1571">
      <c r="A1571" s="34"/>
      <c r="B1571" s="34"/>
      <c r="C1571" s="35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</row>
    <row r="1572">
      <c r="A1572" s="34"/>
      <c r="B1572" s="34"/>
      <c r="C1572" s="35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</row>
    <row r="1573">
      <c r="A1573" s="34"/>
      <c r="B1573" s="34"/>
      <c r="C1573" s="35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</row>
    <row r="1574">
      <c r="A1574" s="34"/>
      <c r="B1574" s="34"/>
      <c r="C1574" s="35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</row>
    <row r="1575">
      <c r="A1575" s="34"/>
      <c r="B1575" s="34"/>
      <c r="C1575" s="35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</row>
    <row r="1576">
      <c r="A1576" s="34"/>
      <c r="B1576" s="34"/>
      <c r="C1576" s="35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</row>
    <row r="1577">
      <c r="A1577" s="34"/>
      <c r="B1577" s="34"/>
      <c r="C1577" s="35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</row>
    <row r="1578">
      <c r="A1578" s="34"/>
      <c r="B1578" s="34"/>
      <c r="C1578" s="35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</row>
    <row r="1579">
      <c r="A1579" s="34"/>
      <c r="B1579" s="34"/>
      <c r="C1579" s="35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</row>
    <row r="1580">
      <c r="A1580" s="34"/>
      <c r="B1580" s="34"/>
      <c r="C1580" s="35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</row>
    <row r="1581">
      <c r="A1581" s="34"/>
      <c r="B1581" s="34"/>
      <c r="C1581" s="35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</row>
    <row r="1582">
      <c r="A1582" s="34"/>
      <c r="B1582" s="34"/>
      <c r="C1582" s="35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</row>
    <row r="1583">
      <c r="A1583" s="34"/>
      <c r="B1583" s="34"/>
      <c r="C1583" s="35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</row>
    <row r="1584">
      <c r="A1584" s="34"/>
      <c r="B1584" s="34"/>
      <c r="C1584" s="35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</row>
    <row r="1585">
      <c r="A1585" s="34"/>
      <c r="B1585" s="34"/>
      <c r="C1585" s="35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</row>
    <row r="1586">
      <c r="A1586" s="34"/>
      <c r="B1586" s="34"/>
      <c r="C1586" s="35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</row>
    <row r="1587">
      <c r="A1587" s="34"/>
      <c r="B1587" s="34"/>
      <c r="C1587" s="35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</row>
    <row r="1588">
      <c r="A1588" s="34"/>
      <c r="B1588" s="34"/>
      <c r="C1588" s="35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</row>
    <row r="1589">
      <c r="A1589" s="34"/>
      <c r="B1589" s="34"/>
      <c r="C1589" s="35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</row>
    <row r="1590">
      <c r="A1590" s="34"/>
      <c r="B1590" s="34"/>
      <c r="C1590" s="35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</row>
    <row r="1591">
      <c r="A1591" s="34"/>
      <c r="B1591" s="34"/>
      <c r="C1591" s="35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</row>
    <row r="1592">
      <c r="A1592" s="34"/>
      <c r="B1592" s="34"/>
      <c r="C1592" s="35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</row>
    <row r="1593">
      <c r="A1593" s="34"/>
      <c r="B1593" s="34"/>
      <c r="C1593" s="35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</row>
    <row r="1594">
      <c r="A1594" s="34"/>
      <c r="B1594" s="34"/>
      <c r="C1594" s="35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</row>
    <row r="1595">
      <c r="A1595" s="34"/>
      <c r="B1595" s="34"/>
      <c r="C1595" s="35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</row>
    <row r="1596">
      <c r="A1596" s="34"/>
      <c r="B1596" s="34"/>
      <c r="C1596" s="35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</row>
    <row r="1597">
      <c r="A1597" s="34"/>
      <c r="B1597" s="34"/>
      <c r="C1597" s="35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</row>
    <row r="1598">
      <c r="A1598" s="34"/>
      <c r="B1598" s="34"/>
      <c r="C1598" s="35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</row>
    <row r="1599">
      <c r="A1599" s="34"/>
      <c r="B1599" s="34"/>
      <c r="C1599" s="35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</row>
    <row r="1600">
      <c r="A1600" s="34"/>
      <c r="B1600" s="34"/>
      <c r="C1600" s="35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</row>
    <row r="1601">
      <c r="A1601" s="34"/>
      <c r="B1601" s="34"/>
      <c r="C1601" s="35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</row>
    <row r="1602">
      <c r="A1602" s="34"/>
      <c r="B1602" s="34"/>
      <c r="C1602" s="35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</row>
    <row r="1603">
      <c r="A1603" s="34"/>
      <c r="B1603" s="34"/>
      <c r="C1603" s="35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</row>
    <row r="1604">
      <c r="A1604" s="34"/>
      <c r="B1604" s="34"/>
      <c r="C1604" s="35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</row>
    <row r="1605">
      <c r="A1605" s="34"/>
      <c r="B1605" s="34"/>
      <c r="C1605" s="35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</row>
    <row r="1606">
      <c r="A1606" s="34"/>
      <c r="B1606" s="34"/>
      <c r="C1606" s="35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</row>
    <row r="1607">
      <c r="A1607" s="34"/>
      <c r="B1607" s="34"/>
      <c r="C1607" s="35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</row>
    <row r="1608">
      <c r="A1608" s="34"/>
      <c r="B1608" s="34"/>
      <c r="C1608" s="35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</row>
    <row r="1609">
      <c r="A1609" s="34"/>
      <c r="B1609" s="34"/>
      <c r="C1609" s="35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</row>
    <row r="1610">
      <c r="A1610" s="34"/>
      <c r="B1610" s="34"/>
      <c r="C1610" s="35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</row>
    <row r="1611">
      <c r="A1611" s="34"/>
      <c r="B1611" s="34"/>
      <c r="C1611" s="35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</row>
    <row r="1612">
      <c r="A1612" s="34"/>
      <c r="B1612" s="34"/>
      <c r="C1612" s="35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</row>
    <row r="1613">
      <c r="A1613" s="34"/>
      <c r="B1613" s="34"/>
      <c r="C1613" s="35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</row>
    <row r="1614">
      <c r="A1614" s="34"/>
      <c r="B1614" s="34"/>
      <c r="C1614" s="35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</row>
    <row r="1615">
      <c r="A1615" s="34"/>
      <c r="B1615" s="34"/>
      <c r="C1615" s="35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</row>
    <row r="1616">
      <c r="A1616" s="34"/>
      <c r="B1616" s="34"/>
      <c r="C1616" s="35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</row>
    <row r="1617">
      <c r="A1617" s="34"/>
      <c r="B1617" s="34"/>
      <c r="C1617" s="35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</row>
    <row r="1618">
      <c r="A1618" s="34"/>
      <c r="B1618" s="34"/>
      <c r="C1618" s="35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</row>
    <row r="1619">
      <c r="A1619" s="34"/>
      <c r="B1619" s="34"/>
      <c r="C1619" s="35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</row>
    <row r="1620">
      <c r="A1620" s="34"/>
      <c r="B1620" s="34"/>
      <c r="C1620" s="35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</row>
    <row r="1621">
      <c r="A1621" s="34"/>
      <c r="B1621" s="34"/>
      <c r="C1621" s="35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</row>
    <row r="1622">
      <c r="A1622" s="34"/>
      <c r="B1622" s="34"/>
      <c r="C1622" s="35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</row>
    <row r="1623">
      <c r="A1623" s="34"/>
      <c r="B1623" s="34"/>
      <c r="C1623" s="35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</row>
    <row r="1624">
      <c r="A1624" s="34"/>
      <c r="B1624" s="34"/>
      <c r="C1624" s="35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</row>
    <row r="1625">
      <c r="A1625" s="34"/>
      <c r="B1625" s="34"/>
      <c r="C1625" s="35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</row>
    <row r="1626">
      <c r="A1626" s="34"/>
      <c r="B1626" s="34"/>
      <c r="C1626" s="35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</row>
    <row r="1627">
      <c r="A1627" s="34"/>
      <c r="B1627" s="34"/>
      <c r="C1627" s="35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</row>
    <row r="1628">
      <c r="A1628" s="34"/>
      <c r="B1628" s="34"/>
      <c r="C1628" s="35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</row>
    <row r="1629">
      <c r="A1629" s="34"/>
      <c r="B1629" s="34"/>
      <c r="C1629" s="35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</row>
    <row r="1630">
      <c r="A1630" s="34"/>
      <c r="B1630" s="34"/>
      <c r="C1630" s="35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</row>
    <row r="1631">
      <c r="A1631" s="34"/>
      <c r="B1631" s="34"/>
      <c r="C1631" s="35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</row>
    <row r="1632">
      <c r="A1632" s="34"/>
      <c r="B1632" s="34"/>
      <c r="C1632" s="35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</row>
    <row r="1633">
      <c r="A1633" s="34"/>
      <c r="B1633" s="34"/>
      <c r="C1633" s="35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</row>
    <row r="1634">
      <c r="A1634" s="34"/>
      <c r="B1634" s="34"/>
      <c r="C1634" s="35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</row>
    <row r="1635">
      <c r="A1635" s="34"/>
      <c r="B1635" s="34"/>
      <c r="C1635" s="35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</row>
    <row r="1636">
      <c r="A1636" s="34"/>
      <c r="B1636" s="34"/>
      <c r="C1636" s="35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</row>
    <row r="1637">
      <c r="A1637" s="34"/>
      <c r="B1637" s="34"/>
      <c r="C1637" s="35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</row>
    <row r="1638">
      <c r="A1638" s="34"/>
      <c r="B1638" s="34"/>
      <c r="C1638" s="35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</row>
    <row r="1639">
      <c r="A1639" s="34"/>
      <c r="B1639" s="34"/>
      <c r="C1639" s="35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</row>
    <row r="1640">
      <c r="A1640" s="34"/>
      <c r="B1640" s="34"/>
      <c r="C1640" s="35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</row>
    <row r="1641">
      <c r="A1641" s="34"/>
      <c r="B1641" s="34"/>
      <c r="C1641" s="35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</row>
    <row r="1642">
      <c r="A1642" s="34"/>
      <c r="B1642" s="34"/>
      <c r="C1642" s="35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</row>
    <row r="1643">
      <c r="A1643" s="34"/>
      <c r="B1643" s="34"/>
      <c r="C1643" s="35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</row>
    <row r="1644">
      <c r="A1644" s="34"/>
      <c r="B1644" s="34"/>
      <c r="C1644" s="35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</row>
    <row r="1645">
      <c r="A1645" s="34"/>
      <c r="B1645" s="34"/>
      <c r="C1645" s="35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</row>
    <row r="1646">
      <c r="A1646" s="34"/>
      <c r="B1646" s="34"/>
      <c r="C1646" s="35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</row>
    <row r="1647">
      <c r="A1647" s="34"/>
      <c r="B1647" s="34"/>
      <c r="C1647" s="35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</row>
  </sheetData>
  <dataValidations>
    <dataValidation type="list" allowBlank="1" showErrorMessage="1" sqref="A24">
      <formula1>category_country</formula1>
    </dataValidation>
    <dataValidation type="list" allowBlank="1" showErrorMessage="1" sqref="O22">
      <formula1>'Aging &amp; revenue'!$A$1:$C$1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5" width="14.75"/>
    <col customWidth="1" min="6" max="6" width="15.63"/>
  </cols>
  <sheetData>
    <row r="1">
      <c r="A1" s="36" t="s">
        <v>11</v>
      </c>
      <c r="B1" s="36" t="s">
        <v>12</v>
      </c>
      <c r="C1" s="36" t="s">
        <v>11</v>
      </c>
      <c r="D1" s="36" t="s">
        <v>13</v>
      </c>
      <c r="E1" s="36" t="s">
        <v>14</v>
      </c>
      <c r="F1" s="36" t="s">
        <v>15</v>
      </c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>
      <c r="A2" s="38">
        <f>COUNT('Copy of events чорновий'!A2:A1331)</f>
        <v>1330</v>
      </c>
      <c r="B2" s="38">
        <f>IFERROR(__xludf.DUMMYFUNCTION("counta(UNIQUE(filter('Copy of events чорновий'!E2:E1331,('Copy of events чорновий'!E2:E1331 &lt;&gt;""""),('Copy of events чорновий'!E2:E1331 &lt;&gt;""#N/A""))))"),45.0)</f>
        <v>45</v>
      </c>
      <c r="C2" s="38">
        <f>COUNT('Copy of events чорновий'!A2:A1331)</f>
        <v>1330</v>
      </c>
      <c r="D2" s="39">
        <f>SUM('Copy of events чорновий'!K2:K1331)</f>
        <v>1704626356</v>
      </c>
      <c r="E2" s="39">
        <f>SUM('Copy of events чорновий'!L2:L1331)</f>
        <v>1202784052</v>
      </c>
      <c r="F2" s="39">
        <f>SUM('Copy of events чорновий'!M2:M1331)</f>
        <v>501842304.1</v>
      </c>
      <c r="G2" s="40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41" t="s">
        <v>16</v>
      </c>
      <c r="B4" s="42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3" t="str">
        <f>'Copy of events чорновий'!N1</f>
        <v>category</v>
      </c>
      <c r="B1" s="44" t="s">
        <v>17</v>
      </c>
      <c r="C1" s="43" t="str">
        <f>'Copy of events чорновий'!H1</f>
        <v>Units Sold</v>
      </c>
      <c r="D1" s="45" t="s">
        <v>18</v>
      </c>
      <c r="E1" s="44" t="s">
        <v>19</v>
      </c>
      <c r="F1" s="45" t="s">
        <v>20</v>
      </c>
      <c r="G1" s="45" t="s">
        <v>21</v>
      </c>
      <c r="H1" s="44" t="s">
        <v>22</v>
      </c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</row>
    <row r="2">
      <c r="A2" s="46" t="str">
        <f>IFERROR(__xludf.DUMMYFUNCTION("UNIQUE('Copy of events чорновий'!N2:N1331)"),"Cereal")</f>
        <v>Cereal</v>
      </c>
      <c r="B2" s="46">
        <f>COUNTIF('Copy of events чорновий'!N$2:N$1331,A2)</f>
        <v>103</v>
      </c>
      <c r="C2" s="46">
        <f>SUMIF('Copy of events чорновий'!N$2:N$1334,A2,'Copy of events чорновий'!H2)</f>
        <v>465685</v>
      </c>
      <c r="D2" s="47">
        <f>SUMIF('Copy of events чорновий'!N$2:N$1331,A2,'Copy of events чорновий'!K$2:K$1331)</f>
        <v>95791404.5</v>
      </c>
      <c r="E2" s="48">
        <f>D2/total!D$2</f>
        <v>0.05619495683</v>
      </c>
      <c r="F2" s="47">
        <f>SUMIF('Copy of events чорновий'!$N$2:$N$1331,$A2,'Copy of events чорновий'!L$2:L$1331)</f>
        <v>54536370.35</v>
      </c>
      <c r="G2" s="47">
        <f>SUMIF('Copy of events чорновий'!$N$2:$N$1331,$A2,'Copy of events чорновий'!M$2:M$1331)</f>
        <v>41255034.15</v>
      </c>
      <c r="H2" s="48">
        <f t="shared" ref="H2:H13" si="1">F2/D2</f>
        <v>0.5693242586</v>
      </c>
    </row>
    <row r="3">
      <c r="A3" s="46" t="str">
        <f>IFERROR(__xludf.DUMMYFUNCTION("""COMPUTED_VALUE"""),"Household")</f>
        <v>Household</v>
      </c>
      <c r="B3" s="46">
        <f>COUNTIF('Copy of events чорновий'!N$2:N$1331,A3)</f>
        <v>97</v>
      </c>
      <c r="C3" s="46">
        <f>SUMIF('Copy of events чорновий'!N$2:N$1334,A3,'Copy of events чорновий'!H3)</f>
        <v>426090</v>
      </c>
      <c r="D3" s="47">
        <f>SUMIF('Copy of events чорновий'!N$2:N$1331,A3,'Copy of events чорновий'!K$2:K$1331)</f>
        <v>294205199.2</v>
      </c>
      <c r="E3" s="48">
        <f>D3/total!D$2</f>
        <v>0.1725921919</v>
      </c>
      <c r="F3" s="47">
        <f>SUMIF('Copy of events чорновий'!N3:N1332,A3,'Copy of events чорновий'!L3:L1332)</f>
        <v>221242732.5</v>
      </c>
      <c r="G3" s="47">
        <f>SUMIF('Copy of events чорновий'!$N$2:$N$1331,$A3,'Copy of events чорновий'!M$2:M$1331)</f>
        <v>72962466.77</v>
      </c>
      <c r="H3" s="48">
        <f t="shared" si="1"/>
        <v>0.7520014365</v>
      </c>
    </row>
    <row r="4">
      <c r="A4" s="46" t="str">
        <f>IFERROR(__xludf.DUMMYFUNCTION("""COMPUTED_VALUE"""),"Clothes")</f>
        <v>Clothes</v>
      </c>
      <c r="B4" s="46">
        <f>COUNTIF('Copy of events чорновий'!N$2:N$1331,A4)</f>
        <v>105</v>
      </c>
      <c r="C4" s="46">
        <f>SUMIF('Copy of events чорновий'!N$2:N$1334,A4,'Copy of events чорновий'!H4)</f>
        <v>513976</v>
      </c>
      <c r="D4" s="47">
        <f>SUMIF('Copy of events чорновий'!N$2:N$1331,A4,'Copy of events чорновий'!K$2:K$1331)</f>
        <v>64626552.8</v>
      </c>
      <c r="E4" s="48">
        <f>D4/total!D$2</f>
        <v>0.0379124449</v>
      </c>
      <c r="F4" s="47">
        <f>SUMIF('Copy of events чорновий'!N4:N1333,A4,'Copy of events чорновий'!L4:L1333)</f>
        <v>21195238.4</v>
      </c>
      <c r="G4" s="47">
        <f>SUMIF('Copy of events чорновий'!$N$2:$N$1331,$A4,'Copy of events чорновий'!M$2:M$1331)</f>
        <v>43431314.4</v>
      </c>
      <c r="H4" s="48">
        <f t="shared" si="1"/>
        <v>0.3279648609</v>
      </c>
    </row>
    <row r="5">
      <c r="A5" s="46" t="str">
        <f>IFERROR(__xludf.DUMMYFUNCTION("""COMPUTED_VALUE"""),"Beverages")</f>
        <v>Beverages</v>
      </c>
      <c r="B5" s="46">
        <f>COUNTIF('Copy of events чорновий'!N$2:N$1331,A5)</f>
        <v>121</v>
      </c>
      <c r="C5" s="46">
        <f>SUMIF('Copy of events чорновий'!N$2:N$1334,A5,'Copy of events чорновий'!H5)</f>
        <v>535343</v>
      </c>
      <c r="D5" s="47">
        <f>SUMIF('Copy of events чорновий'!N$2:N$1331,A5,'Copy of events чорновий'!K$2:K$1331)</f>
        <v>29093160.85</v>
      </c>
      <c r="E5" s="48">
        <f>D5/total!D$2</f>
        <v>0.01706717765</v>
      </c>
      <c r="F5" s="47">
        <f>SUMIF('Copy of events чорновий'!N5:N1334,A5,'Copy of events чорновий'!L5:L1334)</f>
        <v>19491498.07</v>
      </c>
      <c r="G5" s="47">
        <f>SUMIF('Copy of events чорновий'!$N$2:$N$1331,$A5,'Copy of events чорновий'!M$2:M$1331)</f>
        <v>9601662.78</v>
      </c>
      <c r="H5" s="48">
        <f t="shared" si="1"/>
        <v>0.6699683878</v>
      </c>
    </row>
    <row r="6">
      <c r="A6" s="46" t="str">
        <f>IFERROR(__xludf.DUMMYFUNCTION("""COMPUTED_VALUE"""),"Office Supplies")</f>
        <v>Office Supplies</v>
      </c>
      <c r="B6" s="46">
        <f>COUNTIF('Copy of events чорновий'!N$2:N$1331,A6)</f>
        <v>123</v>
      </c>
      <c r="C6" s="46">
        <f>SUMIF('Copy of events чорновий'!N$2:N$1334,A6,'Copy of events чорновий'!H6)</f>
        <v>588270</v>
      </c>
      <c r="D6" s="47">
        <f>SUMIF('Copy of events чорновий'!N$2:N$1331,A6,'Copy of events чорновий'!K$2:K$1331)</f>
        <v>402213995.6</v>
      </c>
      <c r="E6" s="48">
        <f>D6/total!D$2</f>
        <v>0.2359543452</v>
      </c>
      <c r="F6" s="47">
        <f>SUMIF('Copy of events чорновий'!N6:N1335,A6,'Copy of events чорновий'!L6:L1335)</f>
        <v>324236819.4</v>
      </c>
      <c r="G6" s="47">
        <f>SUMIF('Copy of events чорновий'!$N$2:$N$1331,$A6,'Copy of events чорновий'!M$2:M$1331)</f>
        <v>77977176.25</v>
      </c>
      <c r="H6" s="48">
        <f t="shared" si="1"/>
        <v>0.806130127</v>
      </c>
    </row>
    <row r="7">
      <c r="A7" s="46" t="str">
        <f>IFERROR(__xludf.DUMMYFUNCTION("""COMPUTED_VALUE"""),"Fruits")</f>
        <v>Fruits</v>
      </c>
      <c r="B7" s="46">
        <f>COUNTIF('Copy of events чорновий'!N$2:N$1331,A7)</f>
        <v>112</v>
      </c>
      <c r="C7" s="46">
        <f>SUMIF('Copy of events чорновий'!N$2:N$1334,A7,'Copy of events чорновий'!H7)</f>
        <v>531237</v>
      </c>
      <c r="D7" s="47">
        <f>SUMIF('Copy of events чорновий'!N$2:N$1331,A7,'Copy of events чорновий'!K$2:K$1331)</f>
        <v>5520299.76</v>
      </c>
      <c r="E7" s="48">
        <f>D7/total!D$2</f>
        <v>0.003238422156</v>
      </c>
      <c r="F7" s="47">
        <f>SUMIF('Copy of events чорновий'!N7:N1336,A7,'Copy of events чорновий'!L7:L1336)</f>
        <v>4094370.24</v>
      </c>
      <c r="G7" s="47">
        <f>SUMIF('Copy of events чорновий'!$N$2:$N$1331,$A7,'Copy of events чорновий'!M$2:M$1331)</f>
        <v>1425929.52</v>
      </c>
      <c r="H7" s="48">
        <f t="shared" si="1"/>
        <v>0.741693462</v>
      </c>
    </row>
    <row r="8">
      <c r="A8" s="46" t="str">
        <f>IFERROR(__xludf.DUMMYFUNCTION("""COMPUTED_VALUE"""),"Vegetables")</f>
        <v>Vegetables</v>
      </c>
      <c r="B8" s="46">
        <f>COUNTIF('Copy of events чорновий'!N$2:N$1331,A8)</f>
        <v>114</v>
      </c>
      <c r="C8" s="46">
        <f>SUMIF('Copy of events чорновий'!N$2:N$1334,A8,'Copy of events чорновий'!H8)</f>
        <v>582388</v>
      </c>
      <c r="D8" s="47">
        <f>SUMIF('Copy of events чорновий'!N$2:N$1331,A8,'Copy of events чорновий'!K$2:K$1331)</f>
        <v>89746728.64</v>
      </c>
      <c r="E8" s="48">
        <f>D8/total!D$2</f>
        <v>0.0526489153</v>
      </c>
      <c r="F8" s="47">
        <f>SUMIF('Copy of events чорновий'!N8:N1337,A8,'Copy of events чорновий'!L8:L1337)</f>
        <v>52970725.92</v>
      </c>
      <c r="G8" s="47">
        <f>SUMIF('Copy of events чорновий'!$N$2:$N$1331,$A8,'Copy of events чорновий'!M$2:M$1331)</f>
        <v>36776002.72</v>
      </c>
      <c r="H8" s="48">
        <f t="shared" si="1"/>
        <v>0.5902245878</v>
      </c>
    </row>
    <row r="9">
      <c r="A9" s="46" t="str">
        <f>IFERROR(__xludf.DUMMYFUNCTION("""COMPUTED_VALUE"""),"Baby Food")</f>
        <v>Baby Food</v>
      </c>
      <c r="B9" s="46">
        <f>COUNTIF('Copy of events чорновий'!N$2:N$1331,A9)</f>
        <v>112</v>
      </c>
      <c r="C9" s="46">
        <f>SUMIF('Copy of events чорновий'!N$2:N$1334,A9,'Copy of events чорновий'!H9)</f>
        <v>537421</v>
      </c>
      <c r="D9" s="47">
        <f>SUMIF('Copy of events чорновий'!N$2:N$1331,A9,'Copy of events чорновий'!K$2:K$1331)</f>
        <v>143647587.7</v>
      </c>
      <c r="E9" s="48">
        <f>D9/total!D$2</f>
        <v>0.08426925183</v>
      </c>
      <c r="F9" s="47">
        <f>SUMIF('Copy of events чорновий'!N9:N1338,A9,'Copy of events чорновий'!L9:L1338)</f>
        <v>89706590.52</v>
      </c>
      <c r="G9" s="47">
        <f>SUMIF('Copy of events чорновий'!$N$2:$N$1331,$A9,'Copy of events чорновий'!M$2:M$1331)</f>
        <v>53940997.16</v>
      </c>
      <c r="H9" s="48">
        <f t="shared" si="1"/>
        <v>0.6244907552</v>
      </c>
    </row>
    <row r="10">
      <c r="A10" s="46" t="str">
        <f>IFERROR(__xludf.DUMMYFUNCTION("""COMPUTED_VALUE"""),"Meat")</f>
        <v>Meat</v>
      </c>
      <c r="B10" s="46">
        <f>COUNTIF('Copy of events чорновий'!N$2:N$1331,A10)</f>
        <v>111</v>
      </c>
      <c r="C10" s="46">
        <f>SUMIF('Copy of events чорновий'!N$2:N$1334,A10,'Copy of events чорновий'!H10)</f>
        <v>566602</v>
      </c>
      <c r="D10" s="47">
        <f>SUMIF('Copy of events чорновий'!N$2:N$1331,A10,'Copy of events чорновий'!K$2:K$1331)</f>
        <v>225853748.8</v>
      </c>
      <c r="E10" s="48">
        <f>D10/total!D$2</f>
        <v>0.1324945775</v>
      </c>
      <c r="F10" s="47">
        <f>SUMIF('Copy of events чорновий'!N10:N1339,A10,'Copy of events чорновий'!L10:L1339)</f>
        <v>195232415.2</v>
      </c>
      <c r="G10" s="47">
        <f>SUMIF('Copy of events чорновий'!$N$2:$N$1331,$A10,'Copy of events чорновий'!M$2:M$1331)</f>
        <v>30621333.6</v>
      </c>
      <c r="H10" s="48">
        <f t="shared" si="1"/>
        <v>0.8644196354</v>
      </c>
    </row>
    <row r="11">
      <c r="A11" s="46" t="str">
        <f>IFERROR(__xludf.DUMMYFUNCTION("""COMPUTED_VALUE"""),"Cosmetics")</f>
        <v>Cosmetics</v>
      </c>
      <c r="B11" s="46">
        <f>COUNTIF('Copy of events чорновий'!N$2:N$1331,A11)</f>
        <v>114</v>
      </c>
      <c r="C11" s="46">
        <f>SUMIF('Copy of events чорновий'!N$2:N$1334,A11,'Copy of events чорновий'!H11)</f>
        <v>569899</v>
      </c>
      <c r="D11" s="47">
        <f>SUMIF('Copy of events чорновий'!N$2:N$1331,A11,'Copy of events чорновий'!K$2:K$1331)</f>
        <v>233154825.2</v>
      </c>
      <c r="E11" s="48">
        <f>D11/total!D$2</f>
        <v>0.1367776723</v>
      </c>
      <c r="F11" s="47">
        <f>SUMIF('Copy of events чорновий'!N11:N1340,A11,'Copy of events чорновий'!L11:L1340)</f>
        <v>140431519</v>
      </c>
      <c r="G11" s="47">
        <f>SUMIF('Copy of events чорновий'!$N$2:$N$1331,$A11,'Copy of events чорновий'!M$2:M$1331)</f>
        <v>92723306.17</v>
      </c>
      <c r="H11" s="48">
        <f t="shared" si="1"/>
        <v>0.6023101555</v>
      </c>
    </row>
    <row r="12">
      <c r="A12" s="46" t="str">
        <f>IFERROR(__xludf.DUMMYFUNCTION("""COMPUTED_VALUE"""),"Snacks")</f>
        <v>Snacks</v>
      </c>
      <c r="B12" s="46">
        <f>COUNTIF('Copy of events чорновий'!N$2:N$1331,A12)</f>
        <v>103</v>
      </c>
      <c r="C12" s="46">
        <f>SUMIF('Copy of events чорновий'!N$2:N$1334,A12,'Copy of events чорновий'!H12)</f>
        <v>476376</v>
      </c>
      <c r="D12" s="47">
        <f>SUMIF('Copy of events чорновий'!N$2:N$1331,A12,'Copy of events чорновий'!K$2:K$1331)</f>
        <v>74788612.8</v>
      </c>
      <c r="E12" s="48">
        <f>D12/total!D$2</f>
        <v>0.04387390382</v>
      </c>
      <c r="F12" s="47">
        <f>SUMIF('Copy of events чорновий'!N12:N1341,A12,'Copy of events чорновий'!L12:L1341)</f>
        <v>47761190.4</v>
      </c>
      <c r="G12" s="47">
        <f>SUMIF('Copy of events чорновий'!$N$2:$N$1331,$A12,'Copy of events чорновий'!M$2:M$1331)</f>
        <v>27027422.4</v>
      </c>
      <c r="H12" s="48">
        <f t="shared" si="1"/>
        <v>0.6386158081</v>
      </c>
    </row>
    <row r="13">
      <c r="A13" s="46" t="str">
        <f>IFERROR(__xludf.DUMMYFUNCTION("""COMPUTED_VALUE"""),"Personal Care")</f>
        <v>Personal Care</v>
      </c>
      <c r="B13" s="46">
        <f>COUNTIF('Copy of events чорновий'!N$2:N$1331,A13)</f>
        <v>115</v>
      </c>
      <c r="C13" s="46">
        <f>SUMIF('Copy of events чорновий'!N$2:N$1334,A13,'Copy of events чорновий'!H13)</f>
        <v>517496</v>
      </c>
      <c r="D13" s="47">
        <f>SUMIF('Copy of events чорновий'!N$2:N$1331,A13,'Copy of events чорновий'!K$2:K$1331)</f>
        <v>45984240.28</v>
      </c>
      <c r="E13" s="48">
        <f>D13/total!D$2</f>
        <v>0.02697614061</v>
      </c>
      <c r="F13" s="47">
        <f>SUMIF('Copy of events чорновий'!N13:N1342,A13,'Copy of events чорновий'!L13:L1342)</f>
        <v>31884582.12</v>
      </c>
      <c r="G13" s="47">
        <f>SUMIF('Copy of events чорновий'!$N$2:$N$1331,$A13,'Copy of events чорновий'!M$2:M$1331)</f>
        <v>14099658.16</v>
      </c>
      <c r="H13" s="48">
        <f t="shared" si="1"/>
        <v>0.6933806436</v>
      </c>
    </row>
    <row r="14">
      <c r="D14" s="47"/>
      <c r="F14" s="47"/>
      <c r="G14" s="47"/>
      <c r="H14" s="48"/>
      <c r="I14" s="46"/>
    </row>
    <row r="15">
      <c r="D15" s="47"/>
      <c r="F15" s="47"/>
      <c r="G15" s="47"/>
      <c r="H15" s="48"/>
      <c r="I15" s="46"/>
    </row>
    <row r="16">
      <c r="A16" s="46" t="str">
        <f>IFERROR(__xludf.DUMMYFUNCTION("QUERY(A2:B13,""select A,B order by B desc"")"),"Office Supplies")</f>
        <v>Office Supplies</v>
      </c>
      <c r="B16" s="46">
        <f>IFERROR(__xludf.DUMMYFUNCTION("""COMPUTED_VALUE"""),123.0)</f>
        <v>123</v>
      </c>
      <c r="D16" s="47"/>
      <c r="F16" s="47"/>
      <c r="G16" s="47"/>
      <c r="H16" s="48"/>
    </row>
    <row r="17">
      <c r="A17" s="46" t="str">
        <f>IFERROR(__xludf.DUMMYFUNCTION("""COMPUTED_VALUE"""),"Beverages")</f>
        <v>Beverages</v>
      </c>
      <c r="B17" s="46">
        <f>IFERROR(__xludf.DUMMYFUNCTION("""COMPUTED_VALUE"""),121.0)</f>
        <v>121</v>
      </c>
      <c r="D17" s="47"/>
      <c r="F17" s="47"/>
      <c r="G17" s="47"/>
      <c r="H17" s="48"/>
    </row>
    <row r="18">
      <c r="A18" s="46" t="str">
        <f>IFERROR(__xludf.DUMMYFUNCTION("""COMPUTED_VALUE"""),"Personal Care")</f>
        <v>Personal Care</v>
      </c>
      <c r="B18" s="46">
        <f>IFERROR(__xludf.DUMMYFUNCTION("""COMPUTED_VALUE"""),115.0)</f>
        <v>115</v>
      </c>
      <c r="D18" s="47"/>
      <c r="F18" s="47"/>
      <c r="G18" s="47"/>
      <c r="H18" s="48"/>
    </row>
    <row r="19">
      <c r="A19" s="46" t="str">
        <f>IFERROR(__xludf.DUMMYFUNCTION("""COMPUTED_VALUE"""),"Vegetables")</f>
        <v>Vegetables</v>
      </c>
      <c r="B19" s="46">
        <f>IFERROR(__xludf.DUMMYFUNCTION("""COMPUTED_VALUE"""),114.0)</f>
        <v>114</v>
      </c>
      <c r="D19" s="47"/>
      <c r="F19" s="47"/>
      <c r="G19" s="47"/>
      <c r="H19" s="48"/>
    </row>
    <row r="20">
      <c r="A20" s="46" t="str">
        <f>IFERROR(__xludf.DUMMYFUNCTION("""COMPUTED_VALUE"""),"Cosmetics")</f>
        <v>Cosmetics</v>
      </c>
      <c r="B20" s="46">
        <f>IFERROR(__xludf.DUMMYFUNCTION("""COMPUTED_VALUE"""),114.0)</f>
        <v>114</v>
      </c>
      <c r="D20" s="47"/>
      <c r="F20" s="47"/>
      <c r="G20" s="47"/>
      <c r="H20" s="48"/>
    </row>
    <row r="21">
      <c r="A21" s="46" t="str">
        <f>IFERROR(__xludf.DUMMYFUNCTION("""COMPUTED_VALUE"""),"Fruits")</f>
        <v>Fruits</v>
      </c>
      <c r="B21" s="46">
        <f>IFERROR(__xludf.DUMMYFUNCTION("""COMPUTED_VALUE"""),112.0)</f>
        <v>112</v>
      </c>
      <c r="D21" s="47"/>
      <c r="F21" s="47"/>
      <c r="G21" s="47"/>
      <c r="H21" s="48"/>
    </row>
    <row r="22">
      <c r="A22" s="46" t="str">
        <f>IFERROR(__xludf.DUMMYFUNCTION("""COMPUTED_VALUE"""),"Baby Food")</f>
        <v>Baby Food</v>
      </c>
      <c r="B22" s="46">
        <f>IFERROR(__xludf.DUMMYFUNCTION("""COMPUTED_VALUE"""),112.0)</f>
        <v>112</v>
      </c>
      <c r="D22" s="47"/>
      <c r="F22" s="47"/>
      <c r="G22" s="47"/>
      <c r="H22" s="48"/>
    </row>
    <row r="23">
      <c r="A23" s="46" t="str">
        <f>IFERROR(__xludf.DUMMYFUNCTION("""COMPUTED_VALUE"""),"Meat")</f>
        <v>Meat</v>
      </c>
      <c r="B23" s="46">
        <f>IFERROR(__xludf.DUMMYFUNCTION("""COMPUTED_VALUE"""),111.0)</f>
        <v>111</v>
      </c>
      <c r="D23" s="47"/>
      <c r="F23" s="47"/>
      <c r="G23" s="47"/>
      <c r="H23" s="48"/>
    </row>
    <row r="24">
      <c r="A24" s="46" t="str">
        <f>IFERROR(__xludf.DUMMYFUNCTION("""COMPUTED_VALUE"""),"Clothes")</f>
        <v>Clothes</v>
      </c>
      <c r="B24" s="46">
        <f>IFERROR(__xludf.DUMMYFUNCTION("""COMPUTED_VALUE"""),105.0)</f>
        <v>105</v>
      </c>
      <c r="D24" s="47"/>
      <c r="F24" s="47"/>
      <c r="G24" s="47"/>
      <c r="H24" s="48"/>
    </row>
    <row r="25">
      <c r="A25" s="46" t="str">
        <f>IFERROR(__xludf.DUMMYFUNCTION("""COMPUTED_VALUE"""),"Cereal")</f>
        <v>Cereal</v>
      </c>
      <c r="B25" s="46">
        <f>IFERROR(__xludf.DUMMYFUNCTION("""COMPUTED_VALUE"""),103.0)</f>
        <v>103</v>
      </c>
      <c r="D25" s="47"/>
      <c r="F25" s="47"/>
      <c r="G25" s="47"/>
      <c r="H25" s="48"/>
    </row>
    <row r="26">
      <c r="A26" s="46" t="str">
        <f>IFERROR(__xludf.DUMMYFUNCTION("""COMPUTED_VALUE"""),"Snacks")</f>
        <v>Snacks</v>
      </c>
      <c r="B26" s="46">
        <f>IFERROR(__xludf.DUMMYFUNCTION("""COMPUTED_VALUE"""),103.0)</f>
        <v>103</v>
      </c>
      <c r="D26" s="47"/>
      <c r="F26" s="47"/>
      <c r="G26" s="47"/>
      <c r="H26" s="48"/>
    </row>
    <row r="27">
      <c r="A27" s="46" t="str">
        <f>IFERROR(__xludf.DUMMYFUNCTION("""COMPUTED_VALUE"""),"Household")</f>
        <v>Household</v>
      </c>
      <c r="B27" s="46">
        <f>IFERROR(__xludf.DUMMYFUNCTION("""COMPUTED_VALUE"""),97.0)</f>
        <v>97</v>
      </c>
      <c r="D27" s="47"/>
      <c r="F27" s="47"/>
      <c r="G27" s="47"/>
      <c r="H27" s="48"/>
    </row>
    <row r="28">
      <c r="D28" s="47"/>
      <c r="F28" s="47"/>
      <c r="G28" s="47"/>
      <c r="H28" s="48"/>
    </row>
    <row r="29">
      <c r="D29" s="47"/>
      <c r="F29" s="47"/>
      <c r="G29" s="47"/>
      <c r="H29" s="48"/>
    </row>
    <row r="30">
      <c r="D30" s="47"/>
      <c r="F30" s="47"/>
      <c r="G30" s="47"/>
      <c r="H30" s="48"/>
    </row>
    <row r="31">
      <c r="D31" s="47"/>
      <c r="F31" s="47"/>
      <c r="G31" s="47"/>
      <c r="H31" s="48"/>
    </row>
    <row r="32">
      <c r="A32" s="49" t="str">
        <f>IFERROR(__xludf.DUMMYFUNCTION("QUERY(A2:C13,""select A,C order by C desc"")"),"Office Supplies")</f>
        <v>Office Supplies</v>
      </c>
      <c r="B32" s="46">
        <f>IFERROR(__xludf.DUMMYFUNCTION("""COMPUTED_VALUE"""),588270.0)</f>
        <v>588270</v>
      </c>
      <c r="D32" s="47"/>
      <c r="F32" s="47"/>
      <c r="G32" s="47"/>
      <c r="H32" s="48"/>
    </row>
    <row r="33">
      <c r="A33" s="46" t="str">
        <f>IFERROR(__xludf.DUMMYFUNCTION("""COMPUTED_VALUE"""),"Vegetables")</f>
        <v>Vegetables</v>
      </c>
      <c r="B33" s="46">
        <f>IFERROR(__xludf.DUMMYFUNCTION("""COMPUTED_VALUE"""),582388.0)</f>
        <v>582388</v>
      </c>
      <c r="D33" s="47"/>
      <c r="F33" s="47"/>
      <c r="G33" s="47"/>
      <c r="H33" s="48"/>
    </row>
    <row r="34">
      <c r="A34" s="46" t="str">
        <f>IFERROR(__xludf.DUMMYFUNCTION("""COMPUTED_VALUE"""),"Cosmetics")</f>
        <v>Cosmetics</v>
      </c>
      <c r="B34" s="46">
        <f>IFERROR(__xludf.DUMMYFUNCTION("""COMPUTED_VALUE"""),569899.0)</f>
        <v>569899</v>
      </c>
      <c r="D34" s="47"/>
      <c r="F34" s="47"/>
      <c r="G34" s="47"/>
      <c r="H34" s="48"/>
    </row>
    <row r="35">
      <c r="A35" s="46" t="str">
        <f>IFERROR(__xludf.DUMMYFUNCTION("""COMPUTED_VALUE"""),"Meat")</f>
        <v>Meat</v>
      </c>
      <c r="B35" s="46">
        <f>IFERROR(__xludf.DUMMYFUNCTION("""COMPUTED_VALUE"""),566602.0)</f>
        <v>566602</v>
      </c>
      <c r="D35" s="47"/>
      <c r="F35" s="47"/>
      <c r="G35" s="47"/>
      <c r="H35" s="48"/>
    </row>
    <row r="36">
      <c r="A36" s="46" t="str">
        <f>IFERROR(__xludf.DUMMYFUNCTION("""COMPUTED_VALUE"""),"Baby Food")</f>
        <v>Baby Food</v>
      </c>
      <c r="B36" s="46">
        <f>IFERROR(__xludf.DUMMYFUNCTION("""COMPUTED_VALUE"""),537421.0)</f>
        <v>537421</v>
      </c>
      <c r="D36" s="47"/>
      <c r="F36" s="47"/>
      <c r="G36" s="47"/>
      <c r="H36" s="48"/>
    </row>
    <row r="37">
      <c r="A37" s="46" t="str">
        <f>IFERROR(__xludf.DUMMYFUNCTION("""COMPUTED_VALUE"""),"Beverages")</f>
        <v>Beverages</v>
      </c>
      <c r="B37" s="46">
        <f>IFERROR(__xludf.DUMMYFUNCTION("""COMPUTED_VALUE"""),535343.0)</f>
        <v>535343</v>
      </c>
      <c r="D37" s="47"/>
      <c r="F37" s="47"/>
      <c r="G37" s="47"/>
      <c r="H37" s="48"/>
    </row>
    <row r="38">
      <c r="A38" s="46" t="str">
        <f>IFERROR(__xludf.DUMMYFUNCTION("""COMPUTED_VALUE"""),"Fruits")</f>
        <v>Fruits</v>
      </c>
      <c r="B38" s="46">
        <f>IFERROR(__xludf.DUMMYFUNCTION("""COMPUTED_VALUE"""),531237.0)</f>
        <v>531237</v>
      </c>
      <c r="D38" s="47"/>
      <c r="F38" s="47"/>
      <c r="G38" s="47"/>
      <c r="H38" s="48"/>
    </row>
    <row r="39">
      <c r="A39" s="46" t="str">
        <f>IFERROR(__xludf.DUMMYFUNCTION("""COMPUTED_VALUE"""),"Personal Care")</f>
        <v>Personal Care</v>
      </c>
      <c r="B39" s="46">
        <f>IFERROR(__xludf.DUMMYFUNCTION("""COMPUTED_VALUE"""),517496.0)</f>
        <v>517496</v>
      </c>
      <c r="D39" s="47"/>
      <c r="F39" s="47"/>
      <c r="G39" s="47"/>
      <c r="H39" s="48"/>
    </row>
    <row r="40">
      <c r="A40" s="46" t="str">
        <f>IFERROR(__xludf.DUMMYFUNCTION("""COMPUTED_VALUE"""),"Clothes")</f>
        <v>Clothes</v>
      </c>
      <c r="B40" s="46">
        <f>IFERROR(__xludf.DUMMYFUNCTION("""COMPUTED_VALUE"""),513976.0)</f>
        <v>513976</v>
      </c>
      <c r="D40" s="47"/>
      <c r="F40" s="47"/>
      <c r="G40" s="47"/>
      <c r="H40" s="48"/>
    </row>
    <row r="41">
      <c r="A41" s="46" t="str">
        <f>IFERROR(__xludf.DUMMYFUNCTION("""COMPUTED_VALUE"""),"Snacks")</f>
        <v>Snacks</v>
      </c>
      <c r="B41" s="46">
        <f>IFERROR(__xludf.DUMMYFUNCTION("""COMPUTED_VALUE"""),476376.0)</f>
        <v>476376</v>
      </c>
      <c r="D41" s="47"/>
      <c r="F41" s="47"/>
      <c r="G41" s="47"/>
      <c r="H41" s="48"/>
    </row>
    <row r="42">
      <c r="A42" s="46" t="str">
        <f>IFERROR(__xludf.DUMMYFUNCTION("""COMPUTED_VALUE"""),"Cereal")</f>
        <v>Cereal</v>
      </c>
      <c r="B42" s="46">
        <f>IFERROR(__xludf.DUMMYFUNCTION("""COMPUTED_VALUE"""),465685.0)</f>
        <v>465685</v>
      </c>
      <c r="D42" s="47"/>
      <c r="F42" s="47"/>
      <c r="G42" s="47"/>
      <c r="H42" s="48"/>
    </row>
    <row r="43">
      <c r="A43" s="46" t="str">
        <f>IFERROR(__xludf.DUMMYFUNCTION("""COMPUTED_VALUE"""),"Household")</f>
        <v>Household</v>
      </c>
      <c r="B43" s="46">
        <f>IFERROR(__xludf.DUMMYFUNCTION("""COMPUTED_VALUE"""),426090.0)</f>
        <v>426090</v>
      </c>
      <c r="D43" s="47"/>
      <c r="F43" s="47"/>
      <c r="G43" s="47"/>
      <c r="H43" s="48"/>
    </row>
    <row r="44">
      <c r="D44" s="47"/>
      <c r="F44" s="47"/>
      <c r="G44" s="47"/>
      <c r="H44" s="48"/>
    </row>
    <row r="45">
      <c r="D45" s="47"/>
      <c r="F45" s="47"/>
      <c r="G45" s="47"/>
      <c r="H45" s="48"/>
    </row>
    <row r="46">
      <c r="D46" s="47"/>
      <c r="F46" s="47"/>
      <c r="G46" s="47"/>
      <c r="H46" s="48"/>
    </row>
    <row r="47">
      <c r="D47" s="47"/>
      <c r="F47" s="47"/>
      <c r="G47" s="47"/>
      <c r="H47" s="48"/>
    </row>
    <row r="48">
      <c r="D48" s="47"/>
      <c r="F48" s="47"/>
      <c r="G48" s="47"/>
      <c r="H48" s="48"/>
    </row>
    <row r="49">
      <c r="D49" s="47"/>
      <c r="F49" s="47"/>
      <c r="G49" s="47"/>
      <c r="H49" s="48"/>
    </row>
    <row r="50">
      <c r="A50" s="50">
        <f>IFERROR(__xludf.DUMMYFUNCTION("QUERY(A2:G13,""select D,G order by D desc"")"),4.022139956100001E8)</f>
        <v>402213995.6</v>
      </c>
      <c r="B50" s="51">
        <f>IFERROR(__xludf.DUMMYFUNCTION("""COMPUTED_VALUE"""),7.797717625E7)</f>
        <v>77977176.25</v>
      </c>
      <c r="D50" s="47"/>
      <c r="F50" s="47"/>
      <c r="G50" s="47"/>
      <c r="H50" s="48"/>
      <c r="I50" s="52" t="s">
        <v>23</v>
      </c>
    </row>
    <row r="51">
      <c r="A51" s="51">
        <f>IFERROR(__xludf.DUMMYFUNCTION("""COMPUTED_VALUE"""),2.942051992299999E8)</f>
        <v>294205199.2</v>
      </c>
      <c r="B51" s="51">
        <f>IFERROR(__xludf.DUMMYFUNCTION("""COMPUTED_VALUE"""),7.296246676999995E7)</f>
        <v>72962466.77</v>
      </c>
      <c r="D51" s="47"/>
      <c r="F51" s="47"/>
      <c r="G51" s="47"/>
      <c r="H51" s="48"/>
    </row>
    <row r="52">
      <c r="A52" s="51">
        <f>IFERROR(__xludf.DUMMYFUNCTION("""COMPUTED_VALUE"""),2.3315482519999996E8)</f>
        <v>233154825.2</v>
      </c>
      <c r="B52" s="51">
        <f>IFERROR(__xludf.DUMMYFUNCTION("""COMPUTED_VALUE"""),9.272330617E7)</f>
        <v>92723306.17</v>
      </c>
      <c r="D52" s="47"/>
      <c r="F52" s="47"/>
      <c r="G52" s="47"/>
      <c r="H52" s="48"/>
    </row>
    <row r="53">
      <c r="A53" s="51">
        <f>IFERROR(__xludf.DUMMYFUNCTION("""COMPUTED_VALUE"""),2.2585374881999996E8)</f>
        <v>225853748.8</v>
      </c>
      <c r="B53" s="51">
        <f>IFERROR(__xludf.DUMMYFUNCTION("""COMPUTED_VALUE"""),3.062133359999999E7)</f>
        <v>30621333.6</v>
      </c>
      <c r="D53" s="47"/>
      <c r="F53" s="47"/>
      <c r="G53" s="47"/>
      <c r="H53" s="48"/>
    </row>
    <row r="54">
      <c r="A54" s="51">
        <f>IFERROR(__xludf.DUMMYFUNCTION("""COMPUTED_VALUE"""),1.436475876800001E8)</f>
        <v>143647587.7</v>
      </c>
      <c r="B54" s="51">
        <f>IFERROR(__xludf.DUMMYFUNCTION("""COMPUTED_VALUE"""),5.3940997160000026E7)</f>
        <v>53940997.16</v>
      </c>
      <c r="D54" s="47"/>
      <c r="F54" s="47"/>
      <c r="G54" s="47"/>
      <c r="H54" s="48"/>
    </row>
    <row r="55">
      <c r="A55" s="51">
        <f>IFERROR(__xludf.DUMMYFUNCTION("""COMPUTED_VALUE"""),9.579140450000003E7)</f>
        <v>95791404.5</v>
      </c>
      <c r="B55" s="51">
        <f>IFERROR(__xludf.DUMMYFUNCTION("""COMPUTED_VALUE"""),4.125503414999999E7)</f>
        <v>41255034.15</v>
      </c>
      <c r="D55" s="47"/>
      <c r="F55" s="47"/>
      <c r="G55" s="47"/>
      <c r="H55" s="48"/>
    </row>
    <row r="56">
      <c r="A56" s="51">
        <f>IFERROR(__xludf.DUMMYFUNCTION("""COMPUTED_VALUE"""),8.974672864E7)</f>
        <v>89746728.64</v>
      </c>
      <c r="B56" s="51">
        <f>IFERROR(__xludf.DUMMYFUNCTION("""COMPUTED_VALUE"""),3.677600272E7)</f>
        <v>36776002.72</v>
      </c>
      <c r="D56" s="47"/>
      <c r="F56" s="47"/>
      <c r="G56" s="47"/>
      <c r="H56" s="48"/>
    </row>
    <row r="57">
      <c r="A57" s="51">
        <f>IFERROR(__xludf.DUMMYFUNCTION("""COMPUTED_VALUE"""),7.478861280000001E7)</f>
        <v>74788612.8</v>
      </c>
      <c r="B57" s="51">
        <f>IFERROR(__xludf.DUMMYFUNCTION("""COMPUTED_VALUE"""),2.7027422400000002E7)</f>
        <v>27027422.4</v>
      </c>
      <c r="D57" s="47"/>
      <c r="F57" s="47"/>
      <c r="G57" s="47"/>
      <c r="H57" s="48"/>
    </row>
    <row r="58">
      <c r="A58" s="51">
        <f>IFERROR(__xludf.DUMMYFUNCTION("""COMPUTED_VALUE"""),6.462655279999998E7)</f>
        <v>64626552.8</v>
      </c>
      <c r="B58" s="51">
        <f>IFERROR(__xludf.DUMMYFUNCTION("""COMPUTED_VALUE"""),4.343131440000002E7)</f>
        <v>43431314.4</v>
      </c>
      <c r="D58" s="47"/>
      <c r="F58" s="47"/>
      <c r="G58" s="47"/>
      <c r="H58" s="48"/>
    </row>
    <row r="59">
      <c r="A59" s="51">
        <f>IFERROR(__xludf.DUMMYFUNCTION("""COMPUTED_VALUE"""),4.598424028000001E7)</f>
        <v>45984240.28</v>
      </c>
      <c r="B59" s="51">
        <f>IFERROR(__xludf.DUMMYFUNCTION("""COMPUTED_VALUE"""),1.4099658160000004E7)</f>
        <v>14099658.16</v>
      </c>
      <c r="D59" s="47"/>
      <c r="F59" s="47"/>
      <c r="G59" s="47"/>
      <c r="H59" s="48"/>
    </row>
    <row r="60">
      <c r="A60" s="51">
        <f>IFERROR(__xludf.DUMMYFUNCTION("""COMPUTED_VALUE"""),2.9093160849999987E7)</f>
        <v>29093160.85</v>
      </c>
      <c r="B60" s="51">
        <f>IFERROR(__xludf.DUMMYFUNCTION("""COMPUTED_VALUE"""),9601662.780000001)</f>
        <v>9601662.78</v>
      </c>
      <c r="D60" s="47"/>
      <c r="F60" s="47"/>
      <c r="G60" s="47"/>
      <c r="H60" s="48"/>
    </row>
    <row r="61">
      <c r="A61" s="51">
        <f>IFERROR(__xludf.DUMMYFUNCTION("""COMPUTED_VALUE"""),5520299.759999999)</f>
        <v>5520299.76</v>
      </c>
      <c r="B61" s="51">
        <f>IFERROR(__xludf.DUMMYFUNCTION("""COMPUTED_VALUE"""),1425929.5200000003)</f>
        <v>1425929.52</v>
      </c>
      <c r="D61" s="47"/>
      <c r="F61" s="47"/>
      <c r="G61" s="47"/>
      <c r="H61" s="48"/>
    </row>
    <row r="62">
      <c r="D62" s="47"/>
      <c r="F62" s="47"/>
      <c r="G62" s="47"/>
      <c r="H62" s="48"/>
    </row>
    <row r="63">
      <c r="D63" s="47"/>
      <c r="F63" s="47"/>
      <c r="G63" s="47"/>
      <c r="H63" s="48"/>
    </row>
    <row r="64">
      <c r="D64" s="47"/>
      <c r="F64" s="47"/>
      <c r="G64" s="47"/>
      <c r="H64" s="48"/>
    </row>
    <row r="65">
      <c r="D65" s="47"/>
      <c r="F65" s="47"/>
      <c r="G65" s="47"/>
      <c r="H65" s="48"/>
    </row>
    <row r="66">
      <c r="D66" s="47"/>
      <c r="F66" s="47"/>
      <c r="G66" s="47"/>
      <c r="H66" s="48"/>
    </row>
    <row r="67">
      <c r="D67" s="47"/>
      <c r="F67" s="47"/>
      <c r="G67" s="47"/>
      <c r="H67" s="48"/>
    </row>
    <row r="68">
      <c r="A68" s="53" t="str">
        <f>IFERROR(__xludf.DUMMYFUNCTION("QUERY(category,""select A,H order by H desc label A'category', H'cost_percentage'"")"),"category")</f>
        <v>category</v>
      </c>
      <c r="B68" s="54" t="str">
        <f>IFERROR(__xludf.DUMMYFUNCTION("""COMPUTED_VALUE"""),"cost_percentage")</f>
        <v>cost_percentage</v>
      </c>
      <c r="D68" s="47"/>
      <c r="F68" s="47"/>
      <c r="G68" s="47"/>
      <c r="H68" s="48"/>
    </row>
    <row r="69">
      <c r="A69" s="46" t="str">
        <f>IFERROR(__xludf.DUMMYFUNCTION("""COMPUTED_VALUE"""),"Meat")</f>
        <v>Meat</v>
      </c>
      <c r="B69" s="48">
        <f>IFERROR(__xludf.DUMMYFUNCTION("""COMPUTED_VALUE"""),0.8644196354499988)</f>
        <v>0.8644196354</v>
      </c>
      <c r="C69" s="52" t="s">
        <v>24</v>
      </c>
      <c r="D69" s="47"/>
      <c r="F69" s="47"/>
      <c r="G69" s="47"/>
      <c r="H69" s="48"/>
    </row>
    <row r="70">
      <c r="A70" s="46" t="str">
        <f>IFERROR(__xludf.DUMMYFUNCTION("""COMPUTED_VALUE"""),"Office Supplies")</f>
        <v>Office Supplies</v>
      </c>
      <c r="B70" s="48">
        <f>IFERROR(__xludf.DUMMYFUNCTION("""COMPUTED_VALUE"""),0.8061301269943644)</f>
        <v>0.806130127</v>
      </c>
      <c r="D70" s="47"/>
      <c r="F70" s="47"/>
      <c r="G70" s="47"/>
      <c r="H70" s="48"/>
    </row>
    <row r="71">
      <c r="A71" s="46" t="str">
        <f>IFERROR(__xludf.DUMMYFUNCTION("""COMPUTED_VALUE"""),"Household")</f>
        <v>Household</v>
      </c>
      <c r="B71" s="48">
        <f>IFERROR(__xludf.DUMMYFUNCTION("""COMPUTED_VALUE"""),0.7520014365451094)</f>
        <v>0.7520014365</v>
      </c>
      <c r="D71" s="47"/>
      <c r="F71" s="47"/>
      <c r="G71" s="47"/>
      <c r="H71" s="48"/>
    </row>
    <row r="72">
      <c r="A72" s="46" t="str">
        <f>IFERROR(__xludf.DUMMYFUNCTION("""COMPUTED_VALUE"""),"Fruits")</f>
        <v>Fruits</v>
      </c>
      <c r="B72" s="48">
        <f>IFERROR(__xludf.DUMMYFUNCTION("""COMPUTED_VALUE"""),0.7416934619506971)</f>
        <v>0.741693462</v>
      </c>
      <c r="D72" s="47"/>
      <c r="F72" s="47"/>
      <c r="G72" s="47"/>
      <c r="H72" s="48"/>
    </row>
    <row r="73">
      <c r="A73" s="46" t="str">
        <f>IFERROR(__xludf.DUMMYFUNCTION("""COMPUTED_VALUE"""),"Personal Care")</f>
        <v>Personal Care</v>
      </c>
      <c r="B73" s="48">
        <f>IFERROR(__xludf.DUMMYFUNCTION("""COMPUTED_VALUE"""),0.6933806435825279)</f>
        <v>0.6933806436</v>
      </c>
      <c r="D73" s="47"/>
      <c r="F73" s="47"/>
      <c r="G73" s="47"/>
      <c r="H73" s="48"/>
    </row>
    <row r="74">
      <c r="A74" s="46" t="str">
        <f>IFERROR(__xludf.DUMMYFUNCTION("""COMPUTED_VALUE"""),"Beverages")</f>
        <v>Beverages</v>
      </c>
      <c r="B74" s="48">
        <f>IFERROR(__xludf.DUMMYFUNCTION("""COMPUTED_VALUE"""),0.6699683877766074)</f>
        <v>0.6699683878</v>
      </c>
      <c r="D74" s="47"/>
      <c r="F74" s="47"/>
      <c r="G74" s="47"/>
      <c r="H74" s="48"/>
    </row>
    <row r="75">
      <c r="A75" s="46" t="str">
        <f>IFERROR(__xludf.DUMMYFUNCTION("""COMPUTED_VALUE"""),"Snacks")</f>
        <v>Snacks</v>
      </c>
      <c r="B75" s="48">
        <f>IFERROR(__xludf.DUMMYFUNCTION("""COMPUTED_VALUE"""),0.6386158081006685)</f>
        <v>0.6386158081</v>
      </c>
      <c r="D75" s="47"/>
      <c r="F75" s="47"/>
      <c r="G75" s="47"/>
      <c r="H75" s="48"/>
    </row>
    <row r="76">
      <c r="A76" s="46" t="str">
        <f>IFERROR(__xludf.DUMMYFUNCTION("""COMPUTED_VALUE"""),"Baby Food")</f>
        <v>Baby Food</v>
      </c>
      <c r="B76" s="48">
        <f>IFERROR(__xludf.DUMMYFUNCTION("""COMPUTED_VALUE"""),0.6244907552491382)</f>
        <v>0.6244907552</v>
      </c>
      <c r="D76" s="47"/>
      <c r="F76" s="47"/>
      <c r="G76" s="47"/>
      <c r="H76" s="48"/>
    </row>
    <row r="77">
      <c r="A77" s="46" t="str">
        <f>IFERROR(__xludf.DUMMYFUNCTION("""COMPUTED_VALUE"""),"Cosmetics")</f>
        <v>Cosmetics</v>
      </c>
      <c r="B77" s="48">
        <f>IFERROR(__xludf.DUMMYFUNCTION("""COMPUTED_VALUE"""),0.6023101555352244)</f>
        <v>0.6023101555</v>
      </c>
      <c r="D77" s="47"/>
      <c r="F77" s="47"/>
      <c r="G77" s="47"/>
      <c r="H77" s="48"/>
    </row>
    <row r="78">
      <c r="A78" s="46" t="str">
        <f>IFERROR(__xludf.DUMMYFUNCTION("""COMPUTED_VALUE"""),"Vegetables")</f>
        <v>Vegetables</v>
      </c>
      <c r="B78" s="48">
        <f>IFERROR(__xludf.DUMMYFUNCTION("""COMPUTED_VALUE"""),0.5902245878229263)</f>
        <v>0.5902245878</v>
      </c>
      <c r="D78" s="47"/>
      <c r="F78" s="47"/>
      <c r="G78" s="47"/>
      <c r="H78" s="48"/>
    </row>
    <row r="79">
      <c r="A79" s="46" t="str">
        <f>IFERROR(__xludf.DUMMYFUNCTION("""COMPUTED_VALUE"""),"Cereal")</f>
        <v>Cereal</v>
      </c>
      <c r="B79" s="48">
        <f>IFERROR(__xludf.DUMMYFUNCTION("""COMPUTED_VALUE"""),0.5693242586290714)</f>
        <v>0.5693242586</v>
      </c>
      <c r="D79" s="47"/>
      <c r="F79" s="47"/>
      <c r="G79" s="47"/>
      <c r="H79" s="48"/>
    </row>
    <row r="80">
      <c r="A80" s="46" t="str">
        <f>IFERROR(__xludf.DUMMYFUNCTION("""COMPUTED_VALUE"""),"Clothes")</f>
        <v>Clothes</v>
      </c>
      <c r="B80" s="48">
        <f>IFERROR(__xludf.DUMMYFUNCTION("""COMPUTED_VALUE"""),0.3279648609077598)</f>
        <v>0.3279648609</v>
      </c>
      <c r="C80" s="52" t="s">
        <v>25</v>
      </c>
      <c r="D80" s="47"/>
      <c r="F80" s="47"/>
      <c r="G80" s="47"/>
      <c r="H80" s="48"/>
    </row>
    <row r="81">
      <c r="D81" s="47"/>
      <c r="F81" s="47"/>
      <c r="G81" s="47"/>
      <c r="H81" s="48"/>
    </row>
    <row r="82">
      <c r="A82" s="46" t="str">
        <f>IFERROR(__xludf.DUMMYFUNCTION("QUERY(event2,""select T,avg(I),count(A) group by T order by count(A) desc label T'Category', avg(I)'Price', count(A)'Order count'"")"),"Category")</f>
        <v>Category</v>
      </c>
      <c r="B82" s="46" t="str">
        <f>IFERROR(__xludf.DUMMYFUNCTION("""COMPUTED_VALUE"""),"Price")</f>
        <v>Price</v>
      </c>
      <c r="C82" s="46" t="str">
        <f>IFERROR(__xludf.DUMMYFUNCTION("""COMPUTED_VALUE"""),"Order count")</f>
        <v>Order count</v>
      </c>
      <c r="D82" s="47"/>
      <c r="F82" s="55" t="s">
        <v>26</v>
      </c>
      <c r="G82" s="55" t="s">
        <v>27</v>
      </c>
      <c r="H82" s="56" t="s">
        <v>28</v>
      </c>
    </row>
    <row r="83">
      <c r="A83" s="34" t="str">
        <f>IFERROR(__xludf.DUMMYFUNCTION("""COMPUTED_VALUE"""),"Office Supplies")</f>
        <v>Office Supplies</v>
      </c>
      <c r="B83" s="46">
        <f>IFERROR(__xludf.DUMMYFUNCTION("""COMPUTED_VALUE"""),651.2100000000006)</f>
        <v>651.21</v>
      </c>
      <c r="C83" s="46">
        <f>IFERROR(__xludf.DUMMYFUNCTION("""COMPUTED_VALUE"""),123.0)</f>
        <v>123</v>
      </c>
      <c r="D83" s="47">
        <f t="shared" ref="D83:D94" si="2">LOG(B83)</f>
        <v>2.813721061</v>
      </c>
      <c r="E83" s="47">
        <f>(MAX(D83:D94)-MIN(D83:D94))/3</f>
        <v>0.6183567738</v>
      </c>
      <c r="F83" s="57" t="str">
        <f t="shared" ref="F83:F94" si="3">IF($D83&lt;=E$84,C83,"")</f>
        <v/>
      </c>
      <c r="G83" s="57" t="str">
        <f t="shared" ref="G83:G94" si="4">IF(AND(D83&gt;$E$84, D83&lt;=$E$85),C83,"")</f>
        <v/>
      </c>
      <c r="H83" s="57">
        <f t="shared" ref="H83:H94" si="5">IF(D83&gt;$E$85,C83,"")</f>
        <v>123</v>
      </c>
    </row>
    <row r="84">
      <c r="A84" s="34" t="str">
        <f>IFERROR(__xludf.DUMMYFUNCTION("""COMPUTED_VALUE"""),"Beverages")</f>
        <v>Beverages</v>
      </c>
      <c r="B84" s="46">
        <f>IFERROR(__xludf.DUMMYFUNCTION("""COMPUTED_VALUE"""),47.449999999999896)</f>
        <v>47.45</v>
      </c>
      <c r="C84" s="46">
        <f>IFERROR(__xludf.DUMMYFUNCTION("""COMPUTED_VALUE"""),121.0)</f>
        <v>121</v>
      </c>
      <c r="D84" s="47">
        <f t="shared" si="2"/>
        <v>1.676236217</v>
      </c>
      <c r="E84" s="47">
        <f>MIN(D83:D94)+E83</f>
        <v>1.588238418</v>
      </c>
      <c r="F84" s="57" t="str">
        <f t="shared" si="3"/>
        <v/>
      </c>
      <c r="G84" s="57">
        <f t="shared" si="4"/>
        <v>121</v>
      </c>
      <c r="H84" s="57" t="str">
        <f t="shared" si="5"/>
        <v/>
      </c>
    </row>
    <row r="85">
      <c r="A85" s="34" t="str">
        <f>IFERROR(__xludf.DUMMYFUNCTION("""COMPUTED_VALUE"""),"Personal Care")</f>
        <v>Personal Care</v>
      </c>
      <c r="B85" s="46">
        <f>IFERROR(__xludf.DUMMYFUNCTION("""COMPUTED_VALUE"""),81.72999999999976)</f>
        <v>81.73</v>
      </c>
      <c r="C85" s="46">
        <f>IFERROR(__xludf.DUMMYFUNCTION("""COMPUTED_VALUE"""),115.0)</f>
        <v>115</v>
      </c>
      <c r="D85" s="47">
        <f t="shared" si="2"/>
        <v>1.912381499</v>
      </c>
      <c r="E85" s="47">
        <f>E84+E83</f>
        <v>2.206595191</v>
      </c>
      <c r="F85" s="57" t="str">
        <f t="shared" si="3"/>
        <v/>
      </c>
      <c r="G85" s="57">
        <f t="shared" si="4"/>
        <v>115</v>
      </c>
      <c r="H85" s="57" t="str">
        <f t="shared" si="5"/>
        <v/>
      </c>
    </row>
    <row r="86">
      <c r="A86" s="34" t="str">
        <f>IFERROR(__xludf.DUMMYFUNCTION("""COMPUTED_VALUE"""),"Cosmetics")</f>
        <v>Cosmetics</v>
      </c>
      <c r="B86" s="46">
        <f>IFERROR(__xludf.DUMMYFUNCTION("""COMPUTED_VALUE"""),437.1999999999993)</f>
        <v>437.2</v>
      </c>
      <c r="C86" s="46">
        <f>IFERROR(__xludf.DUMMYFUNCTION("""COMPUTED_VALUE"""),114.0)</f>
        <v>114</v>
      </c>
      <c r="D86" s="47">
        <f t="shared" si="2"/>
        <v>2.640680153</v>
      </c>
      <c r="F86" s="57" t="str">
        <f t="shared" si="3"/>
        <v/>
      </c>
      <c r="G86" s="57" t="str">
        <f t="shared" si="4"/>
        <v/>
      </c>
      <c r="H86" s="57">
        <f t="shared" si="5"/>
        <v>114</v>
      </c>
    </row>
    <row r="87">
      <c r="A87" s="34" t="str">
        <f>IFERROR(__xludf.DUMMYFUNCTION("""COMPUTED_VALUE"""),"Vegetables")</f>
        <v>Vegetables</v>
      </c>
      <c r="B87" s="46">
        <f>IFERROR(__xludf.DUMMYFUNCTION("""COMPUTED_VALUE"""),154.05999999999995)</f>
        <v>154.06</v>
      </c>
      <c r="C87" s="46">
        <f>IFERROR(__xludf.DUMMYFUNCTION("""COMPUTED_VALUE"""),114.0)</f>
        <v>114</v>
      </c>
      <c r="D87" s="47">
        <f t="shared" si="2"/>
        <v>2.187689894</v>
      </c>
      <c r="F87" s="57" t="str">
        <f t="shared" si="3"/>
        <v/>
      </c>
      <c r="G87" s="57">
        <f t="shared" si="4"/>
        <v>114</v>
      </c>
      <c r="H87" s="57" t="str">
        <f t="shared" si="5"/>
        <v/>
      </c>
    </row>
    <row r="88">
      <c r="A88" s="34" t="str">
        <f>IFERROR(__xludf.DUMMYFUNCTION("""COMPUTED_VALUE"""),"Baby Food")</f>
        <v>Baby Food</v>
      </c>
      <c r="B88" s="46">
        <f>IFERROR(__xludf.DUMMYFUNCTION("""COMPUTED_VALUE"""),255.2799999999997)</f>
        <v>255.28</v>
      </c>
      <c r="C88" s="46">
        <f>IFERROR(__xludf.DUMMYFUNCTION("""COMPUTED_VALUE"""),112.0)</f>
        <v>112</v>
      </c>
      <c r="D88" s="47">
        <f t="shared" si="2"/>
        <v>2.407016791</v>
      </c>
      <c r="F88" s="57" t="str">
        <f t="shared" si="3"/>
        <v/>
      </c>
      <c r="G88" s="57" t="str">
        <f t="shared" si="4"/>
        <v/>
      </c>
      <c r="H88" s="57">
        <f t="shared" si="5"/>
        <v>112</v>
      </c>
    </row>
    <row r="89">
      <c r="A89" s="34" t="str">
        <f>IFERROR(__xludf.DUMMYFUNCTION("""COMPUTED_VALUE"""),"Fruits")</f>
        <v>Fruits</v>
      </c>
      <c r="B89" s="46">
        <f>IFERROR(__xludf.DUMMYFUNCTION("""COMPUTED_VALUE"""),9.330000000000016)</f>
        <v>9.33</v>
      </c>
      <c r="C89" s="46">
        <f>IFERROR(__xludf.DUMMYFUNCTION("""COMPUTED_VALUE"""),112.0)</f>
        <v>112</v>
      </c>
      <c r="D89" s="47">
        <f t="shared" si="2"/>
        <v>0.9698816437</v>
      </c>
      <c r="F89" s="57">
        <f t="shared" si="3"/>
        <v>112</v>
      </c>
      <c r="G89" s="57" t="str">
        <f t="shared" si="4"/>
        <v/>
      </c>
      <c r="H89" s="57" t="str">
        <f t="shared" si="5"/>
        <v/>
      </c>
    </row>
    <row r="90">
      <c r="A90" s="34" t="str">
        <f>IFERROR(__xludf.DUMMYFUNCTION("""COMPUTED_VALUE"""),"Meat")</f>
        <v>Meat</v>
      </c>
      <c r="B90" s="46">
        <f>IFERROR(__xludf.DUMMYFUNCTION("""COMPUTED_VALUE"""),421.88999999999953)</f>
        <v>421.89</v>
      </c>
      <c r="C90" s="46">
        <f>IFERROR(__xludf.DUMMYFUNCTION("""COMPUTED_VALUE"""),111.0)</f>
        <v>111</v>
      </c>
      <c r="D90" s="47">
        <f t="shared" si="2"/>
        <v>2.625199231</v>
      </c>
      <c r="F90" s="57" t="str">
        <f t="shared" si="3"/>
        <v/>
      </c>
      <c r="G90" s="57" t="str">
        <f t="shared" si="4"/>
        <v/>
      </c>
      <c r="H90" s="57">
        <f t="shared" si="5"/>
        <v>111</v>
      </c>
    </row>
    <row r="91">
      <c r="A91" s="34" t="str">
        <f>IFERROR(__xludf.DUMMYFUNCTION("""COMPUTED_VALUE"""),"Clothes")</f>
        <v>Clothes</v>
      </c>
      <c r="B91" s="46">
        <f>IFERROR(__xludf.DUMMYFUNCTION("""COMPUTED_VALUE"""),109.28000000000013)</f>
        <v>109.28</v>
      </c>
      <c r="C91" s="46">
        <f>IFERROR(__xludf.DUMMYFUNCTION("""COMPUTED_VALUE"""),105.0)</f>
        <v>105</v>
      </c>
      <c r="D91" s="47">
        <f t="shared" si="2"/>
        <v>2.038540686</v>
      </c>
      <c r="F91" s="57" t="str">
        <f t="shared" si="3"/>
        <v/>
      </c>
      <c r="G91" s="57">
        <f t="shared" si="4"/>
        <v>105</v>
      </c>
      <c r="H91" s="57" t="str">
        <f t="shared" si="5"/>
        <v/>
      </c>
    </row>
    <row r="92">
      <c r="A92" s="34" t="str">
        <f>IFERROR(__xludf.DUMMYFUNCTION("""COMPUTED_VALUE"""),"Cereal")</f>
        <v>Cereal</v>
      </c>
      <c r="B92" s="46">
        <f>IFERROR(__xludf.DUMMYFUNCTION("""COMPUTED_VALUE"""),205.7000000000004)</f>
        <v>205.7</v>
      </c>
      <c r="C92" s="46">
        <f>IFERROR(__xludf.DUMMYFUNCTION("""COMPUTED_VALUE"""),103.0)</f>
        <v>103</v>
      </c>
      <c r="D92" s="47">
        <f t="shared" si="2"/>
        <v>2.313234292</v>
      </c>
      <c r="F92" s="57" t="str">
        <f t="shared" si="3"/>
        <v/>
      </c>
      <c r="G92" s="57" t="str">
        <f t="shared" si="4"/>
        <v/>
      </c>
      <c r="H92" s="57">
        <f t="shared" si="5"/>
        <v>103</v>
      </c>
    </row>
    <row r="93">
      <c r="A93" s="34" t="str">
        <f>IFERROR(__xludf.DUMMYFUNCTION("""COMPUTED_VALUE"""),"Snacks")</f>
        <v>Snacks</v>
      </c>
      <c r="B93" s="46">
        <f>IFERROR(__xludf.DUMMYFUNCTION("""COMPUTED_VALUE"""),152.57999999999996)</f>
        <v>152.58</v>
      </c>
      <c r="C93" s="46">
        <f>IFERROR(__xludf.DUMMYFUNCTION("""COMPUTED_VALUE"""),103.0)</f>
        <v>103</v>
      </c>
      <c r="D93" s="47">
        <f t="shared" si="2"/>
        <v>2.183497611</v>
      </c>
      <c r="F93" s="57" t="str">
        <f t="shared" si="3"/>
        <v/>
      </c>
      <c r="G93" s="57">
        <f t="shared" si="4"/>
        <v>103</v>
      </c>
      <c r="H93" s="57" t="str">
        <f t="shared" si="5"/>
        <v/>
      </c>
    </row>
    <row r="94">
      <c r="A94" s="34" t="str">
        <f>IFERROR(__xludf.DUMMYFUNCTION("""COMPUTED_VALUE"""),"Household")</f>
        <v>Household</v>
      </c>
      <c r="B94" s="46">
        <f>IFERROR(__xludf.DUMMYFUNCTION("""COMPUTED_VALUE"""),668.2699999999986)</f>
        <v>668.27</v>
      </c>
      <c r="C94" s="46">
        <f>IFERROR(__xludf.DUMMYFUNCTION("""COMPUTED_VALUE"""),97.0)</f>
        <v>97</v>
      </c>
      <c r="D94" s="47">
        <f t="shared" si="2"/>
        <v>2.824951965</v>
      </c>
      <c r="F94" s="57" t="str">
        <f t="shared" si="3"/>
        <v/>
      </c>
      <c r="G94" s="57" t="str">
        <f t="shared" si="4"/>
        <v/>
      </c>
      <c r="H94" s="57">
        <f t="shared" si="5"/>
        <v>97</v>
      </c>
    </row>
    <row r="95">
      <c r="D95" s="47"/>
      <c r="F95" s="47"/>
      <c r="G95" s="47"/>
      <c r="H95" s="48"/>
    </row>
    <row r="96">
      <c r="D96" s="47"/>
      <c r="F96" s="47"/>
      <c r="G96" s="47"/>
      <c r="H96" s="48"/>
    </row>
    <row r="97">
      <c r="D97" s="47"/>
      <c r="F97" s="47"/>
      <c r="G97" s="47"/>
      <c r="H97" s="48"/>
    </row>
    <row r="98">
      <c r="D98" s="47"/>
      <c r="F98" s="47"/>
      <c r="G98" s="47"/>
      <c r="H98" s="48"/>
    </row>
    <row r="99">
      <c r="D99" s="47"/>
      <c r="F99" s="47"/>
      <c r="G99" s="47"/>
      <c r="H99" s="48"/>
    </row>
    <row r="100">
      <c r="D100" s="47"/>
      <c r="F100" s="47"/>
      <c r="G100" s="47"/>
      <c r="H100" s="48"/>
    </row>
    <row r="101">
      <c r="D101" s="47"/>
      <c r="F101" s="47"/>
      <c r="G101" s="47"/>
      <c r="H101" s="48"/>
    </row>
    <row r="102">
      <c r="D102" s="47"/>
      <c r="F102" s="47"/>
      <c r="G102" s="47"/>
      <c r="H102" s="48"/>
    </row>
    <row r="103">
      <c r="D103" s="47"/>
      <c r="F103" s="47"/>
      <c r="G103" s="47"/>
      <c r="H103" s="48"/>
    </row>
    <row r="104">
      <c r="D104" s="47"/>
      <c r="F104" s="47"/>
      <c r="G104" s="47"/>
      <c r="H104" s="48"/>
    </row>
    <row r="105">
      <c r="D105" s="47"/>
      <c r="F105" s="47"/>
      <c r="G105" s="47"/>
      <c r="H105" s="48"/>
    </row>
    <row r="106">
      <c r="D106" s="47"/>
      <c r="F106" s="47"/>
      <c r="G106" s="47"/>
      <c r="H106" s="48"/>
    </row>
    <row r="107">
      <c r="D107" s="47"/>
      <c r="F107" s="47"/>
      <c r="G107" s="47"/>
      <c r="H107" s="48"/>
    </row>
    <row r="108">
      <c r="D108" s="47"/>
      <c r="F108" s="47"/>
      <c r="G108" s="47"/>
      <c r="H108" s="48"/>
    </row>
    <row r="109">
      <c r="D109" s="47"/>
      <c r="F109" s="47"/>
      <c r="G109" s="47"/>
      <c r="H109" s="48"/>
    </row>
    <row r="110">
      <c r="D110" s="47"/>
      <c r="F110" s="47"/>
      <c r="G110" s="47"/>
      <c r="H110" s="48"/>
    </row>
    <row r="111">
      <c r="D111" s="47"/>
      <c r="F111" s="47"/>
      <c r="G111" s="47"/>
      <c r="H111" s="48"/>
    </row>
    <row r="112">
      <c r="D112" s="47"/>
      <c r="F112" s="47"/>
      <c r="G112" s="47"/>
      <c r="H112" s="48"/>
    </row>
    <row r="113">
      <c r="D113" s="47"/>
      <c r="F113" s="47"/>
      <c r="G113" s="47"/>
      <c r="H113" s="48"/>
    </row>
    <row r="114">
      <c r="D114" s="47"/>
      <c r="F114" s="47"/>
      <c r="G114" s="47"/>
      <c r="H114" s="48"/>
    </row>
    <row r="115">
      <c r="D115" s="47"/>
      <c r="F115" s="47"/>
      <c r="G115" s="47"/>
      <c r="H115" s="48"/>
    </row>
    <row r="116">
      <c r="D116" s="47"/>
      <c r="F116" s="47"/>
      <c r="G116" s="47"/>
      <c r="H116" s="48"/>
    </row>
    <row r="117">
      <c r="D117" s="47"/>
      <c r="F117" s="47"/>
      <c r="G117" s="47"/>
      <c r="H117" s="48"/>
    </row>
    <row r="118">
      <c r="D118" s="47"/>
      <c r="F118" s="47"/>
      <c r="G118" s="47"/>
      <c r="H118" s="48"/>
    </row>
    <row r="119">
      <c r="D119" s="47"/>
      <c r="F119" s="47"/>
      <c r="G119" s="47"/>
      <c r="H119" s="48"/>
    </row>
    <row r="120">
      <c r="D120" s="47"/>
      <c r="F120" s="47"/>
      <c r="G120" s="47"/>
      <c r="H120" s="48"/>
    </row>
    <row r="121">
      <c r="D121" s="47"/>
      <c r="F121" s="47"/>
      <c r="G121" s="47"/>
      <c r="H121" s="48"/>
    </row>
    <row r="122">
      <c r="D122" s="47"/>
      <c r="F122" s="47"/>
      <c r="G122" s="47"/>
      <c r="H122" s="48"/>
    </row>
    <row r="123">
      <c r="D123" s="47"/>
      <c r="F123" s="47"/>
      <c r="G123" s="47"/>
      <c r="H123" s="48"/>
    </row>
    <row r="124">
      <c r="D124" s="47"/>
      <c r="F124" s="47"/>
      <c r="G124" s="47"/>
      <c r="H124" s="48"/>
    </row>
    <row r="125">
      <c r="D125" s="47"/>
      <c r="F125" s="47"/>
      <c r="G125" s="47"/>
      <c r="H125" s="48"/>
    </row>
    <row r="126">
      <c r="D126" s="47"/>
      <c r="F126" s="47"/>
      <c r="G126" s="47"/>
      <c r="H126" s="48"/>
    </row>
    <row r="127">
      <c r="D127" s="47"/>
      <c r="F127" s="47"/>
      <c r="G127" s="47"/>
      <c r="H127" s="48"/>
    </row>
    <row r="128">
      <c r="D128" s="47"/>
      <c r="F128" s="47"/>
      <c r="G128" s="47"/>
      <c r="H128" s="48"/>
    </row>
    <row r="129">
      <c r="D129" s="47"/>
      <c r="F129" s="47"/>
      <c r="G129" s="47"/>
      <c r="H129" s="48"/>
    </row>
    <row r="130">
      <c r="D130" s="47"/>
      <c r="F130" s="47"/>
      <c r="G130" s="47"/>
      <c r="H130" s="48"/>
    </row>
    <row r="131">
      <c r="D131" s="47"/>
      <c r="F131" s="47"/>
      <c r="G131" s="47"/>
      <c r="H131" s="48"/>
    </row>
    <row r="132">
      <c r="D132" s="47"/>
      <c r="F132" s="47"/>
      <c r="G132" s="47"/>
      <c r="H132" s="48"/>
    </row>
    <row r="133">
      <c r="D133" s="47"/>
      <c r="F133" s="47"/>
      <c r="G133" s="47"/>
      <c r="H133" s="48"/>
    </row>
    <row r="134">
      <c r="D134" s="47"/>
      <c r="F134" s="47"/>
      <c r="G134" s="47"/>
      <c r="H134" s="48"/>
    </row>
    <row r="135">
      <c r="D135" s="47"/>
      <c r="F135" s="47"/>
      <c r="G135" s="47"/>
      <c r="H135" s="48"/>
    </row>
    <row r="136">
      <c r="D136" s="47"/>
      <c r="F136" s="47"/>
      <c r="G136" s="47"/>
      <c r="H136" s="48"/>
    </row>
    <row r="137">
      <c r="D137" s="47"/>
      <c r="F137" s="47"/>
      <c r="G137" s="47"/>
      <c r="H137" s="48"/>
    </row>
    <row r="138">
      <c r="D138" s="47"/>
      <c r="F138" s="47"/>
      <c r="G138" s="47"/>
      <c r="H138" s="48"/>
    </row>
    <row r="139">
      <c r="D139" s="47"/>
      <c r="F139" s="47"/>
      <c r="G139" s="47"/>
      <c r="H139" s="48"/>
    </row>
    <row r="140">
      <c r="D140" s="47"/>
      <c r="F140" s="47"/>
      <c r="G140" s="47"/>
      <c r="H140" s="48"/>
    </row>
    <row r="141">
      <c r="D141" s="47"/>
      <c r="F141" s="47"/>
      <c r="G141" s="47"/>
      <c r="H141" s="48"/>
    </row>
    <row r="142">
      <c r="D142" s="47"/>
      <c r="F142" s="47"/>
      <c r="G142" s="47"/>
      <c r="H142" s="48"/>
    </row>
    <row r="143">
      <c r="D143" s="47"/>
      <c r="F143" s="47"/>
      <c r="G143" s="47"/>
      <c r="H143" s="48"/>
    </row>
    <row r="144">
      <c r="D144" s="47"/>
      <c r="F144" s="47"/>
      <c r="G144" s="47"/>
      <c r="H144" s="48"/>
    </row>
    <row r="145">
      <c r="D145" s="47"/>
      <c r="F145" s="47"/>
      <c r="G145" s="47"/>
      <c r="H145" s="48"/>
    </row>
    <row r="146">
      <c r="D146" s="47"/>
      <c r="F146" s="47"/>
      <c r="G146" s="47"/>
      <c r="H146" s="48"/>
    </row>
    <row r="147">
      <c r="D147" s="47"/>
      <c r="F147" s="47"/>
      <c r="G147" s="47"/>
      <c r="H147" s="48"/>
    </row>
    <row r="148">
      <c r="D148" s="47"/>
      <c r="F148" s="47"/>
      <c r="G148" s="47"/>
      <c r="H148" s="48"/>
    </row>
    <row r="149">
      <c r="D149" s="47"/>
      <c r="F149" s="47"/>
      <c r="G149" s="47"/>
      <c r="H149" s="48"/>
    </row>
    <row r="150">
      <c r="D150" s="47"/>
      <c r="F150" s="47"/>
      <c r="G150" s="47"/>
      <c r="H150" s="48"/>
    </row>
    <row r="151">
      <c r="D151" s="47"/>
      <c r="F151" s="47"/>
      <c r="G151" s="47"/>
      <c r="H151" s="48"/>
    </row>
    <row r="152">
      <c r="D152" s="47"/>
      <c r="F152" s="47"/>
      <c r="G152" s="47"/>
      <c r="H152" s="48"/>
    </row>
    <row r="153">
      <c r="D153" s="47"/>
      <c r="F153" s="47"/>
      <c r="G153" s="47"/>
      <c r="H153" s="48"/>
    </row>
    <row r="154">
      <c r="D154" s="47"/>
      <c r="F154" s="47"/>
      <c r="G154" s="47"/>
      <c r="H154" s="48"/>
    </row>
    <row r="155">
      <c r="D155" s="47"/>
      <c r="F155" s="47"/>
      <c r="G155" s="47"/>
      <c r="H155" s="48"/>
    </row>
    <row r="156">
      <c r="D156" s="47"/>
      <c r="F156" s="47"/>
      <c r="G156" s="47"/>
      <c r="H156" s="48"/>
    </row>
    <row r="157">
      <c r="D157" s="47"/>
      <c r="F157" s="47"/>
      <c r="G157" s="47"/>
      <c r="H157" s="48"/>
    </row>
    <row r="158">
      <c r="D158" s="47"/>
      <c r="F158" s="47"/>
      <c r="G158" s="47"/>
      <c r="H158" s="48"/>
    </row>
    <row r="159">
      <c r="D159" s="47"/>
      <c r="F159" s="47"/>
      <c r="G159" s="47"/>
      <c r="H159" s="48"/>
    </row>
    <row r="160">
      <c r="D160" s="47"/>
      <c r="F160" s="47"/>
      <c r="G160" s="47"/>
      <c r="H160" s="48"/>
    </row>
    <row r="161">
      <c r="D161" s="47"/>
      <c r="F161" s="47"/>
      <c r="G161" s="47"/>
      <c r="H161" s="48"/>
    </row>
    <row r="162">
      <c r="D162" s="47"/>
      <c r="F162" s="47"/>
      <c r="G162" s="47"/>
      <c r="H162" s="48"/>
    </row>
    <row r="163">
      <c r="D163" s="47"/>
      <c r="F163" s="47"/>
      <c r="G163" s="47"/>
      <c r="H163" s="48"/>
    </row>
    <row r="164">
      <c r="D164" s="47"/>
      <c r="F164" s="47"/>
      <c r="G164" s="47"/>
      <c r="H164" s="48"/>
    </row>
    <row r="165">
      <c r="D165" s="47"/>
      <c r="F165" s="47"/>
      <c r="G165" s="47"/>
      <c r="H165" s="48"/>
    </row>
    <row r="166">
      <c r="D166" s="47"/>
      <c r="F166" s="47"/>
      <c r="G166" s="47"/>
      <c r="H166" s="48"/>
    </row>
    <row r="167">
      <c r="D167" s="47"/>
      <c r="F167" s="47"/>
      <c r="G167" s="47"/>
      <c r="H167" s="48"/>
    </row>
    <row r="168">
      <c r="D168" s="47"/>
      <c r="F168" s="47"/>
      <c r="G168" s="47"/>
      <c r="H168" s="48"/>
    </row>
    <row r="169">
      <c r="D169" s="47"/>
      <c r="F169" s="47"/>
      <c r="G169" s="47"/>
      <c r="H169" s="48"/>
    </row>
    <row r="170">
      <c r="D170" s="47"/>
      <c r="F170" s="47"/>
      <c r="G170" s="47"/>
      <c r="H170" s="48"/>
    </row>
    <row r="171">
      <c r="D171" s="47"/>
      <c r="F171" s="47"/>
      <c r="G171" s="47"/>
      <c r="H171" s="48"/>
    </row>
    <row r="172">
      <c r="D172" s="47"/>
      <c r="F172" s="47"/>
      <c r="G172" s="47"/>
      <c r="H172" s="48"/>
    </row>
    <row r="173">
      <c r="D173" s="47"/>
      <c r="F173" s="47"/>
      <c r="G173" s="47"/>
      <c r="H173" s="48"/>
    </row>
    <row r="174">
      <c r="D174" s="47"/>
      <c r="F174" s="47"/>
      <c r="G174" s="47"/>
      <c r="H174" s="48"/>
    </row>
    <row r="175">
      <c r="D175" s="47"/>
      <c r="F175" s="47"/>
      <c r="G175" s="47"/>
      <c r="H175" s="48"/>
    </row>
    <row r="176">
      <c r="D176" s="47"/>
      <c r="F176" s="47"/>
      <c r="G176" s="47"/>
      <c r="H176" s="48"/>
    </row>
    <row r="177">
      <c r="D177" s="47"/>
      <c r="F177" s="47"/>
      <c r="G177" s="47"/>
      <c r="H177" s="48"/>
    </row>
    <row r="178">
      <c r="D178" s="47"/>
      <c r="F178" s="47"/>
      <c r="G178" s="47"/>
      <c r="H178" s="48"/>
    </row>
    <row r="179">
      <c r="D179" s="47"/>
      <c r="F179" s="47"/>
      <c r="G179" s="47"/>
      <c r="H179" s="48"/>
    </row>
    <row r="180">
      <c r="D180" s="47"/>
      <c r="F180" s="47"/>
      <c r="G180" s="47"/>
      <c r="H180" s="48"/>
    </row>
    <row r="181">
      <c r="D181" s="47"/>
      <c r="F181" s="47"/>
      <c r="G181" s="47"/>
      <c r="H181" s="48"/>
    </row>
    <row r="182">
      <c r="D182" s="47"/>
      <c r="F182" s="47"/>
      <c r="G182" s="47"/>
      <c r="H182" s="48"/>
    </row>
    <row r="183">
      <c r="D183" s="47"/>
      <c r="F183" s="47"/>
      <c r="G183" s="47"/>
      <c r="H183" s="48"/>
    </row>
    <row r="184">
      <c r="D184" s="47"/>
      <c r="F184" s="47"/>
      <c r="G184" s="47"/>
      <c r="H184" s="48"/>
    </row>
    <row r="185">
      <c r="D185" s="47"/>
      <c r="F185" s="47"/>
      <c r="G185" s="47"/>
      <c r="H185" s="48"/>
    </row>
    <row r="186">
      <c r="D186" s="47"/>
      <c r="F186" s="47"/>
      <c r="G186" s="47"/>
      <c r="H186" s="48"/>
    </row>
    <row r="187">
      <c r="D187" s="47"/>
      <c r="F187" s="47"/>
      <c r="G187" s="47"/>
      <c r="H187" s="48"/>
    </row>
    <row r="188">
      <c r="D188" s="47"/>
      <c r="F188" s="47"/>
      <c r="G188" s="47"/>
      <c r="H188" s="48"/>
    </row>
    <row r="189">
      <c r="D189" s="47"/>
      <c r="F189" s="47"/>
      <c r="G189" s="47"/>
      <c r="H189" s="48"/>
    </row>
    <row r="190">
      <c r="D190" s="47"/>
      <c r="F190" s="47"/>
      <c r="G190" s="47"/>
      <c r="H190" s="48"/>
    </row>
    <row r="191">
      <c r="D191" s="47"/>
      <c r="F191" s="47"/>
      <c r="G191" s="47"/>
      <c r="H191" s="48"/>
    </row>
    <row r="192">
      <c r="D192" s="47"/>
      <c r="F192" s="47"/>
      <c r="G192" s="47"/>
      <c r="H192" s="48"/>
    </row>
    <row r="193">
      <c r="D193" s="47"/>
      <c r="F193" s="47"/>
      <c r="G193" s="47"/>
      <c r="H193" s="48"/>
    </row>
    <row r="194">
      <c r="D194" s="47"/>
      <c r="F194" s="47"/>
      <c r="G194" s="47"/>
      <c r="H194" s="48"/>
    </row>
    <row r="195">
      <c r="D195" s="47"/>
      <c r="F195" s="47"/>
      <c r="G195" s="47"/>
      <c r="H195" s="48"/>
    </row>
    <row r="196">
      <c r="D196" s="47"/>
      <c r="F196" s="47"/>
      <c r="G196" s="47"/>
      <c r="H196" s="48"/>
    </row>
    <row r="197">
      <c r="D197" s="47"/>
      <c r="F197" s="47"/>
      <c r="G197" s="47"/>
      <c r="H197" s="48"/>
    </row>
    <row r="198">
      <c r="D198" s="47"/>
      <c r="F198" s="47"/>
      <c r="G198" s="47"/>
      <c r="H198" s="48"/>
    </row>
    <row r="199">
      <c r="D199" s="47"/>
      <c r="F199" s="47"/>
      <c r="G199" s="47"/>
      <c r="H199" s="48"/>
    </row>
    <row r="200">
      <c r="D200" s="47"/>
      <c r="F200" s="47"/>
      <c r="G200" s="47"/>
      <c r="H200" s="48"/>
    </row>
    <row r="201">
      <c r="D201" s="47"/>
      <c r="F201" s="47"/>
      <c r="G201" s="47"/>
      <c r="H201" s="48"/>
    </row>
    <row r="202">
      <c r="D202" s="47"/>
      <c r="F202" s="47"/>
      <c r="G202" s="47"/>
      <c r="H202" s="48"/>
    </row>
    <row r="203">
      <c r="D203" s="47"/>
      <c r="F203" s="47"/>
      <c r="G203" s="47"/>
      <c r="H203" s="48"/>
    </row>
    <row r="204">
      <c r="D204" s="47"/>
      <c r="F204" s="47"/>
      <c r="G204" s="47"/>
      <c r="H204" s="48"/>
    </row>
    <row r="205">
      <c r="D205" s="47"/>
      <c r="F205" s="47"/>
      <c r="G205" s="47"/>
      <c r="H205" s="48"/>
    </row>
    <row r="206">
      <c r="D206" s="47"/>
      <c r="F206" s="47"/>
      <c r="G206" s="47"/>
      <c r="H206" s="48"/>
    </row>
    <row r="207">
      <c r="D207" s="47"/>
      <c r="F207" s="47"/>
      <c r="G207" s="47"/>
      <c r="H207" s="48"/>
    </row>
    <row r="208">
      <c r="D208" s="47"/>
      <c r="F208" s="47"/>
      <c r="G208" s="47"/>
      <c r="H208" s="48"/>
    </row>
    <row r="209">
      <c r="D209" s="47"/>
      <c r="F209" s="47"/>
      <c r="G209" s="47"/>
      <c r="H209" s="48"/>
    </row>
    <row r="210">
      <c r="D210" s="47"/>
      <c r="F210" s="47"/>
      <c r="G210" s="47"/>
      <c r="H210" s="48"/>
    </row>
    <row r="211">
      <c r="D211" s="47"/>
      <c r="F211" s="47"/>
      <c r="G211" s="47"/>
      <c r="H211" s="48"/>
    </row>
    <row r="212">
      <c r="D212" s="47"/>
      <c r="F212" s="47"/>
      <c r="G212" s="47"/>
      <c r="H212" s="48"/>
    </row>
    <row r="213">
      <c r="D213" s="47"/>
      <c r="F213" s="47"/>
      <c r="G213" s="47"/>
      <c r="H213" s="48"/>
    </row>
    <row r="214">
      <c r="D214" s="47"/>
      <c r="F214" s="47"/>
      <c r="G214" s="47"/>
      <c r="H214" s="48"/>
    </row>
    <row r="215">
      <c r="D215" s="47"/>
      <c r="F215" s="47"/>
      <c r="G215" s="47"/>
      <c r="H215" s="48"/>
    </row>
    <row r="216">
      <c r="D216" s="47"/>
      <c r="F216" s="47"/>
      <c r="G216" s="47"/>
      <c r="H216" s="48"/>
    </row>
    <row r="217">
      <c r="D217" s="47"/>
      <c r="F217" s="47"/>
      <c r="G217" s="47"/>
      <c r="H217" s="48"/>
    </row>
    <row r="218">
      <c r="D218" s="47"/>
      <c r="F218" s="47"/>
      <c r="G218" s="47"/>
      <c r="H218" s="48"/>
    </row>
    <row r="219">
      <c r="D219" s="47"/>
      <c r="F219" s="47"/>
      <c r="G219" s="47"/>
      <c r="H219" s="48"/>
    </row>
    <row r="220">
      <c r="D220" s="47"/>
      <c r="F220" s="47"/>
      <c r="G220" s="47"/>
      <c r="H220" s="48"/>
    </row>
    <row r="221">
      <c r="D221" s="47"/>
      <c r="F221" s="47"/>
      <c r="G221" s="47"/>
      <c r="H221" s="48"/>
    </row>
    <row r="222">
      <c r="D222" s="47"/>
      <c r="F222" s="47"/>
      <c r="G222" s="47"/>
      <c r="H222" s="48"/>
    </row>
    <row r="223">
      <c r="D223" s="47"/>
      <c r="F223" s="47"/>
      <c r="G223" s="47"/>
      <c r="H223" s="48"/>
    </row>
    <row r="224">
      <c r="D224" s="47"/>
      <c r="F224" s="47"/>
      <c r="G224" s="47"/>
      <c r="H224" s="48"/>
    </row>
    <row r="225">
      <c r="D225" s="47"/>
      <c r="F225" s="47"/>
      <c r="G225" s="47"/>
      <c r="H225" s="48"/>
    </row>
    <row r="226">
      <c r="D226" s="47"/>
      <c r="F226" s="47"/>
      <c r="G226" s="47"/>
      <c r="H226" s="48"/>
    </row>
    <row r="227">
      <c r="D227" s="47"/>
      <c r="F227" s="47"/>
      <c r="G227" s="47"/>
      <c r="H227" s="48"/>
    </row>
    <row r="228">
      <c r="D228" s="47"/>
      <c r="F228" s="47"/>
      <c r="G228" s="47"/>
      <c r="H228" s="48"/>
    </row>
    <row r="229">
      <c r="D229" s="47"/>
      <c r="F229" s="47"/>
      <c r="G229" s="47"/>
      <c r="H229" s="48"/>
    </row>
    <row r="230">
      <c r="D230" s="47"/>
      <c r="F230" s="47"/>
      <c r="G230" s="47"/>
      <c r="H230" s="48"/>
    </row>
    <row r="231">
      <c r="D231" s="47"/>
      <c r="F231" s="47"/>
      <c r="G231" s="47"/>
      <c r="H231" s="48"/>
    </row>
    <row r="232">
      <c r="D232" s="47"/>
      <c r="F232" s="47"/>
      <c r="G232" s="47"/>
      <c r="H232" s="48"/>
    </row>
    <row r="233">
      <c r="D233" s="47"/>
      <c r="F233" s="47"/>
      <c r="G233" s="47"/>
      <c r="H233" s="48"/>
    </row>
    <row r="234">
      <c r="D234" s="47"/>
      <c r="F234" s="47"/>
      <c r="G234" s="47"/>
      <c r="H234" s="48"/>
    </row>
    <row r="235">
      <c r="D235" s="47"/>
      <c r="F235" s="47"/>
      <c r="G235" s="47"/>
      <c r="H235" s="48"/>
    </row>
    <row r="236">
      <c r="D236" s="47"/>
      <c r="F236" s="47"/>
      <c r="G236" s="47"/>
      <c r="H236" s="48"/>
    </row>
    <row r="237">
      <c r="D237" s="47"/>
      <c r="F237" s="47"/>
      <c r="G237" s="47"/>
      <c r="H237" s="48"/>
    </row>
    <row r="238">
      <c r="D238" s="47"/>
      <c r="F238" s="47"/>
      <c r="G238" s="47"/>
      <c r="H238" s="48"/>
    </row>
    <row r="239">
      <c r="D239" s="47"/>
      <c r="F239" s="47"/>
      <c r="G239" s="47"/>
      <c r="H239" s="48"/>
    </row>
    <row r="240">
      <c r="D240" s="47"/>
      <c r="F240" s="47"/>
      <c r="G240" s="47"/>
      <c r="H240" s="48"/>
    </row>
    <row r="241">
      <c r="D241" s="47"/>
      <c r="F241" s="47"/>
      <c r="G241" s="47"/>
      <c r="H241" s="48"/>
    </row>
    <row r="242">
      <c r="D242" s="47"/>
      <c r="F242" s="47"/>
      <c r="G242" s="47"/>
      <c r="H242" s="48"/>
    </row>
    <row r="243">
      <c r="D243" s="47"/>
      <c r="F243" s="47"/>
      <c r="G243" s="47"/>
      <c r="H243" s="48"/>
    </row>
    <row r="244">
      <c r="D244" s="47"/>
      <c r="F244" s="47"/>
      <c r="G244" s="47"/>
      <c r="H244" s="48"/>
    </row>
    <row r="245">
      <c r="D245" s="47"/>
      <c r="F245" s="47"/>
      <c r="G245" s="47"/>
      <c r="H245" s="48"/>
    </row>
    <row r="246">
      <c r="D246" s="47"/>
      <c r="F246" s="47"/>
      <c r="G246" s="47"/>
      <c r="H246" s="48"/>
    </row>
    <row r="247">
      <c r="D247" s="47"/>
      <c r="F247" s="47"/>
      <c r="G247" s="47"/>
      <c r="H247" s="48"/>
    </row>
    <row r="248">
      <c r="D248" s="47"/>
      <c r="F248" s="47"/>
      <c r="G248" s="47"/>
      <c r="H248" s="48"/>
    </row>
    <row r="249">
      <c r="D249" s="47"/>
      <c r="F249" s="47"/>
      <c r="G249" s="47"/>
      <c r="H249" s="48"/>
    </row>
    <row r="250">
      <c r="D250" s="47"/>
      <c r="F250" s="47"/>
      <c r="G250" s="47"/>
      <c r="H250" s="48"/>
    </row>
    <row r="251">
      <c r="D251" s="47"/>
      <c r="F251" s="47"/>
      <c r="G251" s="47"/>
      <c r="H251" s="48"/>
    </row>
    <row r="252">
      <c r="D252" s="47"/>
      <c r="F252" s="47"/>
      <c r="G252" s="47"/>
      <c r="H252" s="48"/>
    </row>
    <row r="253">
      <c r="D253" s="47"/>
      <c r="F253" s="47"/>
      <c r="G253" s="47"/>
      <c r="H253" s="48"/>
    </row>
    <row r="254">
      <c r="D254" s="47"/>
      <c r="F254" s="47"/>
      <c r="G254" s="47"/>
      <c r="H254" s="48"/>
    </row>
    <row r="255">
      <c r="D255" s="47"/>
      <c r="F255" s="47"/>
      <c r="G255" s="47"/>
      <c r="H255" s="48"/>
    </row>
    <row r="256">
      <c r="D256" s="47"/>
      <c r="F256" s="47"/>
      <c r="G256" s="47"/>
      <c r="H256" s="48"/>
    </row>
    <row r="257">
      <c r="D257" s="47"/>
      <c r="F257" s="47"/>
      <c r="G257" s="47"/>
      <c r="H257" s="48"/>
    </row>
    <row r="258">
      <c r="D258" s="47"/>
      <c r="F258" s="47"/>
      <c r="G258" s="47"/>
      <c r="H258" s="48"/>
    </row>
    <row r="259">
      <c r="D259" s="47"/>
      <c r="F259" s="47"/>
      <c r="G259" s="47"/>
      <c r="H259" s="48"/>
    </row>
    <row r="260">
      <c r="D260" s="47"/>
      <c r="F260" s="47"/>
      <c r="G260" s="47"/>
      <c r="H260" s="48"/>
    </row>
    <row r="261">
      <c r="D261" s="47"/>
      <c r="F261" s="47"/>
      <c r="G261" s="47"/>
      <c r="H261" s="48"/>
    </row>
    <row r="262">
      <c r="D262" s="47"/>
      <c r="F262" s="47"/>
      <c r="G262" s="47"/>
      <c r="H262" s="48"/>
    </row>
    <row r="263">
      <c r="D263" s="47"/>
      <c r="F263" s="47"/>
      <c r="G263" s="47"/>
      <c r="H263" s="48"/>
    </row>
    <row r="264">
      <c r="D264" s="47"/>
      <c r="F264" s="47"/>
      <c r="G264" s="47"/>
      <c r="H264" s="48"/>
    </row>
    <row r="265">
      <c r="D265" s="47"/>
      <c r="F265" s="47"/>
      <c r="G265" s="47"/>
      <c r="H265" s="48"/>
    </row>
    <row r="266">
      <c r="D266" s="47"/>
      <c r="F266" s="47"/>
      <c r="G266" s="47"/>
      <c r="H266" s="48"/>
    </row>
    <row r="267">
      <c r="D267" s="47"/>
      <c r="F267" s="47"/>
      <c r="G267" s="47"/>
      <c r="H267" s="48"/>
    </row>
    <row r="268">
      <c r="D268" s="47"/>
      <c r="F268" s="47"/>
      <c r="G268" s="47"/>
      <c r="H268" s="48"/>
    </row>
    <row r="269">
      <c r="D269" s="47"/>
      <c r="F269" s="47"/>
      <c r="G269" s="47"/>
      <c r="H269" s="48"/>
    </row>
    <row r="270">
      <c r="D270" s="47"/>
      <c r="F270" s="47"/>
      <c r="G270" s="47"/>
      <c r="H270" s="48"/>
    </row>
    <row r="271">
      <c r="D271" s="47"/>
      <c r="F271" s="47"/>
      <c r="G271" s="47"/>
      <c r="H271" s="48"/>
    </row>
    <row r="272">
      <c r="D272" s="47"/>
      <c r="F272" s="47"/>
      <c r="G272" s="47"/>
      <c r="H272" s="48"/>
    </row>
    <row r="273">
      <c r="D273" s="47"/>
      <c r="F273" s="47"/>
      <c r="G273" s="47"/>
      <c r="H273" s="48"/>
    </row>
    <row r="274">
      <c r="D274" s="47"/>
      <c r="F274" s="47"/>
      <c r="G274" s="47"/>
      <c r="H274" s="48"/>
    </row>
    <row r="275">
      <c r="D275" s="47"/>
      <c r="F275" s="47"/>
      <c r="G275" s="47"/>
      <c r="H275" s="48"/>
    </row>
    <row r="276">
      <c r="D276" s="47"/>
      <c r="F276" s="47"/>
      <c r="G276" s="47"/>
      <c r="H276" s="48"/>
    </row>
    <row r="277">
      <c r="D277" s="47"/>
      <c r="F277" s="47"/>
      <c r="G277" s="47"/>
      <c r="H277" s="48"/>
    </row>
    <row r="278">
      <c r="D278" s="47"/>
      <c r="F278" s="47"/>
      <c r="G278" s="47"/>
      <c r="H278" s="48"/>
    </row>
    <row r="279">
      <c r="D279" s="47"/>
      <c r="F279" s="47"/>
      <c r="G279" s="47"/>
      <c r="H279" s="48"/>
    </row>
    <row r="280">
      <c r="D280" s="47"/>
      <c r="F280" s="47"/>
      <c r="G280" s="47"/>
      <c r="H280" s="48"/>
    </row>
    <row r="281">
      <c r="D281" s="47"/>
      <c r="F281" s="47"/>
      <c r="G281" s="47"/>
      <c r="H281" s="48"/>
    </row>
    <row r="282">
      <c r="D282" s="47"/>
      <c r="F282" s="47"/>
      <c r="G282" s="47"/>
      <c r="H282" s="48"/>
    </row>
    <row r="283">
      <c r="D283" s="47"/>
      <c r="F283" s="47"/>
      <c r="G283" s="47"/>
      <c r="H283" s="48"/>
    </row>
    <row r="284">
      <c r="D284" s="47"/>
      <c r="F284" s="47"/>
      <c r="G284" s="47"/>
      <c r="H284" s="48"/>
    </row>
    <row r="285">
      <c r="D285" s="47"/>
      <c r="F285" s="47"/>
      <c r="G285" s="47"/>
      <c r="H285" s="48"/>
    </row>
    <row r="286">
      <c r="D286" s="47"/>
      <c r="F286" s="47"/>
      <c r="G286" s="47"/>
      <c r="H286" s="48"/>
    </row>
    <row r="287">
      <c r="D287" s="47"/>
      <c r="F287" s="47"/>
      <c r="G287" s="47"/>
      <c r="H287" s="48"/>
    </row>
    <row r="288">
      <c r="D288" s="47"/>
      <c r="F288" s="47"/>
      <c r="G288" s="47"/>
      <c r="H288" s="48"/>
    </row>
    <row r="289">
      <c r="D289" s="47"/>
      <c r="F289" s="47"/>
      <c r="G289" s="47"/>
      <c r="H289" s="48"/>
    </row>
    <row r="290">
      <c r="D290" s="47"/>
      <c r="F290" s="47"/>
      <c r="G290" s="47"/>
      <c r="H290" s="48"/>
    </row>
    <row r="291">
      <c r="D291" s="47"/>
      <c r="F291" s="47"/>
      <c r="G291" s="47"/>
      <c r="H291" s="48"/>
    </row>
    <row r="292">
      <c r="D292" s="47"/>
      <c r="F292" s="47"/>
      <c r="G292" s="47"/>
      <c r="H292" s="48"/>
    </row>
    <row r="293">
      <c r="D293" s="47"/>
      <c r="F293" s="47"/>
      <c r="G293" s="47"/>
      <c r="H293" s="48"/>
    </row>
    <row r="294">
      <c r="D294" s="47"/>
      <c r="F294" s="47"/>
      <c r="G294" s="47"/>
      <c r="H294" s="48"/>
    </row>
    <row r="295">
      <c r="D295" s="47"/>
      <c r="F295" s="47"/>
      <c r="G295" s="47"/>
      <c r="H295" s="48"/>
    </row>
    <row r="296">
      <c r="D296" s="47"/>
      <c r="F296" s="47"/>
      <c r="G296" s="47"/>
      <c r="H296" s="48"/>
    </row>
    <row r="297">
      <c r="D297" s="47"/>
      <c r="F297" s="47"/>
      <c r="G297" s="47"/>
      <c r="H297" s="48"/>
    </row>
    <row r="298">
      <c r="D298" s="47"/>
      <c r="F298" s="47"/>
      <c r="G298" s="47"/>
      <c r="H298" s="48"/>
    </row>
    <row r="299">
      <c r="D299" s="47"/>
      <c r="F299" s="47"/>
      <c r="G299" s="47"/>
      <c r="H299" s="48"/>
    </row>
    <row r="300">
      <c r="D300" s="47"/>
      <c r="F300" s="47"/>
      <c r="G300" s="47"/>
      <c r="H300" s="48"/>
    </row>
    <row r="301">
      <c r="D301" s="47"/>
      <c r="F301" s="47"/>
      <c r="G301" s="47"/>
      <c r="H301" s="48"/>
    </row>
    <row r="302">
      <c r="D302" s="47"/>
      <c r="F302" s="47"/>
      <c r="G302" s="47"/>
      <c r="H302" s="48"/>
    </row>
    <row r="303">
      <c r="D303" s="47"/>
      <c r="F303" s="47"/>
      <c r="G303" s="47"/>
      <c r="H303" s="48"/>
    </row>
    <row r="304">
      <c r="D304" s="47"/>
      <c r="F304" s="47"/>
      <c r="G304" s="47"/>
      <c r="H304" s="48"/>
    </row>
    <row r="305">
      <c r="D305" s="47"/>
      <c r="F305" s="47"/>
      <c r="G305" s="47"/>
      <c r="H305" s="48"/>
    </row>
    <row r="306">
      <c r="D306" s="47"/>
      <c r="F306" s="47"/>
      <c r="G306" s="47"/>
      <c r="H306" s="48"/>
    </row>
    <row r="307">
      <c r="D307" s="47"/>
      <c r="F307" s="47"/>
      <c r="G307" s="47"/>
      <c r="H307" s="48"/>
    </row>
    <row r="308">
      <c r="D308" s="47"/>
      <c r="F308" s="47"/>
      <c r="G308" s="47"/>
      <c r="H308" s="48"/>
    </row>
    <row r="309">
      <c r="D309" s="47"/>
      <c r="F309" s="47"/>
      <c r="G309" s="47"/>
      <c r="H309" s="48"/>
    </row>
    <row r="310">
      <c r="D310" s="47"/>
      <c r="F310" s="47"/>
      <c r="G310" s="47"/>
      <c r="H310" s="48"/>
    </row>
    <row r="311">
      <c r="D311" s="47"/>
      <c r="F311" s="47"/>
      <c r="G311" s="47"/>
      <c r="H311" s="48"/>
    </row>
    <row r="312">
      <c r="D312" s="47"/>
      <c r="F312" s="47"/>
      <c r="G312" s="47"/>
      <c r="H312" s="48"/>
    </row>
    <row r="313">
      <c r="D313" s="47"/>
      <c r="F313" s="47"/>
      <c r="G313" s="47"/>
      <c r="H313" s="48"/>
    </row>
    <row r="314">
      <c r="D314" s="47"/>
      <c r="F314" s="47"/>
      <c r="G314" s="47"/>
      <c r="H314" s="48"/>
    </row>
    <row r="315">
      <c r="D315" s="47"/>
      <c r="F315" s="47"/>
      <c r="G315" s="47"/>
      <c r="H315" s="48"/>
    </row>
    <row r="316">
      <c r="D316" s="47"/>
      <c r="F316" s="47"/>
      <c r="G316" s="47"/>
      <c r="H316" s="48"/>
    </row>
    <row r="317">
      <c r="D317" s="47"/>
      <c r="F317" s="47"/>
      <c r="G317" s="47"/>
      <c r="H317" s="48"/>
    </row>
    <row r="318">
      <c r="D318" s="47"/>
      <c r="F318" s="47"/>
      <c r="G318" s="47"/>
      <c r="H318" s="48"/>
    </row>
    <row r="319">
      <c r="D319" s="47"/>
      <c r="F319" s="47"/>
      <c r="G319" s="47"/>
      <c r="H319" s="48"/>
    </row>
    <row r="320">
      <c r="D320" s="47"/>
      <c r="F320" s="47"/>
      <c r="G320" s="47"/>
      <c r="H320" s="48"/>
    </row>
    <row r="321">
      <c r="D321" s="47"/>
      <c r="F321" s="47"/>
      <c r="G321" s="47"/>
      <c r="H321" s="48"/>
    </row>
    <row r="322">
      <c r="D322" s="47"/>
      <c r="F322" s="47"/>
      <c r="G322" s="47"/>
      <c r="H322" s="48"/>
    </row>
    <row r="323">
      <c r="D323" s="47"/>
      <c r="F323" s="47"/>
      <c r="G323" s="47"/>
      <c r="H323" s="48"/>
    </row>
    <row r="324">
      <c r="D324" s="47"/>
      <c r="F324" s="47"/>
      <c r="G324" s="47"/>
      <c r="H324" s="48"/>
    </row>
    <row r="325">
      <c r="D325" s="47"/>
      <c r="F325" s="47"/>
      <c r="G325" s="47"/>
      <c r="H325" s="48"/>
    </row>
    <row r="326">
      <c r="D326" s="47"/>
      <c r="F326" s="47"/>
      <c r="G326" s="47"/>
      <c r="H326" s="48"/>
    </row>
    <row r="327">
      <c r="D327" s="47"/>
      <c r="F327" s="47"/>
      <c r="G327" s="47"/>
      <c r="H327" s="48"/>
    </row>
    <row r="328">
      <c r="D328" s="47"/>
      <c r="F328" s="47"/>
      <c r="G328" s="47"/>
      <c r="H328" s="48"/>
    </row>
    <row r="329">
      <c r="D329" s="47"/>
      <c r="F329" s="47"/>
      <c r="G329" s="47"/>
      <c r="H329" s="48"/>
    </row>
    <row r="330">
      <c r="D330" s="47"/>
      <c r="F330" s="47"/>
      <c r="G330" s="47"/>
      <c r="H330" s="48"/>
    </row>
    <row r="331">
      <c r="D331" s="47"/>
      <c r="F331" s="47"/>
      <c r="G331" s="47"/>
      <c r="H331" s="48"/>
    </row>
    <row r="332">
      <c r="D332" s="47"/>
      <c r="F332" s="47"/>
      <c r="G332" s="47"/>
      <c r="H332" s="48"/>
    </row>
    <row r="333">
      <c r="D333" s="47"/>
      <c r="F333" s="47"/>
      <c r="G333" s="47"/>
      <c r="H333" s="48"/>
    </row>
    <row r="334">
      <c r="D334" s="47"/>
      <c r="F334" s="47"/>
      <c r="G334" s="47"/>
      <c r="H334" s="48"/>
    </row>
    <row r="335">
      <c r="D335" s="47"/>
      <c r="F335" s="47"/>
      <c r="G335" s="47"/>
      <c r="H335" s="48"/>
    </row>
    <row r="336">
      <c r="D336" s="47"/>
      <c r="F336" s="47"/>
      <c r="G336" s="47"/>
      <c r="H336" s="48"/>
    </row>
    <row r="337">
      <c r="D337" s="47"/>
      <c r="F337" s="47"/>
      <c r="G337" s="47"/>
      <c r="H337" s="48"/>
    </row>
    <row r="338">
      <c r="D338" s="47"/>
      <c r="F338" s="47"/>
      <c r="G338" s="47"/>
      <c r="H338" s="48"/>
    </row>
    <row r="339">
      <c r="D339" s="47"/>
      <c r="F339" s="47"/>
      <c r="G339" s="47"/>
      <c r="H339" s="48"/>
    </row>
    <row r="340">
      <c r="D340" s="47"/>
      <c r="F340" s="47"/>
      <c r="G340" s="47"/>
      <c r="H340" s="48"/>
    </row>
    <row r="341">
      <c r="D341" s="47"/>
      <c r="F341" s="47"/>
      <c r="G341" s="47"/>
      <c r="H341" s="48"/>
    </row>
    <row r="342">
      <c r="D342" s="47"/>
      <c r="F342" s="47"/>
      <c r="G342" s="47"/>
      <c r="H342" s="48"/>
    </row>
    <row r="343">
      <c r="D343" s="47"/>
      <c r="F343" s="47"/>
      <c r="G343" s="47"/>
      <c r="H343" s="48"/>
    </row>
    <row r="344">
      <c r="D344" s="47"/>
      <c r="F344" s="47"/>
      <c r="G344" s="47"/>
      <c r="H344" s="48"/>
    </row>
    <row r="345">
      <c r="D345" s="47"/>
      <c r="F345" s="47"/>
      <c r="G345" s="47"/>
      <c r="H345" s="48"/>
    </row>
    <row r="346">
      <c r="D346" s="47"/>
      <c r="F346" s="47"/>
      <c r="G346" s="47"/>
      <c r="H346" s="48"/>
    </row>
    <row r="347">
      <c r="D347" s="47"/>
      <c r="F347" s="47"/>
      <c r="G347" s="47"/>
      <c r="H347" s="48"/>
    </row>
    <row r="348">
      <c r="D348" s="47"/>
      <c r="F348" s="47"/>
      <c r="G348" s="47"/>
      <c r="H348" s="48"/>
    </row>
    <row r="349">
      <c r="D349" s="47"/>
      <c r="F349" s="47"/>
      <c r="G349" s="47"/>
      <c r="H349" s="48"/>
    </row>
    <row r="350">
      <c r="D350" s="47"/>
      <c r="F350" s="47"/>
      <c r="G350" s="47"/>
      <c r="H350" s="48"/>
    </row>
    <row r="351">
      <c r="D351" s="47"/>
      <c r="F351" s="47"/>
      <c r="G351" s="47"/>
      <c r="H351" s="48"/>
    </row>
    <row r="352">
      <c r="D352" s="47"/>
      <c r="F352" s="47"/>
      <c r="G352" s="47"/>
      <c r="H352" s="48"/>
    </row>
    <row r="353">
      <c r="D353" s="47"/>
      <c r="F353" s="47"/>
      <c r="G353" s="47"/>
      <c r="H353" s="48"/>
    </row>
    <row r="354">
      <c r="D354" s="47"/>
      <c r="F354" s="47"/>
      <c r="G354" s="47"/>
      <c r="H354" s="48"/>
    </row>
    <row r="355">
      <c r="D355" s="47"/>
      <c r="F355" s="47"/>
      <c r="G355" s="47"/>
      <c r="H355" s="48"/>
    </row>
    <row r="356">
      <c r="D356" s="47"/>
      <c r="F356" s="47"/>
      <c r="G356" s="47"/>
      <c r="H356" s="48"/>
    </row>
    <row r="357">
      <c r="D357" s="47"/>
      <c r="F357" s="47"/>
      <c r="G357" s="47"/>
      <c r="H357" s="48"/>
    </row>
    <row r="358">
      <c r="D358" s="47"/>
      <c r="F358" s="47"/>
      <c r="G358" s="47"/>
      <c r="H358" s="48"/>
    </row>
    <row r="359">
      <c r="D359" s="47"/>
      <c r="F359" s="47"/>
      <c r="G359" s="47"/>
      <c r="H359" s="48"/>
    </row>
    <row r="360">
      <c r="D360" s="47"/>
      <c r="F360" s="47"/>
      <c r="G360" s="47"/>
      <c r="H360" s="48"/>
    </row>
    <row r="361">
      <c r="D361" s="47"/>
      <c r="F361" s="47"/>
      <c r="G361" s="47"/>
      <c r="H361" s="48"/>
    </row>
    <row r="362">
      <c r="D362" s="47"/>
      <c r="F362" s="47"/>
      <c r="G362" s="47"/>
      <c r="H362" s="48"/>
    </row>
    <row r="363">
      <c r="D363" s="47"/>
      <c r="F363" s="47"/>
      <c r="G363" s="47"/>
      <c r="H363" s="48"/>
    </row>
    <row r="364">
      <c r="D364" s="47"/>
      <c r="F364" s="47"/>
      <c r="G364" s="47"/>
      <c r="H364" s="48"/>
    </row>
    <row r="365">
      <c r="D365" s="47"/>
      <c r="F365" s="47"/>
      <c r="G365" s="47"/>
      <c r="H365" s="48"/>
    </row>
    <row r="366">
      <c r="D366" s="47"/>
      <c r="F366" s="47"/>
      <c r="G366" s="47"/>
      <c r="H366" s="48"/>
    </row>
    <row r="367">
      <c r="D367" s="47"/>
      <c r="F367" s="47"/>
      <c r="G367" s="47"/>
      <c r="H367" s="48"/>
    </row>
    <row r="368">
      <c r="D368" s="47"/>
      <c r="F368" s="47"/>
      <c r="G368" s="47"/>
      <c r="H368" s="48"/>
    </row>
    <row r="369">
      <c r="D369" s="47"/>
      <c r="F369" s="47"/>
      <c r="G369" s="47"/>
      <c r="H369" s="48"/>
    </row>
    <row r="370">
      <c r="D370" s="47"/>
      <c r="F370" s="47"/>
      <c r="G370" s="47"/>
      <c r="H370" s="48"/>
    </row>
    <row r="371">
      <c r="D371" s="47"/>
      <c r="F371" s="47"/>
      <c r="G371" s="47"/>
      <c r="H371" s="48"/>
    </row>
    <row r="372">
      <c r="D372" s="47"/>
      <c r="F372" s="47"/>
      <c r="G372" s="47"/>
      <c r="H372" s="48"/>
    </row>
    <row r="373">
      <c r="D373" s="47"/>
      <c r="F373" s="47"/>
      <c r="G373" s="47"/>
      <c r="H373" s="48"/>
    </row>
    <row r="374">
      <c r="D374" s="47"/>
      <c r="F374" s="47"/>
      <c r="G374" s="47"/>
      <c r="H374" s="48"/>
    </row>
    <row r="375">
      <c r="D375" s="47"/>
      <c r="F375" s="47"/>
      <c r="G375" s="47"/>
      <c r="H375" s="48"/>
    </row>
    <row r="376">
      <c r="D376" s="47"/>
      <c r="F376" s="47"/>
      <c r="G376" s="47"/>
      <c r="H376" s="48"/>
    </row>
    <row r="377">
      <c r="D377" s="47"/>
      <c r="F377" s="47"/>
      <c r="G377" s="47"/>
      <c r="H377" s="48"/>
    </row>
    <row r="378">
      <c r="D378" s="47"/>
      <c r="F378" s="47"/>
      <c r="G378" s="47"/>
      <c r="H378" s="48"/>
    </row>
    <row r="379">
      <c r="D379" s="47"/>
      <c r="F379" s="47"/>
      <c r="G379" s="47"/>
      <c r="H379" s="48"/>
    </row>
    <row r="380">
      <c r="D380" s="47"/>
      <c r="F380" s="47"/>
      <c r="G380" s="47"/>
      <c r="H380" s="48"/>
    </row>
    <row r="381">
      <c r="D381" s="47"/>
      <c r="F381" s="47"/>
      <c r="G381" s="47"/>
      <c r="H381" s="48"/>
    </row>
    <row r="382">
      <c r="D382" s="47"/>
      <c r="F382" s="47"/>
      <c r="G382" s="47"/>
      <c r="H382" s="48"/>
    </row>
    <row r="383">
      <c r="D383" s="47"/>
      <c r="F383" s="47"/>
      <c r="G383" s="47"/>
      <c r="H383" s="48"/>
    </row>
    <row r="384">
      <c r="D384" s="47"/>
      <c r="F384" s="47"/>
      <c r="G384" s="47"/>
      <c r="H384" s="48"/>
    </row>
    <row r="385">
      <c r="D385" s="47"/>
      <c r="F385" s="47"/>
      <c r="G385" s="47"/>
      <c r="H385" s="48"/>
    </row>
    <row r="386">
      <c r="D386" s="47"/>
      <c r="F386" s="47"/>
      <c r="G386" s="47"/>
      <c r="H386" s="48"/>
    </row>
    <row r="387">
      <c r="D387" s="47"/>
      <c r="F387" s="47"/>
      <c r="G387" s="47"/>
      <c r="H387" s="48"/>
    </row>
    <row r="388">
      <c r="D388" s="47"/>
      <c r="F388" s="47"/>
      <c r="G388" s="47"/>
      <c r="H388" s="48"/>
    </row>
    <row r="389">
      <c r="D389" s="47"/>
      <c r="F389" s="47"/>
      <c r="G389" s="47"/>
      <c r="H389" s="48"/>
    </row>
    <row r="390">
      <c r="D390" s="47"/>
      <c r="F390" s="47"/>
      <c r="G390" s="47"/>
      <c r="H390" s="48"/>
    </row>
    <row r="391">
      <c r="D391" s="47"/>
      <c r="F391" s="47"/>
      <c r="G391" s="47"/>
      <c r="H391" s="48"/>
    </row>
    <row r="392">
      <c r="D392" s="47"/>
      <c r="F392" s="47"/>
      <c r="G392" s="47"/>
      <c r="H392" s="48"/>
    </row>
    <row r="393">
      <c r="D393" s="47"/>
      <c r="F393" s="47"/>
      <c r="G393" s="47"/>
      <c r="H393" s="48"/>
    </row>
    <row r="394">
      <c r="D394" s="47"/>
      <c r="F394" s="47"/>
      <c r="G394" s="47"/>
      <c r="H394" s="48"/>
    </row>
    <row r="395">
      <c r="D395" s="47"/>
      <c r="F395" s="47"/>
      <c r="G395" s="47"/>
      <c r="H395" s="48"/>
    </row>
    <row r="396">
      <c r="D396" s="47"/>
      <c r="F396" s="47"/>
      <c r="G396" s="47"/>
      <c r="H396" s="48"/>
    </row>
    <row r="397">
      <c r="D397" s="47"/>
      <c r="F397" s="47"/>
      <c r="G397" s="47"/>
      <c r="H397" s="48"/>
    </row>
    <row r="398">
      <c r="D398" s="47"/>
      <c r="F398" s="47"/>
      <c r="G398" s="47"/>
      <c r="H398" s="48"/>
    </row>
    <row r="399">
      <c r="D399" s="47"/>
      <c r="F399" s="47"/>
      <c r="G399" s="47"/>
      <c r="H399" s="48"/>
    </row>
    <row r="400">
      <c r="D400" s="47"/>
      <c r="F400" s="47"/>
      <c r="G400" s="47"/>
      <c r="H400" s="48"/>
    </row>
    <row r="401">
      <c r="D401" s="47"/>
      <c r="F401" s="47"/>
      <c r="G401" s="47"/>
      <c r="H401" s="48"/>
    </row>
    <row r="402">
      <c r="D402" s="47"/>
      <c r="F402" s="47"/>
      <c r="G402" s="47"/>
      <c r="H402" s="48"/>
    </row>
    <row r="403">
      <c r="D403" s="47"/>
      <c r="F403" s="47"/>
      <c r="G403" s="47"/>
      <c r="H403" s="48"/>
    </row>
    <row r="404">
      <c r="D404" s="47"/>
      <c r="F404" s="47"/>
      <c r="G404" s="47"/>
      <c r="H404" s="48"/>
    </row>
    <row r="405">
      <c r="D405" s="47"/>
      <c r="F405" s="47"/>
      <c r="G405" s="47"/>
      <c r="H405" s="48"/>
    </row>
    <row r="406">
      <c r="D406" s="47"/>
      <c r="F406" s="47"/>
      <c r="G406" s="47"/>
      <c r="H406" s="48"/>
    </row>
    <row r="407">
      <c r="D407" s="47"/>
      <c r="F407" s="47"/>
      <c r="G407" s="47"/>
      <c r="H407" s="48"/>
    </row>
    <row r="408">
      <c r="D408" s="47"/>
      <c r="F408" s="47"/>
      <c r="G408" s="47"/>
      <c r="H408" s="48"/>
    </row>
    <row r="409">
      <c r="D409" s="47"/>
      <c r="F409" s="47"/>
      <c r="G409" s="47"/>
      <c r="H409" s="48"/>
    </row>
    <row r="410">
      <c r="D410" s="47"/>
      <c r="F410" s="47"/>
      <c r="G410" s="47"/>
      <c r="H410" s="48"/>
    </row>
    <row r="411">
      <c r="D411" s="47"/>
      <c r="F411" s="47"/>
      <c r="G411" s="47"/>
      <c r="H411" s="48"/>
    </row>
    <row r="412">
      <c r="D412" s="47"/>
      <c r="F412" s="47"/>
      <c r="G412" s="47"/>
      <c r="H412" s="48"/>
    </row>
    <row r="413">
      <c r="D413" s="47"/>
      <c r="F413" s="47"/>
      <c r="G413" s="47"/>
      <c r="H413" s="48"/>
    </row>
    <row r="414">
      <c r="D414" s="47"/>
      <c r="F414" s="47"/>
      <c r="G414" s="47"/>
      <c r="H414" s="48"/>
    </row>
    <row r="415">
      <c r="D415" s="47"/>
      <c r="F415" s="47"/>
      <c r="G415" s="47"/>
      <c r="H415" s="48"/>
    </row>
    <row r="416">
      <c r="D416" s="47"/>
      <c r="F416" s="47"/>
      <c r="G416" s="47"/>
      <c r="H416" s="48"/>
    </row>
    <row r="417">
      <c r="D417" s="47"/>
      <c r="F417" s="47"/>
      <c r="G417" s="47"/>
      <c r="H417" s="48"/>
    </row>
    <row r="418">
      <c r="D418" s="47"/>
      <c r="F418" s="47"/>
      <c r="G418" s="47"/>
      <c r="H418" s="48"/>
    </row>
    <row r="419">
      <c r="D419" s="47"/>
      <c r="F419" s="47"/>
      <c r="G419" s="47"/>
      <c r="H419" s="48"/>
    </row>
    <row r="420">
      <c r="D420" s="47"/>
      <c r="F420" s="47"/>
      <c r="G420" s="47"/>
      <c r="H420" s="48"/>
    </row>
    <row r="421">
      <c r="D421" s="47"/>
      <c r="F421" s="47"/>
      <c r="G421" s="47"/>
      <c r="H421" s="48"/>
    </row>
    <row r="422">
      <c r="D422" s="47"/>
      <c r="F422" s="47"/>
      <c r="G422" s="47"/>
      <c r="H422" s="48"/>
    </row>
    <row r="423">
      <c r="D423" s="47"/>
      <c r="F423" s="47"/>
      <c r="G423" s="47"/>
      <c r="H423" s="48"/>
    </row>
    <row r="424">
      <c r="D424" s="47"/>
      <c r="F424" s="47"/>
      <c r="G424" s="47"/>
      <c r="H424" s="48"/>
    </row>
    <row r="425">
      <c r="D425" s="47"/>
      <c r="F425" s="47"/>
      <c r="G425" s="47"/>
      <c r="H425" s="48"/>
    </row>
    <row r="426">
      <c r="D426" s="47"/>
      <c r="F426" s="47"/>
      <c r="G426" s="47"/>
      <c r="H426" s="48"/>
    </row>
    <row r="427">
      <c r="D427" s="47"/>
      <c r="F427" s="47"/>
      <c r="G427" s="47"/>
      <c r="H427" s="48"/>
    </row>
    <row r="428">
      <c r="D428" s="47"/>
      <c r="F428" s="47"/>
      <c r="G428" s="47"/>
      <c r="H428" s="48"/>
    </row>
    <row r="429">
      <c r="D429" s="47"/>
      <c r="F429" s="47"/>
      <c r="G429" s="47"/>
      <c r="H429" s="48"/>
    </row>
    <row r="430">
      <c r="D430" s="47"/>
      <c r="F430" s="47"/>
      <c r="G430" s="47"/>
      <c r="H430" s="48"/>
    </row>
    <row r="431">
      <c r="D431" s="47"/>
      <c r="F431" s="47"/>
      <c r="G431" s="47"/>
      <c r="H431" s="48"/>
    </row>
    <row r="432">
      <c r="D432" s="47"/>
      <c r="F432" s="47"/>
      <c r="G432" s="47"/>
      <c r="H432" s="48"/>
    </row>
    <row r="433">
      <c r="D433" s="47"/>
      <c r="F433" s="47"/>
      <c r="G433" s="47"/>
      <c r="H433" s="48"/>
    </row>
    <row r="434">
      <c r="D434" s="47"/>
      <c r="F434" s="47"/>
      <c r="G434" s="47"/>
      <c r="H434" s="48"/>
    </row>
    <row r="435">
      <c r="D435" s="47"/>
      <c r="F435" s="47"/>
      <c r="G435" s="47"/>
      <c r="H435" s="48"/>
    </row>
    <row r="436">
      <c r="D436" s="47"/>
      <c r="F436" s="47"/>
      <c r="G436" s="47"/>
      <c r="H436" s="48"/>
    </row>
    <row r="437">
      <c r="D437" s="47"/>
      <c r="F437" s="47"/>
      <c r="G437" s="47"/>
      <c r="H437" s="48"/>
    </row>
    <row r="438">
      <c r="D438" s="47"/>
      <c r="F438" s="47"/>
      <c r="G438" s="47"/>
      <c r="H438" s="48"/>
    </row>
    <row r="439">
      <c r="D439" s="47"/>
      <c r="F439" s="47"/>
      <c r="G439" s="47"/>
      <c r="H439" s="48"/>
    </row>
    <row r="440">
      <c r="D440" s="47"/>
      <c r="F440" s="47"/>
      <c r="G440" s="47"/>
      <c r="H440" s="48"/>
    </row>
    <row r="441">
      <c r="D441" s="47"/>
      <c r="F441" s="47"/>
      <c r="G441" s="47"/>
      <c r="H441" s="48"/>
    </row>
    <row r="442">
      <c r="D442" s="47"/>
      <c r="F442" s="47"/>
      <c r="G442" s="47"/>
      <c r="H442" s="48"/>
    </row>
    <row r="443">
      <c r="D443" s="47"/>
      <c r="F443" s="47"/>
      <c r="G443" s="47"/>
      <c r="H443" s="48"/>
    </row>
    <row r="444">
      <c r="D444" s="47"/>
      <c r="F444" s="47"/>
      <c r="G444" s="47"/>
      <c r="H444" s="48"/>
    </row>
    <row r="445">
      <c r="D445" s="47"/>
      <c r="F445" s="47"/>
      <c r="G445" s="47"/>
      <c r="H445" s="48"/>
    </row>
    <row r="446">
      <c r="D446" s="47"/>
      <c r="F446" s="47"/>
      <c r="G446" s="47"/>
      <c r="H446" s="48"/>
    </row>
    <row r="447">
      <c r="D447" s="47"/>
      <c r="F447" s="47"/>
      <c r="G447" s="47"/>
      <c r="H447" s="48"/>
    </row>
    <row r="448">
      <c r="D448" s="47"/>
      <c r="F448" s="47"/>
      <c r="G448" s="47"/>
      <c r="H448" s="48"/>
    </row>
    <row r="449">
      <c r="D449" s="47"/>
      <c r="F449" s="47"/>
      <c r="G449" s="47"/>
      <c r="H449" s="48"/>
    </row>
    <row r="450">
      <c r="D450" s="47"/>
      <c r="F450" s="47"/>
      <c r="G450" s="47"/>
      <c r="H450" s="48"/>
    </row>
    <row r="451">
      <c r="D451" s="47"/>
      <c r="F451" s="47"/>
      <c r="G451" s="47"/>
      <c r="H451" s="48"/>
    </row>
    <row r="452">
      <c r="D452" s="47"/>
      <c r="F452" s="47"/>
      <c r="G452" s="47"/>
      <c r="H452" s="48"/>
    </row>
    <row r="453">
      <c r="D453" s="47"/>
      <c r="F453" s="47"/>
      <c r="G453" s="47"/>
      <c r="H453" s="48"/>
    </row>
    <row r="454">
      <c r="D454" s="47"/>
      <c r="F454" s="47"/>
      <c r="G454" s="47"/>
      <c r="H454" s="48"/>
    </row>
    <row r="455">
      <c r="D455" s="47"/>
      <c r="F455" s="47"/>
      <c r="G455" s="47"/>
      <c r="H455" s="48"/>
    </row>
    <row r="456">
      <c r="D456" s="47"/>
      <c r="F456" s="47"/>
      <c r="G456" s="47"/>
      <c r="H456" s="48"/>
    </row>
    <row r="457">
      <c r="D457" s="47"/>
      <c r="F457" s="47"/>
      <c r="G457" s="47"/>
      <c r="H457" s="48"/>
    </row>
    <row r="458">
      <c r="D458" s="47"/>
      <c r="F458" s="47"/>
      <c r="G458" s="47"/>
      <c r="H458" s="48"/>
    </row>
    <row r="459">
      <c r="D459" s="47"/>
      <c r="F459" s="47"/>
      <c r="G459" s="47"/>
      <c r="H459" s="48"/>
    </row>
    <row r="460">
      <c r="D460" s="47"/>
      <c r="F460" s="47"/>
      <c r="G460" s="47"/>
      <c r="H460" s="48"/>
    </row>
    <row r="461">
      <c r="D461" s="47"/>
      <c r="F461" s="47"/>
      <c r="G461" s="47"/>
      <c r="H461" s="48"/>
    </row>
    <row r="462">
      <c r="D462" s="47"/>
      <c r="F462" s="47"/>
      <c r="G462" s="47"/>
      <c r="H462" s="48"/>
    </row>
    <row r="463">
      <c r="D463" s="47"/>
      <c r="F463" s="47"/>
      <c r="G463" s="47"/>
      <c r="H463" s="48"/>
    </row>
    <row r="464">
      <c r="D464" s="47"/>
      <c r="F464" s="47"/>
      <c r="G464" s="47"/>
      <c r="H464" s="48"/>
    </row>
    <row r="465">
      <c r="D465" s="47"/>
      <c r="F465" s="47"/>
      <c r="G465" s="47"/>
      <c r="H465" s="48"/>
    </row>
    <row r="466">
      <c r="D466" s="47"/>
      <c r="F466" s="47"/>
      <c r="G466" s="47"/>
      <c r="H466" s="48"/>
    </row>
    <row r="467">
      <c r="D467" s="47"/>
      <c r="F467" s="47"/>
      <c r="G467" s="47"/>
      <c r="H467" s="48"/>
    </row>
    <row r="468">
      <c r="D468" s="47"/>
      <c r="F468" s="47"/>
      <c r="G468" s="47"/>
      <c r="H468" s="48"/>
    </row>
    <row r="469">
      <c r="D469" s="47"/>
      <c r="F469" s="47"/>
      <c r="G469" s="47"/>
      <c r="H469" s="48"/>
    </row>
    <row r="470">
      <c r="D470" s="47"/>
      <c r="F470" s="47"/>
      <c r="G470" s="47"/>
      <c r="H470" s="48"/>
    </row>
    <row r="471">
      <c r="D471" s="47"/>
      <c r="F471" s="47"/>
      <c r="G471" s="47"/>
      <c r="H471" s="48"/>
    </row>
    <row r="472">
      <c r="D472" s="47"/>
      <c r="F472" s="47"/>
      <c r="G472" s="47"/>
      <c r="H472" s="48"/>
    </row>
    <row r="473">
      <c r="D473" s="47"/>
      <c r="F473" s="47"/>
      <c r="G473" s="47"/>
      <c r="H473" s="48"/>
    </row>
    <row r="474">
      <c r="D474" s="47"/>
      <c r="F474" s="47"/>
      <c r="G474" s="47"/>
      <c r="H474" s="48"/>
    </row>
    <row r="475">
      <c r="D475" s="47"/>
      <c r="F475" s="47"/>
      <c r="G475" s="47"/>
      <c r="H475" s="48"/>
    </row>
    <row r="476">
      <c r="D476" s="47"/>
      <c r="F476" s="47"/>
      <c r="G476" s="47"/>
      <c r="H476" s="48"/>
    </row>
    <row r="477">
      <c r="D477" s="47"/>
      <c r="F477" s="47"/>
      <c r="G477" s="47"/>
      <c r="H477" s="48"/>
    </row>
    <row r="478">
      <c r="D478" s="47"/>
      <c r="F478" s="47"/>
      <c r="G478" s="47"/>
      <c r="H478" s="48"/>
    </row>
    <row r="479">
      <c r="D479" s="47"/>
      <c r="F479" s="47"/>
      <c r="G479" s="47"/>
      <c r="H479" s="48"/>
    </row>
    <row r="480">
      <c r="D480" s="47"/>
      <c r="F480" s="47"/>
      <c r="G480" s="47"/>
      <c r="H480" s="48"/>
    </row>
    <row r="481">
      <c r="D481" s="47"/>
      <c r="F481" s="47"/>
      <c r="G481" s="47"/>
      <c r="H481" s="48"/>
    </row>
    <row r="482">
      <c r="D482" s="47"/>
      <c r="F482" s="47"/>
      <c r="G482" s="47"/>
      <c r="H482" s="48"/>
    </row>
    <row r="483">
      <c r="D483" s="47"/>
      <c r="F483" s="47"/>
      <c r="G483" s="47"/>
      <c r="H483" s="48"/>
    </row>
    <row r="484">
      <c r="D484" s="47"/>
      <c r="F484" s="47"/>
      <c r="G484" s="47"/>
      <c r="H484" s="48"/>
    </row>
    <row r="485">
      <c r="D485" s="47"/>
      <c r="F485" s="47"/>
      <c r="G485" s="47"/>
      <c r="H485" s="48"/>
    </row>
    <row r="486">
      <c r="D486" s="47"/>
      <c r="F486" s="47"/>
      <c r="G486" s="47"/>
      <c r="H486" s="48"/>
    </row>
    <row r="487">
      <c r="D487" s="47"/>
      <c r="F487" s="47"/>
      <c r="G487" s="47"/>
      <c r="H487" s="48"/>
    </row>
    <row r="488">
      <c r="D488" s="47"/>
      <c r="F488" s="47"/>
      <c r="G488" s="47"/>
      <c r="H488" s="48"/>
    </row>
    <row r="489">
      <c r="D489" s="47"/>
      <c r="F489" s="47"/>
      <c r="G489" s="47"/>
      <c r="H489" s="48"/>
    </row>
    <row r="490">
      <c r="D490" s="47"/>
      <c r="F490" s="47"/>
      <c r="G490" s="47"/>
      <c r="H490" s="48"/>
    </row>
    <row r="491">
      <c r="D491" s="47"/>
      <c r="F491" s="47"/>
      <c r="G491" s="47"/>
      <c r="H491" s="48"/>
    </row>
    <row r="492">
      <c r="D492" s="47"/>
      <c r="F492" s="47"/>
      <c r="G492" s="47"/>
      <c r="H492" s="48"/>
    </row>
    <row r="493">
      <c r="D493" s="47"/>
      <c r="F493" s="47"/>
      <c r="G493" s="47"/>
      <c r="H493" s="48"/>
    </row>
    <row r="494">
      <c r="D494" s="47"/>
      <c r="F494" s="47"/>
      <c r="G494" s="47"/>
      <c r="H494" s="48"/>
    </row>
    <row r="495">
      <c r="D495" s="47"/>
      <c r="F495" s="47"/>
      <c r="G495" s="47"/>
      <c r="H495" s="48"/>
    </row>
    <row r="496">
      <c r="D496" s="47"/>
      <c r="F496" s="47"/>
      <c r="G496" s="47"/>
      <c r="H496" s="48"/>
    </row>
    <row r="497">
      <c r="D497" s="47"/>
      <c r="F497" s="47"/>
      <c r="G497" s="47"/>
      <c r="H497" s="48"/>
    </row>
    <row r="498">
      <c r="D498" s="47"/>
      <c r="F498" s="47"/>
      <c r="G498" s="47"/>
      <c r="H498" s="48"/>
    </row>
    <row r="499">
      <c r="D499" s="47"/>
      <c r="F499" s="47"/>
      <c r="G499" s="47"/>
      <c r="H499" s="48"/>
    </row>
    <row r="500">
      <c r="D500" s="47"/>
      <c r="F500" s="47"/>
      <c r="G500" s="47"/>
      <c r="H500" s="48"/>
    </row>
    <row r="501">
      <c r="D501" s="47"/>
      <c r="F501" s="47"/>
      <c r="G501" s="47"/>
      <c r="H501" s="48"/>
    </row>
    <row r="502">
      <c r="D502" s="47"/>
      <c r="F502" s="47"/>
      <c r="G502" s="47"/>
      <c r="H502" s="48"/>
    </row>
    <row r="503">
      <c r="D503" s="47"/>
      <c r="F503" s="47"/>
      <c r="G503" s="47"/>
      <c r="H503" s="48"/>
    </row>
    <row r="504">
      <c r="D504" s="47"/>
      <c r="F504" s="47"/>
      <c r="G504" s="47"/>
      <c r="H504" s="48"/>
    </row>
    <row r="505">
      <c r="D505" s="47"/>
      <c r="F505" s="47"/>
      <c r="G505" s="47"/>
      <c r="H505" s="48"/>
    </row>
    <row r="506">
      <c r="D506" s="47"/>
      <c r="F506" s="47"/>
      <c r="G506" s="47"/>
      <c r="H506" s="48"/>
    </row>
    <row r="507">
      <c r="D507" s="47"/>
      <c r="F507" s="47"/>
      <c r="G507" s="47"/>
      <c r="H507" s="48"/>
    </row>
    <row r="508">
      <c r="D508" s="47"/>
      <c r="F508" s="47"/>
      <c r="G508" s="47"/>
      <c r="H508" s="48"/>
    </row>
    <row r="509">
      <c r="D509" s="47"/>
      <c r="F509" s="47"/>
      <c r="G509" s="47"/>
      <c r="H509" s="48"/>
    </row>
    <row r="510">
      <c r="D510" s="47"/>
      <c r="F510" s="47"/>
      <c r="G510" s="47"/>
      <c r="H510" s="48"/>
    </row>
    <row r="511">
      <c r="D511" s="47"/>
      <c r="F511" s="47"/>
      <c r="G511" s="47"/>
      <c r="H511" s="48"/>
    </row>
    <row r="512">
      <c r="D512" s="47"/>
      <c r="F512" s="47"/>
      <c r="G512" s="47"/>
      <c r="H512" s="48"/>
    </row>
    <row r="513">
      <c r="D513" s="47"/>
      <c r="F513" s="47"/>
      <c r="G513" s="47"/>
      <c r="H513" s="48"/>
    </row>
    <row r="514">
      <c r="D514" s="47"/>
      <c r="F514" s="47"/>
      <c r="G514" s="47"/>
      <c r="H514" s="48"/>
    </row>
    <row r="515">
      <c r="D515" s="47"/>
      <c r="F515" s="47"/>
      <c r="G515" s="47"/>
      <c r="H515" s="48"/>
    </row>
    <row r="516">
      <c r="D516" s="47"/>
      <c r="F516" s="47"/>
      <c r="G516" s="47"/>
      <c r="H516" s="48"/>
    </row>
    <row r="517">
      <c r="D517" s="47"/>
      <c r="F517" s="47"/>
      <c r="G517" s="47"/>
      <c r="H517" s="48"/>
    </row>
    <row r="518">
      <c r="D518" s="47"/>
      <c r="F518" s="47"/>
      <c r="G518" s="47"/>
      <c r="H518" s="48"/>
    </row>
    <row r="519">
      <c r="D519" s="47"/>
      <c r="F519" s="47"/>
      <c r="G519" s="47"/>
      <c r="H519" s="48"/>
    </row>
    <row r="520">
      <c r="D520" s="47"/>
      <c r="F520" s="47"/>
      <c r="G520" s="47"/>
      <c r="H520" s="48"/>
    </row>
    <row r="521">
      <c r="D521" s="47"/>
      <c r="F521" s="47"/>
      <c r="G521" s="47"/>
      <c r="H521" s="48"/>
    </row>
    <row r="522">
      <c r="D522" s="47"/>
      <c r="F522" s="47"/>
      <c r="G522" s="47"/>
      <c r="H522" s="48"/>
    </row>
    <row r="523">
      <c r="D523" s="47"/>
      <c r="F523" s="47"/>
      <c r="G523" s="47"/>
      <c r="H523" s="48"/>
    </row>
    <row r="524">
      <c r="D524" s="47"/>
      <c r="F524" s="47"/>
      <c r="G524" s="47"/>
      <c r="H524" s="48"/>
    </row>
    <row r="525">
      <c r="D525" s="47"/>
      <c r="F525" s="47"/>
      <c r="G525" s="47"/>
      <c r="H525" s="48"/>
    </row>
    <row r="526">
      <c r="D526" s="47"/>
      <c r="F526" s="47"/>
      <c r="G526" s="47"/>
      <c r="H526" s="48"/>
    </row>
    <row r="527">
      <c r="D527" s="47"/>
      <c r="F527" s="47"/>
      <c r="G527" s="47"/>
      <c r="H527" s="48"/>
    </row>
    <row r="528">
      <c r="D528" s="47"/>
      <c r="F528" s="47"/>
      <c r="G528" s="47"/>
      <c r="H528" s="48"/>
    </row>
    <row r="529">
      <c r="D529" s="47"/>
      <c r="F529" s="47"/>
      <c r="G529" s="47"/>
      <c r="H529" s="48"/>
    </row>
    <row r="530">
      <c r="D530" s="47"/>
      <c r="F530" s="47"/>
      <c r="G530" s="47"/>
      <c r="H530" s="48"/>
    </row>
    <row r="531">
      <c r="D531" s="47"/>
      <c r="F531" s="47"/>
      <c r="G531" s="47"/>
      <c r="H531" s="48"/>
    </row>
    <row r="532">
      <c r="D532" s="47"/>
      <c r="F532" s="47"/>
      <c r="G532" s="47"/>
      <c r="H532" s="48"/>
    </row>
    <row r="533">
      <c r="D533" s="47"/>
      <c r="F533" s="47"/>
      <c r="G533" s="47"/>
      <c r="H533" s="48"/>
    </row>
    <row r="534">
      <c r="D534" s="47"/>
      <c r="F534" s="47"/>
      <c r="G534" s="47"/>
      <c r="H534" s="48"/>
    </row>
    <row r="535">
      <c r="D535" s="47"/>
      <c r="F535" s="47"/>
      <c r="G535" s="47"/>
      <c r="H535" s="48"/>
    </row>
    <row r="536">
      <c r="D536" s="47"/>
      <c r="F536" s="47"/>
      <c r="G536" s="47"/>
      <c r="H536" s="48"/>
    </row>
    <row r="537">
      <c r="D537" s="47"/>
      <c r="F537" s="47"/>
      <c r="G537" s="47"/>
      <c r="H537" s="48"/>
    </row>
    <row r="538">
      <c r="D538" s="47"/>
      <c r="F538" s="47"/>
      <c r="G538" s="47"/>
      <c r="H538" s="48"/>
    </row>
    <row r="539">
      <c r="D539" s="47"/>
      <c r="F539" s="47"/>
      <c r="G539" s="47"/>
      <c r="H539" s="48"/>
    </row>
    <row r="540">
      <c r="D540" s="47"/>
      <c r="F540" s="47"/>
      <c r="G540" s="47"/>
      <c r="H540" s="48"/>
    </row>
    <row r="541">
      <c r="D541" s="47"/>
      <c r="F541" s="47"/>
      <c r="G541" s="47"/>
      <c r="H541" s="48"/>
    </row>
    <row r="542">
      <c r="D542" s="47"/>
      <c r="F542" s="47"/>
      <c r="G542" s="47"/>
      <c r="H542" s="48"/>
    </row>
    <row r="543">
      <c r="D543" s="47"/>
      <c r="F543" s="47"/>
      <c r="G543" s="47"/>
      <c r="H543" s="48"/>
    </row>
    <row r="544">
      <c r="D544" s="47"/>
      <c r="F544" s="47"/>
      <c r="G544" s="47"/>
      <c r="H544" s="48"/>
    </row>
    <row r="545">
      <c r="D545" s="47"/>
      <c r="F545" s="47"/>
      <c r="G545" s="47"/>
      <c r="H545" s="48"/>
    </row>
    <row r="546">
      <c r="D546" s="47"/>
      <c r="F546" s="47"/>
      <c r="G546" s="47"/>
      <c r="H546" s="48"/>
    </row>
    <row r="547">
      <c r="D547" s="47"/>
      <c r="F547" s="47"/>
      <c r="G547" s="47"/>
      <c r="H547" s="48"/>
    </row>
    <row r="548">
      <c r="D548" s="47"/>
      <c r="F548" s="47"/>
      <c r="G548" s="47"/>
      <c r="H548" s="48"/>
    </row>
    <row r="549">
      <c r="D549" s="47"/>
      <c r="F549" s="47"/>
      <c r="G549" s="47"/>
      <c r="H549" s="48"/>
    </row>
    <row r="550">
      <c r="D550" s="47"/>
      <c r="F550" s="47"/>
      <c r="G550" s="47"/>
      <c r="H550" s="48"/>
    </row>
    <row r="551">
      <c r="D551" s="47"/>
      <c r="F551" s="47"/>
      <c r="G551" s="47"/>
      <c r="H551" s="48"/>
    </row>
    <row r="552">
      <c r="D552" s="47"/>
      <c r="F552" s="47"/>
      <c r="G552" s="47"/>
      <c r="H552" s="48"/>
    </row>
    <row r="553">
      <c r="D553" s="47"/>
      <c r="F553" s="47"/>
      <c r="G553" s="47"/>
      <c r="H553" s="48"/>
    </row>
    <row r="554">
      <c r="D554" s="47"/>
      <c r="F554" s="47"/>
      <c r="G554" s="47"/>
      <c r="H554" s="48"/>
    </row>
    <row r="555">
      <c r="D555" s="47"/>
      <c r="F555" s="47"/>
      <c r="G555" s="47"/>
      <c r="H555" s="48"/>
    </row>
    <row r="556">
      <c r="D556" s="47"/>
      <c r="F556" s="47"/>
      <c r="G556" s="47"/>
      <c r="H556" s="48"/>
    </row>
    <row r="557">
      <c r="D557" s="47"/>
      <c r="F557" s="47"/>
      <c r="G557" s="47"/>
      <c r="H557" s="48"/>
    </row>
    <row r="558">
      <c r="D558" s="47"/>
      <c r="F558" s="47"/>
      <c r="G558" s="47"/>
      <c r="H558" s="48"/>
    </row>
    <row r="559">
      <c r="D559" s="47"/>
      <c r="F559" s="47"/>
      <c r="G559" s="47"/>
      <c r="H559" s="48"/>
    </row>
    <row r="560">
      <c r="D560" s="47"/>
      <c r="F560" s="47"/>
      <c r="G560" s="47"/>
      <c r="H560" s="48"/>
    </row>
    <row r="561">
      <c r="D561" s="47"/>
      <c r="F561" s="47"/>
      <c r="G561" s="47"/>
      <c r="H561" s="48"/>
    </row>
    <row r="562">
      <c r="D562" s="47"/>
      <c r="F562" s="47"/>
      <c r="G562" s="47"/>
      <c r="H562" s="48"/>
    </row>
    <row r="563">
      <c r="D563" s="47"/>
      <c r="F563" s="47"/>
      <c r="G563" s="47"/>
      <c r="H563" s="48"/>
    </row>
    <row r="564">
      <c r="D564" s="47"/>
      <c r="F564" s="47"/>
      <c r="G564" s="47"/>
      <c r="H564" s="48"/>
    </row>
    <row r="565">
      <c r="D565" s="47"/>
      <c r="F565" s="47"/>
      <c r="G565" s="47"/>
      <c r="H565" s="48"/>
    </row>
    <row r="566">
      <c r="D566" s="47"/>
      <c r="F566" s="47"/>
      <c r="G566" s="47"/>
      <c r="H566" s="48"/>
    </row>
    <row r="567">
      <c r="D567" s="47"/>
      <c r="F567" s="47"/>
      <c r="G567" s="47"/>
      <c r="H567" s="48"/>
    </row>
    <row r="568">
      <c r="D568" s="47"/>
      <c r="F568" s="47"/>
      <c r="G568" s="47"/>
      <c r="H568" s="48"/>
    </row>
    <row r="569">
      <c r="D569" s="47"/>
      <c r="F569" s="47"/>
      <c r="G569" s="47"/>
      <c r="H569" s="48"/>
    </row>
    <row r="570">
      <c r="D570" s="47"/>
      <c r="F570" s="47"/>
      <c r="G570" s="47"/>
      <c r="H570" s="48"/>
    </row>
    <row r="571">
      <c r="D571" s="47"/>
      <c r="F571" s="47"/>
      <c r="G571" s="47"/>
      <c r="H571" s="48"/>
    </row>
    <row r="572">
      <c r="D572" s="47"/>
      <c r="F572" s="47"/>
      <c r="G572" s="47"/>
      <c r="H572" s="48"/>
    </row>
    <row r="573">
      <c r="D573" s="47"/>
      <c r="F573" s="47"/>
      <c r="G573" s="47"/>
      <c r="H573" s="48"/>
    </row>
    <row r="574">
      <c r="D574" s="47"/>
      <c r="F574" s="47"/>
      <c r="G574" s="47"/>
      <c r="H574" s="48"/>
    </row>
    <row r="575">
      <c r="D575" s="47"/>
      <c r="F575" s="47"/>
      <c r="G575" s="47"/>
      <c r="H575" s="48"/>
    </row>
    <row r="576">
      <c r="D576" s="47"/>
      <c r="F576" s="47"/>
      <c r="G576" s="47"/>
      <c r="H576" s="48"/>
    </row>
    <row r="577">
      <c r="D577" s="47"/>
      <c r="F577" s="47"/>
      <c r="G577" s="47"/>
      <c r="H577" s="48"/>
    </row>
    <row r="578">
      <c r="D578" s="47"/>
      <c r="F578" s="47"/>
      <c r="G578" s="47"/>
      <c r="H578" s="48"/>
    </row>
    <row r="579">
      <c r="D579" s="47"/>
      <c r="F579" s="47"/>
      <c r="G579" s="47"/>
      <c r="H579" s="48"/>
    </row>
    <row r="580">
      <c r="D580" s="47"/>
      <c r="F580" s="47"/>
      <c r="G580" s="47"/>
      <c r="H580" s="48"/>
    </row>
    <row r="581">
      <c r="D581" s="47"/>
      <c r="F581" s="47"/>
      <c r="G581" s="47"/>
      <c r="H581" s="48"/>
    </row>
    <row r="582">
      <c r="D582" s="47"/>
      <c r="F582" s="47"/>
      <c r="G582" s="47"/>
      <c r="H582" s="48"/>
    </row>
    <row r="583">
      <c r="D583" s="47"/>
      <c r="F583" s="47"/>
      <c r="G583" s="47"/>
      <c r="H583" s="48"/>
    </row>
    <row r="584">
      <c r="D584" s="47"/>
      <c r="F584" s="47"/>
      <c r="G584" s="47"/>
      <c r="H584" s="48"/>
    </row>
    <row r="585">
      <c r="D585" s="47"/>
      <c r="F585" s="47"/>
      <c r="G585" s="47"/>
      <c r="H585" s="48"/>
    </row>
    <row r="586">
      <c r="D586" s="47"/>
      <c r="F586" s="47"/>
      <c r="G586" s="47"/>
      <c r="H586" s="48"/>
    </row>
    <row r="587">
      <c r="D587" s="47"/>
      <c r="F587" s="47"/>
      <c r="G587" s="47"/>
      <c r="H587" s="48"/>
    </row>
    <row r="588">
      <c r="D588" s="47"/>
      <c r="F588" s="47"/>
      <c r="G588" s="47"/>
      <c r="H588" s="48"/>
    </row>
    <row r="589">
      <c r="D589" s="47"/>
      <c r="F589" s="47"/>
      <c r="G589" s="47"/>
      <c r="H589" s="48"/>
    </row>
    <row r="590">
      <c r="D590" s="47"/>
      <c r="F590" s="47"/>
      <c r="G590" s="47"/>
      <c r="H590" s="48"/>
    </row>
    <row r="591">
      <c r="D591" s="47"/>
      <c r="F591" s="47"/>
      <c r="G591" s="47"/>
      <c r="H591" s="48"/>
    </row>
    <row r="592">
      <c r="D592" s="47"/>
      <c r="F592" s="47"/>
      <c r="G592" s="47"/>
      <c r="H592" s="48"/>
    </row>
    <row r="593">
      <c r="D593" s="47"/>
      <c r="F593" s="47"/>
      <c r="G593" s="47"/>
      <c r="H593" s="48"/>
    </row>
    <row r="594">
      <c r="D594" s="47"/>
      <c r="F594" s="47"/>
      <c r="G594" s="47"/>
      <c r="H594" s="48"/>
    </row>
    <row r="595">
      <c r="D595" s="47"/>
      <c r="F595" s="47"/>
      <c r="G595" s="47"/>
      <c r="H595" s="48"/>
    </row>
    <row r="596">
      <c r="D596" s="47"/>
      <c r="F596" s="47"/>
      <c r="G596" s="47"/>
      <c r="H596" s="48"/>
    </row>
    <row r="597">
      <c r="D597" s="47"/>
      <c r="F597" s="47"/>
      <c r="G597" s="47"/>
      <c r="H597" s="48"/>
    </row>
    <row r="598">
      <c r="D598" s="47"/>
      <c r="F598" s="47"/>
      <c r="G598" s="47"/>
      <c r="H598" s="48"/>
    </row>
    <row r="599">
      <c r="D599" s="47"/>
      <c r="F599" s="47"/>
      <c r="G599" s="47"/>
      <c r="H599" s="48"/>
    </row>
    <row r="600">
      <c r="D600" s="47"/>
      <c r="F600" s="47"/>
      <c r="G600" s="47"/>
      <c r="H600" s="48"/>
    </row>
    <row r="601">
      <c r="D601" s="47"/>
      <c r="F601" s="47"/>
      <c r="G601" s="47"/>
      <c r="H601" s="48"/>
    </row>
    <row r="602">
      <c r="D602" s="47"/>
      <c r="F602" s="47"/>
      <c r="G602" s="47"/>
      <c r="H602" s="48"/>
    </row>
    <row r="603">
      <c r="D603" s="47"/>
      <c r="F603" s="47"/>
      <c r="G603" s="47"/>
      <c r="H603" s="48"/>
    </row>
    <row r="604">
      <c r="D604" s="47"/>
      <c r="F604" s="47"/>
      <c r="G604" s="47"/>
      <c r="H604" s="48"/>
    </row>
    <row r="605">
      <c r="D605" s="47"/>
      <c r="F605" s="47"/>
      <c r="G605" s="47"/>
      <c r="H605" s="48"/>
    </row>
    <row r="606">
      <c r="D606" s="47"/>
      <c r="F606" s="47"/>
      <c r="G606" s="47"/>
      <c r="H606" s="48"/>
    </row>
    <row r="607">
      <c r="D607" s="47"/>
      <c r="F607" s="47"/>
      <c r="G607" s="47"/>
      <c r="H607" s="48"/>
    </row>
    <row r="608">
      <c r="D608" s="47"/>
      <c r="F608" s="47"/>
      <c r="G608" s="47"/>
      <c r="H608" s="48"/>
    </row>
    <row r="609">
      <c r="D609" s="47"/>
      <c r="F609" s="47"/>
      <c r="G609" s="47"/>
      <c r="H609" s="48"/>
    </row>
    <row r="610">
      <c r="D610" s="47"/>
      <c r="F610" s="47"/>
      <c r="G610" s="47"/>
      <c r="H610" s="48"/>
    </row>
    <row r="611">
      <c r="D611" s="47"/>
      <c r="F611" s="47"/>
      <c r="G611" s="47"/>
      <c r="H611" s="48"/>
    </row>
    <row r="612">
      <c r="D612" s="47"/>
      <c r="F612" s="47"/>
      <c r="G612" s="47"/>
      <c r="H612" s="48"/>
    </row>
    <row r="613">
      <c r="D613" s="47"/>
      <c r="F613" s="47"/>
      <c r="G613" s="47"/>
      <c r="H613" s="48"/>
    </row>
    <row r="614">
      <c r="D614" s="47"/>
      <c r="F614" s="47"/>
      <c r="G614" s="47"/>
      <c r="H614" s="48"/>
    </row>
    <row r="615">
      <c r="D615" s="47"/>
      <c r="F615" s="47"/>
      <c r="G615" s="47"/>
      <c r="H615" s="48"/>
    </row>
    <row r="616">
      <c r="D616" s="47"/>
      <c r="F616" s="47"/>
      <c r="G616" s="47"/>
      <c r="H616" s="48"/>
    </row>
    <row r="617">
      <c r="D617" s="47"/>
      <c r="F617" s="47"/>
      <c r="G617" s="47"/>
      <c r="H617" s="48"/>
    </row>
    <row r="618">
      <c r="D618" s="47"/>
      <c r="F618" s="47"/>
      <c r="G618" s="47"/>
      <c r="H618" s="48"/>
    </row>
    <row r="619">
      <c r="D619" s="47"/>
      <c r="F619" s="47"/>
      <c r="G619" s="47"/>
      <c r="H619" s="48"/>
    </row>
    <row r="620">
      <c r="D620" s="47"/>
      <c r="F620" s="47"/>
      <c r="G620" s="47"/>
      <c r="H620" s="48"/>
    </row>
    <row r="621">
      <c r="D621" s="47"/>
      <c r="F621" s="47"/>
      <c r="G621" s="47"/>
      <c r="H621" s="48"/>
    </row>
    <row r="622">
      <c r="D622" s="47"/>
      <c r="F622" s="47"/>
      <c r="G622" s="47"/>
      <c r="H622" s="48"/>
    </row>
    <row r="623">
      <c r="D623" s="47"/>
      <c r="F623" s="47"/>
      <c r="G623" s="47"/>
      <c r="H623" s="48"/>
    </row>
    <row r="624">
      <c r="D624" s="47"/>
      <c r="F624" s="47"/>
      <c r="G624" s="47"/>
      <c r="H624" s="48"/>
    </row>
    <row r="625">
      <c r="D625" s="47"/>
      <c r="F625" s="47"/>
      <c r="G625" s="47"/>
      <c r="H625" s="48"/>
    </row>
    <row r="626">
      <c r="D626" s="47"/>
      <c r="F626" s="47"/>
      <c r="G626" s="47"/>
      <c r="H626" s="48"/>
    </row>
    <row r="627">
      <c r="D627" s="47"/>
      <c r="F627" s="47"/>
      <c r="G627" s="47"/>
      <c r="H627" s="48"/>
    </row>
    <row r="628">
      <c r="D628" s="47"/>
      <c r="F628" s="47"/>
      <c r="G628" s="47"/>
      <c r="H628" s="48"/>
    </row>
    <row r="629">
      <c r="D629" s="47"/>
      <c r="F629" s="47"/>
      <c r="G629" s="47"/>
      <c r="H629" s="48"/>
    </row>
    <row r="630">
      <c r="D630" s="47"/>
      <c r="F630" s="47"/>
      <c r="G630" s="47"/>
      <c r="H630" s="48"/>
    </row>
    <row r="631">
      <c r="D631" s="47"/>
      <c r="F631" s="47"/>
      <c r="G631" s="47"/>
      <c r="H631" s="48"/>
    </row>
    <row r="632">
      <c r="D632" s="47"/>
      <c r="F632" s="47"/>
      <c r="G632" s="47"/>
      <c r="H632" s="48"/>
    </row>
    <row r="633">
      <c r="D633" s="47"/>
      <c r="F633" s="47"/>
      <c r="G633" s="47"/>
      <c r="H633" s="48"/>
    </row>
    <row r="634">
      <c r="D634" s="47"/>
      <c r="F634" s="47"/>
      <c r="G634" s="47"/>
      <c r="H634" s="48"/>
    </row>
    <row r="635">
      <c r="D635" s="47"/>
      <c r="F635" s="47"/>
      <c r="G635" s="47"/>
      <c r="H635" s="48"/>
    </row>
    <row r="636">
      <c r="D636" s="47"/>
      <c r="F636" s="47"/>
      <c r="G636" s="47"/>
      <c r="H636" s="48"/>
    </row>
    <row r="637">
      <c r="D637" s="47"/>
      <c r="F637" s="47"/>
      <c r="G637" s="47"/>
      <c r="H637" s="48"/>
    </row>
    <row r="638">
      <c r="D638" s="47"/>
      <c r="F638" s="47"/>
      <c r="G638" s="47"/>
      <c r="H638" s="48"/>
    </row>
    <row r="639">
      <c r="D639" s="47"/>
      <c r="F639" s="47"/>
      <c r="G639" s="47"/>
      <c r="H639" s="48"/>
    </row>
    <row r="640">
      <c r="D640" s="47"/>
      <c r="F640" s="47"/>
      <c r="G640" s="47"/>
      <c r="H640" s="48"/>
    </row>
    <row r="641">
      <c r="D641" s="47"/>
      <c r="F641" s="47"/>
      <c r="G641" s="47"/>
      <c r="H641" s="48"/>
    </row>
    <row r="642">
      <c r="D642" s="47"/>
      <c r="F642" s="47"/>
      <c r="G642" s="47"/>
      <c r="H642" s="48"/>
    </row>
    <row r="643">
      <c r="D643" s="47"/>
      <c r="F643" s="47"/>
      <c r="G643" s="47"/>
      <c r="H643" s="48"/>
    </row>
    <row r="644">
      <c r="D644" s="47"/>
      <c r="F644" s="47"/>
      <c r="G644" s="47"/>
      <c r="H644" s="48"/>
    </row>
    <row r="645">
      <c r="D645" s="47"/>
      <c r="F645" s="47"/>
      <c r="G645" s="47"/>
      <c r="H645" s="48"/>
    </row>
    <row r="646">
      <c r="D646" s="47"/>
      <c r="F646" s="47"/>
      <c r="G646" s="47"/>
      <c r="H646" s="48"/>
    </row>
    <row r="647">
      <c r="D647" s="47"/>
      <c r="F647" s="47"/>
      <c r="G647" s="47"/>
      <c r="H647" s="48"/>
    </row>
    <row r="648">
      <c r="D648" s="47"/>
      <c r="F648" s="47"/>
      <c r="G648" s="47"/>
      <c r="H648" s="48"/>
    </row>
    <row r="649">
      <c r="D649" s="47"/>
      <c r="F649" s="47"/>
      <c r="G649" s="47"/>
      <c r="H649" s="48"/>
    </row>
    <row r="650">
      <c r="D650" s="47"/>
      <c r="F650" s="47"/>
      <c r="G650" s="47"/>
      <c r="H650" s="48"/>
    </row>
    <row r="651">
      <c r="D651" s="47"/>
      <c r="F651" s="47"/>
      <c r="G651" s="47"/>
      <c r="H651" s="48"/>
    </row>
    <row r="652">
      <c r="D652" s="47"/>
      <c r="F652" s="47"/>
      <c r="G652" s="47"/>
      <c r="H652" s="48"/>
    </row>
    <row r="653">
      <c r="D653" s="47"/>
      <c r="F653" s="47"/>
      <c r="G653" s="47"/>
      <c r="H653" s="48"/>
    </row>
    <row r="654">
      <c r="D654" s="47"/>
      <c r="F654" s="47"/>
      <c r="G654" s="47"/>
      <c r="H654" s="48"/>
    </row>
    <row r="655">
      <c r="D655" s="47"/>
      <c r="F655" s="47"/>
      <c r="G655" s="47"/>
      <c r="H655" s="48"/>
    </row>
    <row r="656">
      <c r="D656" s="47"/>
      <c r="F656" s="47"/>
      <c r="G656" s="47"/>
      <c r="H656" s="48"/>
    </row>
    <row r="657">
      <c r="D657" s="47"/>
      <c r="F657" s="47"/>
      <c r="G657" s="47"/>
      <c r="H657" s="48"/>
    </row>
    <row r="658">
      <c r="D658" s="47"/>
      <c r="F658" s="47"/>
      <c r="G658" s="47"/>
      <c r="H658" s="48"/>
    </row>
    <row r="659">
      <c r="D659" s="47"/>
      <c r="F659" s="47"/>
      <c r="G659" s="47"/>
      <c r="H659" s="48"/>
    </row>
    <row r="660">
      <c r="D660" s="47"/>
      <c r="F660" s="47"/>
      <c r="G660" s="47"/>
      <c r="H660" s="48"/>
    </row>
    <row r="661">
      <c r="D661" s="47"/>
      <c r="F661" s="47"/>
      <c r="G661" s="47"/>
      <c r="H661" s="48"/>
    </row>
    <row r="662">
      <c r="D662" s="47"/>
      <c r="F662" s="47"/>
      <c r="G662" s="47"/>
      <c r="H662" s="48"/>
    </row>
    <row r="663">
      <c r="D663" s="47"/>
      <c r="F663" s="47"/>
      <c r="G663" s="47"/>
      <c r="H663" s="48"/>
    </row>
    <row r="664">
      <c r="D664" s="47"/>
      <c r="F664" s="47"/>
      <c r="G664" s="47"/>
      <c r="H664" s="48"/>
    </row>
    <row r="665">
      <c r="D665" s="47"/>
      <c r="F665" s="47"/>
      <c r="G665" s="47"/>
      <c r="H665" s="48"/>
    </row>
    <row r="666">
      <c r="D666" s="47"/>
      <c r="F666" s="47"/>
      <c r="G666" s="47"/>
      <c r="H666" s="48"/>
    </row>
    <row r="667">
      <c r="D667" s="47"/>
      <c r="F667" s="47"/>
      <c r="G667" s="47"/>
      <c r="H667" s="48"/>
    </row>
    <row r="668">
      <c r="D668" s="47"/>
      <c r="F668" s="47"/>
      <c r="G668" s="47"/>
      <c r="H668" s="48"/>
    </row>
    <row r="669">
      <c r="D669" s="47"/>
      <c r="F669" s="47"/>
      <c r="G669" s="47"/>
      <c r="H669" s="48"/>
    </row>
    <row r="670">
      <c r="D670" s="47"/>
      <c r="F670" s="47"/>
      <c r="G670" s="47"/>
      <c r="H670" s="48"/>
    </row>
    <row r="671">
      <c r="D671" s="47"/>
      <c r="F671" s="47"/>
      <c r="G671" s="47"/>
      <c r="H671" s="48"/>
    </row>
    <row r="672">
      <c r="D672" s="47"/>
      <c r="F672" s="47"/>
      <c r="G672" s="47"/>
      <c r="H672" s="48"/>
    </row>
    <row r="673">
      <c r="D673" s="47"/>
      <c r="F673" s="47"/>
      <c r="G673" s="47"/>
      <c r="H673" s="48"/>
    </row>
    <row r="674">
      <c r="D674" s="47"/>
      <c r="F674" s="47"/>
      <c r="G674" s="47"/>
      <c r="H674" s="48"/>
    </row>
    <row r="675">
      <c r="D675" s="47"/>
      <c r="F675" s="47"/>
      <c r="G675" s="47"/>
      <c r="H675" s="48"/>
    </row>
    <row r="676">
      <c r="D676" s="47"/>
      <c r="F676" s="47"/>
      <c r="G676" s="47"/>
      <c r="H676" s="48"/>
    </row>
    <row r="677">
      <c r="D677" s="47"/>
      <c r="F677" s="47"/>
      <c r="G677" s="47"/>
      <c r="H677" s="48"/>
    </row>
    <row r="678">
      <c r="D678" s="47"/>
      <c r="F678" s="47"/>
      <c r="G678" s="47"/>
      <c r="H678" s="48"/>
    </row>
    <row r="679">
      <c r="D679" s="47"/>
      <c r="F679" s="47"/>
      <c r="G679" s="47"/>
      <c r="H679" s="48"/>
    </row>
    <row r="680">
      <c r="D680" s="47"/>
      <c r="F680" s="47"/>
      <c r="G680" s="47"/>
      <c r="H680" s="48"/>
    </row>
    <row r="681">
      <c r="D681" s="47"/>
      <c r="F681" s="47"/>
      <c r="G681" s="47"/>
      <c r="H681" s="48"/>
    </row>
    <row r="682">
      <c r="D682" s="47"/>
      <c r="F682" s="47"/>
      <c r="G682" s="47"/>
      <c r="H682" s="48"/>
    </row>
    <row r="683">
      <c r="D683" s="47"/>
      <c r="F683" s="47"/>
      <c r="G683" s="47"/>
      <c r="H683" s="48"/>
    </row>
    <row r="684">
      <c r="D684" s="47"/>
      <c r="F684" s="47"/>
      <c r="G684" s="47"/>
      <c r="H684" s="48"/>
    </row>
    <row r="685">
      <c r="D685" s="47"/>
      <c r="F685" s="47"/>
      <c r="G685" s="47"/>
      <c r="H685" s="48"/>
    </row>
    <row r="686">
      <c r="D686" s="47"/>
      <c r="F686" s="47"/>
      <c r="G686" s="47"/>
      <c r="H686" s="48"/>
    </row>
    <row r="687">
      <c r="D687" s="47"/>
      <c r="F687" s="47"/>
      <c r="G687" s="47"/>
      <c r="H687" s="48"/>
    </row>
    <row r="688">
      <c r="D688" s="47"/>
      <c r="F688" s="47"/>
      <c r="G688" s="47"/>
      <c r="H688" s="48"/>
    </row>
    <row r="689">
      <c r="D689" s="47"/>
      <c r="F689" s="47"/>
      <c r="G689" s="47"/>
      <c r="H689" s="48"/>
    </row>
    <row r="690">
      <c r="D690" s="47"/>
      <c r="F690" s="47"/>
      <c r="G690" s="47"/>
      <c r="H690" s="48"/>
    </row>
    <row r="691">
      <c r="D691" s="47"/>
      <c r="F691" s="47"/>
      <c r="G691" s="47"/>
      <c r="H691" s="48"/>
    </row>
    <row r="692">
      <c r="D692" s="47"/>
      <c r="F692" s="47"/>
      <c r="G692" s="47"/>
      <c r="H692" s="48"/>
    </row>
    <row r="693">
      <c r="D693" s="47"/>
      <c r="F693" s="47"/>
      <c r="G693" s="47"/>
      <c r="H693" s="48"/>
    </row>
    <row r="694">
      <c r="D694" s="47"/>
      <c r="F694" s="47"/>
      <c r="G694" s="47"/>
      <c r="H694" s="48"/>
    </row>
    <row r="695">
      <c r="D695" s="47"/>
      <c r="F695" s="47"/>
      <c r="G695" s="47"/>
      <c r="H695" s="48"/>
    </row>
    <row r="696">
      <c r="D696" s="47"/>
      <c r="F696" s="47"/>
      <c r="G696" s="47"/>
      <c r="H696" s="48"/>
    </row>
    <row r="697">
      <c r="D697" s="47"/>
      <c r="F697" s="47"/>
      <c r="G697" s="47"/>
      <c r="H697" s="48"/>
    </row>
    <row r="698">
      <c r="D698" s="47"/>
      <c r="F698" s="47"/>
      <c r="G698" s="47"/>
      <c r="H698" s="48"/>
    </row>
    <row r="699">
      <c r="D699" s="47"/>
      <c r="F699" s="47"/>
      <c r="G699" s="47"/>
      <c r="H699" s="48"/>
    </row>
    <row r="700">
      <c r="D700" s="47"/>
      <c r="F700" s="47"/>
      <c r="G700" s="47"/>
      <c r="H700" s="48"/>
    </row>
    <row r="701">
      <c r="D701" s="47"/>
      <c r="F701" s="47"/>
      <c r="G701" s="47"/>
      <c r="H701" s="48"/>
    </row>
    <row r="702">
      <c r="D702" s="47"/>
      <c r="F702" s="47"/>
      <c r="G702" s="47"/>
      <c r="H702" s="48"/>
    </row>
    <row r="703">
      <c r="D703" s="47"/>
      <c r="F703" s="47"/>
      <c r="G703" s="47"/>
      <c r="H703" s="48"/>
    </row>
    <row r="704">
      <c r="D704" s="47"/>
      <c r="F704" s="47"/>
      <c r="G704" s="47"/>
      <c r="H704" s="48"/>
    </row>
    <row r="705">
      <c r="D705" s="47"/>
      <c r="F705" s="47"/>
      <c r="G705" s="47"/>
      <c r="H705" s="48"/>
    </row>
    <row r="706">
      <c r="D706" s="47"/>
      <c r="F706" s="47"/>
      <c r="G706" s="47"/>
      <c r="H706" s="48"/>
    </row>
    <row r="707">
      <c r="D707" s="47"/>
      <c r="F707" s="47"/>
      <c r="G707" s="47"/>
      <c r="H707" s="48"/>
    </row>
    <row r="708">
      <c r="D708" s="47"/>
      <c r="F708" s="47"/>
      <c r="G708" s="47"/>
      <c r="H708" s="48"/>
    </row>
    <row r="709">
      <c r="D709" s="47"/>
      <c r="F709" s="47"/>
      <c r="G709" s="47"/>
      <c r="H709" s="48"/>
    </row>
    <row r="710">
      <c r="D710" s="47"/>
      <c r="F710" s="47"/>
      <c r="G710" s="47"/>
      <c r="H710" s="48"/>
    </row>
    <row r="711">
      <c r="D711" s="47"/>
      <c r="F711" s="47"/>
      <c r="G711" s="47"/>
      <c r="H711" s="48"/>
    </row>
    <row r="712">
      <c r="D712" s="47"/>
      <c r="F712" s="47"/>
      <c r="G712" s="47"/>
      <c r="H712" s="48"/>
    </row>
    <row r="713">
      <c r="D713" s="47"/>
      <c r="F713" s="47"/>
      <c r="G713" s="47"/>
      <c r="H713" s="48"/>
    </row>
    <row r="714">
      <c r="D714" s="47"/>
      <c r="F714" s="47"/>
      <c r="G714" s="47"/>
      <c r="H714" s="48"/>
    </row>
    <row r="715">
      <c r="D715" s="47"/>
      <c r="F715" s="47"/>
      <c r="G715" s="47"/>
      <c r="H715" s="48"/>
    </row>
    <row r="716">
      <c r="D716" s="47"/>
      <c r="F716" s="47"/>
      <c r="G716" s="47"/>
      <c r="H716" s="48"/>
    </row>
    <row r="717">
      <c r="D717" s="47"/>
      <c r="F717" s="47"/>
      <c r="G717" s="47"/>
      <c r="H717" s="48"/>
    </row>
    <row r="718">
      <c r="D718" s="47"/>
      <c r="F718" s="47"/>
      <c r="G718" s="47"/>
      <c r="H718" s="48"/>
    </row>
    <row r="719">
      <c r="D719" s="47"/>
      <c r="F719" s="47"/>
      <c r="G719" s="47"/>
      <c r="H719" s="48"/>
    </row>
    <row r="720">
      <c r="D720" s="47"/>
      <c r="F720" s="47"/>
      <c r="G720" s="47"/>
      <c r="H720" s="48"/>
    </row>
    <row r="721">
      <c r="D721" s="47"/>
      <c r="F721" s="47"/>
      <c r="G721" s="47"/>
      <c r="H721" s="48"/>
    </row>
    <row r="722">
      <c r="D722" s="47"/>
      <c r="F722" s="47"/>
      <c r="G722" s="47"/>
      <c r="H722" s="48"/>
    </row>
    <row r="723">
      <c r="D723" s="47"/>
      <c r="F723" s="47"/>
      <c r="G723" s="47"/>
      <c r="H723" s="48"/>
    </row>
    <row r="724">
      <c r="D724" s="47"/>
      <c r="F724" s="47"/>
      <c r="G724" s="47"/>
      <c r="H724" s="48"/>
    </row>
    <row r="725">
      <c r="D725" s="47"/>
      <c r="F725" s="47"/>
      <c r="G725" s="47"/>
      <c r="H725" s="48"/>
    </row>
    <row r="726">
      <c r="D726" s="47"/>
      <c r="F726" s="47"/>
      <c r="G726" s="47"/>
      <c r="H726" s="48"/>
    </row>
    <row r="727">
      <c r="D727" s="47"/>
      <c r="F727" s="47"/>
      <c r="G727" s="47"/>
      <c r="H727" s="48"/>
    </row>
    <row r="728">
      <c r="D728" s="47"/>
      <c r="F728" s="47"/>
      <c r="G728" s="47"/>
      <c r="H728" s="48"/>
    </row>
    <row r="729">
      <c r="D729" s="47"/>
      <c r="F729" s="47"/>
      <c r="G729" s="47"/>
      <c r="H729" s="48"/>
    </row>
    <row r="730">
      <c r="D730" s="47"/>
      <c r="F730" s="47"/>
      <c r="G730" s="47"/>
      <c r="H730" s="48"/>
    </row>
    <row r="731">
      <c r="D731" s="47"/>
      <c r="F731" s="47"/>
      <c r="G731" s="47"/>
      <c r="H731" s="48"/>
    </row>
    <row r="732">
      <c r="D732" s="47"/>
      <c r="F732" s="47"/>
      <c r="G732" s="47"/>
      <c r="H732" s="48"/>
    </row>
    <row r="733">
      <c r="D733" s="47"/>
      <c r="F733" s="47"/>
      <c r="G733" s="47"/>
      <c r="H733" s="48"/>
    </row>
    <row r="734">
      <c r="D734" s="47"/>
      <c r="F734" s="47"/>
      <c r="G734" s="47"/>
      <c r="H734" s="48"/>
    </row>
    <row r="735">
      <c r="D735" s="47"/>
      <c r="F735" s="47"/>
      <c r="G735" s="47"/>
      <c r="H735" s="48"/>
    </row>
    <row r="736">
      <c r="D736" s="47"/>
      <c r="F736" s="47"/>
      <c r="G736" s="47"/>
      <c r="H736" s="48"/>
    </row>
    <row r="737">
      <c r="D737" s="47"/>
      <c r="F737" s="47"/>
      <c r="G737" s="47"/>
      <c r="H737" s="48"/>
    </row>
    <row r="738">
      <c r="D738" s="47"/>
      <c r="F738" s="47"/>
      <c r="G738" s="47"/>
      <c r="H738" s="48"/>
    </row>
    <row r="739">
      <c r="D739" s="47"/>
      <c r="F739" s="47"/>
      <c r="G739" s="47"/>
      <c r="H739" s="48"/>
    </row>
    <row r="740">
      <c r="D740" s="47"/>
      <c r="F740" s="47"/>
      <c r="G740" s="47"/>
      <c r="H740" s="48"/>
    </row>
    <row r="741">
      <c r="D741" s="47"/>
      <c r="F741" s="47"/>
      <c r="G741" s="47"/>
      <c r="H741" s="48"/>
    </row>
    <row r="742">
      <c r="D742" s="47"/>
      <c r="F742" s="47"/>
      <c r="G742" s="47"/>
      <c r="H742" s="48"/>
    </row>
    <row r="743">
      <c r="D743" s="47"/>
      <c r="F743" s="47"/>
      <c r="G743" s="47"/>
      <c r="H743" s="48"/>
    </row>
    <row r="744">
      <c r="D744" s="47"/>
      <c r="F744" s="47"/>
      <c r="G744" s="47"/>
      <c r="H744" s="48"/>
    </row>
    <row r="745">
      <c r="D745" s="47"/>
      <c r="F745" s="47"/>
      <c r="G745" s="47"/>
      <c r="H745" s="48"/>
    </row>
    <row r="746">
      <c r="D746" s="47"/>
      <c r="F746" s="47"/>
      <c r="G746" s="47"/>
      <c r="H746" s="48"/>
    </row>
    <row r="747">
      <c r="D747" s="47"/>
      <c r="F747" s="47"/>
      <c r="G747" s="47"/>
      <c r="H747" s="48"/>
    </row>
    <row r="748">
      <c r="D748" s="47"/>
      <c r="F748" s="47"/>
      <c r="G748" s="47"/>
      <c r="H748" s="48"/>
    </row>
    <row r="749">
      <c r="D749" s="47"/>
      <c r="F749" s="47"/>
      <c r="G749" s="47"/>
      <c r="H749" s="48"/>
    </row>
    <row r="750">
      <c r="D750" s="47"/>
      <c r="F750" s="47"/>
      <c r="G750" s="47"/>
      <c r="H750" s="48"/>
    </row>
    <row r="751">
      <c r="D751" s="47"/>
      <c r="F751" s="47"/>
      <c r="G751" s="47"/>
      <c r="H751" s="48"/>
    </row>
    <row r="752">
      <c r="D752" s="47"/>
      <c r="F752" s="47"/>
      <c r="G752" s="47"/>
      <c r="H752" s="48"/>
    </row>
    <row r="753">
      <c r="D753" s="47"/>
      <c r="F753" s="47"/>
      <c r="G753" s="47"/>
      <c r="H753" s="48"/>
    </row>
    <row r="754">
      <c r="D754" s="47"/>
      <c r="F754" s="47"/>
      <c r="G754" s="47"/>
      <c r="H754" s="48"/>
    </row>
    <row r="755">
      <c r="D755" s="47"/>
      <c r="F755" s="47"/>
      <c r="G755" s="47"/>
      <c r="H755" s="48"/>
    </row>
    <row r="756">
      <c r="D756" s="47"/>
      <c r="F756" s="47"/>
      <c r="G756" s="47"/>
      <c r="H756" s="48"/>
    </row>
    <row r="757">
      <c r="D757" s="47"/>
      <c r="F757" s="47"/>
      <c r="G757" s="47"/>
      <c r="H757" s="48"/>
    </row>
    <row r="758">
      <c r="D758" s="47"/>
      <c r="F758" s="47"/>
      <c r="G758" s="47"/>
      <c r="H758" s="48"/>
    </row>
    <row r="759">
      <c r="D759" s="47"/>
      <c r="F759" s="47"/>
      <c r="G759" s="47"/>
      <c r="H759" s="48"/>
    </row>
    <row r="760">
      <c r="D760" s="47"/>
      <c r="F760" s="47"/>
      <c r="G760" s="47"/>
      <c r="H760" s="48"/>
    </row>
    <row r="761">
      <c r="D761" s="47"/>
      <c r="F761" s="47"/>
      <c r="G761" s="47"/>
      <c r="H761" s="48"/>
    </row>
    <row r="762">
      <c r="D762" s="47"/>
      <c r="F762" s="47"/>
      <c r="G762" s="47"/>
      <c r="H762" s="48"/>
    </row>
    <row r="763">
      <c r="D763" s="47"/>
      <c r="F763" s="47"/>
      <c r="G763" s="47"/>
      <c r="H763" s="48"/>
    </row>
    <row r="764">
      <c r="D764" s="47"/>
      <c r="F764" s="47"/>
      <c r="G764" s="47"/>
      <c r="H764" s="48"/>
    </row>
    <row r="765">
      <c r="D765" s="47"/>
      <c r="F765" s="47"/>
      <c r="G765" s="47"/>
      <c r="H765" s="48"/>
    </row>
    <row r="766">
      <c r="D766" s="47"/>
      <c r="F766" s="47"/>
      <c r="G766" s="47"/>
      <c r="H766" s="48"/>
    </row>
    <row r="767">
      <c r="D767" s="47"/>
      <c r="F767" s="47"/>
      <c r="G767" s="47"/>
      <c r="H767" s="48"/>
    </row>
    <row r="768">
      <c r="D768" s="47"/>
      <c r="F768" s="47"/>
      <c r="G768" s="47"/>
      <c r="H768" s="48"/>
    </row>
    <row r="769">
      <c r="D769" s="47"/>
      <c r="F769" s="47"/>
      <c r="G769" s="47"/>
      <c r="H769" s="48"/>
    </row>
    <row r="770">
      <c r="D770" s="47"/>
      <c r="F770" s="47"/>
      <c r="G770" s="47"/>
      <c r="H770" s="48"/>
    </row>
    <row r="771">
      <c r="D771" s="47"/>
      <c r="F771" s="47"/>
      <c r="G771" s="47"/>
      <c r="H771" s="48"/>
    </row>
    <row r="772">
      <c r="D772" s="47"/>
      <c r="F772" s="47"/>
      <c r="G772" s="47"/>
      <c r="H772" s="48"/>
    </row>
    <row r="773">
      <c r="D773" s="47"/>
      <c r="F773" s="47"/>
      <c r="G773" s="47"/>
      <c r="H773" s="48"/>
    </row>
    <row r="774">
      <c r="D774" s="47"/>
      <c r="F774" s="47"/>
      <c r="G774" s="47"/>
      <c r="H774" s="48"/>
    </row>
    <row r="775">
      <c r="D775" s="47"/>
      <c r="F775" s="47"/>
      <c r="G775" s="47"/>
      <c r="H775" s="48"/>
    </row>
    <row r="776">
      <c r="D776" s="47"/>
      <c r="F776" s="47"/>
      <c r="G776" s="47"/>
      <c r="H776" s="48"/>
    </row>
    <row r="777">
      <c r="D777" s="47"/>
      <c r="F777" s="47"/>
      <c r="G777" s="47"/>
      <c r="H777" s="48"/>
    </row>
    <row r="778">
      <c r="D778" s="47"/>
      <c r="F778" s="47"/>
      <c r="G778" s="47"/>
      <c r="H778" s="48"/>
    </row>
    <row r="779">
      <c r="D779" s="47"/>
      <c r="F779" s="47"/>
      <c r="G779" s="47"/>
      <c r="H779" s="48"/>
    </row>
    <row r="780">
      <c r="D780" s="47"/>
      <c r="F780" s="47"/>
      <c r="G780" s="47"/>
      <c r="H780" s="48"/>
    </row>
    <row r="781">
      <c r="D781" s="47"/>
      <c r="F781" s="47"/>
      <c r="G781" s="47"/>
      <c r="H781" s="48"/>
    </row>
    <row r="782">
      <c r="D782" s="47"/>
      <c r="F782" s="47"/>
      <c r="G782" s="47"/>
      <c r="H782" s="48"/>
    </row>
    <row r="783">
      <c r="D783" s="47"/>
      <c r="F783" s="47"/>
      <c r="G783" s="47"/>
      <c r="H783" s="48"/>
    </row>
    <row r="784">
      <c r="D784" s="47"/>
      <c r="F784" s="47"/>
      <c r="G784" s="47"/>
      <c r="H784" s="48"/>
    </row>
    <row r="785">
      <c r="D785" s="47"/>
      <c r="F785" s="47"/>
      <c r="G785" s="47"/>
      <c r="H785" s="48"/>
    </row>
    <row r="786">
      <c r="D786" s="47"/>
      <c r="F786" s="47"/>
      <c r="G786" s="47"/>
      <c r="H786" s="48"/>
    </row>
    <row r="787">
      <c r="D787" s="47"/>
      <c r="F787" s="47"/>
      <c r="G787" s="47"/>
      <c r="H787" s="48"/>
    </row>
    <row r="788">
      <c r="D788" s="47"/>
      <c r="F788" s="47"/>
      <c r="G788" s="47"/>
      <c r="H788" s="48"/>
    </row>
    <row r="789">
      <c r="D789" s="47"/>
      <c r="F789" s="47"/>
      <c r="G789" s="47"/>
      <c r="H789" s="48"/>
    </row>
    <row r="790">
      <c r="D790" s="47"/>
      <c r="F790" s="47"/>
      <c r="G790" s="47"/>
      <c r="H790" s="48"/>
    </row>
    <row r="791">
      <c r="D791" s="47"/>
      <c r="F791" s="47"/>
      <c r="G791" s="47"/>
      <c r="H791" s="48"/>
    </row>
    <row r="792">
      <c r="D792" s="47"/>
      <c r="F792" s="47"/>
      <c r="G792" s="47"/>
      <c r="H792" s="48"/>
    </row>
    <row r="793">
      <c r="D793" s="47"/>
      <c r="F793" s="47"/>
      <c r="G793" s="47"/>
      <c r="H793" s="48"/>
    </row>
    <row r="794">
      <c r="D794" s="47"/>
      <c r="F794" s="47"/>
      <c r="G794" s="47"/>
      <c r="H794" s="48"/>
    </row>
    <row r="795">
      <c r="D795" s="47"/>
      <c r="F795" s="47"/>
      <c r="G795" s="47"/>
      <c r="H795" s="48"/>
    </row>
    <row r="796">
      <c r="D796" s="47"/>
      <c r="F796" s="47"/>
      <c r="G796" s="47"/>
      <c r="H796" s="48"/>
    </row>
    <row r="797">
      <c r="D797" s="47"/>
      <c r="F797" s="47"/>
      <c r="G797" s="47"/>
      <c r="H797" s="48"/>
    </row>
    <row r="798">
      <c r="D798" s="47"/>
      <c r="F798" s="47"/>
      <c r="G798" s="47"/>
      <c r="H798" s="48"/>
    </row>
    <row r="799">
      <c r="D799" s="47"/>
      <c r="F799" s="47"/>
      <c r="G799" s="47"/>
      <c r="H799" s="48"/>
    </row>
    <row r="800">
      <c r="D800" s="47"/>
      <c r="F800" s="47"/>
      <c r="G800" s="47"/>
      <c r="H800" s="48"/>
    </row>
    <row r="801">
      <c r="D801" s="47"/>
      <c r="F801" s="47"/>
      <c r="G801" s="47"/>
      <c r="H801" s="48"/>
    </row>
    <row r="802">
      <c r="D802" s="47"/>
      <c r="F802" s="47"/>
      <c r="G802" s="47"/>
      <c r="H802" s="48"/>
    </row>
    <row r="803">
      <c r="D803" s="47"/>
      <c r="F803" s="47"/>
      <c r="G803" s="47"/>
      <c r="H803" s="48"/>
    </row>
    <row r="804">
      <c r="D804" s="47"/>
      <c r="F804" s="47"/>
      <c r="G804" s="47"/>
      <c r="H804" s="48"/>
    </row>
    <row r="805">
      <c r="D805" s="47"/>
      <c r="F805" s="47"/>
      <c r="G805" s="47"/>
      <c r="H805" s="48"/>
    </row>
    <row r="806">
      <c r="D806" s="47"/>
      <c r="F806" s="47"/>
      <c r="G806" s="47"/>
      <c r="H806" s="48"/>
    </row>
    <row r="807">
      <c r="D807" s="47"/>
      <c r="F807" s="47"/>
      <c r="G807" s="47"/>
      <c r="H807" s="48"/>
    </row>
    <row r="808">
      <c r="D808" s="47"/>
      <c r="F808" s="47"/>
      <c r="G808" s="47"/>
      <c r="H808" s="48"/>
    </row>
    <row r="809">
      <c r="D809" s="47"/>
      <c r="F809" s="47"/>
      <c r="G809" s="47"/>
      <c r="H809" s="48"/>
    </row>
    <row r="810">
      <c r="D810" s="47"/>
      <c r="F810" s="47"/>
      <c r="G810" s="47"/>
      <c r="H810" s="48"/>
    </row>
    <row r="811">
      <c r="D811" s="47"/>
      <c r="F811" s="47"/>
      <c r="G811" s="47"/>
      <c r="H811" s="48"/>
    </row>
    <row r="812">
      <c r="D812" s="47"/>
      <c r="F812" s="47"/>
      <c r="G812" s="47"/>
      <c r="H812" s="48"/>
    </row>
    <row r="813">
      <c r="D813" s="47"/>
      <c r="F813" s="47"/>
      <c r="G813" s="47"/>
      <c r="H813" s="48"/>
    </row>
    <row r="814">
      <c r="D814" s="47"/>
      <c r="F814" s="47"/>
      <c r="G814" s="47"/>
      <c r="H814" s="48"/>
    </row>
    <row r="815">
      <c r="D815" s="47"/>
      <c r="F815" s="47"/>
      <c r="G815" s="47"/>
      <c r="H815" s="48"/>
    </row>
    <row r="816">
      <c r="D816" s="47"/>
      <c r="F816" s="47"/>
      <c r="G816" s="47"/>
      <c r="H816" s="48"/>
    </row>
    <row r="817">
      <c r="D817" s="47"/>
      <c r="F817" s="47"/>
      <c r="G817" s="47"/>
      <c r="H817" s="48"/>
    </row>
    <row r="818">
      <c r="D818" s="47"/>
      <c r="F818" s="47"/>
      <c r="G818" s="47"/>
      <c r="H818" s="48"/>
    </row>
    <row r="819">
      <c r="D819" s="47"/>
      <c r="F819" s="47"/>
      <c r="G819" s="47"/>
      <c r="H819" s="48"/>
    </row>
    <row r="820">
      <c r="D820" s="47"/>
      <c r="F820" s="47"/>
      <c r="G820" s="47"/>
      <c r="H820" s="48"/>
    </row>
    <row r="821">
      <c r="D821" s="47"/>
      <c r="F821" s="47"/>
      <c r="G821" s="47"/>
      <c r="H821" s="48"/>
    </row>
    <row r="822">
      <c r="D822" s="47"/>
      <c r="F822" s="47"/>
      <c r="G822" s="47"/>
      <c r="H822" s="48"/>
    </row>
    <row r="823">
      <c r="D823" s="47"/>
      <c r="F823" s="47"/>
      <c r="G823" s="47"/>
      <c r="H823" s="48"/>
    </row>
    <row r="824">
      <c r="D824" s="47"/>
      <c r="F824" s="47"/>
      <c r="G824" s="47"/>
      <c r="H824" s="48"/>
    </row>
    <row r="825">
      <c r="D825" s="47"/>
      <c r="F825" s="47"/>
      <c r="G825" s="47"/>
      <c r="H825" s="48"/>
    </row>
    <row r="826">
      <c r="D826" s="47"/>
      <c r="F826" s="47"/>
      <c r="G826" s="47"/>
      <c r="H826" s="48"/>
    </row>
    <row r="827">
      <c r="D827" s="47"/>
      <c r="F827" s="47"/>
      <c r="G827" s="47"/>
      <c r="H827" s="48"/>
    </row>
    <row r="828">
      <c r="D828" s="47"/>
      <c r="F828" s="47"/>
      <c r="G828" s="47"/>
      <c r="H828" s="48"/>
    </row>
    <row r="829">
      <c r="D829" s="47"/>
      <c r="F829" s="47"/>
      <c r="G829" s="47"/>
      <c r="H829" s="48"/>
    </row>
    <row r="830">
      <c r="D830" s="47"/>
      <c r="F830" s="47"/>
      <c r="G830" s="47"/>
      <c r="H830" s="48"/>
    </row>
    <row r="831">
      <c r="D831" s="47"/>
      <c r="F831" s="47"/>
      <c r="G831" s="47"/>
      <c r="H831" s="48"/>
    </row>
    <row r="832">
      <c r="D832" s="47"/>
      <c r="F832" s="47"/>
      <c r="G832" s="47"/>
      <c r="H832" s="48"/>
    </row>
    <row r="833">
      <c r="D833" s="47"/>
      <c r="F833" s="47"/>
      <c r="G833" s="47"/>
      <c r="H833" s="48"/>
    </row>
    <row r="834">
      <c r="D834" s="47"/>
      <c r="F834" s="47"/>
      <c r="G834" s="47"/>
      <c r="H834" s="48"/>
    </row>
    <row r="835">
      <c r="D835" s="47"/>
      <c r="F835" s="47"/>
      <c r="G835" s="47"/>
      <c r="H835" s="48"/>
    </row>
    <row r="836">
      <c r="D836" s="47"/>
      <c r="F836" s="47"/>
      <c r="G836" s="47"/>
      <c r="H836" s="48"/>
    </row>
    <row r="837">
      <c r="D837" s="47"/>
      <c r="F837" s="47"/>
      <c r="G837" s="47"/>
      <c r="H837" s="48"/>
    </row>
    <row r="838">
      <c r="D838" s="47"/>
      <c r="F838" s="47"/>
      <c r="G838" s="47"/>
      <c r="H838" s="48"/>
    </row>
    <row r="839">
      <c r="D839" s="47"/>
      <c r="F839" s="47"/>
      <c r="G839" s="47"/>
      <c r="H839" s="48"/>
    </row>
    <row r="840">
      <c r="D840" s="47"/>
      <c r="F840" s="47"/>
      <c r="G840" s="47"/>
      <c r="H840" s="48"/>
    </row>
    <row r="841">
      <c r="D841" s="47"/>
      <c r="F841" s="47"/>
      <c r="G841" s="47"/>
      <c r="H841" s="48"/>
    </row>
    <row r="842">
      <c r="D842" s="47"/>
      <c r="F842" s="47"/>
      <c r="G842" s="47"/>
      <c r="H842" s="48"/>
    </row>
    <row r="843">
      <c r="D843" s="47"/>
      <c r="F843" s="47"/>
      <c r="G843" s="47"/>
      <c r="H843" s="48"/>
    </row>
    <row r="844">
      <c r="D844" s="47"/>
      <c r="F844" s="47"/>
      <c r="G844" s="47"/>
      <c r="H844" s="48"/>
    </row>
    <row r="845">
      <c r="D845" s="47"/>
      <c r="F845" s="47"/>
      <c r="G845" s="47"/>
      <c r="H845" s="48"/>
    </row>
    <row r="846">
      <c r="D846" s="47"/>
      <c r="F846" s="47"/>
      <c r="G846" s="47"/>
      <c r="H846" s="48"/>
    </row>
    <row r="847">
      <c r="D847" s="47"/>
      <c r="F847" s="47"/>
      <c r="G847" s="47"/>
      <c r="H847" s="48"/>
    </row>
    <row r="848">
      <c r="D848" s="47"/>
      <c r="F848" s="47"/>
      <c r="G848" s="47"/>
      <c r="H848" s="48"/>
    </row>
    <row r="849">
      <c r="D849" s="47"/>
      <c r="F849" s="47"/>
      <c r="G849" s="47"/>
      <c r="H849" s="48"/>
    </row>
    <row r="850">
      <c r="D850" s="47"/>
      <c r="F850" s="47"/>
      <c r="G850" s="47"/>
      <c r="H850" s="48"/>
    </row>
    <row r="851">
      <c r="D851" s="47"/>
      <c r="F851" s="47"/>
      <c r="G851" s="47"/>
      <c r="H851" s="48"/>
    </row>
    <row r="852">
      <c r="D852" s="47"/>
      <c r="F852" s="47"/>
      <c r="G852" s="47"/>
      <c r="H852" s="48"/>
    </row>
    <row r="853">
      <c r="D853" s="47"/>
      <c r="F853" s="47"/>
      <c r="G853" s="47"/>
      <c r="H853" s="48"/>
    </row>
    <row r="854">
      <c r="D854" s="47"/>
      <c r="F854" s="47"/>
      <c r="G854" s="47"/>
      <c r="H854" s="48"/>
    </row>
    <row r="855">
      <c r="D855" s="47"/>
      <c r="F855" s="47"/>
      <c r="G855" s="47"/>
      <c r="H855" s="48"/>
    </row>
    <row r="856">
      <c r="D856" s="47"/>
      <c r="F856" s="47"/>
      <c r="G856" s="47"/>
      <c r="H856" s="48"/>
    </row>
    <row r="857">
      <c r="D857" s="47"/>
      <c r="F857" s="47"/>
      <c r="G857" s="47"/>
      <c r="H857" s="48"/>
    </row>
    <row r="858">
      <c r="D858" s="47"/>
      <c r="F858" s="47"/>
      <c r="G858" s="47"/>
      <c r="H858" s="48"/>
    </row>
    <row r="859">
      <c r="D859" s="47"/>
      <c r="F859" s="47"/>
      <c r="G859" s="47"/>
      <c r="H859" s="48"/>
    </row>
    <row r="860">
      <c r="D860" s="47"/>
      <c r="F860" s="47"/>
      <c r="G860" s="47"/>
      <c r="H860" s="48"/>
    </row>
    <row r="861">
      <c r="D861" s="47"/>
      <c r="F861" s="47"/>
      <c r="G861" s="47"/>
      <c r="H861" s="48"/>
    </row>
    <row r="862">
      <c r="D862" s="47"/>
      <c r="F862" s="47"/>
      <c r="G862" s="47"/>
      <c r="H862" s="48"/>
    </row>
    <row r="863">
      <c r="D863" s="47"/>
      <c r="F863" s="47"/>
      <c r="G863" s="47"/>
      <c r="H863" s="48"/>
    </row>
    <row r="864">
      <c r="D864" s="47"/>
      <c r="F864" s="47"/>
      <c r="G864" s="47"/>
      <c r="H864" s="48"/>
    </row>
    <row r="865">
      <c r="D865" s="47"/>
      <c r="F865" s="47"/>
      <c r="G865" s="47"/>
      <c r="H865" s="48"/>
    </row>
    <row r="866">
      <c r="D866" s="47"/>
      <c r="F866" s="47"/>
      <c r="G866" s="47"/>
      <c r="H866" s="48"/>
    </row>
    <row r="867">
      <c r="D867" s="47"/>
      <c r="F867" s="47"/>
      <c r="G867" s="47"/>
      <c r="H867" s="48"/>
    </row>
    <row r="868">
      <c r="D868" s="47"/>
      <c r="F868" s="47"/>
      <c r="G868" s="47"/>
      <c r="H868" s="48"/>
    </row>
    <row r="869">
      <c r="D869" s="47"/>
      <c r="F869" s="47"/>
      <c r="G869" s="47"/>
      <c r="H869" s="48"/>
    </row>
    <row r="870">
      <c r="D870" s="47"/>
      <c r="F870" s="47"/>
      <c r="G870" s="47"/>
      <c r="H870" s="48"/>
    </row>
    <row r="871">
      <c r="D871" s="47"/>
      <c r="F871" s="47"/>
      <c r="G871" s="47"/>
      <c r="H871" s="48"/>
    </row>
    <row r="872">
      <c r="D872" s="47"/>
      <c r="F872" s="47"/>
      <c r="G872" s="47"/>
      <c r="H872" s="48"/>
    </row>
    <row r="873">
      <c r="D873" s="47"/>
      <c r="F873" s="47"/>
      <c r="G873" s="47"/>
      <c r="H873" s="48"/>
    </row>
    <row r="874">
      <c r="D874" s="47"/>
      <c r="F874" s="47"/>
      <c r="G874" s="47"/>
      <c r="H874" s="48"/>
    </row>
    <row r="875">
      <c r="D875" s="47"/>
      <c r="F875" s="47"/>
      <c r="G875" s="47"/>
      <c r="H875" s="48"/>
    </row>
    <row r="876">
      <c r="D876" s="47"/>
      <c r="F876" s="47"/>
      <c r="G876" s="47"/>
      <c r="H876" s="48"/>
    </row>
    <row r="877">
      <c r="D877" s="47"/>
      <c r="F877" s="47"/>
      <c r="G877" s="47"/>
      <c r="H877" s="48"/>
    </row>
    <row r="878">
      <c r="D878" s="47"/>
      <c r="F878" s="47"/>
      <c r="G878" s="47"/>
      <c r="H878" s="48"/>
    </row>
    <row r="879">
      <c r="D879" s="47"/>
      <c r="F879" s="47"/>
      <c r="G879" s="47"/>
      <c r="H879" s="48"/>
    </row>
    <row r="880">
      <c r="D880" s="47"/>
      <c r="F880" s="47"/>
      <c r="G880" s="47"/>
      <c r="H880" s="48"/>
    </row>
    <row r="881">
      <c r="D881" s="47"/>
      <c r="F881" s="47"/>
      <c r="G881" s="47"/>
      <c r="H881" s="48"/>
    </row>
    <row r="882">
      <c r="D882" s="47"/>
      <c r="F882" s="47"/>
      <c r="G882" s="47"/>
      <c r="H882" s="48"/>
    </row>
    <row r="883">
      <c r="D883" s="47"/>
      <c r="F883" s="47"/>
      <c r="G883" s="47"/>
      <c r="H883" s="48"/>
    </row>
    <row r="884">
      <c r="D884" s="47"/>
      <c r="F884" s="47"/>
      <c r="G884" s="47"/>
      <c r="H884" s="48"/>
    </row>
    <row r="885">
      <c r="D885" s="47"/>
      <c r="F885" s="47"/>
      <c r="G885" s="47"/>
      <c r="H885" s="48"/>
    </row>
    <row r="886">
      <c r="D886" s="47"/>
      <c r="F886" s="47"/>
      <c r="G886" s="47"/>
      <c r="H886" s="48"/>
    </row>
    <row r="887">
      <c r="D887" s="47"/>
      <c r="F887" s="47"/>
      <c r="G887" s="47"/>
      <c r="H887" s="48"/>
    </row>
    <row r="888">
      <c r="D888" s="47"/>
      <c r="F888" s="47"/>
      <c r="G888" s="47"/>
      <c r="H888" s="48"/>
    </row>
    <row r="889">
      <c r="D889" s="47"/>
      <c r="F889" s="47"/>
      <c r="G889" s="47"/>
      <c r="H889" s="48"/>
    </row>
    <row r="890">
      <c r="D890" s="47"/>
      <c r="F890" s="47"/>
      <c r="G890" s="47"/>
      <c r="H890" s="48"/>
    </row>
    <row r="891">
      <c r="D891" s="47"/>
      <c r="F891" s="47"/>
      <c r="G891" s="47"/>
      <c r="H891" s="48"/>
    </row>
    <row r="892">
      <c r="D892" s="47"/>
      <c r="F892" s="47"/>
      <c r="G892" s="47"/>
      <c r="H892" s="48"/>
    </row>
    <row r="893">
      <c r="D893" s="47"/>
      <c r="F893" s="47"/>
      <c r="G893" s="47"/>
      <c r="H893" s="48"/>
    </row>
    <row r="894">
      <c r="D894" s="47"/>
      <c r="F894" s="47"/>
      <c r="G894" s="47"/>
      <c r="H894" s="48"/>
    </row>
    <row r="895">
      <c r="D895" s="47"/>
      <c r="F895" s="47"/>
      <c r="G895" s="47"/>
      <c r="H895" s="48"/>
    </row>
    <row r="896">
      <c r="D896" s="47"/>
      <c r="F896" s="47"/>
      <c r="G896" s="47"/>
      <c r="H896" s="48"/>
    </row>
    <row r="897">
      <c r="D897" s="47"/>
      <c r="F897" s="47"/>
      <c r="G897" s="47"/>
      <c r="H897" s="48"/>
    </row>
    <row r="898">
      <c r="D898" s="47"/>
      <c r="F898" s="47"/>
      <c r="G898" s="47"/>
      <c r="H898" s="48"/>
    </row>
    <row r="899">
      <c r="D899" s="47"/>
      <c r="F899" s="47"/>
      <c r="G899" s="47"/>
      <c r="H899" s="48"/>
    </row>
    <row r="900">
      <c r="D900" s="47"/>
      <c r="F900" s="47"/>
      <c r="G900" s="47"/>
      <c r="H900" s="48"/>
    </row>
    <row r="901">
      <c r="D901" s="47"/>
      <c r="F901" s="47"/>
      <c r="G901" s="47"/>
      <c r="H901" s="48"/>
    </row>
    <row r="902">
      <c r="D902" s="47"/>
      <c r="F902" s="47"/>
      <c r="G902" s="47"/>
      <c r="H902" s="48"/>
    </row>
    <row r="903">
      <c r="D903" s="47"/>
      <c r="F903" s="47"/>
      <c r="G903" s="47"/>
      <c r="H903" s="48"/>
    </row>
    <row r="904">
      <c r="D904" s="47"/>
      <c r="F904" s="47"/>
      <c r="G904" s="47"/>
      <c r="H904" s="48"/>
    </row>
    <row r="905">
      <c r="D905" s="47"/>
      <c r="F905" s="47"/>
      <c r="G905" s="47"/>
      <c r="H905" s="48"/>
    </row>
    <row r="906">
      <c r="D906" s="47"/>
      <c r="F906" s="47"/>
      <c r="G906" s="47"/>
      <c r="H906" s="48"/>
    </row>
    <row r="907">
      <c r="D907" s="47"/>
      <c r="F907" s="47"/>
      <c r="G907" s="47"/>
      <c r="H907" s="48"/>
    </row>
    <row r="908">
      <c r="D908" s="47"/>
      <c r="F908" s="47"/>
      <c r="G908" s="47"/>
      <c r="H908" s="48"/>
    </row>
    <row r="909">
      <c r="D909" s="47"/>
      <c r="F909" s="47"/>
      <c r="G909" s="47"/>
      <c r="H909" s="48"/>
    </row>
    <row r="910">
      <c r="D910" s="47"/>
      <c r="F910" s="47"/>
      <c r="G910" s="47"/>
      <c r="H910" s="48"/>
    </row>
    <row r="911">
      <c r="D911" s="47"/>
      <c r="F911" s="47"/>
      <c r="G911" s="47"/>
      <c r="H911" s="48"/>
    </row>
    <row r="912">
      <c r="D912" s="47"/>
      <c r="F912" s="47"/>
      <c r="G912" s="47"/>
      <c r="H912" s="48"/>
    </row>
    <row r="913">
      <c r="D913" s="47"/>
      <c r="F913" s="47"/>
      <c r="G913" s="47"/>
      <c r="H913" s="48"/>
    </row>
    <row r="914">
      <c r="D914" s="47"/>
      <c r="F914" s="47"/>
      <c r="G914" s="47"/>
      <c r="H914" s="48"/>
    </row>
    <row r="915">
      <c r="D915" s="47"/>
      <c r="F915" s="47"/>
      <c r="G915" s="47"/>
      <c r="H915" s="48"/>
    </row>
    <row r="916">
      <c r="D916" s="47"/>
      <c r="F916" s="47"/>
      <c r="G916" s="47"/>
      <c r="H916" s="48"/>
    </row>
    <row r="917">
      <c r="D917" s="47"/>
      <c r="F917" s="47"/>
      <c r="G917" s="47"/>
      <c r="H917" s="48"/>
    </row>
    <row r="918">
      <c r="D918" s="47"/>
      <c r="F918" s="47"/>
      <c r="G918" s="47"/>
      <c r="H918" s="48"/>
    </row>
    <row r="919">
      <c r="D919" s="47"/>
      <c r="F919" s="47"/>
      <c r="G919" s="47"/>
      <c r="H919" s="48"/>
    </row>
    <row r="920">
      <c r="D920" s="47"/>
      <c r="F920" s="47"/>
      <c r="G920" s="47"/>
      <c r="H920" s="48"/>
    </row>
    <row r="921">
      <c r="D921" s="47"/>
      <c r="F921" s="47"/>
      <c r="G921" s="47"/>
      <c r="H921" s="48"/>
    </row>
    <row r="922">
      <c r="D922" s="47"/>
      <c r="F922" s="47"/>
      <c r="G922" s="47"/>
      <c r="H922" s="48"/>
    </row>
    <row r="923">
      <c r="D923" s="47"/>
      <c r="F923" s="47"/>
      <c r="G923" s="47"/>
      <c r="H923" s="48"/>
    </row>
    <row r="924">
      <c r="D924" s="47"/>
      <c r="F924" s="47"/>
      <c r="G924" s="47"/>
      <c r="H924" s="48"/>
    </row>
    <row r="925">
      <c r="D925" s="47"/>
      <c r="F925" s="47"/>
      <c r="G925" s="47"/>
      <c r="H925" s="48"/>
    </row>
    <row r="926">
      <c r="D926" s="47"/>
      <c r="F926" s="47"/>
      <c r="G926" s="47"/>
      <c r="H926" s="48"/>
    </row>
    <row r="927">
      <c r="D927" s="47"/>
      <c r="F927" s="47"/>
      <c r="G927" s="47"/>
      <c r="H927" s="48"/>
    </row>
    <row r="928">
      <c r="D928" s="47"/>
      <c r="F928" s="47"/>
      <c r="G928" s="47"/>
      <c r="H928" s="48"/>
    </row>
    <row r="929">
      <c r="D929" s="47"/>
      <c r="F929" s="47"/>
      <c r="G929" s="47"/>
      <c r="H929" s="48"/>
    </row>
    <row r="930">
      <c r="D930" s="47"/>
      <c r="F930" s="47"/>
      <c r="G930" s="47"/>
      <c r="H930" s="48"/>
    </row>
    <row r="931">
      <c r="D931" s="47"/>
      <c r="F931" s="47"/>
      <c r="G931" s="47"/>
      <c r="H931" s="48"/>
    </row>
    <row r="932">
      <c r="D932" s="47"/>
      <c r="F932" s="47"/>
      <c r="G932" s="47"/>
      <c r="H932" s="48"/>
    </row>
    <row r="933">
      <c r="D933" s="47"/>
      <c r="F933" s="47"/>
      <c r="G933" s="47"/>
      <c r="H933" s="48"/>
    </row>
    <row r="934">
      <c r="D934" s="47"/>
      <c r="F934" s="47"/>
      <c r="G934" s="47"/>
      <c r="H934" s="48"/>
    </row>
    <row r="935">
      <c r="D935" s="47"/>
      <c r="F935" s="47"/>
      <c r="G935" s="47"/>
      <c r="H935" s="48"/>
    </row>
    <row r="936">
      <c r="D936" s="47"/>
      <c r="F936" s="47"/>
      <c r="G936" s="47"/>
      <c r="H936" s="48"/>
    </row>
    <row r="937">
      <c r="D937" s="47"/>
      <c r="F937" s="47"/>
      <c r="G937" s="47"/>
      <c r="H937" s="48"/>
    </row>
    <row r="938">
      <c r="D938" s="47"/>
      <c r="F938" s="47"/>
      <c r="G938" s="47"/>
      <c r="H938" s="48"/>
    </row>
    <row r="939">
      <c r="D939" s="47"/>
      <c r="F939" s="47"/>
      <c r="G939" s="47"/>
      <c r="H939" s="48"/>
    </row>
    <row r="940">
      <c r="D940" s="47"/>
      <c r="F940" s="47"/>
      <c r="G940" s="47"/>
      <c r="H940" s="48"/>
    </row>
    <row r="941">
      <c r="D941" s="47"/>
      <c r="F941" s="47"/>
      <c r="G941" s="47"/>
      <c r="H941" s="48"/>
    </row>
    <row r="942">
      <c r="D942" s="47"/>
      <c r="F942" s="47"/>
      <c r="G942" s="47"/>
      <c r="H942" s="48"/>
    </row>
    <row r="943">
      <c r="D943" s="47"/>
      <c r="F943" s="47"/>
      <c r="G943" s="47"/>
      <c r="H943" s="48"/>
    </row>
    <row r="944">
      <c r="D944" s="47"/>
      <c r="F944" s="47"/>
      <c r="G944" s="47"/>
      <c r="H944" s="48"/>
    </row>
    <row r="945">
      <c r="D945" s="47"/>
      <c r="F945" s="47"/>
      <c r="G945" s="47"/>
      <c r="H945" s="48"/>
    </row>
    <row r="946">
      <c r="D946" s="47"/>
      <c r="F946" s="47"/>
      <c r="G946" s="47"/>
      <c r="H946" s="48"/>
    </row>
    <row r="947">
      <c r="D947" s="47"/>
      <c r="F947" s="47"/>
      <c r="G947" s="47"/>
      <c r="H947" s="48"/>
    </row>
    <row r="948">
      <c r="D948" s="47"/>
      <c r="F948" s="47"/>
      <c r="G948" s="47"/>
      <c r="H948" s="48"/>
    </row>
    <row r="949">
      <c r="D949" s="47"/>
      <c r="F949" s="47"/>
      <c r="G949" s="47"/>
      <c r="H949" s="48"/>
    </row>
    <row r="950">
      <c r="D950" s="47"/>
      <c r="F950" s="47"/>
      <c r="G950" s="47"/>
      <c r="H950" s="48"/>
    </row>
    <row r="951">
      <c r="D951" s="47"/>
      <c r="F951" s="47"/>
      <c r="G951" s="47"/>
      <c r="H951" s="48"/>
    </row>
    <row r="952">
      <c r="D952" s="47"/>
      <c r="F952" s="47"/>
      <c r="G952" s="47"/>
      <c r="H952" s="48"/>
    </row>
    <row r="953">
      <c r="D953" s="47"/>
      <c r="F953" s="47"/>
      <c r="G953" s="47"/>
      <c r="H953" s="48"/>
    </row>
    <row r="954">
      <c r="D954" s="47"/>
      <c r="F954" s="47"/>
      <c r="G954" s="47"/>
      <c r="H954" s="48"/>
    </row>
    <row r="955">
      <c r="D955" s="47"/>
      <c r="F955" s="47"/>
      <c r="G955" s="47"/>
      <c r="H955" s="48"/>
    </row>
    <row r="956">
      <c r="D956" s="47"/>
      <c r="F956" s="47"/>
      <c r="G956" s="47"/>
      <c r="H956" s="48"/>
    </row>
    <row r="957">
      <c r="D957" s="47"/>
      <c r="F957" s="47"/>
      <c r="G957" s="47"/>
      <c r="H957" s="48"/>
    </row>
    <row r="958">
      <c r="D958" s="47"/>
      <c r="F958" s="47"/>
      <c r="G958" s="47"/>
      <c r="H958" s="48"/>
    </row>
    <row r="959">
      <c r="D959" s="47"/>
      <c r="F959" s="47"/>
      <c r="G959" s="47"/>
      <c r="H959" s="48"/>
    </row>
    <row r="960">
      <c r="D960" s="47"/>
      <c r="F960" s="47"/>
      <c r="G960" s="47"/>
      <c r="H960" s="48"/>
    </row>
    <row r="961">
      <c r="D961" s="47"/>
      <c r="F961" s="47"/>
      <c r="G961" s="47"/>
      <c r="H961" s="48"/>
    </row>
    <row r="962">
      <c r="D962" s="47"/>
      <c r="F962" s="47"/>
      <c r="G962" s="47"/>
      <c r="H962" s="48"/>
    </row>
    <row r="963">
      <c r="D963" s="47"/>
      <c r="F963" s="47"/>
      <c r="G963" s="47"/>
      <c r="H963" s="48"/>
    </row>
    <row r="964">
      <c r="D964" s="47"/>
      <c r="F964" s="47"/>
      <c r="G964" s="47"/>
      <c r="H964" s="48"/>
    </row>
    <row r="965">
      <c r="D965" s="47"/>
      <c r="F965" s="47"/>
      <c r="G965" s="47"/>
      <c r="H965" s="48"/>
    </row>
    <row r="966">
      <c r="D966" s="47"/>
      <c r="F966" s="47"/>
      <c r="G966" s="47"/>
      <c r="H966" s="48"/>
    </row>
    <row r="967">
      <c r="D967" s="47"/>
      <c r="F967" s="47"/>
      <c r="G967" s="47"/>
      <c r="H967" s="48"/>
    </row>
    <row r="968">
      <c r="D968" s="47"/>
      <c r="F968" s="47"/>
      <c r="G968" s="47"/>
      <c r="H968" s="48"/>
    </row>
    <row r="969">
      <c r="D969" s="47"/>
      <c r="F969" s="47"/>
      <c r="G969" s="47"/>
      <c r="H969" s="48"/>
    </row>
    <row r="970">
      <c r="D970" s="47"/>
      <c r="F970" s="47"/>
      <c r="G970" s="47"/>
      <c r="H970" s="48"/>
    </row>
    <row r="971">
      <c r="D971" s="47"/>
      <c r="F971" s="47"/>
      <c r="G971" s="47"/>
      <c r="H971" s="48"/>
    </row>
    <row r="972">
      <c r="D972" s="47"/>
      <c r="F972" s="47"/>
      <c r="G972" s="47"/>
      <c r="H972" s="48"/>
    </row>
    <row r="973">
      <c r="D973" s="47"/>
      <c r="F973" s="47"/>
      <c r="G973" s="47"/>
      <c r="H973" s="48"/>
    </row>
    <row r="974">
      <c r="D974" s="47"/>
      <c r="F974" s="47"/>
      <c r="G974" s="47"/>
      <c r="H974" s="48"/>
    </row>
    <row r="975">
      <c r="D975" s="47"/>
      <c r="F975" s="47"/>
      <c r="G975" s="47"/>
      <c r="H975" s="48"/>
    </row>
    <row r="976">
      <c r="D976" s="47"/>
      <c r="F976" s="47"/>
      <c r="G976" s="47"/>
      <c r="H976" s="48"/>
    </row>
    <row r="977">
      <c r="D977" s="47"/>
      <c r="F977" s="47"/>
      <c r="G977" s="47"/>
      <c r="H977" s="48"/>
    </row>
    <row r="978">
      <c r="D978" s="47"/>
      <c r="F978" s="47"/>
      <c r="G978" s="47"/>
      <c r="H978" s="48"/>
    </row>
    <row r="979">
      <c r="D979" s="47"/>
      <c r="F979" s="47"/>
      <c r="G979" s="47"/>
      <c r="H979" s="48"/>
    </row>
    <row r="980">
      <c r="D980" s="47"/>
      <c r="F980" s="47"/>
      <c r="G980" s="47"/>
      <c r="H980" s="48"/>
    </row>
    <row r="981">
      <c r="D981" s="47"/>
      <c r="F981" s="47"/>
      <c r="G981" s="47"/>
      <c r="H981" s="48"/>
    </row>
    <row r="982">
      <c r="D982" s="47"/>
      <c r="F982" s="47"/>
      <c r="G982" s="47"/>
      <c r="H982" s="48"/>
    </row>
    <row r="983">
      <c r="D983" s="47"/>
      <c r="F983" s="47"/>
      <c r="G983" s="47"/>
      <c r="H983" s="48"/>
    </row>
    <row r="984">
      <c r="D984" s="47"/>
      <c r="F984" s="47"/>
      <c r="G984" s="47"/>
      <c r="H984" s="48"/>
    </row>
    <row r="985">
      <c r="D985" s="47"/>
      <c r="F985" s="47"/>
      <c r="G985" s="47"/>
      <c r="H985" s="48"/>
    </row>
    <row r="986">
      <c r="D986" s="47"/>
      <c r="F986" s="47"/>
      <c r="G986" s="47"/>
      <c r="H986" s="48"/>
    </row>
    <row r="987">
      <c r="D987" s="47"/>
      <c r="F987" s="47"/>
      <c r="G987" s="47"/>
      <c r="H987" s="48"/>
    </row>
    <row r="988">
      <c r="D988" s="47"/>
      <c r="F988" s="47"/>
      <c r="G988" s="47"/>
      <c r="H988" s="48"/>
    </row>
    <row r="989">
      <c r="D989" s="47"/>
      <c r="F989" s="47"/>
      <c r="G989" s="47"/>
      <c r="H989" s="48"/>
    </row>
    <row r="990">
      <c r="D990" s="47"/>
      <c r="F990" s="47"/>
      <c r="G990" s="47"/>
      <c r="H990" s="48"/>
    </row>
    <row r="991">
      <c r="D991" s="47"/>
      <c r="F991" s="47"/>
      <c r="G991" s="47"/>
      <c r="H991" s="48"/>
    </row>
    <row r="992">
      <c r="D992" s="47"/>
      <c r="F992" s="47"/>
      <c r="G992" s="47"/>
      <c r="H992" s="48"/>
    </row>
    <row r="993">
      <c r="D993" s="47"/>
      <c r="F993" s="47"/>
      <c r="G993" s="47"/>
      <c r="H993" s="48"/>
    </row>
    <row r="994">
      <c r="D994" s="47"/>
      <c r="F994" s="47"/>
      <c r="G994" s="47"/>
      <c r="H994" s="48"/>
    </row>
    <row r="995">
      <c r="D995" s="47"/>
      <c r="F995" s="47"/>
      <c r="G995" s="47"/>
      <c r="H995" s="48"/>
    </row>
    <row r="996">
      <c r="D996" s="47"/>
      <c r="F996" s="47"/>
      <c r="G996" s="47"/>
      <c r="H996" s="48"/>
    </row>
    <row r="997">
      <c r="D997" s="47"/>
      <c r="F997" s="47"/>
      <c r="G997" s="47"/>
      <c r="H997" s="48"/>
    </row>
    <row r="998">
      <c r="D998" s="47"/>
      <c r="F998" s="47"/>
      <c r="G998" s="47"/>
      <c r="H998" s="48"/>
    </row>
    <row r="999">
      <c r="D999" s="47"/>
      <c r="F999" s="47"/>
      <c r="G999" s="47"/>
      <c r="H999" s="48"/>
    </row>
    <row r="1000">
      <c r="D1000" s="47"/>
      <c r="F1000" s="47"/>
      <c r="G1000" s="47"/>
      <c r="H1000" s="48"/>
    </row>
    <row r="1001">
      <c r="D1001" s="47"/>
      <c r="F1001" s="47"/>
      <c r="G1001" s="47"/>
      <c r="H1001" s="48"/>
    </row>
    <row r="1002">
      <c r="D1002" s="47"/>
      <c r="F1002" s="47"/>
      <c r="G1002" s="47"/>
      <c r="H1002" s="48"/>
    </row>
    <row r="1003">
      <c r="D1003" s="47"/>
      <c r="F1003" s="47"/>
      <c r="G1003" s="47"/>
      <c r="H1003" s="48"/>
    </row>
    <row r="1004">
      <c r="D1004" s="47"/>
      <c r="F1004" s="47"/>
      <c r="G1004" s="47"/>
      <c r="H1004" s="48"/>
    </row>
    <row r="1005">
      <c r="D1005" s="47"/>
      <c r="F1005" s="47"/>
      <c r="G1005" s="47"/>
      <c r="H1005" s="48"/>
    </row>
    <row r="1006">
      <c r="D1006" s="47"/>
      <c r="F1006" s="47"/>
      <c r="G1006" s="47"/>
      <c r="H1006" s="48"/>
    </row>
    <row r="1007">
      <c r="D1007" s="47"/>
      <c r="F1007" s="47"/>
      <c r="G1007" s="47"/>
      <c r="H1007" s="48"/>
    </row>
    <row r="1008">
      <c r="D1008" s="47"/>
      <c r="F1008" s="47"/>
      <c r="G1008" s="47"/>
      <c r="H1008" s="48"/>
    </row>
    <row r="1009">
      <c r="D1009" s="47"/>
      <c r="F1009" s="47"/>
      <c r="G1009" s="47"/>
      <c r="H1009" s="48"/>
    </row>
    <row r="1010">
      <c r="D1010" s="47"/>
      <c r="F1010" s="47"/>
      <c r="G1010" s="47"/>
      <c r="H1010" s="48"/>
    </row>
    <row r="1011">
      <c r="D1011" s="47"/>
      <c r="F1011" s="47"/>
      <c r="G1011" s="47"/>
      <c r="H1011" s="48"/>
    </row>
    <row r="1012">
      <c r="D1012" s="47"/>
      <c r="F1012" s="47"/>
      <c r="G1012" s="47"/>
      <c r="H1012" s="48"/>
    </row>
    <row r="1013">
      <c r="D1013" s="47"/>
      <c r="F1013" s="47"/>
      <c r="G1013" s="47"/>
      <c r="H1013" s="48"/>
    </row>
    <row r="1014">
      <c r="D1014" s="47"/>
      <c r="F1014" s="47"/>
      <c r="G1014" s="47"/>
      <c r="H1014" s="48"/>
    </row>
    <row r="1015">
      <c r="D1015" s="47"/>
      <c r="F1015" s="47"/>
      <c r="G1015" s="47"/>
      <c r="H1015" s="48"/>
    </row>
    <row r="1016">
      <c r="D1016" s="47"/>
      <c r="F1016" s="47"/>
      <c r="G1016" s="47"/>
      <c r="H1016" s="48"/>
    </row>
    <row r="1017">
      <c r="D1017" s="47"/>
      <c r="F1017" s="47"/>
      <c r="G1017" s="47"/>
      <c r="H1017" s="48"/>
    </row>
    <row r="1018">
      <c r="D1018" s="47"/>
      <c r="F1018" s="47"/>
      <c r="G1018" s="47"/>
      <c r="H1018" s="48"/>
    </row>
    <row r="1019">
      <c r="D1019" s="47"/>
      <c r="F1019" s="47"/>
      <c r="G1019" s="47"/>
      <c r="H1019" s="48"/>
    </row>
    <row r="1020">
      <c r="D1020" s="47"/>
      <c r="F1020" s="47"/>
      <c r="G1020" s="47"/>
      <c r="H1020" s="48"/>
    </row>
    <row r="1021">
      <c r="D1021" s="47"/>
      <c r="F1021" s="47"/>
      <c r="G1021" s="47"/>
      <c r="H1021" s="48"/>
    </row>
    <row r="1022">
      <c r="D1022" s="47"/>
      <c r="F1022" s="47"/>
      <c r="G1022" s="47"/>
      <c r="H1022" s="48"/>
    </row>
    <row r="1023">
      <c r="D1023" s="47"/>
      <c r="F1023" s="47"/>
      <c r="G1023" s="47"/>
      <c r="H1023" s="48"/>
    </row>
    <row r="1024">
      <c r="D1024" s="47"/>
      <c r="F1024" s="47"/>
      <c r="G1024" s="47"/>
      <c r="H1024" s="48"/>
    </row>
    <row r="1025">
      <c r="D1025" s="47"/>
      <c r="F1025" s="47"/>
      <c r="G1025" s="47"/>
      <c r="H1025" s="48"/>
    </row>
    <row r="1026">
      <c r="D1026" s="47"/>
      <c r="F1026" s="47"/>
      <c r="G1026" s="47"/>
      <c r="H1026" s="48"/>
    </row>
    <row r="1027">
      <c r="D1027" s="47"/>
      <c r="F1027" s="47"/>
      <c r="G1027" s="47"/>
      <c r="H1027" s="48"/>
    </row>
    <row r="1028">
      <c r="D1028" s="47"/>
      <c r="F1028" s="47"/>
      <c r="G1028" s="47"/>
      <c r="H1028" s="48"/>
    </row>
    <row r="1029">
      <c r="D1029" s="47"/>
      <c r="F1029" s="47"/>
      <c r="G1029" s="47"/>
      <c r="H1029" s="48"/>
    </row>
    <row r="1030">
      <c r="D1030" s="47"/>
      <c r="F1030" s="47"/>
      <c r="G1030" s="47"/>
      <c r="H1030" s="48"/>
    </row>
    <row r="1031">
      <c r="D1031" s="47"/>
      <c r="F1031" s="47"/>
      <c r="G1031" s="47"/>
      <c r="H1031" s="48"/>
    </row>
    <row r="1032">
      <c r="D1032" s="47"/>
      <c r="F1032" s="47"/>
      <c r="G1032" s="47"/>
      <c r="H1032" s="48"/>
    </row>
    <row r="1033">
      <c r="D1033" s="47"/>
      <c r="F1033" s="47"/>
      <c r="G1033" s="47"/>
      <c r="H1033" s="48"/>
    </row>
    <row r="1034">
      <c r="D1034" s="47"/>
      <c r="F1034" s="47"/>
      <c r="G1034" s="47"/>
      <c r="H1034" s="48"/>
    </row>
    <row r="1035">
      <c r="D1035" s="47"/>
      <c r="F1035" s="47"/>
      <c r="G1035" s="47"/>
      <c r="H1035" s="48"/>
    </row>
    <row r="1036">
      <c r="D1036" s="47"/>
      <c r="F1036" s="47"/>
      <c r="G1036" s="47"/>
      <c r="H1036" s="48"/>
    </row>
    <row r="1037">
      <c r="D1037" s="47"/>
      <c r="F1037" s="47"/>
      <c r="G1037" s="47"/>
      <c r="H1037" s="48"/>
    </row>
    <row r="1038">
      <c r="D1038" s="47"/>
      <c r="F1038" s="47"/>
      <c r="G1038" s="47"/>
      <c r="H1038" s="48"/>
    </row>
    <row r="1039">
      <c r="D1039" s="47"/>
      <c r="F1039" s="47"/>
      <c r="G1039" s="47"/>
      <c r="H1039" s="48"/>
    </row>
    <row r="1040">
      <c r="D1040" s="47"/>
      <c r="F1040" s="47"/>
      <c r="G1040" s="47"/>
      <c r="H1040" s="48"/>
    </row>
    <row r="1041">
      <c r="D1041" s="47"/>
      <c r="F1041" s="47"/>
      <c r="G1041" s="47"/>
      <c r="H1041" s="48"/>
    </row>
    <row r="1042">
      <c r="D1042" s="47"/>
      <c r="F1042" s="47"/>
      <c r="G1042" s="47"/>
      <c r="H1042" s="48"/>
    </row>
    <row r="1043">
      <c r="D1043" s="47"/>
      <c r="F1043" s="47"/>
      <c r="G1043" s="47"/>
      <c r="H1043" s="48"/>
    </row>
    <row r="1044">
      <c r="D1044" s="47"/>
      <c r="F1044" s="47"/>
      <c r="G1044" s="47"/>
      <c r="H1044" s="48"/>
    </row>
    <row r="1045">
      <c r="D1045" s="47"/>
      <c r="F1045" s="47"/>
      <c r="G1045" s="47"/>
      <c r="H1045" s="48"/>
    </row>
    <row r="1046">
      <c r="D1046" s="47"/>
      <c r="F1046" s="47"/>
      <c r="G1046" s="47"/>
      <c r="H1046" s="48"/>
    </row>
    <row r="1047">
      <c r="D1047" s="47"/>
      <c r="F1047" s="47"/>
      <c r="G1047" s="47"/>
      <c r="H1047" s="48"/>
    </row>
    <row r="1048">
      <c r="D1048" s="47"/>
      <c r="F1048" s="47"/>
      <c r="G1048" s="47"/>
      <c r="H1048" s="48"/>
    </row>
    <row r="1049">
      <c r="D1049" s="47"/>
      <c r="F1049" s="47"/>
      <c r="G1049" s="47"/>
      <c r="H1049" s="48"/>
    </row>
    <row r="1050">
      <c r="D1050" s="47"/>
      <c r="F1050" s="47"/>
      <c r="G1050" s="47"/>
      <c r="H1050" s="48"/>
    </row>
    <row r="1051">
      <c r="D1051" s="47"/>
      <c r="F1051" s="47"/>
      <c r="G1051" s="47"/>
      <c r="H1051" s="48"/>
    </row>
    <row r="1052">
      <c r="D1052" s="47"/>
      <c r="F1052" s="47"/>
      <c r="G1052" s="47"/>
      <c r="H1052" s="48"/>
    </row>
    <row r="1053">
      <c r="D1053" s="47"/>
      <c r="F1053" s="47"/>
      <c r="G1053" s="47"/>
      <c r="H1053" s="48"/>
    </row>
    <row r="1054">
      <c r="D1054" s="47"/>
      <c r="F1054" s="47"/>
      <c r="G1054" s="47"/>
      <c r="H1054" s="48"/>
    </row>
    <row r="1055">
      <c r="D1055" s="47"/>
      <c r="F1055" s="47"/>
      <c r="G1055" s="47"/>
      <c r="H1055" s="48"/>
    </row>
    <row r="1056">
      <c r="D1056" s="47"/>
      <c r="F1056" s="47"/>
      <c r="G1056" s="47"/>
      <c r="H1056" s="48"/>
    </row>
    <row r="1057">
      <c r="D1057" s="47"/>
      <c r="F1057" s="47"/>
      <c r="G1057" s="47"/>
      <c r="H1057" s="48"/>
    </row>
    <row r="1058">
      <c r="D1058" s="47"/>
      <c r="F1058" s="47"/>
      <c r="G1058" s="47"/>
      <c r="H1058" s="48"/>
    </row>
    <row r="1059">
      <c r="D1059" s="47"/>
      <c r="F1059" s="47"/>
      <c r="G1059" s="47"/>
      <c r="H1059" s="48"/>
    </row>
    <row r="1060">
      <c r="D1060" s="47"/>
      <c r="F1060" s="47"/>
      <c r="G1060" s="47"/>
      <c r="H1060" s="48"/>
    </row>
    <row r="1061">
      <c r="D1061" s="47"/>
      <c r="F1061" s="47"/>
      <c r="G1061" s="47"/>
      <c r="H1061" s="48"/>
    </row>
    <row r="1062">
      <c r="D1062" s="47"/>
      <c r="F1062" s="47"/>
      <c r="G1062" s="47"/>
      <c r="H1062" s="48"/>
    </row>
    <row r="1063">
      <c r="D1063" s="47"/>
      <c r="F1063" s="47"/>
      <c r="G1063" s="47"/>
      <c r="H1063" s="48"/>
    </row>
    <row r="1064">
      <c r="D1064" s="47"/>
      <c r="F1064" s="47"/>
      <c r="G1064" s="47"/>
      <c r="H1064" s="48"/>
    </row>
    <row r="1065">
      <c r="D1065" s="47"/>
      <c r="F1065" s="47"/>
      <c r="G1065" s="47"/>
      <c r="H1065" s="48"/>
    </row>
    <row r="1066">
      <c r="D1066" s="47"/>
      <c r="F1066" s="47"/>
      <c r="G1066" s="47"/>
      <c r="H1066" s="48"/>
    </row>
    <row r="1067">
      <c r="D1067" s="47"/>
      <c r="F1067" s="47"/>
      <c r="G1067" s="47"/>
      <c r="H1067" s="48"/>
    </row>
    <row r="1068">
      <c r="D1068" s="47"/>
      <c r="F1068" s="47"/>
      <c r="G1068" s="47"/>
      <c r="H1068" s="48"/>
    </row>
    <row r="1069">
      <c r="D1069" s="47"/>
      <c r="F1069" s="47"/>
      <c r="G1069" s="47"/>
      <c r="H1069" s="48"/>
    </row>
    <row r="1070">
      <c r="D1070" s="47"/>
      <c r="F1070" s="47"/>
      <c r="G1070" s="47"/>
      <c r="H1070" s="48"/>
    </row>
    <row r="1071">
      <c r="D1071" s="47"/>
      <c r="F1071" s="47"/>
      <c r="G1071" s="47"/>
      <c r="H1071" s="48"/>
    </row>
    <row r="1072">
      <c r="D1072" s="47"/>
      <c r="F1072" s="47"/>
      <c r="G1072" s="47"/>
      <c r="H1072" s="48"/>
    </row>
    <row r="1073">
      <c r="D1073" s="47"/>
      <c r="F1073" s="47"/>
      <c r="G1073" s="47"/>
      <c r="H1073" s="48"/>
    </row>
    <row r="1074">
      <c r="D1074" s="47"/>
      <c r="F1074" s="47"/>
      <c r="G1074" s="47"/>
      <c r="H1074" s="48"/>
    </row>
    <row r="1075">
      <c r="D1075" s="47"/>
      <c r="F1075" s="47"/>
      <c r="G1075" s="47"/>
      <c r="H1075" s="48"/>
    </row>
    <row r="1076">
      <c r="D1076" s="47"/>
      <c r="F1076" s="47"/>
      <c r="G1076" s="47"/>
      <c r="H1076" s="48"/>
    </row>
    <row r="1077">
      <c r="D1077" s="47"/>
      <c r="F1077" s="47"/>
      <c r="G1077" s="47"/>
      <c r="H1077" s="48"/>
    </row>
    <row r="1078">
      <c r="D1078" s="47"/>
      <c r="F1078" s="47"/>
      <c r="G1078" s="47"/>
      <c r="H1078" s="48"/>
    </row>
    <row r="1079">
      <c r="D1079" s="47"/>
      <c r="F1079" s="47"/>
      <c r="G1079" s="47"/>
      <c r="H1079" s="48"/>
    </row>
    <row r="1080">
      <c r="D1080" s="47"/>
      <c r="F1080" s="47"/>
      <c r="G1080" s="47"/>
      <c r="H1080" s="48"/>
    </row>
    <row r="1081">
      <c r="D1081" s="47"/>
      <c r="F1081" s="47"/>
      <c r="G1081" s="47"/>
      <c r="H1081" s="48"/>
    </row>
    <row r="1082">
      <c r="D1082" s="47"/>
      <c r="F1082" s="47"/>
      <c r="G1082" s="47"/>
      <c r="H1082" s="48"/>
    </row>
    <row r="1083">
      <c r="D1083" s="47"/>
      <c r="F1083" s="47"/>
      <c r="G1083" s="47"/>
      <c r="H1083" s="48"/>
    </row>
    <row r="1084">
      <c r="D1084" s="47"/>
      <c r="F1084" s="47"/>
      <c r="G1084" s="47"/>
      <c r="H1084" s="48"/>
    </row>
    <row r="1085">
      <c r="D1085" s="47"/>
      <c r="F1085" s="47"/>
      <c r="G1085" s="47"/>
      <c r="H1085" s="48"/>
    </row>
    <row r="1086">
      <c r="D1086" s="47"/>
      <c r="F1086" s="47"/>
      <c r="G1086" s="47"/>
      <c r="H1086" s="48"/>
    </row>
    <row r="1087">
      <c r="D1087" s="47"/>
      <c r="F1087" s="47"/>
      <c r="G1087" s="47"/>
      <c r="H1087" s="48"/>
    </row>
    <row r="1088">
      <c r="D1088" s="47"/>
      <c r="F1088" s="47"/>
      <c r="G1088" s="47"/>
      <c r="H1088" s="48"/>
    </row>
    <row r="1089">
      <c r="D1089" s="47"/>
      <c r="F1089" s="47"/>
      <c r="G1089" s="47"/>
      <c r="H1089" s="48"/>
    </row>
    <row r="1090">
      <c r="D1090" s="47"/>
      <c r="F1090" s="47"/>
      <c r="G1090" s="47"/>
      <c r="H1090" s="48"/>
    </row>
    <row r="1091">
      <c r="D1091" s="47"/>
      <c r="F1091" s="47"/>
      <c r="G1091" s="47"/>
      <c r="H1091" s="48"/>
    </row>
    <row r="1092">
      <c r="D1092" s="47"/>
      <c r="F1092" s="47"/>
      <c r="G1092" s="47"/>
      <c r="H1092" s="48"/>
    </row>
    <row r="1093">
      <c r="D1093" s="47"/>
      <c r="F1093" s="47"/>
      <c r="G1093" s="47"/>
      <c r="H1093" s="48"/>
    </row>
    <row r="1094">
      <c r="D1094" s="47"/>
      <c r="F1094" s="47"/>
      <c r="G1094" s="47"/>
      <c r="H1094" s="48"/>
    </row>
    <row r="1095">
      <c r="D1095" s="47"/>
      <c r="F1095" s="47"/>
      <c r="G1095" s="47"/>
      <c r="H1095" s="48"/>
    </row>
    <row r="1096">
      <c r="D1096" s="47"/>
      <c r="F1096" s="47"/>
      <c r="G1096" s="47"/>
      <c r="H1096" s="48"/>
    </row>
    <row r="1097">
      <c r="D1097" s="47"/>
      <c r="F1097" s="47"/>
      <c r="G1097" s="47"/>
      <c r="H1097" s="48"/>
    </row>
    <row r="1098">
      <c r="D1098" s="47"/>
      <c r="F1098" s="47"/>
      <c r="G1098" s="47"/>
      <c r="H1098" s="48"/>
    </row>
    <row r="1099">
      <c r="D1099" s="47"/>
      <c r="F1099" s="47"/>
      <c r="G1099" s="47"/>
      <c r="H1099" s="48"/>
    </row>
    <row r="1100">
      <c r="D1100" s="47"/>
      <c r="F1100" s="47"/>
      <c r="G1100" s="47"/>
      <c r="H1100" s="48"/>
    </row>
    <row r="1101">
      <c r="D1101" s="47"/>
      <c r="F1101" s="47"/>
      <c r="G1101" s="47"/>
      <c r="H1101" s="48"/>
    </row>
    <row r="1102">
      <c r="D1102" s="47"/>
      <c r="F1102" s="47"/>
      <c r="G1102" s="47"/>
      <c r="H1102" s="48"/>
    </row>
    <row r="1103">
      <c r="D1103" s="47"/>
      <c r="F1103" s="47"/>
      <c r="G1103" s="47"/>
      <c r="H1103" s="48"/>
    </row>
    <row r="1104">
      <c r="D1104" s="47"/>
      <c r="F1104" s="47"/>
      <c r="G1104" s="47"/>
      <c r="H1104" s="48"/>
    </row>
    <row r="1105">
      <c r="D1105" s="47"/>
      <c r="F1105" s="47"/>
      <c r="G1105" s="47"/>
      <c r="H1105" s="48"/>
    </row>
    <row r="1106">
      <c r="D1106" s="47"/>
      <c r="F1106" s="47"/>
      <c r="G1106" s="47"/>
      <c r="H1106" s="48"/>
    </row>
    <row r="1107">
      <c r="D1107" s="47"/>
      <c r="F1107" s="47"/>
      <c r="G1107" s="47"/>
      <c r="H1107" s="48"/>
    </row>
    <row r="1108">
      <c r="D1108" s="47"/>
      <c r="F1108" s="47"/>
      <c r="G1108" s="47"/>
      <c r="H1108" s="48"/>
    </row>
    <row r="1109">
      <c r="D1109" s="47"/>
      <c r="F1109" s="47"/>
      <c r="G1109" s="47"/>
      <c r="H1109" s="48"/>
    </row>
    <row r="1110">
      <c r="D1110" s="47"/>
      <c r="F1110" s="47"/>
      <c r="G1110" s="47"/>
      <c r="H1110" s="48"/>
    </row>
    <row r="1111">
      <c r="D1111" s="47"/>
      <c r="F1111" s="47"/>
      <c r="G1111" s="47"/>
      <c r="H1111" s="48"/>
    </row>
    <row r="1112">
      <c r="D1112" s="47"/>
      <c r="F1112" s="47"/>
      <c r="G1112" s="47"/>
      <c r="H1112" s="48"/>
    </row>
    <row r="1113">
      <c r="D1113" s="47"/>
      <c r="F1113" s="47"/>
      <c r="G1113" s="47"/>
      <c r="H1113" s="48"/>
    </row>
    <row r="1114">
      <c r="D1114" s="47"/>
      <c r="F1114" s="47"/>
      <c r="G1114" s="47"/>
      <c r="H1114" s="48"/>
    </row>
    <row r="1115">
      <c r="D1115" s="47"/>
      <c r="F1115" s="47"/>
      <c r="G1115" s="47"/>
      <c r="H1115" s="48"/>
    </row>
    <row r="1116">
      <c r="D1116" s="47"/>
      <c r="F1116" s="47"/>
      <c r="G1116" s="47"/>
      <c r="H1116" s="48"/>
    </row>
    <row r="1117">
      <c r="D1117" s="47"/>
      <c r="F1117" s="47"/>
      <c r="G1117" s="47"/>
      <c r="H1117" s="48"/>
    </row>
    <row r="1118">
      <c r="D1118" s="47"/>
      <c r="F1118" s="47"/>
      <c r="G1118" s="47"/>
      <c r="H1118" s="48"/>
    </row>
    <row r="1119">
      <c r="D1119" s="47"/>
      <c r="F1119" s="47"/>
      <c r="G1119" s="47"/>
      <c r="H1119" s="48"/>
    </row>
    <row r="1120">
      <c r="D1120" s="47"/>
      <c r="F1120" s="47"/>
      <c r="G1120" s="47"/>
      <c r="H1120" s="48"/>
    </row>
    <row r="1121">
      <c r="D1121" s="47"/>
      <c r="F1121" s="47"/>
      <c r="G1121" s="47"/>
      <c r="H1121" s="48"/>
    </row>
    <row r="1122">
      <c r="D1122" s="47"/>
      <c r="F1122" s="47"/>
      <c r="G1122" s="47"/>
      <c r="H1122" s="48"/>
    </row>
    <row r="1123">
      <c r="D1123" s="47"/>
      <c r="F1123" s="47"/>
      <c r="G1123" s="47"/>
      <c r="H1123" s="48"/>
    </row>
    <row r="1124">
      <c r="D1124" s="47"/>
      <c r="F1124" s="47"/>
      <c r="G1124" s="47"/>
      <c r="H1124" s="48"/>
    </row>
    <row r="1125">
      <c r="D1125" s="47"/>
      <c r="F1125" s="47"/>
      <c r="G1125" s="47"/>
      <c r="H1125" s="48"/>
    </row>
    <row r="1126">
      <c r="D1126" s="47"/>
      <c r="F1126" s="47"/>
      <c r="G1126" s="47"/>
      <c r="H1126" s="48"/>
    </row>
    <row r="1127">
      <c r="D1127" s="47"/>
      <c r="F1127" s="47"/>
      <c r="G1127" s="47"/>
      <c r="H1127" s="48"/>
    </row>
    <row r="1128">
      <c r="D1128" s="47"/>
      <c r="F1128" s="47"/>
      <c r="G1128" s="47"/>
      <c r="H1128" s="48"/>
    </row>
    <row r="1129">
      <c r="D1129" s="47"/>
      <c r="F1129" s="47"/>
      <c r="G1129" s="47"/>
      <c r="H1129" s="48"/>
    </row>
    <row r="1130">
      <c r="D1130" s="47"/>
      <c r="F1130" s="47"/>
      <c r="G1130" s="47"/>
      <c r="H1130" s="48"/>
    </row>
    <row r="1131">
      <c r="D1131" s="47"/>
      <c r="F1131" s="47"/>
      <c r="G1131" s="47"/>
      <c r="H1131" s="48"/>
    </row>
    <row r="1132">
      <c r="D1132" s="47"/>
      <c r="F1132" s="47"/>
      <c r="G1132" s="47"/>
      <c r="H1132" s="48"/>
    </row>
    <row r="1133">
      <c r="D1133" s="47"/>
      <c r="F1133" s="47"/>
      <c r="G1133" s="47"/>
      <c r="H1133" s="48"/>
    </row>
    <row r="1134">
      <c r="D1134" s="47"/>
      <c r="F1134" s="47"/>
      <c r="G1134" s="47"/>
      <c r="H1134" s="48"/>
    </row>
    <row r="1135">
      <c r="D1135" s="47"/>
      <c r="F1135" s="47"/>
      <c r="G1135" s="47"/>
      <c r="H1135" s="48"/>
    </row>
    <row r="1136">
      <c r="D1136" s="47"/>
      <c r="F1136" s="47"/>
      <c r="G1136" s="47"/>
      <c r="H1136" s="48"/>
    </row>
    <row r="1137">
      <c r="D1137" s="47"/>
      <c r="F1137" s="47"/>
      <c r="G1137" s="47"/>
      <c r="H1137" s="48"/>
    </row>
    <row r="1138">
      <c r="D1138" s="47"/>
      <c r="F1138" s="47"/>
      <c r="G1138" s="47"/>
      <c r="H1138" s="48"/>
    </row>
    <row r="1139">
      <c r="D1139" s="47"/>
      <c r="F1139" s="47"/>
      <c r="G1139" s="47"/>
      <c r="H1139" s="48"/>
    </row>
    <row r="1140">
      <c r="D1140" s="47"/>
      <c r="F1140" s="47"/>
      <c r="G1140" s="47"/>
      <c r="H1140" s="48"/>
    </row>
    <row r="1141">
      <c r="D1141" s="47"/>
      <c r="F1141" s="47"/>
      <c r="G1141" s="47"/>
      <c r="H1141" s="48"/>
    </row>
    <row r="1142">
      <c r="D1142" s="47"/>
      <c r="F1142" s="47"/>
      <c r="G1142" s="47"/>
      <c r="H1142" s="48"/>
    </row>
    <row r="1143">
      <c r="D1143" s="47"/>
      <c r="F1143" s="47"/>
      <c r="G1143" s="47"/>
      <c r="H1143" s="48"/>
    </row>
    <row r="1144">
      <c r="D1144" s="47"/>
      <c r="F1144" s="47"/>
      <c r="G1144" s="47"/>
      <c r="H1144" s="48"/>
    </row>
    <row r="1145">
      <c r="D1145" s="47"/>
      <c r="F1145" s="47"/>
      <c r="G1145" s="47"/>
      <c r="H1145" s="48"/>
    </row>
    <row r="1146">
      <c r="D1146" s="47"/>
      <c r="F1146" s="47"/>
      <c r="G1146" s="47"/>
      <c r="H1146" s="48"/>
    </row>
    <row r="1147">
      <c r="D1147" s="47"/>
      <c r="F1147" s="47"/>
      <c r="G1147" s="47"/>
      <c r="H1147" s="48"/>
    </row>
    <row r="1148">
      <c r="D1148" s="47"/>
      <c r="F1148" s="47"/>
      <c r="G1148" s="47"/>
      <c r="H1148" s="48"/>
    </row>
    <row r="1149">
      <c r="D1149" s="47"/>
      <c r="F1149" s="47"/>
      <c r="G1149" s="47"/>
      <c r="H1149" s="48"/>
    </row>
    <row r="1150">
      <c r="D1150" s="47"/>
      <c r="F1150" s="47"/>
      <c r="G1150" s="47"/>
      <c r="H1150" s="48"/>
    </row>
    <row r="1151">
      <c r="D1151" s="47"/>
      <c r="F1151" s="47"/>
      <c r="G1151" s="47"/>
      <c r="H1151" s="48"/>
    </row>
    <row r="1152">
      <c r="D1152" s="47"/>
      <c r="F1152" s="47"/>
      <c r="G1152" s="47"/>
      <c r="H1152" s="48"/>
    </row>
    <row r="1153">
      <c r="D1153" s="47"/>
      <c r="F1153" s="47"/>
      <c r="G1153" s="47"/>
      <c r="H1153" s="48"/>
    </row>
    <row r="1154">
      <c r="D1154" s="47"/>
      <c r="F1154" s="47"/>
      <c r="G1154" s="47"/>
      <c r="H1154" s="48"/>
    </row>
    <row r="1155">
      <c r="D1155" s="47"/>
      <c r="F1155" s="47"/>
      <c r="G1155" s="47"/>
      <c r="H1155" s="48"/>
    </row>
    <row r="1156">
      <c r="D1156" s="47"/>
      <c r="F1156" s="47"/>
      <c r="G1156" s="47"/>
      <c r="H1156" s="48"/>
    </row>
    <row r="1157">
      <c r="D1157" s="47"/>
      <c r="F1157" s="47"/>
      <c r="G1157" s="47"/>
      <c r="H1157" s="48"/>
    </row>
    <row r="1158">
      <c r="D1158" s="47"/>
      <c r="F1158" s="47"/>
      <c r="G1158" s="47"/>
      <c r="H1158" s="48"/>
    </row>
    <row r="1159">
      <c r="D1159" s="47"/>
      <c r="F1159" s="47"/>
      <c r="G1159" s="47"/>
      <c r="H1159" s="48"/>
    </row>
    <row r="1160">
      <c r="D1160" s="47"/>
      <c r="F1160" s="47"/>
      <c r="G1160" s="47"/>
      <c r="H1160" s="48"/>
    </row>
    <row r="1161">
      <c r="D1161" s="47"/>
      <c r="F1161" s="47"/>
      <c r="G1161" s="47"/>
      <c r="H1161" s="48"/>
    </row>
    <row r="1162">
      <c r="D1162" s="47"/>
      <c r="F1162" s="47"/>
      <c r="G1162" s="47"/>
      <c r="H1162" s="48"/>
    </row>
    <row r="1163">
      <c r="D1163" s="47"/>
      <c r="F1163" s="47"/>
      <c r="G1163" s="47"/>
      <c r="H1163" s="48"/>
    </row>
    <row r="1164">
      <c r="D1164" s="47"/>
      <c r="F1164" s="47"/>
      <c r="G1164" s="47"/>
      <c r="H1164" s="48"/>
    </row>
    <row r="1165">
      <c r="D1165" s="47"/>
      <c r="F1165" s="47"/>
      <c r="G1165" s="47"/>
      <c r="H1165" s="48"/>
    </row>
    <row r="1166">
      <c r="D1166" s="47"/>
      <c r="F1166" s="47"/>
      <c r="G1166" s="47"/>
      <c r="H1166" s="48"/>
    </row>
    <row r="1167">
      <c r="D1167" s="47"/>
      <c r="F1167" s="47"/>
      <c r="G1167" s="47"/>
      <c r="H1167" s="48"/>
    </row>
    <row r="1168">
      <c r="D1168" s="47"/>
      <c r="F1168" s="47"/>
      <c r="G1168" s="47"/>
      <c r="H1168" s="48"/>
    </row>
    <row r="1169">
      <c r="D1169" s="47"/>
      <c r="F1169" s="47"/>
      <c r="G1169" s="47"/>
      <c r="H1169" s="48"/>
    </row>
    <row r="1170">
      <c r="D1170" s="47"/>
      <c r="F1170" s="47"/>
      <c r="G1170" s="47"/>
      <c r="H1170" s="48"/>
    </row>
    <row r="1171">
      <c r="D1171" s="47"/>
      <c r="F1171" s="47"/>
      <c r="G1171" s="47"/>
      <c r="H1171" s="48"/>
    </row>
    <row r="1172">
      <c r="D1172" s="47"/>
      <c r="F1172" s="47"/>
      <c r="G1172" s="47"/>
      <c r="H1172" s="48"/>
    </row>
    <row r="1173">
      <c r="D1173" s="47"/>
      <c r="F1173" s="47"/>
      <c r="G1173" s="47"/>
      <c r="H1173" s="48"/>
    </row>
    <row r="1174">
      <c r="D1174" s="47"/>
      <c r="F1174" s="47"/>
      <c r="G1174" s="47"/>
      <c r="H1174" s="48"/>
    </row>
    <row r="1175">
      <c r="D1175" s="47"/>
      <c r="F1175" s="47"/>
      <c r="G1175" s="47"/>
      <c r="H1175" s="48"/>
    </row>
    <row r="1176">
      <c r="D1176" s="47"/>
      <c r="F1176" s="47"/>
      <c r="G1176" s="47"/>
      <c r="H1176" s="48"/>
    </row>
    <row r="1177">
      <c r="D1177" s="47"/>
      <c r="F1177" s="47"/>
      <c r="G1177" s="47"/>
      <c r="H1177" s="48"/>
    </row>
    <row r="1178">
      <c r="D1178" s="47"/>
      <c r="F1178" s="47"/>
      <c r="G1178" s="47"/>
      <c r="H1178" s="48"/>
    </row>
    <row r="1179">
      <c r="D1179" s="47"/>
      <c r="F1179" s="47"/>
      <c r="G1179" s="47"/>
      <c r="H1179" s="48"/>
    </row>
    <row r="1180">
      <c r="D1180" s="47"/>
      <c r="F1180" s="47"/>
      <c r="G1180" s="47"/>
      <c r="H1180" s="48"/>
    </row>
    <row r="1181">
      <c r="D1181" s="47"/>
      <c r="F1181" s="47"/>
      <c r="G1181" s="47"/>
      <c r="H1181" s="48"/>
    </row>
    <row r="1182">
      <c r="D1182" s="47"/>
      <c r="F1182" s="47"/>
      <c r="G1182" s="47"/>
      <c r="H1182" s="48"/>
    </row>
    <row r="1183">
      <c r="D1183" s="47"/>
      <c r="F1183" s="47"/>
      <c r="G1183" s="47"/>
      <c r="H1183" s="48"/>
    </row>
    <row r="1184">
      <c r="D1184" s="47"/>
      <c r="F1184" s="47"/>
      <c r="G1184" s="47"/>
      <c r="H1184" s="48"/>
    </row>
    <row r="1185">
      <c r="D1185" s="47"/>
      <c r="F1185" s="47"/>
      <c r="G1185" s="47"/>
      <c r="H1185" s="48"/>
    </row>
    <row r="1186">
      <c r="D1186" s="47"/>
      <c r="F1186" s="47"/>
      <c r="G1186" s="47"/>
      <c r="H1186" s="48"/>
    </row>
    <row r="1187">
      <c r="D1187" s="47"/>
      <c r="F1187" s="47"/>
      <c r="G1187" s="47"/>
      <c r="H1187" s="48"/>
    </row>
    <row r="1188">
      <c r="D1188" s="47"/>
      <c r="F1188" s="47"/>
      <c r="G1188" s="47"/>
      <c r="H1188" s="48"/>
    </row>
    <row r="1189">
      <c r="D1189" s="47"/>
      <c r="F1189" s="47"/>
      <c r="G1189" s="47"/>
      <c r="H1189" s="48"/>
    </row>
    <row r="1190">
      <c r="D1190" s="47"/>
      <c r="F1190" s="47"/>
      <c r="G1190" s="47"/>
      <c r="H1190" s="48"/>
    </row>
    <row r="1191">
      <c r="D1191" s="47"/>
      <c r="F1191" s="47"/>
      <c r="G1191" s="47"/>
      <c r="H1191" s="48"/>
    </row>
    <row r="1192">
      <c r="D1192" s="47"/>
      <c r="F1192" s="47"/>
      <c r="G1192" s="47"/>
      <c r="H1192" s="48"/>
    </row>
    <row r="1193">
      <c r="D1193" s="47"/>
      <c r="F1193" s="47"/>
      <c r="G1193" s="47"/>
      <c r="H1193" s="48"/>
    </row>
    <row r="1194">
      <c r="D1194" s="47"/>
      <c r="F1194" s="47"/>
      <c r="G1194" s="47"/>
      <c r="H1194" s="48"/>
    </row>
    <row r="1195">
      <c r="D1195" s="47"/>
      <c r="F1195" s="47"/>
      <c r="G1195" s="47"/>
      <c r="H1195" s="48"/>
    </row>
    <row r="1196">
      <c r="D1196" s="47"/>
      <c r="F1196" s="47"/>
      <c r="G1196" s="47"/>
      <c r="H1196" s="48"/>
    </row>
    <row r="1197">
      <c r="D1197" s="47"/>
      <c r="F1197" s="47"/>
      <c r="G1197" s="47"/>
      <c r="H1197" s="48"/>
    </row>
    <row r="1198">
      <c r="D1198" s="47"/>
      <c r="F1198" s="47"/>
      <c r="G1198" s="47"/>
      <c r="H1198" s="48"/>
    </row>
    <row r="1199">
      <c r="D1199" s="47"/>
      <c r="F1199" s="47"/>
      <c r="G1199" s="47"/>
      <c r="H1199" s="48"/>
    </row>
    <row r="1200">
      <c r="D1200" s="47"/>
      <c r="F1200" s="47"/>
      <c r="G1200" s="47"/>
      <c r="H1200" s="48"/>
    </row>
    <row r="1201">
      <c r="D1201" s="47"/>
      <c r="F1201" s="47"/>
      <c r="G1201" s="47"/>
      <c r="H1201" s="48"/>
    </row>
    <row r="1202">
      <c r="D1202" s="47"/>
      <c r="F1202" s="47"/>
      <c r="G1202" s="47"/>
      <c r="H1202" s="48"/>
    </row>
    <row r="1203">
      <c r="D1203" s="47"/>
      <c r="F1203" s="47"/>
      <c r="G1203" s="47"/>
      <c r="H1203" s="48"/>
    </row>
    <row r="1204">
      <c r="D1204" s="47"/>
      <c r="F1204" s="47"/>
      <c r="G1204" s="47"/>
      <c r="H1204" s="48"/>
    </row>
    <row r="1205">
      <c r="D1205" s="47"/>
      <c r="F1205" s="47"/>
      <c r="G1205" s="47"/>
      <c r="H1205" s="48"/>
    </row>
    <row r="1206">
      <c r="D1206" s="47"/>
      <c r="F1206" s="47"/>
      <c r="G1206" s="47"/>
      <c r="H1206" s="48"/>
    </row>
    <row r="1207">
      <c r="D1207" s="47"/>
      <c r="F1207" s="47"/>
      <c r="G1207" s="47"/>
      <c r="H1207" s="48"/>
    </row>
    <row r="1208">
      <c r="D1208" s="47"/>
      <c r="F1208" s="47"/>
      <c r="G1208" s="47"/>
      <c r="H1208" s="48"/>
    </row>
    <row r="1209">
      <c r="D1209" s="47"/>
      <c r="F1209" s="47"/>
      <c r="G1209" s="47"/>
      <c r="H1209" s="48"/>
    </row>
    <row r="1210">
      <c r="D1210" s="47"/>
      <c r="F1210" s="47"/>
      <c r="G1210" s="47"/>
      <c r="H1210" s="48"/>
    </row>
    <row r="1211">
      <c r="D1211" s="47"/>
      <c r="F1211" s="47"/>
      <c r="G1211" s="47"/>
      <c r="H1211" s="48"/>
    </row>
    <row r="1212">
      <c r="D1212" s="47"/>
      <c r="F1212" s="47"/>
      <c r="G1212" s="47"/>
      <c r="H1212" s="48"/>
    </row>
    <row r="1213">
      <c r="D1213" s="47"/>
      <c r="F1213" s="47"/>
      <c r="G1213" s="47"/>
      <c r="H1213" s="48"/>
    </row>
    <row r="1214">
      <c r="D1214" s="47"/>
      <c r="F1214" s="47"/>
      <c r="G1214" s="47"/>
      <c r="H1214" s="48"/>
    </row>
    <row r="1215">
      <c r="D1215" s="47"/>
      <c r="F1215" s="47"/>
      <c r="G1215" s="47"/>
      <c r="H1215" s="48"/>
    </row>
    <row r="1216">
      <c r="D1216" s="47"/>
      <c r="F1216" s="47"/>
      <c r="G1216" s="47"/>
      <c r="H1216" s="48"/>
    </row>
    <row r="1217">
      <c r="D1217" s="47"/>
      <c r="F1217" s="47"/>
      <c r="G1217" s="47"/>
      <c r="H1217" s="48"/>
    </row>
    <row r="1218">
      <c r="D1218" s="47"/>
      <c r="F1218" s="47"/>
      <c r="G1218" s="47"/>
      <c r="H1218" s="48"/>
    </row>
    <row r="1219">
      <c r="D1219" s="47"/>
      <c r="F1219" s="47"/>
      <c r="G1219" s="47"/>
      <c r="H1219" s="48"/>
    </row>
    <row r="1220">
      <c r="D1220" s="47"/>
      <c r="F1220" s="47"/>
      <c r="G1220" s="47"/>
      <c r="H1220" s="48"/>
    </row>
    <row r="1221">
      <c r="D1221" s="47"/>
      <c r="F1221" s="47"/>
      <c r="G1221" s="47"/>
      <c r="H1221" s="48"/>
    </row>
    <row r="1222">
      <c r="D1222" s="47"/>
      <c r="F1222" s="47"/>
      <c r="G1222" s="47"/>
      <c r="H1222" s="48"/>
    </row>
    <row r="1223">
      <c r="D1223" s="47"/>
      <c r="F1223" s="47"/>
      <c r="G1223" s="47"/>
      <c r="H1223" s="48"/>
    </row>
    <row r="1224">
      <c r="D1224" s="47"/>
      <c r="F1224" s="47"/>
      <c r="G1224" s="47"/>
      <c r="H1224" s="48"/>
    </row>
    <row r="1225">
      <c r="D1225" s="47"/>
      <c r="F1225" s="47"/>
      <c r="G1225" s="47"/>
      <c r="H1225" s="48"/>
    </row>
    <row r="1226">
      <c r="D1226" s="47"/>
      <c r="F1226" s="47"/>
      <c r="G1226" s="47"/>
      <c r="H1226" s="48"/>
    </row>
    <row r="1227">
      <c r="D1227" s="47"/>
      <c r="F1227" s="47"/>
      <c r="G1227" s="47"/>
      <c r="H1227" s="48"/>
    </row>
    <row r="1228">
      <c r="D1228" s="47"/>
      <c r="F1228" s="47"/>
      <c r="G1228" s="47"/>
      <c r="H1228" s="48"/>
    </row>
    <row r="1229">
      <c r="D1229" s="47"/>
      <c r="F1229" s="47"/>
      <c r="G1229" s="47"/>
      <c r="H1229" s="48"/>
    </row>
    <row r="1230">
      <c r="D1230" s="47"/>
      <c r="F1230" s="47"/>
      <c r="G1230" s="47"/>
      <c r="H1230" s="48"/>
    </row>
    <row r="1231">
      <c r="D1231" s="47"/>
      <c r="F1231" s="47"/>
      <c r="G1231" s="47"/>
      <c r="H1231" s="48"/>
    </row>
    <row r="1232">
      <c r="D1232" s="47"/>
      <c r="F1232" s="47"/>
      <c r="G1232" s="47"/>
      <c r="H1232" s="48"/>
    </row>
    <row r="1233">
      <c r="D1233" s="47"/>
      <c r="F1233" s="47"/>
      <c r="G1233" s="47"/>
      <c r="H1233" s="48"/>
    </row>
    <row r="1234">
      <c r="D1234" s="47"/>
      <c r="F1234" s="47"/>
      <c r="G1234" s="47"/>
      <c r="H1234" s="48"/>
    </row>
    <row r="1235">
      <c r="D1235" s="47"/>
      <c r="F1235" s="47"/>
      <c r="G1235" s="47"/>
      <c r="H1235" s="48"/>
    </row>
    <row r="1236">
      <c r="D1236" s="47"/>
      <c r="F1236" s="47"/>
      <c r="G1236" s="47"/>
      <c r="H1236" s="48"/>
    </row>
    <row r="1237">
      <c r="D1237" s="47"/>
      <c r="F1237" s="47"/>
      <c r="G1237" s="47"/>
      <c r="H1237" s="48"/>
    </row>
    <row r="1238">
      <c r="D1238" s="47"/>
      <c r="F1238" s="47"/>
      <c r="G1238" s="47"/>
      <c r="H1238" s="48"/>
    </row>
    <row r="1239">
      <c r="D1239" s="47"/>
      <c r="F1239" s="47"/>
      <c r="G1239" s="47"/>
      <c r="H1239" s="48"/>
    </row>
    <row r="1240">
      <c r="D1240" s="47"/>
      <c r="F1240" s="47"/>
      <c r="G1240" s="47"/>
      <c r="H1240" s="48"/>
    </row>
    <row r="1241">
      <c r="D1241" s="47"/>
      <c r="F1241" s="47"/>
      <c r="G1241" s="47"/>
      <c r="H1241" s="48"/>
    </row>
    <row r="1242">
      <c r="D1242" s="47"/>
      <c r="F1242" s="47"/>
      <c r="G1242" s="47"/>
      <c r="H1242" s="48"/>
    </row>
    <row r="1243">
      <c r="D1243" s="47"/>
      <c r="F1243" s="47"/>
      <c r="G1243" s="47"/>
      <c r="H1243" s="48"/>
    </row>
    <row r="1244">
      <c r="D1244" s="47"/>
      <c r="F1244" s="47"/>
      <c r="G1244" s="47"/>
      <c r="H1244" s="48"/>
    </row>
    <row r="1245">
      <c r="D1245" s="47"/>
      <c r="F1245" s="47"/>
      <c r="G1245" s="47"/>
      <c r="H1245" s="48"/>
    </row>
    <row r="1246">
      <c r="D1246" s="47"/>
      <c r="F1246" s="47"/>
      <c r="G1246" s="47"/>
      <c r="H1246" s="48"/>
    </row>
    <row r="1247">
      <c r="D1247" s="47"/>
      <c r="F1247" s="47"/>
      <c r="G1247" s="47"/>
      <c r="H1247" s="48"/>
    </row>
    <row r="1248">
      <c r="D1248" s="47"/>
      <c r="F1248" s="47"/>
      <c r="G1248" s="47"/>
      <c r="H1248" s="48"/>
    </row>
    <row r="1249">
      <c r="D1249" s="47"/>
      <c r="F1249" s="47"/>
      <c r="G1249" s="47"/>
      <c r="H1249" s="48"/>
    </row>
    <row r="1250">
      <c r="D1250" s="47"/>
      <c r="F1250" s="47"/>
      <c r="G1250" s="47"/>
      <c r="H1250" s="48"/>
    </row>
    <row r="1251">
      <c r="D1251" s="47"/>
      <c r="F1251" s="47"/>
      <c r="G1251" s="47"/>
      <c r="H1251" s="48"/>
    </row>
    <row r="1252">
      <c r="D1252" s="47"/>
      <c r="F1252" s="47"/>
      <c r="G1252" s="47"/>
      <c r="H1252" s="48"/>
    </row>
    <row r="1253">
      <c r="D1253" s="47"/>
      <c r="F1253" s="47"/>
      <c r="G1253" s="47"/>
      <c r="H1253" s="48"/>
    </row>
    <row r="1254">
      <c r="D1254" s="47"/>
      <c r="F1254" s="47"/>
      <c r="G1254" s="47"/>
      <c r="H1254" s="48"/>
    </row>
    <row r="1255">
      <c r="D1255" s="47"/>
      <c r="F1255" s="47"/>
      <c r="G1255" s="47"/>
      <c r="H1255" s="48"/>
    </row>
    <row r="1256">
      <c r="D1256" s="47"/>
      <c r="F1256" s="47"/>
      <c r="G1256" s="47"/>
      <c r="H1256" s="48"/>
    </row>
    <row r="1257">
      <c r="D1257" s="47"/>
      <c r="F1257" s="47"/>
      <c r="G1257" s="47"/>
      <c r="H1257" s="48"/>
    </row>
    <row r="1258">
      <c r="D1258" s="47"/>
      <c r="F1258" s="47"/>
      <c r="G1258" s="47"/>
      <c r="H1258" s="48"/>
    </row>
    <row r="1259">
      <c r="D1259" s="47"/>
      <c r="F1259" s="47"/>
      <c r="G1259" s="47"/>
      <c r="H1259" s="48"/>
    </row>
    <row r="1260">
      <c r="D1260" s="47"/>
      <c r="F1260" s="47"/>
      <c r="G1260" s="47"/>
      <c r="H1260" s="48"/>
    </row>
    <row r="1261">
      <c r="D1261" s="47"/>
      <c r="F1261" s="47"/>
      <c r="G1261" s="47"/>
      <c r="H1261" s="48"/>
    </row>
    <row r="1262">
      <c r="D1262" s="47"/>
      <c r="F1262" s="47"/>
      <c r="G1262" s="47"/>
      <c r="H1262" s="48"/>
    </row>
    <row r="1263">
      <c r="D1263" s="47"/>
      <c r="F1263" s="47"/>
      <c r="G1263" s="47"/>
      <c r="H1263" s="48"/>
    </row>
    <row r="1264">
      <c r="D1264" s="47"/>
      <c r="F1264" s="47"/>
      <c r="G1264" s="47"/>
      <c r="H1264" s="48"/>
    </row>
    <row r="1265">
      <c r="D1265" s="47"/>
      <c r="F1265" s="47"/>
      <c r="G1265" s="47"/>
      <c r="H1265" s="48"/>
    </row>
    <row r="1266">
      <c r="D1266" s="47"/>
      <c r="F1266" s="47"/>
      <c r="G1266" s="47"/>
      <c r="H1266" s="48"/>
    </row>
    <row r="1267">
      <c r="D1267" s="47"/>
      <c r="F1267" s="47"/>
      <c r="G1267" s="47"/>
      <c r="H1267" s="48"/>
    </row>
    <row r="1268">
      <c r="D1268" s="47"/>
      <c r="F1268" s="47"/>
      <c r="G1268" s="47"/>
      <c r="H1268" s="48"/>
    </row>
    <row r="1269">
      <c r="D1269" s="47"/>
      <c r="F1269" s="47"/>
      <c r="G1269" s="47"/>
      <c r="H1269" s="48"/>
    </row>
    <row r="1270">
      <c r="D1270" s="47"/>
      <c r="F1270" s="47"/>
      <c r="G1270" s="47"/>
      <c r="H1270" s="48"/>
    </row>
    <row r="1271">
      <c r="D1271" s="47"/>
      <c r="F1271" s="47"/>
      <c r="G1271" s="47"/>
      <c r="H1271" s="48"/>
    </row>
    <row r="1272">
      <c r="D1272" s="47"/>
      <c r="F1272" s="47"/>
      <c r="G1272" s="47"/>
      <c r="H1272" s="48"/>
    </row>
    <row r="1273">
      <c r="D1273" s="47"/>
      <c r="F1273" s="47"/>
      <c r="G1273" s="47"/>
      <c r="H1273" s="48"/>
    </row>
    <row r="1274">
      <c r="D1274" s="47"/>
      <c r="F1274" s="47"/>
      <c r="G1274" s="47"/>
      <c r="H1274" s="48"/>
    </row>
    <row r="1275">
      <c r="D1275" s="47"/>
      <c r="F1275" s="47"/>
      <c r="G1275" s="47"/>
      <c r="H1275" s="48"/>
    </row>
    <row r="1276">
      <c r="D1276" s="47"/>
      <c r="F1276" s="47"/>
      <c r="G1276" s="47"/>
      <c r="H1276" s="48"/>
    </row>
    <row r="1277">
      <c r="D1277" s="47"/>
      <c r="F1277" s="47"/>
      <c r="G1277" s="47"/>
      <c r="H1277" s="48"/>
    </row>
    <row r="1278">
      <c r="D1278" s="47"/>
      <c r="F1278" s="47"/>
      <c r="G1278" s="47"/>
      <c r="H1278" s="48"/>
    </row>
    <row r="1279">
      <c r="D1279" s="47"/>
      <c r="F1279" s="47"/>
      <c r="G1279" s="47"/>
      <c r="H1279" s="48"/>
    </row>
    <row r="1280">
      <c r="D1280" s="47"/>
      <c r="F1280" s="47"/>
      <c r="G1280" s="47"/>
      <c r="H1280" s="48"/>
    </row>
    <row r="1281">
      <c r="D1281" s="47"/>
      <c r="F1281" s="47"/>
      <c r="G1281" s="47"/>
      <c r="H1281" s="48"/>
    </row>
    <row r="1282">
      <c r="D1282" s="47"/>
      <c r="F1282" s="47"/>
      <c r="G1282" s="47"/>
      <c r="H1282" s="48"/>
    </row>
    <row r="1283">
      <c r="D1283" s="47"/>
      <c r="F1283" s="47"/>
      <c r="G1283" s="47"/>
      <c r="H1283" s="48"/>
    </row>
    <row r="1284">
      <c r="D1284" s="47"/>
      <c r="F1284" s="47"/>
      <c r="G1284" s="47"/>
      <c r="H1284" s="48"/>
    </row>
    <row r="1285">
      <c r="D1285" s="47"/>
      <c r="F1285" s="47"/>
      <c r="G1285" s="47"/>
      <c r="H1285" s="48"/>
    </row>
    <row r="1286">
      <c r="D1286" s="47"/>
      <c r="F1286" s="47"/>
      <c r="G1286" s="47"/>
      <c r="H1286" s="48"/>
    </row>
    <row r="1287">
      <c r="D1287" s="47"/>
      <c r="F1287" s="47"/>
      <c r="G1287" s="47"/>
      <c r="H1287" s="48"/>
    </row>
    <row r="1288">
      <c r="D1288" s="47"/>
      <c r="F1288" s="47"/>
      <c r="G1288" s="47"/>
      <c r="H1288" s="48"/>
    </row>
    <row r="1289">
      <c r="D1289" s="47"/>
      <c r="F1289" s="47"/>
      <c r="G1289" s="47"/>
      <c r="H1289" s="48"/>
    </row>
    <row r="1290">
      <c r="D1290" s="47"/>
      <c r="F1290" s="47"/>
      <c r="G1290" s="47"/>
      <c r="H1290" s="48"/>
    </row>
    <row r="1291">
      <c r="D1291" s="47"/>
      <c r="F1291" s="47"/>
      <c r="G1291" s="47"/>
      <c r="H1291" s="48"/>
    </row>
    <row r="1292">
      <c r="D1292" s="47"/>
      <c r="F1292" s="47"/>
      <c r="G1292" s="47"/>
      <c r="H1292" s="48"/>
    </row>
    <row r="1293">
      <c r="D1293" s="47"/>
      <c r="F1293" s="47"/>
      <c r="G1293" s="47"/>
      <c r="H1293" s="48"/>
    </row>
    <row r="1294">
      <c r="D1294" s="47"/>
      <c r="F1294" s="47"/>
      <c r="G1294" s="47"/>
      <c r="H1294" s="48"/>
    </row>
    <row r="1295">
      <c r="D1295" s="47"/>
      <c r="F1295" s="47"/>
      <c r="G1295" s="47"/>
      <c r="H1295" s="48"/>
    </row>
    <row r="1296">
      <c r="D1296" s="47"/>
      <c r="F1296" s="47"/>
      <c r="G1296" s="47"/>
      <c r="H1296" s="48"/>
    </row>
    <row r="1297">
      <c r="D1297" s="47"/>
      <c r="F1297" s="47"/>
      <c r="G1297" s="47"/>
      <c r="H1297" s="48"/>
    </row>
    <row r="1298">
      <c r="D1298" s="47"/>
      <c r="F1298" s="47"/>
      <c r="G1298" s="47"/>
      <c r="H1298" s="48"/>
    </row>
    <row r="1299">
      <c r="D1299" s="47"/>
      <c r="F1299" s="47"/>
      <c r="G1299" s="47"/>
      <c r="H1299" s="48"/>
    </row>
    <row r="1300">
      <c r="D1300" s="47"/>
      <c r="F1300" s="47"/>
      <c r="G1300" s="47"/>
      <c r="H1300" s="48"/>
    </row>
    <row r="1301">
      <c r="D1301" s="47"/>
      <c r="F1301" s="47"/>
      <c r="G1301" s="47"/>
      <c r="H1301" s="48"/>
    </row>
    <row r="1302">
      <c r="D1302" s="47"/>
      <c r="F1302" s="47"/>
      <c r="G1302" s="47"/>
      <c r="H1302" s="48"/>
    </row>
    <row r="1303">
      <c r="D1303" s="47"/>
      <c r="F1303" s="47"/>
      <c r="G1303" s="47"/>
      <c r="H1303" s="48"/>
    </row>
    <row r="1304">
      <c r="D1304" s="47"/>
      <c r="F1304" s="47"/>
      <c r="G1304" s="47"/>
      <c r="H1304" s="48"/>
    </row>
    <row r="1305">
      <c r="D1305" s="47"/>
      <c r="F1305" s="47"/>
      <c r="G1305" s="47"/>
      <c r="H1305" s="48"/>
    </row>
    <row r="1306">
      <c r="D1306" s="47"/>
      <c r="F1306" s="47"/>
      <c r="G1306" s="47"/>
      <c r="H1306" s="48"/>
    </row>
    <row r="1307">
      <c r="D1307" s="47"/>
      <c r="F1307" s="47"/>
      <c r="G1307" s="47"/>
      <c r="H1307" s="48"/>
    </row>
    <row r="1308">
      <c r="D1308" s="47"/>
      <c r="F1308" s="47"/>
      <c r="G1308" s="47"/>
      <c r="H1308" s="48"/>
    </row>
    <row r="1309">
      <c r="D1309" s="47"/>
      <c r="F1309" s="47"/>
      <c r="G1309" s="47"/>
      <c r="H1309" s="48"/>
    </row>
    <row r="1310">
      <c r="D1310" s="47"/>
      <c r="F1310" s="47"/>
      <c r="G1310" s="47"/>
      <c r="H1310" s="48"/>
    </row>
    <row r="1311">
      <c r="D1311" s="47"/>
      <c r="F1311" s="47"/>
      <c r="G1311" s="47"/>
      <c r="H1311" s="48"/>
    </row>
    <row r="1312">
      <c r="D1312" s="47"/>
      <c r="F1312" s="47"/>
      <c r="G1312" s="47"/>
      <c r="H1312" s="48"/>
    </row>
    <row r="1313">
      <c r="D1313" s="47"/>
      <c r="F1313" s="47"/>
      <c r="G1313" s="47"/>
      <c r="H1313" s="48"/>
    </row>
    <row r="1314">
      <c r="D1314" s="47"/>
      <c r="F1314" s="47"/>
      <c r="G1314" s="47"/>
      <c r="H1314" s="48"/>
    </row>
    <row r="1315">
      <c r="D1315" s="47"/>
      <c r="F1315" s="47"/>
      <c r="G1315" s="47"/>
      <c r="H1315" s="48"/>
    </row>
    <row r="1316">
      <c r="D1316" s="47"/>
      <c r="F1316" s="47"/>
      <c r="G1316" s="47"/>
      <c r="H1316" s="48"/>
    </row>
    <row r="1317">
      <c r="D1317" s="47"/>
      <c r="F1317" s="47"/>
      <c r="G1317" s="47"/>
      <c r="H1317" s="48"/>
    </row>
    <row r="1318">
      <c r="D1318" s="47"/>
      <c r="F1318" s="47"/>
      <c r="G1318" s="47"/>
      <c r="H1318" s="48"/>
    </row>
    <row r="1319">
      <c r="D1319" s="47"/>
      <c r="F1319" s="47"/>
      <c r="G1319" s="47"/>
      <c r="H1319" s="48"/>
    </row>
    <row r="1320">
      <c r="D1320" s="47"/>
      <c r="F1320" s="47"/>
      <c r="G1320" s="47"/>
      <c r="H1320" s="48"/>
    </row>
    <row r="1321">
      <c r="D1321" s="47"/>
      <c r="F1321" s="47"/>
      <c r="G1321" s="47"/>
      <c r="H1321" s="48"/>
    </row>
    <row r="1322">
      <c r="D1322" s="47"/>
      <c r="F1322" s="47"/>
      <c r="G1322" s="47"/>
      <c r="H1322" s="48"/>
    </row>
    <row r="1323">
      <c r="D1323" s="47"/>
      <c r="F1323" s="47"/>
      <c r="G1323" s="47"/>
      <c r="H1323" s="48"/>
    </row>
    <row r="1324">
      <c r="D1324" s="47"/>
      <c r="F1324" s="47"/>
      <c r="G1324" s="47"/>
      <c r="H1324" s="48"/>
    </row>
    <row r="1325">
      <c r="D1325" s="47"/>
      <c r="F1325" s="47"/>
      <c r="G1325" s="47"/>
      <c r="H1325" s="48"/>
    </row>
    <row r="1326">
      <c r="D1326" s="47"/>
      <c r="F1326" s="47"/>
      <c r="G1326" s="47"/>
      <c r="H1326" s="48"/>
    </row>
    <row r="1327">
      <c r="D1327" s="47"/>
      <c r="F1327" s="47"/>
      <c r="G1327" s="47"/>
      <c r="H1327" s="48"/>
    </row>
    <row r="1328">
      <c r="D1328" s="47"/>
      <c r="F1328" s="47"/>
      <c r="G1328" s="47"/>
      <c r="H1328" s="48"/>
    </row>
    <row r="1329">
      <c r="D1329" s="47"/>
      <c r="F1329" s="47"/>
      <c r="G1329" s="47"/>
      <c r="H1329" s="48"/>
    </row>
    <row r="1330">
      <c r="D1330" s="47"/>
      <c r="F1330" s="47"/>
      <c r="G1330" s="47"/>
      <c r="H1330" s="48"/>
    </row>
    <row r="1331">
      <c r="D1331" s="47"/>
      <c r="F1331" s="47"/>
      <c r="G1331" s="47"/>
      <c r="H1331" s="48"/>
    </row>
    <row r="1332">
      <c r="D1332" s="47"/>
      <c r="F1332" s="47"/>
      <c r="G1332" s="47"/>
      <c r="H1332" s="48"/>
    </row>
    <row r="1333">
      <c r="D1333" s="47"/>
      <c r="F1333" s="47"/>
      <c r="G1333" s="47"/>
      <c r="H1333" s="48"/>
    </row>
    <row r="1334">
      <c r="D1334" s="47"/>
      <c r="F1334" s="47"/>
      <c r="G1334" s="47"/>
      <c r="H1334" s="48"/>
    </row>
    <row r="1335">
      <c r="D1335" s="47"/>
      <c r="F1335" s="47"/>
      <c r="G1335" s="47"/>
      <c r="H1335" s="48"/>
    </row>
    <row r="1336">
      <c r="D1336" s="47"/>
      <c r="F1336" s="47"/>
      <c r="G1336" s="47"/>
      <c r="H1336" s="48"/>
    </row>
    <row r="1337">
      <c r="D1337" s="47"/>
      <c r="F1337" s="47"/>
      <c r="G1337" s="47"/>
      <c r="H1337" s="48"/>
    </row>
    <row r="1338">
      <c r="D1338" s="47"/>
      <c r="F1338" s="47"/>
      <c r="G1338" s="47"/>
      <c r="H1338" s="48"/>
    </row>
    <row r="1339">
      <c r="D1339" s="47"/>
      <c r="F1339" s="47"/>
      <c r="G1339" s="47"/>
      <c r="H1339" s="48"/>
    </row>
    <row r="1340">
      <c r="D1340" s="47"/>
      <c r="F1340" s="47"/>
      <c r="G1340" s="47"/>
      <c r="H1340" s="48"/>
    </row>
    <row r="1341">
      <c r="D1341" s="47"/>
      <c r="F1341" s="47"/>
      <c r="G1341" s="47"/>
      <c r="H1341" s="48"/>
    </row>
    <row r="1342">
      <c r="D1342" s="47"/>
      <c r="F1342" s="47"/>
      <c r="G1342" s="47"/>
      <c r="H1342" s="48"/>
    </row>
    <row r="1343">
      <c r="D1343" s="47"/>
      <c r="F1343" s="47"/>
      <c r="G1343" s="47"/>
      <c r="H1343" s="48"/>
    </row>
    <row r="1344">
      <c r="D1344" s="47"/>
      <c r="F1344" s="47"/>
      <c r="G1344" s="47"/>
      <c r="H1344" s="48"/>
    </row>
    <row r="1345">
      <c r="D1345" s="47"/>
      <c r="F1345" s="47"/>
      <c r="G1345" s="47"/>
      <c r="H1345" s="48"/>
    </row>
    <row r="1346">
      <c r="D1346" s="47"/>
      <c r="F1346" s="47"/>
      <c r="G1346" s="47"/>
      <c r="H1346" s="48"/>
    </row>
    <row r="1347">
      <c r="D1347" s="47"/>
      <c r="F1347" s="47"/>
      <c r="G1347" s="47"/>
      <c r="H1347" s="48"/>
    </row>
    <row r="1348">
      <c r="D1348" s="47"/>
      <c r="F1348" s="47"/>
      <c r="G1348" s="47"/>
      <c r="H1348" s="48"/>
    </row>
    <row r="1349">
      <c r="D1349" s="47"/>
      <c r="F1349" s="47"/>
      <c r="G1349" s="47"/>
      <c r="H1349" s="48"/>
    </row>
    <row r="1350">
      <c r="D1350" s="47"/>
      <c r="F1350" s="47"/>
      <c r="G1350" s="47"/>
      <c r="H1350" s="48"/>
    </row>
    <row r="1351">
      <c r="D1351" s="47"/>
      <c r="F1351" s="47"/>
      <c r="G1351" s="47"/>
      <c r="H1351" s="48"/>
    </row>
    <row r="1352">
      <c r="D1352" s="47"/>
      <c r="F1352" s="47"/>
      <c r="G1352" s="47"/>
      <c r="H1352" s="48"/>
    </row>
    <row r="1353">
      <c r="D1353" s="47"/>
      <c r="F1353" s="47"/>
      <c r="G1353" s="47"/>
      <c r="H1353" s="48"/>
    </row>
    <row r="1354">
      <c r="D1354" s="47"/>
      <c r="F1354" s="47"/>
      <c r="G1354" s="47"/>
      <c r="H1354" s="48"/>
    </row>
    <row r="1355">
      <c r="D1355" s="47"/>
      <c r="F1355" s="47"/>
      <c r="G1355" s="47"/>
      <c r="H1355" s="48"/>
    </row>
    <row r="1356">
      <c r="D1356" s="47"/>
      <c r="F1356" s="47"/>
      <c r="G1356" s="47"/>
      <c r="H1356" s="48"/>
    </row>
    <row r="1357">
      <c r="D1357" s="47"/>
      <c r="F1357" s="47"/>
      <c r="G1357" s="47"/>
      <c r="H1357" s="48"/>
    </row>
    <row r="1358">
      <c r="D1358" s="47"/>
      <c r="F1358" s="47"/>
      <c r="G1358" s="47"/>
      <c r="H1358" s="48"/>
    </row>
    <row r="1359">
      <c r="D1359" s="47"/>
      <c r="F1359" s="47"/>
      <c r="G1359" s="47"/>
      <c r="H1359" s="48"/>
    </row>
    <row r="1360">
      <c r="D1360" s="47"/>
      <c r="F1360" s="47"/>
      <c r="G1360" s="47"/>
      <c r="H1360" s="48"/>
    </row>
    <row r="1361">
      <c r="D1361" s="47"/>
      <c r="F1361" s="47"/>
      <c r="G1361" s="47"/>
      <c r="H1361" s="48"/>
    </row>
    <row r="1362">
      <c r="D1362" s="47"/>
      <c r="F1362" s="47"/>
      <c r="G1362" s="47"/>
      <c r="H1362" s="48"/>
    </row>
    <row r="1363">
      <c r="D1363" s="47"/>
      <c r="F1363" s="47"/>
      <c r="G1363" s="47"/>
      <c r="H1363" s="48"/>
    </row>
    <row r="1364">
      <c r="D1364" s="47"/>
      <c r="F1364" s="47"/>
      <c r="G1364" s="47"/>
      <c r="H1364" s="48"/>
    </row>
    <row r="1365">
      <c r="D1365" s="47"/>
      <c r="F1365" s="47"/>
      <c r="G1365" s="47"/>
      <c r="H1365" s="48"/>
    </row>
    <row r="1366">
      <c r="D1366" s="47"/>
      <c r="F1366" s="47"/>
      <c r="G1366" s="47"/>
      <c r="H1366" s="48"/>
    </row>
    <row r="1367">
      <c r="D1367" s="47"/>
      <c r="F1367" s="47"/>
      <c r="G1367" s="47"/>
      <c r="H1367" s="48"/>
    </row>
    <row r="1368">
      <c r="D1368" s="47"/>
      <c r="F1368" s="47"/>
      <c r="G1368" s="47"/>
      <c r="H1368" s="48"/>
    </row>
    <row r="1369">
      <c r="D1369" s="47"/>
      <c r="F1369" s="47"/>
      <c r="G1369" s="47"/>
      <c r="H1369" s="48"/>
    </row>
    <row r="1370">
      <c r="D1370" s="47"/>
      <c r="F1370" s="47"/>
      <c r="G1370" s="47"/>
      <c r="H1370" s="48"/>
    </row>
    <row r="1371">
      <c r="D1371" s="47"/>
      <c r="F1371" s="47"/>
      <c r="G1371" s="47"/>
      <c r="H1371" s="48"/>
    </row>
    <row r="1372">
      <c r="D1372" s="47"/>
      <c r="F1372" s="47"/>
      <c r="G1372" s="47"/>
      <c r="H1372" s="48"/>
    </row>
    <row r="1373">
      <c r="D1373" s="47"/>
      <c r="F1373" s="47"/>
      <c r="G1373" s="47"/>
      <c r="H1373" s="48"/>
    </row>
    <row r="1374">
      <c r="D1374" s="47"/>
      <c r="F1374" s="47"/>
      <c r="G1374" s="47"/>
      <c r="H1374" s="48"/>
    </row>
    <row r="1375">
      <c r="D1375" s="47"/>
      <c r="F1375" s="47"/>
      <c r="G1375" s="47"/>
      <c r="H1375" s="48"/>
    </row>
    <row r="1376">
      <c r="D1376" s="47"/>
      <c r="F1376" s="47"/>
      <c r="G1376" s="47"/>
      <c r="H1376" s="48"/>
    </row>
    <row r="1377">
      <c r="D1377" s="47"/>
      <c r="F1377" s="47"/>
      <c r="G1377" s="47"/>
      <c r="H1377" s="48"/>
    </row>
    <row r="1378">
      <c r="D1378" s="47"/>
      <c r="F1378" s="47"/>
      <c r="G1378" s="47"/>
      <c r="H1378" s="48"/>
    </row>
    <row r="1379">
      <c r="D1379" s="47"/>
      <c r="F1379" s="47"/>
      <c r="G1379" s="47"/>
      <c r="H1379" s="48"/>
    </row>
    <row r="1380">
      <c r="D1380" s="47"/>
      <c r="F1380" s="47"/>
      <c r="G1380" s="47"/>
      <c r="H1380" s="48"/>
    </row>
    <row r="1381">
      <c r="D1381" s="47"/>
      <c r="F1381" s="47"/>
      <c r="G1381" s="47"/>
      <c r="H1381" s="48"/>
    </row>
    <row r="1382">
      <c r="D1382" s="47"/>
      <c r="F1382" s="47"/>
      <c r="G1382" s="47"/>
      <c r="H1382" s="48"/>
    </row>
    <row r="1383">
      <c r="D1383" s="47"/>
      <c r="F1383" s="47"/>
      <c r="G1383" s="47"/>
      <c r="H1383" s="48"/>
    </row>
    <row r="1384">
      <c r="D1384" s="47"/>
      <c r="F1384" s="47"/>
      <c r="G1384" s="47"/>
      <c r="H1384" s="48"/>
    </row>
    <row r="1385">
      <c r="D1385" s="47"/>
      <c r="F1385" s="47"/>
      <c r="G1385" s="47"/>
      <c r="H1385" s="48"/>
    </row>
    <row r="1386">
      <c r="D1386" s="47"/>
      <c r="F1386" s="47"/>
      <c r="G1386" s="47"/>
      <c r="H1386" s="48"/>
    </row>
    <row r="1387">
      <c r="D1387" s="47"/>
      <c r="F1387" s="47"/>
      <c r="G1387" s="47"/>
      <c r="H1387" s="48"/>
    </row>
    <row r="1388">
      <c r="D1388" s="47"/>
      <c r="F1388" s="47"/>
      <c r="G1388" s="47"/>
      <c r="H1388" s="48"/>
    </row>
    <row r="1389">
      <c r="D1389" s="47"/>
      <c r="F1389" s="47"/>
      <c r="G1389" s="47"/>
      <c r="H1389" s="48"/>
    </row>
    <row r="1390">
      <c r="D1390" s="47"/>
      <c r="F1390" s="47"/>
      <c r="G1390" s="47"/>
      <c r="H1390" s="48"/>
    </row>
    <row r="1391">
      <c r="D1391" s="47"/>
      <c r="F1391" s="47"/>
      <c r="G1391" s="47"/>
      <c r="H1391" s="48"/>
    </row>
    <row r="1392">
      <c r="D1392" s="47"/>
      <c r="F1392" s="47"/>
      <c r="G1392" s="47"/>
      <c r="H1392" s="48"/>
    </row>
    <row r="1393">
      <c r="D1393" s="47"/>
      <c r="F1393" s="47"/>
      <c r="G1393" s="47"/>
      <c r="H1393" s="48"/>
    </row>
    <row r="1394">
      <c r="D1394" s="47"/>
      <c r="F1394" s="47"/>
      <c r="G1394" s="47"/>
      <c r="H1394" s="48"/>
    </row>
    <row r="1395">
      <c r="D1395" s="47"/>
      <c r="F1395" s="47"/>
      <c r="G1395" s="47"/>
      <c r="H1395" s="48"/>
    </row>
    <row r="1396">
      <c r="D1396" s="47"/>
      <c r="F1396" s="47"/>
      <c r="G1396" s="47"/>
      <c r="H1396" s="48"/>
    </row>
    <row r="1397">
      <c r="D1397" s="47"/>
      <c r="F1397" s="47"/>
      <c r="G1397" s="47"/>
      <c r="H1397" s="48"/>
    </row>
    <row r="1398">
      <c r="D1398" s="47"/>
      <c r="F1398" s="47"/>
      <c r="G1398" s="47"/>
      <c r="H1398" s="48"/>
    </row>
    <row r="1399">
      <c r="D1399" s="47"/>
      <c r="F1399" s="47"/>
      <c r="G1399" s="47"/>
      <c r="H1399" s="48"/>
    </row>
    <row r="1400">
      <c r="D1400" s="47"/>
      <c r="F1400" s="47"/>
      <c r="G1400" s="47"/>
      <c r="H1400" s="48"/>
    </row>
    <row r="1401">
      <c r="D1401" s="47"/>
      <c r="F1401" s="47"/>
      <c r="G1401" s="47"/>
      <c r="H1401" s="48"/>
    </row>
    <row r="1402">
      <c r="D1402" s="47"/>
      <c r="F1402" s="47"/>
      <c r="G1402" s="47"/>
      <c r="H1402" s="48"/>
    </row>
    <row r="1403">
      <c r="D1403" s="47"/>
      <c r="F1403" s="47"/>
      <c r="G1403" s="47"/>
      <c r="H1403" s="48"/>
    </row>
    <row r="1404">
      <c r="D1404" s="47"/>
      <c r="F1404" s="47"/>
      <c r="G1404" s="47"/>
      <c r="H1404" s="48"/>
    </row>
    <row r="1405">
      <c r="D1405" s="47"/>
      <c r="F1405" s="47"/>
      <c r="G1405" s="47"/>
      <c r="H1405" s="48"/>
    </row>
    <row r="1406">
      <c r="D1406" s="47"/>
      <c r="F1406" s="47"/>
      <c r="G1406" s="47"/>
      <c r="H1406" s="48"/>
    </row>
    <row r="1407">
      <c r="D1407" s="47"/>
      <c r="F1407" s="47"/>
      <c r="G1407" s="47"/>
      <c r="H1407" s="48"/>
    </row>
    <row r="1408">
      <c r="D1408" s="47"/>
      <c r="F1408" s="47"/>
      <c r="G1408" s="47"/>
      <c r="H1408" s="48"/>
    </row>
    <row r="1409">
      <c r="D1409" s="47"/>
      <c r="F1409" s="47"/>
      <c r="G1409" s="47"/>
      <c r="H1409" s="48"/>
    </row>
    <row r="1410">
      <c r="D1410" s="47"/>
      <c r="F1410" s="47"/>
      <c r="G1410" s="47"/>
      <c r="H1410" s="48"/>
    </row>
    <row r="1411">
      <c r="D1411" s="47"/>
      <c r="F1411" s="47"/>
      <c r="G1411" s="47"/>
      <c r="H1411" s="48"/>
    </row>
    <row r="1412">
      <c r="D1412" s="47"/>
      <c r="F1412" s="47"/>
      <c r="G1412" s="47"/>
      <c r="H1412" s="48"/>
    </row>
    <row r="1413">
      <c r="D1413" s="47"/>
      <c r="F1413" s="47"/>
      <c r="G1413" s="47"/>
      <c r="H1413" s="48"/>
    </row>
    <row r="1414">
      <c r="D1414" s="47"/>
      <c r="F1414" s="47"/>
      <c r="G1414" s="47"/>
      <c r="H1414" s="48"/>
    </row>
    <row r="1415">
      <c r="D1415" s="47"/>
      <c r="F1415" s="47"/>
      <c r="G1415" s="47"/>
      <c r="H1415" s="48"/>
    </row>
    <row r="1416">
      <c r="D1416" s="47"/>
      <c r="F1416" s="47"/>
      <c r="G1416" s="47"/>
      <c r="H1416" s="48"/>
    </row>
    <row r="1417">
      <c r="D1417" s="47"/>
      <c r="F1417" s="47"/>
      <c r="G1417" s="47"/>
      <c r="H1417" s="48"/>
    </row>
    <row r="1418">
      <c r="D1418" s="47"/>
      <c r="F1418" s="47"/>
      <c r="G1418" s="47"/>
      <c r="H1418" s="48"/>
    </row>
    <row r="1419">
      <c r="D1419" s="47"/>
      <c r="F1419" s="47"/>
      <c r="G1419" s="47"/>
      <c r="H1419" s="48"/>
    </row>
    <row r="1420">
      <c r="D1420" s="47"/>
      <c r="F1420" s="47"/>
      <c r="G1420" s="47"/>
      <c r="H1420" s="48"/>
    </row>
    <row r="1421">
      <c r="D1421" s="47"/>
      <c r="F1421" s="47"/>
      <c r="G1421" s="47"/>
      <c r="H1421" s="48"/>
    </row>
    <row r="1422">
      <c r="D1422" s="47"/>
      <c r="F1422" s="47"/>
      <c r="G1422" s="47"/>
      <c r="H1422" s="48"/>
    </row>
    <row r="1423">
      <c r="D1423" s="47"/>
      <c r="F1423" s="47"/>
      <c r="G1423" s="47"/>
      <c r="H1423" s="48"/>
    </row>
    <row r="1424">
      <c r="D1424" s="47"/>
      <c r="F1424" s="47"/>
      <c r="G1424" s="47"/>
      <c r="H1424" s="48"/>
    </row>
    <row r="1425">
      <c r="D1425" s="47"/>
      <c r="F1425" s="47"/>
      <c r="G1425" s="47"/>
      <c r="H1425" s="48"/>
    </row>
    <row r="1426">
      <c r="D1426" s="47"/>
      <c r="F1426" s="47"/>
      <c r="G1426" s="47"/>
      <c r="H1426" s="48"/>
    </row>
    <row r="1427">
      <c r="D1427" s="47"/>
      <c r="F1427" s="47"/>
      <c r="G1427" s="47"/>
      <c r="H1427" s="48"/>
    </row>
    <row r="1428">
      <c r="D1428" s="47"/>
      <c r="F1428" s="47"/>
      <c r="G1428" s="47"/>
      <c r="H1428" s="48"/>
    </row>
    <row r="1429">
      <c r="D1429" s="47"/>
      <c r="F1429" s="47"/>
      <c r="G1429" s="47"/>
      <c r="H1429" s="48"/>
    </row>
    <row r="1430">
      <c r="D1430" s="47"/>
      <c r="F1430" s="47"/>
      <c r="G1430" s="47"/>
      <c r="H1430" s="48"/>
    </row>
    <row r="1431">
      <c r="D1431" s="47"/>
      <c r="F1431" s="47"/>
      <c r="G1431" s="47"/>
      <c r="H1431" s="48"/>
    </row>
    <row r="1432">
      <c r="D1432" s="47"/>
      <c r="F1432" s="47"/>
      <c r="G1432" s="47"/>
      <c r="H1432" s="48"/>
    </row>
    <row r="1433">
      <c r="D1433" s="47"/>
      <c r="F1433" s="47"/>
      <c r="G1433" s="47"/>
      <c r="H1433" s="48"/>
    </row>
    <row r="1434">
      <c r="D1434" s="47"/>
      <c r="F1434" s="47"/>
      <c r="G1434" s="47"/>
      <c r="H1434" s="48"/>
    </row>
    <row r="1435">
      <c r="D1435" s="47"/>
      <c r="F1435" s="47"/>
      <c r="G1435" s="47"/>
      <c r="H1435" s="48"/>
    </row>
    <row r="1436">
      <c r="D1436" s="47"/>
      <c r="F1436" s="47"/>
      <c r="G1436" s="47"/>
      <c r="H1436" s="48"/>
    </row>
    <row r="1437">
      <c r="D1437" s="47"/>
      <c r="F1437" s="47"/>
      <c r="G1437" s="47"/>
      <c r="H1437" s="48"/>
    </row>
    <row r="1438">
      <c r="D1438" s="47"/>
      <c r="F1438" s="47"/>
      <c r="G1438" s="47"/>
      <c r="H1438" s="48"/>
    </row>
    <row r="1439">
      <c r="D1439" s="47"/>
      <c r="F1439" s="47"/>
      <c r="G1439" s="47"/>
      <c r="H1439" s="48"/>
    </row>
    <row r="1440">
      <c r="D1440" s="47"/>
      <c r="F1440" s="47"/>
      <c r="G1440" s="47"/>
      <c r="H1440" s="48"/>
    </row>
    <row r="1441">
      <c r="D1441" s="47"/>
      <c r="F1441" s="47"/>
      <c r="G1441" s="47"/>
      <c r="H1441" s="48"/>
    </row>
    <row r="1442">
      <c r="D1442" s="47"/>
      <c r="F1442" s="47"/>
      <c r="G1442" s="47"/>
      <c r="H1442" s="48"/>
    </row>
    <row r="1443">
      <c r="D1443" s="47"/>
      <c r="F1443" s="47"/>
      <c r="G1443" s="47"/>
      <c r="H1443" s="48"/>
    </row>
    <row r="1444">
      <c r="D1444" s="47"/>
      <c r="F1444" s="47"/>
      <c r="G1444" s="47"/>
      <c r="H1444" s="48"/>
    </row>
    <row r="1445">
      <c r="D1445" s="47"/>
      <c r="F1445" s="47"/>
      <c r="G1445" s="47"/>
      <c r="H1445" s="48"/>
    </row>
    <row r="1446">
      <c r="D1446" s="47"/>
      <c r="F1446" s="47"/>
      <c r="G1446" s="47"/>
      <c r="H1446" s="48"/>
    </row>
    <row r="1447">
      <c r="D1447" s="47"/>
      <c r="F1447" s="47"/>
      <c r="G1447" s="47"/>
      <c r="H1447" s="48"/>
    </row>
    <row r="1448">
      <c r="D1448" s="47"/>
      <c r="F1448" s="47"/>
      <c r="G1448" s="47"/>
      <c r="H1448" s="48"/>
    </row>
    <row r="1449">
      <c r="D1449" s="47"/>
      <c r="F1449" s="47"/>
      <c r="G1449" s="47"/>
      <c r="H1449" s="48"/>
    </row>
    <row r="1450">
      <c r="D1450" s="47"/>
      <c r="F1450" s="47"/>
      <c r="G1450" s="47"/>
      <c r="H1450" s="48"/>
    </row>
    <row r="1451">
      <c r="D1451" s="47"/>
      <c r="F1451" s="47"/>
      <c r="G1451" s="47"/>
      <c r="H1451" s="48"/>
    </row>
    <row r="1452">
      <c r="D1452" s="47"/>
      <c r="F1452" s="47"/>
      <c r="G1452" s="47"/>
      <c r="H1452" s="48"/>
    </row>
    <row r="1453">
      <c r="D1453" s="47"/>
      <c r="F1453" s="47"/>
      <c r="G1453" s="47"/>
      <c r="H1453" s="48"/>
    </row>
    <row r="1454">
      <c r="D1454" s="47"/>
      <c r="F1454" s="47"/>
      <c r="G1454" s="47"/>
      <c r="H1454" s="48"/>
    </row>
    <row r="1455">
      <c r="D1455" s="47"/>
      <c r="F1455" s="47"/>
      <c r="G1455" s="47"/>
      <c r="H1455" s="48"/>
    </row>
    <row r="1456">
      <c r="D1456" s="47"/>
      <c r="F1456" s="47"/>
      <c r="G1456" s="47"/>
      <c r="H1456" s="48"/>
    </row>
    <row r="1457">
      <c r="D1457" s="47"/>
      <c r="F1457" s="47"/>
      <c r="G1457" s="47"/>
      <c r="H1457" s="48"/>
    </row>
    <row r="1458">
      <c r="D1458" s="47"/>
      <c r="F1458" s="47"/>
      <c r="G1458" s="47"/>
      <c r="H1458" s="48"/>
    </row>
    <row r="1459">
      <c r="D1459" s="47"/>
      <c r="F1459" s="47"/>
      <c r="G1459" s="47"/>
      <c r="H1459" s="48"/>
    </row>
    <row r="1460">
      <c r="D1460" s="47"/>
      <c r="F1460" s="47"/>
      <c r="G1460" s="47"/>
      <c r="H1460" s="48"/>
    </row>
    <row r="1461">
      <c r="D1461" s="47"/>
      <c r="F1461" s="47"/>
      <c r="G1461" s="47"/>
      <c r="H1461" s="48"/>
    </row>
    <row r="1462">
      <c r="D1462" s="47"/>
      <c r="F1462" s="47"/>
      <c r="G1462" s="47"/>
      <c r="H1462" s="48"/>
    </row>
    <row r="1463">
      <c r="D1463" s="47"/>
      <c r="F1463" s="47"/>
      <c r="G1463" s="47"/>
      <c r="H1463" s="48"/>
    </row>
    <row r="1464">
      <c r="D1464" s="47"/>
      <c r="F1464" s="47"/>
      <c r="G1464" s="47"/>
      <c r="H1464" s="48"/>
    </row>
    <row r="1465">
      <c r="D1465" s="47"/>
      <c r="F1465" s="47"/>
      <c r="G1465" s="47"/>
      <c r="H1465" s="48"/>
    </row>
    <row r="1466">
      <c r="D1466" s="47"/>
      <c r="F1466" s="47"/>
      <c r="G1466" s="47"/>
      <c r="H1466" s="48"/>
    </row>
    <row r="1467">
      <c r="D1467" s="47"/>
      <c r="F1467" s="47"/>
      <c r="G1467" s="47"/>
      <c r="H1467" s="48"/>
    </row>
    <row r="1468">
      <c r="D1468" s="47"/>
      <c r="F1468" s="47"/>
      <c r="G1468" s="47"/>
      <c r="H1468" s="48"/>
    </row>
    <row r="1469">
      <c r="D1469" s="47"/>
      <c r="F1469" s="47"/>
      <c r="G1469" s="47"/>
      <c r="H1469" s="48"/>
    </row>
    <row r="1470">
      <c r="D1470" s="47"/>
      <c r="F1470" s="47"/>
      <c r="G1470" s="47"/>
      <c r="H1470" s="48"/>
    </row>
    <row r="1471">
      <c r="D1471" s="47"/>
      <c r="F1471" s="47"/>
      <c r="G1471" s="47"/>
      <c r="H1471" s="48"/>
    </row>
    <row r="1472">
      <c r="D1472" s="47"/>
      <c r="F1472" s="47"/>
      <c r="G1472" s="47"/>
      <c r="H1472" s="48"/>
    </row>
    <row r="1473">
      <c r="D1473" s="47"/>
      <c r="F1473" s="47"/>
      <c r="G1473" s="47"/>
      <c r="H1473" s="48"/>
    </row>
    <row r="1474">
      <c r="D1474" s="47"/>
      <c r="F1474" s="47"/>
      <c r="G1474" s="47"/>
      <c r="H1474" s="48"/>
    </row>
    <row r="1475">
      <c r="D1475" s="47"/>
      <c r="F1475" s="47"/>
      <c r="G1475" s="47"/>
      <c r="H1475" s="48"/>
    </row>
    <row r="1476">
      <c r="D1476" s="47"/>
      <c r="F1476" s="47"/>
      <c r="G1476" s="47"/>
      <c r="H1476" s="48"/>
    </row>
    <row r="1477">
      <c r="D1477" s="47"/>
      <c r="F1477" s="47"/>
      <c r="G1477" s="47"/>
      <c r="H1477" s="48"/>
    </row>
    <row r="1478">
      <c r="D1478" s="47"/>
      <c r="F1478" s="47"/>
      <c r="G1478" s="47"/>
      <c r="H1478" s="48"/>
    </row>
    <row r="1479">
      <c r="D1479" s="47"/>
      <c r="F1479" s="47"/>
      <c r="G1479" s="47"/>
      <c r="H1479" s="48"/>
    </row>
    <row r="1480">
      <c r="D1480" s="47"/>
      <c r="F1480" s="47"/>
      <c r="G1480" s="47"/>
      <c r="H1480" s="48"/>
    </row>
    <row r="1481">
      <c r="D1481" s="47"/>
      <c r="F1481" s="47"/>
      <c r="G1481" s="47"/>
      <c r="H1481" s="48"/>
    </row>
    <row r="1482">
      <c r="D1482" s="47"/>
      <c r="F1482" s="47"/>
      <c r="G1482" s="47"/>
      <c r="H1482" s="48"/>
    </row>
    <row r="1483">
      <c r="D1483" s="47"/>
      <c r="F1483" s="47"/>
      <c r="G1483" s="47"/>
      <c r="H1483" s="48"/>
    </row>
    <row r="1484">
      <c r="D1484" s="47"/>
      <c r="F1484" s="47"/>
      <c r="G1484" s="47"/>
      <c r="H1484" s="48"/>
    </row>
    <row r="1485">
      <c r="D1485" s="47"/>
      <c r="F1485" s="47"/>
      <c r="G1485" s="47"/>
      <c r="H1485" s="48"/>
    </row>
    <row r="1486">
      <c r="D1486" s="47"/>
      <c r="F1486" s="47"/>
      <c r="G1486" s="47"/>
      <c r="H1486" s="48"/>
    </row>
    <row r="1487">
      <c r="D1487" s="47"/>
      <c r="F1487" s="47"/>
      <c r="G1487" s="47"/>
      <c r="H1487" s="48"/>
    </row>
    <row r="1488">
      <c r="D1488" s="47"/>
      <c r="F1488" s="47"/>
      <c r="G1488" s="47"/>
      <c r="H1488" s="48"/>
    </row>
    <row r="1489">
      <c r="D1489" s="47"/>
      <c r="F1489" s="47"/>
      <c r="G1489" s="47"/>
      <c r="H1489" s="48"/>
    </row>
    <row r="1490">
      <c r="D1490" s="47"/>
      <c r="F1490" s="47"/>
      <c r="G1490" s="47"/>
      <c r="H1490" s="48"/>
    </row>
    <row r="1491">
      <c r="D1491" s="47"/>
      <c r="F1491" s="47"/>
      <c r="G1491" s="47"/>
      <c r="H1491" s="48"/>
    </row>
    <row r="1492">
      <c r="D1492" s="47"/>
      <c r="F1492" s="47"/>
      <c r="G1492" s="47"/>
      <c r="H1492" s="48"/>
    </row>
    <row r="1493">
      <c r="D1493" s="47"/>
      <c r="F1493" s="47"/>
      <c r="G1493" s="47"/>
      <c r="H1493" s="48"/>
    </row>
    <row r="1494">
      <c r="D1494" s="47"/>
      <c r="F1494" s="47"/>
      <c r="G1494" s="47"/>
      <c r="H1494" s="48"/>
    </row>
    <row r="1495">
      <c r="D1495" s="47"/>
      <c r="F1495" s="47"/>
      <c r="G1495" s="47"/>
      <c r="H1495" s="48"/>
    </row>
    <row r="1496">
      <c r="D1496" s="47"/>
      <c r="F1496" s="47"/>
      <c r="G1496" s="47"/>
      <c r="H1496" s="48"/>
    </row>
    <row r="1497">
      <c r="D1497" s="47"/>
      <c r="F1497" s="47"/>
      <c r="G1497" s="47"/>
      <c r="H1497" s="48"/>
    </row>
    <row r="1498">
      <c r="D1498" s="47"/>
      <c r="F1498" s="47"/>
      <c r="G1498" s="47"/>
      <c r="H1498" s="48"/>
    </row>
    <row r="1499">
      <c r="D1499" s="47"/>
      <c r="F1499" s="47"/>
      <c r="G1499" s="47"/>
      <c r="H1499" s="48"/>
    </row>
    <row r="1500">
      <c r="D1500" s="47"/>
      <c r="F1500" s="47"/>
      <c r="G1500" s="47"/>
      <c r="H1500" s="48"/>
    </row>
    <row r="1501">
      <c r="D1501" s="47"/>
      <c r="F1501" s="47"/>
      <c r="G1501" s="47"/>
      <c r="H1501" s="48"/>
    </row>
    <row r="1502">
      <c r="D1502" s="47"/>
      <c r="F1502" s="47"/>
      <c r="G1502" s="47"/>
      <c r="H1502" s="48"/>
    </row>
    <row r="1503">
      <c r="D1503" s="47"/>
      <c r="F1503" s="47"/>
      <c r="G1503" s="47"/>
      <c r="H1503" s="48"/>
    </row>
    <row r="1504">
      <c r="D1504" s="47"/>
      <c r="F1504" s="47"/>
      <c r="G1504" s="47"/>
      <c r="H1504" s="48"/>
    </row>
    <row r="1505">
      <c r="D1505" s="47"/>
      <c r="F1505" s="47"/>
      <c r="G1505" s="47"/>
      <c r="H1505" s="48"/>
    </row>
    <row r="1506">
      <c r="D1506" s="47"/>
      <c r="F1506" s="47"/>
      <c r="G1506" s="47"/>
      <c r="H1506" s="48"/>
    </row>
    <row r="1507">
      <c r="D1507" s="47"/>
      <c r="F1507" s="47"/>
      <c r="G1507" s="47"/>
      <c r="H1507" s="48"/>
    </row>
    <row r="1508">
      <c r="D1508" s="47"/>
      <c r="F1508" s="47"/>
      <c r="G1508" s="47"/>
      <c r="H1508" s="48"/>
    </row>
    <row r="1509">
      <c r="D1509" s="47"/>
      <c r="F1509" s="47"/>
      <c r="G1509" s="47"/>
      <c r="H1509" s="48"/>
    </row>
    <row r="1510">
      <c r="D1510" s="47"/>
      <c r="F1510" s="47"/>
      <c r="G1510" s="47"/>
      <c r="H1510" s="48"/>
    </row>
    <row r="1511">
      <c r="D1511" s="47"/>
      <c r="F1511" s="47"/>
      <c r="G1511" s="47"/>
      <c r="H1511" s="48"/>
    </row>
    <row r="1512">
      <c r="D1512" s="47"/>
      <c r="F1512" s="47"/>
      <c r="G1512" s="47"/>
      <c r="H1512" s="48"/>
    </row>
    <row r="1513">
      <c r="D1513" s="47"/>
      <c r="F1513" s="47"/>
      <c r="G1513" s="47"/>
      <c r="H1513" s="48"/>
    </row>
    <row r="1514">
      <c r="D1514" s="47"/>
      <c r="F1514" s="47"/>
      <c r="G1514" s="47"/>
      <c r="H1514" s="48"/>
    </row>
    <row r="1515">
      <c r="D1515" s="47"/>
      <c r="F1515" s="47"/>
      <c r="G1515" s="47"/>
      <c r="H1515" s="48"/>
    </row>
    <row r="1516">
      <c r="D1516" s="47"/>
      <c r="F1516" s="47"/>
      <c r="G1516" s="47"/>
      <c r="H1516" s="48"/>
    </row>
    <row r="1517">
      <c r="D1517" s="47"/>
      <c r="F1517" s="47"/>
      <c r="G1517" s="47"/>
      <c r="H1517" s="48"/>
    </row>
    <row r="1518">
      <c r="D1518" s="47"/>
      <c r="F1518" s="47"/>
      <c r="G1518" s="47"/>
      <c r="H1518" s="48"/>
    </row>
    <row r="1519">
      <c r="D1519" s="47"/>
      <c r="F1519" s="47"/>
      <c r="G1519" s="47"/>
      <c r="H1519" s="48"/>
    </row>
    <row r="1520">
      <c r="D1520" s="47"/>
      <c r="F1520" s="47"/>
      <c r="G1520" s="47"/>
      <c r="H1520" s="48"/>
    </row>
    <row r="1521">
      <c r="D1521" s="47"/>
      <c r="F1521" s="47"/>
      <c r="G1521" s="47"/>
      <c r="H1521" s="48"/>
    </row>
    <row r="1522">
      <c r="D1522" s="47"/>
      <c r="F1522" s="47"/>
      <c r="G1522" s="47"/>
      <c r="H1522" s="48"/>
    </row>
    <row r="1523">
      <c r="D1523" s="47"/>
      <c r="F1523" s="47"/>
      <c r="G1523" s="47"/>
      <c r="H1523" s="48"/>
    </row>
    <row r="1524">
      <c r="D1524" s="47"/>
      <c r="F1524" s="47"/>
      <c r="G1524" s="47"/>
      <c r="H1524" s="48"/>
    </row>
    <row r="1525">
      <c r="D1525" s="47"/>
      <c r="F1525" s="47"/>
      <c r="G1525" s="47"/>
      <c r="H1525" s="48"/>
    </row>
    <row r="1526">
      <c r="D1526" s="47"/>
      <c r="F1526" s="47"/>
      <c r="G1526" s="47"/>
      <c r="H1526" s="48"/>
    </row>
    <row r="1527">
      <c r="D1527" s="47"/>
      <c r="F1527" s="47"/>
      <c r="G1527" s="47"/>
      <c r="H1527" s="48"/>
    </row>
    <row r="1528">
      <c r="D1528" s="47"/>
      <c r="F1528" s="47"/>
      <c r="G1528" s="47"/>
      <c r="H1528" s="48"/>
    </row>
    <row r="1529">
      <c r="D1529" s="47"/>
      <c r="F1529" s="47"/>
      <c r="G1529" s="47"/>
      <c r="H1529" s="48"/>
    </row>
    <row r="1530">
      <c r="D1530" s="47"/>
      <c r="F1530" s="47"/>
      <c r="G1530" s="47"/>
      <c r="H1530" s="48"/>
    </row>
    <row r="1531">
      <c r="D1531" s="47"/>
      <c r="F1531" s="47"/>
      <c r="G1531" s="47"/>
      <c r="H1531" s="48"/>
    </row>
    <row r="1532">
      <c r="D1532" s="47"/>
      <c r="F1532" s="47"/>
      <c r="G1532" s="47"/>
      <c r="H1532" s="48"/>
    </row>
    <row r="1533">
      <c r="D1533" s="47"/>
      <c r="F1533" s="47"/>
      <c r="G1533" s="47"/>
      <c r="H1533" s="48"/>
    </row>
    <row r="1534">
      <c r="D1534" s="47"/>
      <c r="F1534" s="47"/>
      <c r="G1534" s="47"/>
      <c r="H1534" s="48"/>
    </row>
    <row r="1535">
      <c r="D1535" s="47"/>
      <c r="F1535" s="47"/>
      <c r="G1535" s="47"/>
      <c r="H1535" s="48"/>
    </row>
    <row r="1536">
      <c r="D1536" s="47"/>
      <c r="F1536" s="47"/>
      <c r="G1536" s="47"/>
      <c r="H1536" s="48"/>
    </row>
    <row r="1537">
      <c r="D1537" s="47"/>
      <c r="F1537" s="47"/>
      <c r="G1537" s="47"/>
      <c r="H1537" s="48"/>
    </row>
    <row r="1538">
      <c r="D1538" s="47"/>
      <c r="F1538" s="47"/>
      <c r="G1538" s="47"/>
      <c r="H1538" s="48"/>
    </row>
    <row r="1539">
      <c r="D1539" s="47"/>
      <c r="F1539" s="47"/>
      <c r="G1539" s="47"/>
      <c r="H1539" s="48"/>
    </row>
    <row r="1540">
      <c r="D1540" s="47"/>
      <c r="F1540" s="47"/>
      <c r="G1540" s="47"/>
      <c r="H1540" s="48"/>
    </row>
    <row r="1541">
      <c r="D1541" s="47"/>
      <c r="F1541" s="47"/>
      <c r="G1541" s="47"/>
      <c r="H1541" s="48"/>
    </row>
    <row r="1542">
      <c r="D1542" s="47"/>
      <c r="F1542" s="47"/>
      <c r="G1542" s="47"/>
      <c r="H1542" s="48"/>
    </row>
    <row r="1543">
      <c r="D1543" s="47"/>
      <c r="F1543" s="47"/>
      <c r="G1543" s="47"/>
      <c r="H1543" s="48"/>
    </row>
    <row r="1544">
      <c r="D1544" s="47"/>
      <c r="F1544" s="47"/>
      <c r="G1544" s="47"/>
      <c r="H1544" s="48"/>
    </row>
    <row r="1545">
      <c r="D1545" s="47"/>
      <c r="F1545" s="47"/>
      <c r="G1545" s="47"/>
      <c r="H1545" s="48"/>
    </row>
    <row r="1546">
      <c r="D1546" s="47"/>
      <c r="F1546" s="47"/>
      <c r="G1546" s="47"/>
      <c r="H1546" s="48"/>
    </row>
    <row r="1547">
      <c r="D1547" s="47"/>
      <c r="F1547" s="47"/>
      <c r="G1547" s="47"/>
      <c r="H1547" s="48"/>
    </row>
    <row r="1548">
      <c r="D1548" s="47"/>
      <c r="F1548" s="47"/>
      <c r="G1548" s="47"/>
      <c r="H1548" s="48"/>
    </row>
    <row r="1549">
      <c r="D1549" s="47"/>
      <c r="F1549" s="47"/>
      <c r="G1549" s="47"/>
      <c r="H1549" s="48"/>
    </row>
    <row r="1550">
      <c r="D1550" s="47"/>
      <c r="F1550" s="47"/>
      <c r="G1550" s="47"/>
      <c r="H1550" s="48"/>
    </row>
    <row r="1551">
      <c r="D1551" s="47"/>
      <c r="F1551" s="47"/>
      <c r="G1551" s="47"/>
      <c r="H1551" s="48"/>
    </row>
    <row r="1552">
      <c r="D1552" s="47"/>
      <c r="F1552" s="47"/>
      <c r="G1552" s="47"/>
      <c r="H1552" s="48"/>
    </row>
    <row r="1553">
      <c r="D1553" s="47"/>
      <c r="F1553" s="47"/>
      <c r="G1553" s="47"/>
      <c r="H1553" s="48"/>
    </row>
    <row r="1554">
      <c r="D1554" s="47"/>
      <c r="F1554" s="47"/>
      <c r="G1554" s="47"/>
      <c r="H1554" s="48"/>
    </row>
    <row r="1555">
      <c r="D1555" s="47"/>
      <c r="F1555" s="47"/>
      <c r="G1555" s="47"/>
      <c r="H1555" s="48"/>
    </row>
    <row r="1556">
      <c r="D1556" s="47"/>
      <c r="F1556" s="47"/>
      <c r="G1556" s="47"/>
      <c r="H1556" s="48"/>
    </row>
    <row r="1557">
      <c r="D1557" s="47"/>
      <c r="F1557" s="47"/>
      <c r="G1557" s="47"/>
      <c r="H1557" s="48"/>
    </row>
    <row r="1558">
      <c r="D1558" s="47"/>
      <c r="F1558" s="47"/>
      <c r="G1558" s="47"/>
      <c r="H1558" s="48"/>
    </row>
    <row r="1559">
      <c r="D1559" s="47"/>
      <c r="F1559" s="47"/>
      <c r="G1559" s="47"/>
      <c r="H1559" s="48"/>
    </row>
    <row r="1560">
      <c r="D1560" s="47"/>
      <c r="F1560" s="47"/>
      <c r="G1560" s="47"/>
      <c r="H1560" s="48"/>
    </row>
    <row r="1561">
      <c r="D1561" s="47"/>
      <c r="F1561" s="47"/>
      <c r="G1561" s="47"/>
      <c r="H1561" s="48"/>
    </row>
    <row r="1562">
      <c r="D1562" s="47"/>
      <c r="F1562" s="47"/>
      <c r="G1562" s="47"/>
      <c r="H1562" s="48"/>
    </row>
    <row r="1563">
      <c r="D1563" s="47"/>
      <c r="F1563" s="47"/>
      <c r="G1563" s="47"/>
      <c r="H1563" s="48"/>
    </row>
    <row r="1564">
      <c r="D1564" s="47"/>
      <c r="F1564" s="47"/>
      <c r="G1564" s="47"/>
      <c r="H1564" s="48"/>
    </row>
    <row r="1565">
      <c r="D1565" s="47"/>
      <c r="F1565" s="47"/>
      <c r="G1565" s="47"/>
      <c r="H1565" s="48"/>
    </row>
    <row r="1566">
      <c r="D1566" s="47"/>
      <c r="F1566" s="47"/>
      <c r="G1566" s="47"/>
      <c r="H1566" s="48"/>
    </row>
    <row r="1567">
      <c r="D1567" s="47"/>
      <c r="F1567" s="47"/>
      <c r="G1567" s="47"/>
      <c r="H1567" s="48"/>
    </row>
    <row r="1568">
      <c r="D1568" s="47"/>
      <c r="F1568" s="47"/>
      <c r="G1568" s="47"/>
      <c r="H1568" s="48"/>
    </row>
    <row r="1569">
      <c r="D1569" s="47"/>
      <c r="F1569" s="47"/>
      <c r="G1569" s="47"/>
      <c r="H1569" s="48"/>
    </row>
    <row r="1570">
      <c r="D1570" s="47"/>
      <c r="F1570" s="47"/>
      <c r="G1570" s="47"/>
      <c r="H1570" s="48"/>
    </row>
    <row r="1571">
      <c r="D1571" s="47"/>
      <c r="F1571" s="47"/>
      <c r="G1571" s="47"/>
      <c r="H1571" s="48"/>
    </row>
    <row r="1572">
      <c r="D1572" s="47"/>
      <c r="F1572" s="47"/>
      <c r="G1572" s="47"/>
      <c r="H1572" s="48"/>
    </row>
    <row r="1573">
      <c r="D1573" s="47"/>
      <c r="F1573" s="47"/>
      <c r="G1573" s="47"/>
      <c r="H1573" s="48"/>
    </row>
    <row r="1574">
      <c r="D1574" s="47"/>
      <c r="F1574" s="47"/>
      <c r="G1574" s="47"/>
      <c r="H1574" s="48"/>
    </row>
    <row r="1575">
      <c r="D1575" s="47"/>
      <c r="F1575" s="47"/>
      <c r="G1575" s="47"/>
      <c r="H1575" s="48"/>
    </row>
    <row r="1576">
      <c r="D1576" s="47"/>
      <c r="F1576" s="47"/>
      <c r="G1576" s="47"/>
      <c r="H1576" s="48"/>
    </row>
    <row r="1577">
      <c r="D1577" s="47"/>
      <c r="F1577" s="47"/>
      <c r="G1577" s="47"/>
      <c r="H1577" s="48"/>
    </row>
    <row r="1578">
      <c r="D1578" s="47"/>
      <c r="F1578" s="47"/>
      <c r="G1578" s="47"/>
      <c r="H1578" s="48"/>
    </row>
    <row r="1579">
      <c r="D1579" s="47"/>
      <c r="F1579" s="47"/>
      <c r="G1579" s="47"/>
      <c r="H1579" s="48"/>
    </row>
    <row r="1580">
      <c r="D1580" s="47"/>
      <c r="F1580" s="47"/>
      <c r="G1580" s="47"/>
      <c r="H1580" s="48"/>
    </row>
    <row r="1581">
      <c r="D1581" s="47"/>
      <c r="F1581" s="47"/>
      <c r="G1581" s="47"/>
      <c r="H1581" s="48"/>
    </row>
    <row r="1582">
      <c r="D1582" s="47"/>
      <c r="F1582" s="47"/>
      <c r="G1582" s="47"/>
      <c r="H1582" s="48"/>
    </row>
    <row r="1583">
      <c r="D1583" s="47"/>
      <c r="F1583" s="47"/>
      <c r="G1583" s="47"/>
      <c r="H1583" s="48"/>
    </row>
    <row r="1584">
      <c r="D1584" s="47"/>
      <c r="F1584" s="47"/>
      <c r="G1584" s="47"/>
      <c r="H1584" s="48"/>
    </row>
    <row r="1585">
      <c r="D1585" s="47"/>
      <c r="F1585" s="47"/>
      <c r="G1585" s="47"/>
      <c r="H1585" s="48"/>
    </row>
    <row r="1586">
      <c r="D1586" s="47"/>
      <c r="F1586" s="47"/>
      <c r="G1586" s="47"/>
      <c r="H1586" s="48"/>
    </row>
    <row r="1587">
      <c r="D1587" s="47"/>
      <c r="F1587" s="47"/>
      <c r="G1587" s="47"/>
      <c r="H1587" s="48"/>
    </row>
    <row r="1588">
      <c r="D1588" s="47"/>
      <c r="F1588" s="47"/>
      <c r="G1588" s="47"/>
      <c r="H1588" s="48"/>
    </row>
    <row r="1589">
      <c r="D1589" s="47"/>
      <c r="F1589" s="47"/>
      <c r="G1589" s="47"/>
      <c r="H1589" s="48"/>
    </row>
    <row r="1590">
      <c r="D1590" s="47"/>
      <c r="F1590" s="47"/>
      <c r="G1590" s="47"/>
      <c r="H1590" s="48"/>
    </row>
    <row r="1591">
      <c r="D1591" s="47"/>
      <c r="F1591" s="47"/>
      <c r="G1591" s="47"/>
      <c r="H1591" s="48"/>
    </row>
    <row r="1592">
      <c r="D1592" s="47"/>
      <c r="F1592" s="47"/>
      <c r="G1592" s="47"/>
      <c r="H1592" s="48"/>
    </row>
    <row r="1593">
      <c r="D1593" s="47"/>
      <c r="F1593" s="47"/>
      <c r="G1593" s="47"/>
      <c r="H1593" s="48"/>
    </row>
    <row r="1594">
      <c r="D1594" s="47"/>
      <c r="F1594" s="47"/>
      <c r="G1594" s="47"/>
      <c r="H1594" s="48"/>
    </row>
    <row r="1595">
      <c r="D1595" s="47"/>
      <c r="F1595" s="47"/>
      <c r="G1595" s="47"/>
      <c r="H1595" s="48"/>
    </row>
    <row r="1596">
      <c r="D1596" s="47"/>
      <c r="F1596" s="47"/>
      <c r="G1596" s="47"/>
      <c r="H1596" s="48"/>
    </row>
    <row r="1597">
      <c r="D1597" s="47"/>
      <c r="F1597" s="47"/>
      <c r="G1597" s="47"/>
      <c r="H1597" s="48"/>
    </row>
    <row r="1598">
      <c r="D1598" s="47"/>
      <c r="F1598" s="47"/>
      <c r="G1598" s="47"/>
      <c r="H1598" s="48"/>
    </row>
    <row r="1599">
      <c r="D1599" s="47"/>
      <c r="F1599" s="47"/>
      <c r="G1599" s="47"/>
      <c r="H1599" s="48"/>
    </row>
    <row r="1600">
      <c r="D1600" s="47"/>
      <c r="F1600" s="47"/>
      <c r="G1600" s="47"/>
      <c r="H1600" s="48"/>
    </row>
    <row r="1601">
      <c r="D1601" s="47"/>
      <c r="F1601" s="47"/>
      <c r="G1601" s="47"/>
      <c r="H1601" s="48"/>
    </row>
    <row r="1602">
      <c r="D1602" s="47"/>
      <c r="F1602" s="47"/>
      <c r="G1602" s="47"/>
      <c r="H1602" s="48"/>
    </row>
    <row r="1603">
      <c r="D1603" s="47"/>
      <c r="F1603" s="47"/>
      <c r="G1603" s="47"/>
      <c r="H1603" s="48"/>
    </row>
    <row r="1604">
      <c r="D1604" s="47"/>
      <c r="F1604" s="47"/>
      <c r="G1604" s="47"/>
      <c r="H1604" s="48"/>
    </row>
    <row r="1605">
      <c r="D1605" s="47"/>
      <c r="F1605" s="47"/>
      <c r="G1605" s="47"/>
      <c r="H1605" s="48"/>
    </row>
    <row r="1606">
      <c r="D1606" s="47"/>
      <c r="F1606" s="47"/>
      <c r="G1606" s="47"/>
      <c r="H1606" s="48"/>
    </row>
    <row r="1607">
      <c r="D1607" s="47"/>
      <c r="F1607" s="47"/>
      <c r="G1607" s="47"/>
      <c r="H1607" s="48"/>
    </row>
    <row r="1608">
      <c r="D1608" s="47"/>
      <c r="F1608" s="47"/>
      <c r="G1608" s="47"/>
      <c r="H1608" s="48"/>
    </row>
    <row r="1609">
      <c r="D1609" s="47"/>
      <c r="F1609" s="47"/>
      <c r="G1609" s="47"/>
      <c r="H1609" s="48"/>
    </row>
    <row r="1610">
      <c r="D1610" s="47"/>
      <c r="F1610" s="47"/>
      <c r="G1610" s="47"/>
      <c r="H1610" s="48"/>
    </row>
    <row r="1611">
      <c r="D1611" s="47"/>
      <c r="F1611" s="47"/>
      <c r="G1611" s="47"/>
      <c r="H1611" s="48"/>
    </row>
    <row r="1612">
      <c r="D1612" s="47"/>
      <c r="F1612" s="47"/>
      <c r="G1612" s="47"/>
      <c r="H1612" s="48"/>
    </row>
    <row r="1613">
      <c r="D1613" s="47"/>
      <c r="F1613" s="47"/>
      <c r="G1613" s="47"/>
      <c r="H1613" s="48"/>
    </row>
    <row r="1614">
      <c r="D1614" s="47"/>
      <c r="F1614" s="47"/>
      <c r="G1614" s="47"/>
      <c r="H1614" s="48"/>
    </row>
    <row r="1615">
      <c r="D1615" s="47"/>
      <c r="F1615" s="47"/>
      <c r="G1615" s="47"/>
      <c r="H1615" s="48"/>
    </row>
    <row r="1616">
      <c r="D1616" s="47"/>
      <c r="F1616" s="47"/>
      <c r="G1616" s="47"/>
      <c r="H1616" s="48"/>
    </row>
    <row r="1617">
      <c r="D1617" s="47"/>
      <c r="F1617" s="47"/>
      <c r="G1617" s="47"/>
      <c r="H1617" s="48"/>
    </row>
    <row r="1618">
      <c r="D1618" s="47"/>
      <c r="F1618" s="47"/>
      <c r="G1618" s="47"/>
      <c r="H1618" s="48"/>
    </row>
    <row r="1619">
      <c r="D1619" s="47"/>
      <c r="F1619" s="47"/>
      <c r="G1619" s="47"/>
      <c r="H1619" s="48"/>
    </row>
    <row r="1620">
      <c r="D1620" s="47"/>
      <c r="F1620" s="47"/>
      <c r="G1620" s="47"/>
      <c r="H1620" s="48"/>
    </row>
    <row r="1621">
      <c r="D1621" s="47"/>
      <c r="F1621" s="47"/>
      <c r="G1621" s="47"/>
      <c r="H1621" s="48"/>
    </row>
    <row r="1622">
      <c r="D1622" s="47"/>
      <c r="F1622" s="47"/>
      <c r="G1622" s="47"/>
      <c r="H1622" s="48"/>
    </row>
    <row r="1623">
      <c r="D1623" s="47"/>
      <c r="F1623" s="47"/>
      <c r="G1623" s="47"/>
      <c r="H1623" s="48"/>
    </row>
    <row r="1624">
      <c r="D1624" s="47"/>
      <c r="F1624" s="47"/>
      <c r="G1624" s="47"/>
      <c r="H1624" s="48"/>
    </row>
    <row r="1625">
      <c r="D1625" s="47"/>
      <c r="F1625" s="47"/>
      <c r="G1625" s="47"/>
      <c r="H1625" s="48"/>
    </row>
    <row r="1626">
      <c r="D1626" s="47"/>
      <c r="F1626" s="47"/>
      <c r="G1626" s="47"/>
      <c r="H1626" s="48"/>
    </row>
    <row r="1627">
      <c r="D1627" s="47"/>
      <c r="F1627" s="47"/>
      <c r="G1627" s="47"/>
      <c r="H1627" s="48"/>
    </row>
    <row r="1628">
      <c r="D1628" s="47"/>
      <c r="F1628" s="47"/>
      <c r="G1628" s="47"/>
      <c r="H1628" s="48"/>
    </row>
    <row r="1629">
      <c r="D1629" s="47"/>
      <c r="F1629" s="47"/>
      <c r="G1629" s="47"/>
      <c r="H1629" s="48"/>
    </row>
    <row r="1630">
      <c r="D1630" s="47"/>
      <c r="F1630" s="47"/>
      <c r="G1630" s="47"/>
      <c r="H1630" s="48"/>
    </row>
    <row r="1631">
      <c r="D1631" s="47"/>
      <c r="F1631" s="47"/>
      <c r="G1631" s="47"/>
      <c r="H1631" s="48"/>
    </row>
    <row r="1632">
      <c r="D1632" s="47"/>
      <c r="F1632" s="47"/>
      <c r="G1632" s="47"/>
      <c r="H1632" s="48"/>
    </row>
    <row r="1633">
      <c r="D1633" s="47"/>
      <c r="F1633" s="47"/>
      <c r="G1633" s="47"/>
      <c r="H1633" s="48"/>
    </row>
    <row r="1634">
      <c r="D1634" s="47"/>
      <c r="F1634" s="47"/>
      <c r="G1634" s="47"/>
      <c r="H1634" s="48"/>
    </row>
    <row r="1635">
      <c r="D1635" s="47"/>
      <c r="F1635" s="47"/>
      <c r="G1635" s="47"/>
      <c r="H1635" s="48"/>
    </row>
    <row r="1636">
      <c r="D1636" s="47"/>
      <c r="F1636" s="47"/>
      <c r="G1636" s="47"/>
      <c r="H1636" s="48"/>
    </row>
    <row r="1637">
      <c r="D1637" s="47"/>
      <c r="F1637" s="47"/>
      <c r="G1637" s="47"/>
      <c r="H1637" s="48"/>
    </row>
    <row r="1638">
      <c r="D1638" s="47"/>
      <c r="F1638" s="47"/>
      <c r="G1638" s="47"/>
      <c r="H1638" s="48"/>
    </row>
    <row r="1639">
      <c r="D1639" s="47"/>
      <c r="F1639" s="47"/>
      <c r="G1639" s="47"/>
      <c r="H1639" s="48"/>
    </row>
    <row r="1640">
      <c r="D1640" s="47"/>
      <c r="F1640" s="47"/>
      <c r="G1640" s="47"/>
      <c r="H1640" s="48"/>
    </row>
    <row r="1641">
      <c r="D1641" s="47"/>
      <c r="F1641" s="47"/>
      <c r="G1641" s="47"/>
      <c r="H1641" s="48"/>
    </row>
    <row r="1642">
      <c r="D1642" s="47"/>
      <c r="F1642" s="47"/>
      <c r="G1642" s="47"/>
      <c r="H1642" s="48"/>
    </row>
    <row r="1643">
      <c r="D1643" s="47"/>
      <c r="F1643" s="47"/>
      <c r="G1643" s="47"/>
      <c r="H1643" s="48"/>
    </row>
    <row r="1644">
      <c r="D1644" s="47"/>
      <c r="F1644" s="47"/>
      <c r="G1644" s="47"/>
      <c r="H1644" s="48"/>
    </row>
    <row r="1645">
      <c r="D1645" s="47"/>
      <c r="F1645" s="47"/>
      <c r="G1645" s="47"/>
      <c r="H1645" s="48"/>
    </row>
    <row r="1646">
      <c r="D1646" s="47"/>
      <c r="F1646" s="47"/>
      <c r="G1646" s="47"/>
      <c r="H1646" s="48"/>
    </row>
    <row r="1647">
      <c r="D1647" s="47"/>
      <c r="F1647" s="47"/>
      <c r="G1647" s="47"/>
      <c r="H1647" s="48"/>
    </row>
    <row r="1648">
      <c r="D1648" s="47"/>
      <c r="F1648" s="47"/>
      <c r="G1648" s="47"/>
      <c r="H1648" s="48"/>
    </row>
    <row r="1649">
      <c r="D1649" s="47"/>
      <c r="F1649" s="47"/>
      <c r="G1649" s="47"/>
      <c r="H1649" s="48"/>
    </row>
    <row r="1650">
      <c r="D1650" s="47"/>
      <c r="F1650" s="47"/>
      <c r="G1650" s="47"/>
      <c r="H1650" s="48"/>
    </row>
    <row r="1651">
      <c r="D1651" s="47"/>
      <c r="F1651" s="47"/>
      <c r="G1651" s="47"/>
      <c r="H1651" s="48"/>
    </row>
    <row r="1652">
      <c r="D1652" s="47"/>
      <c r="F1652" s="47"/>
      <c r="G1652" s="47"/>
      <c r="H1652" s="48"/>
    </row>
    <row r="1653">
      <c r="D1653" s="47"/>
      <c r="F1653" s="47"/>
      <c r="G1653" s="47"/>
      <c r="H1653" s="48"/>
    </row>
    <row r="1654">
      <c r="D1654" s="47"/>
      <c r="F1654" s="47"/>
      <c r="G1654" s="47"/>
      <c r="H1654" s="48"/>
    </row>
    <row r="1655">
      <c r="D1655" s="47"/>
      <c r="F1655" s="47"/>
      <c r="G1655" s="47"/>
      <c r="H1655" s="48"/>
    </row>
    <row r="1656">
      <c r="D1656" s="47"/>
      <c r="F1656" s="47"/>
      <c r="G1656" s="47"/>
      <c r="H1656" s="48"/>
    </row>
    <row r="1657">
      <c r="D1657" s="47"/>
      <c r="F1657" s="47"/>
      <c r="G1657" s="47"/>
      <c r="H1657" s="48"/>
    </row>
    <row r="1658">
      <c r="D1658" s="47"/>
      <c r="F1658" s="47"/>
      <c r="G1658" s="47"/>
      <c r="H1658" s="48"/>
    </row>
    <row r="1659">
      <c r="D1659" s="47"/>
      <c r="F1659" s="47"/>
      <c r="G1659" s="47"/>
      <c r="H1659" s="48"/>
    </row>
    <row r="1660">
      <c r="D1660" s="47"/>
      <c r="F1660" s="47"/>
      <c r="G1660" s="47"/>
      <c r="H1660" s="48"/>
    </row>
    <row r="1661">
      <c r="D1661" s="47"/>
      <c r="F1661" s="47"/>
      <c r="G1661" s="47"/>
      <c r="H1661" s="48"/>
    </row>
    <row r="1662">
      <c r="D1662" s="47"/>
      <c r="F1662" s="47"/>
      <c r="G1662" s="47"/>
      <c r="H1662" s="48"/>
    </row>
    <row r="1663">
      <c r="D1663" s="47"/>
      <c r="F1663" s="47"/>
      <c r="G1663" s="47"/>
      <c r="H1663" s="48"/>
    </row>
    <row r="1664">
      <c r="D1664" s="47"/>
      <c r="F1664" s="47"/>
      <c r="G1664" s="47"/>
      <c r="H1664" s="48"/>
    </row>
    <row r="1665">
      <c r="D1665" s="47"/>
      <c r="F1665" s="47"/>
      <c r="G1665" s="47"/>
      <c r="H1665" s="48"/>
    </row>
    <row r="1666">
      <c r="D1666" s="47"/>
      <c r="F1666" s="47"/>
      <c r="G1666" s="47"/>
      <c r="H1666" s="48"/>
    </row>
    <row r="1667">
      <c r="D1667" s="47"/>
      <c r="F1667" s="47"/>
      <c r="G1667" s="47"/>
      <c r="H1667" s="48"/>
    </row>
    <row r="1668">
      <c r="D1668" s="47"/>
      <c r="F1668" s="47"/>
      <c r="G1668" s="47"/>
      <c r="H1668" s="48"/>
    </row>
  </sheetData>
  <conditionalFormatting sqref="H2:H13">
    <cfRule type="colorScale" priority="1">
      <colorScale>
        <cfvo type="min"/>
        <cfvo type="max"/>
        <color rgb="FFFFFFFF"/>
        <color rgb="FFB6D7A8"/>
      </colorScale>
    </cfRule>
  </conditionalFormatting>
  <conditionalFormatting sqref="A68:B79">
    <cfRule type="colorScale" priority="2">
      <colorScale>
        <cfvo type="min"/>
        <cfvo type="percent" val="50"/>
        <cfvo type="max"/>
        <color rgb="FFFFFFFF"/>
        <color rgb="FFABDDC5"/>
        <color rgb="FF57BB8A"/>
      </colorScale>
    </cfRule>
  </conditionalFormatting>
  <conditionalFormatting sqref="A83:A94">
    <cfRule type="cellIs" dxfId="0" priority="3" operator="lessThanOrEqual">
      <formula>1</formula>
    </cfRule>
  </conditionalFormatting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8.63"/>
    <col customWidth="1" min="4" max="4" width="18.88"/>
    <col customWidth="1" min="5" max="5" width="12.5"/>
    <col customWidth="1" min="7" max="7" width="11.5"/>
    <col customWidth="1" min="8" max="8" width="4.75"/>
    <col customWidth="1" min="10" max="10" width="15.25"/>
    <col customWidth="1" min="27" max="29" width="13.5"/>
    <col customWidth="1" min="30" max="30" width="15.5"/>
  </cols>
  <sheetData>
    <row r="1">
      <c r="A1" s="58" t="s">
        <v>29</v>
      </c>
      <c r="B1" s="58" t="s">
        <v>30</v>
      </c>
      <c r="C1" s="59" t="s">
        <v>31</v>
      </c>
      <c r="D1" s="60" t="s">
        <v>32</v>
      </c>
      <c r="E1" s="58" t="s">
        <v>33</v>
      </c>
      <c r="F1" s="58" t="s">
        <v>34</v>
      </c>
      <c r="G1" s="61" t="s">
        <v>35</v>
      </c>
      <c r="H1" s="62"/>
      <c r="I1" s="58" t="s">
        <v>36</v>
      </c>
      <c r="J1" s="60" t="s">
        <v>37</v>
      </c>
      <c r="K1" s="58" t="s">
        <v>38</v>
      </c>
      <c r="L1" s="62"/>
      <c r="M1" s="62"/>
      <c r="N1" s="63"/>
      <c r="O1" s="62"/>
      <c r="P1" s="62"/>
      <c r="Q1" s="62"/>
      <c r="R1" s="60"/>
      <c r="S1" s="64"/>
      <c r="T1" s="58"/>
      <c r="U1" s="62"/>
      <c r="V1" s="65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</row>
    <row r="2">
      <c r="A2" s="49" t="str">
        <f>vlookup($C$2:$C$46,countries!$C$2:$D$250,2,FALSE)</f>
        <v>Europe</v>
      </c>
      <c r="B2" s="49" t="str">
        <f>vlookup($C$2:$C$46,countries!$C$2:$E$250,3,FALSE)</f>
        <v>Northern Europe</v>
      </c>
      <c r="C2" s="66" t="str">
        <f>IFERROR(__xludf.DUMMYFUNCTION("UNIQUE(Filter('Copy of events чорновий'!P2:P1331,('Copy of events чорновий'!P2:P1331 &lt;&gt;""""),('Copy of events чорновий'!P2:P1331&lt;&gt;"" #N/A"")))"),"Norway")</f>
        <v>Norway</v>
      </c>
      <c r="D2" s="67">
        <f>SUMIF('Copy of events чорновий'!P$2:P$1331,C2,'Copy of events чорновий'!K$2:K$1331)</f>
        <v>31520698.5</v>
      </c>
      <c r="E2" s="68">
        <f>D2/total!$D$2</f>
        <v>0.01849126548</v>
      </c>
      <c r="F2" s="66">
        <f>COUNTIF('Copy of events чорновий'!P$2:P$1331,$C2)</f>
        <v>30</v>
      </c>
      <c r="G2" s="69">
        <f>AVERAGEIF('Copy of events чорновий'!P$2:P$1331, C2,'Copy of events чорновий'!S$2:S$1331)</f>
        <v>24.1</v>
      </c>
      <c r="H2" s="70">
        <f>IFERROR(__xludf.DUMMYFUNCTION("MODE(filter('Copy of events чорновий'!F$2:F$1331, ('Copy of events чорновий'!P$2:P$1331 =C2),('Copy of events чорновий'!P$2:P$1331 &lt;&gt;""""),('Copy of events чорновий'!P$2:P$1331 &lt;&gt;""#N/A"")))"),2103.0)</f>
        <v>2103</v>
      </c>
      <c r="I2" s="70" t="str">
        <f>VLOOKUP($H$2:$H$46,products!A$2:B$13,2,false)</f>
        <v>Cereal</v>
      </c>
      <c r="J2" s="71">
        <f>SUMIFS('Copy of events чорновий'!K$2:K$1331,'Copy of events чорновий'!F$2:F$1331,H2,'Copy of events чорновий'!P$2:P$1331,C2)</f>
        <v>2972570.7</v>
      </c>
      <c r="K2" s="72">
        <f t="shared" ref="K2:K46" si="1">J2/D2</f>
        <v>0.09430535621</v>
      </c>
      <c r="L2" s="49"/>
      <c r="M2" s="49"/>
      <c r="N2" s="49"/>
      <c r="O2" s="49"/>
      <c r="P2" s="70"/>
      <c r="Q2" s="73" t="s">
        <v>31</v>
      </c>
      <c r="R2" s="74"/>
      <c r="S2" s="72"/>
      <c r="T2" s="70"/>
      <c r="U2" s="70"/>
      <c r="V2" s="71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</row>
    <row r="3">
      <c r="A3" s="49" t="str">
        <f>vlookup($C$2:$C$46,countries!$C$2:$D$250,2,FALSE)</f>
        <v>Europe</v>
      </c>
      <c r="B3" s="49" t="str">
        <f>vlookup($C$2:$C$46,countries!$C$2:$E$250,3,FALSE)</f>
        <v>Southern Europe</v>
      </c>
      <c r="C3" s="70" t="str">
        <f>IFERROR(__xludf.DUMMYFUNCTION("""COMPUTED_VALUE"""),"Serbia")</f>
        <v>Serbia</v>
      </c>
      <c r="D3" s="67">
        <f>SUMIF('Copy of events чорновий'!P$2:P$1331,C3,'Copy of events чорновий'!K$2:K$1331)</f>
        <v>42193537.74</v>
      </c>
      <c r="E3" s="68">
        <f>D3/total!$D$2</f>
        <v>0.02475236734</v>
      </c>
      <c r="F3" s="66">
        <f>COUNTIF('Copy of events чорновий'!P$2:P$1331,$C3)</f>
        <v>29</v>
      </c>
      <c r="G3" s="69">
        <f>AVERAGEIF('Copy of events чорновий'!P$2:P$1331, C3,'Copy of events чорновий'!S$2:S$1331)</f>
        <v>20.5862069</v>
      </c>
      <c r="H3" s="70">
        <f>IFERROR(__xludf.DUMMYFUNCTION("MODE(filter('Copy of events чорновий'!F$2:F$1331, ('Copy of events чорновий'!P$2:P$1331 =C3),('Copy of events чорновий'!P$2:P$1331 &lt;&gt;""""),('Copy of events чорновий'!P$2:P$1331 &lt;&gt;""#N/A"")))"),5988.0)</f>
        <v>5988</v>
      </c>
      <c r="I3" s="70" t="str">
        <f>VLOOKUP($H$2:$H$46,products!A$2:B$13,2,false)</f>
        <v>Vegetables</v>
      </c>
      <c r="J3" s="71">
        <f>SUMIFS('Copy of events чорновий'!K$2:K$1331,'Copy of events чорновий'!F$2:F$1331,H3,'Copy of events чорновий'!P$2:P$1331,C3)</f>
        <v>5985231</v>
      </c>
      <c r="K3" s="72">
        <f t="shared" si="1"/>
        <v>0.1418518408</v>
      </c>
      <c r="L3" s="49"/>
      <c r="M3" s="49"/>
      <c r="N3" s="49"/>
      <c r="O3" s="49"/>
      <c r="P3" s="70"/>
      <c r="Q3" s="70" t="str">
        <f>IFERROR(__xludf.DUMMYFUNCTION("IF($Q$2=$C$1, QUERY(sales_by_country,""select C, D,E,F order by D desc label D'revenue', E'percent_from_total', F'order_count'""), IF($Q$2=$B$1, QUERY(sales_by_country,""select B, sum(D),sum(E),sum(F) group by B order by sum(D) desc label sum(D)'revenue',"&amp;" sum(E)'percent_from_total', sum(F)'order_count'""),QUERY(sales_by_country,""select A, sum(D),sum(E),sum(F) group by A  order by sum(D) desc label sum(D)'revenue', sum(E)'percent_from_total', sum(F)'order_count'"")))"),"country")</f>
        <v>country</v>
      </c>
      <c r="R3" s="75" t="str">
        <f>IFERROR(__xludf.DUMMYFUNCTION("""COMPUTED_VALUE"""),"revenue")</f>
        <v>revenue</v>
      </c>
      <c r="S3" s="76" t="str">
        <f>IFERROR(__xludf.DUMMYFUNCTION("""COMPUTED_VALUE"""),"percent_from_total")</f>
        <v>percent_from_total</v>
      </c>
      <c r="T3" s="77" t="str">
        <f>IFERROR(__xludf.DUMMYFUNCTION("""COMPUTED_VALUE"""),"order_count")</f>
        <v>order_count</v>
      </c>
      <c r="U3" s="78"/>
      <c r="V3" s="79"/>
      <c r="W3" s="70"/>
      <c r="X3" s="70"/>
      <c r="Y3" s="70"/>
      <c r="Z3" s="70"/>
      <c r="AA3" s="70"/>
      <c r="AB3" s="70"/>
      <c r="AC3" s="70" t="str">
        <f>IFERROR(__xludf.DUMMYFUNCTION("QUERY(sales_by_country, ""select C,D,I,J order by D desc"")"),"country")</f>
        <v>country</v>
      </c>
      <c r="AD3" s="70" t="str">
        <f>IFERROR(__xludf.DUMMYFUNCTION("""COMPUTED_VALUE"""),"revenue by country")</f>
        <v>revenue by country</v>
      </c>
      <c r="AE3" s="70" t="str">
        <f>IFERROR(__xludf.DUMMYFUNCTION("""COMPUTED_VALUE"""),"country`s most popular category")</f>
        <v>country`s most popular category</v>
      </c>
      <c r="AF3" s="70" t="str">
        <f>IFERROR(__xludf.DUMMYFUNCTION("""COMPUTED_VALUE"""),"revenue from category by country")</f>
        <v>revenue from category by country</v>
      </c>
      <c r="AG3" s="70"/>
      <c r="AH3" s="80" t="s">
        <v>39</v>
      </c>
      <c r="AI3" s="70"/>
      <c r="AJ3" s="70"/>
      <c r="AK3" s="70"/>
      <c r="AL3" s="70"/>
      <c r="AM3" s="70"/>
      <c r="AN3" s="70"/>
      <c r="AO3" s="70"/>
    </row>
    <row r="4">
      <c r="A4" s="49" t="str">
        <f>vlookup($C$2:$C$46,countries!$C$2:$D$250,2,FALSE)</f>
        <v>Europe</v>
      </c>
      <c r="B4" s="49" t="str">
        <f>vlookup($C$2:$C$46,countries!$C$2:$E$250,3,FALSE)</f>
        <v>Southern Europe</v>
      </c>
      <c r="C4" s="70" t="str">
        <f>IFERROR(__xludf.DUMMYFUNCTION("""COMPUTED_VALUE"""),"Montenegro")</f>
        <v>Montenegro</v>
      </c>
      <c r="D4" s="67">
        <f>SUMIF('Copy of events чорновий'!P$2:P$1331,C4,'Copy of events чорновий'!K$2:K$1331)</f>
        <v>31346476.9</v>
      </c>
      <c r="E4" s="68">
        <f>D4/total!$D$2</f>
        <v>0.01838906033</v>
      </c>
      <c r="F4" s="66">
        <f>COUNTIF('Copy of events чорновий'!P$2:P$1331,$C4)</f>
        <v>28</v>
      </c>
      <c r="G4" s="69">
        <f>AVERAGEIF('Copy of events чорновий'!P$2:P$1331, C4,'Copy of events чорновий'!S$2:S$1331)</f>
        <v>26.67857143</v>
      </c>
      <c r="H4" s="70">
        <f>IFERROR(__xludf.DUMMYFUNCTION("MODE(filter('Copy of events чорновий'!F$2:F$1331, ('Copy of events чорновий'!P$2:P$1331 =C4),('Copy of events чорновий'!P$2:P$1331 &lt;&gt;""""),('Copy of events чорновий'!P$2:P$1331 &lt;&gt;""#N/A"")))"),2455.0)</f>
        <v>2455</v>
      </c>
      <c r="I4" s="70" t="str">
        <f>VLOOKUP($H$2:$H$46,products!A$2:B$13,2,false)</f>
        <v>Clothes</v>
      </c>
      <c r="J4" s="71">
        <f>SUMIFS('Copy of events чорновий'!K$2:K$1331,'Copy of events чорновий'!F$2:F$1331,H4,'Copy of events чорновий'!P$2:P$1331,C4)</f>
        <v>3268236.96</v>
      </c>
      <c r="K4" s="72">
        <f t="shared" si="1"/>
        <v>0.1042616997</v>
      </c>
      <c r="L4" s="49"/>
      <c r="M4" s="49"/>
      <c r="N4" s="49"/>
      <c r="O4" s="49"/>
      <c r="P4" s="70"/>
      <c r="Q4" s="70" t="str">
        <f>IFERROR(__xludf.DUMMYFUNCTION("""COMPUTED_VALUE"""),"Czech Republic")</f>
        <v>Czech Republic</v>
      </c>
      <c r="R4" s="71">
        <f>IFERROR(__xludf.DUMMYFUNCTION("""COMPUTED_VALUE"""),5.354393214E7)</f>
        <v>53543932.14</v>
      </c>
      <c r="S4" s="72">
        <f>IFERROR(__xludf.DUMMYFUNCTION("""COMPUTED_VALUE"""),0.03141094935332569)</f>
        <v>0.03141094935</v>
      </c>
      <c r="T4" s="70">
        <f>IFERROR(__xludf.DUMMYFUNCTION("""COMPUTED_VALUE"""),31.0)</f>
        <v>31</v>
      </c>
      <c r="U4" s="70"/>
      <c r="V4" s="71"/>
      <c r="W4" s="70"/>
      <c r="X4" s="70"/>
      <c r="Y4" s="70"/>
      <c r="Z4" s="70"/>
      <c r="AA4" s="70"/>
      <c r="AB4" s="70"/>
      <c r="AC4" s="70" t="str">
        <f>IFERROR(__xludf.DUMMYFUNCTION("""COMPUTED_VALUE"""),"Czech Republic")</f>
        <v>Czech Republic</v>
      </c>
      <c r="AD4" s="81">
        <f>IFERROR(__xludf.DUMMYFUNCTION("""COMPUTED_VALUE"""),5.354393214E7)</f>
        <v>53543932.14</v>
      </c>
      <c r="AE4" s="70" t="str">
        <f>IFERROR(__xludf.DUMMYFUNCTION("""COMPUTED_VALUE"""),"Household")</f>
        <v>Household</v>
      </c>
      <c r="AF4" s="81">
        <f>IFERROR(__xludf.DUMMYFUNCTION("""COMPUTED_VALUE"""),2.245654508E7)</f>
        <v>22456545.08</v>
      </c>
      <c r="AG4" s="70"/>
      <c r="AH4" s="80" t="s">
        <v>40</v>
      </c>
      <c r="AI4" s="70"/>
      <c r="AJ4" s="70"/>
      <c r="AK4" s="70"/>
      <c r="AL4" s="70"/>
      <c r="AM4" s="70"/>
      <c r="AN4" s="70"/>
      <c r="AO4" s="70"/>
    </row>
    <row r="5">
      <c r="A5" s="49" t="str">
        <f>vlookup($C$2:$C$46,countries!$C$2:$D$250,2,FALSE)</f>
        <v>Europe</v>
      </c>
      <c r="B5" s="49" t="str">
        <f>vlookup($C$2:$C$46,countries!$C$2:$E$250,3,FALSE)</f>
        <v>Eastern Europe</v>
      </c>
      <c r="C5" s="70" t="str">
        <f>IFERROR(__xludf.DUMMYFUNCTION("""COMPUTED_VALUE"""),"Slovakia")</f>
        <v>Slovakia</v>
      </c>
      <c r="D5" s="67">
        <f>SUMIF('Copy of events чорновий'!P$2:P$1331,C5,'Copy of events чорновий'!K$2:K$1331)</f>
        <v>42940998.32</v>
      </c>
      <c r="E5" s="68">
        <f>D5/total!$D$2</f>
        <v>0.02519085673</v>
      </c>
      <c r="F5" s="66">
        <f>COUNTIF('Copy of events чорновий'!P$2:P$1331,$C5)</f>
        <v>30</v>
      </c>
      <c r="G5" s="69">
        <f>AVERAGEIF('Copy of events чорновий'!P$2:P$1331, C5,'Copy of events чорновий'!S$2:S$1331)</f>
        <v>28.46666667</v>
      </c>
      <c r="H5" s="70">
        <f>IFERROR(__xludf.DUMMYFUNCTION("MODE(filter('Copy of events чорновий'!F$2:F$1331, ('Copy of events чорновий'!P$2:P$1331 =C5),('Copy of events чорновий'!P$2:P$1331 &lt;&gt;""""),('Copy of events чорновий'!P$2:P$1331 &lt;&gt;""#N/A"")))"),8681.0)</f>
        <v>8681</v>
      </c>
      <c r="I5" s="70" t="str">
        <f>VLOOKUP($H$2:$H$46,products!A$2:B$13,2,false)</f>
        <v>Office Supplies</v>
      </c>
      <c r="J5" s="71">
        <f>SUMIFS('Copy of events чорновий'!K$2:K$1331,'Copy of events чорновий'!F$2:F$1331,H5,'Copy of events чорновий'!P$2:P$1331,C5)</f>
        <v>21624730.47</v>
      </c>
      <c r="K5" s="72">
        <f t="shared" si="1"/>
        <v>0.5035917029</v>
      </c>
      <c r="L5" s="49"/>
      <c r="M5" s="49"/>
      <c r="N5" s="49"/>
      <c r="O5" s="49"/>
      <c r="P5" s="70"/>
      <c r="Q5" s="70" t="str">
        <f>IFERROR(__xludf.DUMMYFUNCTION("""COMPUTED_VALUE"""),"Ukraine")</f>
        <v>Ukraine</v>
      </c>
      <c r="R5" s="71">
        <f>IFERROR(__xludf.DUMMYFUNCTION("""COMPUTED_VALUE"""),5.325231754000001E7)</f>
        <v>53252317.54</v>
      </c>
      <c r="S5" s="72">
        <f>IFERROR(__xludf.DUMMYFUNCTION("""COMPUTED_VALUE"""),0.03123987690748178)</f>
        <v>0.03123987691</v>
      </c>
      <c r="T5" s="70">
        <f>IFERROR(__xludf.DUMMYFUNCTION("""COMPUTED_VALUE"""),33.0)</f>
        <v>33</v>
      </c>
      <c r="U5" s="70"/>
      <c r="V5" s="71"/>
      <c r="W5" s="70"/>
      <c r="X5" s="70"/>
      <c r="Y5" s="70"/>
      <c r="Z5" s="70"/>
      <c r="AA5" s="70"/>
      <c r="AB5" s="70"/>
      <c r="AC5" s="70" t="str">
        <f>IFERROR(__xludf.DUMMYFUNCTION("""COMPUTED_VALUE"""),"Ukraine")</f>
        <v>Ukraine</v>
      </c>
      <c r="AD5" s="81">
        <f>IFERROR(__xludf.DUMMYFUNCTION("""COMPUTED_VALUE"""),5.325231754000001E7)</f>
        <v>53252317.54</v>
      </c>
      <c r="AE5" s="70" t="str">
        <f>IFERROR(__xludf.DUMMYFUNCTION("""COMPUTED_VALUE"""),"Cosmetics")</f>
        <v>Cosmetics</v>
      </c>
      <c r="AF5" s="81">
        <f>IFERROR(__xludf.DUMMYFUNCTION("""COMPUTED_VALUE"""),1.28746656E7)</f>
        <v>12874665.6</v>
      </c>
      <c r="AG5" s="70"/>
      <c r="AH5" s="70"/>
      <c r="AI5" s="70"/>
      <c r="AJ5" s="70"/>
      <c r="AK5" s="70"/>
      <c r="AL5" s="70"/>
      <c r="AM5" s="70"/>
      <c r="AN5" s="70"/>
      <c r="AO5" s="70"/>
    </row>
    <row r="6">
      <c r="A6" s="49" t="str">
        <f>vlookup($C$2:$C$46,countries!$C$2:$D$250,2,FALSE)</f>
        <v>Europe</v>
      </c>
      <c r="B6" s="49" t="str">
        <f>vlookup($C$2:$C$46,countries!$C$2:$E$250,3,FALSE)</f>
        <v>Western Europe</v>
      </c>
      <c r="C6" s="70" t="str">
        <f>IFERROR(__xludf.DUMMYFUNCTION("""COMPUTED_VALUE"""),"France")</f>
        <v>France</v>
      </c>
      <c r="D6" s="67">
        <f>SUMIF('Copy of events чорновий'!P$2:P$1331,C6,'Copy of events чорновий'!K$2:K$1331)</f>
        <v>39362112.15</v>
      </c>
      <c r="E6" s="68">
        <f>D6/total!$D$2</f>
        <v>0.02309134316</v>
      </c>
      <c r="F6" s="66">
        <f>COUNTIF('Copy of events чорновий'!P$2:P$1331,$C6)</f>
        <v>26</v>
      </c>
      <c r="G6" s="69">
        <f>AVERAGEIF('Copy of events чорновий'!P$2:P$1331, C6,'Copy of events чорновий'!S$2:S$1331)</f>
        <v>26.42307692</v>
      </c>
      <c r="H6" s="70">
        <f>IFERROR(__xludf.DUMMYFUNCTION("MODE(filter('Copy of events чорновий'!F$2:F$1331, ('Copy of events чорновий'!P$2:P$1331 =C6),('Copy of events чорновий'!P$2:P$1331 &lt;&gt;""""),('Copy of events чорновий'!P$2:P$1331 &lt;&gt;""#N/A"")))"),8681.0)</f>
        <v>8681</v>
      </c>
      <c r="I6" s="70" t="str">
        <f>VLOOKUP($H$2:$H$46,products!A$2:B$13,2,false)</f>
        <v>Office Supplies</v>
      </c>
      <c r="J6" s="71">
        <f>SUMIFS('Copy of events чорновий'!K$2:K$1331,'Copy of events чорновий'!F$2:F$1331,H6,'Copy of events чорновий'!P$2:P$1331,C6)</f>
        <v>15384836.25</v>
      </c>
      <c r="K6" s="72">
        <f t="shared" si="1"/>
        <v>0.3908539306</v>
      </c>
      <c r="L6" s="49"/>
      <c r="M6" s="49"/>
      <c r="N6" s="49"/>
      <c r="O6" s="49"/>
      <c r="P6" s="70"/>
      <c r="Q6" s="70" t="str">
        <f>IFERROR(__xludf.DUMMYFUNCTION("""COMPUTED_VALUE"""),"Bosnia and Herzegovina")</f>
        <v>Bosnia and Herzegovina</v>
      </c>
      <c r="R6" s="71">
        <f>IFERROR(__xludf.DUMMYFUNCTION("""COMPUTED_VALUE"""),5.0117508489999995E7)</f>
        <v>50117508.49</v>
      </c>
      <c r="S6" s="72">
        <f>IFERROR(__xludf.DUMMYFUNCTION("""COMPUTED_VALUE"""),0.029400876214659345)</f>
        <v>0.02940087621</v>
      </c>
      <c r="T6" s="70">
        <f>IFERROR(__xludf.DUMMYFUNCTION("""COMPUTED_VALUE"""),33.0)</f>
        <v>33</v>
      </c>
      <c r="U6" s="70"/>
      <c r="V6" s="71"/>
      <c r="W6" s="70"/>
      <c r="X6" s="70"/>
      <c r="Y6" s="70"/>
      <c r="Z6" s="70"/>
      <c r="AA6" s="70"/>
      <c r="AB6" s="70"/>
      <c r="AC6" s="70" t="str">
        <f>IFERROR(__xludf.DUMMYFUNCTION("""COMPUTED_VALUE"""),"Bosnia and Herzegovina")</f>
        <v>Bosnia and Herzegovina</v>
      </c>
      <c r="AD6" s="81">
        <f>IFERROR(__xludf.DUMMYFUNCTION("""COMPUTED_VALUE"""),5.0117508489999995E7)</f>
        <v>50117508.49</v>
      </c>
      <c r="AE6" s="70" t="str">
        <f>IFERROR(__xludf.DUMMYFUNCTION("""COMPUTED_VALUE"""),"Office Supplies")</f>
        <v>Office Supplies</v>
      </c>
      <c r="AF6" s="81">
        <f>IFERROR(__xludf.DUMMYFUNCTION("""COMPUTED_VALUE"""),1.4212007040000001E7)</f>
        <v>14212007.04</v>
      </c>
      <c r="AG6" s="70"/>
      <c r="AH6" s="70"/>
      <c r="AI6" s="70"/>
      <c r="AJ6" s="70"/>
      <c r="AK6" s="70"/>
      <c r="AL6" s="70"/>
      <c r="AM6" s="70"/>
      <c r="AN6" s="70"/>
      <c r="AO6" s="70"/>
    </row>
    <row r="7">
      <c r="A7" s="49" t="str">
        <f>vlookup($C$2:$C$46,countries!$C$2:$D$250,2,FALSE)</f>
        <v>Europe</v>
      </c>
      <c r="B7" s="49" t="str">
        <f>vlookup($C$2:$C$46,countries!$C$2:$E$250,3,FALSE)</f>
        <v>Southern Europe</v>
      </c>
      <c r="C7" s="70" t="str">
        <f>IFERROR(__xludf.DUMMYFUNCTION("""COMPUTED_VALUE"""),"Spain")</f>
        <v>Spain</v>
      </c>
      <c r="D7" s="67">
        <f>SUMIF('Copy of events чорновий'!P$2:P$1331,C7,'Copy of events чорновий'!K$2:K$1331)</f>
        <v>28472026.85</v>
      </c>
      <c r="E7" s="68">
        <f>D7/total!$D$2</f>
        <v>0.01670279633</v>
      </c>
      <c r="F7" s="66">
        <f>COUNTIF('Copy of events чорновий'!P$2:P$1331,$C7)</f>
        <v>26</v>
      </c>
      <c r="G7" s="69">
        <f>AVERAGEIF('Copy of events чорновий'!P$2:P$1331, C7,'Copy of events чорновий'!S$2:S$1331)</f>
        <v>26.15384615</v>
      </c>
      <c r="H7" s="70">
        <f>IFERROR(__xludf.DUMMYFUNCTION("MODE(filter('Copy of events чорновий'!F$2:F$1331, ('Copy of events чорновий'!P$2:P$1331 =C7),('Copy of events чорновий'!P$2:P$1331 &lt;&gt;""""),('Copy of events чорновий'!P$2:P$1331 &lt;&gt;""#N/A"")))"),5988.0)</f>
        <v>5988</v>
      </c>
      <c r="I7" s="70" t="str">
        <f>VLOOKUP($H$2:$H$46,products!A$2:B$13,2,false)</f>
        <v>Vegetables</v>
      </c>
      <c r="J7" s="71">
        <f>SUMIFS('Copy of events чорновий'!K$2:K$1331,'Copy of events чорновий'!F$2:F$1331,H7,'Copy of events чорновий'!P$2:P$1331,C7)</f>
        <v>4214157.24</v>
      </c>
      <c r="K7" s="72">
        <f t="shared" si="1"/>
        <v>0.1480104406</v>
      </c>
      <c r="L7" s="49"/>
      <c r="M7" s="49"/>
      <c r="N7" s="49"/>
      <c r="O7" s="49"/>
      <c r="P7" s="70"/>
      <c r="Q7" s="70" t="str">
        <f>IFERROR(__xludf.DUMMYFUNCTION("""COMPUTED_VALUE"""),"Macedonia")</f>
        <v>Macedonia</v>
      </c>
      <c r="R7" s="71">
        <f>IFERROR(__xludf.DUMMYFUNCTION("""COMPUTED_VALUE"""),4.922208525000001E7)</f>
        <v>49222085.25</v>
      </c>
      <c r="S7" s="72">
        <f>IFERROR(__xludf.DUMMYFUNCTION("""COMPUTED_VALUE"""),0.02887558617865882)</f>
        <v>0.02887558618</v>
      </c>
      <c r="T7" s="70">
        <f>IFERROR(__xludf.DUMMYFUNCTION("""COMPUTED_VALUE"""),32.0)</f>
        <v>32</v>
      </c>
      <c r="U7" s="70"/>
      <c r="V7" s="71"/>
      <c r="W7" s="70"/>
      <c r="X7" s="70"/>
      <c r="Y7" s="70"/>
      <c r="Z7" s="70"/>
      <c r="AA7" s="70"/>
      <c r="AB7" s="70"/>
      <c r="AC7" s="70" t="str">
        <f>IFERROR(__xludf.DUMMYFUNCTION("""COMPUTED_VALUE"""),"Macedonia")</f>
        <v>Macedonia</v>
      </c>
      <c r="AD7" s="81">
        <f>IFERROR(__xludf.DUMMYFUNCTION("""COMPUTED_VALUE"""),4.922208525000001E7)</f>
        <v>49222085.25</v>
      </c>
      <c r="AE7" s="70" t="str">
        <f>IFERROR(__xludf.DUMMYFUNCTION("""COMPUTED_VALUE"""),"Beverages")</f>
        <v>Beverages</v>
      </c>
      <c r="AF7" s="81">
        <f>IFERROR(__xludf.DUMMYFUNCTION("""COMPUTED_VALUE"""),1864025.8)</f>
        <v>1864025.8</v>
      </c>
      <c r="AG7" s="70"/>
      <c r="AH7" s="70"/>
      <c r="AI7" s="70"/>
      <c r="AJ7" s="70"/>
      <c r="AK7" s="70"/>
      <c r="AL7" s="70"/>
      <c r="AM7" s="70"/>
      <c r="AN7" s="70"/>
      <c r="AO7" s="70"/>
    </row>
    <row r="8">
      <c r="A8" s="49" t="str">
        <f>vlookup($C$2:$C$46,countries!$C$2:$D$250,2,FALSE)</f>
        <v>Europe</v>
      </c>
      <c r="B8" s="49" t="str">
        <f>vlookup($C$2:$C$46,countries!$C$2:$E$250,3,FALSE)</f>
        <v>Southern Europe</v>
      </c>
      <c r="C8" s="70" t="str">
        <f>IFERROR(__xludf.DUMMYFUNCTION("""COMPUTED_VALUE"""),"Croatia")</f>
        <v>Croatia</v>
      </c>
      <c r="D8" s="67">
        <f>SUMIF('Copy of events чорновий'!P$2:P$1331,C8,'Copy of events чорновий'!K$2:K$1331)</f>
        <v>27524405.58</v>
      </c>
      <c r="E8" s="68">
        <f>D8/total!$D$2</f>
        <v>0.01614688491</v>
      </c>
      <c r="F8" s="66">
        <f>COUNTIF('Copy of events чорновий'!P$2:P$1331,$C8)</f>
        <v>18</v>
      </c>
      <c r="G8" s="69">
        <f>AVERAGEIF('Copy of events чорновий'!P$2:P$1331, C8,'Copy of events чорновий'!S$2:S$1331)</f>
        <v>18.22222222</v>
      </c>
      <c r="H8" s="70">
        <f>IFERROR(__xludf.DUMMYFUNCTION("MODE(filter('Copy of events чорновий'!F$2:F$1331, ('Copy of events чорновий'!P$2:P$1331 =C8),('Copy of events чорновий'!P$2:P$1331 &lt;&gt;""""),('Copy of events чорновий'!P$2:P$1331 &lt;&gt;""#N/A"")))"),7940.0)</f>
        <v>7940</v>
      </c>
      <c r="I8" s="70" t="str">
        <f>VLOOKUP($H$2:$H$46,products!A$2:B$13,2,false)</f>
        <v>Household</v>
      </c>
      <c r="J8" s="71">
        <f>SUMIFS('Copy of events чорновий'!K$2:K$1331,'Copy of events чорновий'!F$2:F$1331,H8,'Copy of events чорновий'!P$2:P$1331,C8)</f>
        <v>10892801</v>
      </c>
      <c r="K8" s="72">
        <f t="shared" si="1"/>
        <v>0.3957506355</v>
      </c>
      <c r="L8" s="49"/>
      <c r="M8" s="49"/>
      <c r="N8" s="49"/>
      <c r="O8" s="49"/>
      <c r="P8" s="70"/>
      <c r="Q8" s="70" t="str">
        <f>IFERROR(__xludf.DUMMYFUNCTION("""COMPUTED_VALUE"""),"San Marino")</f>
        <v>San Marino</v>
      </c>
      <c r="R8" s="71">
        <f>IFERROR(__xludf.DUMMYFUNCTION("""COMPUTED_VALUE"""),4.7883708480000004E7)</f>
        <v>47883708.48</v>
      </c>
      <c r="S8" s="72">
        <f>IFERROR(__xludf.DUMMYFUNCTION("""COMPUTED_VALUE"""),0.02809044240497747)</f>
        <v>0.0280904424</v>
      </c>
      <c r="T8" s="70">
        <f>IFERROR(__xludf.DUMMYFUNCTION("""COMPUTED_VALUE"""),40.0)</f>
        <v>40</v>
      </c>
      <c r="U8" s="70"/>
      <c r="V8" s="71"/>
      <c r="W8" s="70"/>
      <c r="X8" s="70"/>
      <c r="Y8" s="70"/>
      <c r="Z8" s="70"/>
      <c r="AA8" s="70"/>
      <c r="AB8" s="70"/>
      <c r="AC8" s="70" t="str">
        <f>IFERROR(__xludf.DUMMYFUNCTION("""COMPUTED_VALUE"""),"San Marino")</f>
        <v>San Marino</v>
      </c>
      <c r="AD8" s="81">
        <f>IFERROR(__xludf.DUMMYFUNCTION("""COMPUTED_VALUE"""),4.7883708480000004E7)</f>
        <v>47883708.48</v>
      </c>
      <c r="AE8" s="70" t="str">
        <f>IFERROR(__xludf.DUMMYFUNCTION("""COMPUTED_VALUE"""),"Personal Care")</f>
        <v>Personal Care</v>
      </c>
      <c r="AF8" s="81">
        <f>IFERROR(__xludf.DUMMYFUNCTION("""COMPUTED_VALUE"""),2115907.97)</f>
        <v>2115907.97</v>
      </c>
      <c r="AG8" s="70"/>
      <c r="AH8" s="70"/>
      <c r="AI8" s="70"/>
      <c r="AJ8" s="70"/>
      <c r="AK8" s="70"/>
      <c r="AL8" s="70"/>
      <c r="AM8" s="70"/>
      <c r="AN8" s="70"/>
      <c r="AO8" s="70"/>
    </row>
    <row r="9">
      <c r="A9" s="49" t="str">
        <f>vlookup($C$2:$C$46,countries!$C$2:$D$250,2,FALSE)</f>
        <v>Europe</v>
      </c>
      <c r="B9" s="49" t="str">
        <f>vlookup($C$2:$C$46,countries!$C$2:$E$250,3,FALSE)</f>
        <v>Western Europe</v>
      </c>
      <c r="C9" s="70" t="str">
        <f>IFERROR(__xludf.DUMMYFUNCTION("""COMPUTED_VALUE"""),"Germany")</f>
        <v>Germany</v>
      </c>
      <c r="D9" s="67">
        <f>SUMIF('Copy of events чорновий'!P$2:P$1331,C9,'Copy of events чорновий'!K$2:K$1331)</f>
        <v>38055087.56</v>
      </c>
      <c r="E9" s="68">
        <f>D9/total!$D$2</f>
        <v>0.02232459179</v>
      </c>
      <c r="F9" s="66">
        <f>COUNTIF('Copy of events чорновий'!P$2:P$1331,$C9)</f>
        <v>26</v>
      </c>
      <c r="G9" s="69">
        <f>AVERAGEIF('Copy of events чорновий'!P$2:P$1331, C9,'Copy of events чорновий'!S$2:S$1331)</f>
        <v>23.42307692</v>
      </c>
      <c r="H9" s="70">
        <f>IFERROR(__xludf.DUMMYFUNCTION("MODE(filter('Copy of events чорновий'!F$2:F$1331, ('Copy of events чорновий'!P$2:P$1331 =C9),('Copy of events чорновий'!P$2:P$1331 &lt;&gt;""""),('Copy of events чорновий'!P$2:P$1331 &lt;&gt;""#N/A"")))"),2103.0)</f>
        <v>2103</v>
      </c>
      <c r="I9" s="70" t="str">
        <f>VLOOKUP($H$2:$H$46,products!A$2:B$13,2,false)</f>
        <v>Cereal</v>
      </c>
      <c r="J9" s="71">
        <f>SUMIFS('Copy of events чорновий'!K$2:K$1331,'Copy of events чорновий'!F$2:F$1331,H9,'Copy of events чорновий'!P$2:P$1331,C9)</f>
        <v>3660431.5</v>
      </c>
      <c r="K9" s="72">
        <f t="shared" si="1"/>
        <v>0.09618770405</v>
      </c>
      <c r="L9" s="49"/>
      <c r="M9" s="49"/>
      <c r="N9" s="49"/>
      <c r="O9" s="49"/>
      <c r="P9" s="70"/>
      <c r="Q9" s="70" t="str">
        <f>IFERROR(__xludf.DUMMYFUNCTION("""COMPUTED_VALUE"""),"Andorra")</f>
        <v>Andorra</v>
      </c>
      <c r="R9" s="71">
        <f>IFERROR(__xludf.DUMMYFUNCTION("""COMPUTED_VALUE"""),4.775669317000001E7)</f>
        <v>47756693.17</v>
      </c>
      <c r="S9" s="72">
        <f>IFERROR(__xludf.DUMMYFUNCTION("""COMPUTED_VALUE"""),0.02801593029295934)</f>
        <v>0.02801593029</v>
      </c>
      <c r="T9" s="70">
        <f>IFERROR(__xludf.DUMMYFUNCTION("""COMPUTED_VALUE"""),40.0)</f>
        <v>40</v>
      </c>
      <c r="U9" s="70"/>
      <c r="V9" s="71"/>
      <c r="W9" s="70"/>
      <c r="X9" s="70"/>
      <c r="Y9" s="70"/>
      <c r="Z9" s="70"/>
      <c r="AA9" s="70"/>
      <c r="AB9" s="70"/>
      <c r="AC9" s="70" t="str">
        <f>IFERROR(__xludf.DUMMYFUNCTION("""COMPUTED_VALUE"""),"Andorra")</f>
        <v>Andorra</v>
      </c>
      <c r="AD9" s="81">
        <f>IFERROR(__xludf.DUMMYFUNCTION("""COMPUTED_VALUE"""),4.775669317000001E7)</f>
        <v>47756693.17</v>
      </c>
      <c r="AE9" s="70" t="str">
        <f>IFERROR(__xludf.DUMMYFUNCTION("""COMPUTED_VALUE"""),"Baby Food")</f>
        <v>Baby Food</v>
      </c>
      <c r="AF9" s="81">
        <f>IFERROR(__xludf.DUMMYFUNCTION("""COMPUTED_VALUE"""),5059139.04)</f>
        <v>5059139.04</v>
      </c>
      <c r="AG9" s="70"/>
      <c r="AH9" s="70"/>
      <c r="AI9" s="70"/>
      <c r="AJ9" s="70"/>
      <c r="AK9" s="70"/>
      <c r="AL9" s="70"/>
      <c r="AM9" s="70"/>
      <c r="AN9" s="70"/>
      <c r="AO9" s="70"/>
    </row>
    <row r="10">
      <c r="A10" s="49" t="str">
        <f>vlookup($C$2:$C$46,countries!$C$2:$D$250,2,FALSE)</f>
        <v>Asia</v>
      </c>
      <c r="B10" s="49" t="str">
        <f>vlookup($C$2:$C$46,countries!$C$2:$E$250,3,FALSE)</f>
        <v>Western Asia</v>
      </c>
      <c r="C10" s="70" t="str">
        <f>IFERROR(__xludf.DUMMYFUNCTION("""COMPUTED_VALUE"""),"Armenia")</f>
        <v>Armenia</v>
      </c>
      <c r="D10" s="67">
        <f>SUMIF('Copy of events чорновий'!P$2:P$1331,C10,'Copy of events чорновий'!K$2:K$1331)</f>
        <v>37519840.21</v>
      </c>
      <c r="E10" s="68">
        <f>D10/total!$D$2</f>
        <v>0.02201059492</v>
      </c>
      <c r="F10" s="66">
        <f>COUNTIF('Copy of events чорновий'!P$2:P$1331,$C10)</f>
        <v>29</v>
      </c>
      <c r="G10" s="69">
        <f>AVERAGEIF('Copy of events чорновий'!P$2:P$1331, C10,'Copy of events чорновий'!S$2:S$1331)</f>
        <v>26.17241379</v>
      </c>
      <c r="H10" s="70">
        <f>IFERROR(__xludf.DUMMYFUNCTION("MODE(filter('Copy of events чорновий'!F$2:F$1331, ('Copy of events чорновий'!P$2:P$1331 =C10),('Copy of events чорновий'!P$2:P$1331 &lt;&gt;""""),('Copy of events чорновий'!P$2:P$1331 &lt;&gt;""#N/A"")))"),8875.0)</f>
        <v>8875</v>
      </c>
      <c r="I10" s="70" t="str">
        <f>VLOOKUP($H$2:$H$46,products!A$2:B$13,2,false)</f>
        <v>Meat</v>
      </c>
      <c r="J10" s="71">
        <f>SUMIFS('Copy of events чорновий'!K$2:K$1331,'Copy of events чорновий'!F$2:F$1331,H10,'Copy of events чорновий'!P$2:P$1331,C10)</f>
        <v>12635605.5</v>
      </c>
      <c r="K10" s="72">
        <f t="shared" si="1"/>
        <v>0.3367713036</v>
      </c>
      <c r="L10" s="49"/>
      <c r="M10" s="49"/>
      <c r="N10" s="49"/>
      <c r="O10" s="49"/>
      <c r="P10" s="70"/>
      <c r="Q10" s="70" t="str">
        <f>IFERROR(__xludf.DUMMYFUNCTION("""COMPUTED_VALUE"""),"Portugal")</f>
        <v>Portugal</v>
      </c>
      <c r="R10" s="71">
        <f>IFERROR(__xludf.DUMMYFUNCTION("""COMPUTED_VALUE"""),4.717218984000001E7)</f>
        <v>47172189.84</v>
      </c>
      <c r="S10" s="72">
        <f>IFERROR(__xludf.DUMMYFUNCTION("""COMPUTED_VALUE"""),0.027673037947147396)</f>
        <v>0.02767303795</v>
      </c>
      <c r="T10" s="70">
        <f>IFERROR(__xludf.DUMMYFUNCTION("""COMPUTED_VALUE"""),25.0)</f>
        <v>25</v>
      </c>
      <c r="U10" s="70"/>
      <c r="V10" s="71"/>
      <c r="W10" s="70"/>
      <c r="X10" s="70"/>
      <c r="Y10" s="70"/>
      <c r="Z10" s="70"/>
      <c r="AA10" s="70"/>
      <c r="AB10" s="70"/>
      <c r="AC10" s="70" t="str">
        <f>IFERROR(__xludf.DUMMYFUNCTION("""COMPUTED_VALUE"""),"Portugal")</f>
        <v>Portugal</v>
      </c>
      <c r="AD10" s="81">
        <f>IFERROR(__xludf.DUMMYFUNCTION("""COMPUTED_VALUE"""),4.717218984000001E7)</f>
        <v>47172189.84</v>
      </c>
      <c r="AE10" s="70" t="str">
        <f>IFERROR(__xludf.DUMMYFUNCTION("""COMPUTED_VALUE"""),"Office Supplies")</f>
        <v>Office Supplies</v>
      </c>
      <c r="AF10" s="81">
        <f>IFERROR(__xludf.DUMMYFUNCTION("""COMPUTED_VALUE"""),1.7527317150000002E7)</f>
        <v>17527317.15</v>
      </c>
      <c r="AG10" s="70"/>
      <c r="AH10" s="70"/>
      <c r="AI10" s="70"/>
      <c r="AJ10" s="70"/>
      <c r="AK10" s="70"/>
      <c r="AL10" s="70"/>
      <c r="AM10" s="70"/>
      <c r="AN10" s="70"/>
      <c r="AO10" s="70"/>
    </row>
    <row r="11">
      <c r="A11" s="49" t="str">
        <f>vlookup($C$2:$C$46,countries!$C$2:$D$250,2,FALSE)</f>
        <v>Asia</v>
      </c>
      <c r="B11" s="49" t="str">
        <f>vlookup($C$2:$C$46,countries!$C$2:$E$250,3,FALSE)</f>
        <v>Western Asia</v>
      </c>
      <c r="C11" s="70" t="str">
        <f>IFERROR(__xludf.DUMMYFUNCTION("""COMPUTED_VALUE"""),"Georgia")</f>
        <v>Georgia</v>
      </c>
      <c r="D11" s="67">
        <f>SUMIF('Copy of events чорновий'!P$2:P$1331,C11,'Copy of events чорновий'!K$2:K$1331)</f>
        <v>22802195.66</v>
      </c>
      <c r="E11" s="68">
        <f>D11/total!$D$2</f>
        <v>0.01337665323</v>
      </c>
      <c r="F11" s="66">
        <f>COUNTIF('Copy of events чорновий'!P$2:P$1331,$C11)</f>
        <v>23</v>
      </c>
      <c r="G11" s="69">
        <f>AVERAGEIF('Copy of events чорновий'!P$2:P$1331, C11,'Copy of events чорновий'!S$2:S$1331)</f>
        <v>29.69565217</v>
      </c>
      <c r="H11" s="70">
        <f>IFERROR(__xludf.DUMMYFUNCTION("MODE(filter('Copy of events чорновий'!F$2:F$1331, ('Copy of events чорновий'!P$2:P$1331 =C11),('Copy of events чорновий'!P$2:P$1331 &lt;&gt;""""),('Copy of events чорновий'!P$2:P$1331 &lt;&gt;""#N/A"")))"),8875.0)</f>
        <v>8875</v>
      </c>
      <c r="I11" s="70" t="str">
        <f>VLOOKUP($H$2:$H$46,products!A$2:B$13,2,false)</f>
        <v>Meat</v>
      </c>
      <c r="J11" s="71">
        <f>SUMIFS('Copy of events чорновий'!K$2:K$1331,'Copy of events чорновий'!F$2:F$1331,H11,'Copy of events чорновий'!P$2:P$1331,C11)</f>
        <v>12600588.63</v>
      </c>
      <c r="K11" s="72">
        <f t="shared" si="1"/>
        <v>0.5526041798</v>
      </c>
      <c r="L11" s="49"/>
      <c r="M11" s="49"/>
      <c r="N11" s="49"/>
      <c r="O11" s="49"/>
      <c r="P11" s="70"/>
      <c r="Q11" s="70" t="str">
        <f>IFERROR(__xludf.DUMMYFUNCTION("""COMPUTED_VALUE"""),"Malta")</f>
        <v>Malta</v>
      </c>
      <c r="R11" s="71">
        <f>IFERROR(__xludf.DUMMYFUNCTION("""COMPUTED_VALUE"""),4.7145320809999995E7)</f>
        <v>47145320.81</v>
      </c>
      <c r="S11" s="72">
        <f>IFERROR(__xludf.DUMMYFUNCTION("""COMPUTED_VALUE"""),0.02765727553100103)</f>
        <v>0.02765727553</v>
      </c>
      <c r="T11" s="70">
        <f>IFERROR(__xludf.DUMMYFUNCTION("""COMPUTED_VALUE"""),32.0)</f>
        <v>32</v>
      </c>
      <c r="U11" s="70"/>
      <c r="V11" s="71"/>
      <c r="W11" s="70"/>
      <c r="X11" s="70"/>
      <c r="Y11" s="70"/>
      <c r="Z11" s="70"/>
      <c r="AA11" s="70"/>
      <c r="AB11" s="70"/>
      <c r="AC11" s="70" t="str">
        <f>IFERROR(__xludf.DUMMYFUNCTION("""COMPUTED_VALUE"""),"Malta")</f>
        <v>Malta</v>
      </c>
      <c r="AD11" s="81">
        <f>IFERROR(__xludf.DUMMYFUNCTION("""COMPUTED_VALUE"""),4.7145320809999995E7)</f>
        <v>47145320.81</v>
      </c>
      <c r="AE11" s="70" t="str">
        <f>IFERROR(__xludf.DUMMYFUNCTION("""COMPUTED_VALUE"""),"Cosmetics")</f>
        <v>Cosmetics</v>
      </c>
      <c r="AF11" s="81">
        <f>IFERROR(__xludf.DUMMYFUNCTION("""COMPUTED_VALUE"""),1.49229476E7)</f>
        <v>14922947.6</v>
      </c>
      <c r="AG11" s="70"/>
      <c r="AH11" s="70"/>
      <c r="AI11" s="70"/>
      <c r="AJ11" s="70"/>
      <c r="AK11" s="70"/>
      <c r="AL11" s="70"/>
      <c r="AM11" s="70"/>
      <c r="AN11" s="70"/>
      <c r="AO11" s="70"/>
    </row>
    <row r="12">
      <c r="A12" s="49" t="str">
        <f>vlookup($C$2:$C$46,countries!$C$2:$D$250,2,FALSE)</f>
        <v>Europe</v>
      </c>
      <c r="B12" s="49" t="str">
        <f>vlookup($C$2:$C$46,countries!$C$2:$E$250,3,FALSE)</f>
        <v>Northern Europe</v>
      </c>
      <c r="C12" s="70" t="str">
        <f>IFERROR(__xludf.DUMMYFUNCTION("""COMPUTED_VALUE"""),"United Kingdom")</f>
        <v>United Kingdom</v>
      </c>
      <c r="D12" s="67">
        <f>SUMIF('Copy of events чорновий'!P$2:P$1331,C12,'Copy of events чорновий'!K$2:K$1331)</f>
        <v>26654989.47</v>
      </c>
      <c r="E12" s="68">
        <f>D12/total!$D$2</f>
        <v>0.01563685166</v>
      </c>
      <c r="F12" s="66">
        <f>COUNTIF('Copy of events чорновий'!P$2:P$1331,$C12)</f>
        <v>23</v>
      </c>
      <c r="G12" s="69">
        <f>AVERAGEIF('Copy of events чорновий'!P$2:P$1331, C12,'Copy of events чорновий'!S$2:S$1331)</f>
        <v>18.39130435</v>
      </c>
      <c r="H12" s="70">
        <f>IFERROR(__xludf.DUMMYFUNCTION("MODE(filter('Copy of events чорновий'!F$2:F$1331, ('Copy of events чорновий'!P$2:P$1331 =C12),('Copy of events чорновий'!P$2:P$1331 &lt;&gt;""""),('Copy of events чорновий'!P$2:P$1331 &lt;&gt;""#N/A"")))"),3127.0)</f>
        <v>3127</v>
      </c>
      <c r="I12" s="70" t="str">
        <f>VLOOKUP($H$2:$H$46,products!A$2:B$13,2,false)</f>
        <v>Personal Care</v>
      </c>
      <c r="J12" s="71">
        <f>SUMIFS('Copy of events чорновий'!K$2:K$1331,'Copy of events чорновий'!F$2:F$1331,H12,'Copy of events чорновий'!P$2:P$1331,C12)</f>
        <v>2608739.87</v>
      </c>
      <c r="K12" s="72">
        <f t="shared" si="1"/>
        <v>0.09787060216</v>
      </c>
      <c r="L12" s="49"/>
      <c r="M12" s="49"/>
      <c r="N12" s="49"/>
      <c r="O12" s="49"/>
      <c r="P12" s="70"/>
      <c r="Q12" s="70" t="str">
        <f>IFERROR(__xludf.DUMMYFUNCTION("""COMPUTED_VALUE"""),"Russia")</f>
        <v>Russia</v>
      </c>
      <c r="R12" s="71">
        <f>IFERROR(__xludf.DUMMYFUNCTION("""COMPUTED_VALUE"""),4.605165981E7)</f>
        <v>46051659.81</v>
      </c>
      <c r="S12" s="72">
        <f>IFERROR(__xludf.DUMMYFUNCTION("""COMPUTED_VALUE"""),0.027015691528711368)</f>
        <v>0.02701569153</v>
      </c>
      <c r="T12" s="70">
        <f>IFERROR(__xludf.DUMMYFUNCTION("""COMPUTED_VALUE"""),32.0)</f>
        <v>32</v>
      </c>
      <c r="U12" s="70"/>
      <c r="V12" s="71"/>
      <c r="W12" s="70"/>
      <c r="X12" s="70"/>
      <c r="Y12" s="70"/>
      <c r="Z12" s="70"/>
      <c r="AA12" s="70"/>
      <c r="AB12" s="70"/>
      <c r="AC12" s="70" t="str">
        <f>IFERROR(__xludf.DUMMYFUNCTION("""COMPUTED_VALUE"""),"Russia")</f>
        <v>Russia</v>
      </c>
      <c r="AD12" s="81">
        <f>IFERROR(__xludf.DUMMYFUNCTION("""COMPUTED_VALUE"""),4.605165981E7)</f>
        <v>46051659.81</v>
      </c>
      <c r="AE12" s="70" t="str">
        <f>IFERROR(__xludf.DUMMYFUNCTION("""COMPUTED_VALUE"""),"Clothes")</f>
        <v>Clothes</v>
      </c>
      <c r="AF12" s="81">
        <f>IFERROR(__xludf.DUMMYFUNCTION("""COMPUTED_VALUE"""),2798223.68)</f>
        <v>2798223.68</v>
      </c>
      <c r="AG12" s="70"/>
      <c r="AH12" s="70"/>
      <c r="AI12" s="70"/>
      <c r="AJ12" s="70"/>
      <c r="AK12" s="70"/>
      <c r="AL12" s="70"/>
      <c r="AM12" s="70"/>
      <c r="AN12" s="70"/>
      <c r="AO12" s="70"/>
    </row>
    <row r="13">
      <c r="A13" s="49" t="str">
        <f>vlookup($C$2:$C$46,countries!$C$2:$D$250,2,FALSE)</f>
        <v>Europe</v>
      </c>
      <c r="B13" s="49" t="str">
        <f>vlookup($C$2:$C$46,countries!$C$2:$E$250,3,FALSE)</f>
        <v>Southern Europe</v>
      </c>
      <c r="C13" s="70" t="str">
        <f>IFERROR(__xludf.DUMMYFUNCTION("""COMPUTED_VALUE"""),"Slovenia")</f>
        <v>Slovenia</v>
      </c>
      <c r="D13" s="67">
        <f>SUMIF('Copy of events чорновий'!P$2:P$1331,C13,'Copy of events чорновий'!K$2:K$1331)</f>
        <v>38892531.27</v>
      </c>
      <c r="E13" s="68">
        <f>D13/total!$D$2</f>
        <v>0.02281586879</v>
      </c>
      <c r="F13" s="66">
        <f>COUNTIF('Copy of events чорновий'!P$2:P$1331,$C13)</f>
        <v>27</v>
      </c>
      <c r="G13" s="69">
        <f>AVERAGEIF('Copy of events чорновий'!P$2:P$1331, C13,'Copy of events чорновий'!S$2:S$1331)</f>
        <v>23.74074074</v>
      </c>
      <c r="H13" s="70">
        <f>IFERROR(__xludf.DUMMYFUNCTION("MODE(filter('Copy of events чорновий'!F$2:F$1331, ('Copy of events чорновий'!P$2:P$1331 =C13),('Copy of events чорновий'!P$2:P$1331 &lt;&gt;""""),('Copy of events чорновий'!P$2:P$1331 &lt;&gt;""#N/A"")))"),4594.0)</f>
        <v>4594</v>
      </c>
      <c r="I13" s="70" t="str">
        <f>VLOOKUP($H$2:$H$46,products!A$2:B$13,2,false)</f>
        <v>Fruits</v>
      </c>
      <c r="J13" s="71">
        <f>SUMIFS('Copy of events чорновий'!K$2:K$1331,'Copy of events чорновий'!F$2:F$1331,H13,'Copy of events чорновий'!P$2:P$1331,C13)</f>
        <v>249390.9</v>
      </c>
      <c r="K13" s="72">
        <f t="shared" si="1"/>
        <v>0.006412308272</v>
      </c>
      <c r="L13" s="49"/>
      <c r="M13" s="49"/>
      <c r="N13" s="49"/>
      <c r="O13" s="49"/>
      <c r="P13" s="70"/>
      <c r="Q13" s="70" t="str">
        <f>IFERROR(__xludf.DUMMYFUNCTION("""COMPUTED_VALUE"""),"Slovakia")</f>
        <v>Slovakia</v>
      </c>
      <c r="R13" s="71">
        <f>IFERROR(__xludf.DUMMYFUNCTION("""COMPUTED_VALUE"""),4.294099832E7)</f>
        <v>42940998.32</v>
      </c>
      <c r="S13" s="72">
        <f>IFERROR(__xludf.DUMMYFUNCTION("""COMPUTED_VALUE"""),0.02519085673207645)</f>
        <v>0.02519085673</v>
      </c>
      <c r="T13" s="70">
        <f>IFERROR(__xludf.DUMMYFUNCTION("""COMPUTED_VALUE"""),30.0)</f>
        <v>30</v>
      </c>
      <c r="U13" s="70"/>
      <c r="V13" s="71"/>
      <c r="W13" s="70"/>
      <c r="X13" s="70"/>
      <c r="Y13" s="70"/>
      <c r="Z13" s="70"/>
      <c r="AA13" s="70"/>
      <c r="AB13" s="70"/>
      <c r="AC13" s="70" t="str">
        <f>IFERROR(__xludf.DUMMYFUNCTION("""COMPUTED_VALUE"""),"Slovakia")</f>
        <v>Slovakia</v>
      </c>
      <c r="AD13" s="81">
        <f>IFERROR(__xludf.DUMMYFUNCTION("""COMPUTED_VALUE"""),4.294099832E7)</f>
        <v>42940998.32</v>
      </c>
      <c r="AE13" s="70" t="str">
        <f>IFERROR(__xludf.DUMMYFUNCTION("""COMPUTED_VALUE"""),"Office Supplies")</f>
        <v>Office Supplies</v>
      </c>
      <c r="AF13" s="81">
        <f>IFERROR(__xludf.DUMMYFUNCTION("""COMPUTED_VALUE"""),2.1624730470000003E7)</f>
        <v>21624730.47</v>
      </c>
      <c r="AG13" s="70"/>
      <c r="AH13" s="70"/>
      <c r="AI13" s="70"/>
      <c r="AJ13" s="70"/>
      <c r="AK13" s="70"/>
      <c r="AL13" s="70"/>
      <c r="AM13" s="70"/>
      <c r="AN13" s="70"/>
      <c r="AO13" s="70"/>
    </row>
    <row r="14">
      <c r="A14" s="49" t="str">
        <f>vlookup($C$2:$C$46,countries!$C$2:$D$250,2,FALSE)</f>
        <v>Europe</v>
      </c>
      <c r="B14" s="49" t="str">
        <f>vlookup($C$2:$C$46,countries!$C$2:$E$250,3,FALSE)</f>
        <v>Eastern Europe</v>
      </c>
      <c r="C14" s="70" t="str">
        <f>IFERROR(__xludf.DUMMYFUNCTION("""COMPUTED_VALUE"""),"Romania")</f>
        <v>Romania</v>
      </c>
      <c r="D14" s="67">
        <f>SUMIF('Copy of events чорновий'!P$2:P$1331,C14,'Copy of events чорновий'!K$2:K$1331)</f>
        <v>34286150.85</v>
      </c>
      <c r="E14" s="68">
        <f>D14/total!$D$2</f>
        <v>0.0201135872</v>
      </c>
      <c r="F14" s="66">
        <f>COUNTIF('Copy of events чорновий'!P$2:P$1331,$C14)</f>
        <v>34</v>
      </c>
      <c r="G14" s="69">
        <f>AVERAGEIF('Copy of events чорновий'!P$2:P$1331, C14,'Copy of events чорновий'!S$2:S$1331)</f>
        <v>24.94117647</v>
      </c>
      <c r="H14" s="70">
        <f>IFERROR(__xludf.DUMMYFUNCTION("MODE(filter('Copy of events чорновий'!F$2:F$1331, ('Copy of events чорновий'!P$2:P$1331 =C14),('Copy of events чорновий'!P$2:P$1331 &lt;&gt;""""),('Copy of events чорновий'!P$2:P$1331 &lt;&gt;""#N/A"")))"),3127.0)</f>
        <v>3127</v>
      </c>
      <c r="I14" s="70" t="str">
        <f>VLOOKUP($H$2:$H$46,products!A$2:B$13,2,false)</f>
        <v>Personal Care</v>
      </c>
      <c r="J14" s="71">
        <f>SUMIFS('Copy of events чорновий'!K$2:K$1331,'Copy of events чорновий'!F$2:F$1331,H14,'Copy of events чорновий'!P$2:P$1331,C14)</f>
        <v>1991923.56</v>
      </c>
      <c r="K14" s="72">
        <f t="shared" si="1"/>
        <v>0.05809703074</v>
      </c>
      <c r="L14" s="49"/>
      <c r="M14" s="49"/>
      <c r="N14" s="49"/>
      <c r="O14" s="49"/>
      <c r="P14" s="70"/>
      <c r="Q14" s="70" t="str">
        <f>IFERROR(__xludf.DUMMYFUNCTION("""COMPUTED_VALUE"""),"Hungary")</f>
        <v>Hungary</v>
      </c>
      <c r="R14" s="71">
        <f>IFERROR(__xludf.DUMMYFUNCTION("""COMPUTED_VALUE"""),4.2408249120000005E7)</f>
        <v>42408249.12</v>
      </c>
      <c r="S14" s="72">
        <f>IFERROR(__xludf.DUMMYFUNCTION("""COMPUTED_VALUE"""),0.02487832536819622)</f>
        <v>0.02487832537</v>
      </c>
      <c r="T14" s="70">
        <f>IFERROR(__xludf.DUMMYFUNCTION("""COMPUTED_VALUE"""),25.0)</f>
        <v>25</v>
      </c>
      <c r="U14" s="70"/>
      <c r="V14" s="71"/>
      <c r="W14" s="70"/>
      <c r="X14" s="70"/>
      <c r="Y14" s="70"/>
      <c r="Z14" s="70"/>
      <c r="AA14" s="70"/>
      <c r="AB14" s="70"/>
      <c r="AC14" s="70" t="str">
        <f>IFERROR(__xludf.DUMMYFUNCTION("""COMPUTED_VALUE"""),"Hungary")</f>
        <v>Hungary</v>
      </c>
      <c r="AD14" s="81">
        <f>IFERROR(__xludf.DUMMYFUNCTION("""COMPUTED_VALUE"""),4.2408249120000005E7)</f>
        <v>42408249.12</v>
      </c>
      <c r="AE14" s="70" t="str">
        <f>IFERROR(__xludf.DUMMYFUNCTION("""COMPUTED_VALUE"""),"Baby Food")</f>
        <v>Baby Food</v>
      </c>
      <c r="AF14" s="81">
        <f>IFERROR(__xludf.DUMMYFUNCTION("""COMPUTED_VALUE"""),1.0333479120000001E7)</f>
        <v>10333479.12</v>
      </c>
      <c r="AG14" s="70"/>
      <c r="AH14" s="70"/>
      <c r="AI14" s="70"/>
      <c r="AJ14" s="70"/>
      <c r="AK14" s="70"/>
      <c r="AL14" s="70"/>
      <c r="AM14" s="70"/>
      <c r="AN14" s="70"/>
      <c r="AO14" s="70"/>
    </row>
    <row r="15">
      <c r="A15" s="49" t="str">
        <f>vlookup($C$2:$C$46,countries!$C$2:$D$250,2,FALSE)</f>
        <v>Europe</v>
      </c>
      <c r="B15" s="49" t="str">
        <f>vlookup($C$2:$C$46,countries!$C$2:$E$250,3,FALSE)</f>
        <v>Eastern Europe</v>
      </c>
      <c r="C15" s="70" t="str">
        <f>IFERROR(__xludf.DUMMYFUNCTION("""COMPUTED_VALUE"""),"Poland")</f>
        <v>Poland</v>
      </c>
      <c r="D15" s="67">
        <f>SUMIF('Copy of events чорновий'!P$2:P$1331,C15,'Copy of events чорновий'!K$2:K$1331)</f>
        <v>33805403.22</v>
      </c>
      <c r="E15" s="68">
        <f>D15/total!$D$2</f>
        <v>0.01983156197</v>
      </c>
      <c r="F15" s="66">
        <f>COUNTIF('Copy of events чорновий'!P$2:P$1331,$C15)</f>
        <v>28</v>
      </c>
      <c r="G15" s="69">
        <f>AVERAGEIF('Copy of events чорновий'!P$2:P$1331, C15,'Copy of events чорновий'!S$2:S$1331)</f>
        <v>27.46428571</v>
      </c>
      <c r="H15" s="70">
        <f>IFERROR(__xludf.DUMMYFUNCTION("MODE(filter('Copy of events чорновий'!F$2:F$1331, ('Copy of events чорновий'!P$2:P$1331 =C15),('Copy of events чорновий'!P$2:P$1331 &lt;&gt;""""),('Copy of events чорновий'!P$2:P$1331 &lt;&gt;""#N/A"")))"),2103.0)</f>
        <v>2103</v>
      </c>
      <c r="I15" s="70" t="str">
        <f>VLOOKUP($H$2:$H$46,products!A$2:B$13,2,false)</f>
        <v>Cereal</v>
      </c>
      <c r="J15" s="71">
        <f>SUMIFS('Copy of events чорновий'!K$2:K$1331,'Copy of events чорновий'!F$2:F$1331,H15,'Copy of events чорновий'!P$2:P$1331,C15)</f>
        <v>7759209.7</v>
      </c>
      <c r="K15" s="72">
        <f t="shared" si="1"/>
        <v>0.2295257255</v>
      </c>
      <c r="L15" s="49"/>
      <c r="M15" s="49"/>
      <c r="N15" s="49"/>
      <c r="O15" s="49"/>
      <c r="P15" s="70"/>
      <c r="Q15" s="70" t="str">
        <f>IFERROR(__xludf.DUMMYFUNCTION("""COMPUTED_VALUE"""),"Serbia")</f>
        <v>Serbia</v>
      </c>
      <c r="R15" s="71">
        <f>IFERROR(__xludf.DUMMYFUNCTION("""COMPUTED_VALUE"""),4.219353774E7)</f>
        <v>42193537.74</v>
      </c>
      <c r="S15" s="72">
        <f>IFERROR(__xludf.DUMMYFUNCTION("""COMPUTED_VALUE"""),0.024752367336852377)</f>
        <v>0.02475236734</v>
      </c>
      <c r="T15" s="70">
        <f>IFERROR(__xludf.DUMMYFUNCTION("""COMPUTED_VALUE"""),29.0)</f>
        <v>29</v>
      </c>
      <c r="U15" s="70"/>
      <c r="V15" s="71"/>
      <c r="W15" s="70"/>
      <c r="X15" s="70"/>
      <c r="Y15" s="70"/>
      <c r="Z15" s="70"/>
      <c r="AA15" s="70"/>
      <c r="AB15" s="70"/>
      <c r="AC15" s="70" t="str">
        <f>IFERROR(__xludf.DUMMYFUNCTION("""COMPUTED_VALUE"""),"Serbia")</f>
        <v>Serbia</v>
      </c>
      <c r="AD15" s="81">
        <f>IFERROR(__xludf.DUMMYFUNCTION("""COMPUTED_VALUE"""),4.219353774E7)</f>
        <v>42193537.74</v>
      </c>
      <c r="AE15" s="70" t="str">
        <f>IFERROR(__xludf.DUMMYFUNCTION("""COMPUTED_VALUE"""),"Vegetables")</f>
        <v>Vegetables</v>
      </c>
      <c r="AF15" s="81">
        <f>IFERROR(__xludf.DUMMYFUNCTION("""COMPUTED_VALUE"""),5985231.0)</f>
        <v>5985231</v>
      </c>
      <c r="AG15" s="70"/>
      <c r="AH15" s="70"/>
      <c r="AI15" s="70"/>
      <c r="AJ15" s="70"/>
      <c r="AK15" s="70"/>
      <c r="AL15" s="70"/>
      <c r="AM15" s="70"/>
      <c r="AN15" s="70"/>
      <c r="AO15" s="70"/>
    </row>
    <row r="16">
      <c r="A16" s="49" t="str">
        <f>vlookup($C$2:$C$46,countries!$C$2:$D$250,2,FALSE)</f>
        <v>Europe</v>
      </c>
      <c r="B16" s="49" t="str">
        <f>vlookup($C$2:$C$46,countries!$C$2:$E$250,3,FALSE)</f>
        <v>Western Europe</v>
      </c>
      <c r="C16" s="70" t="str">
        <f>IFERROR(__xludf.DUMMYFUNCTION("""COMPUTED_VALUE"""),"Luxembourg")</f>
        <v>Luxembourg</v>
      </c>
      <c r="D16" s="67">
        <f>SUMIF('Copy of events чорновий'!P$2:P$1331,C16,'Copy of events чорновий'!K$2:K$1331)</f>
        <v>33075377.21</v>
      </c>
      <c r="E16" s="68">
        <f>D16/total!$D$2</f>
        <v>0.01940330037</v>
      </c>
      <c r="F16" s="66">
        <f>COUNTIF('Copy of events чорновий'!P$2:P$1331,$C16)</f>
        <v>28</v>
      </c>
      <c r="G16" s="69">
        <f>AVERAGEIF('Copy of events чорновий'!P$2:P$1331, C16,'Copy of events чорновий'!S$2:S$1331)</f>
        <v>27.75</v>
      </c>
      <c r="H16" s="70">
        <f>IFERROR(__xludf.DUMMYFUNCTION("MODE(filter('Copy of events чорновий'!F$2:F$1331, ('Copy of events чорновий'!P$2:P$1331 =C16),('Copy of events чорновий'!P$2:P$1331 &lt;&gt;""""),('Copy of events чорновий'!P$2:P$1331 &lt;&gt;""#N/A"")))"),4594.0)</f>
        <v>4594</v>
      </c>
      <c r="I16" s="70" t="str">
        <f>VLOOKUP($H$2:$H$46,products!A$2:B$13,2,false)</f>
        <v>Fruits</v>
      </c>
      <c r="J16" s="71">
        <f>SUMIFS('Copy of events чорновий'!K$2:K$1331,'Copy of events чорновий'!F$2:F$1331,H16,'Copy of events чорновий'!P$2:P$1331,C16)</f>
        <v>76991.16</v>
      </c>
      <c r="K16" s="72">
        <f t="shared" si="1"/>
        <v>0.002327748509</v>
      </c>
      <c r="L16" s="49"/>
      <c r="M16" s="49"/>
      <c r="N16" s="49"/>
      <c r="O16" s="49"/>
      <c r="P16" s="70"/>
      <c r="Q16" s="70" t="str">
        <f>IFERROR(__xludf.DUMMYFUNCTION("""COMPUTED_VALUE"""),"France")</f>
        <v>France</v>
      </c>
      <c r="R16" s="71">
        <f>IFERROR(__xludf.DUMMYFUNCTION("""COMPUTED_VALUE"""),3.9362112150000006E7)</f>
        <v>39362112.15</v>
      </c>
      <c r="S16" s="72">
        <f>IFERROR(__xludf.DUMMYFUNCTION("""COMPUTED_VALUE"""),0.023091343160057575)</f>
        <v>0.02309134316</v>
      </c>
      <c r="T16" s="70">
        <f>IFERROR(__xludf.DUMMYFUNCTION("""COMPUTED_VALUE"""),26.0)</f>
        <v>26</v>
      </c>
      <c r="U16" s="70"/>
      <c r="V16" s="71"/>
      <c r="W16" s="70"/>
      <c r="X16" s="70"/>
      <c r="Y16" s="70"/>
      <c r="Z16" s="70"/>
      <c r="AA16" s="70"/>
      <c r="AB16" s="70"/>
      <c r="AC16" s="70" t="str">
        <f>IFERROR(__xludf.DUMMYFUNCTION("""COMPUTED_VALUE"""),"France")</f>
        <v>France</v>
      </c>
      <c r="AD16" s="81">
        <f>IFERROR(__xludf.DUMMYFUNCTION("""COMPUTED_VALUE"""),3.9362112150000006E7)</f>
        <v>39362112.15</v>
      </c>
      <c r="AE16" s="70" t="str">
        <f>IFERROR(__xludf.DUMMYFUNCTION("""COMPUTED_VALUE"""),"Office Supplies")</f>
        <v>Office Supplies</v>
      </c>
      <c r="AF16" s="81">
        <f>IFERROR(__xludf.DUMMYFUNCTION("""COMPUTED_VALUE"""),1.538483625E7)</f>
        <v>15384836.25</v>
      </c>
      <c r="AG16" s="70"/>
      <c r="AH16" s="70"/>
      <c r="AI16" s="70"/>
      <c r="AJ16" s="70"/>
      <c r="AK16" s="70"/>
      <c r="AL16" s="70"/>
      <c r="AM16" s="70"/>
      <c r="AN16" s="70"/>
      <c r="AO16" s="70"/>
    </row>
    <row r="17">
      <c r="A17" s="49" t="str">
        <f>vlookup($C$2:$C$46,countries!$C$2:$D$250,2,FALSE)</f>
        <v>Asia</v>
      </c>
      <c r="B17" s="49" t="str">
        <f>vlookup($C$2:$C$46,countries!$C$2:$E$250,3,FALSE)</f>
        <v>Western Asia</v>
      </c>
      <c r="C17" s="70" t="str">
        <f>IFERROR(__xludf.DUMMYFUNCTION("""COMPUTED_VALUE"""),"Cyprus")</f>
        <v>Cyprus</v>
      </c>
      <c r="D17" s="67">
        <f>SUMIF('Copy of events чорновий'!P$2:P$1331,C17,'Copy of events чорновий'!K$2:K$1331)</f>
        <v>33008851.5</v>
      </c>
      <c r="E17" s="68">
        <f>D17/total!$D$2</f>
        <v>0.01936427381</v>
      </c>
      <c r="F17" s="66">
        <f>COUNTIF('Copy of events чорновий'!P$2:P$1331,$C17)</f>
        <v>30</v>
      </c>
      <c r="G17" s="69">
        <f>AVERAGEIF('Copy of events чорновий'!P$2:P$1331, C17,'Copy of events чорновий'!S$2:S$1331)</f>
        <v>23.23333333</v>
      </c>
      <c r="H17" s="70">
        <f>IFERROR(__xludf.DUMMYFUNCTION("MODE(filter('Copy of events чорновий'!F$2:F$1331, ('Copy of events чорновий'!P$2:P$1331 =C17),('Copy of events чорновий'!P$2:P$1331 &lt;&gt;""""),('Copy of events чорновий'!P$2:P$1331 &lt;&gt;""#N/A"")))"),2455.0)</f>
        <v>2455</v>
      </c>
      <c r="I17" s="70" t="str">
        <f>VLOOKUP($H$2:$H$46,products!A$2:B$13,2,false)</f>
        <v>Clothes</v>
      </c>
      <c r="J17" s="71">
        <f>SUMIFS('Copy of events чорновий'!K$2:K$1331,'Copy of events чорновий'!F$2:F$1331,H17,'Copy of events чорновий'!P$2:P$1331,C17)</f>
        <v>3461116.16</v>
      </c>
      <c r="K17" s="72">
        <f t="shared" si="1"/>
        <v>0.1048541831</v>
      </c>
      <c r="L17" s="49"/>
      <c r="M17" s="49"/>
      <c r="N17" s="49"/>
      <c r="O17" s="49"/>
      <c r="P17" s="70"/>
      <c r="Q17" s="70" t="str">
        <f>IFERROR(__xludf.DUMMYFUNCTION("""COMPUTED_VALUE"""),"Slovenia")</f>
        <v>Slovenia</v>
      </c>
      <c r="R17" s="71">
        <f>IFERROR(__xludf.DUMMYFUNCTION("""COMPUTED_VALUE"""),3.8892531269999996E7)</f>
        <v>38892531.27</v>
      </c>
      <c r="S17" s="72">
        <f>IFERROR(__xludf.DUMMYFUNCTION("""COMPUTED_VALUE"""),0.02281586878510125)</f>
        <v>0.02281586879</v>
      </c>
      <c r="T17" s="70">
        <f>IFERROR(__xludf.DUMMYFUNCTION("""COMPUTED_VALUE"""),27.0)</f>
        <v>27</v>
      </c>
      <c r="U17" s="70"/>
      <c r="V17" s="71"/>
      <c r="W17" s="70"/>
      <c r="X17" s="70"/>
      <c r="Y17" s="70"/>
      <c r="Z17" s="70"/>
      <c r="AA17" s="70"/>
      <c r="AB17" s="70"/>
      <c r="AC17" s="70" t="str">
        <f>IFERROR(__xludf.DUMMYFUNCTION("""COMPUTED_VALUE"""),"Slovenia")</f>
        <v>Slovenia</v>
      </c>
      <c r="AD17" s="81">
        <f>IFERROR(__xludf.DUMMYFUNCTION("""COMPUTED_VALUE"""),3.8892531269999996E7)</f>
        <v>38892531.27</v>
      </c>
      <c r="AE17" s="70" t="str">
        <f>IFERROR(__xludf.DUMMYFUNCTION("""COMPUTED_VALUE"""),"Fruits")</f>
        <v>Fruits</v>
      </c>
      <c r="AF17" s="81">
        <f>IFERROR(__xludf.DUMMYFUNCTION("""COMPUTED_VALUE"""),249390.9)</f>
        <v>249390.9</v>
      </c>
      <c r="AG17" s="70"/>
      <c r="AH17" s="70"/>
      <c r="AI17" s="70"/>
      <c r="AJ17" s="70"/>
      <c r="AK17" s="70"/>
      <c r="AL17" s="70"/>
      <c r="AM17" s="70"/>
      <c r="AN17" s="70"/>
      <c r="AO17" s="70"/>
    </row>
    <row r="18">
      <c r="A18" s="49" t="str">
        <f>vlookup($C$2:$C$46,countries!$C$2:$D$250,2,FALSE)</f>
        <v>Europe</v>
      </c>
      <c r="B18" s="49" t="str">
        <f>vlookup($C$2:$C$46,countries!$C$2:$E$250,3,FALSE)</f>
        <v>Western Europe</v>
      </c>
      <c r="C18" s="70" t="str">
        <f>IFERROR(__xludf.DUMMYFUNCTION("""COMPUTED_VALUE"""),"Belgium")</f>
        <v>Belgium</v>
      </c>
      <c r="D18" s="67">
        <f>SUMIF('Copy of events чорновий'!P$2:P$1331,C18,'Copy of events чорновий'!K$2:K$1331)</f>
        <v>25852572.3</v>
      </c>
      <c r="E18" s="68">
        <f>D18/total!$D$2</f>
        <v>0.0151661226</v>
      </c>
      <c r="F18" s="66">
        <f>COUNTIF('Copy of events чорновий'!P$2:P$1331,$C18)</f>
        <v>26</v>
      </c>
      <c r="G18" s="69">
        <f>AVERAGEIF('Copy of events чорновий'!P$2:P$1331, C18,'Copy of events чорновий'!S$2:S$1331)</f>
        <v>26.53846154</v>
      </c>
      <c r="H18" s="70">
        <f>IFERROR(__xludf.DUMMYFUNCTION("MODE(filter('Copy of events чорновий'!F$2:F$1331, ('Copy of events чорновий'!P$2:P$1331 =C18),('Copy of events чорновий'!P$2:P$1331 &lt;&gt;""""),('Copy of events чорновий'!P$2:P$1331 &lt;&gt;""#N/A"")))"),4594.0)</f>
        <v>4594</v>
      </c>
      <c r="I18" s="70" t="str">
        <f>VLOOKUP($H$2:$H$46,products!A$2:B$13,2,false)</f>
        <v>Fruits</v>
      </c>
      <c r="J18" s="71">
        <f>SUMIFS('Copy of events чорновий'!K$2:K$1331,'Copy of events чорновий'!F$2:F$1331,H18,'Copy of events чорновий'!P$2:P$1331,C18)</f>
        <v>245696.22</v>
      </c>
      <c r="K18" s="72">
        <f t="shared" si="1"/>
        <v>0.009503743656</v>
      </c>
      <c r="L18" s="49"/>
      <c r="M18" s="49"/>
      <c r="N18" s="49"/>
      <c r="O18" s="49"/>
      <c r="P18" s="70"/>
      <c r="Q18" s="70" t="str">
        <f>IFERROR(__xludf.DUMMYFUNCTION("""COMPUTED_VALUE"""),"Latvia")</f>
        <v>Latvia</v>
      </c>
      <c r="R18" s="71">
        <f>IFERROR(__xludf.DUMMYFUNCTION("""COMPUTED_VALUE"""),3.8722084150000006E7)</f>
        <v>38722084.15</v>
      </c>
      <c r="S18" s="72">
        <f>IFERROR(__xludf.DUMMYFUNCTION("""COMPUTED_VALUE"""),0.02271587788716456)</f>
        <v>0.02271587789</v>
      </c>
      <c r="T18" s="70">
        <f>IFERROR(__xludf.DUMMYFUNCTION("""COMPUTED_VALUE"""),27.0)</f>
        <v>27</v>
      </c>
      <c r="U18" s="70"/>
      <c r="V18" s="71"/>
      <c r="W18" s="70"/>
      <c r="X18" s="70"/>
      <c r="Y18" s="70"/>
      <c r="Z18" s="70"/>
      <c r="AA18" s="70"/>
      <c r="AB18" s="70"/>
      <c r="AC18" s="70" t="str">
        <f>IFERROR(__xludf.DUMMYFUNCTION("""COMPUTED_VALUE"""),"Latvia")</f>
        <v>Latvia</v>
      </c>
      <c r="AD18" s="81">
        <f>IFERROR(__xludf.DUMMYFUNCTION("""COMPUTED_VALUE"""),3.8722084150000006E7)</f>
        <v>38722084.15</v>
      </c>
      <c r="AE18" s="70" t="str">
        <f>IFERROR(__xludf.DUMMYFUNCTION("""COMPUTED_VALUE"""),"Personal Care")</f>
        <v>Personal Care</v>
      </c>
      <c r="AF18" s="81">
        <f>IFERROR(__xludf.DUMMYFUNCTION("""COMPUTED_VALUE"""),2225017.52)</f>
        <v>2225017.52</v>
      </c>
      <c r="AG18" s="70"/>
      <c r="AH18" s="70"/>
      <c r="AI18" s="70"/>
      <c r="AJ18" s="70"/>
      <c r="AK18" s="70"/>
      <c r="AL18" s="70"/>
      <c r="AM18" s="70"/>
      <c r="AN18" s="70"/>
      <c r="AO18" s="70"/>
    </row>
    <row r="19">
      <c r="A19" s="49" t="str">
        <f>vlookup($C$2:$C$46,countries!$C$2:$D$250,2,FALSE)</f>
        <v>Europe</v>
      </c>
      <c r="B19" s="49" t="str">
        <f>vlookup($C$2:$C$46,countries!$C$2:$E$250,3,FALSE)</f>
        <v>Northern Europe</v>
      </c>
      <c r="C19" s="70" t="str">
        <f>IFERROR(__xludf.DUMMYFUNCTION("""COMPUTED_VALUE"""),"Lithuania")</f>
        <v>Lithuania</v>
      </c>
      <c r="D19" s="67">
        <f>SUMIF('Copy of events чорновий'!P$2:P$1331,C19,'Copy of events чорновий'!K$2:K$1331)</f>
        <v>29031942.1</v>
      </c>
      <c r="E19" s="68">
        <f>D19/total!$D$2</f>
        <v>0.01703126436</v>
      </c>
      <c r="F19" s="66">
        <f>COUNTIF('Copy of events чорновий'!P$2:P$1331,$C19)</f>
        <v>25</v>
      </c>
      <c r="G19" s="69">
        <f>AVERAGEIF('Copy of events чорновий'!P$2:P$1331, C19,'Copy of events чорновий'!S$2:S$1331)</f>
        <v>27.56</v>
      </c>
      <c r="H19" s="70">
        <f>IFERROR(__xludf.DUMMYFUNCTION("MODE(filter('Copy of events чорновий'!F$2:F$1331, ('Copy of events чорновий'!P$2:P$1331 =C19),('Copy of events чорновий'!P$2:P$1331 &lt;&gt;""""),('Copy of events чорновий'!P$2:P$1331 &lt;&gt;""#N/A"")))"),8681.0)</f>
        <v>8681</v>
      </c>
      <c r="I19" s="70" t="str">
        <f>VLOOKUP($H$2:$H$46,products!A$2:B$13,2,false)</f>
        <v>Office Supplies</v>
      </c>
      <c r="J19" s="71">
        <f>SUMIFS('Copy of events чорновий'!K$2:K$1331,'Copy of events чорновий'!F$2:F$1331,H19,'Copy of events чорновий'!P$2:P$1331,C19)</f>
        <v>10393311.6</v>
      </c>
      <c r="K19" s="72">
        <f t="shared" si="1"/>
        <v>0.3579957401</v>
      </c>
      <c r="L19" s="49"/>
      <c r="M19" s="49"/>
      <c r="N19" s="49"/>
      <c r="O19" s="49"/>
      <c r="P19" s="70"/>
      <c r="Q19" s="70" t="str">
        <f>IFERROR(__xludf.DUMMYFUNCTION("""COMPUTED_VALUE"""),"Greece")</f>
        <v>Greece</v>
      </c>
      <c r="R19" s="71">
        <f>IFERROR(__xludf.DUMMYFUNCTION("""COMPUTED_VALUE"""),3.8699541699999996E7)</f>
        <v>38699541.7</v>
      </c>
      <c r="S19" s="72">
        <f>IFERROR(__xludf.DUMMYFUNCTION("""COMPUTED_VALUE"""),0.022702653610818944)</f>
        <v>0.02270265361</v>
      </c>
      <c r="T19" s="70">
        <f>IFERROR(__xludf.DUMMYFUNCTION("""COMPUTED_VALUE"""),32.0)</f>
        <v>32</v>
      </c>
      <c r="U19" s="70"/>
      <c r="V19" s="71"/>
      <c r="W19" s="70"/>
      <c r="X19" s="70"/>
      <c r="Y19" s="70"/>
      <c r="Z19" s="70"/>
      <c r="AA19" s="70"/>
      <c r="AB19" s="70"/>
      <c r="AC19" s="70" t="str">
        <f>IFERROR(__xludf.DUMMYFUNCTION("""COMPUTED_VALUE"""),"Greece")</f>
        <v>Greece</v>
      </c>
      <c r="AD19" s="81">
        <f>IFERROR(__xludf.DUMMYFUNCTION("""COMPUTED_VALUE"""),3.8699541699999996E7)</f>
        <v>38699541.7</v>
      </c>
      <c r="AE19" s="70" t="str">
        <f>IFERROR(__xludf.DUMMYFUNCTION("""COMPUTED_VALUE"""),"Cereal")</f>
        <v>Cereal</v>
      </c>
      <c r="AF19" s="81">
        <f>IFERROR(__xludf.DUMMYFUNCTION("""COMPUTED_VALUE"""),5436445.3)</f>
        <v>5436445.3</v>
      </c>
      <c r="AG19" s="70"/>
      <c r="AH19" s="70"/>
      <c r="AI19" s="70"/>
      <c r="AJ19" s="70"/>
      <c r="AK19" s="70"/>
      <c r="AL19" s="70"/>
      <c r="AM19" s="70"/>
      <c r="AN19" s="70"/>
      <c r="AO19" s="70"/>
    </row>
    <row r="20">
      <c r="A20" s="49" t="str">
        <f>vlookup($C$2:$C$46,countries!$C$2:$D$250,2,FALSE)</f>
        <v>Europe</v>
      </c>
      <c r="B20" s="49" t="str">
        <f>vlookup($C$2:$C$46,countries!$C$2:$E$250,3,FALSE)</f>
        <v>Eastern Europe</v>
      </c>
      <c r="C20" s="70" t="str">
        <f>IFERROR(__xludf.DUMMYFUNCTION("""COMPUTED_VALUE"""),"Russia")</f>
        <v>Russia</v>
      </c>
      <c r="D20" s="67">
        <f>SUMIF('Copy of events чорновий'!P$2:P$1331,C20,'Copy of events чорновий'!K$2:K$1331)</f>
        <v>46051659.81</v>
      </c>
      <c r="E20" s="68">
        <f>D20/total!$D$2</f>
        <v>0.02701569153</v>
      </c>
      <c r="F20" s="66">
        <f>COUNTIF('Copy of events чорновий'!P$2:P$1331,$C20)</f>
        <v>32</v>
      </c>
      <c r="G20" s="69">
        <f>AVERAGEIF('Copy of events чорновий'!P$2:P$1331, C20,'Copy of events чорновий'!S$2:S$1331)</f>
        <v>27.375</v>
      </c>
      <c r="H20" s="70">
        <f>IFERROR(__xludf.DUMMYFUNCTION("MODE(filter('Copy of events чорновий'!F$2:F$1331, ('Copy of events чорновий'!P$2:P$1331 =C20),('Copy of events чорновий'!P$2:P$1331 &lt;&gt;""""),('Copy of events чорновий'!P$2:P$1331 &lt;&gt;""#N/A"")))"),2455.0)</f>
        <v>2455</v>
      </c>
      <c r="I20" s="70" t="str">
        <f>VLOOKUP($H$2:$H$46,products!A$2:B$13,2,false)</f>
        <v>Clothes</v>
      </c>
      <c r="J20" s="71">
        <f>SUMIFS('Copy of events чорновий'!K$2:K$1331,'Copy of events чорновий'!F$2:F$1331,H20,'Copy of events чорновий'!P$2:P$1331,C20)</f>
        <v>2798223.68</v>
      </c>
      <c r="K20" s="72">
        <f t="shared" si="1"/>
        <v>0.06076271065</v>
      </c>
      <c r="L20" s="49"/>
      <c r="M20" s="49"/>
      <c r="N20" s="49"/>
      <c r="O20" s="49"/>
      <c r="P20" s="70"/>
      <c r="Q20" s="70" t="str">
        <f>IFERROR(__xludf.DUMMYFUNCTION("""COMPUTED_VALUE"""),"Bulgaria")</f>
        <v>Bulgaria</v>
      </c>
      <c r="R20" s="71">
        <f>IFERROR(__xludf.DUMMYFUNCTION("""COMPUTED_VALUE"""),3.81615557E7)</f>
        <v>38161555.7</v>
      </c>
      <c r="S20" s="72">
        <f>IFERROR(__xludf.DUMMYFUNCTION("""COMPUTED_VALUE"""),0.02238705013674809)</f>
        <v>0.02238705014</v>
      </c>
      <c r="T20" s="70">
        <f>IFERROR(__xludf.DUMMYFUNCTION("""COMPUTED_VALUE"""),30.0)</f>
        <v>30</v>
      </c>
      <c r="U20" s="70"/>
      <c r="V20" s="71"/>
      <c r="W20" s="70"/>
      <c r="X20" s="70"/>
      <c r="Y20" s="70"/>
      <c r="Z20" s="70"/>
      <c r="AA20" s="70"/>
      <c r="AB20" s="70"/>
      <c r="AC20" s="70" t="str">
        <f>IFERROR(__xludf.DUMMYFUNCTION("""COMPUTED_VALUE"""),"Bulgaria")</f>
        <v>Bulgaria</v>
      </c>
      <c r="AD20" s="81">
        <f>IFERROR(__xludf.DUMMYFUNCTION("""COMPUTED_VALUE"""),3.81615557E7)</f>
        <v>38161555.7</v>
      </c>
      <c r="AE20" s="70" t="str">
        <f>IFERROR(__xludf.DUMMYFUNCTION("""COMPUTED_VALUE"""),"Office Supplies")</f>
        <v>Office Supplies</v>
      </c>
      <c r="AF20" s="81">
        <f>IFERROR(__xludf.DUMMYFUNCTION("""COMPUTED_VALUE"""),1.198552005E7)</f>
        <v>11985520.05</v>
      </c>
      <c r="AG20" s="70"/>
      <c r="AH20" s="70"/>
      <c r="AI20" s="70"/>
      <c r="AJ20" s="70"/>
      <c r="AK20" s="70"/>
      <c r="AL20" s="70"/>
      <c r="AM20" s="70"/>
      <c r="AN20" s="70"/>
      <c r="AO20" s="70"/>
    </row>
    <row r="21">
      <c r="A21" s="49" t="str">
        <f>vlookup($C$2:$C$46,countries!$C$2:$D$250,2,FALSE)</f>
        <v>Europe</v>
      </c>
      <c r="B21" s="49" t="str">
        <f>vlookup($C$2:$C$46,countries!$C$2:$E$250,3,FALSE)</f>
        <v>Southern Europe</v>
      </c>
      <c r="C21" s="70" t="str">
        <f>IFERROR(__xludf.DUMMYFUNCTION("""COMPUTED_VALUE"""),"Malta")</f>
        <v>Malta</v>
      </c>
      <c r="D21" s="67">
        <f>SUMIF('Copy of events чорновий'!P$2:P$1331,C21,'Copy of events чорновий'!K$2:K$1331)</f>
        <v>47145320.81</v>
      </c>
      <c r="E21" s="68">
        <f>D21/total!$D$2</f>
        <v>0.02765727553</v>
      </c>
      <c r="F21" s="66">
        <f>COUNTIF('Copy of events чорновий'!P$2:P$1331,$C21)</f>
        <v>32</v>
      </c>
      <c r="G21" s="69">
        <f>AVERAGEIF('Copy of events чорновий'!P$2:P$1331, C21,'Copy of events чорновий'!S$2:S$1331)</f>
        <v>21.5625</v>
      </c>
      <c r="H21" s="70">
        <f>IFERROR(__xludf.DUMMYFUNCTION("MODE(filter('Copy of events чорновий'!F$2:F$1331, ('Copy of events чорновий'!P$2:P$1331 =C21),('Copy of events чорновий'!P$2:P$1331 &lt;&gt;""""),('Copy of events чорновий'!P$2:P$1331 &lt;&gt;""#N/A"")))"),8293.0)</f>
        <v>8293</v>
      </c>
      <c r="I21" s="70" t="str">
        <f>VLOOKUP($H$2:$H$46,products!A$2:B$13,2,false)</f>
        <v>Cosmetics</v>
      </c>
      <c r="J21" s="71">
        <f>SUMIFS('Copy of events чорновий'!K$2:K$1331,'Copy of events чорновий'!F$2:F$1331,H21,'Copy of events чорновий'!P$2:P$1331,C21)</f>
        <v>14922947.6</v>
      </c>
      <c r="K21" s="72">
        <f t="shared" si="1"/>
        <v>0.3165308316</v>
      </c>
      <c r="L21" s="49"/>
      <c r="M21" s="49"/>
      <c r="N21" s="49"/>
      <c r="O21" s="49"/>
      <c r="P21" s="70"/>
      <c r="Q21" s="70" t="str">
        <f>IFERROR(__xludf.DUMMYFUNCTION("""COMPUTED_VALUE"""),"Germany")</f>
        <v>Germany</v>
      </c>
      <c r="R21" s="71">
        <f>IFERROR(__xludf.DUMMYFUNCTION("""COMPUTED_VALUE"""),3.8055087559999995E7)</f>
        <v>38055087.56</v>
      </c>
      <c r="S21" s="72">
        <f>IFERROR(__xludf.DUMMYFUNCTION("""COMPUTED_VALUE"""),0.022324591792363915)</f>
        <v>0.02232459179</v>
      </c>
      <c r="T21" s="70">
        <f>IFERROR(__xludf.DUMMYFUNCTION("""COMPUTED_VALUE"""),26.0)</f>
        <v>26</v>
      </c>
      <c r="U21" s="70"/>
      <c r="V21" s="71"/>
      <c r="W21" s="70"/>
      <c r="X21" s="70"/>
      <c r="Y21" s="70"/>
      <c r="Z21" s="70"/>
      <c r="AA21" s="70"/>
      <c r="AB21" s="70"/>
      <c r="AC21" s="70" t="str">
        <f>IFERROR(__xludf.DUMMYFUNCTION("""COMPUTED_VALUE"""),"Germany")</f>
        <v>Germany</v>
      </c>
      <c r="AD21" s="81">
        <f>IFERROR(__xludf.DUMMYFUNCTION("""COMPUTED_VALUE"""),3.8055087559999995E7)</f>
        <v>38055087.56</v>
      </c>
      <c r="AE21" s="70" t="str">
        <f>IFERROR(__xludf.DUMMYFUNCTION("""COMPUTED_VALUE"""),"Cereal")</f>
        <v>Cereal</v>
      </c>
      <c r="AF21" s="81">
        <f>IFERROR(__xludf.DUMMYFUNCTION("""COMPUTED_VALUE"""),3660431.4999999995)</f>
        <v>3660431.5</v>
      </c>
      <c r="AG21" s="70"/>
      <c r="AH21" s="70"/>
      <c r="AI21" s="70"/>
      <c r="AJ21" s="70"/>
      <c r="AK21" s="70"/>
      <c r="AL21" s="70"/>
      <c r="AM21" s="70"/>
      <c r="AN21" s="70"/>
      <c r="AO21" s="70"/>
    </row>
    <row r="22">
      <c r="A22" s="49" t="str">
        <f>vlookup($C$2:$C$46,countries!$C$2:$D$250,2,FALSE)</f>
        <v>Europe</v>
      </c>
      <c r="B22" s="49" t="str">
        <f>vlookup($C$2:$C$46,countries!$C$2:$E$250,3,FALSE)</f>
        <v>Eastern Europe</v>
      </c>
      <c r="C22" s="70" t="str">
        <f>IFERROR(__xludf.DUMMYFUNCTION("""COMPUTED_VALUE"""),"Ukraine")</f>
        <v>Ukraine</v>
      </c>
      <c r="D22" s="67">
        <f>SUMIF('Copy of events чорновий'!P$2:P$1331,C22,'Copy of events чорновий'!K$2:K$1331)</f>
        <v>53252317.54</v>
      </c>
      <c r="E22" s="68">
        <f>D22/total!$D$2</f>
        <v>0.03123987691</v>
      </c>
      <c r="F22" s="66">
        <f>COUNTIF('Copy of events чорновий'!P$2:P$1331,$C22)</f>
        <v>33</v>
      </c>
      <c r="G22" s="69">
        <f>AVERAGEIF('Copy of events чорновий'!P$2:P$1331, C22,'Copy of events чорновий'!S$2:S$1331)</f>
        <v>25.75757576</v>
      </c>
      <c r="H22" s="70">
        <f>IFERROR(__xludf.DUMMYFUNCTION("MODE(filter('Copy of events чорновий'!F$2:F$1331, ('Copy of events чорновий'!P$2:P$1331 =C22),('Copy of events чорновий'!P$2:P$1331 &lt;&gt;""""),('Copy of events чорновий'!P$2:P$1331 &lt;&gt;""#N/A"")))"),8293.0)</f>
        <v>8293</v>
      </c>
      <c r="I22" s="70" t="str">
        <f>VLOOKUP($H$2:$H$46,products!A$2:B$13,2,false)</f>
        <v>Cosmetics</v>
      </c>
      <c r="J22" s="71">
        <f>SUMIFS('Copy of events чорновий'!K$2:K$1331,'Copy of events чорновий'!F$2:F$1331,H22,'Copy of events чорновий'!P$2:P$1331,C22)</f>
        <v>12874665.6</v>
      </c>
      <c r="K22" s="72">
        <f t="shared" si="1"/>
        <v>0.2417672356</v>
      </c>
      <c r="L22" s="49"/>
      <c r="M22" s="49"/>
      <c r="N22" s="49"/>
      <c r="O22" s="49"/>
      <c r="P22" s="70"/>
      <c r="Q22" s="70" t="str">
        <f>IFERROR(__xludf.DUMMYFUNCTION("""COMPUTED_VALUE"""),"Armenia")</f>
        <v>Armenia</v>
      </c>
      <c r="R22" s="71">
        <f>IFERROR(__xludf.DUMMYFUNCTION("""COMPUTED_VALUE"""),3.751984020999999E7)</f>
        <v>37519840.21</v>
      </c>
      <c r="S22" s="72">
        <f>IFERROR(__xludf.DUMMYFUNCTION("""COMPUTED_VALUE"""),0.02201059491670689)</f>
        <v>0.02201059492</v>
      </c>
      <c r="T22" s="70">
        <f>IFERROR(__xludf.DUMMYFUNCTION("""COMPUTED_VALUE"""),29.0)</f>
        <v>29</v>
      </c>
      <c r="U22" s="70"/>
      <c r="V22" s="71"/>
      <c r="W22" s="70"/>
      <c r="X22" s="70"/>
      <c r="Y22" s="70"/>
      <c r="Z22" s="70"/>
      <c r="AA22" s="70"/>
      <c r="AB22" s="70"/>
      <c r="AC22" s="70" t="str">
        <f>IFERROR(__xludf.DUMMYFUNCTION("""COMPUTED_VALUE"""),"Armenia")</f>
        <v>Armenia</v>
      </c>
      <c r="AD22" s="81">
        <f>IFERROR(__xludf.DUMMYFUNCTION("""COMPUTED_VALUE"""),3.751984020999999E7)</f>
        <v>37519840.21</v>
      </c>
      <c r="AE22" s="70" t="str">
        <f>IFERROR(__xludf.DUMMYFUNCTION("""COMPUTED_VALUE"""),"Meat")</f>
        <v>Meat</v>
      </c>
      <c r="AF22" s="81">
        <f>IFERROR(__xludf.DUMMYFUNCTION("""COMPUTED_VALUE"""),1.26356055E7)</f>
        <v>12635605.5</v>
      </c>
      <c r="AG22" s="70"/>
      <c r="AH22" s="70"/>
      <c r="AI22" s="70"/>
      <c r="AJ22" s="70"/>
      <c r="AK22" s="70"/>
      <c r="AL22" s="70"/>
      <c r="AM22" s="70"/>
      <c r="AN22" s="70"/>
      <c r="AO22" s="70"/>
    </row>
    <row r="23">
      <c r="A23" s="49" t="str">
        <f>vlookup($C$2:$C$46,countries!$C$2:$D$250,2,FALSE)</f>
        <v>Europe</v>
      </c>
      <c r="B23" s="49" t="str">
        <f>vlookup($C$2:$C$46,countries!$C$2:$E$250,3,FALSE)</f>
        <v>Eastern Europe</v>
      </c>
      <c r="C23" s="70" t="str">
        <f>IFERROR(__xludf.DUMMYFUNCTION("""COMPUTED_VALUE"""),"Czech Republic")</f>
        <v>Czech Republic</v>
      </c>
      <c r="D23" s="67">
        <f>SUMIF('Copy of events чорновий'!P$2:P$1331,C23,'Copy of events чорновий'!K$2:K$1331)</f>
        <v>53543932.14</v>
      </c>
      <c r="E23" s="68">
        <f>D23/total!$D$2</f>
        <v>0.03141094935</v>
      </c>
      <c r="F23" s="66">
        <f>COUNTIF('Copy of events чорновий'!P$2:P$1331,$C23)</f>
        <v>31</v>
      </c>
      <c r="G23" s="69">
        <f>AVERAGEIF('Copy of events чорновий'!P$2:P$1331, C23,'Copy of events чорновий'!S$2:S$1331)</f>
        <v>25.22580645</v>
      </c>
      <c r="H23" s="70">
        <f>IFERROR(__xludf.DUMMYFUNCTION("MODE(filter('Copy of events чорновий'!F$2:F$1331, ('Copy of events чорновий'!P$2:P$1331 =C23),('Copy of events чорновий'!P$2:P$1331 &lt;&gt;""""),('Copy of events чорновий'!P$2:P$1331 &lt;&gt;""#N/A"")))"),7940.0)</f>
        <v>7940</v>
      </c>
      <c r="I23" s="70" t="str">
        <f>VLOOKUP($H$2:$H$46,products!A$2:B$13,2,false)</f>
        <v>Household</v>
      </c>
      <c r="J23" s="71">
        <f>SUMIFS('Copy of events чорновий'!K$2:K$1331,'Copy of events чорновий'!F$2:F$1331,H23,'Copy of events чорновий'!P$2:P$1331,C23)</f>
        <v>22456545.08</v>
      </c>
      <c r="K23" s="72">
        <f t="shared" si="1"/>
        <v>0.4194041077</v>
      </c>
      <c r="L23" s="49"/>
      <c r="M23" s="49"/>
      <c r="N23" s="49"/>
      <c r="O23" s="49"/>
      <c r="P23" s="70"/>
      <c r="Q23" s="70" t="str">
        <f>IFERROR(__xludf.DUMMYFUNCTION("""COMPUTED_VALUE"""),"Italy")</f>
        <v>Italy</v>
      </c>
      <c r="R23" s="71">
        <f>IFERROR(__xludf.DUMMYFUNCTION("""COMPUTED_VALUE"""),3.587835212E7)</f>
        <v>35878352.12</v>
      </c>
      <c r="S23" s="72">
        <f>IFERROR(__xludf.DUMMYFUNCTION("""COMPUTED_VALUE"""),0.02104763427488733)</f>
        <v>0.02104763427</v>
      </c>
      <c r="T23" s="70">
        <f>IFERROR(__xludf.DUMMYFUNCTION("""COMPUTED_VALUE"""),30.0)</f>
        <v>30</v>
      </c>
      <c r="U23" s="70"/>
      <c r="V23" s="71"/>
      <c r="W23" s="70"/>
      <c r="X23" s="70"/>
      <c r="Y23" s="70"/>
      <c r="Z23" s="70"/>
      <c r="AA23" s="70"/>
      <c r="AB23" s="70"/>
      <c r="AC23" s="70" t="str">
        <f>IFERROR(__xludf.DUMMYFUNCTION("""COMPUTED_VALUE"""),"Italy")</f>
        <v>Italy</v>
      </c>
      <c r="AD23" s="81">
        <f>IFERROR(__xludf.DUMMYFUNCTION("""COMPUTED_VALUE"""),3.587835212E7)</f>
        <v>35878352.12</v>
      </c>
      <c r="AE23" s="70" t="str">
        <f>IFERROR(__xludf.DUMMYFUNCTION("""COMPUTED_VALUE"""),"Clothes")</f>
        <v>Clothes</v>
      </c>
      <c r="AF23" s="81">
        <f>IFERROR(__xludf.DUMMYFUNCTION("""COMPUTED_VALUE"""),2701948.0)</f>
        <v>2701948</v>
      </c>
      <c r="AG23" s="70"/>
      <c r="AH23" s="70"/>
      <c r="AI23" s="70"/>
      <c r="AJ23" s="70"/>
      <c r="AK23" s="70"/>
      <c r="AL23" s="70"/>
      <c r="AM23" s="70"/>
      <c r="AN23" s="70"/>
      <c r="AO23" s="70"/>
    </row>
    <row r="24">
      <c r="A24" s="49" t="str">
        <f>vlookup($C$2:$C$46,countries!$C$2:$D$250,2,FALSE)</f>
        <v>Europe</v>
      </c>
      <c r="B24" s="49" t="str">
        <f>vlookup($C$2:$C$46,countries!$C$2:$E$250,3,FALSE)</f>
        <v>Southern Europe</v>
      </c>
      <c r="C24" s="70" t="str">
        <f>IFERROR(__xludf.DUMMYFUNCTION("""COMPUTED_VALUE"""),"Portugal")</f>
        <v>Portugal</v>
      </c>
      <c r="D24" s="67">
        <f>SUMIF('Copy of events чорновий'!P$2:P$1331,C24,'Copy of events чорновий'!K$2:K$1331)</f>
        <v>47172189.84</v>
      </c>
      <c r="E24" s="68">
        <f>D24/total!$D$2</f>
        <v>0.02767303795</v>
      </c>
      <c r="F24" s="66">
        <f>COUNTIF('Copy of events чорновий'!P$2:P$1331,$C24)</f>
        <v>25</v>
      </c>
      <c r="G24" s="69">
        <f>AVERAGEIF('Copy of events чорновий'!P$2:P$1331, C24,'Copy of events чорновий'!S$2:S$1331)</f>
        <v>24.12</v>
      </c>
      <c r="H24" s="70">
        <f>IFERROR(__xludf.DUMMYFUNCTION("MODE(filter('Copy of events чорновий'!F$2:F$1331, ('Copy of events чорновий'!P$2:P$1331 =C24),('Copy of events чорновий'!P$2:P$1331 &lt;&gt;""""),('Copy of events чорновий'!P$2:P$1331 &lt;&gt;""#N/A"")))"),8681.0)</f>
        <v>8681</v>
      </c>
      <c r="I24" s="70" t="str">
        <f>VLOOKUP($H$2:$H$46,products!A$2:B$13,2,false)</f>
        <v>Office Supplies</v>
      </c>
      <c r="J24" s="71">
        <f>SUMIFS('Copy of events чорновий'!K$2:K$1331,'Copy of events чорновий'!F$2:F$1331,H24,'Copy of events чорновий'!P$2:P$1331,C24)</f>
        <v>17527317.15</v>
      </c>
      <c r="K24" s="72">
        <f t="shared" si="1"/>
        <v>0.3715603878</v>
      </c>
      <c r="L24" s="49"/>
      <c r="M24" s="49"/>
      <c r="N24" s="49"/>
      <c r="O24" s="49"/>
      <c r="P24" s="70"/>
      <c r="Q24" s="70" t="str">
        <f>IFERROR(__xludf.DUMMYFUNCTION("""COMPUTED_VALUE"""),"Austria")</f>
        <v>Austria</v>
      </c>
      <c r="R24" s="71">
        <f>IFERROR(__xludf.DUMMYFUNCTION("""COMPUTED_VALUE"""),3.574087149E7)</f>
        <v>35740871.49</v>
      </c>
      <c r="S24" s="72">
        <f>IFERROR(__xludf.DUMMYFUNCTION("""COMPUTED_VALUE"""),0.020966982799857408)</f>
        <v>0.0209669828</v>
      </c>
      <c r="T24" s="70">
        <f>IFERROR(__xludf.DUMMYFUNCTION("""COMPUTED_VALUE"""),28.0)</f>
        <v>28</v>
      </c>
      <c r="U24" s="70"/>
      <c r="V24" s="71"/>
      <c r="W24" s="70"/>
      <c r="X24" s="70"/>
      <c r="Y24" s="70"/>
      <c r="Z24" s="70"/>
      <c r="AA24" s="70"/>
      <c r="AB24" s="70"/>
      <c r="AC24" s="70" t="str">
        <f>IFERROR(__xludf.DUMMYFUNCTION("""COMPUTED_VALUE"""),"Austria")</f>
        <v>Austria</v>
      </c>
      <c r="AD24" s="81">
        <f>IFERROR(__xludf.DUMMYFUNCTION("""COMPUTED_VALUE"""),3.574087149E7)</f>
        <v>35740871.49</v>
      </c>
      <c r="AE24" s="70" t="str">
        <f>IFERROR(__xludf.DUMMYFUNCTION("""COMPUTED_VALUE"""),"Office Supplies")</f>
        <v>Office Supplies</v>
      </c>
      <c r="AF24" s="81">
        <f>IFERROR(__xludf.DUMMYFUNCTION("""COMPUTED_VALUE"""),1.6056884970000003E7)</f>
        <v>16056884.97</v>
      </c>
      <c r="AG24" s="70"/>
      <c r="AH24" s="70"/>
      <c r="AI24" s="70"/>
      <c r="AJ24" s="70"/>
      <c r="AK24" s="70"/>
      <c r="AL24" s="70"/>
      <c r="AM24" s="70"/>
      <c r="AN24" s="70"/>
      <c r="AO24" s="70"/>
    </row>
    <row r="25">
      <c r="A25" s="49" t="str">
        <f>vlookup($C$2:$C$46,countries!$C$2:$D$250,2,FALSE)</f>
        <v>Europe</v>
      </c>
      <c r="B25" s="49" t="str">
        <f>vlookup($C$2:$C$46,countries!$C$2:$E$250,3,FALSE)</f>
        <v>Eastern Europe</v>
      </c>
      <c r="C25" s="70" t="str">
        <f>IFERROR(__xludf.DUMMYFUNCTION("""COMPUTED_VALUE"""),"Belarus")</f>
        <v>Belarus</v>
      </c>
      <c r="D25" s="67">
        <f>SUMIF('Copy of events чорновий'!P$2:P$1331,C25,'Copy of events чорновий'!K$2:K$1331)</f>
        <v>34236260.77</v>
      </c>
      <c r="E25" s="68">
        <f>D25/total!$D$2</f>
        <v>0.02008431974</v>
      </c>
      <c r="F25" s="66">
        <f>COUNTIF('Copy of events чорновий'!P$2:P$1331,$C25)</f>
        <v>28</v>
      </c>
      <c r="G25" s="69">
        <f>AVERAGEIF('Copy of events чорновий'!P$2:P$1331, C25,'Copy of events чорновий'!S$2:S$1331)</f>
        <v>25.25</v>
      </c>
      <c r="H25" s="70">
        <f>IFERROR(__xludf.DUMMYFUNCTION("MODE(filter('Copy of events чорновий'!F$2:F$1331, ('Copy of events чорновий'!P$2:P$1331 =C25),('Copy of events чорновий'!P$2:P$1331 &lt;&gt;""""),('Copy of events чорновий'!P$2:P$1331 &lt;&gt;""#N/A"")))"),1270.0)</f>
        <v>1270</v>
      </c>
      <c r="I25" s="70" t="str">
        <f>VLOOKUP($H$2:$H$46,products!A$2:B$13,2,false)</f>
        <v>Beverages</v>
      </c>
      <c r="J25" s="71">
        <f>SUMIFS('Copy of events чорновий'!K$2:K$1331,'Copy of events чорновий'!F$2:F$1331,H25,'Copy of events чорновий'!P$2:P$1331,C25)</f>
        <v>1574058.85</v>
      </c>
      <c r="K25" s="72">
        <f t="shared" si="1"/>
        <v>0.04597636584</v>
      </c>
      <c r="L25" s="49"/>
      <c r="M25" s="49"/>
      <c r="N25" s="49"/>
      <c r="O25" s="49"/>
      <c r="P25" s="70"/>
      <c r="Q25" s="70" t="str">
        <f>IFERROR(__xludf.DUMMYFUNCTION("""COMPUTED_VALUE"""),"Sweden")</f>
        <v>Sweden</v>
      </c>
      <c r="R25" s="71">
        <f>IFERROR(__xludf.DUMMYFUNCTION("""COMPUTED_VALUE"""),3.5482128019999996E7)</f>
        <v>35482128.02</v>
      </c>
      <c r="S25" s="72">
        <f>IFERROR(__xludf.DUMMYFUNCTION("""COMPUTED_VALUE"""),0.020815193835042056)</f>
        <v>0.02081519384</v>
      </c>
      <c r="T25" s="70">
        <f>IFERROR(__xludf.DUMMYFUNCTION("""COMPUTED_VALUE"""),29.0)</f>
        <v>29</v>
      </c>
      <c r="U25" s="70"/>
      <c r="V25" s="71"/>
      <c r="W25" s="70"/>
      <c r="X25" s="70"/>
      <c r="Y25" s="70"/>
      <c r="Z25" s="70"/>
      <c r="AA25" s="70"/>
      <c r="AB25" s="70"/>
      <c r="AC25" s="70" t="str">
        <f>IFERROR(__xludf.DUMMYFUNCTION("""COMPUTED_VALUE"""),"Sweden")</f>
        <v>Sweden</v>
      </c>
      <c r="AD25" s="81">
        <f>IFERROR(__xludf.DUMMYFUNCTION("""COMPUTED_VALUE"""),3.5482128019999996E7)</f>
        <v>35482128.02</v>
      </c>
      <c r="AE25" s="70" t="str">
        <f>IFERROR(__xludf.DUMMYFUNCTION("""COMPUTED_VALUE"""),"Cosmetics")</f>
        <v>Cosmetics</v>
      </c>
      <c r="AF25" s="81">
        <f>IFERROR(__xludf.DUMMYFUNCTION("""COMPUTED_VALUE"""),1.02811952E7)</f>
        <v>10281195.2</v>
      </c>
      <c r="AG25" s="70"/>
      <c r="AH25" s="70"/>
      <c r="AI25" s="70"/>
      <c r="AJ25" s="70"/>
      <c r="AK25" s="70"/>
      <c r="AL25" s="70"/>
      <c r="AM25" s="70"/>
      <c r="AN25" s="70"/>
      <c r="AO25" s="70"/>
    </row>
    <row r="26">
      <c r="A26" s="49" t="str">
        <f>vlookup($C$2:$C$46,countries!$C$2:$D$250,2,FALSE)</f>
        <v>Europe</v>
      </c>
      <c r="B26" s="49" t="str">
        <f>vlookup($C$2:$C$46,countries!$C$2:$E$250,3,FALSE)</f>
        <v>Northern Europe</v>
      </c>
      <c r="C26" s="70" t="str">
        <f>IFERROR(__xludf.DUMMYFUNCTION("""COMPUTED_VALUE"""),"Estonia")</f>
        <v>Estonia</v>
      </c>
      <c r="D26" s="67">
        <f>SUMIF('Copy of events чорновий'!P$2:P$1331,C26,'Copy of events чорновий'!K$2:K$1331)</f>
        <v>23410001.79</v>
      </c>
      <c r="E26" s="68">
        <f>D26/total!$D$2</f>
        <v>0.01373321591</v>
      </c>
      <c r="F26" s="66">
        <f>COUNTIF('Copy of events чорновий'!P$2:P$1331,$C26)</f>
        <v>23</v>
      </c>
      <c r="G26" s="69">
        <f>AVERAGEIF('Copy of events чорновий'!P$2:P$1331, C26,'Copy of events чорновий'!S$2:S$1331)</f>
        <v>20.52173913</v>
      </c>
      <c r="H26" s="70">
        <f>IFERROR(__xludf.DUMMYFUNCTION("MODE(filter('Copy of events чорновий'!F$2:F$1331, ('Copy of events чорновий'!P$2:P$1331 =C26),('Copy of events чорновий'!P$2:P$1331 &lt;&gt;""""),('Copy of events чорновий'!P$2:P$1331 &lt;&gt;""#N/A"")))"),2455.0)</f>
        <v>2455</v>
      </c>
      <c r="I26" s="70" t="str">
        <f>VLOOKUP($H$2:$H$46,products!A$2:B$13,2,false)</f>
        <v>Clothes</v>
      </c>
      <c r="J26" s="71">
        <f>SUMIFS('Copy of events чорновий'!K$2:K$1331,'Copy of events чорновий'!F$2:F$1331,H26,'Copy of events чорновий'!P$2:P$1331,C26)</f>
        <v>2016762.4</v>
      </c>
      <c r="K26" s="72">
        <f t="shared" si="1"/>
        <v>0.08614960469</v>
      </c>
      <c r="L26" s="49"/>
      <c r="M26" s="49"/>
      <c r="N26" s="49"/>
      <c r="O26" s="49"/>
      <c r="P26" s="70"/>
      <c r="Q26" s="70" t="str">
        <f>IFERROR(__xludf.DUMMYFUNCTION("""COMPUTED_VALUE"""),"Romania")</f>
        <v>Romania</v>
      </c>
      <c r="R26" s="71">
        <f>IFERROR(__xludf.DUMMYFUNCTION("""COMPUTED_VALUE"""),3.428615085E7)</f>
        <v>34286150.85</v>
      </c>
      <c r="S26" s="72">
        <f>IFERROR(__xludf.DUMMYFUNCTION("""COMPUTED_VALUE"""),0.02011358719516401)</f>
        <v>0.0201135872</v>
      </c>
      <c r="T26" s="70">
        <f>IFERROR(__xludf.DUMMYFUNCTION("""COMPUTED_VALUE"""),34.0)</f>
        <v>34</v>
      </c>
      <c r="U26" s="70"/>
      <c r="V26" s="71"/>
      <c r="W26" s="70"/>
      <c r="X26" s="70"/>
      <c r="Y26" s="70"/>
      <c r="Z26" s="70"/>
      <c r="AA26" s="70"/>
      <c r="AB26" s="70"/>
      <c r="AC26" s="70" t="str">
        <f>IFERROR(__xludf.DUMMYFUNCTION("""COMPUTED_VALUE"""),"Romania")</f>
        <v>Romania</v>
      </c>
      <c r="AD26" s="81">
        <f>IFERROR(__xludf.DUMMYFUNCTION("""COMPUTED_VALUE"""),3.428615085E7)</f>
        <v>34286150.85</v>
      </c>
      <c r="AE26" s="70" t="str">
        <f>IFERROR(__xludf.DUMMYFUNCTION("""COMPUTED_VALUE"""),"Personal Care")</f>
        <v>Personal Care</v>
      </c>
      <c r="AF26" s="81">
        <f>IFERROR(__xludf.DUMMYFUNCTION("""COMPUTED_VALUE"""),1991923.56)</f>
        <v>1991923.56</v>
      </c>
      <c r="AG26" s="70"/>
      <c r="AH26" s="70"/>
      <c r="AI26" s="70"/>
      <c r="AJ26" s="70"/>
      <c r="AK26" s="70"/>
      <c r="AL26" s="70"/>
      <c r="AM26" s="70"/>
      <c r="AN26" s="70"/>
      <c r="AO26" s="70"/>
    </row>
    <row r="27">
      <c r="A27" s="49" t="str">
        <f>vlookup($C$2:$C$46,countries!$C$2:$D$250,2,FALSE)</f>
        <v>Europe</v>
      </c>
      <c r="B27" s="49" t="str">
        <f>vlookup($C$2:$C$46,countries!$C$2:$E$250,3,FALSE)</f>
        <v>Western Europe</v>
      </c>
      <c r="C27" s="70" t="str">
        <f>IFERROR(__xludf.DUMMYFUNCTION("""COMPUTED_VALUE"""),"Austria")</f>
        <v>Austria</v>
      </c>
      <c r="D27" s="67">
        <f>SUMIF('Copy of events чорновий'!P$2:P$1331,C27,'Copy of events чорновий'!K$2:K$1331)</f>
        <v>35740871.49</v>
      </c>
      <c r="E27" s="68">
        <f>D27/total!$D$2</f>
        <v>0.0209669828</v>
      </c>
      <c r="F27" s="66">
        <f>COUNTIF('Copy of events чорновий'!P$2:P$1331,$C27)</f>
        <v>28</v>
      </c>
      <c r="G27" s="69">
        <f>AVERAGEIF('Copy of events чорновий'!P$2:P$1331, C27,'Copy of events чорновий'!S$2:S$1331)</f>
        <v>28.5</v>
      </c>
      <c r="H27" s="70">
        <f>IFERROR(__xludf.DUMMYFUNCTION("MODE(filter('Copy of events чорновий'!F$2:F$1331, ('Copy of events чорновий'!P$2:P$1331 =C27),('Copy of events чорновий'!P$2:P$1331 &lt;&gt;""""),('Copy of events чорновий'!P$2:P$1331 &lt;&gt;""#N/A"")))"),8681.0)</f>
        <v>8681</v>
      </c>
      <c r="I27" s="70" t="str">
        <f>VLOOKUP($H$2:$H$46,products!A$2:B$13,2,false)</f>
        <v>Office Supplies</v>
      </c>
      <c r="J27" s="71">
        <f>SUMIFS('Copy of events чорновий'!K$2:K$1331,'Copy of events чорновий'!F$2:F$1331,H27,'Copy of events чорновий'!P$2:P$1331,C27)</f>
        <v>16056884.97</v>
      </c>
      <c r="K27" s="72">
        <f t="shared" si="1"/>
        <v>0.4492583505</v>
      </c>
      <c r="L27" s="49"/>
      <c r="M27" s="49"/>
      <c r="N27" s="49"/>
      <c r="O27" s="49"/>
      <c r="P27" s="70"/>
      <c r="Q27" s="70" t="str">
        <f>IFERROR(__xludf.DUMMYFUNCTION("""COMPUTED_VALUE"""),"Belarus")</f>
        <v>Belarus</v>
      </c>
      <c r="R27" s="71">
        <f>IFERROR(__xludf.DUMMYFUNCTION("""COMPUTED_VALUE"""),3.4236260769999996E7)</f>
        <v>34236260.77</v>
      </c>
      <c r="S27" s="72">
        <f>IFERROR(__xludf.DUMMYFUNCTION("""COMPUTED_VALUE"""),0.020084319737331137)</f>
        <v>0.02008431974</v>
      </c>
      <c r="T27" s="70">
        <f>IFERROR(__xludf.DUMMYFUNCTION("""COMPUTED_VALUE"""),28.0)</f>
        <v>28</v>
      </c>
      <c r="U27" s="70"/>
      <c r="V27" s="71"/>
      <c r="W27" s="70"/>
      <c r="X27" s="70"/>
      <c r="Y27" s="70"/>
      <c r="Z27" s="70"/>
      <c r="AA27" s="70"/>
      <c r="AB27" s="70"/>
      <c r="AC27" s="70" t="str">
        <f>IFERROR(__xludf.DUMMYFUNCTION("""COMPUTED_VALUE"""),"Belarus")</f>
        <v>Belarus</v>
      </c>
      <c r="AD27" s="81">
        <f>IFERROR(__xludf.DUMMYFUNCTION("""COMPUTED_VALUE"""),3.4236260769999996E7)</f>
        <v>34236260.77</v>
      </c>
      <c r="AE27" s="70" t="str">
        <f>IFERROR(__xludf.DUMMYFUNCTION("""COMPUTED_VALUE"""),"Beverages")</f>
        <v>Beverages</v>
      </c>
      <c r="AF27" s="81">
        <f>IFERROR(__xludf.DUMMYFUNCTION("""COMPUTED_VALUE"""),1574058.85)</f>
        <v>1574058.85</v>
      </c>
      <c r="AG27" s="70"/>
      <c r="AH27" s="70"/>
      <c r="AI27" s="70"/>
      <c r="AJ27" s="70"/>
      <c r="AK27" s="70"/>
      <c r="AL27" s="70"/>
      <c r="AM27" s="70"/>
      <c r="AN27" s="70"/>
      <c r="AO27" s="70"/>
    </row>
    <row r="28">
      <c r="A28" s="49" t="str">
        <f>vlookup($C$2:$C$46,countries!$C$2:$D$250,2,FALSE)</f>
        <v>Europe</v>
      </c>
      <c r="B28" s="49" t="str">
        <f>vlookup($C$2:$C$46,countries!$C$2:$E$250,3,FALSE)</f>
        <v>Southern Europe</v>
      </c>
      <c r="C28" s="70" t="str">
        <f>IFERROR(__xludf.DUMMYFUNCTION("""COMPUTED_VALUE"""),"Macedonia")</f>
        <v>Macedonia</v>
      </c>
      <c r="D28" s="67">
        <f>SUMIF('Copy of events чорновий'!P$2:P$1331,C28,'Copy of events чорновий'!K$2:K$1331)</f>
        <v>49222085.25</v>
      </c>
      <c r="E28" s="68">
        <f>D28/total!$D$2</f>
        <v>0.02887558618</v>
      </c>
      <c r="F28" s="66">
        <f>COUNTIF('Copy of events чорновий'!P$2:P$1331,$C28)</f>
        <v>32</v>
      </c>
      <c r="G28" s="69">
        <f>AVERAGEIF('Copy of events чорновий'!P$2:P$1331, C28,'Copy of events чорновий'!S$2:S$1331)</f>
        <v>23.21875</v>
      </c>
      <c r="H28" s="70">
        <f>IFERROR(__xludf.DUMMYFUNCTION("MODE(filter('Copy of events чорновий'!F$2:F$1331, ('Copy of events чорновий'!P$2:P$1331 =C28),('Copy of events чорновий'!P$2:P$1331 &lt;&gt;""""),('Copy of events чорновий'!P$2:P$1331 &lt;&gt;""#N/A"")))"),1270.0)</f>
        <v>1270</v>
      </c>
      <c r="I28" s="70" t="str">
        <f>VLOOKUP($H$2:$H$46,products!A$2:B$13,2,false)</f>
        <v>Beverages</v>
      </c>
      <c r="J28" s="71">
        <f>SUMIFS('Copy of events чорновий'!K$2:K$1331,'Copy of events чорновий'!F$2:F$1331,H28,'Copy of events чорновий'!P$2:P$1331,C28)</f>
        <v>1864025.8</v>
      </c>
      <c r="K28" s="72">
        <f t="shared" si="1"/>
        <v>0.03786970403</v>
      </c>
      <c r="L28" s="49"/>
      <c r="M28" s="49"/>
      <c r="N28" s="49"/>
      <c r="O28" s="49"/>
      <c r="P28" s="70"/>
      <c r="Q28" s="70" t="str">
        <f>IFERROR(__xludf.DUMMYFUNCTION("""COMPUTED_VALUE"""),"Poland")</f>
        <v>Poland</v>
      </c>
      <c r="R28" s="71">
        <f>IFERROR(__xludf.DUMMYFUNCTION("""COMPUTED_VALUE"""),3.3805403220000006E7)</f>
        <v>33805403.22</v>
      </c>
      <c r="S28" s="72">
        <f>IFERROR(__xludf.DUMMYFUNCTION("""COMPUTED_VALUE"""),0.019831561971125965)</f>
        <v>0.01983156197</v>
      </c>
      <c r="T28" s="70">
        <f>IFERROR(__xludf.DUMMYFUNCTION("""COMPUTED_VALUE"""),28.0)</f>
        <v>28</v>
      </c>
      <c r="U28" s="70"/>
      <c r="V28" s="71"/>
      <c r="W28" s="70"/>
      <c r="X28" s="70"/>
      <c r="Y28" s="70"/>
      <c r="Z28" s="70"/>
      <c r="AA28" s="70"/>
      <c r="AB28" s="70"/>
      <c r="AC28" s="70" t="str">
        <f>IFERROR(__xludf.DUMMYFUNCTION("""COMPUTED_VALUE"""),"Poland")</f>
        <v>Poland</v>
      </c>
      <c r="AD28" s="81">
        <f>IFERROR(__xludf.DUMMYFUNCTION("""COMPUTED_VALUE"""),3.3805403220000006E7)</f>
        <v>33805403.22</v>
      </c>
      <c r="AE28" s="70" t="str">
        <f>IFERROR(__xludf.DUMMYFUNCTION("""COMPUTED_VALUE"""),"Cereal")</f>
        <v>Cereal</v>
      </c>
      <c r="AF28" s="81">
        <f>IFERROR(__xludf.DUMMYFUNCTION("""COMPUTED_VALUE"""),7759209.699999999)</f>
        <v>7759209.7</v>
      </c>
      <c r="AG28" s="70"/>
      <c r="AH28" s="70"/>
      <c r="AI28" s="70"/>
      <c r="AJ28" s="70"/>
      <c r="AK28" s="70"/>
      <c r="AL28" s="70"/>
      <c r="AM28" s="70"/>
      <c r="AN28" s="70"/>
      <c r="AO28" s="70"/>
    </row>
    <row r="29">
      <c r="A29" s="49" t="str">
        <f>vlookup($C$2:$C$46,countries!$C$2:$D$250,2,FALSE)</f>
        <v>Europe</v>
      </c>
      <c r="B29" s="49" t="str">
        <f>vlookup($C$2:$C$46,countries!$C$2:$E$250,3,FALSE)</f>
        <v>Southern Europe</v>
      </c>
      <c r="C29" s="70" t="str">
        <f>IFERROR(__xludf.DUMMYFUNCTION("""COMPUTED_VALUE"""),"San Marino")</f>
        <v>San Marino</v>
      </c>
      <c r="D29" s="67">
        <f>SUMIF('Copy of events чорновий'!P$2:P$1331,C29,'Copy of events чорновий'!K$2:K$1331)</f>
        <v>47883708.48</v>
      </c>
      <c r="E29" s="68">
        <f>D29/total!$D$2</f>
        <v>0.0280904424</v>
      </c>
      <c r="F29" s="66">
        <f>COUNTIF('Copy of events чорновий'!P$2:P$1331,$C29)</f>
        <v>40</v>
      </c>
      <c r="G29" s="69">
        <f>AVERAGEIF('Copy of events чорновий'!P$2:P$1331, C29,'Copy of events чорновий'!S$2:S$1331)</f>
        <v>21.7</v>
      </c>
      <c r="H29" s="70">
        <f>IFERROR(__xludf.DUMMYFUNCTION("MODE(filter('Copy of events чорновий'!F$2:F$1331, ('Copy of events чорновий'!P$2:P$1331 =C29),('Copy of events чорновий'!P$2:P$1331 &lt;&gt;""""),('Copy of events чорновий'!P$2:P$1331 &lt;&gt;""#N/A"")))"),3127.0)</f>
        <v>3127</v>
      </c>
      <c r="I29" s="70" t="str">
        <f>VLOOKUP($H$2:$H$46,products!A$2:B$13,2,false)</f>
        <v>Personal Care</v>
      </c>
      <c r="J29" s="71">
        <f>SUMIFS('Copy of events чорновий'!K$2:K$1331,'Copy of events чорновий'!F$2:F$1331,H29,'Copy of events чорновий'!P$2:P$1331,C29)</f>
        <v>2115907.97</v>
      </c>
      <c r="K29" s="72">
        <f t="shared" si="1"/>
        <v>0.04418847322</v>
      </c>
      <c r="L29" s="49"/>
      <c r="M29" s="49"/>
      <c r="N29" s="49"/>
      <c r="O29" s="49"/>
      <c r="P29" s="70"/>
      <c r="Q29" s="70" t="str">
        <f>IFERROR(__xludf.DUMMYFUNCTION("""COMPUTED_VALUE"""),"Luxembourg")</f>
        <v>Luxembourg</v>
      </c>
      <c r="R29" s="71">
        <f>IFERROR(__xludf.DUMMYFUNCTION("""COMPUTED_VALUE"""),3.3075377209999997E7)</f>
        <v>33075377.21</v>
      </c>
      <c r="S29" s="72">
        <f>IFERROR(__xludf.DUMMYFUNCTION("""COMPUTED_VALUE"""),0.01940330037153399)</f>
        <v>0.01940330037</v>
      </c>
      <c r="T29" s="70">
        <f>IFERROR(__xludf.DUMMYFUNCTION("""COMPUTED_VALUE"""),28.0)</f>
        <v>28</v>
      </c>
      <c r="U29" s="70"/>
      <c r="V29" s="71"/>
      <c r="W29" s="70"/>
      <c r="X29" s="70"/>
      <c r="Y29" s="70"/>
      <c r="Z29" s="70"/>
      <c r="AA29" s="70"/>
      <c r="AB29" s="70"/>
      <c r="AC29" s="70" t="str">
        <f>IFERROR(__xludf.DUMMYFUNCTION("""COMPUTED_VALUE"""),"Luxembourg")</f>
        <v>Luxembourg</v>
      </c>
      <c r="AD29" s="81">
        <f>IFERROR(__xludf.DUMMYFUNCTION("""COMPUTED_VALUE"""),3.3075377209999997E7)</f>
        <v>33075377.21</v>
      </c>
      <c r="AE29" s="70" t="str">
        <f>IFERROR(__xludf.DUMMYFUNCTION("""COMPUTED_VALUE"""),"Fruits")</f>
        <v>Fruits</v>
      </c>
      <c r="AF29" s="81">
        <f>IFERROR(__xludf.DUMMYFUNCTION("""COMPUTED_VALUE"""),76991.16)</f>
        <v>76991.16</v>
      </c>
      <c r="AG29" s="70"/>
      <c r="AH29" s="70"/>
      <c r="AI29" s="70"/>
      <c r="AJ29" s="70"/>
      <c r="AK29" s="70"/>
      <c r="AL29" s="70"/>
      <c r="AM29" s="70"/>
      <c r="AN29" s="70"/>
      <c r="AO29" s="70"/>
    </row>
    <row r="30">
      <c r="A30" s="49" t="str">
        <f>vlookup($C$2:$C$46,countries!$C$2:$D$250,2,FALSE)</f>
        <v>Europe</v>
      </c>
      <c r="B30" s="49" t="str">
        <f>vlookup($C$2:$C$46,countries!$C$2:$E$250,3,FALSE)</f>
        <v>Western Europe</v>
      </c>
      <c r="C30" s="70" t="str">
        <f>IFERROR(__xludf.DUMMYFUNCTION("""COMPUTED_VALUE"""),"Netherlands")</f>
        <v>Netherlands</v>
      </c>
      <c r="D30" s="67">
        <f>SUMIF('Copy of events чорновий'!P$2:P$1331,C30,'Copy of events чорновий'!K$2:K$1331)</f>
        <v>20860788.79</v>
      </c>
      <c r="E30" s="68">
        <f>D30/total!$D$2</f>
        <v>0.01223774859</v>
      </c>
      <c r="F30" s="66">
        <f>COUNTIF('Copy of events чорновий'!P$2:P$1331,$C30)</f>
        <v>24</v>
      </c>
      <c r="G30" s="69">
        <f>AVERAGEIF('Copy of events чорновий'!P$2:P$1331, C30,'Copy of events чорновий'!S$2:S$1331)</f>
        <v>26.625</v>
      </c>
      <c r="H30" s="70">
        <f>IFERROR(__xludf.DUMMYFUNCTION("MODE(filter('Copy of events чорновий'!F$2:F$1331, ('Copy of events чорновий'!P$2:P$1331 =C30),('Copy of events чорновий'!P$2:P$1331 &lt;&gt;""""),('Copy of events чорновий'!P$2:P$1331 &lt;&gt;""#N/A"")))"),1270.0)</f>
        <v>1270</v>
      </c>
      <c r="I30" s="70" t="str">
        <f>VLOOKUP($H$2:$H$46,products!A$2:B$13,2,false)</f>
        <v>Beverages</v>
      </c>
      <c r="J30" s="71">
        <f>SUMIFS('Copy of events чорновий'!K$2:K$1331,'Copy of events чорновий'!F$2:F$1331,H30,'Copy of events чорновий'!P$2:P$1331,C30)</f>
        <v>1172015</v>
      </c>
      <c r="K30" s="72">
        <f t="shared" si="1"/>
        <v>0.05618267899</v>
      </c>
      <c r="L30" s="49"/>
      <c r="M30" s="49"/>
      <c r="N30" s="49"/>
      <c r="O30" s="49"/>
      <c r="P30" s="70"/>
      <c r="Q30" s="70" t="str">
        <f>IFERROR(__xludf.DUMMYFUNCTION("""COMPUTED_VALUE"""),"Ireland")</f>
        <v>Ireland</v>
      </c>
      <c r="R30" s="71">
        <f>IFERROR(__xludf.DUMMYFUNCTION("""COMPUTED_VALUE"""),3.302222331E7)</f>
        <v>33022223.31</v>
      </c>
      <c r="S30" s="72">
        <f>IFERROR(__xludf.DUMMYFUNCTION("""COMPUTED_VALUE"""),0.01937211823017638)</f>
        <v>0.01937211823</v>
      </c>
      <c r="T30" s="70">
        <f>IFERROR(__xludf.DUMMYFUNCTION("""COMPUTED_VALUE"""),30.0)</f>
        <v>30</v>
      </c>
      <c r="U30" s="70"/>
      <c r="V30" s="71"/>
      <c r="W30" s="70"/>
      <c r="X30" s="70"/>
      <c r="Y30" s="70"/>
      <c r="Z30" s="70"/>
      <c r="AA30" s="70"/>
      <c r="AB30" s="70"/>
      <c r="AC30" s="70" t="str">
        <f>IFERROR(__xludf.DUMMYFUNCTION("""COMPUTED_VALUE"""),"Ireland")</f>
        <v>Ireland</v>
      </c>
      <c r="AD30" s="81">
        <f>IFERROR(__xludf.DUMMYFUNCTION("""COMPUTED_VALUE"""),3.302222331E7)</f>
        <v>33022223.31</v>
      </c>
      <c r="AE30" s="70" t="str">
        <f>IFERROR(__xludf.DUMMYFUNCTION("""COMPUTED_VALUE"""),"Personal Care")</f>
        <v>Personal Care</v>
      </c>
      <c r="AF30" s="81">
        <f>IFERROR(__xludf.DUMMYFUNCTION("""COMPUTED_VALUE"""),1851021.04)</f>
        <v>1851021.04</v>
      </c>
      <c r="AG30" s="70"/>
      <c r="AH30" s="70"/>
      <c r="AI30" s="70"/>
      <c r="AJ30" s="70"/>
      <c r="AK30" s="70"/>
      <c r="AL30" s="70"/>
      <c r="AM30" s="70"/>
      <c r="AN30" s="70"/>
      <c r="AO30" s="70"/>
    </row>
    <row r="31">
      <c r="A31" s="49" t="str">
        <f>vlookup($C$2:$C$46,countries!$C$2:$D$250,2,FALSE)</f>
        <v>Europe</v>
      </c>
      <c r="B31" s="49" t="str">
        <f>vlookup($C$2:$C$46,countries!$C$2:$E$250,3,FALSE)</f>
        <v>Western Europe</v>
      </c>
      <c r="C31" s="70" t="str">
        <f>IFERROR(__xludf.DUMMYFUNCTION("""COMPUTED_VALUE"""),"Switzerland")</f>
        <v>Switzerland</v>
      </c>
      <c r="D31" s="67">
        <f>SUMIF('Copy of events чорновий'!P$2:P$1331,C31,'Copy of events чорновий'!K$2:K$1331)</f>
        <v>31875174</v>
      </c>
      <c r="E31" s="68">
        <f>D31/total!$D$2</f>
        <v>0.01869921457</v>
      </c>
      <c r="F31" s="66">
        <f>COUNTIF('Copy of events чорновий'!P$2:P$1331,$C31)</f>
        <v>28</v>
      </c>
      <c r="G31" s="69">
        <f>AVERAGEIF('Copy of events чорновий'!P$2:P$1331, C31,'Copy of events чорновий'!S$2:S$1331)</f>
        <v>24</v>
      </c>
      <c r="H31" s="70">
        <f>IFERROR(__xludf.DUMMYFUNCTION("MODE(filter('Copy of events чорновий'!F$2:F$1331, ('Copy of events чорновий'!P$2:P$1331 =C31),('Copy of events чорновий'!P$2:P$1331 &lt;&gt;""""),('Copy of events чорновий'!P$2:P$1331 &lt;&gt;""#N/A"")))"),8293.0)</f>
        <v>8293</v>
      </c>
      <c r="I31" s="70" t="str">
        <f>VLOOKUP($H$2:$H$46,products!A$2:B$13,2,false)</f>
        <v>Cosmetics</v>
      </c>
      <c r="J31" s="71">
        <f>SUMIFS('Copy of events чорновий'!K$2:K$1331,'Copy of events чорновий'!F$2:F$1331,H31,'Copy of events чорновий'!P$2:P$1331,C31)</f>
        <v>10686479.6</v>
      </c>
      <c r="K31" s="72">
        <f t="shared" si="1"/>
        <v>0.335260275</v>
      </c>
      <c r="L31" s="49"/>
      <c r="M31" s="49"/>
      <c r="N31" s="49"/>
      <c r="O31" s="49"/>
      <c r="P31" s="70"/>
      <c r="Q31" s="70" t="str">
        <f>IFERROR(__xludf.DUMMYFUNCTION("""COMPUTED_VALUE"""),"Cyprus")</f>
        <v>Cyprus</v>
      </c>
      <c r="R31" s="71">
        <f>IFERROR(__xludf.DUMMYFUNCTION("""COMPUTED_VALUE"""),3.30088515E7)</f>
        <v>33008851.5</v>
      </c>
      <c r="S31" s="72">
        <f>IFERROR(__xludf.DUMMYFUNCTION("""COMPUTED_VALUE"""),0.019364273807290628)</f>
        <v>0.01936427381</v>
      </c>
      <c r="T31" s="70">
        <f>IFERROR(__xludf.DUMMYFUNCTION("""COMPUTED_VALUE"""),30.0)</f>
        <v>30</v>
      </c>
      <c r="U31" s="70"/>
      <c r="V31" s="71"/>
      <c r="W31" s="70"/>
      <c r="X31" s="70"/>
      <c r="Y31" s="70"/>
      <c r="Z31" s="70"/>
      <c r="AA31" s="70"/>
      <c r="AB31" s="70"/>
      <c r="AC31" s="70" t="str">
        <f>IFERROR(__xludf.DUMMYFUNCTION("""COMPUTED_VALUE"""),"Cyprus")</f>
        <v>Cyprus</v>
      </c>
      <c r="AD31" s="81">
        <f>IFERROR(__xludf.DUMMYFUNCTION("""COMPUTED_VALUE"""),3.30088515E7)</f>
        <v>33008851.5</v>
      </c>
      <c r="AE31" s="70" t="str">
        <f>IFERROR(__xludf.DUMMYFUNCTION("""COMPUTED_VALUE"""),"Clothes")</f>
        <v>Clothes</v>
      </c>
      <c r="AF31" s="81">
        <f>IFERROR(__xludf.DUMMYFUNCTION("""COMPUTED_VALUE"""),3461116.16)</f>
        <v>3461116.16</v>
      </c>
      <c r="AG31" s="70"/>
      <c r="AH31" s="70"/>
      <c r="AI31" s="70"/>
      <c r="AJ31" s="70"/>
      <c r="AK31" s="70"/>
      <c r="AL31" s="70"/>
      <c r="AM31" s="70"/>
      <c r="AN31" s="70"/>
      <c r="AO31" s="70"/>
    </row>
    <row r="32">
      <c r="A32" s="49" t="str">
        <f>vlookup($C$2:$C$46,countries!$C$2:$D$250,2,FALSE)</f>
        <v>Europe</v>
      </c>
      <c r="B32" s="49" t="str">
        <f>vlookup($C$2:$C$46,countries!$C$2:$E$250,3,FALSE)</f>
        <v>Eastern Europe</v>
      </c>
      <c r="C32" s="70" t="str">
        <f>IFERROR(__xludf.DUMMYFUNCTION("""COMPUTED_VALUE"""),"Hungary")</f>
        <v>Hungary</v>
      </c>
      <c r="D32" s="67">
        <f>SUMIF('Copy of events чорновий'!P$2:P$1331,C32,'Copy of events чорновий'!K$2:K$1331)</f>
        <v>42408249.12</v>
      </c>
      <c r="E32" s="68">
        <f>D32/total!$D$2</f>
        <v>0.02487832537</v>
      </c>
      <c r="F32" s="66">
        <f>COUNTIF('Copy of events чорновий'!P$2:P$1331,$C32)</f>
        <v>25</v>
      </c>
      <c r="G32" s="69">
        <f>AVERAGEIF('Copy of events чорновий'!P$2:P$1331, C32,'Copy of events чорновий'!S$2:S$1331)</f>
        <v>32.64</v>
      </c>
      <c r="H32" s="70">
        <f>IFERROR(__xludf.DUMMYFUNCTION("MODE(filter('Copy of events чорновий'!F$2:F$1331, ('Copy of events чорновий'!P$2:P$1331 =C32),('Copy of events чорновий'!P$2:P$1331 &lt;&gt;""""),('Copy of events чорновий'!P$2:P$1331 &lt;&gt;""#N/A"")))"),7331.0)</f>
        <v>7331</v>
      </c>
      <c r="I32" s="70" t="str">
        <f>VLOOKUP($H$2:$H$46,products!A$2:B$13,2,false)</f>
        <v>Baby Food</v>
      </c>
      <c r="J32" s="71">
        <f>SUMIFS('Copy of events чорновий'!K$2:K$1331,'Copy of events чорновий'!F$2:F$1331,H32,'Copy of events чорновий'!P$2:P$1331,C32)</f>
        <v>10333479.12</v>
      </c>
      <c r="K32" s="72">
        <f t="shared" si="1"/>
        <v>0.2436667237</v>
      </c>
      <c r="L32" s="49"/>
      <c r="M32" s="49"/>
      <c r="N32" s="49"/>
      <c r="O32" s="49"/>
      <c r="P32" s="70"/>
      <c r="Q32" s="70" t="str">
        <f>IFERROR(__xludf.DUMMYFUNCTION("""COMPUTED_VALUE"""),"Albania")</f>
        <v>Albania</v>
      </c>
      <c r="R32" s="71">
        <f>IFERROR(__xludf.DUMMYFUNCTION("""COMPUTED_VALUE"""),3.222485387E7)</f>
        <v>32224853.87</v>
      </c>
      <c r="S32" s="72">
        <f>IFERROR(__xludf.DUMMYFUNCTION("""COMPUTED_VALUE"""),0.018904350360042337)</f>
        <v>0.01890435036</v>
      </c>
      <c r="T32" s="70">
        <f>IFERROR(__xludf.DUMMYFUNCTION("""COMPUTED_VALUE"""),21.0)</f>
        <v>21</v>
      </c>
      <c r="U32" s="70"/>
      <c r="V32" s="71"/>
      <c r="W32" s="70"/>
      <c r="X32" s="70"/>
      <c r="Y32" s="70"/>
      <c r="Z32" s="70"/>
      <c r="AA32" s="70"/>
      <c r="AB32" s="70"/>
      <c r="AC32" s="70" t="str">
        <f>IFERROR(__xludf.DUMMYFUNCTION("""COMPUTED_VALUE"""),"Albania")</f>
        <v>Albania</v>
      </c>
      <c r="AD32" s="81">
        <f>IFERROR(__xludf.DUMMYFUNCTION("""COMPUTED_VALUE"""),3.222485387E7)</f>
        <v>32224853.87</v>
      </c>
      <c r="AE32" s="70" t="str">
        <f>IFERROR(__xludf.DUMMYFUNCTION("""COMPUTED_VALUE"""),"Cosmetics")</f>
        <v>Cosmetics</v>
      </c>
      <c r="AF32" s="81">
        <f>IFERROR(__xludf.DUMMYFUNCTION("""COMPUTED_VALUE"""),1.1110126399999999E7)</f>
        <v>11110126.4</v>
      </c>
      <c r="AG32" s="70"/>
      <c r="AH32" s="70"/>
      <c r="AI32" s="70"/>
      <c r="AJ32" s="70"/>
      <c r="AK32" s="70"/>
      <c r="AL32" s="70"/>
      <c r="AM32" s="70"/>
      <c r="AN32" s="70"/>
      <c r="AO32" s="70"/>
    </row>
    <row r="33">
      <c r="A33" s="49" t="str">
        <f>vlookup($C$2:$C$46,countries!$C$2:$D$250,2,FALSE)</f>
        <v>Europe</v>
      </c>
      <c r="B33" s="49" t="str">
        <f>vlookup($C$2:$C$46,countries!$C$2:$E$250,3,FALSE)</f>
        <v>Northern Europe</v>
      </c>
      <c r="C33" s="70" t="str">
        <f>IFERROR(__xludf.DUMMYFUNCTION("""COMPUTED_VALUE"""),"Latvia")</f>
        <v>Latvia</v>
      </c>
      <c r="D33" s="67">
        <f>SUMIF('Copy of events чорновий'!P$2:P$1331,C33,'Copy of events чорновий'!K$2:K$1331)</f>
        <v>38722084.15</v>
      </c>
      <c r="E33" s="68">
        <f>D33/total!$D$2</f>
        <v>0.02271587789</v>
      </c>
      <c r="F33" s="66">
        <f>COUNTIF('Copy of events чорновий'!P$2:P$1331,$C33)</f>
        <v>27</v>
      </c>
      <c r="G33" s="69">
        <f>AVERAGEIF('Copy of events чорновий'!P$2:P$1331, C33,'Copy of events чорновий'!S$2:S$1331)</f>
        <v>20.88888889</v>
      </c>
      <c r="H33" s="70">
        <f>IFERROR(__xludf.DUMMYFUNCTION("MODE(filter('Copy of events чорновий'!F$2:F$1331, ('Copy of events чорновий'!P$2:P$1331 =C33),('Copy of events чорновий'!P$2:P$1331 &lt;&gt;""""),('Copy of events чорновий'!P$2:P$1331 &lt;&gt;""#N/A"")))"),3127.0)</f>
        <v>3127</v>
      </c>
      <c r="I33" s="70" t="str">
        <f>VLOOKUP($H$2:$H$46,products!A$2:B$13,2,false)</f>
        <v>Personal Care</v>
      </c>
      <c r="J33" s="71">
        <f>SUMIFS('Copy of events чорновий'!K$2:K$1331,'Copy of events чорновий'!F$2:F$1331,H33,'Copy of events чорновий'!P$2:P$1331,C33)</f>
        <v>2225017.52</v>
      </c>
      <c r="K33" s="72">
        <f t="shared" si="1"/>
        <v>0.05746120254</v>
      </c>
      <c r="L33" s="49"/>
      <c r="M33" s="49"/>
      <c r="N33" s="49"/>
      <c r="O33" s="49"/>
      <c r="P33" s="70"/>
      <c r="Q33" s="70" t="str">
        <f>IFERROR(__xludf.DUMMYFUNCTION("""COMPUTED_VALUE"""),"Switzerland")</f>
        <v>Switzerland</v>
      </c>
      <c r="R33" s="71">
        <f>IFERROR(__xludf.DUMMYFUNCTION("""COMPUTED_VALUE"""),3.1875174000000004E7)</f>
        <v>31875174</v>
      </c>
      <c r="S33" s="72">
        <f>IFERROR(__xludf.DUMMYFUNCTION("""COMPUTED_VALUE"""),0.018699214572522504)</f>
        <v>0.01869921457</v>
      </c>
      <c r="T33" s="70">
        <f>IFERROR(__xludf.DUMMYFUNCTION("""COMPUTED_VALUE"""),28.0)</f>
        <v>28</v>
      </c>
      <c r="U33" s="70"/>
      <c r="V33" s="71"/>
      <c r="W33" s="70"/>
      <c r="X33" s="70"/>
      <c r="Y33" s="70"/>
      <c r="Z33" s="70"/>
      <c r="AA33" s="70"/>
      <c r="AB33" s="70"/>
      <c r="AC33" s="70" t="str">
        <f>IFERROR(__xludf.DUMMYFUNCTION("""COMPUTED_VALUE"""),"Switzerland")</f>
        <v>Switzerland</v>
      </c>
      <c r="AD33" s="81">
        <f>IFERROR(__xludf.DUMMYFUNCTION("""COMPUTED_VALUE"""),3.1875174000000004E7)</f>
        <v>31875174</v>
      </c>
      <c r="AE33" s="70" t="str">
        <f>IFERROR(__xludf.DUMMYFUNCTION("""COMPUTED_VALUE"""),"Cosmetics")</f>
        <v>Cosmetics</v>
      </c>
      <c r="AF33" s="81">
        <f>IFERROR(__xludf.DUMMYFUNCTION("""COMPUTED_VALUE"""),1.06864796E7)</f>
        <v>10686479.6</v>
      </c>
      <c r="AG33" s="70"/>
      <c r="AH33" s="70"/>
      <c r="AI33" s="70"/>
      <c r="AJ33" s="70"/>
      <c r="AK33" s="70"/>
      <c r="AL33" s="70"/>
      <c r="AM33" s="70"/>
      <c r="AN33" s="70"/>
      <c r="AO33" s="70"/>
    </row>
    <row r="34">
      <c r="A34" s="49" t="str">
        <f>vlookup($C$2:$C$46,countries!$C$2:$D$250,2,FALSE)</f>
        <v>Europe</v>
      </c>
      <c r="B34" s="49" t="str">
        <f>vlookup($C$2:$C$46,countries!$C$2:$E$250,3,FALSE)</f>
        <v>Eastern Europe</v>
      </c>
      <c r="C34" s="70" t="str">
        <f>IFERROR(__xludf.DUMMYFUNCTION("""COMPUTED_VALUE"""),"Bulgaria")</f>
        <v>Bulgaria</v>
      </c>
      <c r="D34" s="67">
        <f>SUMIF('Copy of events чорновий'!P$2:P$1331,C34,'Copy of events чорновий'!K$2:K$1331)</f>
        <v>38161555.7</v>
      </c>
      <c r="E34" s="68">
        <f>D34/total!$D$2</f>
        <v>0.02238705014</v>
      </c>
      <c r="F34" s="66">
        <f>COUNTIF('Copy of events чорновий'!P$2:P$1331,$C34)</f>
        <v>30</v>
      </c>
      <c r="G34" s="69">
        <f>AVERAGEIF('Copy of events чорновий'!P$2:P$1331, C34,'Copy of events чорновий'!S$2:S$1331)</f>
        <v>26.8</v>
      </c>
      <c r="H34" s="70">
        <f>IFERROR(__xludf.DUMMYFUNCTION("MODE(filter('Copy of events чорновий'!F$2:F$1331, ('Copy of events чорновий'!P$2:P$1331 =C34),('Copy of events чорновий'!P$2:P$1331 &lt;&gt;""""),('Copy of events чорновий'!P$2:P$1331 &lt;&gt;""#N/A"")))"),8681.0)</f>
        <v>8681</v>
      </c>
      <c r="I34" s="70" t="str">
        <f>VLOOKUP($H$2:$H$46,products!A$2:B$13,2,false)</f>
        <v>Office Supplies</v>
      </c>
      <c r="J34" s="71">
        <f>SUMIFS('Copy of events чорновий'!K$2:K$1331,'Copy of events чорновий'!F$2:F$1331,H34,'Copy of events чорновий'!P$2:P$1331,C34)</f>
        <v>11985520.05</v>
      </c>
      <c r="K34" s="72">
        <f t="shared" si="1"/>
        <v>0.3140731511</v>
      </c>
      <c r="L34" s="49"/>
      <c r="M34" s="49"/>
      <c r="N34" s="49"/>
      <c r="O34" s="49"/>
      <c r="P34" s="70"/>
      <c r="Q34" s="70" t="str">
        <f>IFERROR(__xludf.DUMMYFUNCTION("""COMPUTED_VALUE"""),"Norway")</f>
        <v>Norway</v>
      </c>
      <c r="R34" s="71">
        <f>IFERROR(__xludf.DUMMYFUNCTION("""COMPUTED_VALUE"""),3.15206985E7)</f>
        <v>31520698.5</v>
      </c>
      <c r="S34" s="72">
        <f>IFERROR(__xludf.DUMMYFUNCTION("""COMPUTED_VALUE"""),0.01849126548226178)</f>
        <v>0.01849126548</v>
      </c>
      <c r="T34" s="70">
        <f>IFERROR(__xludf.DUMMYFUNCTION("""COMPUTED_VALUE"""),30.0)</f>
        <v>30</v>
      </c>
      <c r="U34" s="70"/>
      <c r="V34" s="71"/>
      <c r="W34" s="70"/>
      <c r="X34" s="70"/>
      <c r="Y34" s="70"/>
      <c r="Z34" s="70"/>
      <c r="AA34" s="70"/>
      <c r="AB34" s="70"/>
      <c r="AC34" s="70" t="str">
        <f>IFERROR(__xludf.DUMMYFUNCTION("""COMPUTED_VALUE"""),"Norway")</f>
        <v>Norway</v>
      </c>
      <c r="AD34" s="81">
        <f>IFERROR(__xludf.DUMMYFUNCTION("""COMPUTED_VALUE"""),3.15206985E7)</f>
        <v>31520698.5</v>
      </c>
      <c r="AE34" s="70" t="str">
        <f>IFERROR(__xludf.DUMMYFUNCTION("""COMPUTED_VALUE"""),"Cereal")</f>
        <v>Cereal</v>
      </c>
      <c r="AF34" s="81">
        <f>IFERROR(__xludf.DUMMYFUNCTION("""COMPUTED_VALUE"""),2972570.7)</f>
        <v>2972570.7</v>
      </c>
      <c r="AG34" s="70"/>
      <c r="AH34" s="70"/>
      <c r="AI34" s="70"/>
      <c r="AJ34" s="70"/>
      <c r="AK34" s="70"/>
      <c r="AL34" s="70"/>
      <c r="AM34" s="70"/>
      <c r="AN34" s="70"/>
      <c r="AO34" s="70"/>
    </row>
    <row r="35">
      <c r="A35" s="49" t="str">
        <f>vlookup($C$2:$C$46,countries!$C$2:$D$250,2,FALSE)</f>
        <v>Europe</v>
      </c>
      <c r="B35" s="49" t="str">
        <f>vlookup($C$2:$C$46,countries!$C$2:$E$250,3,FALSE)</f>
        <v>Southern Europe</v>
      </c>
      <c r="C35" s="70" t="str">
        <f>IFERROR(__xludf.DUMMYFUNCTION("""COMPUTED_VALUE"""),"Italy")</f>
        <v>Italy</v>
      </c>
      <c r="D35" s="67">
        <f>SUMIF('Copy of events чорновий'!P$2:P$1331,C35,'Copy of events чорновий'!K$2:K$1331)</f>
        <v>35878352.12</v>
      </c>
      <c r="E35" s="68">
        <f>D35/total!$D$2</f>
        <v>0.02104763427</v>
      </c>
      <c r="F35" s="66">
        <f>COUNTIF('Copy of events чорновий'!P$2:P$1331,$C35)</f>
        <v>30</v>
      </c>
      <c r="G35" s="69">
        <f>AVERAGEIF('Copy of events чорновий'!P$2:P$1331, C35,'Copy of events чорновий'!S$2:S$1331)</f>
        <v>25.2</v>
      </c>
      <c r="H35" s="70">
        <f>IFERROR(__xludf.DUMMYFUNCTION("MODE(filter('Copy of events чорновий'!F$2:F$1331, ('Copy of events чорновий'!P$2:P$1331 =C35),('Copy of events чорновий'!P$2:P$1331 &lt;&gt;""""),('Copy of events чорновий'!P$2:P$1331 &lt;&gt;""#N/A"")))"),2455.0)</f>
        <v>2455</v>
      </c>
      <c r="I35" s="70" t="str">
        <f>VLOOKUP($H$2:$H$46,products!A$2:B$13,2,false)</f>
        <v>Clothes</v>
      </c>
      <c r="J35" s="71">
        <f>SUMIFS('Copy of events чорновий'!K$2:K$1331,'Copy of events чорновий'!F$2:F$1331,H35,'Copy of events чорновий'!P$2:P$1331,C35)</f>
        <v>2701948</v>
      </c>
      <c r="K35" s="72">
        <f t="shared" si="1"/>
        <v>0.07530858694</v>
      </c>
      <c r="L35" s="49"/>
      <c r="M35" s="49"/>
      <c r="N35" s="49"/>
      <c r="O35" s="49"/>
      <c r="P35" s="70"/>
      <c r="Q35" s="70" t="str">
        <f>IFERROR(__xludf.DUMMYFUNCTION("""COMPUTED_VALUE"""),"Montenegro")</f>
        <v>Montenegro</v>
      </c>
      <c r="R35" s="71">
        <f>IFERROR(__xludf.DUMMYFUNCTION("""COMPUTED_VALUE"""),3.1346476900000002E7)</f>
        <v>31346476.9</v>
      </c>
      <c r="S35" s="72">
        <f>IFERROR(__xludf.DUMMYFUNCTION("""COMPUTED_VALUE"""),0.01838906032781876)</f>
        <v>0.01838906033</v>
      </c>
      <c r="T35" s="70">
        <f>IFERROR(__xludf.DUMMYFUNCTION("""COMPUTED_VALUE"""),28.0)</f>
        <v>28</v>
      </c>
      <c r="U35" s="70"/>
      <c r="V35" s="71"/>
      <c r="W35" s="70"/>
      <c r="X35" s="70"/>
      <c r="Y35" s="70"/>
      <c r="Z35" s="70"/>
      <c r="AA35" s="70"/>
      <c r="AB35" s="70"/>
      <c r="AC35" s="70" t="str">
        <f>IFERROR(__xludf.DUMMYFUNCTION("""COMPUTED_VALUE"""),"Montenegro")</f>
        <v>Montenegro</v>
      </c>
      <c r="AD35" s="81">
        <f>IFERROR(__xludf.DUMMYFUNCTION("""COMPUTED_VALUE"""),3.1346476900000002E7)</f>
        <v>31346476.9</v>
      </c>
      <c r="AE35" s="70" t="str">
        <f>IFERROR(__xludf.DUMMYFUNCTION("""COMPUTED_VALUE"""),"Clothes")</f>
        <v>Clothes</v>
      </c>
      <c r="AF35" s="81">
        <f>IFERROR(__xludf.DUMMYFUNCTION("""COMPUTED_VALUE"""),3268236.96)</f>
        <v>3268236.96</v>
      </c>
      <c r="AG35" s="70"/>
      <c r="AH35" s="70"/>
      <c r="AI35" s="70"/>
      <c r="AJ35" s="70"/>
      <c r="AK35" s="70"/>
      <c r="AL35" s="70"/>
      <c r="AM35" s="70"/>
      <c r="AN35" s="70"/>
      <c r="AO35" s="70"/>
    </row>
    <row r="36">
      <c r="A36" s="49" t="str">
        <f>vlookup($C$2:$C$46,countries!$C$2:$D$250,2,FALSE)</f>
        <v>Europe</v>
      </c>
      <c r="B36" s="49" t="str">
        <f>vlookup($C$2:$C$46,countries!$C$2:$E$250,3,FALSE)</f>
        <v>Northern Europe</v>
      </c>
      <c r="C36" s="70" t="str">
        <f>IFERROR(__xludf.DUMMYFUNCTION("""COMPUTED_VALUE"""),"Ireland")</f>
        <v>Ireland</v>
      </c>
      <c r="D36" s="67">
        <f>SUMIF('Copy of events чорновий'!P$2:P$1331,C36,'Copy of events чорновий'!K$2:K$1331)</f>
        <v>33022223.31</v>
      </c>
      <c r="E36" s="68">
        <f>D36/total!$D$2</f>
        <v>0.01937211823</v>
      </c>
      <c r="F36" s="66">
        <f>COUNTIF('Copy of events чорновий'!P$2:P$1331,$C36)</f>
        <v>30</v>
      </c>
      <c r="G36" s="69">
        <f>AVERAGEIF('Copy of events чорновий'!P$2:P$1331, C36,'Copy of events чорновий'!S$2:S$1331)</f>
        <v>23.53333333</v>
      </c>
      <c r="H36" s="70">
        <f>IFERROR(__xludf.DUMMYFUNCTION("MODE(filter('Copy of events чорновий'!F$2:F$1331, ('Copy of events чорновий'!P$2:P$1331 =C36),('Copy of events чорновий'!P$2:P$1331 &lt;&gt;""""),('Copy of events чорновий'!P$2:P$1331 &lt;&gt;""#N/A"")))"),3127.0)</f>
        <v>3127</v>
      </c>
      <c r="I36" s="70" t="str">
        <f>VLOOKUP($H$2:$H$46,products!A$2:B$13,2,false)</f>
        <v>Personal Care</v>
      </c>
      <c r="J36" s="71">
        <f>SUMIFS('Copy of events чорновий'!K$2:K$1331,'Copy of events чорновий'!F$2:F$1331,H36,'Copy of events чорновий'!P$2:P$1331,C36)</f>
        <v>1851021.04</v>
      </c>
      <c r="K36" s="72">
        <f t="shared" si="1"/>
        <v>0.05605379815</v>
      </c>
      <c r="L36" s="49"/>
      <c r="M36" s="49"/>
      <c r="N36" s="49"/>
      <c r="O36" s="49"/>
      <c r="P36" s="70"/>
      <c r="Q36" s="70" t="str">
        <f>IFERROR(__xludf.DUMMYFUNCTION("""COMPUTED_VALUE"""),"Liechtenstein")</f>
        <v>Liechtenstein</v>
      </c>
      <c r="R36" s="71">
        <f>IFERROR(__xludf.DUMMYFUNCTION("""COMPUTED_VALUE"""),2.9872564409999996E7)</f>
        <v>29872564.41</v>
      </c>
      <c r="S36" s="72">
        <f>IFERROR(__xludf.DUMMYFUNCTION("""COMPUTED_VALUE"""),0.01752440603882159)</f>
        <v>0.01752440604</v>
      </c>
      <c r="T36" s="70">
        <f>IFERROR(__xludf.DUMMYFUNCTION("""COMPUTED_VALUE"""),24.0)</f>
        <v>24</v>
      </c>
      <c r="U36" s="70"/>
      <c r="V36" s="71"/>
      <c r="W36" s="70"/>
      <c r="X36" s="70"/>
      <c r="Y36" s="70"/>
      <c r="Z36" s="70"/>
      <c r="AA36" s="70"/>
      <c r="AB36" s="70"/>
      <c r="AC36" s="70" t="str">
        <f>IFERROR(__xludf.DUMMYFUNCTION("""COMPUTED_VALUE"""),"Liechtenstein")</f>
        <v>Liechtenstein</v>
      </c>
      <c r="AD36" s="81">
        <f>IFERROR(__xludf.DUMMYFUNCTION("""COMPUTED_VALUE"""),2.9872564409999996E7)</f>
        <v>29872564.41</v>
      </c>
      <c r="AE36" s="70" t="str">
        <f>IFERROR(__xludf.DUMMYFUNCTION("""COMPUTED_VALUE"""),"Vegetables")</f>
        <v>Vegetables</v>
      </c>
      <c r="AF36" s="81">
        <f>IFERROR(__xludf.DUMMYFUNCTION("""COMPUTED_VALUE"""),2602535.58)</f>
        <v>2602535.58</v>
      </c>
      <c r="AG36" s="70"/>
      <c r="AH36" s="70"/>
      <c r="AI36" s="70"/>
      <c r="AJ36" s="70"/>
      <c r="AK36" s="70"/>
      <c r="AL36" s="70"/>
      <c r="AM36" s="70"/>
      <c r="AN36" s="70"/>
      <c r="AO36" s="70"/>
    </row>
    <row r="37">
      <c r="A37" s="49" t="str">
        <f>vlookup($C$2:$C$46,countries!$C$2:$D$250,2,FALSE)</f>
        <v>Europe</v>
      </c>
      <c r="B37" s="49" t="str">
        <f>vlookup($C$2:$C$46,countries!$C$2:$E$250,3,FALSE)</f>
        <v>Southern Europe</v>
      </c>
      <c r="C37" s="70" t="str">
        <f>IFERROR(__xludf.DUMMYFUNCTION("""COMPUTED_VALUE"""),"Andorra")</f>
        <v>Andorra</v>
      </c>
      <c r="D37" s="67">
        <f>SUMIF('Copy of events чорновий'!P$2:P$1331,C37,'Copy of events чорновий'!K$2:K$1331)</f>
        <v>47756693.17</v>
      </c>
      <c r="E37" s="68">
        <f>D37/total!$D$2</f>
        <v>0.02801593029</v>
      </c>
      <c r="F37" s="66">
        <f>COUNTIF('Copy of events чорновий'!P$2:P$1331,$C37)</f>
        <v>40</v>
      </c>
      <c r="G37" s="69">
        <f>AVERAGEIF('Copy of events чорновий'!P$2:P$1331, C37,'Copy of events чорновий'!S$2:S$1331)</f>
        <v>26.275</v>
      </c>
      <c r="H37" s="70">
        <f>IFERROR(__xludf.DUMMYFUNCTION("MODE(filter('Copy of events чорновий'!F$2:F$1331, ('Copy of events чорновий'!P$2:P$1331 =C37),('Copy of events чорновий'!P$2:P$1331 &lt;&gt;""""),('Copy of events чорновий'!P$2:P$1331 &lt;&gt;""#N/A"")))"),7331.0)</f>
        <v>7331</v>
      </c>
      <c r="I37" s="70" t="str">
        <f>VLOOKUP($H$2:$H$46,products!A$2:B$13,2,false)</f>
        <v>Baby Food</v>
      </c>
      <c r="J37" s="71">
        <f>SUMIFS('Copy of events чорновий'!K$2:K$1331,'Copy of events чорновий'!F$2:F$1331,H37,'Copy of events чорновий'!P$2:P$1331,C37)</f>
        <v>5059139.04</v>
      </c>
      <c r="K37" s="72">
        <f t="shared" si="1"/>
        <v>0.1059357067</v>
      </c>
      <c r="L37" s="49"/>
      <c r="M37" s="49"/>
      <c r="N37" s="49"/>
      <c r="O37" s="49"/>
      <c r="P37" s="70"/>
      <c r="Q37" s="70" t="str">
        <f>IFERROR(__xludf.DUMMYFUNCTION("""COMPUTED_VALUE"""),"Lithuania")</f>
        <v>Lithuania</v>
      </c>
      <c r="R37" s="71">
        <f>IFERROR(__xludf.DUMMYFUNCTION("""COMPUTED_VALUE"""),2.90319421E7)</f>
        <v>29031942.1</v>
      </c>
      <c r="S37" s="72">
        <f>IFERROR(__xludf.DUMMYFUNCTION("""COMPUTED_VALUE"""),0.01703126435592005)</f>
        <v>0.01703126436</v>
      </c>
      <c r="T37" s="70">
        <f>IFERROR(__xludf.DUMMYFUNCTION("""COMPUTED_VALUE"""),25.0)</f>
        <v>25</v>
      </c>
      <c r="U37" s="70"/>
      <c r="V37" s="71"/>
      <c r="W37" s="70"/>
      <c r="X37" s="70"/>
      <c r="Y37" s="70"/>
      <c r="Z37" s="70"/>
      <c r="AA37" s="70"/>
      <c r="AB37" s="70"/>
      <c r="AC37" s="70" t="str">
        <f>IFERROR(__xludf.DUMMYFUNCTION("""COMPUTED_VALUE"""),"Lithuania")</f>
        <v>Lithuania</v>
      </c>
      <c r="AD37" s="81">
        <f>IFERROR(__xludf.DUMMYFUNCTION("""COMPUTED_VALUE"""),2.90319421E7)</f>
        <v>29031942.1</v>
      </c>
      <c r="AE37" s="70" t="str">
        <f>IFERROR(__xludf.DUMMYFUNCTION("""COMPUTED_VALUE"""),"Office Supplies")</f>
        <v>Office Supplies</v>
      </c>
      <c r="AF37" s="81">
        <f>IFERROR(__xludf.DUMMYFUNCTION("""COMPUTED_VALUE"""),1.0393311600000001E7)</f>
        <v>10393311.6</v>
      </c>
      <c r="AG37" s="70"/>
      <c r="AH37" s="70"/>
      <c r="AI37" s="70"/>
      <c r="AJ37" s="70"/>
      <c r="AK37" s="70"/>
      <c r="AL37" s="70"/>
      <c r="AM37" s="70"/>
      <c r="AN37" s="70"/>
      <c r="AO37" s="70"/>
    </row>
    <row r="38">
      <c r="A38" s="49" t="str">
        <f>vlookup($C$2:$C$46,countries!$C$2:$D$250,2,FALSE)</f>
        <v>Europe</v>
      </c>
      <c r="B38" s="49" t="str">
        <f>vlookup($C$2:$C$46,countries!$C$2:$E$250,3,FALSE)</f>
        <v>Western Europe</v>
      </c>
      <c r="C38" s="70" t="str">
        <f>IFERROR(__xludf.DUMMYFUNCTION("""COMPUTED_VALUE"""),"Liechtenstein")</f>
        <v>Liechtenstein</v>
      </c>
      <c r="D38" s="67">
        <f>SUMIF('Copy of events чорновий'!P$2:P$1331,C38,'Copy of events чорновий'!K$2:K$1331)</f>
        <v>29872564.41</v>
      </c>
      <c r="E38" s="68">
        <f>D38/total!$D$2</f>
        <v>0.01752440604</v>
      </c>
      <c r="F38" s="66">
        <f>COUNTIF('Copy of events чорновий'!P$2:P$1331,$C38)</f>
        <v>24</v>
      </c>
      <c r="G38" s="69">
        <f>AVERAGEIF('Copy of events чорновий'!P$2:P$1331, C38,'Copy of events чорновий'!S$2:S$1331)</f>
        <v>22.95833333</v>
      </c>
      <c r="H38" s="70">
        <f>IFERROR(__xludf.DUMMYFUNCTION("MODE(filter('Copy of events чорновий'!F$2:F$1331, ('Copy of events чорновий'!P$2:P$1331 =C38),('Copy of events чорновий'!P$2:P$1331 &lt;&gt;""""),('Copy of events чорновий'!P$2:P$1331 &lt;&gt;""#N/A"")))"),5988.0)</f>
        <v>5988</v>
      </c>
      <c r="I38" s="70" t="str">
        <f>VLOOKUP($H$2:$H$46,products!A$2:B$13,2,false)</f>
        <v>Vegetables</v>
      </c>
      <c r="J38" s="71">
        <f>SUMIFS('Copy of events чорновий'!K$2:K$1331,'Copy of events чорновий'!F$2:F$1331,H38,'Copy of events чорновий'!P$2:P$1331,C38)</f>
        <v>2602535.58</v>
      </c>
      <c r="K38" s="72">
        <f t="shared" si="1"/>
        <v>0.08712126432</v>
      </c>
      <c r="L38" s="49"/>
      <c r="M38" s="49"/>
      <c r="N38" s="49"/>
      <c r="O38" s="49"/>
      <c r="P38" s="70"/>
      <c r="Q38" s="70" t="str">
        <f>IFERROR(__xludf.DUMMYFUNCTION("""COMPUTED_VALUE"""),"Spain")</f>
        <v>Spain</v>
      </c>
      <c r="R38" s="71">
        <f>IFERROR(__xludf.DUMMYFUNCTION("""COMPUTED_VALUE"""),2.8472026850000005E7)</f>
        <v>28472026.85</v>
      </c>
      <c r="S38" s="72">
        <f>IFERROR(__xludf.DUMMYFUNCTION("""COMPUTED_VALUE"""),0.016702796332430124)</f>
        <v>0.01670279633</v>
      </c>
      <c r="T38" s="70">
        <f>IFERROR(__xludf.DUMMYFUNCTION("""COMPUTED_VALUE"""),26.0)</f>
        <v>26</v>
      </c>
      <c r="U38" s="70"/>
      <c r="V38" s="71"/>
      <c r="W38" s="70"/>
      <c r="X38" s="70"/>
      <c r="Y38" s="70"/>
      <c r="Z38" s="70"/>
      <c r="AA38" s="70"/>
      <c r="AB38" s="70"/>
      <c r="AC38" s="70" t="str">
        <f>IFERROR(__xludf.DUMMYFUNCTION("""COMPUTED_VALUE"""),"Spain")</f>
        <v>Spain</v>
      </c>
      <c r="AD38" s="81">
        <f>IFERROR(__xludf.DUMMYFUNCTION("""COMPUTED_VALUE"""),2.8472026850000005E7)</f>
        <v>28472026.85</v>
      </c>
      <c r="AE38" s="70" t="str">
        <f>IFERROR(__xludf.DUMMYFUNCTION("""COMPUTED_VALUE"""),"Vegetables")</f>
        <v>Vegetables</v>
      </c>
      <c r="AF38" s="81">
        <f>IFERROR(__xludf.DUMMYFUNCTION("""COMPUTED_VALUE"""),4214157.24)</f>
        <v>4214157.24</v>
      </c>
      <c r="AG38" s="70"/>
      <c r="AH38" s="70"/>
      <c r="AI38" s="70"/>
      <c r="AJ38" s="70"/>
      <c r="AK38" s="70"/>
      <c r="AL38" s="70"/>
      <c r="AM38" s="70"/>
      <c r="AN38" s="70"/>
      <c r="AO38" s="70"/>
    </row>
    <row r="39">
      <c r="A39" s="49" t="str">
        <f>vlookup($C$2:$C$46,countries!$C$2:$D$250,2,FALSE)</f>
        <v>Europe</v>
      </c>
      <c r="B39" s="49" t="str">
        <f>vlookup($C$2:$C$46,countries!$C$2:$E$250,3,FALSE)</f>
        <v>Northern Europe</v>
      </c>
      <c r="C39" s="70" t="str">
        <f>IFERROR(__xludf.DUMMYFUNCTION("""COMPUTED_VALUE"""),"Finland")</f>
        <v>Finland</v>
      </c>
      <c r="D39" s="67">
        <f>SUMIF('Copy of events чорновий'!P$2:P$1331,C39,'Copy of events чорновий'!K$2:K$1331)</f>
        <v>26027948.98</v>
      </c>
      <c r="E39" s="68">
        <f>D39/total!$D$2</f>
        <v>0.01526900537</v>
      </c>
      <c r="F39" s="66">
        <f>COUNTIF('Copy of events чорновий'!P$2:P$1331,$C39)</f>
        <v>23</v>
      </c>
      <c r="G39" s="69">
        <f>AVERAGEIF('Copy of events чорновий'!P$2:P$1331, C39,'Copy of events чорновий'!S$2:S$1331)</f>
        <v>26.2173913</v>
      </c>
      <c r="H39" s="70">
        <f>IFERROR(__xludf.DUMMYFUNCTION("MODE(filter('Copy of events чорновий'!F$2:F$1331, ('Copy of events чорновий'!P$2:P$1331 =C39),('Copy of events чорновий'!P$2:P$1331 &lt;&gt;""""),('Copy of events чорновий'!P$2:P$1331 &lt;&gt;""#N/A"")))"),5988.0)</f>
        <v>5988</v>
      </c>
      <c r="I39" s="70" t="str">
        <f>VLOOKUP($H$2:$H$46,products!A$2:B$13,2,false)</f>
        <v>Vegetables</v>
      </c>
      <c r="J39" s="71">
        <f>SUMIFS('Copy of events чорновий'!K$2:K$1331,'Copy of events чорновий'!F$2:F$1331,H39,'Copy of events чорновий'!P$2:P$1331,C39)</f>
        <v>2586359.28</v>
      </c>
      <c r="K39" s="72">
        <f t="shared" si="1"/>
        <v>0.09936853964</v>
      </c>
      <c r="L39" s="49"/>
      <c r="M39" s="49"/>
      <c r="N39" s="49"/>
      <c r="O39" s="49"/>
      <c r="P39" s="70"/>
      <c r="Q39" s="70" t="str">
        <f>IFERROR(__xludf.DUMMYFUNCTION("""COMPUTED_VALUE"""),"Croatia")</f>
        <v>Croatia</v>
      </c>
      <c r="R39" s="71">
        <f>IFERROR(__xludf.DUMMYFUNCTION("""COMPUTED_VALUE"""),2.7524405580000002E7)</f>
        <v>27524405.58</v>
      </c>
      <c r="S39" s="72">
        <f>IFERROR(__xludf.DUMMYFUNCTION("""COMPUTED_VALUE"""),0.016146884905524145)</f>
        <v>0.01614688491</v>
      </c>
      <c r="T39" s="70">
        <f>IFERROR(__xludf.DUMMYFUNCTION("""COMPUTED_VALUE"""),18.0)</f>
        <v>18</v>
      </c>
      <c r="U39" s="70"/>
      <c r="V39" s="71"/>
      <c r="W39" s="70"/>
      <c r="X39" s="70"/>
      <c r="Y39" s="70"/>
      <c r="Z39" s="70"/>
      <c r="AA39" s="70"/>
      <c r="AB39" s="70"/>
      <c r="AC39" s="70" t="str">
        <f>IFERROR(__xludf.DUMMYFUNCTION("""COMPUTED_VALUE"""),"Croatia")</f>
        <v>Croatia</v>
      </c>
      <c r="AD39" s="81">
        <f>IFERROR(__xludf.DUMMYFUNCTION("""COMPUTED_VALUE"""),2.7524405580000002E7)</f>
        <v>27524405.58</v>
      </c>
      <c r="AE39" s="70" t="str">
        <f>IFERROR(__xludf.DUMMYFUNCTION("""COMPUTED_VALUE"""),"Household")</f>
        <v>Household</v>
      </c>
      <c r="AF39" s="81">
        <f>IFERROR(__xludf.DUMMYFUNCTION("""COMPUTED_VALUE"""),1.0892801E7)</f>
        <v>10892801</v>
      </c>
      <c r="AG39" s="70"/>
      <c r="AH39" s="70"/>
      <c r="AI39" s="70"/>
      <c r="AJ39" s="70"/>
      <c r="AK39" s="70"/>
      <c r="AL39" s="70"/>
      <c r="AM39" s="70"/>
      <c r="AN39" s="70"/>
      <c r="AO39" s="70"/>
    </row>
    <row r="40">
      <c r="A40" s="49" t="str">
        <f>vlookup($C$2:$C$46,countries!$C$2:$D$250,2,FALSE)</f>
        <v>Europe</v>
      </c>
      <c r="B40" s="49" t="str">
        <f>vlookup($C$2:$C$46,countries!$C$2:$E$250,3,FALSE)</f>
        <v>Southern Europe</v>
      </c>
      <c r="C40" s="70" t="str">
        <f>IFERROR(__xludf.DUMMYFUNCTION("""COMPUTED_VALUE"""),"Albania")</f>
        <v>Albania</v>
      </c>
      <c r="D40" s="67">
        <f>SUMIF('Copy of events чорновий'!P$2:P$1331,C40,'Copy of events чорновий'!K$2:K$1331)</f>
        <v>32224853.87</v>
      </c>
      <c r="E40" s="68">
        <f>D40/total!$D$2</f>
        <v>0.01890435036</v>
      </c>
      <c r="F40" s="66">
        <f>COUNTIF('Copy of events чорновий'!P$2:P$1331,$C40)</f>
        <v>21</v>
      </c>
      <c r="G40" s="69">
        <f>AVERAGEIF('Copy of events чорновий'!P$2:P$1331, C40,'Copy of events чорновий'!S$2:S$1331)</f>
        <v>26.19047619</v>
      </c>
      <c r="H40" s="70">
        <f>IFERROR(__xludf.DUMMYFUNCTION("MODE(filter('Copy of events чорновий'!F$2:F$1331, ('Copy of events чорновий'!P$2:P$1331 =C40),('Copy of events чорновий'!P$2:P$1331 &lt;&gt;""""),('Copy of events чорновий'!P$2:P$1331 &lt;&gt;""#N/A"")))"),8293.0)</f>
        <v>8293</v>
      </c>
      <c r="I40" s="70" t="str">
        <f>VLOOKUP($H$2:$H$46,products!A$2:B$13,2,false)</f>
        <v>Cosmetics</v>
      </c>
      <c r="J40" s="71">
        <f>SUMIFS('Copy of events чорновий'!K$2:K$1331,'Copy of events чорновий'!F$2:F$1331,H40,'Copy of events чорновий'!P$2:P$1331,C40)</f>
        <v>11110126.4</v>
      </c>
      <c r="K40" s="72">
        <f t="shared" si="1"/>
        <v>0.3447688683</v>
      </c>
      <c r="L40" s="49"/>
      <c r="M40" s="49"/>
      <c r="N40" s="49"/>
      <c r="O40" s="49"/>
      <c r="P40" s="70"/>
      <c r="Q40" s="70" t="str">
        <f>IFERROR(__xludf.DUMMYFUNCTION("""COMPUTED_VALUE"""),"Denmark")</f>
        <v>Denmark</v>
      </c>
      <c r="R40" s="71">
        <f>IFERROR(__xludf.DUMMYFUNCTION("""COMPUTED_VALUE"""),2.6968532520000003E7)</f>
        <v>26968532.52</v>
      </c>
      <c r="S40" s="72">
        <f>IFERROR(__xludf.DUMMYFUNCTION("""COMPUTED_VALUE"""),0.015820788187619964)</f>
        <v>0.01582078819</v>
      </c>
      <c r="T40" s="70">
        <f>IFERROR(__xludf.DUMMYFUNCTION("""COMPUTED_VALUE"""),26.0)</f>
        <v>26</v>
      </c>
      <c r="U40" s="70"/>
      <c r="V40" s="71"/>
      <c r="W40" s="70"/>
      <c r="X40" s="70"/>
      <c r="Y40" s="70"/>
      <c r="Z40" s="70"/>
      <c r="AA40" s="70"/>
      <c r="AB40" s="70"/>
      <c r="AC40" s="70" t="str">
        <f>IFERROR(__xludf.DUMMYFUNCTION("""COMPUTED_VALUE"""),"Denmark")</f>
        <v>Denmark</v>
      </c>
      <c r="AD40" s="81">
        <f>IFERROR(__xludf.DUMMYFUNCTION("""COMPUTED_VALUE"""),2.6968532520000003E7)</f>
        <v>26968532.52</v>
      </c>
      <c r="AE40" s="70" t="str">
        <f>IFERROR(__xludf.DUMMYFUNCTION("""COMPUTED_VALUE"""),"Clothes")</f>
        <v>Clothes</v>
      </c>
      <c r="AF40" s="81">
        <f>IFERROR(__xludf.DUMMYFUNCTION("""COMPUTED_VALUE"""),1715696.0)</f>
        <v>1715696</v>
      </c>
      <c r="AG40" s="70"/>
      <c r="AH40" s="70"/>
      <c r="AI40" s="70"/>
      <c r="AJ40" s="70"/>
      <c r="AK40" s="70"/>
      <c r="AL40" s="70"/>
      <c r="AM40" s="70"/>
      <c r="AN40" s="70"/>
      <c r="AO40" s="70"/>
    </row>
    <row r="41">
      <c r="A41" s="49" t="str">
        <f>vlookup($C$2:$C$46,countries!$C$2:$D$250,2,FALSE)</f>
        <v>Europe</v>
      </c>
      <c r="B41" s="49" t="str">
        <f>vlookup($C$2:$C$46,countries!$C$2:$E$250,3,FALSE)</f>
        <v>Northern Europe</v>
      </c>
      <c r="C41" s="70" t="str">
        <f>IFERROR(__xludf.DUMMYFUNCTION("""COMPUTED_VALUE"""),"Sweden")</f>
        <v>Sweden</v>
      </c>
      <c r="D41" s="67">
        <f>SUMIF('Copy of events чорновий'!P$2:P$1331,C41,'Copy of events чорновий'!K$2:K$1331)</f>
        <v>35482128.02</v>
      </c>
      <c r="E41" s="68">
        <f>D41/total!$D$2</f>
        <v>0.02081519384</v>
      </c>
      <c r="F41" s="66">
        <f>COUNTIF('Copy of events чорновий'!P$2:P$1331,$C41)</f>
        <v>29</v>
      </c>
      <c r="G41" s="69">
        <f>AVERAGEIF('Copy of events чорновий'!P$2:P$1331, C41,'Copy of events чорновий'!S$2:S$1331)</f>
        <v>25.13793103</v>
      </c>
      <c r="H41" s="70">
        <f>IFERROR(__xludf.DUMMYFUNCTION("MODE(filter('Copy of events чорновий'!F$2:F$1331, ('Copy of events чорновий'!P$2:P$1331 =C41),('Copy of events чорновий'!P$2:P$1331 &lt;&gt;""""),('Copy of events чорновий'!P$2:P$1331 &lt;&gt;""#N/A"")))"),8293.0)</f>
        <v>8293</v>
      </c>
      <c r="I41" s="70" t="str">
        <f>VLOOKUP($H$2:$H$46,products!A$2:B$13,2,false)</f>
        <v>Cosmetics</v>
      </c>
      <c r="J41" s="71">
        <f>SUMIFS('Copy of events чорновий'!K$2:K$1331,'Copy of events чорновий'!F$2:F$1331,H41,'Copy of events чорновий'!P$2:P$1331,C41)</f>
        <v>10281195.2</v>
      </c>
      <c r="K41" s="72">
        <f t="shared" si="1"/>
        <v>0.2897570065</v>
      </c>
      <c r="L41" s="49"/>
      <c r="M41" s="49"/>
      <c r="N41" s="49"/>
      <c r="O41" s="49"/>
      <c r="P41" s="70"/>
      <c r="Q41" s="70" t="str">
        <f>IFERROR(__xludf.DUMMYFUNCTION("""COMPUTED_VALUE"""),"United Kingdom")</f>
        <v>United Kingdom</v>
      </c>
      <c r="R41" s="71">
        <f>IFERROR(__xludf.DUMMYFUNCTION("""COMPUTED_VALUE"""),2.6654989470000003E7)</f>
        <v>26654989.47</v>
      </c>
      <c r="S41" s="72">
        <f>IFERROR(__xludf.DUMMYFUNCTION("""COMPUTED_VALUE"""),0.015636851661668037)</f>
        <v>0.01563685166</v>
      </c>
      <c r="T41" s="70">
        <f>IFERROR(__xludf.DUMMYFUNCTION("""COMPUTED_VALUE"""),23.0)</f>
        <v>23</v>
      </c>
      <c r="U41" s="70"/>
      <c r="V41" s="71"/>
      <c r="W41" s="70"/>
      <c r="X41" s="70"/>
      <c r="Y41" s="70"/>
      <c r="Z41" s="70"/>
      <c r="AA41" s="70"/>
      <c r="AB41" s="70"/>
      <c r="AC41" s="70" t="str">
        <f>IFERROR(__xludf.DUMMYFUNCTION("""COMPUTED_VALUE"""),"United Kingdom")</f>
        <v>United Kingdom</v>
      </c>
      <c r="AD41" s="81">
        <f>IFERROR(__xludf.DUMMYFUNCTION("""COMPUTED_VALUE"""),2.6654989470000003E7)</f>
        <v>26654989.47</v>
      </c>
      <c r="AE41" s="70" t="str">
        <f>IFERROR(__xludf.DUMMYFUNCTION("""COMPUTED_VALUE"""),"Personal Care")</f>
        <v>Personal Care</v>
      </c>
      <c r="AF41" s="81">
        <f>IFERROR(__xludf.DUMMYFUNCTION("""COMPUTED_VALUE"""),2608739.87)</f>
        <v>2608739.87</v>
      </c>
      <c r="AG41" s="70"/>
      <c r="AH41" s="70"/>
      <c r="AI41" s="70"/>
      <c r="AJ41" s="70"/>
      <c r="AK41" s="70"/>
      <c r="AL41" s="70"/>
      <c r="AM41" s="70"/>
      <c r="AN41" s="70"/>
      <c r="AO41" s="70"/>
    </row>
    <row r="42">
      <c r="A42" s="49" t="str">
        <f>vlookup($C$2:$C$46,countries!$C$2:$D$250,2,FALSE)</f>
        <v>Europe</v>
      </c>
      <c r="B42" s="49" t="str">
        <f>vlookup($C$2:$C$46,countries!$C$2:$E$250,3,FALSE)</f>
        <v>Southern Europe</v>
      </c>
      <c r="C42" s="70" t="str">
        <f>IFERROR(__xludf.DUMMYFUNCTION("""COMPUTED_VALUE"""),"Bosnia and Herzegovina")</f>
        <v>Bosnia and Herzegovina</v>
      </c>
      <c r="D42" s="67">
        <f>SUMIF('Copy of events чорновий'!P$2:P$1331,C42,'Copy of events чорновий'!K$2:K$1331)</f>
        <v>50117508.49</v>
      </c>
      <c r="E42" s="68">
        <f>D42/total!$D$2</f>
        <v>0.02940087621</v>
      </c>
      <c r="F42" s="66">
        <f>COUNTIF('Copy of events чорновий'!P$2:P$1331,$C42)</f>
        <v>33</v>
      </c>
      <c r="G42" s="69">
        <f>AVERAGEIF('Copy of events чорновий'!P$2:P$1331, C42,'Copy of events чорновий'!S$2:S$1331)</f>
        <v>26.06060606</v>
      </c>
      <c r="H42" s="70">
        <f>IFERROR(__xludf.DUMMYFUNCTION("MODE(filter('Copy of events чорновий'!F$2:F$1331, ('Copy of events чорновий'!P$2:P$1331 =C42),('Copy of events чорновий'!P$2:P$1331 &lt;&gt;""""),('Copy of events чорновий'!P$2:P$1331 &lt;&gt;""#N/A"")))"),8681.0)</f>
        <v>8681</v>
      </c>
      <c r="I42" s="70" t="str">
        <f>VLOOKUP($H$2:$H$46,products!A$2:B$13,2,false)</f>
        <v>Office Supplies</v>
      </c>
      <c r="J42" s="71">
        <f>SUMIFS('Copy of events чорновий'!K$2:K$1331,'Copy of events чорновий'!F$2:F$1331,H42,'Copy of events чорновий'!P$2:P$1331,C42)</f>
        <v>14212007.04</v>
      </c>
      <c r="K42" s="72">
        <f t="shared" si="1"/>
        <v>0.2835736945</v>
      </c>
      <c r="L42" s="49"/>
      <c r="M42" s="49"/>
      <c r="N42" s="49"/>
      <c r="O42" s="49"/>
      <c r="P42" s="70"/>
      <c r="Q42" s="70" t="str">
        <f>IFERROR(__xludf.DUMMYFUNCTION("""COMPUTED_VALUE"""),"Finland")</f>
        <v>Finland</v>
      </c>
      <c r="R42" s="71">
        <f>IFERROR(__xludf.DUMMYFUNCTION("""COMPUTED_VALUE"""),2.6027948980000008E7)</f>
        <v>26027948.98</v>
      </c>
      <c r="S42" s="72">
        <f>IFERROR(__xludf.DUMMYFUNCTION("""COMPUTED_VALUE"""),0.015269005366360926)</f>
        <v>0.01526900537</v>
      </c>
      <c r="T42" s="70">
        <f>IFERROR(__xludf.DUMMYFUNCTION("""COMPUTED_VALUE"""),23.0)</f>
        <v>23</v>
      </c>
      <c r="U42" s="70"/>
      <c r="V42" s="71"/>
      <c r="W42" s="70"/>
      <c r="X42" s="70"/>
      <c r="Y42" s="70"/>
      <c r="Z42" s="70"/>
      <c r="AA42" s="70"/>
      <c r="AB42" s="70"/>
      <c r="AC42" s="70" t="str">
        <f>IFERROR(__xludf.DUMMYFUNCTION("""COMPUTED_VALUE"""),"Finland")</f>
        <v>Finland</v>
      </c>
      <c r="AD42" s="81">
        <f>IFERROR(__xludf.DUMMYFUNCTION("""COMPUTED_VALUE"""),2.6027948980000008E7)</f>
        <v>26027948.98</v>
      </c>
      <c r="AE42" s="70" t="str">
        <f>IFERROR(__xludf.DUMMYFUNCTION("""COMPUTED_VALUE"""),"Vegetables")</f>
        <v>Vegetables</v>
      </c>
      <c r="AF42" s="81">
        <f>IFERROR(__xludf.DUMMYFUNCTION("""COMPUTED_VALUE"""),2586359.2800000003)</f>
        <v>2586359.28</v>
      </c>
      <c r="AG42" s="70"/>
      <c r="AH42" s="70"/>
      <c r="AI42" s="70"/>
      <c r="AJ42" s="70"/>
      <c r="AK42" s="70"/>
      <c r="AL42" s="70"/>
      <c r="AM42" s="70"/>
      <c r="AN42" s="70"/>
      <c r="AO42" s="70"/>
    </row>
    <row r="43">
      <c r="A43" s="49" t="str">
        <f>vlookup($C$2:$C$46,countries!$C$2:$D$250,2,FALSE)</f>
        <v>Europe</v>
      </c>
      <c r="B43" s="49" t="str">
        <f>vlookup($C$2:$C$46,countries!$C$2:$E$250,3,FALSE)</f>
        <v>Northern Europe</v>
      </c>
      <c r="C43" s="70" t="str">
        <f>IFERROR(__xludf.DUMMYFUNCTION("""COMPUTED_VALUE"""),"Denmark")</f>
        <v>Denmark</v>
      </c>
      <c r="D43" s="67">
        <f>SUMIF('Copy of events чорновий'!P$2:P$1331,C43,'Copy of events чорновий'!K$2:K$1331)</f>
        <v>26968532.52</v>
      </c>
      <c r="E43" s="68">
        <f>D43/total!$D$2</f>
        <v>0.01582078819</v>
      </c>
      <c r="F43" s="66">
        <f>COUNTIF('Copy of events чорновий'!P$2:P$1331,$C43)</f>
        <v>26</v>
      </c>
      <c r="G43" s="69">
        <f>AVERAGEIF('Copy of events чорновий'!P$2:P$1331, C43,'Copy of events чорновий'!S$2:S$1331)</f>
        <v>19.69230769</v>
      </c>
      <c r="H43" s="70">
        <f>IFERROR(__xludf.DUMMYFUNCTION("MODE(filter('Copy of events чорновий'!F$2:F$1331, ('Copy of events чорновий'!P$2:P$1331 =C43),('Copy of events чорновий'!P$2:P$1331 &lt;&gt;""""),('Copy of events чорновий'!P$2:P$1331 &lt;&gt;""#N/A"")))"),2455.0)</f>
        <v>2455</v>
      </c>
      <c r="I43" s="70" t="str">
        <f>VLOOKUP($H$2:$H$46,products!A$2:B$13,2,false)</f>
        <v>Clothes</v>
      </c>
      <c r="J43" s="71">
        <f>SUMIFS('Copy of events чорновий'!K$2:K$1331,'Copy of events чорновий'!F$2:F$1331,H43,'Copy of events чорновий'!P$2:P$1331,C43)</f>
        <v>1715696</v>
      </c>
      <c r="K43" s="72">
        <f t="shared" si="1"/>
        <v>0.06361844119</v>
      </c>
      <c r="L43" s="49"/>
      <c r="M43" s="49"/>
      <c r="N43" s="49"/>
      <c r="O43" s="49"/>
      <c r="P43" s="70"/>
      <c r="Q43" s="70" t="str">
        <f>IFERROR(__xludf.DUMMYFUNCTION("""COMPUTED_VALUE"""),"Belgium")</f>
        <v>Belgium</v>
      </c>
      <c r="R43" s="71">
        <f>IFERROR(__xludf.DUMMYFUNCTION("""COMPUTED_VALUE"""),2.5852572299999997E7)</f>
        <v>25852572.3</v>
      </c>
      <c r="S43" s="72">
        <f>IFERROR(__xludf.DUMMYFUNCTION("""COMPUTED_VALUE"""),0.015166122597145712)</f>
        <v>0.0151661226</v>
      </c>
      <c r="T43" s="70">
        <f>IFERROR(__xludf.DUMMYFUNCTION("""COMPUTED_VALUE"""),26.0)</f>
        <v>26</v>
      </c>
      <c r="U43" s="70"/>
      <c r="V43" s="71"/>
      <c r="W43" s="70"/>
      <c r="X43" s="70"/>
      <c r="Y43" s="70"/>
      <c r="Z43" s="70"/>
      <c r="AA43" s="70"/>
      <c r="AB43" s="70"/>
      <c r="AC43" s="70" t="str">
        <f>IFERROR(__xludf.DUMMYFUNCTION("""COMPUTED_VALUE"""),"Belgium")</f>
        <v>Belgium</v>
      </c>
      <c r="AD43" s="81">
        <f>IFERROR(__xludf.DUMMYFUNCTION("""COMPUTED_VALUE"""),2.5852572299999997E7)</f>
        <v>25852572.3</v>
      </c>
      <c r="AE43" s="70" t="str">
        <f>IFERROR(__xludf.DUMMYFUNCTION("""COMPUTED_VALUE"""),"Fruits")</f>
        <v>Fruits</v>
      </c>
      <c r="AF43" s="81">
        <f>IFERROR(__xludf.DUMMYFUNCTION("""COMPUTED_VALUE"""),245696.21999999997)</f>
        <v>245696.22</v>
      </c>
      <c r="AG43" s="70"/>
      <c r="AH43" s="70"/>
      <c r="AI43" s="70"/>
      <c r="AJ43" s="70"/>
      <c r="AK43" s="70"/>
      <c r="AL43" s="70"/>
      <c r="AM43" s="70"/>
      <c r="AN43" s="70"/>
      <c r="AO43" s="70"/>
    </row>
    <row r="44">
      <c r="A44" s="49" t="str">
        <f>vlookup($C$2:$C$46,countries!$C$2:$D$250,2,FALSE)</f>
        <v>Europe</v>
      </c>
      <c r="B44" s="49" t="str">
        <f>vlookup($C$2:$C$46,countries!$C$2:$E$250,3,FALSE)</f>
        <v>Western Europe</v>
      </c>
      <c r="C44" s="70" t="str">
        <f>IFERROR(__xludf.DUMMYFUNCTION("""COMPUTED_VALUE"""),"Monaco")</f>
        <v>Monaco</v>
      </c>
      <c r="D44" s="67">
        <f>SUMIF('Copy of events чорновий'!P$2:P$1331,C44,'Copy of events чорновий'!K$2:K$1331)</f>
        <v>13828738.16</v>
      </c>
      <c r="E44" s="68">
        <f>D44/total!$D$2</f>
        <v>0.008112474684</v>
      </c>
      <c r="F44" s="66">
        <f>COUNTIF('Copy of events чорновий'!P$2:P$1331,$C44)</f>
        <v>13</v>
      </c>
      <c r="G44" s="69">
        <f>AVERAGEIF('Copy of events чорновий'!P$2:P$1331, C44,'Copy of events чорновий'!S$2:S$1331)</f>
        <v>26.84615385</v>
      </c>
      <c r="H44" s="70">
        <f>IFERROR(__xludf.DUMMYFUNCTION("MODE(filter('Copy of events чорновий'!F$2:F$1331, ('Copy of events чорновий'!P$2:P$1331 =C44),('Copy of events чорновий'!P$2:P$1331 &lt;&gt;""""),('Copy of events чорновий'!P$2:P$1331 &lt;&gt;""#N/A"")))"),7940.0)</f>
        <v>7940</v>
      </c>
      <c r="I44" s="70" t="str">
        <f>VLOOKUP($H$2:$H$46,products!A$2:B$13,2,false)</f>
        <v>Household</v>
      </c>
      <c r="J44" s="71">
        <f>SUMIFS('Copy of events чорновий'!K$2:K$1331,'Copy of events чорновий'!F$2:F$1331,H44,'Copy of events чорновий'!P$2:P$1331,C44)</f>
        <v>6581122.96</v>
      </c>
      <c r="K44" s="72">
        <f t="shared" si="1"/>
        <v>0.4759019141</v>
      </c>
      <c r="L44" s="49"/>
      <c r="M44" s="49"/>
      <c r="N44" s="49"/>
      <c r="O44" s="49"/>
      <c r="P44" s="70"/>
      <c r="Q44" s="70" t="str">
        <f>IFERROR(__xludf.DUMMYFUNCTION("""COMPUTED_VALUE"""),"Iceland")</f>
        <v>Iceland</v>
      </c>
      <c r="R44" s="71">
        <f>IFERROR(__xludf.DUMMYFUNCTION("""COMPUTED_VALUE"""),2.55702274E7)</f>
        <v>25570227.4</v>
      </c>
      <c r="S44" s="72">
        <f>IFERROR(__xludf.DUMMYFUNCTION("""COMPUTED_VALUE"""),0.015000488117203505)</f>
        <v>0.01500048812</v>
      </c>
      <c r="T44" s="70">
        <f>IFERROR(__xludf.DUMMYFUNCTION("""COMPUTED_VALUE"""),23.0)</f>
        <v>23</v>
      </c>
      <c r="U44" s="70"/>
      <c r="V44" s="71"/>
      <c r="W44" s="70"/>
      <c r="X44" s="70"/>
      <c r="Y44" s="70"/>
      <c r="Z44" s="70"/>
      <c r="AA44" s="70"/>
      <c r="AB44" s="70"/>
      <c r="AC44" s="70" t="str">
        <f>IFERROR(__xludf.DUMMYFUNCTION("""COMPUTED_VALUE"""),"Iceland")</f>
        <v>Iceland</v>
      </c>
      <c r="AD44" s="81">
        <f>IFERROR(__xludf.DUMMYFUNCTION("""COMPUTED_VALUE"""),2.55702274E7)</f>
        <v>25570227.4</v>
      </c>
      <c r="AE44" s="70" t="str">
        <f>IFERROR(__xludf.DUMMYFUNCTION("""COMPUTED_VALUE"""),"Cosmetics")</f>
        <v>Cosmetics</v>
      </c>
      <c r="AF44" s="81">
        <f>IFERROR(__xludf.DUMMYFUNCTION("""COMPUTED_VALUE"""),3208173.5999999996)</f>
        <v>3208173.6</v>
      </c>
      <c r="AG44" s="70"/>
      <c r="AH44" s="70"/>
      <c r="AI44" s="70"/>
      <c r="AJ44" s="70"/>
      <c r="AK44" s="70"/>
      <c r="AL44" s="70"/>
      <c r="AM44" s="70"/>
      <c r="AN44" s="70"/>
      <c r="AO44" s="70"/>
    </row>
    <row r="45">
      <c r="A45" s="49" t="str">
        <f>vlookup($C$2:$C$46,countries!$C$2:$D$250,2,FALSE)</f>
        <v>Europe</v>
      </c>
      <c r="B45" s="49" t="str">
        <f>vlookup($C$2:$C$46,countries!$C$2:$E$250,3,FALSE)</f>
        <v>Northern Europe</v>
      </c>
      <c r="C45" s="70" t="str">
        <f>IFERROR(__xludf.DUMMYFUNCTION("""COMPUTED_VALUE"""),"Iceland")</f>
        <v>Iceland</v>
      </c>
      <c r="D45" s="67">
        <f>SUMIF('Copy of events чорновий'!P$2:P$1331,C45,'Copy of events чорновий'!K$2:K$1331)</f>
        <v>25570227.4</v>
      </c>
      <c r="E45" s="68">
        <f>D45/total!$D$2</f>
        <v>0.01500048812</v>
      </c>
      <c r="F45" s="66">
        <f>COUNTIF('Copy of events чорновий'!P$2:P$1331,$C45)</f>
        <v>23</v>
      </c>
      <c r="G45" s="69">
        <f>AVERAGEIF('Copy of events чорновий'!P$2:P$1331, C45,'Copy of events чорновий'!S$2:S$1331)</f>
        <v>23.56521739</v>
      </c>
      <c r="H45" s="70">
        <f>IFERROR(__xludf.DUMMYFUNCTION("MODE(filter('Copy of events чорновий'!F$2:F$1331, ('Copy of events чорновий'!P$2:P$1331 =C45),('Copy of events чорновий'!P$2:P$1331 &lt;&gt;""""),('Copy of events чорновий'!P$2:P$1331 &lt;&gt;""#N/A"")))"),8293.0)</f>
        <v>8293</v>
      </c>
      <c r="I45" s="70" t="str">
        <f>VLOOKUP($H$2:$H$46,products!A$2:B$13,2,false)</f>
        <v>Cosmetics</v>
      </c>
      <c r="J45" s="71">
        <f>SUMIFS('Copy of events чорновий'!K$2:K$1331,'Copy of events чорновий'!F$2:F$1331,H45,'Copy of events чорновий'!P$2:P$1331,C45)</f>
        <v>3208173.6</v>
      </c>
      <c r="K45" s="72">
        <f t="shared" si="1"/>
        <v>0.1254651963</v>
      </c>
      <c r="L45" s="49"/>
      <c r="M45" s="49"/>
      <c r="N45" s="49"/>
      <c r="O45" s="49"/>
      <c r="P45" s="70"/>
      <c r="Q45" s="70" t="str">
        <f>IFERROR(__xludf.DUMMYFUNCTION("""COMPUTED_VALUE"""),"Estonia")</f>
        <v>Estonia</v>
      </c>
      <c r="R45" s="71">
        <f>IFERROR(__xludf.DUMMYFUNCTION("""COMPUTED_VALUE"""),2.3410001790000003E7)</f>
        <v>23410001.79</v>
      </c>
      <c r="S45" s="72">
        <f>IFERROR(__xludf.DUMMYFUNCTION("""COMPUTED_VALUE"""),0.013733215906973429)</f>
        <v>0.01373321591</v>
      </c>
      <c r="T45" s="70">
        <f>IFERROR(__xludf.DUMMYFUNCTION("""COMPUTED_VALUE"""),23.0)</f>
        <v>23</v>
      </c>
      <c r="U45" s="70"/>
      <c r="V45" s="71"/>
      <c r="W45" s="70"/>
      <c r="X45" s="70"/>
      <c r="Y45" s="70"/>
      <c r="Z45" s="70"/>
      <c r="AA45" s="70"/>
      <c r="AB45" s="70"/>
      <c r="AC45" s="70" t="str">
        <f>IFERROR(__xludf.DUMMYFUNCTION("""COMPUTED_VALUE"""),"Estonia")</f>
        <v>Estonia</v>
      </c>
      <c r="AD45" s="81">
        <f>IFERROR(__xludf.DUMMYFUNCTION("""COMPUTED_VALUE"""),2.3410001790000003E7)</f>
        <v>23410001.79</v>
      </c>
      <c r="AE45" s="70" t="str">
        <f>IFERROR(__xludf.DUMMYFUNCTION("""COMPUTED_VALUE"""),"Clothes")</f>
        <v>Clothes</v>
      </c>
      <c r="AF45" s="81">
        <f>IFERROR(__xludf.DUMMYFUNCTION("""COMPUTED_VALUE"""),2016762.4000000001)</f>
        <v>2016762.4</v>
      </c>
      <c r="AG45" s="70"/>
      <c r="AH45" s="70"/>
      <c r="AI45" s="70"/>
      <c r="AJ45" s="70"/>
      <c r="AK45" s="70"/>
      <c r="AL45" s="70"/>
      <c r="AM45" s="70"/>
      <c r="AN45" s="70"/>
      <c r="AO45" s="70"/>
    </row>
    <row r="46">
      <c r="A46" s="49" t="str">
        <f>vlookup($C$2:$C$46,countries!$C$2:$D$250,2,FALSE)</f>
        <v>Europe</v>
      </c>
      <c r="B46" s="49" t="str">
        <f>vlookup($C$2:$C$46,countries!$C$2:$E$250,3,FALSE)</f>
        <v>Southern Europe</v>
      </c>
      <c r="C46" s="70" t="str">
        <f>IFERROR(__xludf.DUMMYFUNCTION("""COMPUTED_VALUE"""),"Greece")</f>
        <v>Greece</v>
      </c>
      <c r="D46" s="67">
        <f>SUMIF('Copy of events чорновий'!P$2:P$1331,C46,'Copy of events чорновий'!K$2:K$1331)</f>
        <v>38699541.7</v>
      </c>
      <c r="E46" s="68">
        <f>D46/total!$D$2</f>
        <v>0.02270265361</v>
      </c>
      <c r="F46" s="66">
        <f>COUNTIF('Copy of events чорновий'!P$2:P$1331,$C46)</f>
        <v>32</v>
      </c>
      <c r="G46" s="69">
        <f>AVERAGEIF('Copy of events чорновий'!P$2:P$1331, C46,'Copy of events чорновий'!S$2:S$1331)</f>
        <v>23</v>
      </c>
      <c r="H46" s="70">
        <f>IFERROR(__xludf.DUMMYFUNCTION("MODE(filter('Copy of events чорновий'!F$2:F$1331, ('Copy of events чорновий'!P$2:P$1331 =C46),('Copy of events чорновий'!P$2:P$1331 &lt;&gt;""""),('Copy of events чорновий'!P$2:P$1331 &lt;&gt;""#N/A"")))"),2103.0)</f>
        <v>2103</v>
      </c>
      <c r="I46" s="70" t="str">
        <f>VLOOKUP($H$2:$H$46,products!A$2:B$13,2,false)</f>
        <v>Cereal</v>
      </c>
      <c r="J46" s="71">
        <f>SUMIFS('Copy of events чорновий'!K$2:K$1331,'Copy of events чорновий'!F$2:F$1331,H46,'Copy of events чорновий'!P$2:P$1331,C46)</f>
        <v>5436445.3</v>
      </c>
      <c r="K46" s="72">
        <f t="shared" si="1"/>
        <v>0.1404782863</v>
      </c>
      <c r="L46" s="49"/>
      <c r="M46" s="49"/>
      <c r="N46" s="49"/>
      <c r="O46" s="49"/>
      <c r="P46" s="70"/>
      <c r="Q46" s="70" t="str">
        <f>IFERROR(__xludf.DUMMYFUNCTION("""COMPUTED_VALUE"""),"Georgia")</f>
        <v>Georgia</v>
      </c>
      <c r="R46" s="71">
        <f>IFERROR(__xludf.DUMMYFUNCTION("""COMPUTED_VALUE"""),2.280219566E7)</f>
        <v>22802195.66</v>
      </c>
      <c r="S46" s="72">
        <f>IFERROR(__xludf.DUMMYFUNCTION("""COMPUTED_VALUE"""),0.013376653233986466)</f>
        <v>0.01337665323</v>
      </c>
      <c r="T46" s="70">
        <f>IFERROR(__xludf.DUMMYFUNCTION("""COMPUTED_VALUE"""),23.0)</f>
        <v>23</v>
      </c>
      <c r="U46" s="70"/>
      <c r="V46" s="71"/>
      <c r="W46" s="70"/>
      <c r="X46" s="70"/>
      <c r="Y46" s="70"/>
      <c r="Z46" s="70"/>
      <c r="AA46" s="70"/>
      <c r="AB46" s="70"/>
      <c r="AC46" s="70" t="str">
        <f>IFERROR(__xludf.DUMMYFUNCTION("""COMPUTED_VALUE"""),"Georgia")</f>
        <v>Georgia</v>
      </c>
      <c r="AD46" s="81">
        <f>IFERROR(__xludf.DUMMYFUNCTION("""COMPUTED_VALUE"""),2.280219566E7)</f>
        <v>22802195.66</v>
      </c>
      <c r="AE46" s="70" t="str">
        <f>IFERROR(__xludf.DUMMYFUNCTION("""COMPUTED_VALUE"""),"Meat")</f>
        <v>Meat</v>
      </c>
      <c r="AF46" s="81">
        <f>IFERROR(__xludf.DUMMYFUNCTION("""COMPUTED_VALUE"""),1.2600588629999999E7)</f>
        <v>12600588.63</v>
      </c>
      <c r="AG46" s="70"/>
      <c r="AH46" s="70"/>
      <c r="AI46" s="70"/>
      <c r="AJ46" s="70"/>
      <c r="AK46" s="70"/>
      <c r="AL46" s="70"/>
      <c r="AM46" s="70"/>
      <c r="AN46" s="70"/>
      <c r="AO46" s="70"/>
    </row>
    <row r="47">
      <c r="A47" s="70"/>
      <c r="B47" s="70"/>
      <c r="C47" s="70"/>
      <c r="D47" s="71"/>
      <c r="E47" s="72"/>
      <c r="F47" s="70"/>
      <c r="G47" s="69"/>
      <c r="H47" s="70"/>
      <c r="I47" s="70"/>
      <c r="J47" s="71"/>
      <c r="K47" s="72"/>
      <c r="L47" s="70"/>
      <c r="M47" s="70"/>
      <c r="N47" s="82"/>
      <c r="O47" s="70"/>
      <c r="P47" s="70"/>
      <c r="Q47" s="70" t="str">
        <f>IFERROR(__xludf.DUMMYFUNCTION("""COMPUTED_VALUE"""),"Netherlands")</f>
        <v>Netherlands</v>
      </c>
      <c r="R47" s="71">
        <f>IFERROR(__xludf.DUMMYFUNCTION("""COMPUTED_VALUE"""),2.086078879E7)</f>
        <v>20860788.79</v>
      </c>
      <c r="S47" s="72">
        <f>IFERROR(__xludf.DUMMYFUNCTION("""COMPUTED_VALUE"""),0.012237748591938102)</f>
        <v>0.01223774859</v>
      </c>
      <c r="T47" s="70">
        <f>IFERROR(__xludf.DUMMYFUNCTION("""COMPUTED_VALUE"""),24.0)</f>
        <v>24</v>
      </c>
      <c r="U47" s="70"/>
      <c r="V47" s="71"/>
      <c r="W47" s="70"/>
      <c r="X47" s="70"/>
      <c r="Y47" s="70"/>
      <c r="Z47" s="70"/>
      <c r="AA47" s="70"/>
      <c r="AB47" s="70"/>
      <c r="AC47" s="70" t="str">
        <f>IFERROR(__xludf.DUMMYFUNCTION("""COMPUTED_VALUE"""),"Netherlands")</f>
        <v>Netherlands</v>
      </c>
      <c r="AD47" s="81">
        <f>IFERROR(__xludf.DUMMYFUNCTION("""COMPUTED_VALUE"""),2.086078879E7)</f>
        <v>20860788.79</v>
      </c>
      <c r="AE47" s="70" t="str">
        <f>IFERROR(__xludf.DUMMYFUNCTION("""COMPUTED_VALUE"""),"Beverages")</f>
        <v>Beverages</v>
      </c>
      <c r="AF47" s="81">
        <f>IFERROR(__xludf.DUMMYFUNCTION("""COMPUTED_VALUE"""),1172015.0000000002)</f>
        <v>1172015</v>
      </c>
      <c r="AG47" s="70"/>
      <c r="AH47" s="70"/>
      <c r="AI47" s="70"/>
      <c r="AJ47" s="70"/>
      <c r="AK47" s="70"/>
      <c r="AL47" s="70"/>
      <c r="AM47" s="70"/>
      <c r="AN47" s="70"/>
      <c r="AO47" s="70"/>
    </row>
    <row r="48">
      <c r="A48" s="70"/>
      <c r="B48" s="70"/>
      <c r="C48" s="70"/>
      <c r="D48" s="71"/>
      <c r="E48" s="72"/>
      <c r="F48" s="70"/>
      <c r="G48" s="69"/>
      <c r="H48" s="70"/>
      <c r="I48" s="70"/>
      <c r="J48" s="71"/>
      <c r="K48" s="72"/>
      <c r="L48" s="70"/>
      <c r="M48" s="70"/>
      <c r="N48" s="82"/>
      <c r="O48" s="70"/>
      <c r="P48" s="70"/>
      <c r="Q48" s="70" t="str">
        <f>IFERROR(__xludf.DUMMYFUNCTION("""COMPUTED_VALUE"""),"Monaco")</f>
        <v>Monaco</v>
      </c>
      <c r="R48" s="71">
        <f>IFERROR(__xludf.DUMMYFUNCTION("""COMPUTED_VALUE"""),1.382873816E7)</f>
        <v>13828738.16</v>
      </c>
      <c r="S48" s="72">
        <f>IFERROR(__xludf.DUMMYFUNCTION("""COMPUTED_VALUE"""),0.00811247468393647)</f>
        <v>0.008112474684</v>
      </c>
      <c r="T48" s="70">
        <f>IFERROR(__xludf.DUMMYFUNCTION("""COMPUTED_VALUE"""),13.0)</f>
        <v>13</v>
      </c>
      <c r="U48" s="70"/>
      <c r="V48" s="71"/>
      <c r="W48" s="70"/>
      <c r="X48" s="70"/>
      <c r="Y48" s="70"/>
      <c r="Z48" s="70"/>
      <c r="AA48" s="70"/>
      <c r="AB48" s="70"/>
      <c r="AC48" s="70" t="str">
        <f>IFERROR(__xludf.DUMMYFUNCTION("""COMPUTED_VALUE"""),"Monaco")</f>
        <v>Monaco</v>
      </c>
      <c r="AD48" s="81">
        <f>IFERROR(__xludf.DUMMYFUNCTION("""COMPUTED_VALUE"""),1.382873816E7)</f>
        <v>13828738.16</v>
      </c>
      <c r="AE48" s="70" t="str">
        <f>IFERROR(__xludf.DUMMYFUNCTION("""COMPUTED_VALUE"""),"Household")</f>
        <v>Household</v>
      </c>
      <c r="AF48" s="81">
        <f>IFERROR(__xludf.DUMMYFUNCTION("""COMPUTED_VALUE"""),6581122.959999999)</f>
        <v>6581122.96</v>
      </c>
      <c r="AG48" s="70"/>
      <c r="AH48" s="70"/>
      <c r="AI48" s="70"/>
      <c r="AJ48" s="70"/>
      <c r="AK48" s="70"/>
      <c r="AL48" s="70"/>
      <c r="AM48" s="70"/>
      <c r="AN48" s="70"/>
      <c r="AO48" s="70"/>
    </row>
    <row r="49">
      <c r="A49" s="70"/>
      <c r="B49" s="70"/>
      <c r="C49" s="70"/>
      <c r="D49" s="71"/>
      <c r="E49" s="72"/>
      <c r="F49" s="70"/>
      <c r="G49" s="69"/>
      <c r="H49" s="70"/>
      <c r="I49" s="70"/>
      <c r="J49" s="71"/>
      <c r="K49" s="80"/>
      <c r="L49" s="70"/>
      <c r="M49" s="70"/>
      <c r="N49" s="82"/>
      <c r="O49" s="70"/>
      <c r="P49" s="70"/>
      <c r="Q49" s="70"/>
      <c r="R49" s="71"/>
      <c r="S49" s="72"/>
      <c r="T49" s="70"/>
      <c r="U49" s="70"/>
      <c r="V49" s="71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</row>
    <row r="50">
      <c r="A50" s="70"/>
      <c r="B50" s="70"/>
      <c r="C50" s="70"/>
      <c r="D50" s="71"/>
      <c r="E50" s="72"/>
      <c r="F50" s="70"/>
      <c r="G50" s="69"/>
      <c r="H50" s="70"/>
      <c r="I50" s="70"/>
      <c r="J50" s="71"/>
      <c r="K50" s="72"/>
      <c r="L50" s="70"/>
      <c r="M50" s="70"/>
      <c r="N50" s="82"/>
      <c r="O50" s="70"/>
      <c r="P50" s="70"/>
      <c r="Q50" s="70"/>
      <c r="R50" s="71"/>
      <c r="S50" s="72"/>
      <c r="T50" s="70"/>
      <c r="U50" s="70"/>
      <c r="V50" s="71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</row>
    <row r="51">
      <c r="A51" s="70"/>
      <c r="B51" s="70"/>
      <c r="C51" s="70"/>
      <c r="D51" s="71"/>
      <c r="E51" s="72"/>
      <c r="F51" s="70"/>
      <c r="G51" s="69"/>
      <c r="H51" s="70"/>
      <c r="I51" s="70"/>
      <c r="J51" s="71"/>
      <c r="K51" s="72"/>
      <c r="L51" s="70"/>
      <c r="M51" s="70"/>
      <c r="N51" s="82"/>
      <c r="O51" s="70"/>
      <c r="P51" s="70"/>
      <c r="Q51" s="70"/>
      <c r="R51" s="71"/>
      <c r="S51" s="72"/>
      <c r="T51" s="70"/>
      <c r="U51" s="70"/>
      <c r="V51" s="71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</row>
    <row r="52">
      <c r="A52" s="70"/>
      <c r="B52" s="70"/>
      <c r="C52" s="70"/>
      <c r="D52" s="71"/>
      <c r="E52" s="72"/>
      <c r="F52" s="70"/>
      <c r="G52" s="69"/>
      <c r="H52" s="70"/>
      <c r="I52" s="70"/>
      <c r="J52" s="71"/>
      <c r="K52" s="72"/>
      <c r="L52" s="70"/>
      <c r="M52" s="70"/>
      <c r="N52" s="82"/>
      <c r="O52" s="70"/>
      <c r="P52" s="70"/>
      <c r="Q52" s="70"/>
      <c r="R52" s="71"/>
      <c r="S52" s="72"/>
      <c r="T52" s="70"/>
      <c r="U52" s="70"/>
      <c r="V52" s="71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</row>
    <row r="53">
      <c r="A53" s="70"/>
      <c r="B53" s="70"/>
      <c r="C53" s="70"/>
      <c r="D53" s="71"/>
      <c r="E53" s="72"/>
      <c r="F53" s="70"/>
      <c r="G53" s="69"/>
      <c r="H53" s="70"/>
      <c r="I53" s="70"/>
      <c r="J53" s="71"/>
      <c r="K53" s="72"/>
      <c r="L53" s="70"/>
      <c r="M53" s="70"/>
      <c r="N53" s="82"/>
      <c r="O53" s="70"/>
      <c r="P53" s="70"/>
      <c r="Q53" s="70"/>
      <c r="R53" s="71"/>
      <c r="S53" s="72"/>
      <c r="T53" s="70"/>
      <c r="U53" s="70"/>
      <c r="V53" s="71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</row>
    <row r="54">
      <c r="A54" s="70"/>
      <c r="B54" s="70"/>
      <c r="C54" s="70"/>
      <c r="D54" s="71"/>
      <c r="E54" s="72"/>
      <c r="F54" s="70"/>
      <c r="G54" s="69"/>
      <c r="H54" s="70"/>
      <c r="I54" s="70"/>
      <c r="J54" s="71"/>
      <c r="K54" s="72"/>
      <c r="L54" s="70"/>
      <c r="M54" s="70"/>
      <c r="N54" s="82"/>
      <c r="O54" s="70"/>
      <c r="P54" s="70"/>
      <c r="Q54" s="70"/>
      <c r="R54" s="71"/>
      <c r="S54" s="72"/>
      <c r="T54" s="70"/>
      <c r="U54" s="70"/>
      <c r="V54" s="71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</row>
    <row r="55">
      <c r="A55" s="70"/>
      <c r="B55" s="70"/>
      <c r="C55" s="70"/>
      <c r="D55" s="71"/>
      <c r="E55" s="72"/>
      <c r="F55" s="70"/>
      <c r="G55" s="69"/>
      <c r="H55" s="70"/>
      <c r="I55" s="70"/>
      <c r="J55" s="71"/>
      <c r="K55" s="72"/>
      <c r="L55" s="70"/>
      <c r="M55" s="70"/>
      <c r="N55" s="82"/>
      <c r="O55" s="70"/>
      <c r="P55" s="70"/>
      <c r="Q55" s="70"/>
      <c r="R55" s="71"/>
      <c r="S55" s="72"/>
      <c r="T55" s="70"/>
      <c r="U55" s="70"/>
      <c r="V55" s="71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</row>
    <row r="56">
      <c r="A56" s="70"/>
      <c r="B56" s="70"/>
      <c r="C56" s="70"/>
      <c r="D56" s="71"/>
      <c r="E56" s="72"/>
      <c r="F56" s="70"/>
      <c r="G56" s="69"/>
      <c r="H56" s="70"/>
      <c r="I56" s="70"/>
      <c r="J56" s="71"/>
      <c r="K56" s="72"/>
      <c r="L56" s="70"/>
      <c r="M56" s="70"/>
      <c r="N56" s="82"/>
      <c r="O56" s="70"/>
      <c r="P56" s="70"/>
      <c r="Q56" s="70"/>
      <c r="R56" s="71"/>
      <c r="S56" s="72"/>
      <c r="T56" s="70"/>
      <c r="U56" s="70"/>
      <c r="V56" s="71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</row>
    <row r="57">
      <c r="A57" s="70"/>
      <c r="B57" s="70"/>
      <c r="C57" s="70"/>
      <c r="D57" s="71"/>
      <c r="E57" s="72"/>
      <c r="F57" s="70"/>
      <c r="G57" s="69"/>
      <c r="H57" s="70"/>
      <c r="I57" s="70"/>
      <c r="J57" s="71"/>
      <c r="K57" s="72"/>
      <c r="L57" s="70"/>
      <c r="M57" s="70"/>
      <c r="N57" s="82"/>
      <c r="O57" s="70"/>
      <c r="P57" s="70"/>
      <c r="Q57" s="70"/>
      <c r="R57" s="71"/>
      <c r="S57" s="72"/>
      <c r="T57" s="70"/>
      <c r="U57" s="70"/>
      <c r="V57" s="71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</row>
    <row r="58">
      <c r="A58" s="70"/>
      <c r="B58" s="70"/>
      <c r="C58" s="70"/>
      <c r="D58" s="71"/>
      <c r="E58" s="72"/>
      <c r="F58" s="70"/>
      <c r="G58" s="69"/>
      <c r="H58" s="70"/>
      <c r="I58" s="70"/>
      <c r="J58" s="71"/>
      <c r="K58" s="72"/>
      <c r="L58" s="70"/>
      <c r="M58" s="70"/>
      <c r="N58" s="82"/>
      <c r="O58" s="70"/>
      <c r="P58" s="70"/>
      <c r="Q58" s="70"/>
      <c r="R58" s="71"/>
      <c r="S58" s="72"/>
      <c r="T58" s="70"/>
      <c r="U58" s="70"/>
      <c r="V58" s="71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</row>
    <row r="59">
      <c r="A59" s="70"/>
      <c r="B59" s="70"/>
      <c r="C59" s="70"/>
      <c r="D59" s="71"/>
      <c r="E59" s="72"/>
      <c r="F59" s="70"/>
      <c r="G59" s="69"/>
      <c r="H59" s="70"/>
      <c r="I59" s="70"/>
      <c r="J59" s="71"/>
      <c r="K59" s="72"/>
      <c r="L59" s="70"/>
      <c r="M59" s="70"/>
      <c r="N59" s="82"/>
      <c r="O59" s="70"/>
      <c r="P59" s="70"/>
      <c r="Q59" s="70"/>
      <c r="R59" s="71"/>
      <c r="S59" s="72"/>
      <c r="T59" s="70"/>
      <c r="U59" s="70"/>
      <c r="V59" s="71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</row>
    <row r="60">
      <c r="A60" s="70"/>
      <c r="B60" s="70"/>
      <c r="C60" s="70"/>
      <c r="D60" s="71"/>
      <c r="E60" s="72"/>
      <c r="F60" s="70"/>
      <c r="G60" s="69"/>
      <c r="H60" s="70"/>
      <c r="I60" s="70"/>
      <c r="J60" s="71"/>
      <c r="K60" s="72"/>
      <c r="L60" s="70"/>
      <c r="M60" s="70"/>
      <c r="N60" s="82"/>
      <c r="O60" s="70"/>
      <c r="P60" s="70"/>
      <c r="Q60" s="70"/>
      <c r="R60" s="71"/>
      <c r="S60" s="72"/>
      <c r="T60" s="70"/>
      <c r="U60" s="70"/>
      <c r="V60" s="71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</row>
    <row r="61">
      <c r="A61" s="70"/>
      <c r="B61" s="70"/>
      <c r="C61" s="70"/>
      <c r="D61" s="71"/>
      <c r="E61" s="72"/>
      <c r="F61" s="70"/>
      <c r="G61" s="69"/>
      <c r="H61" s="70"/>
      <c r="I61" s="70"/>
      <c r="J61" s="71"/>
      <c r="K61" s="72"/>
      <c r="L61" s="70"/>
      <c r="M61" s="70"/>
      <c r="N61" s="82"/>
      <c r="O61" s="70"/>
      <c r="P61" s="70"/>
      <c r="Q61" s="70"/>
      <c r="R61" s="71"/>
      <c r="S61" s="72"/>
      <c r="T61" s="70"/>
      <c r="U61" s="70"/>
      <c r="V61" s="71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</row>
    <row r="62">
      <c r="A62" s="70"/>
      <c r="B62" s="70"/>
      <c r="C62" s="70"/>
      <c r="D62" s="71"/>
      <c r="E62" s="72"/>
      <c r="F62" s="70"/>
      <c r="G62" s="69"/>
      <c r="H62" s="70"/>
      <c r="I62" s="70"/>
      <c r="J62" s="71"/>
      <c r="K62" s="72"/>
      <c r="L62" s="70"/>
      <c r="M62" s="70"/>
      <c r="N62" s="82"/>
      <c r="O62" s="70"/>
      <c r="P62" s="70"/>
      <c r="Q62" s="70"/>
      <c r="R62" s="71"/>
      <c r="S62" s="72"/>
      <c r="T62" s="70"/>
      <c r="U62" s="70"/>
      <c r="V62" s="71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</row>
    <row r="63">
      <c r="A63" s="70"/>
      <c r="B63" s="70"/>
      <c r="C63" s="70"/>
      <c r="D63" s="71"/>
      <c r="E63" s="72"/>
      <c r="F63" s="70"/>
      <c r="G63" s="69"/>
      <c r="H63" s="70"/>
      <c r="I63" s="70"/>
      <c r="J63" s="71"/>
      <c r="K63" s="72"/>
      <c r="L63" s="70"/>
      <c r="M63" s="70"/>
      <c r="N63" s="82"/>
      <c r="O63" s="70"/>
      <c r="P63" s="70"/>
      <c r="Q63" s="70"/>
      <c r="R63" s="71"/>
      <c r="S63" s="72"/>
      <c r="T63" s="70"/>
      <c r="U63" s="70"/>
      <c r="V63" s="71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</row>
    <row r="64">
      <c r="A64" s="70"/>
      <c r="B64" s="70"/>
      <c r="C64" s="70"/>
      <c r="D64" s="71"/>
      <c r="E64" s="72"/>
      <c r="F64" s="70"/>
      <c r="G64" s="69"/>
      <c r="H64" s="70"/>
      <c r="I64" s="70"/>
      <c r="J64" s="71"/>
      <c r="K64" s="72"/>
      <c r="L64" s="70"/>
      <c r="M64" s="70"/>
      <c r="N64" s="82"/>
      <c r="O64" s="70"/>
      <c r="P64" s="70"/>
      <c r="Q64" s="70"/>
      <c r="R64" s="71"/>
      <c r="S64" s="72"/>
      <c r="T64" s="70"/>
      <c r="U64" s="70"/>
      <c r="V64" s="71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</row>
    <row r="65">
      <c r="A65" s="70"/>
      <c r="B65" s="70"/>
      <c r="C65" s="70"/>
      <c r="D65" s="71"/>
      <c r="E65" s="72"/>
      <c r="F65" s="70"/>
      <c r="G65" s="69"/>
      <c r="H65" s="70"/>
      <c r="I65" s="70"/>
      <c r="J65" s="71"/>
      <c r="K65" s="72"/>
      <c r="L65" s="70"/>
      <c r="M65" s="70"/>
      <c r="N65" s="82"/>
      <c r="O65" s="70"/>
      <c r="P65" s="70"/>
      <c r="Q65" s="70"/>
      <c r="R65" s="71"/>
      <c r="S65" s="72"/>
      <c r="T65" s="70"/>
      <c r="U65" s="70"/>
      <c r="V65" s="71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</row>
    <row r="66">
      <c r="A66" s="70"/>
      <c r="B66" s="70"/>
      <c r="C66" s="70"/>
      <c r="D66" s="71"/>
      <c r="E66" s="72"/>
      <c r="F66" s="70"/>
      <c r="G66" s="69"/>
      <c r="H66" s="70"/>
      <c r="I66" s="70"/>
      <c r="J66" s="71"/>
      <c r="K66" s="72"/>
      <c r="L66" s="70"/>
      <c r="M66" s="70"/>
      <c r="N66" s="82"/>
      <c r="O66" s="70"/>
      <c r="P66" s="70"/>
      <c r="Q66" s="70"/>
      <c r="R66" s="71"/>
      <c r="S66" s="72"/>
      <c r="T66" s="70"/>
      <c r="U66" s="70"/>
      <c r="V66" s="71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</row>
    <row r="67">
      <c r="A67" s="70"/>
      <c r="B67" s="70"/>
      <c r="C67" s="70"/>
      <c r="D67" s="71"/>
      <c r="E67" s="72"/>
      <c r="F67" s="70"/>
      <c r="G67" s="69"/>
      <c r="H67" s="70"/>
      <c r="I67" s="70"/>
      <c r="J67" s="71"/>
      <c r="K67" s="72"/>
      <c r="L67" s="70"/>
      <c r="M67" s="70"/>
      <c r="N67" s="82"/>
      <c r="O67" s="70"/>
      <c r="P67" s="70"/>
      <c r="Q67" s="70"/>
      <c r="R67" s="71"/>
      <c r="S67" s="72"/>
      <c r="T67" s="70"/>
      <c r="U67" s="70"/>
      <c r="V67" s="71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</row>
    <row r="68">
      <c r="A68" s="70"/>
      <c r="B68" s="70"/>
      <c r="C68" s="70"/>
      <c r="D68" s="71"/>
      <c r="E68" s="72"/>
      <c r="F68" s="70"/>
      <c r="G68" s="69"/>
      <c r="H68" s="70"/>
      <c r="I68" s="70"/>
      <c r="J68" s="71"/>
      <c r="K68" s="72"/>
      <c r="L68" s="70"/>
      <c r="M68" s="70"/>
      <c r="N68" s="82"/>
      <c r="O68" s="70"/>
      <c r="P68" s="70"/>
      <c r="Q68" s="70"/>
      <c r="R68" s="71"/>
      <c r="S68" s="72"/>
      <c r="T68" s="70"/>
      <c r="U68" s="70"/>
      <c r="V68" s="71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</row>
    <row r="69">
      <c r="A69" s="70"/>
      <c r="B69" s="70"/>
      <c r="C69" s="70"/>
      <c r="D69" s="71"/>
      <c r="E69" s="72"/>
      <c r="F69" s="70"/>
      <c r="G69" s="69"/>
      <c r="H69" s="70"/>
      <c r="I69" s="70"/>
      <c r="J69" s="71"/>
      <c r="K69" s="72"/>
      <c r="L69" s="70"/>
      <c r="M69" s="70"/>
      <c r="N69" s="82"/>
      <c r="O69" s="70"/>
      <c r="P69" s="70"/>
      <c r="Q69" s="70"/>
      <c r="R69" s="71"/>
      <c r="S69" s="72"/>
      <c r="T69" s="70"/>
      <c r="U69" s="70"/>
      <c r="V69" s="71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</row>
    <row r="70">
      <c r="A70" s="70"/>
      <c r="B70" s="70"/>
      <c r="C70" s="70"/>
      <c r="D70" s="71"/>
      <c r="E70" s="72"/>
      <c r="F70" s="70"/>
      <c r="G70" s="69"/>
      <c r="H70" s="70"/>
      <c r="I70" s="70"/>
      <c r="J70" s="71"/>
      <c r="K70" s="72"/>
      <c r="L70" s="70"/>
      <c r="M70" s="70"/>
      <c r="N70" s="82"/>
      <c r="O70" s="70"/>
      <c r="P70" s="70"/>
      <c r="Q70" s="70"/>
      <c r="R70" s="71"/>
      <c r="S70" s="72"/>
      <c r="T70" s="70"/>
      <c r="U70" s="70"/>
      <c r="V70" s="71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</row>
    <row r="71">
      <c r="A71" s="70"/>
      <c r="B71" s="70"/>
      <c r="C71" s="70"/>
      <c r="D71" s="71"/>
      <c r="E71" s="72"/>
      <c r="F71" s="70"/>
      <c r="G71" s="69"/>
      <c r="H71" s="70"/>
      <c r="I71" s="70"/>
      <c r="J71" s="71"/>
      <c r="K71" s="72"/>
      <c r="L71" s="70"/>
      <c r="M71" s="70"/>
      <c r="N71" s="82"/>
      <c r="O71" s="70"/>
      <c r="P71" s="70"/>
      <c r="Q71" s="70"/>
      <c r="R71" s="71"/>
      <c r="S71" s="72"/>
      <c r="T71" s="70"/>
      <c r="U71" s="70"/>
      <c r="V71" s="71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</row>
    <row r="72">
      <c r="A72" s="70"/>
      <c r="B72" s="70"/>
      <c r="C72" s="70"/>
      <c r="D72" s="71"/>
      <c r="E72" s="72"/>
      <c r="F72" s="70"/>
      <c r="G72" s="69"/>
      <c r="H72" s="70"/>
      <c r="I72" s="70"/>
      <c r="J72" s="71"/>
      <c r="K72" s="72"/>
      <c r="L72" s="70"/>
      <c r="M72" s="70"/>
      <c r="N72" s="82"/>
      <c r="O72" s="70"/>
      <c r="P72" s="70"/>
      <c r="Q72" s="70"/>
      <c r="R72" s="71"/>
      <c r="S72" s="72"/>
      <c r="T72" s="70"/>
      <c r="U72" s="70"/>
      <c r="V72" s="71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</row>
    <row r="73">
      <c r="A73" s="70"/>
      <c r="B73" s="70"/>
      <c r="C73" s="70"/>
      <c r="D73" s="71"/>
      <c r="E73" s="72"/>
      <c r="F73" s="70"/>
      <c r="G73" s="69"/>
      <c r="H73" s="70"/>
      <c r="I73" s="70"/>
      <c r="J73" s="71"/>
      <c r="K73" s="72"/>
      <c r="L73" s="70"/>
      <c r="M73" s="70"/>
      <c r="N73" s="82"/>
      <c r="O73" s="70"/>
      <c r="P73" s="70"/>
      <c r="Q73" s="70"/>
      <c r="R73" s="71"/>
      <c r="S73" s="72"/>
      <c r="T73" s="70"/>
      <c r="U73" s="70"/>
      <c r="V73" s="71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</row>
    <row r="74">
      <c r="A74" s="70"/>
      <c r="B74" s="70"/>
      <c r="C74" s="70"/>
      <c r="D74" s="71"/>
      <c r="E74" s="72"/>
      <c r="F74" s="70"/>
      <c r="G74" s="69"/>
      <c r="H74" s="70"/>
      <c r="I74" s="70"/>
      <c r="J74" s="71"/>
      <c r="K74" s="72"/>
      <c r="L74" s="70"/>
      <c r="M74" s="70"/>
      <c r="N74" s="82"/>
      <c r="O74" s="70"/>
      <c r="P74" s="70"/>
      <c r="Q74" s="70"/>
      <c r="R74" s="71"/>
      <c r="S74" s="72"/>
      <c r="T74" s="70"/>
      <c r="U74" s="70"/>
      <c r="V74" s="71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</row>
    <row r="75">
      <c r="A75" s="70"/>
      <c r="B75" s="70"/>
      <c r="C75" s="70"/>
      <c r="D75" s="71"/>
      <c r="E75" s="72"/>
      <c r="F75" s="70"/>
      <c r="G75" s="69"/>
      <c r="H75" s="70"/>
      <c r="I75" s="70"/>
      <c r="J75" s="71"/>
      <c r="K75" s="72"/>
      <c r="L75" s="70"/>
      <c r="M75" s="70"/>
      <c r="N75" s="82"/>
      <c r="O75" s="70"/>
      <c r="P75" s="70"/>
      <c r="Q75" s="70"/>
      <c r="R75" s="71"/>
      <c r="S75" s="72"/>
      <c r="T75" s="70"/>
      <c r="U75" s="70"/>
      <c r="V75" s="71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</row>
    <row r="76">
      <c r="A76" s="70"/>
      <c r="B76" s="70"/>
      <c r="C76" s="70"/>
      <c r="D76" s="71"/>
      <c r="E76" s="72"/>
      <c r="F76" s="70"/>
      <c r="G76" s="69"/>
      <c r="H76" s="70"/>
      <c r="I76" s="70"/>
      <c r="J76" s="71"/>
      <c r="K76" s="72"/>
      <c r="L76" s="70"/>
      <c r="M76" s="70"/>
      <c r="N76" s="82"/>
      <c r="O76" s="70"/>
      <c r="P76" s="70"/>
      <c r="Q76" s="70"/>
      <c r="R76" s="71"/>
      <c r="S76" s="72"/>
      <c r="T76" s="70"/>
      <c r="U76" s="70"/>
      <c r="V76" s="71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</row>
    <row r="77">
      <c r="A77" s="70"/>
      <c r="B77" s="70"/>
      <c r="C77" s="70"/>
      <c r="D77" s="71"/>
      <c r="E77" s="72"/>
      <c r="F77" s="70"/>
      <c r="G77" s="69"/>
      <c r="H77" s="70"/>
      <c r="I77" s="70"/>
      <c r="J77" s="71"/>
      <c r="K77" s="72"/>
      <c r="L77" s="70"/>
      <c r="M77" s="70"/>
      <c r="N77" s="82"/>
      <c r="O77" s="70"/>
      <c r="P77" s="70"/>
      <c r="Q77" s="70"/>
      <c r="R77" s="71"/>
      <c r="S77" s="72"/>
      <c r="T77" s="70"/>
      <c r="U77" s="70"/>
      <c r="V77" s="71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</row>
    <row r="78">
      <c r="A78" s="70"/>
      <c r="B78" s="70"/>
      <c r="C78" s="70"/>
      <c r="D78" s="71"/>
      <c r="E78" s="72"/>
      <c r="F78" s="70"/>
      <c r="G78" s="69"/>
      <c r="H78" s="70"/>
      <c r="I78" s="70"/>
      <c r="J78" s="71"/>
      <c r="K78" s="72"/>
      <c r="L78" s="70"/>
      <c r="M78" s="70"/>
      <c r="N78" s="82"/>
      <c r="O78" s="70"/>
      <c r="P78" s="70"/>
      <c r="Q78" s="70"/>
      <c r="R78" s="71"/>
      <c r="S78" s="72"/>
      <c r="T78" s="70"/>
      <c r="U78" s="70"/>
      <c r="V78" s="71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</row>
    <row r="79">
      <c r="A79" s="70"/>
      <c r="B79" s="70"/>
      <c r="C79" s="70"/>
      <c r="D79" s="71"/>
      <c r="E79" s="72"/>
      <c r="F79" s="70"/>
      <c r="G79" s="69"/>
      <c r="H79" s="70"/>
      <c r="I79" s="70"/>
      <c r="J79" s="71"/>
      <c r="K79" s="72"/>
      <c r="L79" s="70"/>
      <c r="M79" s="70"/>
      <c r="N79" s="82"/>
      <c r="O79" s="70"/>
      <c r="P79" s="70"/>
      <c r="Q79" s="70"/>
      <c r="R79" s="71"/>
      <c r="S79" s="72"/>
      <c r="T79" s="70"/>
      <c r="U79" s="70"/>
      <c r="V79" s="71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</row>
    <row r="80">
      <c r="A80" s="70"/>
      <c r="B80" s="70"/>
      <c r="C80" s="70"/>
      <c r="D80" s="71"/>
      <c r="E80" s="72"/>
      <c r="F80" s="70"/>
      <c r="G80" s="69"/>
      <c r="H80" s="70"/>
      <c r="I80" s="70"/>
      <c r="J80" s="71"/>
      <c r="K80" s="72"/>
      <c r="L80" s="70"/>
      <c r="M80" s="70"/>
      <c r="N80" s="82"/>
      <c r="O80" s="70"/>
      <c r="P80" s="70"/>
      <c r="Q80" s="70"/>
      <c r="R80" s="71"/>
      <c r="S80" s="72"/>
      <c r="T80" s="70"/>
      <c r="U80" s="70"/>
      <c r="V80" s="71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</row>
    <row r="81">
      <c r="A81" s="70"/>
      <c r="B81" s="70"/>
      <c r="C81" s="70"/>
      <c r="D81" s="71"/>
      <c r="E81" s="72"/>
      <c r="F81" s="70"/>
      <c r="G81" s="69"/>
      <c r="H81" s="70"/>
      <c r="I81" s="70"/>
      <c r="J81" s="71"/>
      <c r="K81" s="72"/>
      <c r="L81" s="70"/>
      <c r="M81" s="70"/>
      <c r="N81" s="82"/>
      <c r="O81" s="70"/>
      <c r="P81" s="70"/>
      <c r="Q81" s="70"/>
      <c r="R81" s="71"/>
      <c r="S81" s="72"/>
      <c r="T81" s="70"/>
      <c r="U81" s="70"/>
      <c r="V81" s="71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</row>
    <row r="82">
      <c r="A82" s="70"/>
      <c r="B82" s="70"/>
      <c r="C82" s="70"/>
      <c r="D82" s="71"/>
      <c r="E82" s="72"/>
      <c r="F82" s="70"/>
      <c r="G82" s="69"/>
      <c r="H82" s="70"/>
      <c r="I82" s="70"/>
      <c r="J82" s="71"/>
      <c r="K82" s="72"/>
      <c r="L82" s="70"/>
      <c r="M82" s="70"/>
      <c r="N82" s="82"/>
      <c r="O82" s="70"/>
      <c r="P82" s="70"/>
      <c r="Q82" s="70"/>
      <c r="R82" s="71"/>
      <c r="S82" s="72"/>
      <c r="T82" s="70"/>
      <c r="U82" s="70"/>
      <c r="V82" s="71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</row>
    <row r="83">
      <c r="A83" s="70"/>
      <c r="B83" s="70"/>
      <c r="C83" s="70"/>
      <c r="D83" s="71"/>
      <c r="E83" s="72"/>
      <c r="F83" s="70"/>
      <c r="G83" s="69"/>
      <c r="H83" s="70"/>
      <c r="I83" s="70"/>
      <c r="J83" s="71"/>
      <c r="K83" s="72"/>
      <c r="L83" s="70"/>
      <c r="M83" s="70"/>
      <c r="N83" s="82"/>
      <c r="O83" s="70"/>
      <c r="P83" s="70"/>
      <c r="Q83" s="70"/>
      <c r="R83" s="71"/>
      <c r="S83" s="72"/>
      <c r="T83" s="70"/>
      <c r="U83" s="70"/>
      <c r="V83" s="71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</row>
    <row r="84">
      <c r="A84" s="70"/>
      <c r="B84" s="70"/>
      <c r="C84" s="70"/>
      <c r="D84" s="71"/>
      <c r="E84" s="72"/>
      <c r="F84" s="70"/>
      <c r="G84" s="69"/>
      <c r="H84" s="70"/>
      <c r="I84" s="70"/>
      <c r="J84" s="71"/>
      <c r="K84" s="72"/>
      <c r="L84" s="70"/>
      <c r="M84" s="70"/>
      <c r="N84" s="82"/>
      <c r="O84" s="70"/>
      <c r="P84" s="70"/>
      <c r="Q84" s="70"/>
      <c r="R84" s="71"/>
      <c r="S84" s="72"/>
      <c r="T84" s="70"/>
      <c r="U84" s="70"/>
      <c r="V84" s="71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</row>
    <row r="85">
      <c r="A85" s="70"/>
      <c r="B85" s="70"/>
      <c r="C85" s="70"/>
      <c r="D85" s="71"/>
      <c r="E85" s="72"/>
      <c r="F85" s="70"/>
      <c r="G85" s="69"/>
      <c r="H85" s="70"/>
      <c r="I85" s="70"/>
      <c r="J85" s="71"/>
      <c r="K85" s="72"/>
      <c r="L85" s="70"/>
      <c r="M85" s="70"/>
      <c r="N85" s="82"/>
      <c r="O85" s="70"/>
      <c r="P85" s="70"/>
      <c r="Q85" s="70"/>
      <c r="R85" s="71"/>
      <c r="S85" s="72"/>
      <c r="T85" s="70"/>
      <c r="U85" s="70"/>
      <c r="V85" s="71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</row>
    <row r="86">
      <c r="A86" s="70"/>
      <c r="B86" s="70"/>
      <c r="C86" s="70"/>
      <c r="D86" s="71"/>
      <c r="E86" s="72"/>
      <c r="F86" s="70"/>
      <c r="G86" s="69"/>
      <c r="H86" s="70"/>
      <c r="I86" s="70"/>
      <c r="J86" s="71"/>
      <c r="K86" s="72"/>
      <c r="L86" s="70"/>
      <c r="M86" s="70"/>
      <c r="N86" s="82"/>
      <c r="O86" s="70"/>
      <c r="P86" s="70"/>
      <c r="Q86" s="70"/>
      <c r="R86" s="71"/>
      <c r="S86" s="72"/>
      <c r="T86" s="70"/>
      <c r="U86" s="70"/>
      <c r="V86" s="71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</row>
    <row r="87">
      <c r="A87" s="70"/>
      <c r="B87" s="70"/>
      <c r="C87" s="70"/>
      <c r="D87" s="71"/>
      <c r="E87" s="72"/>
      <c r="F87" s="70"/>
      <c r="G87" s="69"/>
      <c r="H87" s="70"/>
      <c r="I87" s="70"/>
      <c r="J87" s="71"/>
      <c r="K87" s="72"/>
      <c r="L87" s="70"/>
      <c r="M87" s="70"/>
      <c r="N87" s="82"/>
      <c r="O87" s="70"/>
      <c r="P87" s="70"/>
      <c r="Q87" s="70"/>
      <c r="R87" s="71"/>
      <c r="S87" s="72"/>
      <c r="T87" s="70"/>
      <c r="U87" s="70"/>
      <c r="V87" s="71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</row>
    <row r="88">
      <c r="A88" s="70"/>
      <c r="B88" s="70"/>
      <c r="C88" s="70"/>
      <c r="D88" s="71"/>
      <c r="E88" s="72"/>
      <c r="F88" s="70"/>
      <c r="G88" s="69"/>
      <c r="H88" s="70"/>
      <c r="I88" s="70"/>
      <c r="J88" s="71"/>
      <c r="K88" s="72"/>
      <c r="L88" s="70"/>
      <c r="M88" s="70"/>
      <c r="N88" s="82"/>
      <c r="O88" s="70"/>
      <c r="P88" s="70"/>
      <c r="Q88" s="70"/>
      <c r="R88" s="71"/>
      <c r="S88" s="72"/>
      <c r="T88" s="70"/>
      <c r="U88" s="70"/>
      <c r="V88" s="71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</row>
    <row r="89">
      <c r="A89" s="70"/>
      <c r="B89" s="70"/>
      <c r="C89" s="70"/>
      <c r="D89" s="71"/>
      <c r="E89" s="72"/>
      <c r="F89" s="70"/>
      <c r="G89" s="69"/>
      <c r="H89" s="70"/>
      <c r="I89" s="70"/>
      <c r="J89" s="71"/>
      <c r="K89" s="72"/>
      <c r="L89" s="70"/>
      <c r="M89" s="70"/>
      <c r="N89" s="82"/>
      <c r="O89" s="70"/>
      <c r="P89" s="70"/>
      <c r="Q89" s="70"/>
      <c r="R89" s="71"/>
      <c r="S89" s="72"/>
      <c r="T89" s="70"/>
      <c r="U89" s="70"/>
      <c r="V89" s="71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</row>
    <row r="90">
      <c r="A90" s="70"/>
      <c r="B90" s="70"/>
      <c r="C90" s="70"/>
      <c r="D90" s="71"/>
      <c r="E90" s="72"/>
      <c r="F90" s="70"/>
      <c r="G90" s="69"/>
      <c r="H90" s="70"/>
      <c r="I90" s="70"/>
      <c r="J90" s="71"/>
      <c r="K90" s="72"/>
      <c r="L90" s="70"/>
      <c r="M90" s="70"/>
      <c r="N90" s="82"/>
      <c r="O90" s="70"/>
      <c r="P90" s="70"/>
      <c r="Q90" s="70"/>
      <c r="R90" s="71"/>
      <c r="S90" s="72"/>
      <c r="T90" s="70"/>
      <c r="U90" s="70"/>
      <c r="V90" s="71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</row>
    <row r="91">
      <c r="A91" s="70"/>
      <c r="B91" s="70"/>
      <c r="C91" s="70"/>
      <c r="D91" s="71"/>
      <c r="E91" s="72"/>
      <c r="F91" s="70"/>
      <c r="G91" s="69"/>
      <c r="H91" s="70"/>
      <c r="I91" s="70"/>
      <c r="J91" s="71"/>
      <c r="K91" s="72"/>
      <c r="L91" s="70"/>
      <c r="M91" s="70"/>
      <c r="N91" s="82"/>
      <c r="O91" s="70"/>
      <c r="P91" s="70"/>
      <c r="Q91" s="70"/>
      <c r="R91" s="71"/>
      <c r="S91" s="72"/>
      <c r="T91" s="70"/>
      <c r="U91" s="70"/>
      <c r="V91" s="71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</row>
    <row r="92">
      <c r="A92" s="70"/>
      <c r="B92" s="70"/>
      <c r="C92" s="70"/>
      <c r="D92" s="71"/>
      <c r="E92" s="72"/>
      <c r="F92" s="70"/>
      <c r="G92" s="69"/>
      <c r="H92" s="70"/>
      <c r="I92" s="70"/>
      <c r="J92" s="71"/>
      <c r="K92" s="72"/>
      <c r="L92" s="70"/>
      <c r="M92" s="70"/>
      <c r="N92" s="82"/>
      <c r="O92" s="70"/>
      <c r="P92" s="70"/>
      <c r="Q92" s="70"/>
      <c r="R92" s="71"/>
      <c r="S92" s="72"/>
      <c r="T92" s="70"/>
      <c r="U92" s="70"/>
      <c r="V92" s="71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</row>
    <row r="93">
      <c r="A93" s="70"/>
      <c r="B93" s="70"/>
      <c r="C93" s="70"/>
      <c r="D93" s="71"/>
      <c r="E93" s="72"/>
      <c r="F93" s="70"/>
      <c r="G93" s="69"/>
      <c r="H93" s="70"/>
      <c r="I93" s="70"/>
      <c r="J93" s="71"/>
      <c r="K93" s="72"/>
      <c r="L93" s="70"/>
      <c r="M93" s="70"/>
      <c r="N93" s="82"/>
      <c r="O93" s="70"/>
      <c r="P93" s="70"/>
      <c r="Q93" s="70"/>
      <c r="R93" s="71"/>
      <c r="S93" s="72"/>
      <c r="T93" s="70"/>
      <c r="U93" s="70"/>
      <c r="V93" s="71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</row>
    <row r="94">
      <c r="A94" s="70"/>
      <c r="B94" s="70"/>
      <c r="C94" s="70"/>
      <c r="D94" s="71"/>
      <c r="E94" s="72"/>
      <c r="F94" s="70"/>
      <c r="G94" s="69"/>
      <c r="H94" s="70"/>
      <c r="I94" s="70"/>
      <c r="J94" s="71"/>
      <c r="K94" s="72"/>
      <c r="L94" s="70"/>
      <c r="M94" s="70"/>
      <c r="N94" s="82"/>
      <c r="O94" s="70"/>
      <c r="P94" s="70"/>
      <c r="Q94" s="70"/>
      <c r="R94" s="71"/>
      <c r="S94" s="72"/>
      <c r="T94" s="70"/>
      <c r="U94" s="70"/>
      <c r="V94" s="71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</row>
    <row r="95">
      <c r="A95" s="70"/>
      <c r="B95" s="70"/>
      <c r="C95" s="70"/>
      <c r="D95" s="71"/>
      <c r="E95" s="72"/>
      <c r="F95" s="70"/>
      <c r="G95" s="69"/>
      <c r="H95" s="70"/>
      <c r="I95" s="70"/>
      <c r="J95" s="71"/>
      <c r="K95" s="72"/>
      <c r="L95" s="70"/>
      <c r="M95" s="70"/>
      <c r="N95" s="82"/>
      <c r="O95" s="70"/>
      <c r="P95" s="70"/>
      <c r="Q95" s="70"/>
      <c r="R95" s="71"/>
      <c r="S95" s="72"/>
      <c r="T95" s="70"/>
      <c r="U95" s="70"/>
      <c r="V95" s="71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</row>
    <row r="96">
      <c r="A96" s="70"/>
      <c r="B96" s="70"/>
      <c r="C96" s="70"/>
      <c r="D96" s="71"/>
      <c r="E96" s="72"/>
      <c r="F96" s="70"/>
      <c r="G96" s="69"/>
      <c r="H96" s="70"/>
      <c r="I96" s="70"/>
      <c r="J96" s="71"/>
      <c r="K96" s="72"/>
      <c r="L96" s="70"/>
      <c r="M96" s="70"/>
      <c r="N96" s="82"/>
      <c r="O96" s="70"/>
      <c r="P96" s="70"/>
      <c r="Q96" s="70"/>
      <c r="R96" s="71"/>
      <c r="S96" s="72"/>
      <c r="T96" s="70"/>
      <c r="U96" s="70"/>
      <c r="V96" s="71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</row>
    <row r="97">
      <c r="A97" s="70"/>
      <c r="B97" s="70"/>
      <c r="C97" s="70"/>
      <c r="D97" s="71"/>
      <c r="E97" s="72"/>
      <c r="F97" s="70"/>
      <c r="G97" s="69"/>
      <c r="H97" s="70"/>
      <c r="I97" s="70"/>
      <c r="J97" s="71"/>
      <c r="K97" s="72"/>
      <c r="L97" s="70"/>
      <c r="M97" s="70"/>
      <c r="N97" s="82"/>
      <c r="O97" s="70"/>
      <c r="P97" s="70"/>
      <c r="Q97" s="70"/>
      <c r="R97" s="71"/>
      <c r="S97" s="72"/>
      <c r="T97" s="70"/>
      <c r="U97" s="70"/>
      <c r="V97" s="71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</row>
    <row r="98">
      <c r="A98" s="70"/>
      <c r="B98" s="70"/>
      <c r="C98" s="70"/>
      <c r="D98" s="71"/>
      <c r="E98" s="72"/>
      <c r="F98" s="70"/>
      <c r="G98" s="69"/>
      <c r="H98" s="70"/>
      <c r="I98" s="70"/>
      <c r="J98" s="71"/>
      <c r="K98" s="72"/>
      <c r="L98" s="70"/>
      <c r="M98" s="70"/>
      <c r="N98" s="82"/>
      <c r="O98" s="70"/>
      <c r="P98" s="70"/>
      <c r="Q98" s="70"/>
      <c r="R98" s="71"/>
      <c r="S98" s="72"/>
      <c r="T98" s="70"/>
      <c r="U98" s="70"/>
      <c r="V98" s="71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</row>
    <row r="99">
      <c r="A99" s="70"/>
      <c r="B99" s="70"/>
      <c r="C99" s="70"/>
      <c r="D99" s="71"/>
      <c r="E99" s="72"/>
      <c r="F99" s="70"/>
      <c r="G99" s="69"/>
      <c r="H99" s="70"/>
      <c r="I99" s="70"/>
      <c r="J99" s="71"/>
      <c r="K99" s="72"/>
      <c r="L99" s="70"/>
      <c r="M99" s="70"/>
      <c r="N99" s="82"/>
      <c r="O99" s="70"/>
      <c r="P99" s="70"/>
      <c r="Q99" s="70"/>
      <c r="R99" s="71"/>
      <c r="S99" s="72"/>
      <c r="T99" s="70"/>
      <c r="U99" s="70"/>
      <c r="V99" s="71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</row>
    <row r="100">
      <c r="A100" s="70"/>
      <c r="B100" s="70"/>
      <c r="C100" s="70"/>
      <c r="D100" s="71"/>
      <c r="E100" s="72"/>
      <c r="F100" s="70"/>
      <c r="G100" s="69"/>
      <c r="H100" s="70"/>
      <c r="I100" s="70"/>
      <c r="J100" s="71"/>
      <c r="K100" s="72"/>
      <c r="L100" s="70"/>
      <c r="M100" s="70"/>
      <c r="N100" s="82"/>
      <c r="O100" s="70"/>
      <c r="P100" s="70"/>
      <c r="Q100" s="70"/>
      <c r="R100" s="71"/>
      <c r="S100" s="72"/>
      <c r="T100" s="70"/>
      <c r="U100" s="70"/>
      <c r="V100" s="71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</row>
    <row r="101">
      <c r="A101" s="70"/>
      <c r="B101" s="70"/>
      <c r="C101" s="70"/>
      <c r="D101" s="71"/>
      <c r="E101" s="72"/>
      <c r="F101" s="70"/>
      <c r="G101" s="69"/>
      <c r="H101" s="70"/>
      <c r="I101" s="70"/>
      <c r="J101" s="71"/>
      <c r="K101" s="72"/>
      <c r="L101" s="70"/>
      <c r="M101" s="70"/>
      <c r="N101" s="82"/>
      <c r="O101" s="70"/>
      <c r="P101" s="70"/>
      <c r="Q101" s="70"/>
      <c r="R101" s="71"/>
      <c r="S101" s="72"/>
      <c r="T101" s="70"/>
      <c r="U101" s="70"/>
      <c r="V101" s="71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</row>
    <row r="102">
      <c r="A102" s="70"/>
      <c r="B102" s="70"/>
      <c r="C102" s="70"/>
      <c r="D102" s="71"/>
      <c r="E102" s="72"/>
      <c r="F102" s="70"/>
      <c r="G102" s="69"/>
      <c r="H102" s="70"/>
      <c r="I102" s="70"/>
      <c r="J102" s="71"/>
      <c r="K102" s="72"/>
      <c r="L102" s="70"/>
      <c r="M102" s="70"/>
      <c r="N102" s="82"/>
      <c r="O102" s="70"/>
      <c r="P102" s="70"/>
      <c r="Q102" s="70"/>
      <c r="R102" s="71"/>
      <c r="S102" s="72"/>
      <c r="T102" s="70"/>
      <c r="U102" s="70"/>
      <c r="V102" s="71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</row>
    <row r="103">
      <c r="A103" s="70"/>
      <c r="B103" s="70"/>
      <c r="C103" s="70"/>
      <c r="D103" s="71"/>
      <c r="E103" s="72"/>
      <c r="F103" s="70"/>
      <c r="G103" s="69"/>
      <c r="H103" s="70"/>
      <c r="I103" s="70"/>
      <c r="J103" s="71"/>
      <c r="K103" s="72"/>
      <c r="L103" s="70"/>
      <c r="M103" s="70"/>
      <c r="N103" s="82"/>
      <c r="O103" s="70"/>
      <c r="P103" s="70"/>
      <c r="Q103" s="70"/>
      <c r="R103" s="71"/>
      <c r="S103" s="72"/>
      <c r="T103" s="70"/>
      <c r="U103" s="70"/>
      <c r="V103" s="71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</row>
    <row r="104">
      <c r="A104" s="70"/>
      <c r="B104" s="70"/>
      <c r="C104" s="70"/>
      <c r="D104" s="71"/>
      <c r="E104" s="72"/>
      <c r="F104" s="70"/>
      <c r="G104" s="69"/>
      <c r="H104" s="70"/>
      <c r="I104" s="70"/>
      <c r="J104" s="71"/>
      <c r="K104" s="72"/>
      <c r="L104" s="70"/>
      <c r="M104" s="70"/>
      <c r="N104" s="82"/>
      <c r="O104" s="70"/>
      <c r="P104" s="70"/>
      <c r="Q104" s="70"/>
      <c r="R104" s="71"/>
      <c r="S104" s="72"/>
      <c r="T104" s="70"/>
      <c r="U104" s="70"/>
      <c r="V104" s="71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</row>
    <row r="105">
      <c r="A105" s="70"/>
      <c r="B105" s="70"/>
      <c r="C105" s="70"/>
      <c r="D105" s="71"/>
      <c r="E105" s="72"/>
      <c r="F105" s="70"/>
      <c r="G105" s="69"/>
      <c r="H105" s="70"/>
      <c r="I105" s="70"/>
      <c r="J105" s="71"/>
      <c r="K105" s="72"/>
      <c r="L105" s="70"/>
      <c r="M105" s="70"/>
      <c r="N105" s="82"/>
      <c r="O105" s="70"/>
      <c r="P105" s="70"/>
      <c r="Q105" s="70"/>
      <c r="R105" s="71"/>
      <c r="S105" s="72"/>
      <c r="T105" s="70"/>
      <c r="U105" s="70"/>
      <c r="V105" s="71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</row>
    <row r="106">
      <c r="A106" s="70"/>
      <c r="B106" s="70"/>
      <c r="C106" s="70"/>
      <c r="D106" s="71"/>
      <c r="E106" s="72"/>
      <c r="F106" s="70"/>
      <c r="G106" s="69"/>
      <c r="H106" s="70"/>
      <c r="I106" s="70"/>
      <c r="J106" s="71"/>
      <c r="K106" s="72"/>
      <c r="L106" s="70"/>
      <c r="M106" s="70"/>
      <c r="N106" s="82"/>
      <c r="O106" s="70"/>
      <c r="P106" s="70"/>
      <c r="Q106" s="70"/>
      <c r="R106" s="71"/>
      <c r="S106" s="72"/>
      <c r="T106" s="70"/>
      <c r="U106" s="70"/>
      <c r="V106" s="71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</row>
    <row r="107">
      <c r="A107" s="70"/>
      <c r="B107" s="70"/>
      <c r="C107" s="70"/>
      <c r="D107" s="71"/>
      <c r="E107" s="72"/>
      <c r="F107" s="70"/>
      <c r="G107" s="69"/>
      <c r="H107" s="70"/>
      <c r="I107" s="70"/>
      <c r="J107" s="71"/>
      <c r="K107" s="72"/>
      <c r="L107" s="70"/>
      <c r="M107" s="70"/>
      <c r="N107" s="82"/>
      <c r="O107" s="70"/>
      <c r="P107" s="70"/>
      <c r="Q107" s="70"/>
      <c r="R107" s="71"/>
      <c r="S107" s="72"/>
      <c r="T107" s="70"/>
      <c r="U107" s="70"/>
      <c r="V107" s="71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</row>
    <row r="108">
      <c r="A108" s="70"/>
      <c r="B108" s="70"/>
      <c r="C108" s="70"/>
      <c r="D108" s="71"/>
      <c r="E108" s="72"/>
      <c r="F108" s="70"/>
      <c r="G108" s="69"/>
      <c r="H108" s="70"/>
      <c r="I108" s="70"/>
      <c r="J108" s="71"/>
      <c r="K108" s="72"/>
      <c r="L108" s="70"/>
      <c r="M108" s="70"/>
      <c r="N108" s="82"/>
      <c r="O108" s="70"/>
      <c r="P108" s="70"/>
      <c r="Q108" s="70"/>
      <c r="R108" s="71"/>
      <c r="S108" s="72"/>
      <c r="T108" s="70"/>
      <c r="U108" s="70"/>
      <c r="V108" s="71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</row>
    <row r="109">
      <c r="A109" s="70"/>
      <c r="B109" s="70"/>
      <c r="C109" s="70"/>
      <c r="D109" s="71"/>
      <c r="E109" s="72"/>
      <c r="F109" s="70"/>
      <c r="G109" s="69"/>
      <c r="H109" s="70"/>
      <c r="I109" s="70"/>
      <c r="J109" s="71"/>
      <c r="K109" s="72"/>
      <c r="L109" s="70"/>
      <c r="M109" s="70"/>
      <c r="N109" s="82"/>
      <c r="O109" s="70"/>
      <c r="P109" s="70"/>
      <c r="Q109" s="70"/>
      <c r="R109" s="71"/>
      <c r="S109" s="72"/>
      <c r="T109" s="70"/>
      <c r="U109" s="70"/>
      <c r="V109" s="71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</row>
    <row r="110">
      <c r="A110" s="70"/>
      <c r="B110" s="70"/>
      <c r="C110" s="70"/>
      <c r="D110" s="71"/>
      <c r="E110" s="72"/>
      <c r="F110" s="70"/>
      <c r="G110" s="69"/>
      <c r="H110" s="70"/>
      <c r="I110" s="70"/>
      <c r="J110" s="71"/>
      <c r="K110" s="72"/>
      <c r="L110" s="70"/>
      <c r="M110" s="70"/>
      <c r="N110" s="82"/>
      <c r="O110" s="70"/>
      <c r="P110" s="70"/>
      <c r="Q110" s="70"/>
      <c r="R110" s="71"/>
      <c r="S110" s="72"/>
      <c r="T110" s="70"/>
      <c r="U110" s="70"/>
      <c r="V110" s="71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</row>
    <row r="111">
      <c r="A111" s="70"/>
      <c r="B111" s="70"/>
      <c r="C111" s="70"/>
      <c r="D111" s="71"/>
      <c r="E111" s="72"/>
      <c r="F111" s="70"/>
      <c r="G111" s="69"/>
      <c r="H111" s="70"/>
      <c r="I111" s="70"/>
      <c r="J111" s="71"/>
      <c r="K111" s="72"/>
      <c r="L111" s="70"/>
      <c r="M111" s="70"/>
      <c r="N111" s="82"/>
      <c r="O111" s="70"/>
      <c r="P111" s="70"/>
      <c r="Q111" s="70"/>
      <c r="R111" s="71"/>
      <c r="S111" s="72"/>
      <c r="T111" s="70"/>
      <c r="U111" s="70"/>
      <c r="V111" s="71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</row>
    <row r="112">
      <c r="A112" s="70"/>
      <c r="B112" s="70"/>
      <c r="C112" s="70"/>
      <c r="D112" s="71"/>
      <c r="E112" s="72"/>
      <c r="F112" s="70"/>
      <c r="G112" s="69"/>
      <c r="H112" s="70"/>
      <c r="I112" s="70"/>
      <c r="J112" s="71"/>
      <c r="K112" s="72"/>
      <c r="L112" s="70"/>
      <c r="M112" s="70"/>
      <c r="N112" s="82"/>
      <c r="O112" s="70"/>
      <c r="P112" s="70"/>
      <c r="Q112" s="70"/>
      <c r="R112" s="71"/>
      <c r="S112" s="72"/>
      <c r="T112" s="70"/>
      <c r="U112" s="70"/>
      <c r="V112" s="71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</row>
    <row r="113">
      <c r="A113" s="70"/>
      <c r="B113" s="70"/>
      <c r="C113" s="70"/>
      <c r="D113" s="71"/>
      <c r="E113" s="72"/>
      <c r="F113" s="70"/>
      <c r="G113" s="69"/>
      <c r="H113" s="70"/>
      <c r="I113" s="70"/>
      <c r="J113" s="71"/>
      <c r="K113" s="72"/>
      <c r="L113" s="70"/>
      <c r="M113" s="70"/>
      <c r="N113" s="82"/>
      <c r="O113" s="70"/>
      <c r="P113" s="70"/>
      <c r="Q113" s="70"/>
      <c r="R113" s="71"/>
      <c r="S113" s="72"/>
      <c r="T113" s="70"/>
      <c r="U113" s="70"/>
      <c r="V113" s="71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</row>
    <row r="114">
      <c r="A114" s="70"/>
      <c r="B114" s="70"/>
      <c r="C114" s="70"/>
      <c r="D114" s="71"/>
      <c r="E114" s="72"/>
      <c r="F114" s="70"/>
      <c r="G114" s="69"/>
      <c r="H114" s="70"/>
      <c r="I114" s="70"/>
      <c r="J114" s="71"/>
      <c r="K114" s="72"/>
      <c r="L114" s="70"/>
      <c r="M114" s="70"/>
      <c r="N114" s="82"/>
      <c r="O114" s="70"/>
      <c r="P114" s="70"/>
      <c r="Q114" s="70"/>
      <c r="R114" s="71"/>
      <c r="S114" s="72"/>
      <c r="T114" s="70"/>
      <c r="U114" s="70"/>
      <c r="V114" s="71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</row>
    <row r="115">
      <c r="A115" s="70"/>
      <c r="B115" s="70"/>
      <c r="C115" s="70"/>
      <c r="D115" s="71"/>
      <c r="E115" s="72"/>
      <c r="F115" s="70"/>
      <c r="G115" s="69"/>
      <c r="H115" s="70"/>
      <c r="I115" s="70"/>
      <c r="J115" s="71"/>
      <c r="K115" s="72"/>
      <c r="L115" s="70"/>
      <c r="M115" s="70"/>
      <c r="N115" s="82"/>
      <c r="O115" s="70"/>
      <c r="P115" s="70"/>
      <c r="Q115" s="70"/>
      <c r="R115" s="71"/>
      <c r="S115" s="72"/>
      <c r="T115" s="70"/>
      <c r="U115" s="70"/>
      <c r="V115" s="71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</row>
    <row r="116">
      <c r="A116" s="70"/>
      <c r="B116" s="70"/>
      <c r="C116" s="70"/>
      <c r="D116" s="71"/>
      <c r="E116" s="72"/>
      <c r="F116" s="70"/>
      <c r="G116" s="69"/>
      <c r="H116" s="70"/>
      <c r="I116" s="70"/>
      <c r="J116" s="71"/>
      <c r="K116" s="72"/>
      <c r="L116" s="70"/>
      <c r="M116" s="70"/>
      <c r="N116" s="82"/>
      <c r="O116" s="70"/>
      <c r="P116" s="70"/>
      <c r="Q116" s="70"/>
      <c r="R116" s="71"/>
      <c r="S116" s="72"/>
      <c r="T116" s="70"/>
      <c r="U116" s="70"/>
      <c r="V116" s="71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</row>
    <row r="117">
      <c r="A117" s="70"/>
      <c r="B117" s="70"/>
      <c r="C117" s="70"/>
      <c r="D117" s="71"/>
      <c r="E117" s="72"/>
      <c r="F117" s="70"/>
      <c r="G117" s="69"/>
      <c r="H117" s="70"/>
      <c r="I117" s="70"/>
      <c r="J117" s="71"/>
      <c r="K117" s="72"/>
      <c r="L117" s="70"/>
      <c r="M117" s="70"/>
      <c r="N117" s="82"/>
      <c r="O117" s="70"/>
      <c r="P117" s="70"/>
      <c r="Q117" s="70"/>
      <c r="R117" s="71"/>
      <c r="S117" s="72"/>
      <c r="T117" s="70"/>
      <c r="U117" s="70"/>
      <c r="V117" s="71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</row>
    <row r="118">
      <c r="A118" s="70"/>
      <c r="B118" s="70"/>
      <c r="C118" s="70"/>
      <c r="D118" s="71"/>
      <c r="E118" s="72"/>
      <c r="F118" s="70"/>
      <c r="G118" s="69"/>
      <c r="H118" s="70"/>
      <c r="I118" s="70"/>
      <c r="J118" s="71"/>
      <c r="K118" s="72"/>
      <c r="L118" s="70"/>
      <c r="M118" s="70"/>
      <c r="N118" s="82"/>
      <c r="O118" s="70"/>
      <c r="P118" s="70"/>
      <c r="Q118" s="70"/>
      <c r="R118" s="71"/>
      <c r="S118" s="72"/>
      <c r="T118" s="70"/>
      <c r="U118" s="70"/>
      <c r="V118" s="71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</row>
    <row r="119">
      <c r="A119" s="70"/>
      <c r="B119" s="70"/>
      <c r="C119" s="70"/>
      <c r="D119" s="71"/>
      <c r="E119" s="72"/>
      <c r="F119" s="70"/>
      <c r="G119" s="69"/>
      <c r="H119" s="70"/>
      <c r="I119" s="70"/>
      <c r="J119" s="71"/>
      <c r="K119" s="72"/>
      <c r="L119" s="70"/>
      <c r="M119" s="70"/>
      <c r="N119" s="82"/>
      <c r="O119" s="70"/>
      <c r="P119" s="70"/>
      <c r="Q119" s="70"/>
      <c r="R119" s="71"/>
      <c r="S119" s="72"/>
      <c r="T119" s="70"/>
      <c r="U119" s="70"/>
      <c r="V119" s="71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</row>
    <row r="120">
      <c r="A120" s="70"/>
      <c r="B120" s="70"/>
      <c r="C120" s="70"/>
      <c r="D120" s="71"/>
      <c r="E120" s="72"/>
      <c r="F120" s="70"/>
      <c r="G120" s="69"/>
      <c r="H120" s="70"/>
      <c r="I120" s="70"/>
      <c r="J120" s="71"/>
      <c r="K120" s="72"/>
      <c r="L120" s="70"/>
      <c r="M120" s="70"/>
      <c r="N120" s="82"/>
      <c r="O120" s="70"/>
      <c r="P120" s="70"/>
      <c r="Q120" s="70"/>
      <c r="R120" s="71"/>
      <c r="S120" s="72"/>
      <c r="T120" s="70"/>
      <c r="U120" s="70"/>
      <c r="V120" s="71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</row>
    <row r="121">
      <c r="A121" s="70"/>
      <c r="B121" s="70"/>
      <c r="C121" s="70"/>
      <c r="D121" s="71"/>
      <c r="E121" s="72"/>
      <c r="F121" s="70"/>
      <c r="G121" s="69"/>
      <c r="H121" s="70"/>
      <c r="I121" s="70"/>
      <c r="J121" s="71"/>
      <c r="K121" s="72"/>
      <c r="L121" s="70"/>
      <c r="M121" s="70"/>
      <c r="N121" s="82"/>
      <c r="O121" s="70"/>
      <c r="P121" s="70"/>
      <c r="Q121" s="70"/>
      <c r="R121" s="71"/>
      <c r="S121" s="72"/>
      <c r="T121" s="70"/>
      <c r="U121" s="70"/>
      <c r="V121" s="71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</row>
    <row r="122">
      <c r="A122" s="70"/>
      <c r="B122" s="70"/>
      <c r="C122" s="70"/>
      <c r="D122" s="71"/>
      <c r="E122" s="72"/>
      <c r="F122" s="70"/>
      <c r="G122" s="69"/>
      <c r="H122" s="70"/>
      <c r="I122" s="70"/>
      <c r="J122" s="71"/>
      <c r="K122" s="72"/>
      <c r="L122" s="70"/>
      <c r="M122" s="70"/>
      <c r="N122" s="82"/>
      <c r="O122" s="70"/>
      <c r="P122" s="70"/>
      <c r="Q122" s="70"/>
      <c r="R122" s="71"/>
      <c r="S122" s="72"/>
      <c r="T122" s="70"/>
      <c r="U122" s="70"/>
      <c r="V122" s="71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</row>
    <row r="123">
      <c r="A123" s="70"/>
      <c r="B123" s="70"/>
      <c r="C123" s="70"/>
      <c r="D123" s="71"/>
      <c r="E123" s="72"/>
      <c r="F123" s="70"/>
      <c r="G123" s="69"/>
      <c r="H123" s="70"/>
      <c r="I123" s="70"/>
      <c r="J123" s="71"/>
      <c r="K123" s="72"/>
      <c r="L123" s="70"/>
      <c r="M123" s="70"/>
      <c r="N123" s="82"/>
      <c r="O123" s="70"/>
      <c r="P123" s="70"/>
      <c r="Q123" s="70"/>
      <c r="R123" s="71"/>
      <c r="S123" s="72"/>
      <c r="T123" s="70"/>
      <c r="U123" s="70"/>
      <c r="V123" s="71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</row>
    <row r="124">
      <c r="A124" s="70"/>
      <c r="B124" s="70"/>
      <c r="C124" s="70"/>
      <c r="D124" s="71"/>
      <c r="E124" s="72"/>
      <c r="F124" s="70"/>
      <c r="G124" s="69"/>
      <c r="H124" s="70"/>
      <c r="I124" s="70"/>
      <c r="J124" s="71"/>
      <c r="K124" s="72"/>
      <c r="L124" s="70"/>
      <c r="M124" s="70"/>
      <c r="N124" s="82"/>
      <c r="O124" s="70"/>
      <c r="P124" s="70"/>
      <c r="Q124" s="70"/>
      <c r="R124" s="71"/>
      <c r="S124" s="72"/>
      <c r="T124" s="70"/>
      <c r="U124" s="70"/>
      <c r="V124" s="71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</row>
    <row r="125">
      <c r="A125" s="70"/>
      <c r="B125" s="70"/>
      <c r="C125" s="70"/>
      <c r="D125" s="71"/>
      <c r="E125" s="72"/>
      <c r="F125" s="70"/>
      <c r="G125" s="69"/>
      <c r="H125" s="70"/>
      <c r="I125" s="70"/>
      <c r="J125" s="71"/>
      <c r="K125" s="72"/>
      <c r="L125" s="70"/>
      <c r="M125" s="70"/>
      <c r="N125" s="82"/>
      <c r="O125" s="70"/>
      <c r="P125" s="70"/>
      <c r="Q125" s="70"/>
      <c r="R125" s="71"/>
      <c r="S125" s="72"/>
      <c r="T125" s="70"/>
      <c r="U125" s="70"/>
      <c r="V125" s="71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</row>
    <row r="126">
      <c r="A126" s="70"/>
      <c r="B126" s="70"/>
      <c r="C126" s="70"/>
      <c r="D126" s="71"/>
      <c r="E126" s="72"/>
      <c r="F126" s="70"/>
      <c r="G126" s="69"/>
      <c r="H126" s="70"/>
      <c r="I126" s="70"/>
      <c r="J126" s="71"/>
      <c r="K126" s="72"/>
      <c r="L126" s="70"/>
      <c r="M126" s="70"/>
      <c r="N126" s="82"/>
      <c r="O126" s="70"/>
      <c r="P126" s="70"/>
      <c r="Q126" s="70"/>
      <c r="R126" s="71"/>
      <c r="S126" s="72"/>
      <c r="T126" s="70"/>
      <c r="U126" s="70"/>
      <c r="V126" s="71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</row>
    <row r="127">
      <c r="A127" s="70"/>
      <c r="B127" s="70"/>
      <c r="C127" s="70"/>
      <c r="D127" s="71"/>
      <c r="E127" s="72"/>
      <c r="F127" s="70"/>
      <c r="G127" s="69"/>
      <c r="H127" s="70"/>
      <c r="I127" s="70"/>
      <c r="J127" s="71"/>
      <c r="K127" s="72"/>
      <c r="L127" s="70"/>
      <c r="M127" s="70"/>
      <c r="N127" s="82"/>
      <c r="O127" s="70"/>
      <c r="P127" s="70"/>
      <c r="Q127" s="70"/>
      <c r="R127" s="71"/>
      <c r="S127" s="72"/>
      <c r="T127" s="70"/>
      <c r="U127" s="70"/>
      <c r="V127" s="71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</row>
    <row r="128">
      <c r="A128" s="70"/>
      <c r="B128" s="70"/>
      <c r="C128" s="70"/>
      <c r="D128" s="71"/>
      <c r="E128" s="72"/>
      <c r="F128" s="70"/>
      <c r="G128" s="69"/>
      <c r="H128" s="70"/>
      <c r="I128" s="70"/>
      <c r="J128" s="71"/>
      <c r="K128" s="72"/>
      <c r="L128" s="70"/>
      <c r="M128" s="70"/>
      <c r="N128" s="82"/>
      <c r="O128" s="70"/>
      <c r="P128" s="70"/>
      <c r="Q128" s="70"/>
      <c r="R128" s="71"/>
      <c r="S128" s="72"/>
      <c r="T128" s="70"/>
      <c r="U128" s="70"/>
      <c r="V128" s="71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</row>
    <row r="129">
      <c r="A129" s="70"/>
      <c r="B129" s="70"/>
      <c r="C129" s="70"/>
      <c r="D129" s="71"/>
      <c r="E129" s="72"/>
      <c r="F129" s="70"/>
      <c r="G129" s="69"/>
      <c r="H129" s="70"/>
      <c r="I129" s="70"/>
      <c r="J129" s="71"/>
      <c r="K129" s="72"/>
      <c r="L129" s="70"/>
      <c r="M129" s="70"/>
      <c r="N129" s="82"/>
      <c r="O129" s="70"/>
      <c r="P129" s="70"/>
      <c r="Q129" s="70"/>
      <c r="R129" s="71"/>
      <c r="S129" s="72"/>
      <c r="T129" s="70"/>
      <c r="U129" s="70"/>
      <c r="V129" s="71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</row>
    <row r="130">
      <c r="A130" s="70"/>
      <c r="B130" s="70"/>
      <c r="C130" s="70"/>
      <c r="D130" s="71"/>
      <c r="E130" s="72"/>
      <c r="F130" s="70"/>
      <c r="G130" s="69"/>
      <c r="H130" s="70"/>
      <c r="I130" s="70"/>
      <c r="J130" s="71"/>
      <c r="K130" s="72"/>
      <c r="L130" s="70"/>
      <c r="M130" s="70"/>
      <c r="N130" s="82"/>
      <c r="O130" s="70"/>
      <c r="P130" s="70"/>
      <c r="Q130" s="70"/>
      <c r="R130" s="71"/>
      <c r="S130" s="72"/>
      <c r="T130" s="70"/>
      <c r="U130" s="70"/>
      <c r="V130" s="71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</row>
    <row r="131">
      <c r="A131" s="70"/>
      <c r="B131" s="70"/>
      <c r="C131" s="70"/>
      <c r="D131" s="71"/>
      <c r="E131" s="72"/>
      <c r="F131" s="70"/>
      <c r="G131" s="69"/>
      <c r="H131" s="70"/>
      <c r="I131" s="70"/>
      <c r="J131" s="71"/>
      <c r="K131" s="72"/>
      <c r="L131" s="70"/>
      <c r="M131" s="70"/>
      <c r="N131" s="82"/>
      <c r="O131" s="70"/>
      <c r="P131" s="70"/>
      <c r="Q131" s="70"/>
      <c r="R131" s="71"/>
      <c r="S131" s="72"/>
      <c r="T131" s="70"/>
      <c r="U131" s="70"/>
      <c r="V131" s="71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</row>
    <row r="132">
      <c r="A132" s="70"/>
      <c r="B132" s="70"/>
      <c r="C132" s="70"/>
      <c r="D132" s="71"/>
      <c r="E132" s="72"/>
      <c r="F132" s="70"/>
      <c r="G132" s="69"/>
      <c r="H132" s="70"/>
      <c r="I132" s="70"/>
      <c r="J132" s="71"/>
      <c r="K132" s="72"/>
      <c r="L132" s="70"/>
      <c r="M132" s="70"/>
      <c r="N132" s="82"/>
      <c r="O132" s="70"/>
      <c r="P132" s="70"/>
      <c r="Q132" s="70"/>
      <c r="R132" s="71"/>
      <c r="S132" s="72"/>
      <c r="T132" s="70"/>
      <c r="U132" s="70"/>
      <c r="V132" s="71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</row>
    <row r="133">
      <c r="A133" s="70"/>
      <c r="B133" s="70"/>
      <c r="C133" s="70"/>
      <c r="D133" s="71"/>
      <c r="E133" s="72"/>
      <c r="F133" s="70"/>
      <c r="G133" s="69"/>
      <c r="H133" s="70"/>
      <c r="I133" s="70"/>
      <c r="J133" s="71"/>
      <c r="K133" s="72"/>
      <c r="L133" s="70"/>
      <c r="M133" s="70"/>
      <c r="N133" s="82"/>
      <c r="O133" s="70"/>
      <c r="P133" s="70"/>
      <c r="Q133" s="70"/>
      <c r="R133" s="71"/>
      <c r="S133" s="72"/>
      <c r="T133" s="70"/>
      <c r="U133" s="70"/>
      <c r="V133" s="71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</row>
    <row r="134">
      <c r="A134" s="70"/>
      <c r="B134" s="70"/>
      <c r="C134" s="70"/>
      <c r="D134" s="71"/>
      <c r="E134" s="72"/>
      <c r="F134" s="70"/>
      <c r="G134" s="69"/>
      <c r="H134" s="70"/>
      <c r="I134" s="70"/>
      <c r="J134" s="71"/>
      <c r="K134" s="72"/>
      <c r="L134" s="70"/>
      <c r="M134" s="70"/>
      <c r="N134" s="82"/>
      <c r="O134" s="70"/>
      <c r="P134" s="70"/>
      <c r="Q134" s="70"/>
      <c r="R134" s="71"/>
      <c r="S134" s="72"/>
      <c r="T134" s="70"/>
      <c r="U134" s="70"/>
      <c r="V134" s="71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</row>
    <row r="135">
      <c r="A135" s="70"/>
      <c r="B135" s="70"/>
      <c r="C135" s="70"/>
      <c r="D135" s="71"/>
      <c r="E135" s="72"/>
      <c r="F135" s="70"/>
      <c r="G135" s="69"/>
      <c r="H135" s="70"/>
      <c r="I135" s="70"/>
      <c r="J135" s="71"/>
      <c r="K135" s="72"/>
      <c r="L135" s="70"/>
      <c r="M135" s="70"/>
      <c r="N135" s="82"/>
      <c r="O135" s="70"/>
      <c r="P135" s="70"/>
      <c r="Q135" s="70"/>
      <c r="R135" s="71"/>
      <c r="S135" s="72"/>
      <c r="T135" s="70"/>
      <c r="U135" s="70"/>
      <c r="V135" s="71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</row>
    <row r="136">
      <c r="A136" s="70"/>
      <c r="B136" s="70"/>
      <c r="C136" s="70"/>
      <c r="D136" s="71"/>
      <c r="E136" s="72"/>
      <c r="F136" s="70"/>
      <c r="G136" s="69"/>
      <c r="H136" s="70"/>
      <c r="I136" s="70"/>
      <c r="J136" s="71"/>
      <c r="K136" s="72"/>
      <c r="L136" s="70"/>
      <c r="M136" s="70"/>
      <c r="N136" s="82"/>
      <c r="O136" s="70"/>
      <c r="P136" s="70"/>
      <c r="Q136" s="70"/>
      <c r="R136" s="71"/>
      <c r="S136" s="72"/>
      <c r="T136" s="70"/>
      <c r="U136" s="70"/>
      <c r="V136" s="71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</row>
    <row r="137">
      <c r="A137" s="70"/>
      <c r="B137" s="70"/>
      <c r="C137" s="70"/>
      <c r="D137" s="71"/>
      <c r="E137" s="72"/>
      <c r="F137" s="70"/>
      <c r="G137" s="69"/>
      <c r="H137" s="70"/>
      <c r="I137" s="70"/>
      <c r="J137" s="71"/>
      <c r="K137" s="72"/>
      <c r="L137" s="70"/>
      <c r="M137" s="70"/>
      <c r="N137" s="82"/>
      <c r="O137" s="70"/>
      <c r="P137" s="70"/>
      <c r="Q137" s="70"/>
      <c r="R137" s="71"/>
      <c r="S137" s="72"/>
      <c r="T137" s="70"/>
      <c r="U137" s="70"/>
      <c r="V137" s="71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</row>
    <row r="138">
      <c r="A138" s="70"/>
      <c r="B138" s="70"/>
      <c r="C138" s="70"/>
      <c r="D138" s="71"/>
      <c r="E138" s="72"/>
      <c r="F138" s="70"/>
      <c r="G138" s="69"/>
      <c r="H138" s="70"/>
      <c r="I138" s="70"/>
      <c r="J138" s="71"/>
      <c r="K138" s="72"/>
      <c r="L138" s="70"/>
      <c r="M138" s="70"/>
      <c r="N138" s="82"/>
      <c r="O138" s="70"/>
      <c r="P138" s="70"/>
      <c r="Q138" s="70"/>
      <c r="R138" s="71"/>
      <c r="S138" s="72"/>
      <c r="T138" s="70"/>
      <c r="U138" s="70"/>
      <c r="V138" s="71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</row>
    <row r="139">
      <c r="A139" s="70"/>
      <c r="B139" s="70"/>
      <c r="C139" s="70"/>
      <c r="D139" s="71"/>
      <c r="E139" s="72"/>
      <c r="F139" s="70"/>
      <c r="G139" s="69"/>
      <c r="H139" s="70"/>
      <c r="I139" s="70"/>
      <c r="J139" s="71"/>
      <c r="K139" s="72"/>
      <c r="L139" s="70"/>
      <c r="M139" s="70"/>
      <c r="N139" s="82"/>
      <c r="O139" s="70"/>
      <c r="P139" s="70"/>
      <c r="Q139" s="70"/>
      <c r="R139" s="71"/>
      <c r="S139" s="72"/>
      <c r="T139" s="70"/>
      <c r="U139" s="70"/>
      <c r="V139" s="71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</row>
    <row r="140">
      <c r="A140" s="70"/>
      <c r="B140" s="70"/>
      <c r="C140" s="70"/>
      <c r="D140" s="71"/>
      <c r="E140" s="72"/>
      <c r="F140" s="70"/>
      <c r="G140" s="69"/>
      <c r="H140" s="70"/>
      <c r="I140" s="70"/>
      <c r="J140" s="71"/>
      <c r="K140" s="72"/>
      <c r="L140" s="70"/>
      <c r="M140" s="70"/>
      <c r="N140" s="82"/>
      <c r="O140" s="70"/>
      <c r="P140" s="70"/>
      <c r="Q140" s="70"/>
      <c r="R140" s="71"/>
      <c r="S140" s="72"/>
      <c r="T140" s="70"/>
      <c r="U140" s="70"/>
      <c r="V140" s="71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</row>
    <row r="141">
      <c r="A141" s="70"/>
      <c r="B141" s="70"/>
      <c r="C141" s="70"/>
      <c r="D141" s="71"/>
      <c r="E141" s="72"/>
      <c r="F141" s="70"/>
      <c r="G141" s="69"/>
      <c r="H141" s="70"/>
      <c r="I141" s="70"/>
      <c r="J141" s="71"/>
      <c r="K141" s="72"/>
      <c r="L141" s="70"/>
      <c r="M141" s="70"/>
      <c r="N141" s="82"/>
      <c r="O141" s="70"/>
      <c r="P141" s="70"/>
      <c r="Q141" s="70"/>
      <c r="R141" s="71"/>
      <c r="S141" s="72"/>
      <c r="T141" s="70"/>
      <c r="U141" s="70"/>
      <c r="V141" s="71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</row>
    <row r="142">
      <c r="A142" s="70"/>
      <c r="B142" s="70"/>
      <c r="C142" s="70"/>
      <c r="D142" s="71"/>
      <c r="E142" s="72"/>
      <c r="F142" s="70"/>
      <c r="G142" s="69"/>
      <c r="H142" s="70"/>
      <c r="I142" s="70"/>
      <c r="J142" s="71"/>
      <c r="K142" s="72"/>
      <c r="L142" s="70"/>
      <c r="M142" s="70"/>
      <c r="N142" s="82"/>
      <c r="O142" s="70"/>
      <c r="P142" s="70"/>
      <c r="Q142" s="70"/>
      <c r="R142" s="71"/>
      <c r="S142" s="72"/>
      <c r="T142" s="70"/>
      <c r="U142" s="70"/>
      <c r="V142" s="71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</row>
    <row r="143">
      <c r="A143" s="70"/>
      <c r="B143" s="70"/>
      <c r="C143" s="70"/>
      <c r="D143" s="71"/>
      <c r="E143" s="72"/>
      <c r="F143" s="70"/>
      <c r="G143" s="69"/>
      <c r="H143" s="70"/>
      <c r="I143" s="70"/>
      <c r="J143" s="71"/>
      <c r="K143" s="72"/>
      <c r="L143" s="70"/>
      <c r="M143" s="70"/>
      <c r="N143" s="82"/>
      <c r="O143" s="70"/>
      <c r="P143" s="70"/>
      <c r="Q143" s="70"/>
      <c r="R143" s="71"/>
      <c r="S143" s="72"/>
      <c r="T143" s="70"/>
      <c r="U143" s="70"/>
      <c r="V143" s="71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</row>
    <row r="144">
      <c r="A144" s="70"/>
      <c r="B144" s="70"/>
      <c r="C144" s="70"/>
      <c r="D144" s="71"/>
      <c r="E144" s="72"/>
      <c r="F144" s="70"/>
      <c r="G144" s="69"/>
      <c r="H144" s="70"/>
      <c r="I144" s="70"/>
      <c r="J144" s="71"/>
      <c r="K144" s="72"/>
      <c r="L144" s="70"/>
      <c r="M144" s="70"/>
      <c r="N144" s="82"/>
      <c r="O144" s="70"/>
      <c r="P144" s="70"/>
      <c r="Q144" s="70"/>
      <c r="R144" s="71"/>
      <c r="S144" s="72"/>
      <c r="T144" s="70"/>
      <c r="U144" s="70"/>
      <c r="V144" s="71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</row>
    <row r="145">
      <c r="A145" s="70"/>
      <c r="B145" s="70"/>
      <c r="C145" s="70"/>
      <c r="D145" s="71"/>
      <c r="E145" s="72"/>
      <c r="F145" s="70"/>
      <c r="G145" s="69"/>
      <c r="H145" s="70"/>
      <c r="I145" s="70"/>
      <c r="J145" s="71"/>
      <c r="K145" s="72"/>
      <c r="L145" s="70"/>
      <c r="M145" s="70"/>
      <c r="N145" s="82"/>
      <c r="O145" s="70"/>
      <c r="P145" s="70"/>
      <c r="Q145" s="70"/>
      <c r="R145" s="71"/>
      <c r="S145" s="72"/>
      <c r="T145" s="70"/>
      <c r="U145" s="70"/>
      <c r="V145" s="71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</row>
    <row r="146">
      <c r="A146" s="70"/>
      <c r="B146" s="70"/>
      <c r="C146" s="70"/>
      <c r="D146" s="71"/>
      <c r="E146" s="72"/>
      <c r="F146" s="70"/>
      <c r="G146" s="69"/>
      <c r="H146" s="70"/>
      <c r="I146" s="70"/>
      <c r="J146" s="71"/>
      <c r="K146" s="72"/>
      <c r="L146" s="70"/>
      <c r="M146" s="70"/>
      <c r="N146" s="82"/>
      <c r="O146" s="70"/>
      <c r="P146" s="70"/>
      <c r="Q146" s="70"/>
      <c r="R146" s="71"/>
      <c r="S146" s="72"/>
      <c r="T146" s="70"/>
      <c r="U146" s="70"/>
      <c r="V146" s="71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</row>
    <row r="147">
      <c r="A147" s="70"/>
      <c r="B147" s="70"/>
      <c r="C147" s="70"/>
      <c r="D147" s="71"/>
      <c r="E147" s="72"/>
      <c r="F147" s="70"/>
      <c r="G147" s="69"/>
      <c r="H147" s="70"/>
      <c r="I147" s="70"/>
      <c r="J147" s="71"/>
      <c r="K147" s="72"/>
      <c r="L147" s="70"/>
      <c r="M147" s="70"/>
      <c r="N147" s="82"/>
      <c r="O147" s="70"/>
      <c r="P147" s="70"/>
      <c r="Q147" s="70"/>
      <c r="R147" s="71"/>
      <c r="S147" s="72"/>
      <c r="T147" s="70"/>
      <c r="U147" s="70"/>
      <c r="V147" s="71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</row>
    <row r="148">
      <c r="A148" s="70"/>
      <c r="B148" s="70"/>
      <c r="C148" s="70"/>
      <c r="D148" s="71"/>
      <c r="E148" s="72"/>
      <c r="F148" s="70"/>
      <c r="G148" s="69"/>
      <c r="H148" s="70"/>
      <c r="I148" s="70"/>
      <c r="J148" s="71"/>
      <c r="K148" s="72"/>
      <c r="L148" s="70"/>
      <c r="M148" s="70"/>
      <c r="N148" s="82"/>
      <c r="O148" s="70"/>
      <c r="P148" s="70"/>
      <c r="Q148" s="70"/>
      <c r="R148" s="71"/>
      <c r="S148" s="72"/>
      <c r="T148" s="70"/>
      <c r="U148" s="70"/>
      <c r="V148" s="71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</row>
    <row r="149">
      <c r="A149" s="70"/>
      <c r="B149" s="70"/>
      <c r="C149" s="70"/>
      <c r="D149" s="71"/>
      <c r="E149" s="72"/>
      <c r="F149" s="70"/>
      <c r="G149" s="69"/>
      <c r="H149" s="70"/>
      <c r="I149" s="70"/>
      <c r="J149" s="71"/>
      <c r="K149" s="72"/>
      <c r="L149" s="70"/>
      <c r="M149" s="70"/>
      <c r="N149" s="82"/>
      <c r="O149" s="70"/>
      <c r="P149" s="70"/>
      <c r="Q149" s="70"/>
      <c r="R149" s="71"/>
      <c r="S149" s="72"/>
      <c r="T149" s="70"/>
      <c r="U149" s="70"/>
      <c r="V149" s="71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</row>
    <row r="150">
      <c r="A150" s="70"/>
      <c r="B150" s="70"/>
      <c r="C150" s="70"/>
      <c r="D150" s="71"/>
      <c r="E150" s="72"/>
      <c r="F150" s="70"/>
      <c r="G150" s="69"/>
      <c r="H150" s="70"/>
      <c r="I150" s="70"/>
      <c r="J150" s="71"/>
      <c r="K150" s="72"/>
      <c r="L150" s="70"/>
      <c r="M150" s="70"/>
      <c r="N150" s="82"/>
      <c r="O150" s="70"/>
      <c r="P150" s="70"/>
      <c r="Q150" s="70"/>
      <c r="R150" s="71"/>
      <c r="S150" s="72"/>
      <c r="T150" s="70"/>
      <c r="U150" s="70"/>
      <c r="V150" s="71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</row>
    <row r="151">
      <c r="A151" s="70"/>
      <c r="B151" s="70"/>
      <c r="C151" s="70"/>
      <c r="D151" s="71"/>
      <c r="E151" s="72"/>
      <c r="F151" s="70"/>
      <c r="G151" s="69"/>
      <c r="H151" s="70"/>
      <c r="I151" s="70"/>
      <c r="J151" s="71"/>
      <c r="K151" s="72"/>
      <c r="L151" s="70"/>
      <c r="M151" s="70"/>
      <c r="N151" s="82"/>
      <c r="O151" s="70"/>
      <c r="P151" s="70"/>
      <c r="Q151" s="70"/>
      <c r="R151" s="71"/>
      <c r="S151" s="72"/>
      <c r="T151" s="70"/>
      <c r="U151" s="70"/>
      <c r="V151" s="71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</row>
    <row r="152">
      <c r="A152" s="70"/>
      <c r="B152" s="70"/>
      <c r="C152" s="70"/>
      <c r="D152" s="71"/>
      <c r="E152" s="72"/>
      <c r="F152" s="70"/>
      <c r="G152" s="69"/>
      <c r="H152" s="70"/>
      <c r="I152" s="70"/>
      <c r="J152" s="71"/>
      <c r="K152" s="72"/>
      <c r="L152" s="70"/>
      <c r="M152" s="70"/>
      <c r="N152" s="82"/>
      <c r="O152" s="70"/>
      <c r="P152" s="70"/>
      <c r="Q152" s="70"/>
      <c r="R152" s="71"/>
      <c r="S152" s="72"/>
      <c r="T152" s="70"/>
      <c r="U152" s="70"/>
      <c r="V152" s="71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</row>
    <row r="153">
      <c r="A153" s="70"/>
      <c r="B153" s="70"/>
      <c r="C153" s="70"/>
      <c r="D153" s="71"/>
      <c r="E153" s="72"/>
      <c r="F153" s="70"/>
      <c r="G153" s="69"/>
      <c r="H153" s="70"/>
      <c r="I153" s="70"/>
      <c r="J153" s="71"/>
      <c r="K153" s="72"/>
      <c r="L153" s="70"/>
      <c r="M153" s="70"/>
      <c r="N153" s="82"/>
      <c r="O153" s="70"/>
      <c r="P153" s="70"/>
      <c r="Q153" s="70"/>
      <c r="R153" s="71"/>
      <c r="S153" s="72"/>
      <c r="T153" s="70"/>
      <c r="U153" s="70"/>
      <c r="V153" s="71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</row>
    <row r="154">
      <c r="A154" s="70"/>
      <c r="B154" s="70"/>
      <c r="C154" s="70"/>
      <c r="D154" s="71"/>
      <c r="E154" s="72"/>
      <c r="F154" s="70"/>
      <c r="G154" s="69"/>
      <c r="H154" s="70"/>
      <c r="I154" s="70"/>
      <c r="J154" s="71"/>
      <c r="K154" s="72"/>
      <c r="L154" s="70"/>
      <c r="M154" s="70"/>
      <c r="N154" s="82"/>
      <c r="O154" s="70"/>
      <c r="P154" s="70"/>
      <c r="Q154" s="70"/>
      <c r="R154" s="71"/>
      <c r="S154" s="72"/>
      <c r="T154" s="70"/>
      <c r="U154" s="70"/>
      <c r="V154" s="71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</row>
    <row r="155">
      <c r="A155" s="70"/>
      <c r="B155" s="70"/>
      <c r="C155" s="70"/>
      <c r="D155" s="71"/>
      <c r="E155" s="72"/>
      <c r="F155" s="70"/>
      <c r="G155" s="69"/>
      <c r="H155" s="70"/>
      <c r="I155" s="70"/>
      <c r="J155" s="71"/>
      <c r="K155" s="72"/>
      <c r="L155" s="70"/>
      <c r="M155" s="70"/>
      <c r="N155" s="82"/>
      <c r="O155" s="70"/>
      <c r="P155" s="70"/>
      <c r="Q155" s="70"/>
      <c r="R155" s="71"/>
      <c r="S155" s="72"/>
      <c r="T155" s="70"/>
      <c r="U155" s="70"/>
      <c r="V155" s="71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</row>
    <row r="156">
      <c r="A156" s="70"/>
      <c r="B156" s="70"/>
      <c r="C156" s="70"/>
      <c r="D156" s="71"/>
      <c r="E156" s="72"/>
      <c r="F156" s="70"/>
      <c r="G156" s="69"/>
      <c r="H156" s="70"/>
      <c r="I156" s="70"/>
      <c r="J156" s="71"/>
      <c r="K156" s="72"/>
      <c r="L156" s="70"/>
      <c r="M156" s="70"/>
      <c r="N156" s="82"/>
      <c r="O156" s="70"/>
      <c r="P156" s="70"/>
      <c r="Q156" s="70"/>
      <c r="R156" s="71"/>
      <c r="S156" s="72"/>
      <c r="T156" s="70"/>
      <c r="U156" s="70"/>
      <c r="V156" s="71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</row>
    <row r="157">
      <c r="A157" s="70"/>
      <c r="B157" s="70"/>
      <c r="C157" s="70"/>
      <c r="D157" s="71"/>
      <c r="E157" s="72"/>
      <c r="F157" s="70"/>
      <c r="G157" s="69"/>
      <c r="H157" s="70"/>
      <c r="I157" s="70"/>
      <c r="J157" s="71"/>
      <c r="K157" s="72"/>
      <c r="L157" s="70"/>
      <c r="M157" s="70"/>
      <c r="N157" s="82"/>
      <c r="O157" s="70"/>
      <c r="P157" s="70"/>
      <c r="Q157" s="70"/>
      <c r="R157" s="71"/>
      <c r="S157" s="72"/>
      <c r="T157" s="70"/>
      <c r="U157" s="70"/>
      <c r="V157" s="71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</row>
    <row r="158">
      <c r="A158" s="70"/>
      <c r="B158" s="70"/>
      <c r="C158" s="70"/>
      <c r="D158" s="71"/>
      <c r="E158" s="72"/>
      <c r="F158" s="70"/>
      <c r="G158" s="69"/>
      <c r="H158" s="70"/>
      <c r="I158" s="70"/>
      <c r="J158" s="71"/>
      <c r="K158" s="72"/>
      <c r="L158" s="70"/>
      <c r="M158" s="70"/>
      <c r="N158" s="82"/>
      <c r="O158" s="70"/>
      <c r="P158" s="70"/>
      <c r="Q158" s="70"/>
      <c r="R158" s="71"/>
      <c r="S158" s="72"/>
      <c r="T158" s="70"/>
      <c r="U158" s="70"/>
      <c r="V158" s="71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</row>
    <row r="159">
      <c r="A159" s="70"/>
      <c r="B159" s="70"/>
      <c r="C159" s="70"/>
      <c r="D159" s="71"/>
      <c r="E159" s="72"/>
      <c r="F159" s="70"/>
      <c r="G159" s="69"/>
      <c r="H159" s="70"/>
      <c r="I159" s="70"/>
      <c r="J159" s="71"/>
      <c r="K159" s="72"/>
      <c r="L159" s="70"/>
      <c r="M159" s="70"/>
      <c r="N159" s="82"/>
      <c r="O159" s="70"/>
      <c r="P159" s="70"/>
      <c r="Q159" s="70"/>
      <c r="R159" s="71"/>
      <c r="S159" s="72"/>
      <c r="T159" s="70"/>
      <c r="U159" s="70"/>
      <c r="V159" s="71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</row>
    <row r="160">
      <c r="A160" s="70"/>
      <c r="B160" s="70"/>
      <c r="C160" s="70"/>
      <c r="D160" s="71"/>
      <c r="E160" s="72"/>
      <c r="F160" s="70"/>
      <c r="G160" s="69"/>
      <c r="H160" s="70"/>
      <c r="I160" s="70"/>
      <c r="J160" s="71"/>
      <c r="K160" s="72"/>
      <c r="L160" s="70"/>
      <c r="M160" s="70"/>
      <c r="N160" s="82"/>
      <c r="O160" s="70"/>
      <c r="P160" s="70"/>
      <c r="Q160" s="70"/>
      <c r="R160" s="71"/>
      <c r="S160" s="72"/>
      <c r="T160" s="70"/>
      <c r="U160" s="70"/>
      <c r="V160" s="71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</row>
    <row r="161">
      <c r="A161" s="70"/>
      <c r="B161" s="70"/>
      <c r="C161" s="70"/>
      <c r="D161" s="71"/>
      <c r="E161" s="72"/>
      <c r="F161" s="70"/>
      <c r="G161" s="69"/>
      <c r="H161" s="70"/>
      <c r="I161" s="70"/>
      <c r="J161" s="71"/>
      <c r="K161" s="72"/>
      <c r="L161" s="70"/>
      <c r="M161" s="70"/>
      <c r="N161" s="82"/>
      <c r="O161" s="70"/>
      <c r="P161" s="70"/>
      <c r="Q161" s="70"/>
      <c r="R161" s="71"/>
      <c r="S161" s="72"/>
      <c r="T161" s="70"/>
      <c r="U161" s="70"/>
      <c r="V161" s="71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</row>
    <row r="162">
      <c r="A162" s="70"/>
      <c r="B162" s="70"/>
      <c r="C162" s="70"/>
      <c r="D162" s="71"/>
      <c r="E162" s="72"/>
      <c r="F162" s="70"/>
      <c r="G162" s="69"/>
      <c r="H162" s="70"/>
      <c r="I162" s="70"/>
      <c r="J162" s="71"/>
      <c r="K162" s="72"/>
      <c r="L162" s="70"/>
      <c r="M162" s="70"/>
      <c r="N162" s="82"/>
      <c r="O162" s="70"/>
      <c r="P162" s="70"/>
      <c r="Q162" s="70"/>
      <c r="R162" s="71"/>
      <c r="S162" s="72"/>
      <c r="T162" s="70"/>
      <c r="U162" s="70"/>
      <c r="V162" s="71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</row>
    <row r="163">
      <c r="A163" s="70"/>
      <c r="B163" s="70"/>
      <c r="C163" s="70"/>
      <c r="D163" s="71"/>
      <c r="E163" s="72"/>
      <c r="F163" s="70"/>
      <c r="G163" s="69"/>
      <c r="H163" s="70"/>
      <c r="I163" s="70"/>
      <c r="J163" s="71"/>
      <c r="K163" s="72"/>
      <c r="L163" s="70"/>
      <c r="M163" s="70"/>
      <c r="N163" s="82"/>
      <c r="O163" s="70"/>
      <c r="P163" s="70"/>
      <c r="Q163" s="70"/>
      <c r="R163" s="71"/>
      <c r="S163" s="72"/>
      <c r="T163" s="70"/>
      <c r="U163" s="70"/>
      <c r="V163" s="71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</row>
    <row r="164">
      <c r="A164" s="70"/>
      <c r="B164" s="70"/>
      <c r="C164" s="70"/>
      <c r="D164" s="71"/>
      <c r="E164" s="72"/>
      <c r="F164" s="70"/>
      <c r="G164" s="69"/>
      <c r="H164" s="70"/>
      <c r="I164" s="70"/>
      <c r="J164" s="71"/>
      <c r="K164" s="72"/>
      <c r="L164" s="70"/>
      <c r="M164" s="70"/>
      <c r="N164" s="82"/>
      <c r="O164" s="70"/>
      <c r="P164" s="70"/>
      <c r="Q164" s="70"/>
      <c r="R164" s="71"/>
      <c r="S164" s="72"/>
      <c r="T164" s="70"/>
      <c r="U164" s="70"/>
      <c r="V164" s="71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</row>
    <row r="165">
      <c r="A165" s="70"/>
      <c r="B165" s="70"/>
      <c r="C165" s="70"/>
      <c r="D165" s="71"/>
      <c r="E165" s="72"/>
      <c r="F165" s="70"/>
      <c r="G165" s="69"/>
      <c r="H165" s="70"/>
      <c r="I165" s="70"/>
      <c r="J165" s="71"/>
      <c r="K165" s="72"/>
      <c r="L165" s="70"/>
      <c r="M165" s="70"/>
      <c r="N165" s="82"/>
      <c r="O165" s="70"/>
      <c r="P165" s="70"/>
      <c r="Q165" s="70"/>
      <c r="R165" s="71"/>
      <c r="S165" s="72"/>
      <c r="T165" s="70"/>
      <c r="U165" s="70"/>
      <c r="V165" s="71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</row>
    <row r="166">
      <c r="A166" s="70"/>
      <c r="B166" s="70"/>
      <c r="C166" s="70"/>
      <c r="D166" s="71"/>
      <c r="E166" s="72"/>
      <c r="F166" s="70"/>
      <c r="G166" s="69"/>
      <c r="H166" s="70"/>
      <c r="I166" s="70"/>
      <c r="J166" s="71"/>
      <c r="K166" s="72"/>
      <c r="L166" s="70"/>
      <c r="M166" s="70"/>
      <c r="N166" s="82"/>
      <c r="O166" s="70"/>
      <c r="P166" s="70"/>
      <c r="Q166" s="70"/>
      <c r="R166" s="71"/>
      <c r="S166" s="72"/>
      <c r="T166" s="70"/>
      <c r="U166" s="70"/>
      <c r="V166" s="71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</row>
    <row r="167">
      <c r="A167" s="70"/>
      <c r="B167" s="70"/>
      <c r="C167" s="70"/>
      <c r="D167" s="71"/>
      <c r="E167" s="72"/>
      <c r="F167" s="70"/>
      <c r="G167" s="69"/>
      <c r="H167" s="70"/>
      <c r="I167" s="70"/>
      <c r="J167" s="71"/>
      <c r="K167" s="72"/>
      <c r="L167" s="70"/>
      <c r="M167" s="70"/>
      <c r="N167" s="82"/>
      <c r="O167" s="70"/>
      <c r="P167" s="70"/>
      <c r="Q167" s="70"/>
      <c r="R167" s="71"/>
      <c r="S167" s="72"/>
      <c r="T167" s="70"/>
      <c r="U167" s="70"/>
      <c r="V167" s="71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</row>
    <row r="168">
      <c r="A168" s="70"/>
      <c r="B168" s="70"/>
      <c r="C168" s="70"/>
      <c r="D168" s="71"/>
      <c r="E168" s="72"/>
      <c r="F168" s="70"/>
      <c r="G168" s="69"/>
      <c r="H168" s="70"/>
      <c r="I168" s="70"/>
      <c r="J168" s="71"/>
      <c r="K168" s="72"/>
      <c r="L168" s="70"/>
      <c r="M168" s="70"/>
      <c r="N168" s="82"/>
      <c r="O168" s="70"/>
      <c r="P168" s="70"/>
      <c r="Q168" s="70"/>
      <c r="R168" s="71"/>
      <c r="S168" s="72"/>
      <c r="T168" s="70"/>
      <c r="U168" s="70"/>
      <c r="V168" s="71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</row>
    <row r="169">
      <c r="A169" s="70"/>
      <c r="B169" s="70"/>
      <c r="C169" s="70"/>
      <c r="D169" s="71"/>
      <c r="E169" s="72"/>
      <c r="F169" s="70"/>
      <c r="G169" s="69"/>
      <c r="H169" s="70"/>
      <c r="I169" s="70"/>
      <c r="J169" s="71"/>
      <c r="K169" s="72"/>
      <c r="L169" s="70"/>
      <c r="M169" s="70"/>
      <c r="N169" s="82"/>
      <c r="O169" s="70"/>
      <c r="P169" s="70"/>
      <c r="Q169" s="70"/>
      <c r="R169" s="71"/>
      <c r="S169" s="72"/>
      <c r="T169" s="70"/>
      <c r="U169" s="70"/>
      <c r="V169" s="71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</row>
    <row r="170">
      <c r="A170" s="70"/>
      <c r="B170" s="70"/>
      <c r="C170" s="70"/>
      <c r="D170" s="71"/>
      <c r="E170" s="72"/>
      <c r="F170" s="70"/>
      <c r="G170" s="69"/>
      <c r="H170" s="70"/>
      <c r="I170" s="70"/>
      <c r="J170" s="71"/>
      <c r="K170" s="72"/>
      <c r="L170" s="70"/>
      <c r="M170" s="70"/>
      <c r="N170" s="82"/>
      <c r="O170" s="70"/>
      <c r="P170" s="70"/>
      <c r="Q170" s="70"/>
      <c r="R170" s="71"/>
      <c r="S170" s="72"/>
      <c r="T170" s="70"/>
      <c r="U170" s="70"/>
      <c r="V170" s="71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</row>
    <row r="171">
      <c r="A171" s="70"/>
      <c r="B171" s="70"/>
      <c r="C171" s="70"/>
      <c r="D171" s="71"/>
      <c r="E171" s="72"/>
      <c r="F171" s="70"/>
      <c r="G171" s="69"/>
      <c r="H171" s="70"/>
      <c r="I171" s="70"/>
      <c r="J171" s="71"/>
      <c r="K171" s="72"/>
      <c r="L171" s="70"/>
      <c r="M171" s="70"/>
      <c r="N171" s="82"/>
      <c r="O171" s="70"/>
      <c r="P171" s="70"/>
      <c r="Q171" s="70"/>
      <c r="R171" s="71"/>
      <c r="S171" s="72"/>
      <c r="T171" s="70"/>
      <c r="U171" s="70"/>
      <c r="V171" s="71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</row>
    <row r="172">
      <c r="A172" s="70"/>
      <c r="B172" s="70"/>
      <c r="C172" s="70"/>
      <c r="D172" s="71"/>
      <c r="E172" s="72"/>
      <c r="F172" s="70"/>
      <c r="G172" s="69"/>
      <c r="H172" s="70"/>
      <c r="I172" s="70"/>
      <c r="J172" s="71"/>
      <c r="K172" s="72"/>
      <c r="L172" s="70"/>
      <c r="M172" s="70"/>
      <c r="N172" s="82"/>
      <c r="O172" s="70"/>
      <c r="P172" s="70"/>
      <c r="Q172" s="70"/>
      <c r="R172" s="71"/>
      <c r="S172" s="72"/>
      <c r="T172" s="70"/>
      <c r="U172" s="70"/>
      <c r="V172" s="71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</row>
    <row r="173">
      <c r="A173" s="70"/>
      <c r="B173" s="70"/>
      <c r="C173" s="70"/>
      <c r="D173" s="71"/>
      <c r="E173" s="72"/>
      <c r="F173" s="70"/>
      <c r="G173" s="69"/>
      <c r="H173" s="70"/>
      <c r="I173" s="70"/>
      <c r="J173" s="71"/>
      <c r="K173" s="72"/>
      <c r="L173" s="70"/>
      <c r="M173" s="70"/>
      <c r="N173" s="82"/>
      <c r="O173" s="70"/>
      <c r="P173" s="70"/>
      <c r="Q173" s="70"/>
      <c r="R173" s="71"/>
      <c r="S173" s="72"/>
      <c r="T173" s="70"/>
      <c r="U173" s="70"/>
      <c r="V173" s="71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</row>
    <row r="174">
      <c r="A174" s="70"/>
      <c r="B174" s="70"/>
      <c r="C174" s="70"/>
      <c r="D174" s="71"/>
      <c r="E174" s="72"/>
      <c r="F174" s="70"/>
      <c r="G174" s="69"/>
      <c r="H174" s="70"/>
      <c r="I174" s="70"/>
      <c r="J174" s="71"/>
      <c r="K174" s="72"/>
      <c r="L174" s="70"/>
      <c r="M174" s="70"/>
      <c r="N174" s="82"/>
      <c r="O174" s="70"/>
      <c r="P174" s="70"/>
      <c r="Q174" s="70"/>
      <c r="R174" s="71"/>
      <c r="S174" s="72"/>
      <c r="T174" s="70"/>
      <c r="U174" s="70"/>
      <c r="V174" s="71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</row>
    <row r="175">
      <c r="A175" s="70"/>
      <c r="B175" s="70"/>
      <c r="C175" s="70"/>
      <c r="D175" s="71"/>
      <c r="E175" s="72"/>
      <c r="F175" s="70"/>
      <c r="G175" s="69"/>
      <c r="H175" s="70"/>
      <c r="I175" s="70"/>
      <c r="J175" s="71"/>
      <c r="K175" s="72"/>
      <c r="L175" s="70"/>
      <c r="M175" s="70"/>
      <c r="N175" s="82"/>
      <c r="O175" s="70"/>
      <c r="P175" s="70"/>
      <c r="Q175" s="70"/>
      <c r="R175" s="71"/>
      <c r="S175" s="72"/>
      <c r="T175" s="70"/>
      <c r="U175" s="70"/>
      <c r="V175" s="71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</row>
    <row r="176">
      <c r="A176" s="70"/>
      <c r="B176" s="70"/>
      <c r="C176" s="70"/>
      <c r="D176" s="71"/>
      <c r="E176" s="72"/>
      <c r="F176" s="70"/>
      <c r="G176" s="69"/>
      <c r="H176" s="70"/>
      <c r="I176" s="70"/>
      <c r="J176" s="71"/>
      <c r="K176" s="72"/>
      <c r="L176" s="70"/>
      <c r="M176" s="70"/>
      <c r="N176" s="82"/>
      <c r="O176" s="70"/>
      <c r="P176" s="70"/>
      <c r="Q176" s="70"/>
      <c r="R176" s="71"/>
      <c r="S176" s="72"/>
      <c r="T176" s="70"/>
      <c r="U176" s="70"/>
      <c r="V176" s="71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</row>
    <row r="177">
      <c r="A177" s="70"/>
      <c r="B177" s="70"/>
      <c r="C177" s="70"/>
      <c r="D177" s="71"/>
      <c r="E177" s="72"/>
      <c r="F177" s="70"/>
      <c r="G177" s="69"/>
      <c r="H177" s="70"/>
      <c r="I177" s="70"/>
      <c r="J177" s="71"/>
      <c r="K177" s="72"/>
      <c r="L177" s="70"/>
      <c r="M177" s="70"/>
      <c r="N177" s="82"/>
      <c r="O177" s="70"/>
      <c r="P177" s="70"/>
      <c r="Q177" s="70"/>
      <c r="R177" s="71"/>
      <c r="S177" s="72"/>
      <c r="T177" s="70"/>
      <c r="U177" s="70"/>
      <c r="V177" s="71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</row>
    <row r="178">
      <c r="A178" s="70"/>
      <c r="B178" s="70"/>
      <c r="C178" s="70"/>
      <c r="D178" s="71"/>
      <c r="E178" s="72"/>
      <c r="F178" s="70"/>
      <c r="G178" s="69"/>
      <c r="H178" s="70"/>
      <c r="I178" s="70"/>
      <c r="J178" s="71"/>
      <c r="K178" s="72"/>
      <c r="L178" s="70"/>
      <c r="M178" s="70"/>
      <c r="N178" s="82"/>
      <c r="O178" s="70"/>
      <c r="P178" s="70"/>
      <c r="Q178" s="70"/>
      <c r="R178" s="71"/>
      <c r="S178" s="72"/>
      <c r="T178" s="70"/>
      <c r="U178" s="70"/>
      <c r="V178" s="71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</row>
    <row r="179">
      <c r="A179" s="70"/>
      <c r="B179" s="70"/>
      <c r="C179" s="70"/>
      <c r="D179" s="71"/>
      <c r="E179" s="72"/>
      <c r="F179" s="70"/>
      <c r="G179" s="69"/>
      <c r="H179" s="70"/>
      <c r="I179" s="70"/>
      <c r="J179" s="71"/>
      <c r="K179" s="72"/>
      <c r="L179" s="70"/>
      <c r="M179" s="70"/>
      <c r="N179" s="82"/>
      <c r="O179" s="70"/>
      <c r="P179" s="70"/>
      <c r="Q179" s="70"/>
      <c r="R179" s="71"/>
      <c r="S179" s="72"/>
      <c r="T179" s="70"/>
      <c r="U179" s="70"/>
      <c r="V179" s="71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</row>
    <row r="180">
      <c r="A180" s="70"/>
      <c r="B180" s="70"/>
      <c r="C180" s="70"/>
      <c r="D180" s="71"/>
      <c r="E180" s="72"/>
      <c r="F180" s="70"/>
      <c r="G180" s="69"/>
      <c r="H180" s="70"/>
      <c r="I180" s="70"/>
      <c r="J180" s="71"/>
      <c r="K180" s="72"/>
      <c r="L180" s="70"/>
      <c r="M180" s="70"/>
      <c r="N180" s="82"/>
      <c r="O180" s="70"/>
      <c r="P180" s="70"/>
      <c r="Q180" s="70"/>
      <c r="R180" s="71"/>
      <c r="S180" s="72"/>
      <c r="T180" s="70"/>
      <c r="U180" s="70"/>
      <c r="V180" s="71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</row>
    <row r="181">
      <c r="A181" s="70"/>
      <c r="B181" s="70"/>
      <c r="C181" s="70"/>
      <c r="D181" s="71"/>
      <c r="E181" s="72"/>
      <c r="F181" s="70"/>
      <c r="G181" s="69"/>
      <c r="H181" s="70"/>
      <c r="I181" s="70"/>
      <c r="J181" s="71"/>
      <c r="K181" s="72"/>
      <c r="L181" s="70"/>
      <c r="M181" s="70"/>
      <c r="N181" s="82"/>
      <c r="O181" s="70"/>
      <c r="P181" s="70"/>
      <c r="Q181" s="70"/>
      <c r="R181" s="71"/>
      <c r="S181" s="72"/>
      <c r="T181" s="70"/>
      <c r="U181" s="70"/>
      <c r="V181" s="71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</row>
    <row r="182">
      <c r="A182" s="70"/>
      <c r="B182" s="70"/>
      <c r="C182" s="70"/>
      <c r="D182" s="71"/>
      <c r="E182" s="72"/>
      <c r="F182" s="70"/>
      <c r="G182" s="69"/>
      <c r="H182" s="70"/>
      <c r="I182" s="70"/>
      <c r="J182" s="71"/>
      <c r="K182" s="72"/>
      <c r="L182" s="70"/>
      <c r="M182" s="70"/>
      <c r="N182" s="82"/>
      <c r="O182" s="70"/>
      <c r="P182" s="70"/>
      <c r="Q182" s="70"/>
      <c r="R182" s="71"/>
      <c r="S182" s="72"/>
      <c r="T182" s="70"/>
      <c r="U182" s="70"/>
      <c r="V182" s="71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</row>
    <row r="183">
      <c r="A183" s="70"/>
      <c r="B183" s="70"/>
      <c r="C183" s="70"/>
      <c r="D183" s="71"/>
      <c r="E183" s="72"/>
      <c r="F183" s="70"/>
      <c r="G183" s="69"/>
      <c r="H183" s="70"/>
      <c r="I183" s="70"/>
      <c r="J183" s="71"/>
      <c r="K183" s="72"/>
      <c r="L183" s="70"/>
      <c r="M183" s="70"/>
      <c r="N183" s="82"/>
      <c r="O183" s="70"/>
      <c r="P183" s="70"/>
      <c r="Q183" s="70"/>
      <c r="R183" s="71"/>
      <c r="S183" s="72"/>
      <c r="T183" s="70"/>
      <c r="U183" s="70"/>
      <c r="V183" s="71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</row>
    <row r="184">
      <c r="A184" s="70"/>
      <c r="B184" s="70"/>
      <c r="C184" s="70"/>
      <c r="D184" s="71"/>
      <c r="E184" s="72"/>
      <c r="F184" s="70"/>
      <c r="G184" s="69"/>
      <c r="H184" s="70"/>
      <c r="I184" s="70"/>
      <c r="J184" s="71"/>
      <c r="K184" s="72"/>
      <c r="L184" s="70"/>
      <c r="M184" s="70"/>
      <c r="N184" s="82"/>
      <c r="O184" s="70"/>
      <c r="P184" s="70"/>
      <c r="Q184" s="70"/>
      <c r="R184" s="71"/>
      <c r="S184" s="72"/>
      <c r="T184" s="70"/>
      <c r="U184" s="70"/>
      <c r="V184" s="71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</row>
    <row r="185">
      <c r="A185" s="70"/>
      <c r="B185" s="70"/>
      <c r="C185" s="70"/>
      <c r="D185" s="71"/>
      <c r="E185" s="72"/>
      <c r="F185" s="70"/>
      <c r="G185" s="69"/>
      <c r="H185" s="70"/>
      <c r="I185" s="70"/>
      <c r="J185" s="71"/>
      <c r="K185" s="72"/>
      <c r="L185" s="70"/>
      <c r="M185" s="70"/>
      <c r="N185" s="82"/>
      <c r="O185" s="70"/>
      <c r="P185" s="70"/>
      <c r="Q185" s="70"/>
      <c r="R185" s="71"/>
      <c r="S185" s="72"/>
      <c r="T185" s="70"/>
      <c r="U185" s="70"/>
      <c r="V185" s="71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</row>
    <row r="186">
      <c r="A186" s="70"/>
      <c r="B186" s="70"/>
      <c r="C186" s="70"/>
      <c r="D186" s="71"/>
      <c r="E186" s="72"/>
      <c r="F186" s="70"/>
      <c r="G186" s="69"/>
      <c r="H186" s="70"/>
      <c r="I186" s="70"/>
      <c r="J186" s="71"/>
      <c r="K186" s="72"/>
      <c r="L186" s="70"/>
      <c r="M186" s="70"/>
      <c r="N186" s="82"/>
      <c r="O186" s="70"/>
      <c r="P186" s="70"/>
      <c r="Q186" s="70"/>
      <c r="R186" s="71"/>
      <c r="S186" s="72"/>
      <c r="T186" s="70"/>
      <c r="U186" s="70"/>
      <c r="V186" s="71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</row>
    <row r="187">
      <c r="A187" s="70"/>
      <c r="B187" s="70"/>
      <c r="C187" s="70"/>
      <c r="D187" s="71"/>
      <c r="E187" s="72"/>
      <c r="F187" s="70"/>
      <c r="G187" s="69"/>
      <c r="H187" s="70"/>
      <c r="I187" s="70"/>
      <c r="J187" s="71"/>
      <c r="K187" s="72"/>
      <c r="L187" s="70"/>
      <c r="M187" s="70"/>
      <c r="N187" s="82"/>
      <c r="O187" s="70"/>
      <c r="P187" s="70"/>
      <c r="Q187" s="70"/>
      <c r="R187" s="71"/>
      <c r="S187" s="72"/>
      <c r="T187" s="70"/>
      <c r="U187" s="70"/>
      <c r="V187" s="71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</row>
    <row r="188">
      <c r="A188" s="70"/>
      <c r="B188" s="70"/>
      <c r="C188" s="70"/>
      <c r="D188" s="71"/>
      <c r="E188" s="72"/>
      <c r="F188" s="70"/>
      <c r="G188" s="69"/>
      <c r="H188" s="70"/>
      <c r="I188" s="70"/>
      <c r="J188" s="71"/>
      <c r="K188" s="72"/>
      <c r="L188" s="70"/>
      <c r="M188" s="70"/>
      <c r="N188" s="82"/>
      <c r="O188" s="70"/>
      <c r="P188" s="70"/>
      <c r="Q188" s="70"/>
      <c r="R188" s="71"/>
      <c r="S188" s="72"/>
      <c r="T188" s="70"/>
      <c r="U188" s="70"/>
      <c r="V188" s="71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</row>
    <row r="189">
      <c r="A189" s="70"/>
      <c r="B189" s="70"/>
      <c r="C189" s="70"/>
      <c r="D189" s="71"/>
      <c r="E189" s="72"/>
      <c r="F189" s="70"/>
      <c r="G189" s="69"/>
      <c r="H189" s="70"/>
      <c r="I189" s="70"/>
      <c r="J189" s="71"/>
      <c r="K189" s="72"/>
      <c r="L189" s="70"/>
      <c r="M189" s="70"/>
      <c r="N189" s="82"/>
      <c r="O189" s="70"/>
      <c r="P189" s="70"/>
      <c r="Q189" s="70"/>
      <c r="R189" s="71"/>
      <c r="S189" s="72"/>
      <c r="T189" s="70"/>
      <c r="U189" s="70"/>
      <c r="V189" s="71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</row>
    <row r="190">
      <c r="A190" s="70"/>
      <c r="B190" s="70"/>
      <c r="C190" s="70"/>
      <c r="D190" s="71"/>
      <c r="E190" s="72"/>
      <c r="F190" s="70"/>
      <c r="G190" s="69"/>
      <c r="H190" s="70"/>
      <c r="I190" s="70"/>
      <c r="J190" s="71"/>
      <c r="K190" s="72"/>
      <c r="L190" s="70"/>
      <c r="M190" s="70"/>
      <c r="N190" s="82"/>
      <c r="O190" s="70"/>
      <c r="P190" s="70"/>
      <c r="Q190" s="70"/>
      <c r="R190" s="71"/>
      <c r="S190" s="72"/>
      <c r="T190" s="70"/>
      <c r="U190" s="70"/>
      <c r="V190" s="71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</row>
    <row r="191">
      <c r="A191" s="70"/>
      <c r="B191" s="70"/>
      <c r="C191" s="70"/>
      <c r="D191" s="71"/>
      <c r="E191" s="72"/>
      <c r="F191" s="70"/>
      <c r="G191" s="69"/>
      <c r="H191" s="70"/>
      <c r="I191" s="70"/>
      <c r="J191" s="71"/>
      <c r="K191" s="72"/>
      <c r="L191" s="70"/>
      <c r="M191" s="70"/>
      <c r="N191" s="82"/>
      <c r="O191" s="70"/>
      <c r="P191" s="70"/>
      <c r="Q191" s="70"/>
      <c r="R191" s="71"/>
      <c r="S191" s="72"/>
      <c r="T191" s="70"/>
      <c r="U191" s="70"/>
      <c r="V191" s="71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</row>
    <row r="192">
      <c r="A192" s="70"/>
      <c r="B192" s="70"/>
      <c r="C192" s="70"/>
      <c r="D192" s="71"/>
      <c r="E192" s="72"/>
      <c r="F192" s="70"/>
      <c r="G192" s="69"/>
      <c r="H192" s="70"/>
      <c r="I192" s="70"/>
      <c r="J192" s="71"/>
      <c r="K192" s="72"/>
      <c r="L192" s="70"/>
      <c r="M192" s="70"/>
      <c r="N192" s="82"/>
      <c r="O192" s="70"/>
      <c r="P192" s="70"/>
      <c r="Q192" s="70"/>
      <c r="R192" s="71"/>
      <c r="S192" s="72"/>
      <c r="T192" s="70"/>
      <c r="U192" s="70"/>
      <c r="V192" s="71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</row>
    <row r="193">
      <c r="A193" s="70"/>
      <c r="B193" s="70"/>
      <c r="C193" s="70"/>
      <c r="D193" s="71"/>
      <c r="E193" s="72"/>
      <c r="F193" s="70"/>
      <c r="G193" s="69"/>
      <c r="H193" s="70"/>
      <c r="I193" s="70"/>
      <c r="J193" s="71"/>
      <c r="K193" s="72"/>
      <c r="L193" s="70"/>
      <c r="M193" s="70"/>
      <c r="N193" s="82"/>
      <c r="O193" s="70"/>
      <c r="P193" s="70"/>
      <c r="Q193" s="70"/>
      <c r="R193" s="71"/>
      <c r="S193" s="72"/>
      <c r="T193" s="70"/>
      <c r="U193" s="70"/>
      <c r="V193" s="71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</row>
    <row r="194">
      <c r="A194" s="70"/>
      <c r="B194" s="70"/>
      <c r="C194" s="70"/>
      <c r="D194" s="71"/>
      <c r="E194" s="72"/>
      <c r="F194" s="70"/>
      <c r="G194" s="69"/>
      <c r="H194" s="70"/>
      <c r="I194" s="70"/>
      <c r="J194" s="71"/>
      <c r="K194" s="72"/>
      <c r="L194" s="70"/>
      <c r="M194" s="70"/>
      <c r="N194" s="82"/>
      <c r="O194" s="70"/>
      <c r="P194" s="70"/>
      <c r="Q194" s="70"/>
      <c r="R194" s="71"/>
      <c r="S194" s="72"/>
      <c r="T194" s="70"/>
      <c r="U194" s="70"/>
      <c r="V194" s="71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</row>
    <row r="195">
      <c r="A195" s="70"/>
      <c r="B195" s="70"/>
      <c r="C195" s="70"/>
      <c r="D195" s="71"/>
      <c r="E195" s="72"/>
      <c r="F195" s="70"/>
      <c r="G195" s="69"/>
      <c r="H195" s="70"/>
      <c r="I195" s="70"/>
      <c r="J195" s="71"/>
      <c r="K195" s="72"/>
      <c r="L195" s="70"/>
      <c r="M195" s="70"/>
      <c r="N195" s="82"/>
      <c r="O195" s="70"/>
      <c r="P195" s="70"/>
      <c r="Q195" s="70"/>
      <c r="R195" s="71"/>
      <c r="S195" s="72"/>
      <c r="T195" s="70"/>
      <c r="U195" s="70"/>
      <c r="V195" s="71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</row>
    <row r="196">
      <c r="A196" s="70"/>
      <c r="B196" s="70"/>
      <c r="C196" s="70"/>
      <c r="D196" s="71"/>
      <c r="E196" s="72"/>
      <c r="F196" s="70"/>
      <c r="G196" s="69"/>
      <c r="H196" s="70"/>
      <c r="I196" s="70"/>
      <c r="J196" s="71"/>
      <c r="K196" s="72"/>
      <c r="L196" s="70"/>
      <c r="M196" s="70"/>
      <c r="N196" s="82"/>
      <c r="O196" s="70"/>
      <c r="P196" s="70"/>
      <c r="Q196" s="70"/>
      <c r="R196" s="71"/>
      <c r="S196" s="72"/>
      <c r="T196" s="70"/>
      <c r="U196" s="70"/>
      <c r="V196" s="71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</row>
    <row r="197">
      <c r="A197" s="70"/>
      <c r="B197" s="70"/>
      <c r="C197" s="70"/>
      <c r="D197" s="71"/>
      <c r="E197" s="72"/>
      <c r="F197" s="70"/>
      <c r="G197" s="69"/>
      <c r="H197" s="70"/>
      <c r="I197" s="70"/>
      <c r="J197" s="71"/>
      <c r="K197" s="72"/>
      <c r="L197" s="70"/>
      <c r="M197" s="70"/>
      <c r="N197" s="82"/>
      <c r="O197" s="70"/>
      <c r="P197" s="70"/>
      <c r="Q197" s="70"/>
      <c r="R197" s="71"/>
      <c r="S197" s="72"/>
      <c r="T197" s="70"/>
      <c r="U197" s="70"/>
      <c r="V197" s="71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</row>
    <row r="198">
      <c r="A198" s="70"/>
      <c r="B198" s="70"/>
      <c r="C198" s="70"/>
      <c r="D198" s="71"/>
      <c r="E198" s="72"/>
      <c r="F198" s="70"/>
      <c r="G198" s="69"/>
      <c r="H198" s="70"/>
      <c r="I198" s="70"/>
      <c r="J198" s="71"/>
      <c r="K198" s="72"/>
      <c r="L198" s="70"/>
      <c r="M198" s="70"/>
      <c r="N198" s="82"/>
      <c r="O198" s="70"/>
      <c r="P198" s="70"/>
      <c r="Q198" s="70"/>
      <c r="R198" s="71"/>
      <c r="S198" s="72"/>
      <c r="T198" s="70"/>
      <c r="U198" s="70"/>
      <c r="V198" s="71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</row>
    <row r="199">
      <c r="A199" s="70"/>
      <c r="B199" s="70"/>
      <c r="C199" s="70"/>
      <c r="D199" s="71"/>
      <c r="E199" s="72"/>
      <c r="F199" s="70"/>
      <c r="G199" s="69"/>
      <c r="H199" s="70"/>
      <c r="I199" s="70"/>
      <c r="J199" s="71"/>
      <c r="K199" s="72"/>
      <c r="L199" s="70"/>
      <c r="M199" s="70"/>
      <c r="N199" s="82"/>
      <c r="O199" s="70"/>
      <c r="P199" s="70"/>
      <c r="Q199" s="70"/>
      <c r="R199" s="71"/>
      <c r="S199" s="72"/>
      <c r="T199" s="70"/>
      <c r="U199" s="70"/>
      <c r="V199" s="71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</row>
    <row r="200">
      <c r="A200" s="70"/>
      <c r="B200" s="70"/>
      <c r="C200" s="70"/>
      <c r="D200" s="71"/>
      <c r="E200" s="72"/>
      <c r="F200" s="70"/>
      <c r="G200" s="69"/>
      <c r="H200" s="70"/>
      <c r="I200" s="70"/>
      <c r="J200" s="71"/>
      <c r="K200" s="72"/>
      <c r="L200" s="70"/>
      <c r="M200" s="70"/>
      <c r="N200" s="82"/>
      <c r="O200" s="70"/>
      <c r="P200" s="70"/>
      <c r="Q200" s="70"/>
      <c r="R200" s="71"/>
      <c r="S200" s="72"/>
      <c r="T200" s="70"/>
      <c r="U200" s="70"/>
      <c r="V200" s="71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</row>
    <row r="201">
      <c r="A201" s="70"/>
      <c r="B201" s="70"/>
      <c r="C201" s="70"/>
      <c r="D201" s="71"/>
      <c r="E201" s="72"/>
      <c r="F201" s="70"/>
      <c r="G201" s="69"/>
      <c r="H201" s="70"/>
      <c r="I201" s="70"/>
      <c r="J201" s="71"/>
      <c r="K201" s="72"/>
      <c r="L201" s="70"/>
      <c r="M201" s="70"/>
      <c r="N201" s="82"/>
      <c r="O201" s="70"/>
      <c r="P201" s="70"/>
      <c r="Q201" s="70"/>
      <c r="R201" s="71"/>
      <c r="S201" s="72"/>
      <c r="T201" s="70"/>
      <c r="U201" s="70"/>
      <c r="V201" s="71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</row>
    <row r="202">
      <c r="A202" s="70"/>
      <c r="B202" s="70"/>
      <c r="C202" s="70"/>
      <c r="D202" s="71"/>
      <c r="E202" s="72"/>
      <c r="F202" s="70"/>
      <c r="G202" s="69"/>
      <c r="H202" s="70"/>
      <c r="I202" s="70"/>
      <c r="J202" s="71"/>
      <c r="K202" s="72"/>
      <c r="L202" s="70"/>
      <c r="M202" s="70"/>
      <c r="N202" s="82"/>
      <c r="O202" s="70"/>
      <c r="P202" s="70"/>
      <c r="Q202" s="70"/>
      <c r="R202" s="71"/>
      <c r="S202" s="72"/>
      <c r="T202" s="70"/>
      <c r="U202" s="70"/>
      <c r="V202" s="71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</row>
    <row r="203">
      <c r="A203" s="70"/>
      <c r="B203" s="70"/>
      <c r="C203" s="70"/>
      <c r="D203" s="71"/>
      <c r="E203" s="72"/>
      <c r="F203" s="70"/>
      <c r="G203" s="69"/>
      <c r="H203" s="70"/>
      <c r="I203" s="70"/>
      <c r="J203" s="71"/>
      <c r="K203" s="72"/>
      <c r="L203" s="70"/>
      <c r="M203" s="70"/>
      <c r="N203" s="82"/>
      <c r="O203" s="70"/>
      <c r="P203" s="70"/>
      <c r="Q203" s="70"/>
      <c r="R203" s="71"/>
      <c r="S203" s="72"/>
      <c r="T203" s="70"/>
      <c r="U203" s="70"/>
      <c r="V203" s="71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</row>
    <row r="204">
      <c r="A204" s="70"/>
      <c r="B204" s="70"/>
      <c r="C204" s="70"/>
      <c r="D204" s="71"/>
      <c r="E204" s="72"/>
      <c r="F204" s="70"/>
      <c r="G204" s="69"/>
      <c r="H204" s="70"/>
      <c r="I204" s="70"/>
      <c r="J204" s="71"/>
      <c r="K204" s="72"/>
      <c r="L204" s="70"/>
      <c r="M204" s="70"/>
      <c r="N204" s="82"/>
      <c r="O204" s="70"/>
      <c r="P204" s="70"/>
      <c r="Q204" s="70"/>
      <c r="R204" s="71"/>
      <c r="S204" s="72"/>
      <c r="T204" s="70"/>
      <c r="U204" s="70"/>
      <c r="V204" s="71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</row>
    <row r="205">
      <c r="A205" s="70"/>
      <c r="B205" s="70"/>
      <c r="C205" s="70"/>
      <c r="D205" s="71"/>
      <c r="E205" s="72"/>
      <c r="F205" s="70"/>
      <c r="G205" s="69"/>
      <c r="H205" s="70"/>
      <c r="I205" s="70"/>
      <c r="J205" s="71"/>
      <c r="K205" s="72"/>
      <c r="L205" s="70"/>
      <c r="M205" s="70"/>
      <c r="N205" s="82"/>
      <c r="O205" s="70"/>
      <c r="P205" s="70"/>
      <c r="Q205" s="70"/>
      <c r="R205" s="71"/>
      <c r="S205" s="72"/>
      <c r="T205" s="70"/>
      <c r="U205" s="70"/>
      <c r="V205" s="71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</row>
    <row r="206">
      <c r="A206" s="70"/>
      <c r="B206" s="70"/>
      <c r="C206" s="70"/>
      <c r="D206" s="71"/>
      <c r="E206" s="72"/>
      <c r="F206" s="70"/>
      <c r="G206" s="69"/>
      <c r="H206" s="70"/>
      <c r="I206" s="70"/>
      <c r="J206" s="71"/>
      <c r="K206" s="72"/>
      <c r="L206" s="70"/>
      <c r="M206" s="70"/>
      <c r="N206" s="82"/>
      <c r="O206" s="70"/>
      <c r="P206" s="70"/>
      <c r="Q206" s="70"/>
      <c r="R206" s="71"/>
      <c r="S206" s="72"/>
      <c r="T206" s="70"/>
      <c r="U206" s="70"/>
      <c r="V206" s="71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</row>
    <row r="207">
      <c r="A207" s="70"/>
      <c r="B207" s="70"/>
      <c r="C207" s="70"/>
      <c r="D207" s="71"/>
      <c r="E207" s="72"/>
      <c r="F207" s="70"/>
      <c r="G207" s="69"/>
      <c r="H207" s="70"/>
      <c r="I207" s="70"/>
      <c r="J207" s="71"/>
      <c r="K207" s="72"/>
      <c r="L207" s="70"/>
      <c r="M207" s="70"/>
      <c r="N207" s="82"/>
      <c r="O207" s="70"/>
      <c r="P207" s="70"/>
      <c r="Q207" s="70"/>
      <c r="R207" s="71"/>
      <c r="S207" s="72"/>
      <c r="T207" s="70"/>
      <c r="U207" s="70"/>
      <c r="V207" s="71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</row>
    <row r="208">
      <c r="A208" s="70"/>
      <c r="B208" s="70"/>
      <c r="C208" s="70"/>
      <c r="D208" s="71"/>
      <c r="E208" s="72"/>
      <c r="F208" s="70"/>
      <c r="G208" s="69"/>
      <c r="H208" s="70"/>
      <c r="I208" s="70"/>
      <c r="J208" s="71"/>
      <c r="K208" s="72"/>
      <c r="L208" s="70"/>
      <c r="M208" s="70"/>
      <c r="N208" s="82"/>
      <c r="O208" s="70"/>
      <c r="P208" s="70"/>
      <c r="Q208" s="70"/>
      <c r="R208" s="71"/>
      <c r="S208" s="72"/>
      <c r="T208" s="70"/>
      <c r="U208" s="70"/>
      <c r="V208" s="71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</row>
    <row r="209">
      <c r="A209" s="70"/>
      <c r="B209" s="70"/>
      <c r="C209" s="70"/>
      <c r="D209" s="71"/>
      <c r="E209" s="72"/>
      <c r="F209" s="70"/>
      <c r="G209" s="69"/>
      <c r="H209" s="70"/>
      <c r="I209" s="70"/>
      <c r="J209" s="71"/>
      <c r="K209" s="72"/>
      <c r="L209" s="70"/>
      <c r="M209" s="70"/>
      <c r="N209" s="82"/>
      <c r="O209" s="70"/>
      <c r="P209" s="70"/>
      <c r="Q209" s="70"/>
      <c r="R209" s="71"/>
      <c r="S209" s="72"/>
      <c r="T209" s="70"/>
      <c r="U209" s="70"/>
      <c r="V209" s="71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</row>
    <row r="210">
      <c r="A210" s="70"/>
      <c r="B210" s="70"/>
      <c r="C210" s="70"/>
      <c r="D210" s="71"/>
      <c r="E210" s="72"/>
      <c r="F210" s="70"/>
      <c r="G210" s="69"/>
      <c r="H210" s="70"/>
      <c r="I210" s="70"/>
      <c r="J210" s="71"/>
      <c r="K210" s="72"/>
      <c r="L210" s="70"/>
      <c r="M210" s="70"/>
      <c r="N210" s="82"/>
      <c r="O210" s="70"/>
      <c r="P210" s="70"/>
      <c r="Q210" s="70"/>
      <c r="R210" s="71"/>
      <c r="S210" s="72"/>
      <c r="T210" s="70"/>
      <c r="U210" s="70"/>
      <c r="V210" s="71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</row>
    <row r="211">
      <c r="A211" s="70"/>
      <c r="B211" s="70"/>
      <c r="C211" s="70"/>
      <c r="D211" s="71"/>
      <c r="E211" s="72"/>
      <c r="F211" s="70"/>
      <c r="G211" s="69"/>
      <c r="H211" s="70"/>
      <c r="I211" s="70"/>
      <c r="J211" s="71"/>
      <c r="K211" s="72"/>
      <c r="L211" s="70"/>
      <c r="M211" s="70"/>
      <c r="N211" s="82"/>
      <c r="O211" s="70"/>
      <c r="P211" s="70"/>
      <c r="Q211" s="70"/>
      <c r="R211" s="71"/>
      <c r="S211" s="72"/>
      <c r="T211" s="70"/>
      <c r="U211" s="70"/>
      <c r="V211" s="71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</row>
    <row r="212">
      <c r="A212" s="70"/>
      <c r="B212" s="70"/>
      <c r="C212" s="70"/>
      <c r="D212" s="71"/>
      <c r="E212" s="72"/>
      <c r="F212" s="70"/>
      <c r="G212" s="69"/>
      <c r="H212" s="70"/>
      <c r="I212" s="70"/>
      <c r="J212" s="71"/>
      <c r="K212" s="72"/>
      <c r="L212" s="70"/>
      <c r="M212" s="70"/>
      <c r="N212" s="82"/>
      <c r="O212" s="70"/>
      <c r="P212" s="70"/>
      <c r="Q212" s="70"/>
      <c r="R212" s="71"/>
      <c r="S212" s="72"/>
      <c r="T212" s="70"/>
      <c r="U212" s="70"/>
      <c r="V212" s="71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</row>
    <row r="213">
      <c r="A213" s="70"/>
      <c r="B213" s="70"/>
      <c r="C213" s="70"/>
      <c r="D213" s="71"/>
      <c r="E213" s="72"/>
      <c r="F213" s="70"/>
      <c r="G213" s="69"/>
      <c r="H213" s="70"/>
      <c r="I213" s="70"/>
      <c r="J213" s="71"/>
      <c r="K213" s="72"/>
      <c r="L213" s="70"/>
      <c r="M213" s="70"/>
      <c r="N213" s="82"/>
      <c r="O213" s="70"/>
      <c r="P213" s="70"/>
      <c r="Q213" s="70"/>
      <c r="R213" s="71"/>
      <c r="S213" s="72"/>
      <c r="T213" s="70"/>
      <c r="U213" s="70"/>
      <c r="V213" s="71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</row>
    <row r="214">
      <c r="A214" s="70"/>
      <c r="B214" s="70"/>
      <c r="C214" s="70"/>
      <c r="D214" s="71"/>
      <c r="E214" s="72"/>
      <c r="F214" s="70"/>
      <c r="G214" s="69"/>
      <c r="H214" s="70"/>
      <c r="I214" s="70"/>
      <c r="J214" s="71"/>
      <c r="K214" s="72"/>
      <c r="L214" s="70"/>
      <c r="M214" s="70"/>
      <c r="N214" s="82"/>
      <c r="O214" s="70"/>
      <c r="P214" s="70"/>
      <c r="Q214" s="70"/>
      <c r="R214" s="71"/>
      <c r="S214" s="72"/>
      <c r="T214" s="70"/>
      <c r="U214" s="70"/>
      <c r="V214" s="71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</row>
    <row r="215">
      <c r="A215" s="70"/>
      <c r="B215" s="70"/>
      <c r="C215" s="70"/>
      <c r="D215" s="71"/>
      <c r="E215" s="72"/>
      <c r="F215" s="70"/>
      <c r="G215" s="69"/>
      <c r="H215" s="70"/>
      <c r="I215" s="70"/>
      <c r="J215" s="71"/>
      <c r="K215" s="72"/>
      <c r="L215" s="70"/>
      <c r="M215" s="70"/>
      <c r="N215" s="82"/>
      <c r="O215" s="70"/>
      <c r="P215" s="70"/>
      <c r="Q215" s="70"/>
      <c r="R215" s="71"/>
      <c r="S215" s="72"/>
      <c r="T215" s="70"/>
      <c r="U215" s="70"/>
      <c r="V215" s="71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</row>
    <row r="216">
      <c r="A216" s="70"/>
      <c r="B216" s="70"/>
      <c r="C216" s="70"/>
      <c r="D216" s="71"/>
      <c r="E216" s="72"/>
      <c r="F216" s="70"/>
      <c r="G216" s="69"/>
      <c r="H216" s="70"/>
      <c r="I216" s="70"/>
      <c r="J216" s="71"/>
      <c r="K216" s="72"/>
      <c r="L216" s="70"/>
      <c r="M216" s="70"/>
      <c r="N216" s="82"/>
      <c r="O216" s="70"/>
      <c r="P216" s="70"/>
      <c r="Q216" s="70"/>
      <c r="R216" s="71"/>
      <c r="S216" s="72"/>
      <c r="T216" s="70"/>
      <c r="U216" s="70"/>
      <c r="V216" s="71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</row>
    <row r="217">
      <c r="A217" s="70"/>
      <c r="B217" s="70"/>
      <c r="C217" s="70"/>
      <c r="D217" s="71"/>
      <c r="E217" s="72"/>
      <c r="F217" s="70"/>
      <c r="G217" s="69"/>
      <c r="H217" s="70"/>
      <c r="I217" s="70"/>
      <c r="J217" s="71"/>
      <c r="K217" s="72"/>
      <c r="L217" s="70"/>
      <c r="M217" s="70"/>
      <c r="N217" s="82"/>
      <c r="O217" s="70"/>
      <c r="P217" s="70"/>
      <c r="Q217" s="70"/>
      <c r="R217" s="71"/>
      <c r="S217" s="72"/>
      <c r="T217" s="70"/>
      <c r="U217" s="70"/>
      <c r="V217" s="71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</row>
    <row r="218">
      <c r="A218" s="70"/>
      <c r="B218" s="70"/>
      <c r="C218" s="70"/>
      <c r="D218" s="71"/>
      <c r="E218" s="72"/>
      <c r="F218" s="70"/>
      <c r="G218" s="69"/>
      <c r="H218" s="70"/>
      <c r="I218" s="70"/>
      <c r="J218" s="71"/>
      <c r="K218" s="72"/>
      <c r="L218" s="70"/>
      <c r="M218" s="70"/>
      <c r="N218" s="82"/>
      <c r="O218" s="70"/>
      <c r="P218" s="70"/>
      <c r="Q218" s="70"/>
      <c r="R218" s="71"/>
      <c r="S218" s="72"/>
      <c r="T218" s="70"/>
      <c r="U218" s="70"/>
      <c r="V218" s="71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</row>
    <row r="219">
      <c r="A219" s="70"/>
      <c r="B219" s="70"/>
      <c r="C219" s="70"/>
      <c r="D219" s="71"/>
      <c r="E219" s="72"/>
      <c r="F219" s="70"/>
      <c r="G219" s="69"/>
      <c r="H219" s="70"/>
      <c r="I219" s="70"/>
      <c r="J219" s="71"/>
      <c r="K219" s="72"/>
      <c r="L219" s="70"/>
      <c r="M219" s="70"/>
      <c r="N219" s="82"/>
      <c r="O219" s="70"/>
      <c r="P219" s="70"/>
      <c r="Q219" s="70"/>
      <c r="R219" s="71"/>
      <c r="S219" s="72"/>
      <c r="T219" s="70"/>
      <c r="U219" s="70"/>
      <c r="V219" s="71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</row>
    <row r="220">
      <c r="A220" s="70"/>
      <c r="B220" s="70"/>
      <c r="C220" s="70"/>
      <c r="D220" s="71"/>
      <c r="E220" s="72"/>
      <c r="F220" s="70"/>
      <c r="G220" s="69"/>
      <c r="H220" s="70"/>
      <c r="I220" s="70"/>
      <c r="J220" s="71"/>
      <c r="K220" s="72"/>
      <c r="L220" s="70"/>
      <c r="M220" s="70"/>
      <c r="N220" s="82"/>
      <c r="O220" s="70"/>
      <c r="P220" s="70"/>
      <c r="Q220" s="70"/>
      <c r="R220" s="71"/>
      <c r="S220" s="72"/>
      <c r="T220" s="70"/>
      <c r="U220" s="70"/>
      <c r="V220" s="71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</row>
    <row r="221">
      <c r="A221" s="70"/>
      <c r="B221" s="70"/>
      <c r="C221" s="70"/>
      <c r="D221" s="71"/>
      <c r="E221" s="72"/>
      <c r="F221" s="70"/>
      <c r="G221" s="69"/>
      <c r="H221" s="70"/>
      <c r="I221" s="70"/>
      <c r="J221" s="71"/>
      <c r="K221" s="72"/>
      <c r="L221" s="70"/>
      <c r="M221" s="70"/>
      <c r="N221" s="82"/>
      <c r="O221" s="70"/>
      <c r="P221" s="70"/>
      <c r="Q221" s="70"/>
      <c r="R221" s="71"/>
      <c r="S221" s="72"/>
      <c r="T221" s="70"/>
      <c r="U221" s="70"/>
      <c r="V221" s="71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</row>
    <row r="222">
      <c r="A222" s="70"/>
      <c r="B222" s="70"/>
      <c r="C222" s="70"/>
      <c r="D222" s="71"/>
      <c r="E222" s="72"/>
      <c r="F222" s="70"/>
      <c r="G222" s="69"/>
      <c r="H222" s="70"/>
      <c r="I222" s="70"/>
      <c r="J222" s="71"/>
      <c r="K222" s="72"/>
      <c r="L222" s="70"/>
      <c r="M222" s="70"/>
      <c r="N222" s="82"/>
      <c r="O222" s="70"/>
      <c r="P222" s="70"/>
      <c r="Q222" s="70"/>
      <c r="R222" s="71"/>
      <c r="S222" s="72"/>
      <c r="T222" s="70"/>
      <c r="U222" s="70"/>
      <c r="V222" s="71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</row>
    <row r="223">
      <c r="A223" s="70"/>
      <c r="B223" s="70"/>
      <c r="C223" s="70"/>
      <c r="D223" s="71"/>
      <c r="E223" s="72"/>
      <c r="F223" s="70"/>
      <c r="G223" s="69"/>
      <c r="H223" s="70"/>
      <c r="I223" s="70"/>
      <c r="J223" s="71"/>
      <c r="K223" s="72"/>
      <c r="L223" s="70"/>
      <c r="M223" s="70"/>
      <c r="N223" s="82"/>
      <c r="O223" s="70"/>
      <c r="P223" s="70"/>
      <c r="Q223" s="70"/>
      <c r="R223" s="71"/>
      <c r="S223" s="72"/>
      <c r="T223" s="70"/>
      <c r="U223" s="70"/>
      <c r="V223" s="71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</row>
    <row r="224">
      <c r="A224" s="70"/>
      <c r="B224" s="70"/>
      <c r="C224" s="70"/>
      <c r="D224" s="71"/>
      <c r="E224" s="72"/>
      <c r="F224" s="70"/>
      <c r="G224" s="69"/>
      <c r="H224" s="70"/>
      <c r="I224" s="70"/>
      <c r="J224" s="71"/>
      <c r="K224" s="72"/>
      <c r="L224" s="70"/>
      <c r="M224" s="70"/>
      <c r="N224" s="82"/>
      <c r="O224" s="70"/>
      <c r="P224" s="70"/>
      <c r="Q224" s="70"/>
      <c r="R224" s="71"/>
      <c r="S224" s="72"/>
      <c r="T224" s="70"/>
      <c r="U224" s="70"/>
      <c r="V224" s="71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</row>
    <row r="225">
      <c r="A225" s="70"/>
      <c r="B225" s="70"/>
      <c r="C225" s="70"/>
      <c r="D225" s="71"/>
      <c r="E225" s="72"/>
      <c r="F225" s="70"/>
      <c r="G225" s="69"/>
      <c r="H225" s="70"/>
      <c r="I225" s="70"/>
      <c r="J225" s="71"/>
      <c r="K225" s="72"/>
      <c r="L225" s="70"/>
      <c r="M225" s="70"/>
      <c r="N225" s="82"/>
      <c r="O225" s="70"/>
      <c r="P225" s="70"/>
      <c r="Q225" s="70"/>
      <c r="R225" s="71"/>
      <c r="S225" s="72"/>
      <c r="T225" s="70"/>
      <c r="U225" s="70"/>
      <c r="V225" s="71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</row>
    <row r="226">
      <c r="A226" s="70"/>
      <c r="B226" s="70"/>
      <c r="C226" s="70"/>
      <c r="D226" s="71"/>
      <c r="E226" s="72"/>
      <c r="F226" s="70"/>
      <c r="G226" s="69"/>
      <c r="H226" s="70"/>
      <c r="I226" s="70"/>
      <c r="J226" s="71"/>
      <c r="K226" s="72"/>
      <c r="L226" s="70"/>
      <c r="M226" s="70"/>
      <c r="N226" s="82"/>
      <c r="O226" s="70"/>
      <c r="P226" s="70"/>
      <c r="Q226" s="70"/>
      <c r="R226" s="71"/>
      <c r="S226" s="72"/>
      <c r="T226" s="70"/>
      <c r="U226" s="70"/>
      <c r="V226" s="71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</row>
    <row r="227">
      <c r="A227" s="70"/>
      <c r="B227" s="70"/>
      <c r="C227" s="70"/>
      <c r="D227" s="71"/>
      <c r="E227" s="72"/>
      <c r="F227" s="70"/>
      <c r="G227" s="69"/>
      <c r="H227" s="70"/>
      <c r="I227" s="70"/>
      <c r="J227" s="71"/>
      <c r="K227" s="72"/>
      <c r="L227" s="70"/>
      <c r="M227" s="70"/>
      <c r="N227" s="82"/>
      <c r="O227" s="70"/>
      <c r="P227" s="70"/>
      <c r="Q227" s="70"/>
      <c r="R227" s="71"/>
      <c r="S227" s="72"/>
      <c r="T227" s="70"/>
      <c r="U227" s="70"/>
      <c r="V227" s="71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</row>
    <row r="228">
      <c r="A228" s="70"/>
      <c r="B228" s="70"/>
      <c r="C228" s="70"/>
      <c r="D228" s="71"/>
      <c r="E228" s="72"/>
      <c r="F228" s="70"/>
      <c r="G228" s="69"/>
      <c r="H228" s="70"/>
      <c r="I228" s="70"/>
      <c r="J228" s="71"/>
      <c r="K228" s="72"/>
      <c r="L228" s="70"/>
      <c r="M228" s="70"/>
      <c r="N228" s="82"/>
      <c r="O228" s="70"/>
      <c r="P228" s="70"/>
      <c r="Q228" s="70"/>
      <c r="R228" s="71"/>
      <c r="S228" s="72"/>
      <c r="T228" s="70"/>
      <c r="U228" s="70"/>
      <c r="V228" s="71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</row>
    <row r="229">
      <c r="A229" s="70"/>
      <c r="B229" s="70"/>
      <c r="C229" s="70"/>
      <c r="D229" s="71"/>
      <c r="E229" s="72"/>
      <c r="F229" s="70"/>
      <c r="G229" s="69"/>
      <c r="H229" s="70"/>
      <c r="I229" s="70"/>
      <c r="J229" s="71"/>
      <c r="K229" s="72"/>
      <c r="L229" s="70"/>
      <c r="M229" s="70"/>
      <c r="N229" s="82"/>
      <c r="O229" s="70"/>
      <c r="P229" s="70"/>
      <c r="Q229" s="70"/>
      <c r="R229" s="71"/>
      <c r="S229" s="72"/>
      <c r="T229" s="70"/>
      <c r="U229" s="70"/>
      <c r="V229" s="71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</row>
    <row r="230">
      <c r="A230" s="70"/>
      <c r="B230" s="70"/>
      <c r="C230" s="70"/>
      <c r="D230" s="71"/>
      <c r="E230" s="72"/>
      <c r="F230" s="70"/>
      <c r="G230" s="69"/>
      <c r="H230" s="70"/>
      <c r="I230" s="70"/>
      <c r="J230" s="71"/>
      <c r="K230" s="72"/>
      <c r="L230" s="70"/>
      <c r="M230" s="70"/>
      <c r="N230" s="82"/>
      <c r="O230" s="70"/>
      <c r="P230" s="70"/>
      <c r="Q230" s="70"/>
      <c r="R230" s="71"/>
      <c r="S230" s="72"/>
      <c r="T230" s="70"/>
      <c r="U230" s="70"/>
      <c r="V230" s="71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</row>
    <row r="231">
      <c r="A231" s="70"/>
      <c r="B231" s="70"/>
      <c r="C231" s="70"/>
      <c r="D231" s="71"/>
      <c r="E231" s="72"/>
      <c r="F231" s="70"/>
      <c r="G231" s="69"/>
      <c r="H231" s="70"/>
      <c r="I231" s="70"/>
      <c r="J231" s="71"/>
      <c r="K231" s="72"/>
      <c r="L231" s="70"/>
      <c r="M231" s="70"/>
      <c r="N231" s="82"/>
      <c r="O231" s="70"/>
      <c r="P231" s="70"/>
      <c r="Q231" s="70"/>
      <c r="R231" s="71"/>
      <c r="S231" s="72"/>
      <c r="T231" s="70"/>
      <c r="U231" s="70"/>
      <c r="V231" s="71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</row>
    <row r="232">
      <c r="A232" s="70"/>
      <c r="B232" s="70"/>
      <c r="C232" s="70"/>
      <c r="D232" s="71"/>
      <c r="E232" s="72"/>
      <c r="F232" s="70"/>
      <c r="G232" s="69"/>
      <c r="H232" s="70"/>
      <c r="I232" s="70"/>
      <c r="J232" s="71"/>
      <c r="K232" s="72"/>
      <c r="L232" s="70"/>
      <c r="M232" s="70"/>
      <c r="N232" s="82"/>
      <c r="O232" s="70"/>
      <c r="P232" s="70"/>
      <c r="Q232" s="70"/>
      <c r="R232" s="71"/>
      <c r="S232" s="72"/>
      <c r="T232" s="70"/>
      <c r="U232" s="70"/>
      <c r="V232" s="71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</row>
    <row r="233">
      <c r="A233" s="70"/>
      <c r="B233" s="70"/>
      <c r="C233" s="70"/>
      <c r="D233" s="71"/>
      <c r="E233" s="72"/>
      <c r="F233" s="70"/>
      <c r="G233" s="69"/>
      <c r="H233" s="70"/>
      <c r="I233" s="70"/>
      <c r="J233" s="71"/>
      <c r="K233" s="72"/>
      <c r="L233" s="70"/>
      <c r="M233" s="70"/>
      <c r="N233" s="82"/>
      <c r="O233" s="70"/>
      <c r="P233" s="70"/>
      <c r="Q233" s="70"/>
      <c r="R233" s="71"/>
      <c r="S233" s="72"/>
      <c r="T233" s="70"/>
      <c r="U233" s="70"/>
      <c r="V233" s="71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</row>
    <row r="234">
      <c r="A234" s="70"/>
      <c r="B234" s="70"/>
      <c r="C234" s="70"/>
      <c r="D234" s="71"/>
      <c r="E234" s="72"/>
      <c r="F234" s="70"/>
      <c r="G234" s="69"/>
      <c r="H234" s="70"/>
      <c r="I234" s="70"/>
      <c r="J234" s="71"/>
      <c r="K234" s="72"/>
      <c r="L234" s="70"/>
      <c r="M234" s="70"/>
      <c r="N234" s="82"/>
      <c r="O234" s="70"/>
      <c r="P234" s="70"/>
      <c r="Q234" s="70"/>
      <c r="R234" s="71"/>
      <c r="S234" s="72"/>
      <c r="T234" s="70"/>
      <c r="U234" s="70"/>
      <c r="V234" s="71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</row>
    <row r="235">
      <c r="A235" s="70"/>
      <c r="B235" s="70"/>
      <c r="C235" s="70"/>
      <c r="D235" s="71"/>
      <c r="E235" s="72"/>
      <c r="F235" s="70"/>
      <c r="G235" s="69"/>
      <c r="H235" s="70"/>
      <c r="I235" s="70"/>
      <c r="J235" s="71"/>
      <c r="K235" s="72"/>
      <c r="L235" s="70"/>
      <c r="M235" s="70"/>
      <c r="N235" s="82"/>
      <c r="O235" s="70"/>
      <c r="P235" s="70"/>
      <c r="Q235" s="70"/>
      <c r="R235" s="71"/>
      <c r="S235" s="72"/>
      <c r="T235" s="70"/>
      <c r="U235" s="70"/>
      <c r="V235" s="71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</row>
    <row r="236">
      <c r="A236" s="70"/>
      <c r="B236" s="70"/>
      <c r="C236" s="70"/>
      <c r="D236" s="71"/>
      <c r="E236" s="72"/>
      <c r="F236" s="70"/>
      <c r="G236" s="69"/>
      <c r="H236" s="70"/>
      <c r="I236" s="70"/>
      <c r="J236" s="71"/>
      <c r="K236" s="72"/>
      <c r="L236" s="70"/>
      <c r="M236" s="70"/>
      <c r="N236" s="82"/>
      <c r="O236" s="70"/>
      <c r="P236" s="70"/>
      <c r="Q236" s="70"/>
      <c r="R236" s="71"/>
      <c r="S236" s="72"/>
      <c r="T236" s="70"/>
      <c r="U236" s="70"/>
      <c r="V236" s="71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</row>
    <row r="237">
      <c r="A237" s="70"/>
      <c r="B237" s="70"/>
      <c r="C237" s="70"/>
      <c r="D237" s="71"/>
      <c r="E237" s="72"/>
      <c r="F237" s="70"/>
      <c r="G237" s="69"/>
      <c r="H237" s="70"/>
      <c r="I237" s="70"/>
      <c r="J237" s="71"/>
      <c r="K237" s="72"/>
      <c r="L237" s="70"/>
      <c r="M237" s="70"/>
      <c r="N237" s="82"/>
      <c r="O237" s="70"/>
      <c r="P237" s="70"/>
      <c r="Q237" s="70"/>
      <c r="R237" s="71"/>
      <c r="S237" s="72"/>
      <c r="T237" s="70"/>
      <c r="U237" s="70"/>
      <c r="V237" s="71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</row>
    <row r="238">
      <c r="A238" s="70"/>
      <c r="B238" s="70"/>
      <c r="C238" s="70"/>
      <c r="D238" s="71"/>
      <c r="E238" s="72"/>
      <c r="F238" s="70"/>
      <c r="G238" s="69"/>
      <c r="H238" s="70"/>
      <c r="I238" s="70"/>
      <c r="J238" s="71"/>
      <c r="K238" s="72"/>
      <c r="L238" s="70"/>
      <c r="M238" s="70"/>
      <c r="N238" s="82"/>
      <c r="O238" s="70"/>
      <c r="P238" s="70"/>
      <c r="Q238" s="70"/>
      <c r="R238" s="71"/>
      <c r="S238" s="72"/>
      <c r="T238" s="70"/>
      <c r="U238" s="70"/>
      <c r="V238" s="71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</row>
    <row r="239">
      <c r="A239" s="70"/>
      <c r="B239" s="70"/>
      <c r="C239" s="70"/>
      <c r="D239" s="71"/>
      <c r="E239" s="72"/>
      <c r="F239" s="70"/>
      <c r="G239" s="69"/>
      <c r="H239" s="70"/>
      <c r="I239" s="70"/>
      <c r="J239" s="71"/>
      <c r="K239" s="72"/>
      <c r="L239" s="70"/>
      <c r="M239" s="70"/>
      <c r="N239" s="82"/>
      <c r="O239" s="70"/>
      <c r="P239" s="70"/>
      <c r="Q239" s="70"/>
      <c r="R239" s="71"/>
      <c r="S239" s="72"/>
      <c r="T239" s="70"/>
      <c r="U239" s="70"/>
      <c r="V239" s="71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</row>
    <row r="240">
      <c r="A240" s="70"/>
      <c r="B240" s="70"/>
      <c r="C240" s="70"/>
      <c r="D240" s="71"/>
      <c r="E240" s="72"/>
      <c r="F240" s="70"/>
      <c r="G240" s="69"/>
      <c r="H240" s="70"/>
      <c r="I240" s="70"/>
      <c r="J240" s="71"/>
      <c r="K240" s="72"/>
      <c r="L240" s="70"/>
      <c r="M240" s="70"/>
      <c r="N240" s="82"/>
      <c r="O240" s="70"/>
      <c r="P240" s="70"/>
      <c r="Q240" s="70"/>
      <c r="R240" s="71"/>
      <c r="S240" s="72"/>
      <c r="T240" s="70"/>
      <c r="U240" s="70"/>
      <c r="V240" s="71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</row>
    <row r="241">
      <c r="A241" s="70"/>
      <c r="B241" s="70"/>
      <c r="C241" s="70"/>
      <c r="D241" s="71"/>
      <c r="E241" s="72"/>
      <c r="F241" s="70"/>
      <c r="G241" s="69"/>
      <c r="H241" s="70"/>
      <c r="I241" s="70"/>
      <c r="J241" s="71"/>
      <c r="K241" s="72"/>
      <c r="L241" s="70"/>
      <c r="M241" s="70"/>
      <c r="N241" s="82"/>
      <c r="O241" s="70"/>
      <c r="P241" s="70"/>
      <c r="Q241" s="70"/>
      <c r="R241" s="71"/>
      <c r="S241" s="72"/>
      <c r="T241" s="70"/>
      <c r="U241" s="70"/>
      <c r="V241" s="71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</row>
    <row r="242">
      <c r="A242" s="70"/>
      <c r="B242" s="70"/>
      <c r="C242" s="70"/>
      <c r="D242" s="71"/>
      <c r="E242" s="72"/>
      <c r="F242" s="70"/>
      <c r="G242" s="69"/>
      <c r="H242" s="70"/>
      <c r="I242" s="70"/>
      <c r="J242" s="71"/>
      <c r="K242" s="72"/>
      <c r="L242" s="70"/>
      <c r="M242" s="70"/>
      <c r="N242" s="82"/>
      <c r="O242" s="70"/>
      <c r="P242" s="70"/>
      <c r="Q242" s="70"/>
      <c r="R242" s="71"/>
      <c r="S242" s="72"/>
      <c r="T242" s="70"/>
      <c r="U242" s="70"/>
      <c r="V242" s="71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</row>
    <row r="243">
      <c r="A243" s="70"/>
      <c r="B243" s="70"/>
      <c r="C243" s="70"/>
      <c r="D243" s="71"/>
      <c r="E243" s="72"/>
      <c r="F243" s="70"/>
      <c r="G243" s="69"/>
      <c r="H243" s="70"/>
      <c r="I243" s="70"/>
      <c r="J243" s="71"/>
      <c r="K243" s="72"/>
      <c r="L243" s="70"/>
      <c r="M243" s="70"/>
      <c r="N243" s="82"/>
      <c r="O243" s="70"/>
      <c r="P243" s="70"/>
      <c r="Q243" s="70"/>
      <c r="R243" s="71"/>
      <c r="S243" s="72"/>
      <c r="T243" s="70"/>
      <c r="U243" s="70"/>
      <c r="V243" s="71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</row>
    <row r="244">
      <c r="A244" s="70"/>
      <c r="B244" s="70"/>
      <c r="C244" s="70"/>
      <c r="D244" s="71"/>
      <c r="E244" s="72"/>
      <c r="F244" s="70"/>
      <c r="G244" s="69"/>
      <c r="H244" s="70"/>
      <c r="I244" s="70"/>
      <c r="J244" s="71"/>
      <c r="K244" s="72"/>
      <c r="L244" s="70"/>
      <c r="M244" s="70"/>
      <c r="N244" s="82"/>
      <c r="O244" s="70"/>
      <c r="P244" s="70"/>
      <c r="Q244" s="70"/>
      <c r="R244" s="71"/>
      <c r="S244" s="72"/>
      <c r="T244" s="70"/>
      <c r="U244" s="70"/>
      <c r="V244" s="71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</row>
    <row r="245">
      <c r="A245" s="70"/>
      <c r="B245" s="70"/>
      <c r="C245" s="70"/>
      <c r="D245" s="71"/>
      <c r="E245" s="72"/>
      <c r="F245" s="70"/>
      <c r="G245" s="69"/>
      <c r="H245" s="70"/>
      <c r="I245" s="70"/>
      <c r="J245" s="71"/>
      <c r="K245" s="72"/>
      <c r="L245" s="70"/>
      <c r="M245" s="70"/>
      <c r="N245" s="82"/>
      <c r="O245" s="70"/>
      <c r="P245" s="70"/>
      <c r="Q245" s="70"/>
      <c r="R245" s="71"/>
      <c r="S245" s="72"/>
      <c r="T245" s="70"/>
      <c r="U245" s="70"/>
      <c r="V245" s="71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</row>
    <row r="246">
      <c r="A246" s="70"/>
      <c r="B246" s="70"/>
      <c r="C246" s="70"/>
      <c r="D246" s="71"/>
      <c r="E246" s="72"/>
      <c r="F246" s="70"/>
      <c r="G246" s="69"/>
      <c r="H246" s="70"/>
      <c r="I246" s="70"/>
      <c r="J246" s="71"/>
      <c r="K246" s="72"/>
      <c r="L246" s="70"/>
      <c r="M246" s="70"/>
      <c r="N246" s="82"/>
      <c r="O246" s="70"/>
      <c r="P246" s="70"/>
      <c r="Q246" s="70"/>
      <c r="R246" s="71"/>
      <c r="S246" s="72"/>
      <c r="T246" s="70"/>
      <c r="U246" s="70"/>
      <c r="V246" s="71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</row>
    <row r="247">
      <c r="A247" s="70"/>
      <c r="B247" s="70"/>
      <c r="C247" s="70"/>
      <c r="D247" s="71"/>
      <c r="E247" s="72"/>
      <c r="F247" s="70"/>
      <c r="G247" s="69"/>
      <c r="H247" s="70"/>
      <c r="I247" s="70"/>
      <c r="J247" s="71"/>
      <c r="K247" s="72"/>
      <c r="L247" s="70"/>
      <c r="M247" s="70"/>
      <c r="N247" s="82"/>
      <c r="O247" s="70"/>
      <c r="P247" s="70"/>
      <c r="Q247" s="70"/>
      <c r="R247" s="71"/>
      <c r="S247" s="72"/>
      <c r="T247" s="70"/>
      <c r="U247" s="70"/>
      <c r="V247" s="71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</row>
    <row r="248">
      <c r="A248" s="70"/>
      <c r="B248" s="70"/>
      <c r="C248" s="70"/>
      <c r="D248" s="71"/>
      <c r="E248" s="72"/>
      <c r="F248" s="70"/>
      <c r="G248" s="69"/>
      <c r="H248" s="70"/>
      <c r="I248" s="70"/>
      <c r="J248" s="71"/>
      <c r="K248" s="72"/>
      <c r="L248" s="70"/>
      <c r="M248" s="70"/>
      <c r="N248" s="82"/>
      <c r="O248" s="70"/>
      <c r="P248" s="70"/>
      <c r="Q248" s="70"/>
      <c r="R248" s="71"/>
      <c r="S248" s="72"/>
      <c r="T248" s="70"/>
      <c r="U248" s="70"/>
      <c r="V248" s="71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</row>
    <row r="249">
      <c r="A249" s="70"/>
      <c r="B249" s="70"/>
      <c r="C249" s="70"/>
      <c r="D249" s="71"/>
      <c r="E249" s="72"/>
      <c r="F249" s="70"/>
      <c r="G249" s="69"/>
      <c r="H249" s="70"/>
      <c r="I249" s="70"/>
      <c r="J249" s="71"/>
      <c r="K249" s="72"/>
      <c r="L249" s="70"/>
      <c r="M249" s="70"/>
      <c r="N249" s="82"/>
      <c r="O249" s="70"/>
      <c r="P249" s="70"/>
      <c r="Q249" s="70"/>
      <c r="R249" s="71"/>
      <c r="S249" s="72"/>
      <c r="T249" s="70"/>
      <c r="U249" s="70"/>
      <c r="V249" s="71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</row>
    <row r="250">
      <c r="A250" s="70"/>
      <c r="B250" s="70"/>
      <c r="C250" s="70"/>
      <c r="D250" s="71"/>
      <c r="E250" s="72"/>
      <c r="F250" s="70"/>
      <c r="G250" s="69"/>
      <c r="H250" s="70"/>
      <c r="I250" s="70"/>
      <c r="J250" s="71"/>
      <c r="K250" s="72"/>
      <c r="L250" s="70"/>
      <c r="M250" s="70"/>
      <c r="N250" s="82"/>
      <c r="O250" s="70"/>
      <c r="P250" s="70"/>
      <c r="Q250" s="70"/>
      <c r="R250" s="71"/>
      <c r="S250" s="72"/>
      <c r="T250" s="70"/>
      <c r="U250" s="70"/>
      <c r="V250" s="71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</row>
    <row r="251">
      <c r="A251" s="70"/>
      <c r="B251" s="70"/>
      <c r="C251" s="70"/>
      <c r="D251" s="71"/>
      <c r="E251" s="72"/>
      <c r="F251" s="70"/>
      <c r="G251" s="69"/>
      <c r="H251" s="70"/>
      <c r="I251" s="70"/>
      <c r="J251" s="71"/>
      <c r="K251" s="72"/>
      <c r="L251" s="70"/>
      <c r="M251" s="70"/>
      <c r="N251" s="82"/>
      <c r="O251" s="70"/>
      <c r="P251" s="70"/>
      <c r="Q251" s="70"/>
      <c r="R251" s="71"/>
      <c r="S251" s="72"/>
      <c r="T251" s="70"/>
      <c r="U251" s="70"/>
      <c r="V251" s="71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</row>
    <row r="252">
      <c r="A252" s="70"/>
      <c r="B252" s="70"/>
      <c r="C252" s="70"/>
      <c r="D252" s="71"/>
      <c r="E252" s="72"/>
      <c r="F252" s="70"/>
      <c r="G252" s="69"/>
      <c r="H252" s="70"/>
      <c r="I252" s="70"/>
      <c r="J252" s="71"/>
      <c r="K252" s="72"/>
      <c r="L252" s="70"/>
      <c r="M252" s="70"/>
      <c r="N252" s="82"/>
      <c r="O252" s="70"/>
      <c r="P252" s="70"/>
      <c r="Q252" s="70"/>
      <c r="R252" s="71"/>
      <c r="S252" s="72"/>
      <c r="T252" s="70"/>
      <c r="U252" s="70"/>
      <c r="V252" s="71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</row>
    <row r="253">
      <c r="A253" s="70"/>
      <c r="B253" s="70"/>
      <c r="C253" s="70"/>
      <c r="D253" s="71"/>
      <c r="E253" s="72"/>
      <c r="F253" s="70"/>
      <c r="G253" s="69"/>
      <c r="H253" s="70"/>
      <c r="I253" s="70"/>
      <c r="J253" s="71"/>
      <c r="K253" s="72"/>
      <c r="L253" s="70"/>
      <c r="M253" s="70"/>
      <c r="N253" s="82"/>
      <c r="O253" s="70"/>
      <c r="P253" s="70"/>
      <c r="Q253" s="70"/>
      <c r="R253" s="71"/>
      <c r="S253" s="72"/>
      <c r="T253" s="70"/>
      <c r="U253" s="70"/>
      <c r="V253" s="71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</row>
    <row r="254">
      <c r="A254" s="70"/>
      <c r="B254" s="70"/>
      <c r="C254" s="70"/>
      <c r="D254" s="71"/>
      <c r="E254" s="72"/>
      <c r="F254" s="70"/>
      <c r="G254" s="69"/>
      <c r="H254" s="70"/>
      <c r="I254" s="70"/>
      <c r="J254" s="71"/>
      <c r="K254" s="72"/>
      <c r="L254" s="70"/>
      <c r="M254" s="70"/>
      <c r="N254" s="82"/>
      <c r="O254" s="70"/>
      <c r="P254" s="70"/>
      <c r="Q254" s="70"/>
      <c r="R254" s="71"/>
      <c r="S254" s="72"/>
      <c r="T254" s="70"/>
      <c r="U254" s="70"/>
      <c r="V254" s="71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</row>
    <row r="255">
      <c r="A255" s="70"/>
      <c r="B255" s="70"/>
      <c r="C255" s="70"/>
      <c r="D255" s="71"/>
      <c r="E255" s="72"/>
      <c r="F255" s="70"/>
      <c r="G255" s="69"/>
      <c r="H255" s="70"/>
      <c r="I255" s="70"/>
      <c r="J255" s="71"/>
      <c r="K255" s="72"/>
      <c r="L255" s="70"/>
      <c r="M255" s="70"/>
      <c r="N255" s="82"/>
      <c r="O255" s="70"/>
      <c r="P255" s="70"/>
      <c r="Q255" s="70"/>
      <c r="R255" s="71"/>
      <c r="S255" s="72"/>
      <c r="T255" s="70"/>
      <c r="U255" s="70"/>
      <c r="V255" s="71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</row>
    <row r="256">
      <c r="A256" s="70"/>
      <c r="B256" s="70"/>
      <c r="C256" s="70"/>
      <c r="D256" s="71"/>
      <c r="E256" s="72"/>
      <c r="F256" s="70"/>
      <c r="G256" s="69"/>
      <c r="H256" s="70"/>
      <c r="I256" s="70"/>
      <c r="J256" s="71"/>
      <c r="K256" s="72"/>
      <c r="L256" s="70"/>
      <c r="M256" s="70"/>
      <c r="N256" s="82"/>
      <c r="O256" s="70"/>
      <c r="P256" s="70"/>
      <c r="Q256" s="70"/>
      <c r="R256" s="71"/>
      <c r="S256" s="72"/>
      <c r="T256" s="70"/>
      <c r="U256" s="70"/>
      <c r="V256" s="71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</row>
    <row r="257">
      <c r="A257" s="70"/>
      <c r="B257" s="70"/>
      <c r="C257" s="70"/>
      <c r="D257" s="71"/>
      <c r="E257" s="72"/>
      <c r="F257" s="70"/>
      <c r="G257" s="69"/>
      <c r="H257" s="70"/>
      <c r="I257" s="70"/>
      <c r="J257" s="71"/>
      <c r="K257" s="72"/>
      <c r="L257" s="70"/>
      <c r="M257" s="70"/>
      <c r="N257" s="82"/>
      <c r="O257" s="70"/>
      <c r="P257" s="70"/>
      <c r="Q257" s="70"/>
      <c r="R257" s="71"/>
      <c r="S257" s="72"/>
      <c r="T257" s="70"/>
      <c r="U257" s="70"/>
      <c r="V257" s="71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</row>
    <row r="258">
      <c r="A258" s="70"/>
      <c r="B258" s="70"/>
      <c r="C258" s="70"/>
      <c r="D258" s="71"/>
      <c r="E258" s="72"/>
      <c r="F258" s="70"/>
      <c r="G258" s="69"/>
      <c r="H258" s="70"/>
      <c r="I258" s="70"/>
      <c r="J258" s="71"/>
      <c r="K258" s="72"/>
      <c r="L258" s="70"/>
      <c r="M258" s="70"/>
      <c r="N258" s="82"/>
      <c r="O258" s="70"/>
      <c r="P258" s="70"/>
      <c r="Q258" s="70"/>
      <c r="R258" s="71"/>
      <c r="S258" s="72"/>
      <c r="T258" s="70"/>
      <c r="U258" s="70"/>
      <c r="V258" s="71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</row>
    <row r="259">
      <c r="A259" s="70"/>
      <c r="B259" s="70"/>
      <c r="C259" s="70"/>
      <c r="D259" s="71"/>
      <c r="E259" s="72"/>
      <c r="F259" s="70"/>
      <c r="G259" s="69"/>
      <c r="H259" s="70"/>
      <c r="I259" s="70"/>
      <c r="J259" s="71"/>
      <c r="K259" s="72"/>
      <c r="L259" s="70"/>
      <c r="M259" s="70"/>
      <c r="N259" s="82"/>
      <c r="O259" s="70"/>
      <c r="P259" s="70"/>
      <c r="Q259" s="70"/>
      <c r="R259" s="71"/>
      <c r="S259" s="72"/>
      <c r="T259" s="70"/>
      <c r="U259" s="70"/>
      <c r="V259" s="71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</row>
    <row r="260">
      <c r="A260" s="70"/>
      <c r="B260" s="70"/>
      <c r="C260" s="70"/>
      <c r="D260" s="71"/>
      <c r="E260" s="72"/>
      <c r="F260" s="70"/>
      <c r="G260" s="69"/>
      <c r="H260" s="70"/>
      <c r="I260" s="70"/>
      <c r="J260" s="71"/>
      <c r="K260" s="72"/>
      <c r="L260" s="70"/>
      <c r="M260" s="70"/>
      <c r="N260" s="82"/>
      <c r="O260" s="70"/>
      <c r="P260" s="70"/>
      <c r="Q260" s="70"/>
      <c r="R260" s="71"/>
      <c r="S260" s="72"/>
      <c r="T260" s="70"/>
      <c r="U260" s="70"/>
      <c r="V260" s="71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</row>
    <row r="261">
      <c r="A261" s="70"/>
      <c r="B261" s="70"/>
      <c r="C261" s="70"/>
      <c r="D261" s="71"/>
      <c r="E261" s="72"/>
      <c r="F261" s="70"/>
      <c r="G261" s="69"/>
      <c r="H261" s="70"/>
      <c r="I261" s="70"/>
      <c r="J261" s="71"/>
      <c r="K261" s="72"/>
      <c r="L261" s="70"/>
      <c r="M261" s="70"/>
      <c r="N261" s="82"/>
      <c r="O261" s="70"/>
      <c r="P261" s="70"/>
      <c r="Q261" s="70"/>
      <c r="R261" s="71"/>
      <c r="S261" s="72"/>
      <c r="T261" s="70"/>
      <c r="U261" s="70"/>
      <c r="V261" s="71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</row>
    <row r="262">
      <c r="A262" s="70"/>
      <c r="B262" s="70"/>
      <c r="C262" s="70"/>
      <c r="D262" s="71"/>
      <c r="E262" s="72"/>
      <c r="F262" s="70"/>
      <c r="G262" s="69"/>
      <c r="H262" s="70"/>
      <c r="I262" s="70"/>
      <c r="J262" s="71"/>
      <c r="K262" s="72"/>
      <c r="L262" s="70"/>
      <c r="M262" s="70"/>
      <c r="N262" s="82"/>
      <c r="O262" s="70"/>
      <c r="P262" s="70"/>
      <c r="Q262" s="70"/>
      <c r="R262" s="71"/>
      <c r="S262" s="72"/>
      <c r="T262" s="70"/>
      <c r="U262" s="70"/>
      <c r="V262" s="71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</row>
    <row r="263">
      <c r="A263" s="70"/>
      <c r="B263" s="70"/>
      <c r="C263" s="70"/>
      <c r="D263" s="71"/>
      <c r="E263" s="72"/>
      <c r="F263" s="70"/>
      <c r="G263" s="69"/>
      <c r="H263" s="70"/>
      <c r="I263" s="70"/>
      <c r="J263" s="71"/>
      <c r="K263" s="72"/>
      <c r="L263" s="70"/>
      <c r="M263" s="70"/>
      <c r="N263" s="82"/>
      <c r="O263" s="70"/>
      <c r="P263" s="70"/>
      <c r="Q263" s="70"/>
      <c r="R263" s="71"/>
      <c r="S263" s="72"/>
      <c r="T263" s="70"/>
      <c r="U263" s="70"/>
      <c r="V263" s="71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</row>
    <row r="264">
      <c r="A264" s="70"/>
      <c r="B264" s="70"/>
      <c r="C264" s="70"/>
      <c r="D264" s="71"/>
      <c r="E264" s="72"/>
      <c r="F264" s="70"/>
      <c r="G264" s="69"/>
      <c r="H264" s="70"/>
      <c r="I264" s="70"/>
      <c r="J264" s="71"/>
      <c r="K264" s="72"/>
      <c r="L264" s="70"/>
      <c r="M264" s="70"/>
      <c r="N264" s="82"/>
      <c r="O264" s="70"/>
      <c r="P264" s="70"/>
      <c r="Q264" s="70"/>
      <c r="R264" s="71"/>
      <c r="S264" s="72"/>
      <c r="T264" s="70"/>
      <c r="U264" s="70"/>
      <c r="V264" s="71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</row>
    <row r="265">
      <c r="A265" s="70"/>
      <c r="B265" s="70"/>
      <c r="C265" s="70"/>
      <c r="D265" s="71"/>
      <c r="E265" s="72"/>
      <c r="F265" s="70"/>
      <c r="G265" s="69"/>
      <c r="H265" s="70"/>
      <c r="I265" s="70"/>
      <c r="J265" s="71"/>
      <c r="K265" s="72"/>
      <c r="L265" s="70"/>
      <c r="M265" s="70"/>
      <c r="N265" s="82"/>
      <c r="O265" s="70"/>
      <c r="P265" s="70"/>
      <c r="Q265" s="70"/>
      <c r="R265" s="71"/>
      <c r="S265" s="72"/>
      <c r="T265" s="70"/>
      <c r="U265" s="70"/>
      <c r="V265" s="71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</row>
    <row r="266">
      <c r="A266" s="70"/>
      <c r="B266" s="70"/>
      <c r="C266" s="70"/>
      <c r="D266" s="71"/>
      <c r="E266" s="72"/>
      <c r="F266" s="70"/>
      <c r="G266" s="69"/>
      <c r="H266" s="70"/>
      <c r="I266" s="70"/>
      <c r="J266" s="71"/>
      <c r="K266" s="72"/>
      <c r="L266" s="70"/>
      <c r="M266" s="70"/>
      <c r="N266" s="82"/>
      <c r="O266" s="70"/>
      <c r="P266" s="70"/>
      <c r="Q266" s="70"/>
      <c r="R266" s="71"/>
      <c r="S266" s="72"/>
      <c r="T266" s="70"/>
      <c r="U266" s="70"/>
      <c r="V266" s="71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</row>
    <row r="267">
      <c r="A267" s="70"/>
      <c r="B267" s="70"/>
      <c r="C267" s="70"/>
      <c r="D267" s="71"/>
      <c r="E267" s="72"/>
      <c r="F267" s="70"/>
      <c r="G267" s="69"/>
      <c r="H267" s="70"/>
      <c r="I267" s="70"/>
      <c r="J267" s="71"/>
      <c r="K267" s="72"/>
      <c r="L267" s="70"/>
      <c r="M267" s="70"/>
      <c r="N267" s="82"/>
      <c r="O267" s="70"/>
      <c r="P267" s="70"/>
      <c r="Q267" s="70"/>
      <c r="R267" s="71"/>
      <c r="S267" s="72"/>
      <c r="T267" s="70"/>
      <c r="U267" s="70"/>
      <c r="V267" s="71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</row>
    <row r="268">
      <c r="A268" s="70"/>
      <c r="B268" s="70"/>
      <c r="C268" s="70"/>
      <c r="D268" s="71"/>
      <c r="E268" s="72"/>
      <c r="F268" s="70"/>
      <c r="G268" s="69"/>
      <c r="H268" s="70"/>
      <c r="I268" s="70"/>
      <c r="J268" s="71"/>
      <c r="K268" s="72"/>
      <c r="L268" s="70"/>
      <c r="M268" s="70"/>
      <c r="N268" s="82"/>
      <c r="O268" s="70"/>
      <c r="P268" s="70"/>
      <c r="Q268" s="70"/>
      <c r="R268" s="71"/>
      <c r="S268" s="72"/>
      <c r="T268" s="70"/>
      <c r="U268" s="70"/>
      <c r="V268" s="71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</row>
    <row r="269">
      <c r="A269" s="70"/>
      <c r="B269" s="70"/>
      <c r="C269" s="70"/>
      <c r="D269" s="71"/>
      <c r="E269" s="72"/>
      <c r="F269" s="70"/>
      <c r="G269" s="69"/>
      <c r="H269" s="70"/>
      <c r="I269" s="70"/>
      <c r="J269" s="71"/>
      <c r="K269" s="72"/>
      <c r="L269" s="70"/>
      <c r="M269" s="70"/>
      <c r="N269" s="82"/>
      <c r="O269" s="70"/>
      <c r="P269" s="70"/>
      <c r="Q269" s="70"/>
      <c r="R269" s="71"/>
      <c r="S269" s="72"/>
      <c r="T269" s="70"/>
      <c r="U269" s="70"/>
      <c r="V269" s="71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</row>
    <row r="270">
      <c r="A270" s="70"/>
      <c r="B270" s="70"/>
      <c r="C270" s="70"/>
      <c r="D270" s="71"/>
      <c r="E270" s="72"/>
      <c r="F270" s="70"/>
      <c r="G270" s="69"/>
      <c r="H270" s="70"/>
      <c r="I270" s="70"/>
      <c r="J270" s="71"/>
      <c r="K270" s="72"/>
      <c r="L270" s="70"/>
      <c r="M270" s="70"/>
      <c r="N270" s="82"/>
      <c r="O270" s="70"/>
      <c r="P270" s="70"/>
      <c r="Q270" s="70"/>
      <c r="R270" s="71"/>
      <c r="S270" s="72"/>
      <c r="T270" s="70"/>
      <c r="U270" s="70"/>
      <c r="V270" s="71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</row>
    <row r="271">
      <c r="A271" s="70"/>
      <c r="B271" s="70"/>
      <c r="C271" s="70"/>
      <c r="D271" s="71"/>
      <c r="E271" s="72"/>
      <c r="F271" s="70"/>
      <c r="G271" s="69"/>
      <c r="H271" s="70"/>
      <c r="I271" s="70"/>
      <c r="J271" s="71"/>
      <c r="K271" s="72"/>
      <c r="L271" s="70"/>
      <c r="M271" s="70"/>
      <c r="N271" s="82"/>
      <c r="O271" s="70"/>
      <c r="P271" s="70"/>
      <c r="Q271" s="70"/>
      <c r="R271" s="71"/>
      <c r="S271" s="72"/>
      <c r="T271" s="70"/>
      <c r="U271" s="70"/>
      <c r="V271" s="71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</row>
    <row r="272">
      <c r="A272" s="70"/>
      <c r="B272" s="70"/>
      <c r="C272" s="70"/>
      <c r="D272" s="71"/>
      <c r="E272" s="72"/>
      <c r="F272" s="70"/>
      <c r="G272" s="69"/>
      <c r="H272" s="70"/>
      <c r="I272" s="70"/>
      <c r="J272" s="71"/>
      <c r="K272" s="72"/>
      <c r="L272" s="70"/>
      <c r="M272" s="70"/>
      <c r="N272" s="82"/>
      <c r="O272" s="70"/>
      <c r="P272" s="70"/>
      <c r="Q272" s="70"/>
      <c r="R272" s="71"/>
      <c r="S272" s="72"/>
      <c r="T272" s="70"/>
      <c r="U272" s="70"/>
      <c r="V272" s="71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0"/>
      <c r="AO272" s="70"/>
    </row>
    <row r="273">
      <c r="A273" s="70"/>
      <c r="B273" s="70"/>
      <c r="C273" s="70"/>
      <c r="D273" s="71"/>
      <c r="E273" s="72"/>
      <c r="F273" s="70"/>
      <c r="G273" s="69"/>
      <c r="H273" s="70"/>
      <c r="I273" s="70"/>
      <c r="J273" s="71"/>
      <c r="K273" s="72"/>
      <c r="L273" s="70"/>
      <c r="M273" s="70"/>
      <c r="N273" s="82"/>
      <c r="O273" s="70"/>
      <c r="P273" s="70"/>
      <c r="Q273" s="70"/>
      <c r="R273" s="71"/>
      <c r="S273" s="72"/>
      <c r="T273" s="70"/>
      <c r="U273" s="70"/>
      <c r="V273" s="71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</row>
    <row r="274">
      <c r="A274" s="70"/>
      <c r="B274" s="70"/>
      <c r="C274" s="70"/>
      <c r="D274" s="71"/>
      <c r="E274" s="72"/>
      <c r="F274" s="70"/>
      <c r="G274" s="69"/>
      <c r="H274" s="70"/>
      <c r="I274" s="70"/>
      <c r="J274" s="71"/>
      <c r="K274" s="72"/>
      <c r="L274" s="70"/>
      <c r="M274" s="70"/>
      <c r="N274" s="82"/>
      <c r="O274" s="70"/>
      <c r="P274" s="70"/>
      <c r="Q274" s="70"/>
      <c r="R274" s="71"/>
      <c r="S274" s="72"/>
      <c r="T274" s="70"/>
      <c r="U274" s="70"/>
      <c r="V274" s="71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</row>
    <row r="275">
      <c r="A275" s="70"/>
      <c r="B275" s="70"/>
      <c r="C275" s="70"/>
      <c r="D275" s="71"/>
      <c r="E275" s="72"/>
      <c r="F275" s="70"/>
      <c r="G275" s="69"/>
      <c r="H275" s="70"/>
      <c r="I275" s="70"/>
      <c r="J275" s="71"/>
      <c r="K275" s="72"/>
      <c r="L275" s="70"/>
      <c r="M275" s="70"/>
      <c r="N275" s="82"/>
      <c r="O275" s="70"/>
      <c r="P275" s="70"/>
      <c r="Q275" s="70"/>
      <c r="R275" s="71"/>
      <c r="S275" s="72"/>
      <c r="T275" s="70"/>
      <c r="U275" s="70"/>
      <c r="V275" s="71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</row>
    <row r="276">
      <c r="A276" s="70"/>
      <c r="B276" s="70"/>
      <c r="C276" s="70"/>
      <c r="D276" s="71"/>
      <c r="E276" s="72"/>
      <c r="F276" s="70"/>
      <c r="G276" s="69"/>
      <c r="H276" s="70"/>
      <c r="I276" s="70"/>
      <c r="J276" s="71"/>
      <c r="K276" s="72"/>
      <c r="L276" s="70"/>
      <c r="M276" s="70"/>
      <c r="N276" s="82"/>
      <c r="O276" s="70"/>
      <c r="P276" s="70"/>
      <c r="Q276" s="70"/>
      <c r="R276" s="71"/>
      <c r="S276" s="72"/>
      <c r="T276" s="70"/>
      <c r="U276" s="70"/>
      <c r="V276" s="71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</row>
    <row r="277">
      <c r="A277" s="70"/>
      <c r="B277" s="70"/>
      <c r="C277" s="70"/>
      <c r="D277" s="71"/>
      <c r="E277" s="72"/>
      <c r="F277" s="70"/>
      <c r="G277" s="69"/>
      <c r="H277" s="70"/>
      <c r="I277" s="70"/>
      <c r="J277" s="71"/>
      <c r="K277" s="72"/>
      <c r="L277" s="70"/>
      <c r="M277" s="70"/>
      <c r="N277" s="82"/>
      <c r="O277" s="70"/>
      <c r="P277" s="70"/>
      <c r="Q277" s="70"/>
      <c r="R277" s="71"/>
      <c r="S277" s="72"/>
      <c r="T277" s="70"/>
      <c r="U277" s="70"/>
      <c r="V277" s="71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</row>
    <row r="278">
      <c r="A278" s="70"/>
      <c r="B278" s="70"/>
      <c r="C278" s="70"/>
      <c r="D278" s="71"/>
      <c r="E278" s="72"/>
      <c r="F278" s="70"/>
      <c r="G278" s="69"/>
      <c r="H278" s="70"/>
      <c r="I278" s="70"/>
      <c r="J278" s="71"/>
      <c r="K278" s="72"/>
      <c r="L278" s="70"/>
      <c r="M278" s="70"/>
      <c r="N278" s="82"/>
      <c r="O278" s="70"/>
      <c r="P278" s="70"/>
      <c r="Q278" s="70"/>
      <c r="R278" s="71"/>
      <c r="S278" s="72"/>
      <c r="T278" s="70"/>
      <c r="U278" s="70"/>
      <c r="V278" s="71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</row>
    <row r="279">
      <c r="A279" s="70"/>
      <c r="B279" s="70"/>
      <c r="C279" s="70"/>
      <c r="D279" s="71"/>
      <c r="E279" s="72"/>
      <c r="F279" s="70"/>
      <c r="G279" s="69"/>
      <c r="H279" s="70"/>
      <c r="I279" s="70"/>
      <c r="J279" s="71"/>
      <c r="K279" s="72"/>
      <c r="L279" s="70"/>
      <c r="M279" s="70"/>
      <c r="N279" s="82"/>
      <c r="O279" s="70"/>
      <c r="P279" s="70"/>
      <c r="Q279" s="70"/>
      <c r="R279" s="71"/>
      <c r="S279" s="72"/>
      <c r="T279" s="70"/>
      <c r="U279" s="70"/>
      <c r="V279" s="71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</row>
    <row r="280">
      <c r="A280" s="70"/>
      <c r="B280" s="70"/>
      <c r="C280" s="70"/>
      <c r="D280" s="71"/>
      <c r="E280" s="72"/>
      <c r="F280" s="70"/>
      <c r="G280" s="69"/>
      <c r="H280" s="70"/>
      <c r="I280" s="70"/>
      <c r="J280" s="71"/>
      <c r="K280" s="72"/>
      <c r="L280" s="70"/>
      <c r="M280" s="70"/>
      <c r="N280" s="82"/>
      <c r="O280" s="70"/>
      <c r="P280" s="70"/>
      <c r="Q280" s="70"/>
      <c r="R280" s="71"/>
      <c r="S280" s="72"/>
      <c r="T280" s="70"/>
      <c r="U280" s="70"/>
      <c r="V280" s="71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</row>
    <row r="281">
      <c r="A281" s="70"/>
      <c r="B281" s="70"/>
      <c r="C281" s="70"/>
      <c r="D281" s="71"/>
      <c r="E281" s="72"/>
      <c r="F281" s="70"/>
      <c r="G281" s="69"/>
      <c r="H281" s="70"/>
      <c r="I281" s="70"/>
      <c r="J281" s="71"/>
      <c r="K281" s="72"/>
      <c r="L281" s="70"/>
      <c r="M281" s="70"/>
      <c r="N281" s="82"/>
      <c r="O281" s="70"/>
      <c r="P281" s="70"/>
      <c r="Q281" s="70"/>
      <c r="R281" s="71"/>
      <c r="S281" s="72"/>
      <c r="T281" s="70"/>
      <c r="U281" s="70"/>
      <c r="V281" s="71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</row>
    <row r="282">
      <c r="A282" s="70"/>
      <c r="B282" s="70"/>
      <c r="C282" s="70"/>
      <c r="D282" s="71"/>
      <c r="E282" s="72"/>
      <c r="F282" s="70"/>
      <c r="G282" s="69"/>
      <c r="H282" s="70"/>
      <c r="I282" s="70"/>
      <c r="J282" s="71"/>
      <c r="K282" s="72"/>
      <c r="L282" s="70"/>
      <c r="M282" s="70"/>
      <c r="N282" s="82"/>
      <c r="O282" s="70"/>
      <c r="P282" s="70"/>
      <c r="Q282" s="70"/>
      <c r="R282" s="71"/>
      <c r="S282" s="72"/>
      <c r="T282" s="70"/>
      <c r="U282" s="70"/>
      <c r="V282" s="71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</row>
    <row r="283">
      <c r="A283" s="70"/>
      <c r="B283" s="70"/>
      <c r="C283" s="70"/>
      <c r="D283" s="71"/>
      <c r="E283" s="72"/>
      <c r="F283" s="70"/>
      <c r="G283" s="69"/>
      <c r="H283" s="70"/>
      <c r="I283" s="70"/>
      <c r="J283" s="71"/>
      <c r="K283" s="72"/>
      <c r="L283" s="70"/>
      <c r="M283" s="70"/>
      <c r="N283" s="82"/>
      <c r="O283" s="70"/>
      <c r="P283" s="70"/>
      <c r="Q283" s="70"/>
      <c r="R283" s="71"/>
      <c r="S283" s="72"/>
      <c r="T283" s="70"/>
      <c r="U283" s="70"/>
      <c r="V283" s="71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</row>
    <row r="284">
      <c r="A284" s="70"/>
      <c r="B284" s="70"/>
      <c r="C284" s="70"/>
      <c r="D284" s="71"/>
      <c r="E284" s="72"/>
      <c r="F284" s="70"/>
      <c r="G284" s="69"/>
      <c r="H284" s="70"/>
      <c r="I284" s="70"/>
      <c r="J284" s="71"/>
      <c r="K284" s="72"/>
      <c r="L284" s="70"/>
      <c r="M284" s="70"/>
      <c r="N284" s="82"/>
      <c r="O284" s="70"/>
      <c r="P284" s="70"/>
      <c r="Q284" s="70"/>
      <c r="R284" s="71"/>
      <c r="S284" s="72"/>
      <c r="T284" s="70"/>
      <c r="U284" s="70"/>
      <c r="V284" s="71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</row>
    <row r="285">
      <c r="A285" s="70"/>
      <c r="B285" s="70"/>
      <c r="C285" s="70"/>
      <c r="D285" s="71"/>
      <c r="E285" s="72"/>
      <c r="F285" s="70"/>
      <c r="G285" s="69"/>
      <c r="H285" s="70"/>
      <c r="I285" s="70"/>
      <c r="J285" s="71"/>
      <c r="K285" s="72"/>
      <c r="L285" s="70"/>
      <c r="M285" s="70"/>
      <c r="N285" s="82"/>
      <c r="O285" s="70"/>
      <c r="P285" s="70"/>
      <c r="Q285" s="70"/>
      <c r="R285" s="71"/>
      <c r="S285" s="72"/>
      <c r="T285" s="70"/>
      <c r="U285" s="70"/>
      <c r="V285" s="71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</row>
    <row r="286">
      <c r="A286" s="70"/>
      <c r="B286" s="70"/>
      <c r="C286" s="70"/>
      <c r="D286" s="71"/>
      <c r="E286" s="72"/>
      <c r="F286" s="70"/>
      <c r="G286" s="69"/>
      <c r="H286" s="70"/>
      <c r="I286" s="70"/>
      <c r="J286" s="71"/>
      <c r="K286" s="72"/>
      <c r="L286" s="70"/>
      <c r="M286" s="70"/>
      <c r="N286" s="82"/>
      <c r="O286" s="70"/>
      <c r="P286" s="70"/>
      <c r="Q286" s="70"/>
      <c r="R286" s="71"/>
      <c r="S286" s="72"/>
      <c r="T286" s="70"/>
      <c r="U286" s="70"/>
      <c r="V286" s="71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</row>
    <row r="287">
      <c r="A287" s="70"/>
      <c r="B287" s="70"/>
      <c r="C287" s="70"/>
      <c r="D287" s="71"/>
      <c r="E287" s="72"/>
      <c r="F287" s="70"/>
      <c r="G287" s="69"/>
      <c r="H287" s="70"/>
      <c r="I287" s="70"/>
      <c r="J287" s="71"/>
      <c r="K287" s="72"/>
      <c r="L287" s="70"/>
      <c r="M287" s="70"/>
      <c r="N287" s="82"/>
      <c r="O287" s="70"/>
      <c r="P287" s="70"/>
      <c r="Q287" s="70"/>
      <c r="R287" s="71"/>
      <c r="S287" s="72"/>
      <c r="T287" s="70"/>
      <c r="U287" s="70"/>
      <c r="V287" s="71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</row>
    <row r="288">
      <c r="A288" s="70"/>
      <c r="B288" s="70"/>
      <c r="C288" s="70"/>
      <c r="D288" s="71"/>
      <c r="E288" s="72"/>
      <c r="F288" s="70"/>
      <c r="G288" s="69"/>
      <c r="H288" s="70"/>
      <c r="I288" s="70"/>
      <c r="J288" s="71"/>
      <c r="K288" s="72"/>
      <c r="L288" s="70"/>
      <c r="M288" s="70"/>
      <c r="N288" s="82"/>
      <c r="O288" s="70"/>
      <c r="P288" s="70"/>
      <c r="Q288" s="70"/>
      <c r="R288" s="71"/>
      <c r="S288" s="72"/>
      <c r="T288" s="70"/>
      <c r="U288" s="70"/>
      <c r="V288" s="71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</row>
    <row r="289">
      <c r="A289" s="70"/>
      <c r="B289" s="70"/>
      <c r="C289" s="70"/>
      <c r="D289" s="71"/>
      <c r="E289" s="72"/>
      <c r="F289" s="70"/>
      <c r="G289" s="69"/>
      <c r="H289" s="70"/>
      <c r="I289" s="70"/>
      <c r="J289" s="71"/>
      <c r="K289" s="72"/>
      <c r="L289" s="70"/>
      <c r="M289" s="70"/>
      <c r="N289" s="82"/>
      <c r="O289" s="70"/>
      <c r="P289" s="70"/>
      <c r="Q289" s="70"/>
      <c r="R289" s="71"/>
      <c r="S289" s="72"/>
      <c r="T289" s="70"/>
      <c r="U289" s="70"/>
      <c r="V289" s="71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</row>
    <row r="290">
      <c r="A290" s="70"/>
      <c r="B290" s="70"/>
      <c r="C290" s="70"/>
      <c r="D290" s="71"/>
      <c r="E290" s="72"/>
      <c r="F290" s="70"/>
      <c r="G290" s="69"/>
      <c r="H290" s="70"/>
      <c r="I290" s="70"/>
      <c r="J290" s="71"/>
      <c r="K290" s="72"/>
      <c r="L290" s="70"/>
      <c r="M290" s="70"/>
      <c r="N290" s="82"/>
      <c r="O290" s="70"/>
      <c r="P290" s="70"/>
      <c r="Q290" s="70"/>
      <c r="R290" s="71"/>
      <c r="S290" s="72"/>
      <c r="T290" s="70"/>
      <c r="U290" s="70"/>
      <c r="V290" s="71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</row>
    <row r="291">
      <c r="A291" s="70"/>
      <c r="B291" s="70"/>
      <c r="C291" s="70"/>
      <c r="D291" s="71"/>
      <c r="E291" s="72"/>
      <c r="F291" s="70"/>
      <c r="G291" s="69"/>
      <c r="H291" s="70"/>
      <c r="I291" s="70"/>
      <c r="J291" s="71"/>
      <c r="K291" s="72"/>
      <c r="L291" s="70"/>
      <c r="M291" s="70"/>
      <c r="N291" s="82"/>
      <c r="O291" s="70"/>
      <c r="P291" s="70"/>
      <c r="Q291" s="70"/>
      <c r="R291" s="71"/>
      <c r="S291" s="72"/>
      <c r="T291" s="70"/>
      <c r="U291" s="70"/>
      <c r="V291" s="71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</row>
    <row r="292">
      <c r="A292" s="70"/>
      <c r="B292" s="70"/>
      <c r="C292" s="70"/>
      <c r="D292" s="71"/>
      <c r="E292" s="72"/>
      <c r="F292" s="70"/>
      <c r="G292" s="69"/>
      <c r="H292" s="70"/>
      <c r="I292" s="70"/>
      <c r="J292" s="71"/>
      <c r="K292" s="72"/>
      <c r="L292" s="70"/>
      <c r="M292" s="70"/>
      <c r="N292" s="82"/>
      <c r="O292" s="70"/>
      <c r="P292" s="70"/>
      <c r="Q292" s="70"/>
      <c r="R292" s="71"/>
      <c r="S292" s="72"/>
      <c r="T292" s="70"/>
      <c r="U292" s="70"/>
      <c r="V292" s="71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</row>
    <row r="293">
      <c r="A293" s="70"/>
      <c r="B293" s="70"/>
      <c r="C293" s="70"/>
      <c r="D293" s="71"/>
      <c r="E293" s="72"/>
      <c r="F293" s="70"/>
      <c r="G293" s="69"/>
      <c r="H293" s="70"/>
      <c r="I293" s="70"/>
      <c r="J293" s="71"/>
      <c r="K293" s="72"/>
      <c r="L293" s="70"/>
      <c r="M293" s="70"/>
      <c r="N293" s="82"/>
      <c r="O293" s="70"/>
      <c r="P293" s="70"/>
      <c r="Q293" s="70"/>
      <c r="R293" s="71"/>
      <c r="S293" s="72"/>
      <c r="T293" s="70"/>
      <c r="U293" s="70"/>
      <c r="V293" s="71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</row>
    <row r="294">
      <c r="A294" s="70"/>
      <c r="B294" s="70"/>
      <c r="C294" s="70"/>
      <c r="D294" s="71"/>
      <c r="E294" s="72"/>
      <c r="F294" s="70"/>
      <c r="G294" s="69"/>
      <c r="H294" s="70"/>
      <c r="I294" s="70"/>
      <c r="J294" s="71"/>
      <c r="K294" s="72"/>
      <c r="L294" s="70"/>
      <c r="M294" s="70"/>
      <c r="N294" s="82"/>
      <c r="O294" s="70"/>
      <c r="P294" s="70"/>
      <c r="Q294" s="70"/>
      <c r="R294" s="71"/>
      <c r="S294" s="72"/>
      <c r="T294" s="70"/>
      <c r="U294" s="70"/>
      <c r="V294" s="71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</row>
    <row r="295">
      <c r="A295" s="70"/>
      <c r="B295" s="70"/>
      <c r="C295" s="70"/>
      <c r="D295" s="71"/>
      <c r="E295" s="72"/>
      <c r="F295" s="70"/>
      <c r="G295" s="69"/>
      <c r="H295" s="70"/>
      <c r="I295" s="70"/>
      <c r="J295" s="71"/>
      <c r="K295" s="72"/>
      <c r="L295" s="70"/>
      <c r="M295" s="70"/>
      <c r="N295" s="82"/>
      <c r="O295" s="70"/>
      <c r="P295" s="70"/>
      <c r="Q295" s="70"/>
      <c r="R295" s="71"/>
      <c r="S295" s="72"/>
      <c r="T295" s="70"/>
      <c r="U295" s="70"/>
      <c r="V295" s="71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</row>
    <row r="296">
      <c r="A296" s="70"/>
      <c r="B296" s="70"/>
      <c r="C296" s="70"/>
      <c r="D296" s="71"/>
      <c r="E296" s="72"/>
      <c r="F296" s="70"/>
      <c r="G296" s="69"/>
      <c r="H296" s="70"/>
      <c r="I296" s="70"/>
      <c r="J296" s="71"/>
      <c r="K296" s="72"/>
      <c r="L296" s="70"/>
      <c r="M296" s="70"/>
      <c r="N296" s="82"/>
      <c r="O296" s="70"/>
      <c r="P296" s="70"/>
      <c r="Q296" s="70"/>
      <c r="R296" s="71"/>
      <c r="S296" s="72"/>
      <c r="T296" s="70"/>
      <c r="U296" s="70"/>
      <c r="V296" s="71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</row>
    <row r="297">
      <c r="A297" s="70"/>
      <c r="B297" s="70"/>
      <c r="C297" s="70"/>
      <c r="D297" s="71"/>
      <c r="E297" s="72"/>
      <c r="F297" s="70"/>
      <c r="G297" s="69"/>
      <c r="H297" s="70"/>
      <c r="I297" s="70"/>
      <c r="J297" s="71"/>
      <c r="K297" s="72"/>
      <c r="L297" s="70"/>
      <c r="M297" s="70"/>
      <c r="N297" s="82"/>
      <c r="O297" s="70"/>
      <c r="P297" s="70"/>
      <c r="Q297" s="70"/>
      <c r="R297" s="71"/>
      <c r="S297" s="72"/>
      <c r="T297" s="70"/>
      <c r="U297" s="70"/>
      <c r="V297" s="71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</row>
    <row r="298">
      <c r="A298" s="70"/>
      <c r="B298" s="70"/>
      <c r="C298" s="70"/>
      <c r="D298" s="71"/>
      <c r="E298" s="72"/>
      <c r="F298" s="70"/>
      <c r="G298" s="69"/>
      <c r="H298" s="70"/>
      <c r="I298" s="70"/>
      <c r="J298" s="71"/>
      <c r="K298" s="72"/>
      <c r="L298" s="70"/>
      <c r="M298" s="70"/>
      <c r="N298" s="82"/>
      <c r="O298" s="70"/>
      <c r="P298" s="70"/>
      <c r="Q298" s="70"/>
      <c r="R298" s="71"/>
      <c r="S298" s="72"/>
      <c r="T298" s="70"/>
      <c r="U298" s="70"/>
      <c r="V298" s="71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</row>
    <row r="299">
      <c r="A299" s="70"/>
      <c r="B299" s="70"/>
      <c r="C299" s="70"/>
      <c r="D299" s="71"/>
      <c r="E299" s="72"/>
      <c r="F299" s="70"/>
      <c r="G299" s="69"/>
      <c r="H299" s="70"/>
      <c r="I299" s="70"/>
      <c r="J299" s="71"/>
      <c r="K299" s="72"/>
      <c r="L299" s="70"/>
      <c r="M299" s="70"/>
      <c r="N299" s="82"/>
      <c r="O299" s="70"/>
      <c r="P299" s="70"/>
      <c r="Q299" s="70"/>
      <c r="R299" s="71"/>
      <c r="S299" s="72"/>
      <c r="T299" s="70"/>
      <c r="U299" s="70"/>
      <c r="V299" s="71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</row>
    <row r="300">
      <c r="A300" s="70"/>
      <c r="B300" s="70"/>
      <c r="C300" s="70"/>
      <c r="D300" s="71"/>
      <c r="E300" s="72"/>
      <c r="F300" s="70"/>
      <c r="G300" s="69"/>
      <c r="H300" s="70"/>
      <c r="I300" s="70"/>
      <c r="J300" s="71"/>
      <c r="K300" s="72"/>
      <c r="L300" s="70"/>
      <c r="M300" s="70"/>
      <c r="N300" s="82"/>
      <c r="O300" s="70"/>
      <c r="P300" s="70"/>
      <c r="Q300" s="70"/>
      <c r="R300" s="71"/>
      <c r="S300" s="72"/>
      <c r="T300" s="70"/>
      <c r="U300" s="70"/>
      <c r="V300" s="71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</row>
    <row r="301">
      <c r="A301" s="70"/>
      <c r="B301" s="70"/>
      <c r="C301" s="70"/>
      <c r="D301" s="71"/>
      <c r="E301" s="72"/>
      <c r="F301" s="70"/>
      <c r="G301" s="69"/>
      <c r="H301" s="70"/>
      <c r="I301" s="70"/>
      <c r="J301" s="71"/>
      <c r="K301" s="72"/>
      <c r="L301" s="70"/>
      <c r="M301" s="70"/>
      <c r="N301" s="82"/>
      <c r="O301" s="70"/>
      <c r="P301" s="70"/>
      <c r="Q301" s="70"/>
      <c r="R301" s="71"/>
      <c r="S301" s="72"/>
      <c r="T301" s="70"/>
      <c r="U301" s="70"/>
      <c r="V301" s="71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</row>
    <row r="302">
      <c r="A302" s="70"/>
      <c r="B302" s="70"/>
      <c r="C302" s="70"/>
      <c r="D302" s="71"/>
      <c r="E302" s="72"/>
      <c r="F302" s="70"/>
      <c r="G302" s="69"/>
      <c r="H302" s="70"/>
      <c r="I302" s="70"/>
      <c r="J302" s="71"/>
      <c r="K302" s="72"/>
      <c r="L302" s="70"/>
      <c r="M302" s="70"/>
      <c r="N302" s="82"/>
      <c r="O302" s="70"/>
      <c r="P302" s="70"/>
      <c r="Q302" s="70"/>
      <c r="R302" s="71"/>
      <c r="S302" s="72"/>
      <c r="T302" s="70"/>
      <c r="U302" s="70"/>
      <c r="V302" s="71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</row>
    <row r="303">
      <c r="A303" s="70"/>
      <c r="B303" s="70"/>
      <c r="C303" s="70"/>
      <c r="D303" s="71"/>
      <c r="E303" s="72"/>
      <c r="F303" s="70"/>
      <c r="G303" s="69"/>
      <c r="H303" s="70"/>
      <c r="I303" s="70"/>
      <c r="J303" s="71"/>
      <c r="K303" s="72"/>
      <c r="L303" s="70"/>
      <c r="M303" s="70"/>
      <c r="N303" s="82"/>
      <c r="O303" s="70"/>
      <c r="P303" s="70"/>
      <c r="Q303" s="70"/>
      <c r="R303" s="71"/>
      <c r="S303" s="72"/>
      <c r="T303" s="70"/>
      <c r="U303" s="70"/>
      <c r="V303" s="71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</row>
    <row r="304">
      <c r="A304" s="70"/>
      <c r="B304" s="70"/>
      <c r="C304" s="70"/>
      <c r="D304" s="71"/>
      <c r="E304" s="72"/>
      <c r="F304" s="70"/>
      <c r="G304" s="69"/>
      <c r="H304" s="70"/>
      <c r="I304" s="70"/>
      <c r="J304" s="71"/>
      <c r="K304" s="72"/>
      <c r="L304" s="70"/>
      <c r="M304" s="70"/>
      <c r="N304" s="82"/>
      <c r="O304" s="70"/>
      <c r="P304" s="70"/>
      <c r="Q304" s="70"/>
      <c r="R304" s="71"/>
      <c r="S304" s="72"/>
      <c r="T304" s="70"/>
      <c r="U304" s="70"/>
      <c r="V304" s="71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</row>
    <row r="305">
      <c r="A305" s="70"/>
      <c r="B305" s="70"/>
      <c r="C305" s="70"/>
      <c r="D305" s="71"/>
      <c r="E305" s="72"/>
      <c r="F305" s="70"/>
      <c r="G305" s="69"/>
      <c r="H305" s="70"/>
      <c r="I305" s="70"/>
      <c r="J305" s="71"/>
      <c r="K305" s="72"/>
      <c r="L305" s="70"/>
      <c r="M305" s="70"/>
      <c r="N305" s="82"/>
      <c r="O305" s="70"/>
      <c r="P305" s="70"/>
      <c r="Q305" s="70"/>
      <c r="R305" s="71"/>
      <c r="S305" s="72"/>
      <c r="T305" s="70"/>
      <c r="U305" s="70"/>
      <c r="V305" s="71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</row>
    <row r="306">
      <c r="A306" s="70"/>
      <c r="B306" s="70"/>
      <c r="C306" s="70"/>
      <c r="D306" s="71"/>
      <c r="E306" s="72"/>
      <c r="F306" s="70"/>
      <c r="G306" s="69"/>
      <c r="H306" s="70"/>
      <c r="I306" s="70"/>
      <c r="J306" s="71"/>
      <c r="K306" s="72"/>
      <c r="L306" s="70"/>
      <c r="M306" s="70"/>
      <c r="N306" s="82"/>
      <c r="O306" s="70"/>
      <c r="P306" s="70"/>
      <c r="Q306" s="70"/>
      <c r="R306" s="71"/>
      <c r="S306" s="72"/>
      <c r="T306" s="70"/>
      <c r="U306" s="70"/>
      <c r="V306" s="71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</row>
    <row r="307">
      <c r="A307" s="70"/>
      <c r="B307" s="70"/>
      <c r="C307" s="70"/>
      <c r="D307" s="71"/>
      <c r="E307" s="72"/>
      <c r="F307" s="70"/>
      <c r="G307" s="69"/>
      <c r="H307" s="70"/>
      <c r="I307" s="70"/>
      <c r="J307" s="71"/>
      <c r="K307" s="72"/>
      <c r="L307" s="70"/>
      <c r="M307" s="70"/>
      <c r="N307" s="82"/>
      <c r="O307" s="70"/>
      <c r="P307" s="70"/>
      <c r="Q307" s="70"/>
      <c r="R307" s="71"/>
      <c r="S307" s="72"/>
      <c r="T307" s="70"/>
      <c r="U307" s="70"/>
      <c r="V307" s="71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</row>
    <row r="308">
      <c r="A308" s="70"/>
      <c r="B308" s="70"/>
      <c r="C308" s="70"/>
      <c r="D308" s="71"/>
      <c r="E308" s="72"/>
      <c r="F308" s="70"/>
      <c r="G308" s="69"/>
      <c r="H308" s="70"/>
      <c r="I308" s="70"/>
      <c r="J308" s="71"/>
      <c r="K308" s="72"/>
      <c r="L308" s="70"/>
      <c r="M308" s="70"/>
      <c r="N308" s="82"/>
      <c r="O308" s="70"/>
      <c r="P308" s="70"/>
      <c r="Q308" s="70"/>
      <c r="R308" s="71"/>
      <c r="S308" s="72"/>
      <c r="T308" s="70"/>
      <c r="U308" s="70"/>
      <c r="V308" s="71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</row>
    <row r="309">
      <c r="A309" s="70"/>
      <c r="B309" s="70"/>
      <c r="C309" s="70"/>
      <c r="D309" s="71"/>
      <c r="E309" s="72"/>
      <c r="F309" s="70"/>
      <c r="G309" s="69"/>
      <c r="H309" s="70"/>
      <c r="I309" s="70"/>
      <c r="J309" s="71"/>
      <c r="K309" s="72"/>
      <c r="L309" s="70"/>
      <c r="M309" s="70"/>
      <c r="N309" s="82"/>
      <c r="O309" s="70"/>
      <c r="P309" s="70"/>
      <c r="Q309" s="70"/>
      <c r="R309" s="71"/>
      <c r="S309" s="72"/>
      <c r="T309" s="70"/>
      <c r="U309" s="70"/>
      <c r="V309" s="71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</row>
    <row r="310">
      <c r="A310" s="70"/>
      <c r="B310" s="70"/>
      <c r="C310" s="70"/>
      <c r="D310" s="71"/>
      <c r="E310" s="72"/>
      <c r="F310" s="70"/>
      <c r="G310" s="69"/>
      <c r="H310" s="70"/>
      <c r="I310" s="70"/>
      <c r="J310" s="71"/>
      <c r="K310" s="72"/>
      <c r="L310" s="70"/>
      <c r="M310" s="70"/>
      <c r="N310" s="82"/>
      <c r="O310" s="70"/>
      <c r="P310" s="70"/>
      <c r="Q310" s="70"/>
      <c r="R310" s="71"/>
      <c r="S310" s="72"/>
      <c r="T310" s="70"/>
      <c r="U310" s="70"/>
      <c r="V310" s="71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</row>
    <row r="311">
      <c r="A311" s="70"/>
      <c r="B311" s="70"/>
      <c r="C311" s="70"/>
      <c r="D311" s="71"/>
      <c r="E311" s="72"/>
      <c r="F311" s="70"/>
      <c r="G311" s="69"/>
      <c r="H311" s="70"/>
      <c r="I311" s="70"/>
      <c r="J311" s="71"/>
      <c r="K311" s="72"/>
      <c r="L311" s="70"/>
      <c r="M311" s="70"/>
      <c r="N311" s="82"/>
      <c r="O311" s="70"/>
      <c r="P311" s="70"/>
      <c r="Q311" s="70"/>
      <c r="R311" s="71"/>
      <c r="S311" s="72"/>
      <c r="T311" s="70"/>
      <c r="U311" s="70"/>
      <c r="V311" s="71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</row>
    <row r="312">
      <c r="A312" s="70"/>
      <c r="B312" s="70"/>
      <c r="C312" s="70"/>
      <c r="D312" s="71"/>
      <c r="E312" s="72"/>
      <c r="F312" s="70"/>
      <c r="G312" s="69"/>
      <c r="H312" s="70"/>
      <c r="I312" s="70"/>
      <c r="J312" s="71"/>
      <c r="K312" s="72"/>
      <c r="L312" s="70"/>
      <c r="M312" s="70"/>
      <c r="N312" s="82"/>
      <c r="O312" s="70"/>
      <c r="P312" s="70"/>
      <c r="Q312" s="70"/>
      <c r="R312" s="71"/>
      <c r="S312" s="72"/>
      <c r="T312" s="70"/>
      <c r="U312" s="70"/>
      <c r="V312" s="71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</row>
    <row r="313">
      <c r="A313" s="70"/>
      <c r="B313" s="70"/>
      <c r="C313" s="70"/>
      <c r="D313" s="71"/>
      <c r="E313" s="72"/>
      <c r="F313" s="70"/>
      <c r="G313" s="69"/>
      <c r="H313" s="70"/>
      <c r="I313" s="70"/>
      <c r="J313" s="71"/>
      <c r="K313" s="72"/>
      <c r="L313" s="70"/>
      <c r="M313" s="70"/>
      <c r="N313" s="82"/>
      <c r="O313" s="70"/>
      <c r="P313" s="70"/>
      <c r="Q313" s="70"/>
      <c r="R313" s="71"/>
      <c r="S313" s="72"/>
      <c r="T313" s="70"/>
      <c r="U313" s="70"/>
      <c r="V313" s="71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</row>
    <row r="314">
      <c r="A314" s="70"/>
      <c r="B314" s="70"/>
      <c r="C314" s="70"/>
      <c r="D314" s="71"/>
      <c r="E314" s="72"/>
      <c r="F314" s="70"/>
      <c r="G314" s="69"/>
      <c r="H314" s="70"/>
      <c r="I314" s="70"/>
      <c r="J314" s="71"/>
      <c r="K314" s="72"/>
      <c r="L314" s="70"/>
      <c r="M314" s="70"/>
      <c r="N314" s="82"/>
      <c r="O314" s="70"/>
      <c r="P314" s="70"/>
      <c r="Q314" s="70"/>
      <c r="R314" s="71"/>
      <c r="S314" s="72"/>
      <c r="T314" s="70"/>
      <c r="U314" s="70"/>
      <c r="V314" s="71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</row>
    <row r="315">
      <c r="A315" s="70"/>
      <c r="B315" s="70"/>
      <c r="C315" s="70"/>
      <c r="D315" s="71"/>
      <c r="E315" s="72"/>
      <c r="F315" s="70"/>
      <c r="G315" s="69"/>
      <c r="H315" s="70"/>
      <c r="I315" s="70"/>
      <c r="J315" s="71"/>
      <c r="K315" s="72"/>
      <c r="L315" s="70"/>
      <c r="M315" s="70"/>
      <c r="N315" s="82"/>
      <c r="O315" s="70"/>
      <c r="P315" s="70"/>
      <c r="Q315" s="70"/>
      <c r="R315" s="71"/>
      <c r="S315" s="72"/>
      <c r="T315" s="70"/>
      <c r="U315" s="70"/>
      <c r="V315" s="71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</row>
    <row r="316">
      <c r="A316" s="70"/>
      <c r="B316" s="70"/>
      <c r="C316" s="70"/>
      <c r="D316" s="71"/>
      <c r="E316" s="72"/>
      <c r="F316" s="70"/>
      <c r="G316" s="69"/>
      <c r="H316" s="70"/>
      <c r="I316" s="70"/>
      <c r="J316" s="71"/>
      <c r="K316" s="72"/>
      <c r="L316" s="70"/>
      <c r="M316" s="70"/>
      <c r="N316" s="82"/>
      <c r="O316" s="70"/>
      <c r="P316" s="70"/>
      <c r="Q316" s="70"/>
      <c r="R316" s="71"/>
      <c r="S316" s="72"/>
      <c r="T316" s="70"/>
      <c r="U316" s="70"/>
      <c r="V316" s="71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</row>
    <row r="317">
      <c r="A317" s="70"/>
      <c r="B317" s="70"/>
      <c r="C317" s="70"/>
      <c r="D317" s="71"/>
      <c r="E317" s="72"/>
      <c r="F317" s="70"/>
      <c r="G317" s="69"/>
      <c r="H317" s="70"/>
      <c r="I317" s="70"/>
      <c r="J317" s="71"/>
      <c r="K317" s="72"/>
      <c r="L317" s="70"/>
      <c r="M317" s="70"/>
      <c r="N317" s="82"/>
      <c r="O317" s="70"/>
      <c r="P317" s="70"/>
      <c r="Q317" s="70"/>
      <c r="R317" s="71"/>
      <c r="S317" s="72"/>
      <c r="T317" s="70"/>
      <c r="U317" s="70"/>
      <c r="V317" s="71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</row>
    <row r="318">
      <c r="A318" s="70"/>
      <c r="B318" s="70"/>
      <c r="C318" s="70"/>
      <c r="D318" s="71"/>
      <c r="E318" s="72"/>
      <c r="F318" s="70"/>
      <c r="G318" s="69"/>
      <c r="H318" s="70"/>
      <c r="I318" s="70"/>
      <c r="J318" s="71"/>
      <c r="K318" s="72"/>
      <c r="L318" s="70"/>
      <c r="M318" s="70"/>
      <c r="N318" s="82"/>
      <c r="O318" s="70"/>
      <c r="P318" s="70"/>
      <c r="Q318" s="70"/>
      <c r="R318" s="71"/>
      <c r="S318" s="72"/>
      <c r="T318" s="70"/>
      <c r="U318" s="70"/>
      <c r="V318" s="71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</row>
    <row r="319">
      <c r="A319" s="70"/>
      <c r="B319" s="70"/>
      <c r="C319" s="70"/>
      <c r="D319" s="71"/>
      <c r="E319" s="72"/>
      <c r="F319" s="70"/>
      <c r="G319" s="69"/>
      <c r="H319" s="70"/>
      <c r="I319" s="70"/>
      <c r="J319" s="71"/>
      <c r="K319" s="72"/>
      <c r="L319" s="70"/>
      <c r="M319" s="70"/>
      <c r="N319" s="82"/>
      <c r="O319" s="70"/>
      <c r="P319" s="70"/>
      <c r="Q319" s="70"/>
      <c r="R319" s="71"/>
      <c r="S319" s="72"/>
      <c r="T319" s="70"/>
      <c r="U319" s="70"/>
      <c r="V319" s="71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</row>
    <row r="320">
      <c r="A320" s="70"/>
      <c r="B320" s="70"/>
      <c r="C320" s="70"/>
      <c r="D320" s="71"/>
      <c r="E320" s="72"/>
      <c r="F320" s="70"/>
      <c r="G320" s="69"/>
      <c r="H320" s="70"/>
      <c r="I320" s="70"/>
      <c r="J320" s="71"/>
      <c r="K320" s="72"/>
      <c r="L320" s="70"/>
      <c r="M320" s="70"/>
      <c r="N320" s="82"/>
      <c r="O320" s="70"/>
      <c r="P320" s="70"/>
      <c r="Q320" s="70"/>
      <c r="R320" s="71"/>
      <c r="S320" s="72"/>
      <c r="T320" s="70"/>
      <c r="U320" s="70"/>
      <c r="V320" s="71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</row>
    <row r="321">
      <c r="A321" s="70"/>
      <c r="B321" s="70"/>
      <c r="C321" s="70"/>
      <c r="D321" s="71"/>
      <c r="E321" s="72"/>
      <c r="F321" s="70"/>
      <c r="G321" s="69"/>
      <c r="H321" s="70"/>
      <c r="I321" s="70"/>
      <c r="J321" s="71"/>
      <c r="K321" s="72"/>
      <c r="L321" s="70"/>
      <c r="M321" s="70"/>
      <c r="N321" s="82"/>
      <c r="O321" s="70"/>
      <c r="P321" s="70"/>
      <c r="Q321" s="70"/>
      <c r="R321" s="71"/>
      <c r="S321" s="72"/>
      <c r="T321" s="70"/>
      <c r="U321" s="70"/>
      <c r="V321" s="71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</row>
    <row r="322">
      <c r="A322" s="70"/>
      <c r="B322" s="70"/>
      <c r="C322" s="70"/>
      <c r="D322" s="71"/>
      <c r="E322" s="72"/>
      <c r="F322" s="70"/>
      <c r="G322" s="69"/>
      <c r="H322" s="70"/>
      <c r="I322" s="70"/>
      <c r="J322" s="71"/>
      <c r="K322" s="72"/>
      <c r="L322" s="70"/>
      <c r="M322" s="70"/>
      <c r="N322" s="82"/>
      <c r="O322" s="70"/>
      <c r="P322" s="70"/>
      <c r="Q322" s="70"/>
      <c r="R322" s="71"/>
      <c r="S322" s="72"/>
      <c r="T322" s="70"/>
      <c r="U322" s="70"/>
      <c r="V322" s="71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</row>
    <row r="323">
      <c r="A323" s="70"/>
      <c r="B323" s="70"/>
      <c r="C323" s="70"/>
      <c r="D323" s="71"/>
      <c r="E323" s="72"/>
      <c r="F323" s="70"/>
      <c r="G323" s="69"/>
      <c r="H323" s="70"/>
      <c r="I323" s="70"/>
      <c r="J323" s="71"/>
      <c r="K323" s="72"/>
      <c r="L323" s="70"/>
      <c r="M323" s="70"/>
      <c r="N323" s="82"/>
      <c r="O323" s="70"/>
      <c r="P323" s="70"/>
      <c r="Q323" s="70"/>
      <c r="R323" s="71"/>
      <c r="S323" s="72"/>
      <c r="T323" s="70"/>
      <c r="U323" s="70"/>
      <c r="V323" s="71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</row>
    <row r="324">
      <c r="A324" s="70"/>
      <c r="B324" s="70"/>
      <c r="C324" s="70"/>
      <c r="D324" s="71"/>
      <c r="E324" s="72"/>
      <c r="F324" s="70"/>
      <c r="G324" s="69"/>
      <c r="H324" s="70"/>
      <c r="I324" s="70"/>
      <c r="J324" s="71"/>
      <c r="K324" s="72"/>
      <c r="L324" s="70"/>
      <c r="M324" s="70"/>
      <c r="N324" s="82"/>
      <c r="O324" s="70"/>
      <c r="P324" s="70"/>
      <c r="Q324" s="70"/>
      <c r="R324" s="71"/>
      <c r="S324" s="72"/>
      <c r="T324" s="70"/>
      <c r="U324" s="70"/>
      <c r="V324" s="71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</row>
    <row r="325">
      <c r="A325" s="70"/>
      <c r="B325" s="70"/>
      <c r="C325" s="70"/>
      <c r="D325" s="71"/>
      <c r="E325" s="72"/>
      <c r="F325" s="70"/>
      <c r="G325" s="69"/>
      <c r="H325" s="70"/>
      <c r="I325" s="70"/>
      <c r="J325" s="71"/>
      <c r="K325" s="72"/>
      <c r="L325" s="70"/>
      <c r="M325" s="70"/>
      <c r="N325" s="82"/>
      <c r="O325" s="70"/>
      <c r="P325" s="70"/>
      <c r="Q325" s="70"/>
      <c r="R325" s="71"/>
      <c r="S325" s="72"/>
      <c r="T325" s="70"/>
      <c r="U325" s="70"/>
      <c r="V325" s="71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</row>
    <row r="326">
      <c r="A326" s="70"/>
      <c r="B326" s="70"/>
      <c r="C326" s="70"/>
      <c r="D326" s="71"/>
      <c r="E326" s="72"/>
      <c r="F326" s="70"/>
      <c r="G326" s="69"/>
      <c r="H326" s="70"/>
      <c r="I326" s="70"/>
      <c r="J326" s="71"/>
      <c r="K326" s="72"/>
      <c r="L326" s="70"/>
      <c r="M326" s="70"/>
      <c r="N326" s="82"/>
      <c r="O326" s="70"/>
      <c r="P326" s="70"/>
      <c r="Q326" s="70"/>
      <c r="R326" s="71"/>
      <c r="S326" s="72"/>
      <c r="T326" s="70"/>
      <c r="U326" s="70"/>
      <c r="V326" s="71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</row>
    <row r="327">
      <c r="A327" s="70"/>
      <c r="B327" s="70"/>
      <c r="C327" s="70"/>
      <c r="D327" s="71"/>
      <c r="E327" s="72"/>
      <c r="F327" s="70"/>
      <c r="G327" s="69"/>
      <c r="H327" s="70"/>
      <c r="I327" s="70"/>
      <c r="J327" s="71"/>
      <c r="K327" s="72"/>
      <c r="L327" s="70"/>
      <c r="M327" s="70"/>
      <c r="N327" s="82"/>
      <c r="O327" s="70"/>
      <c r="P327" s="70"/>
      <c r="Q327" s="70"/>
      <c r="R327" s="71"/>
      <c r="S327" s="72"/>
      <c r="T327" s="70"/>
      <c r="U327" s="70"/>
      <c r="V327" s="71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</row>
    <row r="328">
      <c r="A328" s="70"/>
      <c r="B328" s="70"/>
      <c r="C328" s="70"/>
      <c r="D328" s="71"/>
      <c r="E328" s="72"/>
      <c r="F328" s="70"/>
      <c r="G328" s="69"/>
      <c r="H328" s="70"/>
      <c r="I328" s="70"/>
      <c r="J328" s="71"/>
      <c r="K328" s="72"/>
      <c r="L328" s="70"/>
      <c r="M328" s="70"/>
      <c r="N328" s="82"/>
      <c r="O328" s="70"/>
      <c r="P328" s="70"/>
      <c r="Q328" s="70"/>
      <c r="R328" s="71"/>
      <c r="S328" s="72"/>
      <c r="T328" s="70"/>
      <c r="U328" s="70"/>
      <c r="V328" s="71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</row>
    <row r="329">
      <c r="A329" s="70"/>
      <c r="B329" s="70"/>
      <c r="C329" s="70"/>
      <c r="D329" s="71"/>
      <c r="E329" s="72"/>
      <c r="F329" s="70"/>
      <c r="G329" s="69"/>
      <c r="H329" s="70"/>
      <c r="I329" s="70"/>
      <c r="J329" s="71"/>
      <c r="K329" s="72"/>
      <c r="L329" s="70"/>
      <c r="M329" s="70"/>
      <c r="N329" s="82"/>
      <c r="O329" s="70"/>
      <c r="P329" s="70"/>
      <c r="Q329" s="70"/>
      <c r="R329" s="71"/>
      <c r="S329" s="72"/>
      <c r="T329" s="70"/>
      <c r="U329" s="70"/>
      <c r="V329" s="71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</row>
    <row r="330">
      <c r="A330" s="70"/>
      <c r="B330" s="70"/>
      <c r="C330" s="70"/>
      <c r="D330" s="71"/>
      <c r="E330" s="72"/>
      <c r="F330" s="70"/>
      <c r="G330" s="69"/>
      <c r="H330" s="70"/>
      <c r="I330" s="70"/>
      <c r="J330" s="71"/>
      <c r="K330" s="72"/>
      <c r="L330" s="70"/>
      <c r="M330" s="70"/>
      <c r="N330" s="82"/>
      <c r="O330" s="70"/>
      <c r="P330" s="70"/>
      <c r="Q330" s="70"/>
      <c r="R330" s="71"/>
      <c r="S330" s="72"/>
      <c r="T330" s="70"/>
      <c r="U330" s="70"/>
      <c r="V330" s="71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</row>
    <row r="331">
      <c r="A331" s="70"/>
      <c r="B331" s="70"/>
      <c r="C331" s="70"/>
      <c r="D331" s="71"/>
      <c r="E331" s="72"/>
      <c r="F331" s="70"/>
      <c r="G331" s="69"/>
      <c r="H331" s="70"/>
      <c r="I331" s="70"/>
      <c r="J331" s="71"/>
      <c r="K331" s="72"/>
      <c r="L331" s="70"/>
      <c r="M331" s="70"/>
      <c r="N331" s="82"/>
      <c r="O331" s="70"/>
      <c r="P331" s="70"/>
      <c r="Q331" s="70"/>
      <c r="R331" s="71"/>
      <c r="S331" s="72"/>
      <c r="T331" s="70"/>
      <c r="U331" s="70"/>
      <c r="V331" s="71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</row>
    <row r="332">
      <c r="A332" s="70"/>
      <c r="B332" s="70"/>
      <c r="C332" s="70"/>
      <c r="D332" s="71"/>
      <c r="E332" s="72"/>
      <c r="F332" s="70"/>
      <c r="G332" s="69"/>
      <c r="H332" s="70"/>
      <c r="I332" s="70"/>
      <c r="J332" s="71"/>
      <c r="K332" s="72"/>
      <c r="L332" s="70"/>
      <c r="M332" s="70"/>
      <c r="N332" s="82"/>
      <c r="O332" s="70"/>
      <c r="P332" s="70"/>
      <c r="Q332" s="70"/>
      <c r="R332" s="71"/>
      <c r="S332" s="72"/>
      <c r="T332" s="70"/>
      <c r="U332" s="70"/>
      <c r="V332" s="71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</row>
    <row r="333">
      <c r="A333" s="70"/>
      <c r="B333" s="70"/>
      <c r="C333" s="70"/>
      <c r="D333" s="71"/>
      <c r="E333" s="72"/>
      <c r="F333" s="70"/>
      <c r="G333" s="69"/>
      <c r="H333" s="70"/>
      <c r="I333" s="70"/>
      <c r="J333" s="71"/>
      <c r="K333" s="72"/>
      <c r="L333" s="70"/>
      <c r="M333" s="70"/>
      <c r="N333" s="82"/>
      <c r="O333" s="70"/>
      <c r="P333" s="70"/>
      <c r="Q333" s="70"/>
      <c r="R333" s="71"/>
      <c r="S333" s="72"/>
      <c r="T333" s="70"/>
      <c r="U333" s="70"/>
      <c r="V333" s="71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</row>
    <row r="334">
      <c r="A334" s="70"/>
      <c r="B334" s="70"/>
      <c r="C334" s="70"/>
      <c r="D334" s="71"/>
      <c r="E334" s="72"/>
      <c r="F334" s="70"/>
      <c r="G334" s="69"/>
      <c r="H334" s="70"/>
      <c r="I334" s="70"/>
      <c r="J334" s="71"/>
      <c r="K334" s="72"/>
      <c r="L334" s="70"/>
      <c r="M334" s="70"/>
      <c r="N334" s="82"/>
      <c r="O334" s="70"/>
      <c r="P334" s="70"/>
      <c r="Q334" s="70"/>
      <c r="R334" s="71"/>
      <c r="S334" s="72"/>
      <c r="T334" s="70"/>
      <c r="U334" s="70"/>
      <c r="V334" s="71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</row>
    <row r="335">
      <c r="A335" s="70"/>
      <c r="B335" s="70"/>
      <c r="C335" s="70"/>
      <c r="D335" s="71"/>
      <c r="E335" s="72"/>
      <c r="F335" s="70"/>
      <c r="G335" s="69"/>
      <c r="H335" s="70"/>
      <c r="I335" s="70"/>
      <c r="J335" s="71"/>
      <c r="K335" s="72"/>
      <c r="L335" s="70"/>
      <c r="M335" s="70"/>
      <c r="N335" s="82"/>
      <c r="O335" s="70"/>
      <c r="P335" s="70"/>
      <c r="Q335" s="70"/>
      <c r="R335" s="71"/>
      <c r="S335" s="72"/>
      <c r="T335" s="70"/>
      <c r="U335" s="70"/>
      <c r="V335" s="71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</row>
    <row r="336">
      <c r="A336" s="70"/>
      <c r="B336" s="70"/>
      <c r="C336" s="70"/>
      <c r="D336" s="71"/>
      <c r="E336" s="72"/>
      <c r="F336" s="70"/>
      <c r="G336" s="69"/>
      <c r="H336" s="70"/>
      <c r="I336" s="70"/>
      <c r="J336" s="71"/>
      <c r="K336" s="72"/>
      <c r="L336" s="70"/>
      <c r="M336" s="70"/>
      <c r="N336" s="82"/>
      <c r="O336" s="70"/>
      <c r="P336" s="70"/>
      <c r="Q336" s="70"/>
      <c r="R336" s="71"/>
      <c r="S336" s="72"/>
      <c r="T336" s="70"/>
      <c r="U336" s="70"/>
      <c r="V336" s="71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</row>
    <row r="337">
      <c r="A337" s="70"/>
      <c r="B337" s="70"/>
      <c r="C337" s="70"/>
      <c r="D337" s="71"/>
      <c r="E337" s="72"/>
      <c r="F337" s="70"/>
      <c r="G337" s="69"/>
      <c r="H337" s="70"/>
      <c r="I337" s="70"/>
      <c r="J337" s="71"/>
      <c r="K337" s="72"/>
      <c r="L337" s="70"/>
      <c r="M337" s="70"/>
      <c r="N337" s="82"/>
      <c r="O337" s="70"/>
      <c r="P337" s="70"/>
      <c r="Q337" s="70"/>
      <c r="R337" s="71"/>
      <c r="S337" s="72"/>
      <c r="T337" s="70"/>
      <c r="U337" s="70"/>
      <c r="V337" s="71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</row>
    <row r="338">
      <c r="A338" s="70"/>
      <c r="B338" s="70"/>
      <c r="C338" s="70"/>
      <c r="D338" s="71"/>
      <c r="E338" s="72"/>
      <c r="F338" s="70"/>
      <c r="G338" s="69"/>
      <c r="H338" s="70"/>
      <c r="I338" s="70"/>
      <c r="J338" s="71"/>
      <c r="K338" s="72"/>
      <c r="L338" s="70"/>
      <c r="M338" s="70"/>
      <c r="N338" s="82"/>
      <c r="O338" s="70"/>
      <c r="P338" s="70"/>
      <c r="Q338" s="70"/>
      <c r="R338" s="71"/>
      <c r="S338" s="72"/>
      <c r="T338" s="70"/>
      <c r="U338" s="70"/>
      <c r="V338" s="71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</row>
    <row r="339">
      <c r="A339" s="70"/>
      <c r="B339" s="70"/>
      <c r="C339" s="70"/>
      <c r="D339" s="71"/>
      <c r="E339" s="72"/>
      <c r="F339" s="70"/>
      <c r="G339" s="69"/>
      <c r="H339" s="70"/>
      <c r="I339" s="70"/>
      <c r="J339" s="71"/>
      <c r="K339" s="72"/>
      <c r="L339" s="70"/>
      <c r="M339" s="70"/>
      <c r="N339" s="82"/>
      <c r="O339" s="70"/>
      <c r="P339" s="70"/>
      <c r="Q339" s="70"/>
      <c r="R339" s="71"/>
      <c r="S339" s="72"/>
      <c r="T339" s="70"/>
      <c r="U339" s="70"/>
      <c r="V339" s="71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</row>
    <row r="340">
      <c r="A340" s="70"/>
      <c r="B340" s="70"/>
      <c r="C340" s="70"/>
      <c r="D340" s="71"/>
      <c r="E340" s="72"/>
      <c r="F340" s="70"/>
      <c r="G340" s="69"/>
      <c r="H340" s="70"/>
      <c r="I340" s="70"/>
      <c r="J340" s="71"/>
      <c r="K340" s="72"/>
      <c r="L340" s="70"/>
      <c r="M340" s="70"/>
      <c r="N340" s="82"/>
      <c r="O340" s="70"/>
      <c r="P340" s="70"/>
      <c r="Q340" s="70"/>
      <c r="R340" s="71"/>
      <c r="S340" s="72"/>
      <c r="T340" s="70"/>
      <c r="U340" s="70"/>
      <c r="V340" s="71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</row>
    <row r="341">
      <c r="A341" s="70"/>
      <c r="B341" s="70"/>
      <c r="C341" s="70"/>
      <c r="D341" s="71"/>
      <c r="E341" s="72"/>
      <c r="F341" s="70"/>
      <c r="G341" s="69"/>
      <c r="H341" s="70"/>
      <c r="I341" s="70"/>
      <c r="J341" s="71"/>
      <c r="K341" s="72"/>
      <c r="L341" s="70"/>
      <c r="M341" s="70"/>
      <c r="N341" s="82"/>
      <c r="O341" s="70"/>
      <c r="P341" s="70"/>
      <c r="Q341" s="70"/>
      <c r="R341" s="71"/>
      <c r="S341" s="72"/>
      <c r="T341" s="70"/>
      <c r="U341" s="70"/>
      <c r="V341" s="71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</row>
    <row r="342">
      <c r="A342" s="70"/>
      <c r="B342" s="70"/>
      <c r="C342" s="70"/>
      <c r="D342" s="71"/>
      <c r="E342" s="72"/>
      <c r="F342" s="70"/>
      <c r="G342" s="69"/>
      <c r="H342" s="70"/>
      <c r="I342" s="70"/>
      <c r="J342" s="71"/>
      <c r="K342" s="72"/>
      <c r="L342" s="70"/>
      <c r="M342" s="70"/>
      <c r="N342" s="82"/>
      <c r="O342" s="70"/>
      <c r="P342" s="70"/>
      <c r="Q342" s="70"/>
      <c r="R342" s="71"/>
      <c r="S342" s="72"/>
      <c r="T342" s="70"/>
      <c r="U342" s="70"/>
      <c r="V342" s="71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</row>
    <row r="343">
      <c r="A343" s="70"/>
      <c r="B343" s="70"/>
      <c r="C343" s="70"/>
      <c r="D343" s="71"/>
      <c r="E343" s="72"/>
      <c r="F343" s="70"/>
      <c r="G343" s="69"/>
      <c r="H343" s="70"/>
      <c r="I343" s="70"/>
      <c r="J343" s="71"/>
      <c r="K343" s="72"/>
      <c r="L343" s="70"/>
      <c r="M343" s="70"/>
      <c r="N343" s="82"/>
      <c r="O343" s="70"/>
      <c r="P343" s="70"/>
      <c r="Q343" s="70"/>
      <c r="R343" s="71"/>
      <c r="S343" s="72"/>
      <c r="T343" s="70"/>
      <c r="U343" s="70"/>
      <c r="V343" s="71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</row>
    <row r="344">
      <c r="A344" s="70"/>
      <c r="B344" s="70"/>
      <c r="C344" s="70"/>
      <c r="D344" s="71"/>
      <c r="E344" s="72"/>
      <c r="F344" s="70"/>
      <c r="G344" s="69"/>
      <c r="H344" s="70"/>
      <c r="I344" s="70"/>
      <c r="J344" s="71"/>
      <c r="K344" s="72"/>
      <c r="L344" s="70"/>
      <c r="M344" s="70"/>
      <c r="N344" s="82"/>
      <c r="O344" s="70"/>
      <c r="P344" s="70"/>
      <c r="Q344" s="70"/>
      <c r="R344" s="71"/>
      <c r="S344" s="72"/>
      <c r="T344" s="70"/>
      <c r="U344" s="70"/>
      <c r="V344" s="71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</row>
    <row r="345">
      <c r="A345" s="70"/>
      <c r="B345" s="70"/>
      <c r="C345" s="70"/>
      <c r="D345" s="71"/>
      <c r="E345" s="72"/>
      <c r="F345" s="70"/>
      <c r="G345" s="69"/>
      <c r="H345" s="70"/>
      <c r="I345" s="70"/>
      <c r="J345" s="71"/>
      <c r="K345" s="72"/>
      <c r="L345" s="70"/>
      <c r="M345" s="70"/>
      <c r="N345" s="82"/>
      <c r="O345" s="70"/>
      <c r="P345" s="70"/>
      <c r="Q345" s="70"/>
      <c r="R345" s="71"/>
      <c r="S345" s="72"/>
      <c r="T345" s="70"/>
      <c r="U345" s="70"/>
      <c r="V345" s="71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</row>
    <row r="346">
      <c r="A346" s="70"/>
      <c r="B346" s="70"/>
      <c r="C346" s="70"/>
      <c r="D346" s="71"/>
      <c r="E346" s="72"/>
      <c r="F346" s="70"/>
      <c r="G346" s="69"/>
      <c r="H346" s="70"/>
      <c r="I346" s="70"/>
      <c r="J346" s="71"/>
      <c r="K346" s="72"/>
      <c r="L346" s="70"/>
      <c r="M346" s="70"/>
      <c r="N346" s="82"/>
      <c r="O346" s="70"/>
      <c r="P346" s="70"/>
      <c r="Q346" s="70"/>
      <c r="R346" s="71"/>
      <c r="S346" s="72"/>
      <c r="T346" s="70"/>
      <c r="U346" s="70"/>
      <c r="V346" s="71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</row>
    <row r="347">
      <c r="A347" s="70"/>
      <c r="B347" s="70"/>
      <c r="C347" s="70"/>
      <c r="D347" s="71"/>
      <c r="E347" s="72"/>
      <c r="F347" s="70"/>
      <c r="G347" s="69"/>
      <c r="H347" s="70"/>
      <c r="I347" s="70"/>
      <c r="J347" s="71"/>
      <c r="K347" s="72"/>
      <c r="L347" s="70"/>
      <c r="M347" s="70"/>
      <c r="N347" s="82"/>
      <c r="O347" s="70"/>
      <c r="P347" s="70"/>
      <c r="Q347" s="70"/>
      <c r="R347" s="71"/>
      <c r="S347" s="72"/>
      <c r="T347" s="70"/>
      <c r="U347" s="70"/>
      <c r="V347" s="71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</row>
    <row r="348">
      <c r="A348" s="70"/>
      <c r="B348" s="70"/>
      <c r="C348" s="70"/>
      <c r="D348" s="71"/>
      <c r="E348" s="72"/>
      <c r="F348" s="70"/>
      <c r="G348" s="69"/>
      <c r="H348" s="70"/>
      <c r="I348" s="70"/>
      <c r="J348" s="71"/>
      <c r="K348" s="72"/>
      <c r="L348" s="70"/>
      <c r="M348" s="70"/>
      <c r="N348" s="82"/>
      <c r="O348" s="70"/>
      <c r="P348" s="70"/>
      <c r="Q348" s="70"/>
      <c r="R348" s="71"/>
      <c r="S348" s="72"/>
      <c r="T348" s="70"/>
      <c r="U348" s="70"/>
      <c r="V348" s="71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</row>
    <row r="349">
      <c r="A349" s="70"/>
      <c r="B349" s="70"/>
      <c r="C349" s="70"/>
      <c r="D349" s="71"/>
      <c r="E349" s="72"/>
      <c r="F349" s="70"/>
      <c r="G349" s="69"/>
      <c r="H349" s="70"/>
      <c r="I349" s="70"/>
      <c r="J349" s="71"/>
      <c r="K349" s="72"/>
      <c r="L349" s="70"/>
      <c r="M349" s="70"/>
      <c r="N349" s="82"/>
      <c r="O349" s="70"/>
      <c r="P349" s="70"/>
      <c r="Q349" s="70"/>
      <c r="R349" s="71"/>
      <c r="S349" s="72"/>
      <c r="T349" s="70"/>
      <c r="U349" s="70"/>
      <c r="V349" s="71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</row>
    <row r="350">
      <c r="A350" s="70"/>
      <c r="B350" s="70"/>
      <c r="C350" s="70"/>
      <c r="D350" s="71"/>
      <c r="E350" s="72"/>
      <c r="F350" s="70"/>
      <c r="G350" s="69"/>
      <c r="H350" s="70"/>
      <c r="I350" s="70"/>
      <c r="J350" s="71"/>
      <c r="K350" s="72"/>
      <c r="L350" s="70"/>
      <c r="M350" s="70"/>
      <c r="N350" s="82"/>
      <c r="O350" s="70"/>
      <c r="P350" s="70"/>
      <c r="Q350" s="70"/>
      <c r="R350" s="71"/>
      <c r="S350" s="72"/>
      <c r="T350" s="70"/>
      <c r="U350" s="70"/>
      <c r="V350" s="71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</row>
    <row r="351">
      <c r="A351" s="70"/>
      <c r="B351" s="70"/>
      <c r="C351" s="70"/>
      <c r="D351" s="71"/>
      <c r="E351" s="72"/>
      <c r="F351" s="70"/>
      <c r="G351" s="69"/>
      <c r="H351" s="70"/>
      <c r="I351" s="70"/>
      <c r="J351" s="71"/>
      <c r="K351" s="72"/>
      <c r="L351" s="70"/>
      <c r="M351" s="70"/>
      <c r="N351" s="82"/>
      <c r="O351" s="70"/>
      <c r="P351" s="70"/>
      <c r="Q351" s="70"/>
      <c r="R351" s="71"/>
      <c r="S351" s="72"/>
      <c r="T351" s="70"/>
      <c r="U351" s="70"/>
      <c r="V351" s="71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</row>
    <row r="352">
      <c r="A352" s="70"/>
      <c r="B352" s="70"/>
      <c r="C352" s="70"/>
      <c r="D352" s="71"/>
      <c r="E352" s="72"/>
      <c r="F352" s="70"/>
      <c r="G352" s="69"/>
      <c r="H352" s="70"/>
      <c r="I352" s="70"/>
      <c r="J352" s="71"/>
      <c r="K352" s="72"/>
      <c r="L352" s="70"/>
      <c r="M352" s="70"/>
      <c r="N352" s="82"/>
      <c r="O352" s="70"/>
      <c r="P352" s="70"/>
      <c r="Q352" s="70"/>
      <c r="R352" s="71"/>
      <c r="S352" s="72"/>
      <c r="T352" s="70"/>
      <c r="U352" s="70"/>
      <c r="V352" s="71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</row>
    <row r="353">
      <c r="A353" s="70"/>
      <c r="B353" s="70"/>
      <c r="C353" s="70"/>
      <c r="D353" s="71"/>
      <c r="E353" s="72"/>
      <c r="F353" s="70"/>
      <c r="G353" s="69"/>
      <c r="H353" s="70"/>
      <c r="I353" s="70"/>
      <c r="J353" s="71"/>
      <c r="K353" s="72"/>
      <c r="L353" s="70"/>
      <c r="M353" s="70"/>
      <c r="N353" s="82"/>
      <c r="O353" s="70"/>
      <c r="P353" s="70"/>
      <c r="Q353" s="70"/>
      <c r="R353" s="71"/>
      <c r="S353" s="72"/>
      <c r="T353" s="70"/>
      <c r="U353" s="70"/>
      <c r="V353" s="71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</row>
    <row r="354">
      <c r="A354" s="70"/>
      <c r="B354" s="70"/>
      <c r="C354" s="70"/>
      <c r="D354" s="71"/>
      <c r="E354" s="72"/>
      <c r="F354" s="70"/>
      <c r="G354" s="69"/>
      <c r="H354" s="70"/>
      <c r="I354" s="70"/>
      <c r="J354" s="71"/>
      <c r="K354" s="72"/>
      <c r="L354" s="70"/>
      <c r="M354" s="70"/>
      <c r="N354" s="82"/>
      <c r="O354" s="70"/>
      <c r="P354" s="70"/>
      <c r="Q354" s="70"/>
      <c r="R354" s="71"/>
      <c r="S354" s="72"/>
      <c r="T354" s="70"/>
      <c r="U354" s="70"/>
      <c r="V354" s="71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</row>
    <row r="355">
      <c r="A355" s="70"/>
      <c r="B355" s="70"/>
      <c r="C355" s="70"/>
      <c r="D355" s="71"/>
      <c r="E355" s="72"/>
      <c r="F355" s="70"/>
      <c r="G355" s="69"/>
      <c r="H355" s="70"/>
      <c r="I355" s="70"/>
      <c r="J355" s="71"/>
      <c r="K355" s="72"/>
      <c r="L355" s="70"/>
      <c r="M355" s="70"/>
      <c r="N355" s="82"/>
      <c r="O355" s="70"/>
      <c r="P355" s="70"/>
      <c r="Q355" s="70"/>
      <c r="R355" s="71"/>
      <c r="S355" s="72"/>
      <c r="T355" s="70"/>
      <c r="U355" s="70"/>
      <c r="V355" s="71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</row>
    <row r="356">
      <c r="A356" s="70"/>
      <c r="B356" s="70"/>
      <c r="C356" s="70"/>
      <c r="D356" s="71"/>
      <c r="E356" s="72"/>
      <c r="F356" s="70"/>
      <c r="G356" s="69"/>
      <c r="H356" s="70"/>
      <c r="I356" s="70"/>
      <c r="J356" s="71"/>
      <c r="K356" s="72"/>
      <c r="L356" s="70"/>
      <c r="M356" s="70"/>
      <c r="N356" s="82"/>
      <c r="O356" s="70"/>
      <c r="P356" s="70"/>
      <c r="Q356" s="70"/>
      <c r="R356" s="71"/>
      <c r="S356" s="72"/>
      <c r="T356" s="70"/>
      <c r="U356" s="70"/>
      <c r="V356" s="71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</row>
    <row r="357">
      <c r="A357" s="70"/>
      <c r="B357" s="70"/>
      <c r="C357" s="70"/>
      <c r="D357" s="71"/>
      <c r="E357" s="72"/>
      <c r="F357" s="70"/>
      <c r="G357" s="69"/>
      <c r="H357" s="70"/>
      <c r="I357" s="70"/>
      <c r="J357" s="71"/>
      <c r="K357" s="72"/>
      <c r="L357" s="70"/>
      <c r="M357" s="70"/>
      <c r="N357" s="82"/>
      <c r="O357" s="70"/>
      <c r="P357" s="70"/>
      <c r="Q357" s="70"/>
      <c r="R357" s="71"/>
      <c r="S357" s="72"/>
      <c r="T357" s="70"/>
      <c r="U357" s="70"/>
      <c r="V357" s="71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</row>
    <row r="358">
      <c r="A358" s="70"/>
      <c r="B358" s="70"/>
      <c r="C358" s="70"/>
      <c r="D358" s="71"/>
      <c r="E358" s="72"/>
      <c r="F358" s="70"/>
      <c r="G358" s="69"/>
      <c r="H358" s="70"/>
      <c r="I358" s="70"/>
      <c r="J358" s="71"/>
      <c r="K358" s="72"/>
      <c r="L358" s="70"/>
      <c r="M358" s="70"/>
      <c r="N358" s="82"/>
      <c r="O358" s="70"/>
      <c r="P358" s="70"/>
      <c r="Q358" s="70"/>
      <c r="R358" s="71"/>
      <c r="S358" s="72"/>
      <c r="T358" s="70"/>
      <c r="U358" s="70"/>
      <c r="V358" s="71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</row>
    <row r="359">
      <c r="A359" s="70"/>
      <c r="B359" s="70"/>
      <c r="C359" s="70"/>
      <c r="D359" s="71"/>
      <c r="E359" s="72"/>
      <c r="F359" s="70"/>
      <c r="G359" s="69"/>
      <c r="H359" s="70"/>
      <c r="I359" s="70"/>
      <c r="J359" s="71"/>
      <c r="K359" s="72"/>
      <c r="L359" s="70"/>
      <c r="M359" s="70"/>
      <c r="N359" s="82"/>
      <c r="O359" s="70"/>
      <c r="P359" s="70"/>
      <c r="Q359" s="70"/>
      <c r="R359" s="71"/>
      <c r="S359" s="72"/>
      <c r="T359" s="70"/>
      <c r="U359" s="70"/>
      <c r="V359" s="71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</row>
    <row r="360">
      <c r="A360" s="70"/>
      <c r="B360" s="70"/>
      <c r="C360" s="70"/>
      <c r="D360" s="71"/>
      <c r="E360" s="72"/>
      <c r="F360" s="70"/>
      <c r="G360" s="69"/>
      <c r="H360" s="70"/>
      <c r="I360" s="70"/>
      <c r="J360" s="71"/>
      <c r="K360" s="72"/>
      <c r="L360" s="70"/>
      <c r="M360" s="70"/>
      <c r="N360" s="82"/>
      <c r="O360" s="70"/>
      <c r="P360" s="70"/>
      <c r="Q360" s="70"/>
      <c r="R360" s="71"/>
      <c r="S360" s="72"/>
      <c r="T360" s="70"/>
      <c r="U360" s="70"/>
      <c r="V360" s="71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</row>
    <row r="361">
      <c r="A361" s="70"/>
      <c r="B361" s="70"/>
      <c r="C361" s="70"/>
      <c r="D361" s="71"/>
      <c r="E361" s="72"/>
      <c r="F361" s="70"/>
      <c r="G361" s="69"/>
      <c r="H361" s="70"/>
      <c r="I361" s="70"/>
      <c r="J361" s="71"/>
      <c r="K361" s="72"/>
      <c r="L361" s="70"/>
      <c r="M361" s="70"/>
      <c r="N361" s="82"/>
      <c r="O361" s="70"/>
      <c r="P361" s="70"/>
      <c r="Q361" s="70"/>
      <c r="R361" s="71"/>
      <c r="S361" s="72"/>
      <c r="T361" s="70"/>
      <c r="U361" s="70"/>
      <c r="V361" s="71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</row>
    <row r="362">
      <c r="A362" s="70"/>
      <c r="B362" s="70"/>
      <c r="C362" s="70"/>
      <c r="D362" s="71"/>
      <c r="E362" s="72"/>
      <c r="F362" s="70"/>
      <c r="G362" s="69"/>
      <c r="H362" s="70"/>
      <c r="I362" s="70"/>
      <c r="J362" s="71"/>
      <c r="K362" s="72"/>
      <c r="L362" s="70"/>
      <c r="M362" s="70"/>
      <c r="N362" s="82"/>
      <c r="O362" s="70"/>
      <c r="P362" s="70"/>
      <c r="Q362" s="70"/>
      <c r="R362" s="71"/>
      <c r="S362" s="72"/>
      <c r="T362" s="70"/>
      <c r="U362" s="70"/>
      <c r="V362" s="71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</row>
    <row r="363">
      <c r="A363" s="70"/>
      <c r="B363" s="70"/>
      <c r="C363" s="70"/>
      <c r="D363" s="71"/>
      <c r="E363" s="72"/>
      <c r="F363" s="70"/>
      <c r="G363" s="69"/>
      <c r="H363" s="70"/>
      <c r="I363" s="70"/>
      <c r="J363" s="71"/>
      <c r="K363" s="72"/>
      <c r="L363" s="70"/>
      <c r="M363" s="70"/>
      <c r="N363" s="82"/>
      <c r="O363" s="70"/>
      <c r="P363" s="70"/>
      <c r="Q363" s="70"/>
      <c r="R363" s="71"/>
      <c r="S363" s="72"/>
      <c r="T363" s="70"/>
      <c r="U363" s="70"/>
      <c r="V363" s="71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</row>
    <row r="364">
      <c r="A364" s="70"/>
      <c r="B364" s="70"/>
      <c r="C364" s="70"/>
      <c r="D364" s="71"/>
      <c r="E364" s="72"/>
      <c r="F364" s="70"/>
      <c r="G364" s="69"/>
      <c r="H364" s="70"/>
      <c r="I364" s="70"/>
      <c r="J364" s="71"/>
      <c r="K364" s="72"/>
      <c r="L364" s="70"/>
      <c r="M364" s="70"/>
      <c r="N364" s="82"/>
      <c r="O364" s="70"/>
      <c r="P364" s="70"/>
      <c r="Q364" s="70"/>
      <c r="R364" s="71"/>
      <c r="S364" s="72"/>
      <c r="T364" s="70"/>
      <c r="U364" s="70"/>
      <c r="V364" s="71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</row>
    <row r="365">
      <c r="A365" s="70"/>
      <c r="B365" s="70"/>
      <c r="C365" s="70"/>
      <c r="D365" s="71"/>
      <c r="E365" s="72"/>
      <c r="F365" s="70"/>
      <c r="G365" s="69"/>
      <c r="H365" s="70"/>
      <c r="I365" s="70"/>
      <c r="J365" s="71"/>
      <c r="K365" s="72"/>
      <c r="L365" s="70"/>
      <c r="M365" s="70"/>
      <c r="N365" s="82"/>
      <c r="O365" s="70"/>
      <c r="P365" s="70"/>
      <c r="Q365" s="70"/>
      <c r="R365" s="71"/>
      <c r="S365" s="72"/>
      <c r="T365" s="70"/>
      <c r="U365" s="70"/>
      <c r="V365" s="71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</row>
    <row r="366">
      <c r="A366" s="70"/>
      <c r="B366" s="70"/>
      <c r="C366" s="70"/>
      <c r="D366" s="71"/>
      <c r="E366" s="72"/>
      <c r="F366" s="70"/>
      <c r="G366" s="69"/>
      <c r="H366" s="70"/>
      <c r="I366" s="70"/>
      <c r="J366" s="71"/>
      <c r="K366" s="72"/>
      <c r="L366" s="70"/>
      <c r="M366" s="70"/>
      <c r="N366" s="82"/>
      <c r="O366" s="70"/>
      <c r="P366" s="70"/>
      <c r="Q366" s="70"/>
      <c r="R366" s="71"/>
      <c r="S366" s="72"/>
      <c r="T366" s="70"/>
      <c r="U366" s="70"/>
      <c r="V366" s="71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</row>
    <row r="367">
      <c r="A367" s="70"/>
      <c r="B367" s="70"/>
      <c r="C367" s="70"/>
      <c r="D367" s="71"/>
      <c r="E367" s="72"/>
      <c r="F367" s="70"/>
      <c r="G367" s="69"/>
      <c r="H367" s="70"/>
      <c r="I367" s="70"/>
      <c r="J367" s="71"/>
      <c r="K367" s="72"/>
      <c r="L367" s="70"/>
      <c r="M367" s="70"/>
      <c r="N367" s="82"/>
      <c r="O367" s="70"/>
      <c r="P367" s="70"/>
      <c r="Q367" s="70"/>
      <c r="R367" s="71"/>
      <c r="S367" s="72"/>
      <c r="T367" s="70"/>
      <c r="U367" s="70"/>
      <c r="V367" s="71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</row>
    <row r="368">
      <c r="A368" s="70"/>
      <c r="B368" s="70"/>
      <c r="C368" s="70"/>
      <c r="D368" s="71"/>
      <c r="E368" s="72"/>
      <c r="F368" s="70"/>
      <c r="G368" s="69"/>
      <c r="H368" s="70"/>
      <c r="I368" s="70"/>
      <c r="J368" s="71"/>
      <c r="K368" s="72"/>
      <c r="L368" s="70"/>
      <c r="M368" s="70"/>
      <c r="N368" s="82"/>
      <c r="O368" s="70"/>
      <c r="P368" s="70"/>
      <c r="Q368" s="70"/>
      <c r="R368" s="71"/>
      <c r="S368" s="72"/>
      <c r="T368" s="70"/>
      <c r="U368" s="70"/>
      <c r="V368" s="71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</row>
    <row r="369">
      <c r="A369" s="70"/>
      <c r="B369" s="70"/>
      <c r="C369" s="70"/>
      <c r="D369" s="71"/>
      <c r="E369" s="72"/>
      <c r="F369" s="70"/>
      <c r="G369" s="69"/>
      <c r="H369" s="70"/>
      <c r="I369" s="70"/>
      <c r="J369" s="71"/>
      <c r="K369" s="72"/>
      <c r="L369" s="70"/>
      <c r="M369" s="70"/>
      <c r="N369" s="82"/>
      <c r="O369" s="70"/>
      <c r="P369" s="70"/>
      <c r="Q369" s="70"/>
      <c r="R369" s="71"/>
      <c r="S369" s="72"/>
      <c r="T369" s="70"/>
      <c r="U369" s="70"/>
      <c r="V369" s="71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</row>
    <row r="370">
      <c r="A370" s="70"/>
      <c r="B370" s="70"/>
      <c r="C370" s="70"/>
      <c r="D370" s="71"/>
      <c r="E370" s="72"/>
      <c r="F370" s="70"/>
      <c r="G370" s="69"/>
      <c r="H370" s="70"/>
      <c r="I370" s="70"/>
      <c r="J370" s="71"/>
      <c r="K370" s="72"/>
      <c r="L370" s="70"/>
      <c r="M370" s="70"/>
      <c r="N370" s="82"/>
      <c r="O370" s="70"/>
      <c r="P370" s="70"/>
      <c r="Q370" s="70"/>
      <c r="R370" s="71"/>
      <c r="S370" s="72"/>
      <c r="T370" s="70"/>
      <c r="U370" s="70"/>
      <c r="V370" s="71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</row>
    <row r="371">
      <c r="A371" s="70"/>
      <c r="B371" s="70"/>
      <c r="C371" s="70"/>
      <c r="D371" s="71"/>
      <c r="E371" s="72"/>
      <c r="F371" s="70"/>
      <c r="G371" s="69"/>
      <c r="H371" s="70"/>
      <c r="I371" s="70"/>
      <c r="J371" s="71"/>
      <c r="K371" s="72"/>
      <c r="L371" s="70"/>
      <c r="M371" s="70"/>
      <c r="N371" s="82"/>
      <c r="O371" s="70"/>
      <c r="P371" s="70"/>
      <c r="Q371" s="70"/>
      <c r="R371" s="71"/>
      <c r="S371" s="72"/>
      <c r="T371" s="70"/>
      <c r="U371" s="70"/>
      <c r="V371" s="71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</row>
    <row r="372">
      <c r="A372" s="70"/>
      <c r="B372" s="70"/>
      <c r="C372" s="70"/>
      <c r="D372" s="71"/>
      <c r="E372" s="72"/>
      <c r="F372" s="70"/>
      <c r="G372" s="69"/>
      <c r="H372" s="70"/>
      <c r="I372" s="70"/>
      <c r="J372" s="71"/>
      <c r="K372" s="72"/>
      <c r="L372" s="70"/>
      <c r="M372" s="70"/>
      <c r="N372" s="82"/>
      <c r="O372" s="70"/>
      <c r="P372" s="70"/>
      <c r="Q372" s="70"/>
      <c r="R372" s="71"/>
      <c r="S372" s="72"/>
      <c r="T372" s="70"/>
      <c r="U372" s="70"/>
      <c r="V372" s="71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</row>
    <row r="373">
      <c r="A373" s="70"/>
      <c r="B373" s="70"/>
      <c r="C373" s="70"/>
      <c r="D373" s="71"/>
      <c r="E373" s="72"/>
      <c r="F373" s="70"/>
      <c r="G373" s="69"/>
      <c r="H373" s="70"/>
      <c r="I373" s="70"/>
      <c r="J373" s="71"/>
      <c r="K373" s="72"/>
      <c r="L373" s="70"/>
      <c r="M373" s="70"/>
      <c r="N373" s="82"/>
      <c r="O373" s="70"/>
      <c r="P373" s="70"/>
      <c r="Q373" s="70"/>
      <c r="R373" s="71"/>
      <c r="S373" s="72"/>
      <c r="T373" s="70"/>
      <c r="U373" s="70"/>
      <c r="V373" s="71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</row>
    <row r="374">
      <c r="A374" s="70"/>
      <c r="B374" s="70"/>
      <c r="C374" s="70"/>
      <c r="D374" s="71"/>
      <c r="E374" s="72"/>
      <c r="F374" s="70"/>
      <c r="G374" s="69"/>
      <c r="H374" s="70"/>
      <c r="I374" s="70"/>
      <c r="J374" s="71"/>
      <c r="K374" s="72"/>
      <c r="L374" s="70"/>
      <c r="M374" s="70"/>
      <c r="N374" s="82"/>
      <c r="O374" s="70"/>
      <c r="P374" s="70"/>
      <c r="Q374" s="70"/>
      <c r="R374" s="71"/>
      <c r="S374" s="72"/>
      <c r="T374" s="70"/>
      <c r="U374" s="70"/>
      <c r="V374" s="71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</row>
    <row r="375">
      <c r="A375" s="70"/>
      <c r="B375" s="70"/>
      <c r="C375" s="70"/>
      <c r="D375" s="71"/>
      <c r="E375" s="72"/>
      <c r="F375" s="70"/>
      <c r="G375" s="69"/>
      <c r="H375" s="70"/>
      <c r="I375" s="70"/>
      <c r="J375" s="71"/>
      <c r="K375" s="72"/>
      <c r="L375" s="70"/>
      <c r="M375" s="70"/>
      <c r="N375" s="82"/>
      <c r="O375" s="70"/>
      <c r="P375" s="70"/>
      <c r="Q375" s="70"/>
      <c r="R375" s="71"/>
      <c r="S375" s="72"/>
      <c r="T375" s="70"/>
      <c r="U375" s="70"/>
      <c r="V375" s="71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</row>
    <row r="376">
      <c r="A376" s="70"/>
      <c r="B376" s="70"/>
      <c r="C376" s="70"/>
      <c r="D376" s="71"/>
      <c r="E376" s="72"/>
      <c r="F376" s="70"/>
      <c r="G376" s="69"/>
      <c r="H376" s="70"/>
      <c r="I376" s="70"/>
      <c r="J376" s="71"/>
      <c r="K376" s="72"/>
      <c r="L376" s="70"/>
      <c r="M376" s="70"/>
      <c r="N376" s="82"/>
      <c r="O376" s="70"/>
      <c r="P376" s="70"/>
      <c r="Q376" s="70"/>
      <c r="R376" s="71"/>
      <c r="S376" s="72"/>
      <c r="T376" s="70"/>
      <c r="U376" s="70"/>
      <c r="V376" s="71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</row>
    <row r="377">
      <c r="A377" s="70"/>
      <c r="B377" s="70"/>
      <c r="C377" s="70"/>
      <c r="D377" s="71"/>
      <c r="E377" s="72"/>
      <c r="F377" s="70"/>
      <c r="G377" s="69"/>
      <c r="H377" s="70"/>
      <c r="I377" s="70"/>
      <c r="J377" s="71"/>
      <c r="K377" s="72"/>
      <c r="L377" s="70"/>
      <c r="M377" s="70"/>
      <c r="N377" s="82"/>
      <c r="O377" s="70"/>
      <c r="P377" s="70"/>
      <c r="Q377" s="70"/>
      <c r="R377" s="71"/>
      <c r="S377" s="72"/>
      <c r="T377" s="70"/>
      <c r="U377" s="70"/>
      <c r="V377" s="71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</row>
    <row r="378">
      <c r="A378" s="70"/>
      <c r="B378" s="70"/>
      <c r="C378" s="70"/>
      <c r="D378" s="71"/>
      <c r="E378" s="72"/>
      <c r="F378" s="70"/>
      <c r="G378" s="69"/>
      <c r="H378" s="70"/>
      <c r="I378" s="70"/>
      <c r="J378" s="71"/>
      <c r="K378" s="72"/>
      <c r="L378" s="70"/>
      <c r="M378" s="70"/>
      <c r="N378" s="82"/>
      <c r="O378" s="70"/>
      <c r="P378" s="70"/>
      <c r="Q378" s="70"/>
      <c r="R378" s="71"/>
      <c r="S378" s="72"/>
      <c r="T378" s="70"/>
      <c r="U378" s="70"/>
      <c r="V378" s="71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</row>
    <row r="379">
      <c r="A379" s="70"/>
      <c r="B379" s="70"/>
      <c r="C379" s="70"/>
      <c r="D379" s="71"/>
      <c r="E379" s="72"/>
      <c r="F379" s="70"/>
      <c r="G379" s="69"/>
      <c r="H379" s="70"/>
      <c r="I379" s="70"/>
      <c r="J379" s="71"/>
      <c r="K379" s="72"/>
      <c r="L379" s="70"/>
      <c r="M379" s="70"/>
      <c r="N379" s="82"/>
      <c r="O379" s="70"/>
      <c r="P379" s="70"/>
      <c r="Q379" s="70"/>
      <c r="R379" s="71"/>
      <c r="S379" s="72"/>
      <c r="T379" s="70"/>
      <c r="U379" s="70"/>
      <c r="V379" s="71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</row>
    <row r="380">
      <c r="A380" s="70"/>
      <c r="B380" s="70"/>
      <c r="C380" s="70"/>
      <c r="D380" s="71"/>
      <c r="E380" s="72"/>
      <c r="F380" s="70"/>
      <c r="G380" s="69"/>
      <c r="H380" s="70"/>
      <c r="I380" s="70"/>
      <c r="J380" s="71"/>
      <c r="K380" s="72"/>
      <c r="L380" s="70"/>
      <c r="M380" s="70"/>
      <c r="N380" s="82"/>
      <c r="O380" s="70"/>
      <c r="P380" s="70"/>
      <c r="Q380" s="70"/>
      <c r="R380" s="71"/>
      <c r="S380" s="72"/>
      <c r="T380" s="70"/>
      <c r="U380" s="70"/>
      <c r="V380" s="71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</row>
    <row r="381">
      <c r="A381" s="70"/>
      <c r="B381" s="70"/>
      <c r="C381" s="70"/>
      <c r="D381" s="71"/>
      <c r="E381" s="72"/>
      <c r="F381" s="70"/>
      <c r="G381" s="69"/>
      <c r="H381" s="70"/>
      <c r="I381" s="70"/>
      <c r="J381" s="71"/>
      <c r="K381" s="72"/>
      <c r="L381" s="70"/>
      <c r="M381" s="70"/>
      <c r="N381" s="82"/>
      <c r="O381" s="70"/>
      <c r="P381" s="70"/>
      <c r="Q381" s="70"/>
      <c r="R381" s="71"/>
      <c r="S381" s="72"/>
      <c r="T381" s="70"/>
      <c r="U381" s="70"/>
      <c r="V381" s="71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</row>
    <row r="382">
      <c r="A382" s="70"/>
      <c r="B382" s="70"/>
      <c r="C382" s="70"/>
      <c r="D382" s="71"/>
      <c r="E382" s="72"/>
      <c r="F382" s="70"/>
      <c r="G382" s="69"/>
      <c r="H382" s="70"/>
      <c r="I382" s="70"/>
      <c r="J382" s="71"/>
      <c r="K382" s="72"/>
      <c r="L382" s="70"/>
      <c r="M382" s="70"/>
      <c r="N382" s="82"/>
      <c r="O382" s="70"/>
      <c r="P382" s="70"/>
      <c r="Q382" s="70"/>
      <c r="R382" s="71"/>
      <c r="S382" s="72"/>
      <c r="T382" s="70"/>
      <c r="U382" s="70"/>
      <c r="V382" s="71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</row>
    <row r="383">
      <c r="A383" s="70"/>
      <c r="B383" s="70"/>
      <c r="C383" s="70"/>
      <c r="D383" s="71"/>
      <c r="E383" s="72"/>
      <c r="F383" s="70"/>
      <c r="G383" s="69"/>
      <c r="H383" s="70"/>
      <c r="I383" s="70"/>
      <c r="J383" s="71"/>
      <c r="K383" s="72"/>
      <c r="L383" s="70"/>
      <c r="M383" s="70"/>
      <c r="N383" s="82"/>
      <c r="O383" s="70"/>
      <c r="P383" s="70"/>
      <c r="Q383" s="70"/>
      <c r="R383" s="71"/>
      <c r="S383" s="72"/>
      <c r="T383" s="70"/>
      <c r="U383" s="70"/>
      <c r="V383" s="71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</row>
    <row r="384">
      <c r="A384" s="70"/>
      <c r="B384" s="70"/>
      <c r="C384" s="70"/>
      <c r="D384" s="71"/>
      <c r="E384" s="72"/>
      <c r="F384" s="70"/>
      <c r="G384" s="69"/>
      <c r="H384" s="70"/>
      <c r="I384" s="70"/>
      <c r="J384" s="71"/>
      <c r="K384" s="72"/>
      <c r="L384" s="70"/>
      <c r="M384" s="70"/>
      <c r="N384" s="82"/>
      <c r="O384" s="70"/>
      <c r="P384" s="70"/>
      <c r="Q384" s="70"/>
      <c r="R384" s="71"/>
      <c r="S384" s="72"/>
      <c r="T384" s="70"/>
      <c r="U384" s="70"/>
      <c r="V384" s="71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</row>
    <row r="385">
      <c r="A385" s="70"/>
      <c r="B385" s="70"/>
      <c r="C385" s="70"/>
      <c r="D385" s="71"/>
      <c r="E385" s="72"/>
      <c r="F385" s="70"/>
      <c r="G385" s="69"/>
      <c r="H385" s="70"/>
      <c r="I385" s="70"/>
      <c r="J385" s="71"/>
      <c r="K385" s="72"/>
      <c r="L385" s="70"/>
      <c r="M385" s="70"/>
      <c r="N385" s="82"/>
      <c r="O385" s="70"/>
      <c r="P385" s="70"/>
      <c r="Q385" s="70"/>
      <c r="R385" s="71"/>
      <c r="S385" s="72"/>
      <c r="T385" s="70"/>
      <c r="U385" s="70"/>
      <c r="V385" s="71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</row>
    <row r="386">
      <c r="A386" s="70"/>
      <c r="B386" s="70"/>
      <c r="C386" s="70"/>
      <c r="D386" s="71"/>
      <c r="E386" s="72"/>
      <c r="F386" s="70"/>
      <c r="G386" s="69"/>
      <c r="H386" s="70"/>
      <c r="I386" s="70"/>
      <c r="J386" s="71"/>
      <c r="K386" s="72"/>
      <c r="L386" s="70"/>
      <c r="M386" s="70"/>
      <c r="N386" s="82"/>
      <c r="O386" s="70"/>
      <c r="P386" s="70"/>
      <c r="Q386" s="70"/>
      <c r="R386" s="71"/>
      <c r="S386" s="72"/>
      <c r="T386" s="70"/>
      <c r="U386" s="70"/>
      <c r="V386" s="71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</row>
    <row r="387">
      <c r="A387" s="70"/>
      <c r="B387" s="70"/>
      <c r="C387" s="70"/>
      <c r="D387" s="71"/>
      <c r="E387" s="72"/>
      <c r="F387" s="70"/>
      <c r="G387" s="69"/>
      <c r="H387" s="70"/>
      <c r="I387" s="70"/>
      <c r="J387" s="71"/>
      <c r="K387" s="72"/>
      <c r="L387" s="70"/>
      <c r="M387" s="70"/>
      <c r="N387" s="82"/>
      <c r="O387" s="70"/>
      <c r="P387" s="70"/>
      <c r="Q387" s="70"/>
      <c r="R387" s="71"/>
      <c r="S387" s="72"/>
      <c r="T387" s="70"/>
      <c r="U387" s="70"/>
      <c r="V387" s="71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</row>
    <row r="388">
      <c r="A388" s="70"/>
      <c r="B388" s="70"/>
      <c r="C388" s="70"/>
      <c r="D388" s="71"/>
      <c r="E388" s="72"/>
      <c r="F388" s="70"/>
      <c r="G388" s="69"/>
      <c r="H388" s="70"/>
      <c r="I388" s="70"/>
      <c r="J388" s="71"/>
      <c r="K388" s="72"/>
      <c r="L388" s="70"/>
      <c r="M388" s="70"/>
      <c r="N388" s="82"/>
      <c r="O388" s="70"/>
      <c r="P388" s="70"/>
      <c r="Q388" s="70"/>
      <c r="R388" s="71"/>
      <c r="S388" s="72"/>
      <c r="T388" s="70"/>
      <c r="U388" s="70"/>
      <c r="V388" s="71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</row>
    <row r="389">
      <c r="A389" s="70"/>
      <c r="B389" s="70"/>
      <c r="C389" s="70"/>
      <c r="D389" s="71"/>
      <c r="E389" s="72"/>
      <c r="F389" s="70"/>
      <c r="G389" s="69"/>
      <c r="H389" s="70"/>
      <c r="I389" s="70"/>
      <c r="J389" s="71"/>
      <c r="K389" s="72"/>
      <c r="L389" s="70"/>
      <c r="M389" s="70"/>
      <c r="N389" s="82"/>
      <c r="O389" s="70"/>
      <c r="P389" s="70"/>
      <c r="Q389" s="70"/>
      <c r="R389" s="71"/>
      <c r="S389" s="72"/>
      <c r="T389" s="70"/>
      <c r="U389" s="70"/>
      <c r="V389" s="71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</row>
    <row r="390">
      <c r="A390" s="70"/>
      <c r="B390" s="70"/>
      <c r="C390" s="70"/>
      <c r="D390" s="71"/>
      <c r="E390" s="72"/>
      <c r="F390" s="70"/>
      <c r="G390" s="69"/>
      <c r="H390" s="70"/>
      <c r="I390" s="70"/>
      <c r="J390" s="71"/>
      <c r="K390" s="72"/>
      <c r="L390" s="70"/>
      <c r="M390" s="70"/>
      <c r="N390" s="82"/>
      <c r="O390" s="70"/>
      <c r="P390" s="70"/>
      <c r="Q390" s="70"/>
      <c r="R390" s="71"/>
      <c r="S390" s="72"/>
      <c r="T390" s="70"/>
      <c r="U390" s="70"/>
      <c r="V390" s="71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</row>
    <row r="391">
      <c r="A391" s="70"/>
      <c r="B391" s="70"/>
      <c r="C391" s="70"/>
      <c r="D391" s="71"/>
      <c r="E391" s="72"/>
      <c r="F391" s="70"/>
      <c r="G391" s="69"/>
      <c r="H391" s="70"/>
      <c r="I391" s="70"/>
      <c r="J391" s="71"/>
      <c r="K391" s="72"/>
      <c r="L391" s="70"/>
      <c r="M391" s="70"/>
      <c r="N391" s="82"/>
      <c r="O391" s="70"/>
      <c r="P391" s="70"/>
      <c r="Q391" s="70"/>
      <c r="R391" s="71"/>
      <c r="S391" s="72"/>
      <c r="T391" s="70"/>
      <c r="U391" s="70"/>
      <c r="V391" s="71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</row>
    <row r="392">
      <c r="A392" s="70"/>
      <c r="B392" s="70"/>
      <c r="C392" s="70"/>
      <c r="D392" s="71"/>
      <c r="E392" s="72"/>
      <c r="F392" s="70"/>
      <c r="G392" s="69"/>
      <c r="H392" s="70"/>
      <c r="I392" s="70"/>
      <c r="J392" s="71"/>
      <c r="K392" s="72"/>
      <c r="L392" s="70"/>
      <c r="M392" s="70"/>
      <c r="N392" s="82"/>
      <c r="O392" s="70"/>
      <c r="P392" s="70"/>
      <c r="Q392" s="70"/>
      <c r="R392" s="71"/>
      <c r="S392" s="72"/>
      <c r="T392" s="70"/>
      <c r="U392" s="70"/>
      <c r="V392" s="71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</row>
    <row r="393">
      <c r="A393" s="70"/>
      <c r="B393" s="70"/>
      <c r="C393" s="70"/>
      <c r="D393" s="71"/>
      <c r="E393" s="72"/>
      <c r="F393" s="70"/>
      <c r="G393" s="69"/>
      <c r="H393" s="70"/>
      <c r="I393" s="70"/>
      <c r="J393" s="71"/>
      <c r="K393" s="72"/>
      <c r="L393" s="70"/>
      <c r="M393" s="70"/>
      <c r="N393" s="82"/>
      <c r="O393" s="70"/>
      <c r="P393" s="70"/>
      <c r="Q393" s="70"/>
      <c r="R393" s="71"/>
      <c r="S393" s="72"/>
      <c r="T393" s="70"/>
      <c r="U393" s="70"/>
      <c r="V393" s="71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</row>
    <row r="394">
      <c r="A394" s="70"/>
      <c r="B394" s="70"/>
      <c r="C394" s="70"/>
      <c r="D394" s="71"/>
      <c r="E394" s="72"/>
      <c r="F394" s="70"/>
      <c r="G394" s="69"/>
      <c r="H394" s="70"/>
      <c r="I394" s="70"/>
      <c r="J394" s="71"/>
      <c r="K394" s="72"/>
      <c r="L394" s="70"/>
      <c r="M394" s="70"/>
      <c r="N394" s="82"/>
      <c r="O394" s="70"/>
      <c r="P394" s="70"/>
      <c r="Q394" s="70"/>
      <c r="R394" s="71"/>
      <c r="S394" s="72"/>
      <c r="T394" s="70"/>
      <c r="U394" s="70"/>
      <c r="V394" s="71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</row>
    <row r="395">
      <c r="A395" s="70"/>
      <c r="B395" s="70"/>
      <c r="C395" s="70"/>
      <c r="D395" s="71"/>
      <c r="E395" s="72"/>
      <c r="F395" s="70"/>
      <c r="G395" s="69"/>
      <c r="H395" s="70"/>
      <c r="I395" s="70"/>
      <c r="J395" s="71"/>
      <c r="K395" s="72"/>
      <c r="L395" s="70"/>
      <c r="M395" s="70"/>
      <c r="N395" s="82"/>
      <c r="O395" s="70"/>
      <c r="P395" s="70"/>
      <c r="Q395" s="70"/>
      <c r="R395" s="71"/>
      <c r="S395" s="72"/>
      <c r="T395" s="70"/>
      <c r="U395" s="70"/>
      <c r="V395" s="71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</row>
    <row r="396">
      <c r="A396" s="70"/>
      <c r="B396" s="70"/>
      <c r="C396" s="70"/>
      <c r="D396" s="71"/>
      <c r="E396" s="72"/>
      <c r="F396" s="70"/>
      <c r="G396" s="69"/>
      <c r="H396" s="70"/>
      <c r="I396" s="70"/>
      <c r="J396" s="71"/>
      <c r="K396" s="72"/>
      <c r="L396" s="70"/>
      <c r="M396" s="70"/>
      <c r="N396" s="82"/>
      <c r="O396" s="70"/>
      <c r="P396" s="70"/>
      <c r="Q396" s="70"/>
      <c r="R396" s="71"/>
      <c r="S396" s="72"/>
      <c r="T396" s="70"/>
      <c r="U396" s="70"/>
      <c r="V396" s="71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</row>
    <row r="397">
      <c r="A397" s="70"/>
      <c r="B397" s="70"/>
      <c r="C397" s="70"/>
      <c r="D397" s="71"/>
      <c r="E397" s="72"/>
      <c r="F397" s="70"/>
      <c r="G397" s="69"/>
      <c r="H397" s="70"/>
      <c r="I397" s="70"/>
      <c r="J397" s="71"/>
      <c r="K397" s="72"/>
      <c r="L397" s="70"/>
      <c r="M397" s="70"/>
      <c r="N397" s="82"/>
      <c r="O397" s="70"/>
      <c r="P397" s="70"/>
      <c r="Q397" s="70"/>
      <c r="R397" s="71"/>
      <c r="S397" s="72"/>
      <c r="T397" s="70"/>
      <c r="U397" s="70"/>
      <c r="V397" s="71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</row>
    <row r="398">
      <c r="A398" s="70"/>
      <c r="B398" s="70"/>
      <c r="C398" s="70"/>
      <c r="D398" s="71"/>
      <c r="E398" s="72"/>
      <c r="F398" s="70"/>
      <c r="G398" s="69"/>
      <c r="H398" s="70"/>
      <c r="I398" s="70"/>
      <c r="J398" s="71"/>
      <c r="K398" s="72"/>
      <c r="L398" s="70"/>
      <c r="M398" s="70"/>
      <c r="N398" s="82"/>
      <c r="O398" s="70"/>
      <c r="P398" s="70"/>
      <c r="Q398" s="70"/>
      <c r="R398" s="71"/>
      <c r="S398" s="72"/>
      <c r="T398" s="70"/>
      <c r="U398" s="70"/>
      <c r="V398" s="71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</row>
    <row r="399">
      <c r="A399" s="70"/>
      <c r="B399" s="70"/>
      <c r="C399" s="70"/>
      <c r="D399" s="71"/>
      <c r="E399" s="72"/>
      <c r="F399" s="70"/>
      <c r="G399" s="69"/>
      <c r="H399" s="70"/>
      <c r="I399" s="70"/>
      <c r="J399" s="71"/>
      <c r="K399" s="72"/>
      <c r="L399" s="70"/>
      <c r="M399" s="70"/>
      <c r="N399" s="82"/>
      <c r="O399" s="70"/>
      <c r="P399" s="70"/>
      <c r="Q399" s="70"/>
      <c r="R399" s="71"/>
      <c r="S399" s="72"/>
      <c r="T399" s="70"/>
      <c r="U399" s="70"/>
      <c r="V399" s="71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</row>
    <row r="400">
      <c r="A400" s="70"/>
      <c r="B400" s="70"/>
      <c r="C400" s="70"/>
      <c r="D400" s="71"/>
      <c r="E400" s="72"/>
      <c r="F400" s="70"/>
      <c r="G400" s="69"/>
      <c r="H400" s="70"/>
      <c r="I400" s="70"/>
      <c r="J400" s="71"/>
      <c r="K400" s="72"/>
      <c r="L400" s="70"/>
      <c r="M400" s="70"/>
      <c r="N400" s="82"/>
      <c r="O400" s="70"/>
      <c r="P400" s="70"/>
      <c r="Q400" s="70"/>
      <c r="R400" s="71"/>
      <c r="S400" s="72"/>
      <c r="T400" s="70"/>
      <c r="U400" s="70"/>
      <c r="V400" s="71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</row>
    <row r="401">
      <c r="A401" s="70"/>
      <c r="B401" s="70"/>
      <c r="C401" s="70"/>
      <c r="D401" s="71"/>
      <c r="E401" s="72"/>
      <c r="F401" s="70"/>
      <c r="G401" s="69"/>
      <c r="H401" s="70"/>
      <c r="I401" s="70"/>
      <c r="J401" s="71"/>
      <c r="K401" s="72"/>
      <c r="L401" s="70"/>
      <c r="M401" s="70"/>
      <c r="N401" s="82"/>
      <c r="O401" s="70"/>
      <c r="P401" s="70"/>
      <c r="Q401" s="70"/>
      <c r="R401" s="71"/>
      <c r="S401" s="72"/>
      <c r="T401" s="70"/>
      <c r="U401" s="70"/>
      <c r="V401" s="71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</row>
    <row r="402">
      <c r="A402" s="70"/>
      <c r="B402" s="70"/>
      <c r="C402" s="70"/>
      <c r="D402" s="71"/>
      <c r="E402" s="72"/>
      <c r="F402" s="70"/>
      <c r="G402" s="69"/>
      <c r="H402" s="70"/>
      <c r="I402" s="70"/>
      <c r="J402" s="71"/>
      <c r="K402" s="72"/>
      <c r="L402" s="70"/>
      <c r="M402" s="70"/>
      <c r="N402" s="82"/>
      <c r="O402" s="70"/>
      <c r="P402" s="70"/>
      <c r="Q402" s="70"/>
      <c r="R402" s="71"/>
      <c r="S402" s="72"/>
      <c r="T402" s="70"/>
      <c r="U402" s="70"/>
      <c r="V402" s="71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</row>
    <row r="403">
      <c r="A403" s="70"/>
      <c r="B403" s="70"/>
      <c r="C403" s="70"/>
      <c r="D403" s="71"/>
      <c r="E403" s="72"/>
      <c r="F403" s="70"/>
      <c r="G403" s="69"/>
      <c r="H403" s="70"/>
      <c r="I403" s="70"/>
      <c r="J403" s="71"/>
      <c r="K403" s="72"/>
      <c r="L403" s="70"/>
      <c r="M403" s="70"/>
      <c r="N403" s="82"/>
      <c r="O403" s="70"/>
      <c r="P403" s="70"/>
      <c r="Q403" s="70"/>
      <c r="R403" s="71"/>
      <c r="S403" s="72"/>
      <c r="T403" s="70"/>
      <c r="U403" s="70"/>
      <c r="V403" s="71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</row>
    <row r="404">
      <c r="A404" s="70"/>
      <c r="B404" s="70"/>
      <c r="C404" s="70"/>
      <c r="D404" s="71"/>
      <c r="E404" s="72"/>
      <c r="F404" s="70"/>
      <c r="G404" s="69"/>
      <c r="H404" s="70"/>
      <c r="I404" s="70"/>
      <c r="J404" s="71"/>
      <c r="K404" s="72"/>
      <c r="L404" s="70"/>
      <c r="M404" s="70"/>
      <c r="N404" s="82"/>
      <c r="O404" s="70"/>
      <c r="P404" s="70"/>
      <c r="Q404" s="70"/>
      <c r="R404" s="71"/>
      <c r="S404" s="72"/>
      <c r="T404" s="70"/>
      <c r="U404" s="70"/>
      <c r="V404" s="71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</row>
    <row r="405">
      <c r="A405" s="70"/>
      <c r="B405" s="70"/>
      <c r="C405" s="70"/>
      <c r="D405" s="71"/>
      <c r="E405" s="72"/>
      <c r="F405" s="70"/>
      <c r="G405" s="69"/>
      <c r="H405" s="70"/>
      <c r="I405" s="70"/>
      <c r="J405" s="71"/>
      <c r="K405" s="72"/>
      <c r="L405" s="70"/>
      <c r="M405" s="70"/>
      <c r="N405" s="82"/>
      <c r="O405" s="70"/>
      <c r="P405" s="70"/>
      <c r="Q405" s="70"/>
      <c r="R405" s="71"/>
      <c r="S405" s="72"/>
      <c r="T405" s="70"/>
      <c r="U405" s="70"/>
      <c r="V405" s="71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</row>
    <row r="406">
      <c r="A406" s="70"/>
      <c r="B406" s="70"/>
      <c r="C406" s="70"/>
      <c r="D406" s="71"/>
      <c r="E406" s="72"/>
      <c r="F406" s="70"/>
      <c r="G406" s="69"/>
      <c r="H406" s="70"/>
      <c r="I406" s="70"/>
      <c r="J406" s="71"/>
      <c r="K406" s="72"/>
      <c r="L406" s="70"/>
      <c r="M406" s="70"/>
      <c r="N406" s="82"/>
      <c r="O406" s="70"/>
      <c r="P406" s="70"/>
      <c r="Q406" s="70"/>
      <c r="R406" s="71"/>
      <c r="S406" s="72"/>
      <c r="T406" s="70"/>
      <c r="U406" s="70"/>
      <c r="V406" s="71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</row>
    <row r="407">
      <c r="A407" s="70"/>
      <c r="B407" s="70"/>
      <c r="C407" s="70"/>
      <c r="D407" s="71"/>
      <c r="E407" s="72"/>
      <c r="F407" s="70"/>
      <c r="G407" s="69"/>
      <c r="H407" s="70"/>
      <c r="I407" s="70"/>
      <c r="J407" s="71"/>
      <c r="K407" s="72"/>
      <c r="L407" s="70"/>
      <c r="M407" s="70"/>
      <c r="N407" s="82"/>
      <c r="O407" s="70"/>
      <c r="P407" s="70"/>
      <c r="Q407" s="70"/>
      <c r="R407" s="71"/>
      <c r="S407" s="72"/>
      <c r="T407" s="70"/>
      <c r="U407" s="70"/>
      <c r="V407" s="71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</row>
    <row r="408">
      <c r="A408" s="70"/>
      <c r="B408" s="70"/>
      <c r="C408" s="70"/>
      <c r="D408" s="71"/>
      <c r="E408" s="72"/>
      <c r="F408" s="70"/>
      <c r="G408" s="69"/>
      <c r="H408" s="70"/>
      <c r="I408" s="70"/>
      <c r="J408" s="71"/>
      <c r="K408" s="72"/>
      <c r="L408" s="70"/>
      <c r="M408" s="70"/>
      <c r="N408" s="82"/>
      <c r="O408" s="70"/>
      <c r="P408" s="70"/>
      <c r="Q408" s="70"/>
      <c r="R408" s="71"/>
      <c r="S408" s="72"/>
      <c r="T408" s="70"/>
      <c r="U408" s="70"/>
      <c r="V408" s="71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</row>
    <row r="409">
      <c r="A409" s="70"/>
      <c r="B409" s="70"/>
      <c r="C409" s="70"/>
      <c r="D409" s="71"/>
      <c r="E409" s="72"/>
      <c r="F409" s="70"/>
      <c r="G409" s="69"/>
      <c r="H409" s="70"/>
      <c r="I409" s="70"/>
      <c r="J409" s="71"/>
      <c r="K409" s="72"/>
      <c r="L409" s="70"/>
      <c r="M409" s="70"/>
      <c r="N409" s="82"/>
      <c r="O409" s="70"/>
      <c r="P409" s="70"/>
      <c r="Q409" s="70"/>
      <c r="R409" s="71"/>
      <c r="S409" s="72"/>
      <c r="T409" s="70"/>
      <c r="U409" s="70"/>
      <c r="V409" s="71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</row>
    <row r="410">
      <c r="A410" s="70"/>
      <c r="B410" s="70"/>
      <c r="C410" s="70"/>
      <c r="D410" s="71"/>
      <c r="E410" s="72"/>
      <c r="F410" s="70"/>
      <c r="G410" s="69"/>
      <c r="H410" s="70"/>
      <c r="I410" s="70"/>
      <c r="J410" s="71"/>
      <c r="K410" s="72"/>
      <c r="L410" s="70"/>
      <c r="M410" s="70"/>
      <c r="N410" s="82"/>
      <c r="O410" s="70"/>
      <c r="P410" s="70"/>
      <c r="Q410" s="70"/>
      <c r="R410" s="71"/>
      <c r="S410" s="72"/>
      <c r="T410" s="70"/>
      <c r="U410" s="70"/>
      <c r="V410" s="71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</row>
    <row r="411">
      <c r="A411" s="70"/>
      <c r="B411" s="70"/>
      <c r="C411" s="70"/>
      <c r="D411" s="71"/>
      <c r="E411" s="72"/>
      <c r="F411" s="70"/>
      <c r="G411" s="69"/>
      <c r="H411" s="70"/>
      <c r="I411" s="70"/>
      <c r="J411" s="71"/>
      <c r="K411" s="72"/>
      <c r="L411" s="70"/>
      <c r="M411" s="70"/>
      <c r="N411" s="82"/>
      <c r="O411" s="70"/>
      <c r="P411" s="70"/>
      <c r="Q411" s="70"/>
      <c r="R411" s="71"/>
      <c r="S411" s="72"/>
      <c r="T411" s="70"/>
      <c r="U411" s="70"/>
      <c r="V411" s="71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</row>
    <row r="412">
      <c r="A412" s="70"/>
      <c r="B412" s="70"/>
      <c r="C412" s="70"/>
      <c r="D412" s="71"/>
      <c r="E412" s="72"/>
      <c r="F412" s="70"/>
      <c r="G412" s="69"/>
      <c r="H412" s="70"/>
      <c r="I412" s="70"/>
      <c r="J412" s="71"/>
      <c r="K412" s="72"/>
      <c r="L412" s="70"/>
      <c r="M412" s="70"/>
      <c r="N412" s="82"/>
      <c r="O412" s="70"/>
      <c r="P412" s="70"/>
      <c r="Q412" s="70"/>
      <c r="R412" s="71"/>
      <c r="S412" s="72"/>
      <c r="T412" s="70"/>
      <c r="U412" s="70"/>
      <c r="V412" s="71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</row>
    <row r="413">
      <c r="A413" s="70"/>
      <c r="B413" s="70"/>
      <c r="C413" s="70"/>
      <c r="D413" s="71"/>
      <c r="E413" s="72"/>
      <c r="F413" s="70"/>
      <c r="G413" s="69"/>
      <c r="H413" s="70"/>
      <c r="I413" s="70"/>
      <c r="J413" s="71"/>
      <c r="K413" s="72"/>
      <c r="L413" s="70"/>
      <c r="M413" s="70"/>
      <c r="N413" s="82"/>
      <c r="O413" s="70"/>
      <c r="P413" s="70"/>
      <c r="Q413" s="70"/>
      <c r="R413" s="71"/>
      <c r="S413" s="72"/>
      <c r="T413" s="70"/>
      <c r="U413" s="70"/>
      <c r="V413" s="71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</row>
    <row r="414">
      <c r="A414" s="70"/>
      <c r="B414" s="70"/>
      <c r="C414" s="70"/>
      <c r="D414" s="71"/>
      <c r="E414" s="72"/>
      <c r="F414" s="70"/>
      <c r="G414" s="69"/>
      <c r="H414" s="70"/>
      <c r="I414" s="70"/>
      <c r="J414" s="71"/>
      <c r="K414" s="72"/>
      <c r="L414" s="70"/>
      <c r="M414" s="70"/>
      <c r="N414" s="82"/>
      <c r="O414" s="70"/>
      <c r="P414" s="70"/>
      <c r="Q414" s="70"/>
      <c r="R414" s="71"/>
      <c r="S414" s="72"/>
      <c r="T414" s="70"/>
      <c r="U414" s="70"/>
      <c r="V414" s="71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</row>
    <row r="415">
      <c r="A415" s="70"/>
      <c r="B415" s="70"/>
      <c r="C415" s="70"/>
      <c r="D415" s="71"/>
      <c r="E415" s="72"/>
      <c r="F415" s="70"/>
      <c r="G415" s="69"/>
      <c r="H415" s="70"/>
      <c r="I415" s="70"/>
      <c r="J415" s="71"/>
      <c r="K415" s="72"/>
      <c r="L415" s="70"/>
      <c r="M415" s="70"/>
      <c r="N415" s="82"/>
      <c r="O415" s="70"/>
      <c r="P415" s="70"/>
      <c r="Q415" s="70"/>
      <c r="R415" s="71"/>
      <c r="S415" s="72"/>
      <c r="T415" s="70"/>
      <c r="U415" s="70"/>
      <c r="V415" s="71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</row>
    <row r="416">
      <c r="A416" s="70"/>
      <c r="B416" s="70"/>
      <c r="C416" s="70"/>
      <c r="D416" s="71"/>
      <c r="E416" s="72"/>
      <c r="F416" s="70"/>
      <c r="G416" s="69"/>
      <c r="H416" s="70"/>
      <c r="I416" s="70"/>
      <c r="J416" s="71"/>
      <c r="K416" s="72"/>
      <c r="L416" s="70"/>
      <c r="M416" s="70"/>
      <c r="N416" s="82"/>
      <c r="O416" s="70"/>
      <c r="P416" s="70"/>
      <c r="Q416" s="70"/>
      <c r="R416" s="71"/>
      <c r="S416" s="72"/>
      <c r="T416" s="70"/>
      <c r="U416" s="70"/>
      <c r="V416" s="71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</row>
    <row r="417">
      <c r="A417" s="70"/>
      <c r="B417" s="70"/>
      <c r="C417" s="70"/>
      <c r="D417" s="71"/>
      <c r="E417" s="72"/>
      <c r="F417" s="70"/>
      <c r="G417" s="69"/>
      <c r="H417" s="70"/>
      <c r="I417" s="70"/>
      <c r="J417" s="71"/>
      <c r="K417" s="72"/>
      <c r="L417" s="70"/>
      <c r="M417" s="70"/>
      <c r="N417" s="82"/>
      <c r="O417" s="70"/>
      <c r="P417" s="70"/>
      <c r="Q417" s="70"/>
      <c r="R417" s="71"/>
      <c r="S417" s="72"/>
      <c r="T417" s="70"/>
      <c r="U417" s="70"/>
      <c r="V417" s="71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</row>
    <row r="418">
      <c r="A418" s="70"/>
      <c r="B418" s="70"/>
      <c r="C418" s="70"/>
      <c r="D418" s="71"/>
      <c r="E418" s="72"/>
      <c r="F418" s="70"/>
      <c r="G418" s="69"/>
      <c r="H418" s="70"/>
      <c r="I418" s="70"/>
      <c r="J418" s="71"/>
      <c r="K418" s="72"/>
      <c r="L418" s="70"/>
      <c r="M418" s="70"/>
      <c r="N418" s="82"/>
      <c r="O418" s="70"/>
      <c r="P418" s="70"/>
      <c r="Q418" s="70"/>
      <c r="R418" s="71"/>
      <c r="S418" s="72"/>
      <c r="T418" s="70"/>
      <c r="U418" s="70"/>
      <c r="V418" s="71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</row>
    <row r="419">
      <c r="A419" s="70"/>
      <c r="B419" s="70"/>
      <c r="C419" s="70"/>
      <c r="D419" s="71"/>
      <c r="E419" s="72"/>
      <c r="F419" s="70"/>
      <c r="G419" s="69"/>
      <c r="H419" s="70"/>
      <c r="I419" s="70"/>
      <c r="J419" s="71"/>
      <c r="K419" s="72"/>
      <c r="L419" s="70"/>
      <c r="M419" s="70"/>
      <c r="N419" s="82"/>
      <c r="O419" s="70"/>
      <c r="P419" s="70"/>
      <c r="Q419" s="70"/>
      <c r="R419" s="71"/>
      <c r="S419" s="72"/>
      <c r="T419" s="70"/>
      <c r="U419" s="70"/>
      <c r="V419" s="71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</row>
    <row r="420">
      <c r="A420" s="70"/>
      <c r="B420" s="70"/>
      <c r="C420" s="70"/>
      <c r="D420" s="71"/>
      <c r="E420" s="72"/>
      <c r="F420" s="70"/>
      <c r="G420" s="69"/>
      <c r="H420" s="70"/>
      <c r="I420" s="70"/>
      <c r="J420" s="71"/>
      <c r="K420" s="72"/>
      <c r="L420" s="70"/>
      <c r="M420" s="70"/>
      <c r="N420" s="82"/>
      <c r="O420" s="70"/>
      <c r="P420" s="70"/>
      <c r="Q420" s="70"/>
      <c r="R420" s="71"/>
      <c r="S420" s="72"/>
      <c r="T420" s="70"/>
      <c r="U420" s="70"/>
      <c r="V420" s="71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</row>
    <row r="421">
      <c r="A421" s="70"/>
      <c r="B421" s="70"/>
      <c r="C421" s="70"/>
      <c r="D421" s="71"/>
      <c r="E421" s="72"/>
      <c r="F421" s="70"/>
      <c r="G421" s="69"/>
      <c r="H421" s="70"/>
      <c r="I421" s="70"/>
      <c r="J421" s="71"/>
      <c r="K421" s="72"/>
      <c r="L421" s="70"/>
      <c r="M421" s="70"/>
      <c r="N421" s="82"/>
      <c r="O421" s="70"/>
      <c r="P421" s="70"/>
      <c r="Q421" s="70"/>
      <c r="R421" s="71"/>
      <c r="S421" s="72"/>
      <c r="T421" s="70"/>
      <c r="U421" s="70"/>
      <c r="V421" s="71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</row>
    <row r="422">
      <c r="A422" s="70"/>
      <c r="B422" s="70"/>
      <c r="C422" s="70"/>
      <c r="D422" s="71"/>
      <c r="E422" s="72"/>
      <c r="F422" s="70"/>
      <c r="G422" s="69"/>
      <c r="H422" s="70"/>
      <c r="I422" s="70"/>
      <c r="J422" s="71"/>
      <c r="K422" s="72"/>
      <c r="L422" s="70"/>
      <c r="M422" s="70"/>
      <c r="N422" s="82"/>
      <c r="O422" s="70"/>
      <c r="P422" s="70"/>
      <c r="Q422" s="70"/>
      <c r="R422" s="71"/>
      <c r="S422" s="72"/>
      <c r="T422" s="70"/>
      <c r="U422" s="70"/>
      <c r="V422" s="71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</row>
    <row r="423">
      <c r="A423" s="70"/>
      <c r="B423" s="70"/>
      <c r="C423" s="70"/>
      <c r="D423" s="71"/>
      <c r="E423" s="72"/>
      <c r="F423" s="70"/>
      <c r="G423" s="69"/>
      <c r="H423" s="70"/>
      <c r="I423" s="70"/>
      <c r="J423" s="71"/>
      <c r="K423" s="72"/>
      <c r="L423" s="70"/>
      <c r="M423" s="70"/>
      <c r="N423" s="82"/>
      <c r="O423" s="70"/>
      <c r="P423" s="70"/>
      <c r="Q423" s="70"/>
      <c r="R423" s="71"/>
      <c r="S423" s="72"/>
      <c r="T423" s="70"/>
      <c r="U423" s="70"/>
      <c r="V423" s="71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</row>
    <row r="424">
      <c r="A424" s="70"/>
      <c r="B424" s="70"/>
      <c r="C424" s="70"/>
      <c r="D424" s="71"/>
      <c r="E424" s="72"/>
      <c r="F424" s="70"/>
      <c r="G424" s="69"/>
      <c r="H424" s="70"/>
      <c r="I424" s="70"/>
      <c r="J424" s="71"/>
      <c r="K424" s="72"/>
      <c r="L424" s="70"/>
      <c r="M424" s="70"/>
      <c r="N424" s="82"/>
      <c r="O424" s="70"/>
      <c r="P424" s="70"/>
      <c r="Q424" s="70"/>
      <c r="R424" s="71"/>
      <c r="S424" s="72"/>
      <c r="T424" s="70"/>
      <c r="U424" s="70"/>
      <c r="V424" s="71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</row>
    <row r="425">
      <c r="A425" s="70"/>
      <c r="B425" s="70"/>
      <c r="C425" s="70"/>
      <c r="D425" s="71"/>
      <c r="E425" s="72"/>
      <c r="F425" s="70"/>
      <c r="G425" s="69"/>
      <c r="H425" s="70"/>
      <c r="I425" s="70"/>
      <c r="J425" s="71"/>
      <c r="K425" s="72"/>
      <c r="L425" s="70"/>
      <c r="M425" s="70"/>
      <c r="N425" s="82"/>
      <c r="O425" s="70"/>
      <c r="P425" s="70"/>
      <c r="Q425" s="70"/>
      <c r="R425" s="71"/>
      <c r="S425" s="72"/>
      <c r="T425" s="70"/>
      <c r="U425" s="70"/>
      <c r="V425" s="71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</row>
    <row r="426">
      <c r="A426" s="70"/>
      <c r="B426" s="70"/>
      <c r="C426" s="70"/>
      <c r="D426" s="71"/>
      <c r="E426" s="72"/>
      <c r="F426" s="70"/>
      <c r="G426" s="69"/>
      <c r="H426" s="70"/>
      <c r="I426" s="70"/>
      <c r="J426" s="71"/>
      <c r="K426" s="72"/>
      <c r="L426" s="70"/>
      <c r="M426" s="70"/>
      <c r="N426" s="82"/>
      <c r="O426" s="70"/>
      <c r="P426" s="70"/>
      <c r="Q426" s="70"/>
      <c r="R426" s="71"/>
      <c r="S426" s="72"/>
      <c r="T426" s="70"/>
      <c r="U426" s="70"/>
      <c r="V426" s="71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</row>
    <row r="427">
      <c r="A427" s="70"/>
      <c r="B427" s="70"/>
      <c r="C427" s="70"/>
      <c r="D427" s="71"/>
      <c r="E427" s="72"/>
      <c r="F427" s="70"/>
      <c r="G427" s="69"/>
      <c r="H427" s="70"/>
      <c r="I427" s="70"/>
      <c r="J427" s="71"/>
      <c r="K427" s="72"/>
      <c r="L427" s="70"/>
      <c r="M427" s="70"/>
      <c r="N427" s="82"/>
      <c r="O427" s="70"/>
      <c r="P427" s="70"/>
      <c r="Q427" s="70"/>
      <c r="R427" s="71"/>
      <c r="S427" s="72"/>
      <c r="T427" s="70"/>
      <c r="U427" s="70"/>
      <c r="V427" s="71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</row>
    <row r="428">
      <c r="A428" s="70"/>
      <c r="B428" s="70"/>
      <c r="C428" s="70"/>
      <c r="D428" s="71"/>
      <c r="E428" s="72"/>
      <c r="F428" s="70"/>
      <c r="G428" s="69"/>
      <c r="H428" s="70"/>
      <c r="I428" s="70"/>
      <c r="J428" s="71"/>
      <c r="K428" s="72"/>
      <c r="L428" s="70"/>
      <c r="M428" s="70"/>
      <c r="N428" s="82"/>
      <c r="O428" s="70"/>
      <c r="P428" s="70"/>
      <c r="Q428" s="70"/>
      <c r="R428" s="71"/>
      <c r="S428" s="72"/>
      <c r="T428" s="70"/>
      <c r="U428" s="70"/>
      <c r="V428" s="71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</row>
    <row r="429">
      <c r="A429" s="70"/>
      <c r="B429" s="70"/>
      <c r="C429" s="70"/>
      <c r="D429" s="71"/>
      <c r="E429" s="72"/>
      <c r="F429" s="70"/>
      <c r="G429" s="69"/>
      <c r="H429" s="70"/>
      <c r="I429" s="70"/>
      <c r="J429" s="71"/>
      <c r="K429" s="72"/>
      <c r="L429" s="70"/>
      <c r="M429" s="70"/>
      <c r="N429" s="82"/>
      <c r="O429" s="70"/>
      <c r="P429" s="70"/>
      <c r="Q429" s="70"/>
      <c r="R429" s="71"/>
      <c r="S429" s="72"/>
      <c r="T429" s="70"/>
      <c r="U429" s="70"/>
      <c r="V429" s="71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</row>
    <row r="430">
      <c r="A430" s="70"/>
      <c r="B430" s="70"/>
      <c r="C430" s="70"/>
      <c r="D430" s="71"/>
      <c r="E430" s="72"/>
      <c r="F430" s="70"/>
      <c r="G430" s="69"/>
      <c r="H430" s="70"/>
      <c r="I430" s="70"/>
      <c r="J430" s="71"/>
      <c r="K430" s="72"/>
      <c r="L430" s="70"/>
      <c r="M430" s="70"/>
      <c r="N430" s="82"/>
      <c r="O430" s="70"/>
      <c r="P430" s="70"/>
      <c r="Q430" s="70"/>
      <c r="R430" s="71"/>
      <c r="S430" s="72"/>
      <c r="T430" s="70"/>
      <c r="U430" s="70"/>
      <c r="V430" s="71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</row>
    <row r="431">
      <c r="A431" s="70"/>
      <c r="B431" s="70"/>
      <c r="C431" s="70"/>
      <c r="D431" s="71"/>
      <c r="E431" s="72"/>
      <c r="F431" s="70"/>
      <c r="G431" s="69"/>
      <c r="H431" s="70"/>
      <c r="I431" s="70"/>
      <c r="J431" s="71"/>
      <c r="K431" s="72"/>
      <c r="L431" s="70"/>
      <c r="M431" s="70"/>
      <c r="N431" s="82"/>
      <c r="O431" s="70"/>
      <c r="P431" s="70"/>
      <c r="Q431" s="70"/>
      <c r="R431" s="71"/>
      <c r="S431" s="72"/>
      <c r="T431" s="70"/>
      <c r="U431" s="70"/>
      <c r="V431" s="71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</row>
    <row r="432">
      <c r="A432" s="70"/>
      <c r="B432" s="70"/>
      <c r="C432" s="70"/>
      <c r="D432" s="71"/>
      <c r="E432" s="72"/>
      <c r="F432" s="70"/>
      <c r="G432" s="69"/>
      <c r="H432" s="70"/>
      <c r="I432" s="70"/>
      <c r="J432" s="71"/>
      <c r="K432" s="72"/>
      <c r="L432" s="70"/>
      <c r="M432" s="70"/>
      <c r="N432" s="82"/>
      <c r="O432" s="70"/>
      <c r="P432" s="70"/>
      <c r="Q432" s="70"/>
      <c r="R432" s="71"/>
      <c r="S432" s="72"/>
      <c r="T432" s="70"/>
      <c r="U432" s="70"/>
      <c r="V432" s="71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</row>
    <row r="433">
      <c r="A433" s="70"/>
      <c r="B433" s="70"/>
      <c r="C433" s="70"/>
      <c r="D433" s="71"/>
      <c r="E433" s="72"/>
      <c r="F433" s="70"/>
      <c r="G433" s="69"/>
      <c r="H433" s="70"/>
      <c r="I433" s="70"/>
      <c r="J433" s="71"/>
      <c r="K433" s="72"/>
      <c r="L433" s="70"/>
      <c r="M433" s="70"/>
      <c r="N433" s="82"/>
      <c r="O433" s="70"/>
      <c r="P433" s="70"/>
      <c r="Q433" s="70"/>
      <c r="R433" s="71"/>
      <c r="S433" s="72"/>
      <c r="T433" s="70"/>
      <c r="U433" s="70"/>
      <c r="V433" s="71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</row>
    <row r="434">
      <c r="A434" s="70"/>
      <c r="B434" s="70"/>
      <c r="C434" s="70"/>
      <c r="D434" s="71"/>
      <c r="E434" s="72"/>
      <c r="F434" s="70"/>
      <c r="G434" s="69"/>
      <c r="H434" s="70"/>
      <c r="I434" s="70"/>
      <c r="J434" s="71"/>
      <c r="K434" s="72"/>
      <c r="L434" s="70"/>
      <c r="M434" s="70"/>
      <c r="N434" s="82"/>
      <c r="O434" s="70"/>
      <c r="P434" s="70"/>
      <c r="Q434" s="70"/>
      <c r="R434" s="71"/>
      <c r="S434" s="72"/>
      <c r="T434" s="70"/>
      <c r="U434" s="70"/>
      <c r="V434" s="71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</row>
    <row r="435">
      <c r="A435" s="70"/>
      <c r="B435" s="70"/>
      <c r="C435" s="70"/>
      <c r="D435" s="71"/>
      <c r="E435" s="72"/>
      <c r="F435" s="70"/>
      <c r="G435" s="69"/>
      <c r="H435" s="70"/>
      <c r="I435" s="70"/>
      <c r="J435" s="71"/>
      <c r="K435" s="72"/>
      <c r="L435" s="70"/>
      <c r="M435" s="70"/>
      <c r="N435" s="82"/>
      <c r="O435" s="70"/>
      <c r="P435" s="70"/>
      <c r="Q435" s="70"/>
      <c r="R435" s="71"/>
      <c r="S435" s="72"/>
      <c r="T435" s="70"/>
      <c r="U435" s="70"/>
      <c r="V435" s="71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</row>
    <row r="436">
      <c r="A436" s="70"/>
      <c r="B436" s="70"/>
      <c r="C436" s="70"/>
      <c r="D436" s="71"/>
      <c r="E436" s="72"/>
      <c r="F436" s="70"/>
      <c r="G436" s="69"/>
      <c r="H436" s="70"/>
      <c r="I436" s="70"/>
      <c r="J436" s="71"/>
      <c r="K436" s="72"/>
      <c r="L436" s="70"/>
      <c r="M436" s="70"/>
      <c r="N436" s="82"/>
      <c r="O436" s="70"/>
      <c r="P436" s="70"/>
      <c r="Q436" s="70"/>
      <c r="R436" s="71"/>
      <c r="S436" s="72"/>
      <c r="T436" s="70"/>
      <c r="U436" s="70"/>
      <c r="V436" s="71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</row>
    <row r="437">
      <c r="A437" s="70"/>
      <c r="B437" s="70"/>
      <c r="C437" s="70"/>
      <c r="D437" s="71"/>
      <c r="E437" s="72"/>
      <c r="F437" s="70"/>
      <c r="G437" s="69"/>
      <c r="H437" s="70"/>
      <c r="I437" s="70"/>
      <c r="J437" s="71"/>
      <c r="K437" s="72"/>
      <c r="L437" s="70"/>
      <c r="M437" s="70"/>
      <c r="N437" s="82"/>
      <c r="O437" s="70"/>
      <c r="P437" s="70"/>
      <c r="Q437" s="70"/>
      <c r="R437" s="71"/>
      <c r="S437" s="72"/>
      <c r="T437" s="70"/>
      <c r="U437" s="70"/>
      <c r="V437" s="71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</row>
    <row r="438">
      <c r="A438" s="70"/>
      <c r="B438" s="70"/>
      <c r="C438" s="70"/>
      <c r="D438" s="71"/>
      <c r="E438" s="72"/>
      <c r="F438" s="70"/>
      <c r="G438" s="69"/>
      <c r="H438" s="70"/>
      <c r="I438" s="70"/>
      <c r="J438" s="71"/>
      <c r="K438" s="72"/>
      <c r="L438" s="70"/>
      <c r="M438" s="70"/>
      <c r="N438" s="82"/>
      <c r="O438" s="70"/>
      <c r="P438" s="70"/>
      <c r="Q438" s="70"/>
      <c r="R438" s="71"/>
      <c r="S438" s="72"/>
      <c r="T438" s="70"/>
      <c r="U438" s="70"/>
      <c r="V438" s="71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</row>
    <row r="439">
      <c r="A439" s="70"/>
      <c r="B439" s="70"/>
      <c r="C439" s="70"/>
      <c r="D439" s="71"/>
      <c r="E439" s="72"/>
      <c r="F439" s="70"/>
      <c r="G439" s="69"/>
      <c r="H439" s="70"/>
      <c r="I439" s="70"/>
      <c r="J439" s="71"/>
      <c r="K439" s="72"/>
      <c r="L439" s="70"/>
      <c r="M439" s="70"/>
      <c r="N439" s="82"/>
      <c r="O439" s="70"/>
      <c r="P439" s="70"/>
      <c r="Q439" s="70"/>
      <c r="R439" s="71"/>
      <c r="S439" s="72"/>
      <c r="T439" s="70"/>
      <c r="U439" s="70"/>
      <c r="V439" s="71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</row>
    <row r="440">
      <c r="A440" s="70"/>
      <c r="B440" s="70"/>
      <c r="C440" s="70"/>
      <c r="D440" s="71"/>
      <c r="E440" s="72"/>
      <c r="F440" s="70"/>
      <c r="G440" s="69"/>
      <c r="H440" s="70"/>
      <c r="I440" s="70"/>
      <c r="J440" s="71"/>
      <c r="K440" s="72"/>
      <c r="L440" s="70"/>
      <c r="M440" s="70"/>
      <c r="N440" s="82"/>
      <c r="O440" s="70"/>
      <c r="P440" s="70"/>
      <c r="Q440" s="70"/>
      <c r="R440" s="71"/>
      <c r="S440" s="72"/>
      <c r="T440" s="70"/>
      <c r="U440" s="70"/>
      <c r="V440" s="71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</row>
    <row r="441">
      <c r="A441" s="70"/>
      <c r="B441" s="70"/>
      <c r="C441" s="70"/>
      <c r="D441" s="71"/>
      <c r="E441" s="72"/>
      <c r="F441" s="70"/>
      <c r="G441" s="69"/>
      <c r="H441" s="70"/>
      <c r="I441" s="70"/>
      <c r="J441" s="71"/>
      <c r="K441" s="72"/>
      <c r="L441" s="70"/>
      <c r="M441" s="70"/>
      <c r="N441" s="82"/>
      <c r="O441" s="70"/>
      <c r="P441" s="70"/>
      <c r="Q441" s="70"/>
      <c r="R441" s="71"/>
      <c r="S441" s="72"/>
      <c r="T441" s="70"/>
      <c r="U441" s="70"/>
      <c r="V441" s="71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</row>
    <row r="442">
      <c r="A442" s="70"/>
      <c r="B442" s="70"/>
      <c r="C442" s="70"/>
      <c r="D442" s="71"/>
      <c r="E442" s="72"/>
      <c r="F442" s="70"/>
      <c r="G442" s="69"/>
      <c r="H442" s="70"/>
      <c r="I442" s="70"/>
      <c r="J442" s="71"/>
      <c r="K442" s="72"/>
      <c r="L442" s="70"/>
      <c r="M442" s="70"/>
      <c r="N442" s="82"/>
      <c r="O442" s="70"/>
      <c r="P442" s="70"/>
      <c r="Q442" s="70"/>
      <c r="R442" s="71"/>
      <c r="S442" s="72"/>
      <c r="T442" s="70"/>
      <c r="U442" s="70"/>
      <c r="V442" s="71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</row>
    <row r="443">
      <c r="A443" s="70"/>
      <c r="B443" s="70"/>
      <c r="C443" s="70"/>
      <c r="D443" s="71"/>
      <c r="E443" s="72"/>
      <c r="F443" s="70"/>
      <c r="G443" s="69"/>
      <c r="H443" s="70"/>
      <c r="I443" s="70"/>
      <c r="J443" s="71"/>
      <c r="K443" s="72"/>
      <c r="L443" s="70"/>
      <c r="M443" s="70"/>
      <c r="N443" s="82"/>
      <c r="O443" s="70"/>
      <c r="P443" s="70"/>
      <c r="Q443" s="70"/>
      <c r="R443" s="71"/>
      <c r="S443" s="72"/>
      <c r="T443" s="70"/>
      <c r="U443" s="70"/>
      <c r="V443" s="71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</row>
    <row r="444">
      <c r="A444" s="70"/>
      <c r="B444" s="70"/>
      <c r="C444" s="70"/>
      <c r="D444" s="71"/>
      <c r="E444" s="72"/>
      <c r="F444" s="70"/>
      <c r="G444" s="69"/>
      <c r="H444" s="70"/>
      <c r="I444" s="70"/>
      <c r="J444" s="71"/>
      <c r="K444" s="72"/>
      <c r="L444" s="70"/>
      <c r="M444" s="70"/>
      <c r="N444" s="82"/>
      <c r="O444" s="70"/>
      <c r="P444" s="70"/>
      <c r="Q444" s="70"/>
      <c r="R444" s="71"/>
      <c r="S444" s="72"/>
      <c r="T444" s="70"/>
      <c r="U444" s="70"/>
      <c r="V444" s="71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</row>
    <row r="445">
      <c r="A445" s="70"/>
      <c r="B445" s="70"/>
      <c r="C445" s="70"/>
      <c r="D445" s="71"/>
      <c r="E445" s="72"/>
      <c r="F445" s="70"/>
      <c r="G445" s="69"/>
      <c r="H445" s="70"/>
      <c r="I445" s="70"/>
      <c r="J445" s="71"/>
      <c r="K445" s="72"/>
      <c r="L445" s="70"/>
      <c r="M445" s="70"/>
      <c r="N445" s="82"/>
      <c r="O445" s="70"/>
      <c r="P445" s="70"/>
      <c r="Q445" s="70"/>
      <c r="R445" s="71"/>
      <c r="S445" s="72"/>
      <c r="T445" s="70"/>
      <c r="U445" s="70"/>
      <c r="V445" s="71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</row>
    <row r="446">
      <c r="A446" s="70"/>
      <c r="B446" s="70"/>
      <c r="C446" s="70"/>
      <c r="D446" s="71"/>
      <c r="E446" s="72"/>
      <c r="F446" s="70"/>
      <c r="G446" s="69"/>
      <c r="H446" s="70"/>
      <c r="I446" s="70"/>
      <c r="J446" s="71"/>
      <c r="K446" s="72"/>
      <c r="L446" s="70"/>
      <c r="M446" s="70"/>
      <c r="N446" s="82"/>
      <c r="O446" s="70"/>
      <c r="P446" s="70"/>
      <c r="Q446" s="70"/>
      <c r="R446" s="71"/>
      <c r="S446" s="72"/>
      <c r="T446" s="70"/>
      <c r="U446" s="70"/>
      <c r="V446" s="71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</row>
    <row r="447">
      <c r="A447" s="70"/>
      <c r="B447" s="70"/>
      <c r="C447" s="70"/>
      <c r="D447" s="71"/>
      <c r="E447" s="72"/>
      <c r="F447" s="70"/>
      <c r="G447" s="69"/>
      <c r="H447" s="70"/>
      <c r="I447" s="70"/>
      <c r="J447" s="71"/>
      <c r="K447" s="72"/>
      <c r="L447" s="70"/>
      <c r="M447" s="70"/>
      <c r="N447" s="82"/>
      <c r="O447" s="70"/>
      <c r="P447" s="70"/>
      <c r="Q447" s="70"/>
      <c r="R447" s="71"/>
      <c r="S447" s="72"/>
      <c r="T447" s="70"/>
      <c r="U447" s="70"/>
      <c r="V447" s="71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</row>
    <row r="448">
      <c r="A448" s="70"/>
      <c r="B448" s="70"/>
      <c r="C448" s="70"/>
      <c r="D448" s="71"/>
      <c r="E448" s="72"/>
      <c r="F448" s="70"/>
      <c r="G448" s="69"/>
      <c r="H448" s="70"/>
      <c r="I448" s="70"/>
      <c r="J448" s="71"/>
      <c r="K448" s="72"/>
      <c r="L448" s="70"/>
      <c r="M448" s="70"/>
      <c r="N448" s="82"/>
      <c r="O448" s="70"/>
      <c r="P448" s="70"/>
      <c r="Q448" s="70"/>
      <c r="R448" s="71"/>
      <c r="S448" s="72"/>
      <c r="T448" s="70"/>
      <c r="U448" s="70"/>
      <c r="V448" s="71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</row>
    <row r="449">
      <c r="A449" s="70"/>
      <c r="B449" s="70"/>
      <c r="C449" s="70"/>
      <c r="D449" s="71"/>
      <c r="E449" s="72"/>
      <c r="F449" s="70"/>
      <c r="G449" s="69"/>
      <c r="H449" s="70"/>
      <c r="I449" s="70"/>
      <c r="J449" s="71"/>
      <c r="K449" s="72"/>
      <c r="L449" s="70"/>
      <c r="M449" s="70"/>
      <c r="N449" s="82"/>
      <c r="O449" s="70"/>
      <c r="P449" s="70"/>
      <c r="Q449" s="70"/>
      <c r="R449" s="71"/>
      <c r="S449" s="72"/>
      <c r="T449" s="70"/>
      <c r="U449" s="70"/>
      <c r="V449" s="71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</row>
    <row r="450">
      <c r="A450" s="70"/>
      <c r="B450" s="70"/>
      <c r="C450" s="70"/>
      <c r="D450" s="71"/>
      <c r="E450" s="72"/>
      <c r="F450" s="70"/>
      <c r="G450" s="69"/>
      <c r="H450" s="70"/>
      <c r="I450" s="70"/>
      <c r="J450" s="71"/>
      <c r="K450" s="72"/>
      <c r="L450" s="70"/>
      <c r="M450" s="70"/>
      <c r="N450" s="82"/>
      <c r="O450" s="70"/>
      <c r="P450" s="70"/>
      <c r="Q450" s="70"/>
      <c r="R450" s="71"/>
      <c r="S450" s="72"/>
      <c r="T450" s="70"/>
      <c r="U450" s="70"/>
      <c r="V450" s="71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</row>
    <row r="451">
      <c r="A451" s="70"/>
      <c r="B451" s="70"/>
      <c r="C451" s="70"/>
      <c r="D451" s="71"/>
      <c r="E451" s="72"/>
      <c r="F451" s="70"/>
      <c r="G451" s="69"/>
      <c r="H451" s="70"/>
      <c r="I451" s="70"/>
      <c r="J451" s="71"/>
      <c r="K451" s="72"/>
      <c r="L451" s="70"/>
      <c r="M451" s="70"/>
      <c r="N451" s="82"/>
      <c r="O451" s="70"/>
      <c r="P451" s="70"/>
      <c r="Q451" s="70"/>
      <c r="R451" s="71"/>
      <c r="S451" s="72"/>
      <c r="T451" s="70"/>
      <c r="U451" s="70"/>
      <c r="V451" s="71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</row>
    <row r="452">
      <c r="A452" s="70"/>
      <c r="B452" s="70"/>
      <c r="C452" s="70"/>
      <c r="D452" s="71"/>
      <c r="E452" s="72"/>
      <c r="F452" s="70"/>
      <c r="G452" s="69"/>
      <c r="H452" s="70"/>
      <c r="I452" s="70"/>
      <c r="J452" s="71"/>
      <c r="K452" s="72"/>
      <c r="L452" s="70"/>
      <c r="M452" s="70"/>
      <c r="N452" s="82"/>
      <c r="O452" s="70"/>
      <c r="P452" s="70"/>
      <c r="Q452" s="70"/>
      <c r="R452" s="71"/>
      <c r="S452" s="72"/>
      <c r="T452" s="70"/>
      <c r="U452" s="70"/>
      <c r="V452" s="71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</row>
    <row r="453">
      <c r="A453" s="70"/>
      <c r="B453" s="70"/>
      <c r="C453" s="70"/>
      <c r="D453" s="71"/>
      <c r="E453" s="72"/>
      <c r="F453" s="70"/>
      <c r="G453" s="69"/>
      <c r="H453" s="70"/>
      <c r="I453" s="70"/>
      <c r="J453" s="71"/>
      <c r="K453" s="72"/>
      <c r="L453" s="70"/>
      <c r="M453" s="70"/>
      <c r="N453" s="82"/>
      <c r="O453" s="70"/>
      <c r="P453" s="70"/>
      <c r="Q453" s="70"/>
      <c r="R453" s="71"/>
      <c r="S453" s="72"/>
      <c r="T453" s="70"/>
      <c r="U453" s="70"/>
      <c r="V453" s="71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</row>
    <row r="454">
      <c r="A454" s="70"/>
      <c r="B454" s="70"/>
      <c r="C454" s="70"/>
      <c r="D454" s="71"/>
      <c r="E454" s="72"/>
      <c r="F454" s="70"/>
      <c r="G454" s="69"/>
      <c r="H454" s="70"/>
      <c r="I454" s="70"/>
      <c r="J454" s="71"/>
      <c r="K454" s="72"/>
      <c r="L454" s="70"/>
      <c r="M454" s="70"/>
      <c r="N454" s="82"/>
      <c r="O454" s="70"/>
      <c r="P454" s="70"/>
      <c r="Q454" s="70"/>
      <c r="R454" s="71"/>
      <c r="S454" s="72"/>
      <c r="T454" s="70"/>
      <c r="U454" s="70"/>
      <c r="V454" s="71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</row>
    <row r="455">
      <c r="A455" s="70"/>
      <c r="B455" s="70"/>
      <c r="C455" s="70"/>
      <c r="D455" s="71"/>
      <c r="E455" s="72"/>
      <c r="F455" s="70"/>
      <c r="G455" s="69"/>
      <c r="H455" s="70"/>
      <c r="I455" s="70"/>
      <c r="J455" s="71"/>
      <c r="K455" s="72"/>
      <c r="L455" s="70"/>
      <c r="M455" s="70"/>
      <c r="N455" s="82"/>
      <c r="O455" s="70"/>
      <c r="P455" s="70"/>
      <c r="Q455" s="70"/>
      <c r="R455" s="71"/>
      <c r="S455" s="72"/>
      <c r="T455" s="70"/>
      <c r="U455" s="70"/>
      <c r="V455" s="71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</row>
    <row r="456">
      <c r="A456" s="70"/>
      <c r="B456" s="70"/>
      <c r="C456" s="70"/>
      <c r="D456" s="71"/>
      <c r="E456" s="72"/>
      <c r="F456" s="70"/>
      <c r="G456" s="69"/>
      <c r="H456" s="70"/>
      <c r="I456" s="70"/>
      <c r="J456" s="71"/>
      <c r="K456" s="72"/>
      <c r="L456" s="70"/>
      <c r="M456" s="70"/>
      <c r="N456" s="82"/>
      <c r="O456" s="70"/>
      <c r="P456" s="70"/>
      <c r="Q456" s="70"/>
      <c r="R456" s="71"/>
      <c r="S456" s="72"/>
      <c r="T456" s="70"/>
      <c r="U456" s="70"/>
      <c r="V456" s="71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</row>
    <row r="457">
      <c r="A457" s="70"/>
      <c r="B457" s="70"/>
      <c r="C457" s="70"/>
      <c r="D457" s="71"/>
      <c r="E457" s="72"/>
      <c r="F457" s="70"/>
      <c r="G457" s="69"/>
      <c r="H457" s="70"/>
      <c r="I457" s="70"/>
      <c r="J457" s="71"/>
      <c r="K457" s="72"/>
      <c r="L457" s="70"/>
      <c r="M457" s="70"/>
      <c r="N457" s="82"/>
      <c r="O457" s="70"/>
      <c r="P457" s="70"/>
      <c r="Q457" s="70"/>
      <c r="R457" s="71"/>
      <c r="S457" s="72"/>
      <c r="T457" s="70"/>
      <c r="U457" s="70"/>
      <c r="V457" s="71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</row>
    <row r="458">
      <c r="A458" s="70"/>
      <c r="B458" s="70"/>
      <c r="C458" s="70"/>
      <c r="D458" s="71"/>
      <c r="E458" s="72"/>
      <c r="F458" s="70"/>
      <c r="G458" s="69"/>
      <c r="H458" s="70"/>
      <c r="I458" s="70"/>
      <c r="J458" s="71"/>
      <c r="K458" s="72"/>
      <c r="L458" s="70"/>
      <c r="M458" s="70"/>
      <c r="N458" s="82"/>
      <c r="O458" s="70"/>
      <c r="P458" s="70"/>
      <c r="Q458" s="70"/>
      <c r="R458" s="71"/>
      <c r="S458" s="72"/>
      <c r="T458" s="70"/>
      <c r="U458" s="70"/>
      <c r="V458" s="71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</row>
    <row r="459">
      <c r="A459" s="70"/>
      <c r="B459" s="70"/>
      <c r="C459" s="70"/>
      <c r="D459" s="71"/>
      <c r="E459" s="72"/>
      <c r="F459" s="70"/>
      <c r="G459" s="69"/>
      <c r="H459" s="70"/>
      <c r="I459" s="70"/>
      <c r="J459" s="71"/>
      <c r="K459" s="72"/>
      <c r="L459" s="70"/>
      <c r="M459" s="70"/>
      <c r="N459" s="82"/>
      <c r="O459" s="70"/>
      <c r="P459" s="70"/>
      <c r="Q459" s="70"/>
      <c r="R459" s="71"/>
      <c r="S459" s="72"/>
      <c r="T459" s="70"/>
      <c r="U459" s="70"/>
      <c r="V459" s="71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</row>
    <row r="460">
      <c r="A460" s="70"/>
      <c r="B460" s="70"/>
      <c r="C460" s="70"/>
      <c r="D460" s="71"/>
      <c r="E460" s="72"/>
      <c r="F460" s="70"/>
      <c r="G460" s="69"/>
      <c r="H460" s="70"/>
      <c r="I460" s="70"/>
      <c r="J460" s="71"/>
      <c r="K460" s="72"/>
      <c r="L460" s="70"/>
      <c r="M460" s="70"/>
      <c r="N460" s="82"/>
      <c r="O460" s="70"/>
      <c r="P460" s="70"/>
      <c r="Q460" s="70"/>
      <c r="R460" s="71"/>
      <c r="S460" s="72"/>
      <c r="T460" s="70"/>
      <c r="U460" s="70"/>
      <c r="V460" s="71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</row>
    <row r="461">
      <c r="A461" s="70"/>
      <c r="B461" s="70"/>
      <c r="C461" s="70"/>
      <c r="D461" s="71"/>
      <c r="E461" s="72"/>
      <c r="F461" s="70"/>
      <c r="G461" s="69"/>
      <c r="H461" s="70"/>
      <c r="I461" s="70"/>
      <c r="J461" s="71"/>
      <c r="K461" s="72"/>
      <c r="L461" s="70"/>
      <c r="M461" s="70"/>
      <c r="N461" s="82"/>
      <c r="O461" s="70"/>
      <c r="P461" s="70"/>
      <c r="Q461" s="70"/>
      <c r="R461" s="71"/>
      <c r="S461" s="72"/>
      <c r="T461" s="70"/>
      <c r="U461" s="70"/>
      <c r="V461" s="71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</row>
    <row r="462">
      <c r="A462" s="70"/>
      <c r="B462" s="70"/>
      <c r="C462" s="70"/>
      <c r="D462" s="71"/>
      <c r="E462" s="72"/>
      <c r="F462" s="70"/>
      <c r="G462" s="69"/>
      <c r="H462" s="70"/>
      <c r="I462" s="70"/>
      <c r="J462" s="71"/>
      <c r="K462" s="72"/>
      <c r="L462" s="70"/>
      <c r="M462" s="70"/>
      <c r="N462" s="82"/>
      <c r="O462" s="70"/>
      <c r="P462" s="70"/>
      <c r="Q462" s="70"/>
      <c r="R462" s="71"/>
      <c r="S462" s="72"/>
      <c r="T462" s="70"/>
      <c r="U462" s="70"/>
      <c r="V462" s="71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</row>
    <row r="463">
      <c r="A463" s="70"/>
      <c r="B463" s="70"/>
      <c r="C463" s="70"/>
      <c r="D463" s="71"/>
      <c r="E463" s="72"/>
      <c r="F463" s="70"/>
      <c r="G463" s="69"/>
      <c r="H463" s="70"/>
      <c r="I463" s="70"/>
      <c r="J463" s="71"/>
      <c r="K463" s="72"/>
      <c r="L463" s="70"/>
      <c r="M463" s="70"/>
      <c r="N463" s="82"/>
      <c r="O463" s="70"/>
      <c r="P463" s="70"/>
      <c r="Q463" s="70"/>
      <c r="R463" s="71"/>
      <c r="S463" s="72"/>
      <c r="T463" s="70"/>
      <c r="U463" s="70"/>
      <c r="V463" s="71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</row>
    <row r="464">
      <c r="A464" s="70"/>
      <c r="B464" s="70"/>
      <c r="C464" s="70"/>
      <c r="D464" s="71"/>
      <c r="E464" s="72"/>
      <c r="F464" s="70"/>
      <c r="G464" s="69"/>
      <c r="H464" s="70"/>
      <c r="I464" s="70"/>
      <c r="J464" s="71"/>
      <c r="K464" s="72"/>
      <c r="L464" s="70"/>
      <c r="M464" s="70"/>
      <c r="N464" s="82"/>
      <c r="O464" s="70"/>
      <c r="P464" s="70"/>
      <c r="Q464" s="70"/>
      <c r="R464" s="71"/>
      <c r="S464" s="72"/>
      <c r="T464" s="70"/>
      <c r="U464" s="70"/>
      <c r="V464" s="71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</row>
    <row r="465">
      <c r="A465" s="70"/>
      <c r="B465" s="70"/>
      <c r="C465" s="70"/>
      <c r="D465" s="71"/>
      <c r="E465" s="72"/>
      <c r="F465" s="70"/>
      <c r="G465" s="69"/>
      <c r="H465" s="70"/>
      <c r="I465" s="70"/>
      <c r="J465" s="71"/>
      <c r="K465" s="72"/>
      <c r="L465" s="70"/>
      <c r="M465" s="70"/>
      <c r="N465" s="82"/>
      <c r="O465" s="70"/>
      <c r="P465" s="70"/>
      <c r="Q465" s="70"/>
      <c r="R465" s="71"/>
      <c r="S465" s="72"/>
      <c r="T465" s="70"/>
      <c r="U465" s="70"/>
      <c r="V465" s="71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</row>
    <row r="466">
      <c r="A466" s="70"/>
      <c r="B466" s="70"/>
      <c r="C466" s="70"/>
      <c r="D466" s="71"/>
      <c r="E466" s="72"/>
      <c r="F466" s="70"/>
      <c r="G466" s="69"/>
      <c r="H466" s="70"/>
      <c r="I466" s="70"/>
      <c r="J466" s="71"/>
      <c r="K466" s="72"/>
      <c r="L466" s="70"/>
      <c r="M466" s="70"/>
      <c r="N466" s="82"/>
      <c r="O466" s="70"/>
      <c r="P466" s="70"/>
      <c r="Q466" s="70"/>
      <c r="R466" s="71"/>
      <c r="S466" s="72"/>
      <c r="T466" s="70"/>
      <c r="U466" s="70"/>
      <c r="V466" s="71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</row>
    <row r="467">
      <c r="A467" s="70"/>
      <c r="B467" s="70"/>
      <c r="C467" s="70"/>
      <c r="D467" s="71"/>
      <c r="E467" s="72"/>
      <c r="F467" s="70"/>
      <c r="G467" s="69"/>
      <c r="H467" s="70"/>
      <c r="I467" s="70"/>
      <c r="J467" s="71"/>
      <c r="K467" s="72"/>
      <c r="L467" s="70"/>
      <c r="M467" s="70"/>
      <c r="N467" s="82"/>
      <c r="O467" s="70"/>
      <c r="P467" s="70"/>
      <c r="Q467" s="70"/>
      <c r="R467" s="71"/>
      <c r="S467" s="72"/>
      <c r="T467" s="70"/>
      <c r="U467" s="70"/>
      <c r="V467" s="71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</row>
    <row r="468">
      <c r="A468" s="70"/>
      <c r="B468" s="70"/>
      <c r="C468" s="70"/>
      <c r="D468" s="71"/>
      <c r="E468" s="72"/>
      <c r="F468" s="70"/>
      <c r="G468" s="69"/>
      <c r="H468" s="70"/>
      <c r="I468" s="70"/>
      <c r="J468" s="71"/>
      <c r="K468" s="72"/>
      <c r="L468" s="70"/>
      <c r="M468" s="70"/>
      <c r="N468" s="82"/>
      <c r="O468" s="70"/>
      <c r="P468" s="70"/>
      <c r="Q468" s="70"/>
      <c r="R468" s="71"/>
      <c r="S468" s="72"/>
      <c r="T468" s="70"/>
      <c r="U468" s="70"/>
      <c r="V468" s="71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</row>
    <row r="469">
      <c r="A469" s="70"/>
      <c r="B469" s="70"/>
      <c r="C469" s="70"/>
      <c r="D469" s="71"/>
      <c r="E469" s="72"/>
      <c r="F469" s="70"/>
      <c r="G469" s="69"/>
      <c r="H469" s="70"/>
      <c r="I469" s="70"/>
      <c r="J469" s="71"/>
      <c r="K469" s="72"/>
      <c r="L469" s="70"/>
      <c r="M469" s="70"/>
      <c r="N469" s="82"/>
      <c r="O469" s="70"/>
      <c r="P469" s="70"/>
      <c r="Q469" s="70"/>
      <c r="R469" s="71"/>
      <c r="S469" s="72"/>
      <c r="T469" s="70"/>
      <c r="U469" s="70"/>
      <c r="V469" s="71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</row>
    <row r="470">
      <c r="A470" s="70"/>
      <c r="B470" s="70"/>
      <c r="C470" s="70"/>
      <c r="D470" s="71"/>
      <c r="E470" s="72"/>
      <c r="F470" s="70"/>
      <c r="G470" s="69"/>
      <c r="H470" s="70"/>
      <c r="I470" s="70"/>
      <c r="J470" s="71"/>
      <c r="K470" s="72"/>
      <c r="L470" s="70"/>
      <c r="M470" s="70"/>
      <c r="N470" s="82"/>
      <c r="O470" s="70"/>
      <c r="P470" s="70"/>
      <c r="Q470" s="70"/>
      <c r="R470" s="71"/>
      <c r="S470" s="72"/>
      <c r="T470" s="70"/>
      <c r="U470" s="70"/>
      <c r="V470" s="71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</row>
    <row r="471">
      <c r="A471" s="70"/>
      <c r="B471" s="70"/>
      <c r="C471" s="70"/>
      <c r="D471" s="71"/>
      <c r="E471" s="72"/>
      <c r="F471" s="70"/>
      <c r="G471" s="69"/>
      <c r="H471" s="70"/>
      <c r="I471" s="70"/>
      <c r="J471" s="71"/>
      <c r="K471" s="72"/>
      <c r="L471" s="70"/>
      <c r="M471" s="70"/>
      <c r="N471" s="82"/>
      <c r="O471" s="70"/>
      <c r="P471" s="70"/>
      <c r="Q471" s="70"/>
      <c r="R471" s="71"/>
      <c r="S471" s="72"/>
      <c r="T471" s="70"/>
      <c r="U471" s="70"/>
      <c r="V471" s="71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</row>
    <row r="472">
      <c r="A472" s="70"/>
      <c r="B472" s="70"/>
      <c r="C472" s="70"/>
      <c r="D472" s="71"/>
      <c r="E472" s="72"/>
      <c r="F472" s="70"/>
      <c r="G472" s="69"/>
      <c r="H472" s="70"/>
      <c r="I472" s="70"/>
      <c r="J472" s="71"/>
      <c r="K472" s="72"/>
      <c r="L472" s="70"/>
      <c r="M472" s="70"/>
      <c r="N472" s="82"/>
      <c r="O472" s="70"/>
      <c r="P472" s="70"/>
      <c r="Q472" s="70"/>
      <c r="R472" s="71"/>
      <c r="S472" s="72"/>
      <c r="T472" s="70"/>
      <c r="U472" s="70"/>
      <c r="V472" s="71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</row>
    <row r="473">
      <c r="A473" s="70"/>
      <c r="B473" s="70"/>
      <c r="C473" s="70"/>
      <c r="D473" s="71"/>
      <c r="E473" s="72"/>
      <c r="F473" s="70"/>
      <c r="G473" s="69"/>
      <c r="H473" s="70"/>
      <c r="I473" s="70"/>
      <c r="J473" s="71"/>
      <c r="K473" s="72"/>
      <c r="L473" s="70"/>
      <c r="M473" s="70"/>
      <c r="N473" s="82"/>
      <c r="O473" s="70"/>
      <c r="P473" s="70"/>
      <c r="Q473" s="70"/>
      <c r="R473" s="71"/>
      <c r="S473" s="72"/>
      <c r="T473" s="70"/>
      <c r="U473" s="70"/>
      <c r="V473" s="71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</row>
    <row r="474">
      <c r="A474" s="70"/>
      <c r="B474" s="70"/>
      <c r="C474" s="70"/>
      <c r="D474" s="71"/>
      <c r="E474" s="72"/>
      <c r="F474" s="70"/>
      <c r="G474" s="69"/>
      <c r="H474" s="70"/>
      <c r="I474" s="70"/>
      <c r="J474" s="71"/>
      <c r="K474" s="72"/>
      <c r="L474" s="70"/>
      <c r="M474" s="70"/>
      <c r="N474" s="82"/>
      <c r="O474" s="70"/>
      <c r="P474" s="70"/>
      <c r="Q474" s="70"/>
      <c r="R474" s="71"/>
      <c r="S474" s="72"/>
      <c r="T474" s="70"/>
      <c r="U474" s="70"/>
      <c r="V474" s="71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</row>
    <row r="475">
      <c r="A475" s="70"/>
      <c r="B475" s="70"/>
      <c r="C475" s="70"/>
      <c r="D475" s="71"/>
      <c r="E475" s="72"/>
      <c r="F475" s="70"/>
      <c r="G475" s="69"/>
      <c r="H475" s="70"/>
      <c r="I475" s="70"/>
      <c r="J475" s="71"/>
      <c r="K475" s="72"/>
      <c r="L475" s="70"/>
      <c r="M475" s="70"/>
      <c r="N475" s="82"/>
      <c r="O475" s="70"/>
      <c r="P475" s="70"/>
      <c r="Q475" s="70"/>
      <c r="R475" s="71"/>
      <c r="S475" s="72"/>
      <c r="T475" s="70"/>
      <c r="U475" s="70"/>
      <c r="V475" s="71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</row>
    <row r="476">
      <c r="A476" s="70"/>
      <c r="B476" s="70"/>
      <c r="C476" s="70"/>
      <c r="D476" s="71"/>
      <c r="E476" s="72"/>
      <c r="F476" s="70"/>
      <c r="G476" s="69"/>
      <c r="H476" s="70"/>
      <c r="I476" s="70"/>
      <c r="J476" s="71"/>
      <c r="K476" s="72"/>
      <c r="L476" s="70"/>
      <c r="M476" s="70"/>
      <c r="N476" s="82"/>
      <c r="O476" s="70"/>
      <c r="P476" s="70"/>
      <c r="Q476" s="70"/>
      <c r="R476" s="71"/>
      <c r="S476" s="72"/>
      <c r="T476" s="70"/>
      <c r="U476" s="70"/>
      <c r="V476" s="71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</row>
    <row r="477">
      <c r="A477" s="70"/>
      <c r="B477" s="70"/>
      <c r="C477" s="70"/>
      <c r="D477" s="71"/>
      <c r="E477" s="72"/>
      <c r="F477" s="70"/>
      <c r="G477" s="69"/>
      <c r="H477" s="70"/>
      <c r="I477" s="70"/>
      <c r="J477" s="71"/>
      <c r="K477" s="72"/>
      <c r="L477" s="70"/>
      <c r="M477" s="70"/>
      <c r="N477" s="82"/>
      <c r="O477" s="70"/>
      <c r="P477" s="70"/>
      <c r="Q477" s="70"/>
      <c r="R477" s="71"/>
      <c r="S477" s="72"/>
      <c r="T477" s="70"/>
      <c r="U477" s="70"/>
      <c r="V477" s="71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</row>
    <row r="478">
      <c r="A478" s="70"/>
      <c r="B478" s="70"/>
      <c r="C478" s="70"/>
      <c r="D478" s="71"/>
      <c r="E478" s="72"/>
      <c r="F478" s="70"/>
      <c r="G478" s="69"/>
      <c r="H478" s="70"/>
      <c r="I478" s="70"/>
      <c r="J478" s="71"/>
      <c r="K478" s="72"/>
      <c r="L478" s="70"/>
      <c r="M478" s="70"/>
      <c r="N478" s="82"/>
      <c r="O478" s="70"/>
      <c r="P478" s="70"/>
      <c r="Q478" s="70"/>
      <c r="R478" s="71"/>
      <c r="S478" s="72"/>
      <c r="T478" s="70"/>
      <c r="U478" s="70"/>
      <c r="V478" s="71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</row>
    <row r="479">
      <c r="A479" s="70"/>
      <c r="B479" s="70"/>
      <c r="C479" s="70"/>
      <c r="D479" s="71"/>
      <c r="E479" s="72"/>
      <c r="F479" s="70"/>
      <c r="G479" s="69"/>
      <c r="H479" s="70"/>
      <c r="I479" s="70"/>
      <c r="J479" s="71"/>
      <c r="K479" s="72"/>
      <c r="L479" s="70"/>
      <c r="M479" s="70"/>
      <c r="N479" s="82"/>
      <c r="O479" s="70"/>
      <c r="P479" s="70"/>
      <c r="Q479" s="70"/>
      <c r="R479" s="71"/>
      <c r="S479" s="72"/>
      <c r="T479" s="70"/>
      <c r="U479" s="70"/>
      <c r="V479" s="71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</row>
    <row r="480">
      <c r="A480" s="70"/>
      <c r="B480" s="70"/>
      <c r="C480" s="70"/>
      <c r="D480" s="71"/>
      <c r="E480" s="72"/>
      <c r="F480" s="70"/>
      <c r="G480" s="69"/>
      <c r="H480" s="70"/>
      <c r="I480" s="70"/>
      <c r="J480" s="71"/>
      <c r="K480" s="72"/>
      <c r="L480" s="70"/>
      <c r="M480" s="70"/>
      <c r="N480" s="82"/>
      <c r="O480" s="70"/>
      <c r="P480" s="70"/>
      <c r="Q480" s="70"/>
      <c r="R480" s="71"/>
      <c r="S480" s="72"/>
      <c r="T480" s="70"/>
      <c r="U480" s="70"/>
      <c r="V480" s="71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</row>
    <row r="481">
      <c r="A481" s="70"/>
      <c r="B481" s="70"/>
      <c r="C481" s="70"/>
      <c r="D481" s="71"/>
      <c r="E481" s="72"/>
      <c r="F481" s="70"/>
      <c r="G481" s="69"/>
      <c r="H481" s="70"/>
      <c r="I481" s="70"/>
      <c r="J481" s="71"/>
      <c r="K481" s="72"/>
      <c r="L481" s="70"/>
      <c r="M481" s="70"/>
      <c r="N481" s="82"/>
      <c r="O481" s="70"/>
      <c r="P481" s="70"/>
      <c r="Q481" s="70"/>
      <c r="R481" s="71"/>
      <c r="S481" s="72"/>
      <c r="T481" s="70"/>
      <c r="U481" s="70"/>
      <c r="V481" s="71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</row>
    <row r="482">
      <c r="A482" s="70"/>
      <c r="B482" s="70"/>
      <c r="C482" s="70"/>
      <c r="D482" s="71"/>
      <c r="E482" s="72"/>
      <c r="F482" s="70"/>
      <c r="G482" s="69"/>
      <c r="H482" s="70"/>
      <c r="I482" s="70"/>
      <c r="J482" s="71"/>
      <c r="K482" s="72"/>
      <c r="L482" s="70"/>
      <c r="M482" s="70"/>
      <c r="N482" s="82"/>
      <c r="O482" s="70"/>
      <c r="P482" s="70"/>
      <c r="Q482" s="70"/>
      <c r="R482" s="71"/>
      <c r="S482" s="72"/>
      <c r="T482" s="70"/>
      <c r="U482" s="70"/>
      <c r="V482" s="71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</row>
    <row r="483">
      <c r="A483" s="70"/>
      <c r="B483" s="70"/>
      <c r="C483" s="70"/>
      <c r="D483" s="71"/>
      <c r="E483" s="72"/>
      <c r="F483" s="70"/>
      <c r="G483" s="69"/>
      <c r="H483" s="70"/>
      <c r="I483" s="70"/>
      <c r="J483" s="71"/>
      <c r="K483" s="72"/>
      <c r="L483" s="70"/>
      <c r="M483" s="70"/>
      <c r="N483" s="82"/>
      <c r="O483" s="70"/>
      <c r="P483" s="70"/>
      <c r="Q483" s="70"/>
      <c r="R483" s="71"/>
      <c r="S483" s="72"/>
      <c r="T483" s="70"/>
      <c r="U483" s="70"/>
      <c r="V483" s="71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</row>
    <row r="484">
      <c r="A484" s="70"/>
      <c r="B484" s="70"/>
      <c r="C484" s="70"/>
      <c r="D484" s="71"/>
      <c r="E484" s="72"/>
      <c r="F484" s="70"/>
      <c r="G484" s="69"/>
      <c r="H484" s="70"/>
      <c r="I484" s="70"/>
      <c r="J484" s="71"/>
      <c r="K484" s="72"/>
      <c r="L484" s="70"/>
      <c r="M484" s="70"/>
      <c r="N484" s="82"/>
      <c r="O484" s="70"/>
      <c r="P484" s="70"/>
      <c r="Q484" s="70"/>
      <c r="R484" s="71"/>
      <c r="S484" s="72"/>
      <c r="T484" s="70"/>
      <c r="U484" s="70"/>
      <c r="V484" s="71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</row>
    <row r="485">
      <c r="A485" s="70"/>
      <c r="B485" s="70"/>
      <c r="C485" s="70"/>
      <c r="D485" s="71"/>
      <c r="E485" s="72"/>
      <c r="F485" s="70"/>
      <c r="G485" s="69"/>
      <c r="H485" s="70"/>
      <c r="I485" s="70"/>
      <c r="J485" s="71"/>
      <c r="K485" s="72"/>
      <c r="L485" s="70"/>
      <c r="M485" s="70"/>
      <c r="N485" s="82"/>
      <c r="O485" s="70"/>
      <c r="P485" s="70"/>
      <c r="Q485" s="70"/>
      <c r="R485" s="71"/>
      <c r="S485" s="72"/>
      <c r="T485" s="70"/>
      <c r="U485" s="70"/>
      <c r="V485" s="71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</row>
    <row r="486">
      <c r="A486" s="70"/>
      <c r="B486" s="70"/>
      <c r="C486" s="70"/>
      <c r="D486" s="71"/>
      <c r="E486" s="72"/>
      <c r="F486" s="70"/>
      <c r="G486" s="69"/>
      <c r="H486" s="70"/>
      <c r="I486" s="70"/>
      <c r="J486" s="71"/>
      <c r="K486" s="72"/>
      <c r="L486" s="70"/>
      <c r="M486" s="70"/>
      <c r="N486" s="82"/>
      <c r="O486" s="70"/>
      <c r="P486" s="70"/>
      <c r="Q486" s="70"/>
      <c r="R486" s="71"/>
      <c r="S486" s="72"/>
      <c r="T486" s="70"/>
      <c r="U486" s="70"/>
      <c r="V486" s="71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</row>
    <row r="487">
      <c r="A487" s="70"/>
      <c r="B487" s="70"/>
      <c r="C487" s="70"/>
      <c r="D487" s="71"/>
      <c r="E487" s="72"/>
      <c r="F487" s="70"/>
      <c r="G487" s="69"/>
      <c r="H487" s="70"/>
      <c r="I487" s="70"/>
      <c r="J487" s="71"/>
      <c r="K487" s="72"/>
      <c r="L487" s="70"/>
      <c r="M487" s="70"/>
      <c r="N487" s="82"/>
      <c r="O487" s="70"/>
      <c r="P487" s="70"/>
      <c r="Q487" s="70"/>
      <c r="R487" s="71"/>
      <c r="S487" s="72"/>
      <c r="T487" s="70"/>
      <c r="U487" s="70"/>
      <c r="V487" s="71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</row>
    <row r="488">
      <c r="A488" s="70"/>
      <c r="B488" s="70"/>
      <c r="C488" s="70"/>
      <c r="D488" s="71"/>
      <c r="E488" s="72"/>
      <c r="F488" s="70"/>
      <c r="G488" s="69"/>
      <c r="H488" s="70"/>
      <c r="I488" s="70"/>
      <c r="J488" s="71"/>
      <c r="K488" s="72"/>
      <c r="L488" s="70"/>
      <c r="M488" s="70"/>
      <c r="N488" s="82"/>
      <c r="O488" s="70"/>
      <c r="P488" s="70"/>
      <c r="Q488" s="70"/>
      <c r="R488" s="71"/>
      <c r="S488" s="72"/>
      <c r="T488" s="70"/>
      <c r="U488" s="70"/>
      <c r="V488" s="71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</row>
    <row r="489">
      <c r="A489" s="70"/>
      <c r="B489" s="70"/>
      <c r="C489" s="70"/>
      <c r="D489" s="71"/>
      <c r="E489" s="72"/>
      <c r="F489" s="70"/>
      <c r="G489" s="69"/>
      <c r="H489" s="70"/>
      <c r="I489" s="70"/>
      <c r="J489" s="71"/>
      <c r="K489" s="72"/>
      <c r="L489" s="70"/>
      <c r="M489" s="70"/>
      <c r="N489" s="82"/>
      <c r="O489" s="70"/>
      <c r="P489" s="70"/>
      <c r="Q489" s="70"/>
      <c r="R489" s="71"/>
      <c r="S489" s="72"/>
      <c r="T489" s="70"/>
      <c r="U489" s="70"/>
      <c r="V489" s="71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</row>
    <row r="490">
      <c r="A490" s="70"/>
      <c r="B490" s="70"/>
      <c r="C490" s="70"/>
      <c r="D490" s="71"/>
      <c r="E490" s="72"/>
      <c r="F490" s="70"/>
      <c r="G490" s="69"/>
      <c r="H490" s="70"/>
      <c r="I490" s="70"/>
      <c r="J490" s="71"/>
      <c r="K490" s="72"/>
      <c r="L490" s="70"/>
      <c r="M490" s="70"/>
      <c r="N490" s="82"/>
      <c r="O490" s="70"/>
      <c r="P490" s="70"/>
      <c r="Q490" s="70"/>
      <c r="R490" s="71"/>
      <c r="S490" s="72"/>
      <c r="T490" s="70"/>
      <c r="U490" s="70"/>
      <c r="V490" s="71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</row>
    <row r="491">
      <c r="A491" s="70"/>
      <c r="B491" s="70"/>
      <c r="C491" s="70"/>
      <c r="D491" s="71"/>
      <c r="E491" s="72"/>
      <c r="F491" s="70"/>
      <c r="G491" s="69"/>
      <c r="H491" s="70"/>
      <c r="I491" s="70"/>
      <c r="J491" s="71"/>
      <c r="K491" s="72"/>
      <c r="L491" s="70"/>
      <c r="M491" s="70"/>
      <c r="N491" s="82"/>
      <c r="O491" s="70"/>
      <c r="P491" s="70"/>
      <c r="Q491" s="70"/>
      <c r="R491" s="71"/>
      <c r="S491" s="72"/>
      <c r="T491" s="70"/>
      <c r="U491" s="70"/>
      <c r="V491" s="71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</row>
    <row r="492">
      <c r="A492" s="70"/>
      <c r="B492" s="70"/>
      <c r="C492" s="70"/>
      <c r="D492" s="71"/>
      <c r="E492" s="72"/>
      <c r="F492" s="70"/>
      <c r="G492" s="69"/>
      <c r="H492" s="70"/>
      <c r="I492" s="70"/>
      <c r="J492" s="71"/>
      <c r="K492" s="72"/>
      <c r="L492" s="70"/>
      <c r="M492" s="70"/>
      <c r="N492" s="82"/>
      <c r="O492" s="70"/>
      <c r="P492" s="70"/>
      <c r="Q492" s="70"/>
      <c r="R492" s="71"/>
      <c r="S492" s="72"/>
      <c r="T492" s="70"/>
      <c r="U492" s="70"/>
      <c r="V492" s="71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</row>
    <row r="493">
      <c r="A493" s="70"/>
      <c r="B493" s="70"/>
      <c r="C493" s="70"/>
      <c r="D493" s="71"/>
      <c r="E493" s="72"/>
      <c r="F493" s="70"/>
      <c r="G493" s="69"/>
      <c r="H493" s="70"/>
      <c r="I493" s="70"/>
      <c r="J493" s="71"/>
      <c r="K493" s="72"/>
      <c r="L493" s="70"/>
      <c r="M493" s="70"/>
      <c r="N493" s="82"/>
      <c r="O493" s="70"/>
      <c r="P493" s="70"/>
      <c r="Q493" s="70"/>
      <c r="R493" s="71"/>
      <c r="S493" s="72"/>
      <c r="T493" s="70"/>
      <c r="U493" s="70"/>
      <c r="V493" s="71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</row>
    <row r="494">
      <c r="A494" s="70"/>
      <c r="B494" s="70"/>
      <c r="C494" s="70"/>
      <c r="D494" s="71"/>
      <c r="E494" s="72"/>
      <c r="F494" s="70"/>
      <c r="G494" s="69"/>
      <c r="H494" s="70"/>
      <c r="I494" s="70"/>
      <c r="J494" s="71"/>
      <c r="K494" s="72"/>
      <c r="L494" s="70"/>
      <c r="M494" s="70"/>
      <c r="N494" s="82"/>
      <c r="O494" s="70"/>
      <c r="P494" s="70"/>
      <c r="Q494" s="70"/>
      <c r="R494" s="71"/>
      <c r="S494" s="72"/>
      <c r="T494" s="70"/>
      <c r="U494" s="70"/>
      <c r="V494" s="71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</row>
    <row r="495">
      <c r="A495" s="70"/>
      <c r="B495" s="70"/>
      <c r="C495" s="70"/>
      <c r="D495" s="71"/>
      <c r="E495" s="72"/>
      <c r="F495" s="70"/>
      <c r="G495" s="69"/>
      <c r="H495" s="70"/>
      <c r="I495" s="70"/>
      <c r="J495" s="71"/>
      <c r="K495" s="72"/>
      <c r="L495" s="70"/>
      <c r="M495" s="70"/>
      <c r="N495" s="82"/>
      <c r="O495" s="70"/>
      <c r="P495" s="70"/>
      <c r="Q495" s="70"/>
      <c r="R495" s="71"/>
      <c r="S495" s="72"/>
      <c r="T495" s="70"/>
      <c r="U495" s="70"/>
      <c r="V495" s="71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</row>
    <row r="496">
      <c r="A496" s="70"/>
      <c r="B496" s="70"/>
      <c r="C496" s="70"/>
      <c r="D496" s="71"/>
      <c r="E496" s="72"/>
      <c r="F496" s="70"/>
      <c r="G496" s="69"/>
      <c r="H496" s="70"/>
      <c r="I496" s="70"/>
      <c r="J496" s="71"/>
      <c r="K496" s="72"/>
      <c r="L496" s="70"/>
      <c r="M496" s="70"/>
      <c r="N496" s="82"/>
      <c r="O496" s="70"/>
      <c r="P496" s="70"/>
      <c r="Q496" s="70"/>
      <c r="R496" s="71"/>
      <c r="S496" s="72"/>
      <c r="T496" s="70"/>
      <c r="U496" s="70"/>
      <c r="V496" s="71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</row>
    <row r="497">
      <c r="A497" s="70"/>
      <c r="B497" s="70"/>
      <c r="C497" s="70"/>
      <c r="D497" s="71"/>
      <c r="E497" s="72"/>
      <c r="F497" s="70"/>
      <c r="G497" s="69"/>
      <c r="H497" s="70"/>
      <c r="I497" s="70"/>
      <c r="J497" s="71"/>
      <c r="K497" s="72"/>
      <c r="L497" s="70"/>
      <c r="M497" s="70"/>
      <c r="N497" s="82"/>
      <c r="O497" s="70"/>
      <c r="P497" s="70"/>
      <c r="Q497" s="70"/>
      <c r="R497" s="71"/>
      <c r="S497" s="72"/>
      <c r="T497" s="70"/>
      <c r="U497" s="70"/>
      <c r="V497" s="71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</row>
    <row r="498">
      <c r="A498" s="70"/>
      <c r="B498" s="70"/>
      <c r="C498" s="70"/>
      <c r="D498" s="71"/>
      <c r="E498" s="72"/>
      <c r="F498" s="70"/>
      <c r="G498" s="69"/>
      <c r="H498" s="70"/>
      <c r="I498" s="70"/>
      <c r="J498" s="71"/>
      <c r="K498" s="72"/>
      <c r="L498" s="70"/>
      <c r="M498" s="70"/>
      <c r="N498" s="82"/>
      <c r="O498" s="70"/>
      <c r="P498" s="70"/>
      <c r="Q498" s="70"/>
      <c r="R498" s="71"/>
      <c r="S498" s="72"/>
      <c r="T498" s="70"/>
      <c r="U498" s="70"/>
      <c r="V498" s="71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</row>
    <row r="499">
      <c r="A499" s="70"/>
      <c r="B499" s="70"/>
      <c r="C499" s="70"/>
      <c r="D499" s="71"/>
      <c r="E499" s="72"/>
      <c r="F499" s="70"/>
      <c r="G499" s="69"/>
      <c r="H499" s="70"/>
      <c r="I499" s="70"/>
      <c r="J499" s="71"/>
      <c r="K499" s="72"/>
      <c r="L499" s="70"/>
      <c r="M499" s="70"/>
      <c r="N499" s="82"/>
      <c r="O499" s="70"/>
      <c r="P499" s="70"/>
      <c r="Q499" s="70"/>
      <c r="R499" s="71"/>
      <c r="S499" s="72"/>
      <c r="T499" s="70"/>
      <c r="U499" s="70"/>
      <c r="V499" s="71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</row>
    <row r="500">
      <c r="A500" s="70"/>
      <c r="B500" s="70"/>
      <c r="C500" s="70"/>
      <c r="D500" s="71"/>
      <c r="E500" s="72"/>
      <c r="F500" s="70"/>
      <c r="G500" s="69"/>
      <c r="H500" s="70"/>
      <c r="I500" s="70"/>
      <c r="J500" s="71"/>
      <c r="K500" s="72"/>
      <c r="L500" s="70"/>
      <c r="M500" s="70"/>
      <c r="N500" s="82"/>
      <c r="O500" s="70"/>
      <c r="P500" s="70"/>
      <c r="Q500" s="70"/>
      <c r="R500" s="71"/>
      <c r="S500" s="72"/>
      <c r="T500" s="70"/>
      <c r="U500" s="70"/>
      <c r="V500" s="71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</row>
    <row r="501">
      <c r="A501" s="70"/>
      <c r="B501" s="70"/>
      <c r="C501" s="70"/>
      <c r="D501" s="71"/>
      <c r="E501" s="72"/>
      <c r="F501" s="70"/>
      <c r="G501" s="69"/>
      <c r="H501" s="70"/>
      <c r="I501" s="70"/>
      <c r="J501" s="71"/>
      <c r="K501" s="72"/>
      <c r="L501" s="70"/>
      <c r="M501" s="70"/>
      <c r="N501" s="82"/>
      <c r="O501" s="70"/>
      <c r="P501" s="70"/>
      <c r="Q501" s="70"/>
      <c r="R501" s="71"/>
      <c r="S501" s="72"/>
      <c r="T501" s="70"/>
      <c r="U501" s="70"/>
      <c r="V501" s="71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</row>
    <row r="502">
      <c r="A502" s="70"/>
      <c r="B502" s="70"/>
      <c r="C502" s="70"/>
      <c r="D502" s="71"/>
      <c r="E502" s="72"/>
      <c r="F502" s="70"/>
      <c r="G502" s="69"/>
      <c r="H502" s="70"/>
      <c r="I502" s="70"/>
      <c r="J502" s="71"/>
      <c r="K502" s="72"/>
      <c r="L502" s="70"/>
      <c r="M502" s="70"/>
      <c r="N502" s="82"/>
      <c r="O502" s="70"/>
      <c r="P502" s="70"/>
      <c r="Q502" s="70"/>
      <c r="R502" s="71"/>
      <c r="S502" s="72"/>
      <c r="T502" s="70"/>
      <c r="U502" s="70"/>
      <c r="V502" s="71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</row>
    <row r="503">
      <c r="A503" s="70"/>
      <c r="B503" s="70"/>
      <c r="C503" s="70"/>
      <c r="D503" s="71"/>
      <c r="E503" s="72"/>
      <c r="F503" s="70"/>
      <c r="G503" s="69"/>
      <c r="H503" s="70"/>
      <c r="I503" s="70"/>
      <c r="J503" s="71"/>
      <c r="K503" s="72"/>
      <c r="L503" s="70"/>
      <c r="M503" s="70"/>
      <c r="N503" s="82"/>
      <c r="O503" s="70"/>
      <c r="P503" s="70"/>
      <c r="Q503" s="70"/>
      <c r="R503" s="71"/>
      <c r="S503" s="72"/>
      <c r="T503" s="70"/>
      <c r="U503" s="70"/>
      <c r="V503" s="71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</row>
    <row r="504">
      <c r="A504" s="70"/>
      <c r="B504" s="70"/>
      <c r="C504" s="70"/>
      <c r="D504" s="71"/>
      <c r="E504" s="72"/>
      <c r="F504" s="70"/>
      <c r="G504" s="69"/>
      <c r="H504" s="70"/>
      <c r="I504" s="70"/>
      <c r="J504" s="71"/>
      <c r="K504" s="72"/>
      <c r="L504" s="70"/>
      <c r="M504" s="70"/>
      <c r="N504" s="82"/>
      <c r="O504" s="70"/>
      <c r="P504" s="70"/>
      <c r="Q504" s="70"/>
      <c r="R504" s="71"/>
      <c r="S504" s="72"/>
      <c r="T504" s="70"/>
      <c r="U504" s="70"/>
      <c r="V504" s="71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</row>
    <row r="505">
      <c r="A505" s="70"/>
      <c r="B505" s="70"/>
      <c r="C505" s="70"/>
      <c r="D505" s="71"/>
      <c r="E505" s="72"/>
      <c r="F505" s="70"/>
      <c r="G505" s="69"/>
      <c r="H505" s="70"/>
      <c r="I505" s="70"/>
      <c r="J505" s="71"/>
      <c r="K505" s="72"/>
      <c r="L505" s="70"/>
      <c r="M505" s="70"/>
      <c r="N505" s="82"/>
      <c r="O505" s="70"/>
      <c r="P505" s="70"/>
      <c r="Q505" s="70"/>
      <c r="R505" s="71"/>
      <c r="S505" s="72"/>
      <c r="T505" s="70"/>
      <c r="U505" s="70"/>
      <c r="V505" s="71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</row>
    <row r="506">
      <c r="A506" s="70"/>
      <c r="B506" s="70"/>
      <c r="C506" s="70"/>
      <c r="D506" s="71"/>
      <c r="E506" s="72"/>
      <c r="F506" s="70"/>
      <c r="G506" s="69"/>
      <c r="H506" s="70"/>
      <c r="I506" s="70"/>
      <c r="J506" s="71"/>
      <c r="K506" s="72"/>
      <c r="L506" s="70"/>
      <c r="M506" s="70"/>
      <c r="N506" s="82"/>
      <c r="O506" s="70"/>
      <c r="P506" s="70"/>
      <c r="Q506" s="70"/>
      <c r="R506" s="71"/>
      <c r="S506" s="72"/>
      <c r="T506" s="70"/>
      <c r="U506" s="70"/>
      <c r="V506" s="71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</row>
    <row r="507">
      <c r="A507" s="70"/>
      <c r="B507" s="70"/>
      <c r="C507" s="70"/>
      <c r="D507" s="71"/>
      <c r="E507" s="72"/>
      <c r="F507" s="70"/>
      <c r="G507" s="69"/>
      <c r="H507" s="70"/>
      <c r="I507" s="70"/>
      <c r="J507" s="71"/>
      <c r="K507" s="72"/>
      <c r="L507" s="70"/>
      <c r="M507" s="70"/>
      <c r="N507" s="82"/>
      <c r="O507" s="70"/>
      <c r="P507" s="70"/>
      <c r="Q507" s="70"/>
      <c r="R507" s="71"/>
      <c r="S507" s="72"/>
      <c r="T507" s="70"/>
      <c r="U507" s="70"/>
      <c r="V507" s="71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</row>
    <row r="508">
      <c r="A508" s="70"/>
      <c r="B508" s="70"/>
      <c r="C508" s="70"/>
      <c r="D508" s="71"/>
      <c r="E508" s="72"/>
      <c r="F508" s="70"/>
      <c r="G508" s="69"/>
      <c r="H508" s="70"/>
      <c r="I508" s="70"/>
      <c r="J508" s="71"/>
      <c r="K508" s="72"/>
      <c r="L508" s="70"/>
      <c r="M508" s="70"/>
      <c r="N508" s="82"/>
      <c r="O508" s="70"/>
      <c r="P508" s="70"/>
      <c r="Q508" s="70"/>
      <c r="R508" s="71"/>
      <c r="S508" s="72"/>
      <c r="T508" s="70"/>
      <c r="U508" s="70"/>
      <c r="V508" s="71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</row>
    <row r="509">
      <c r="A509" s="70"/>
      <c r="B509" s="70"/>
      <c r="C509" s="70"/>
      <c r="D509" s="71"/>
      <c r="E509" s="72"/>
      <c r="F509" s="70"/>
      <c r="G509" s="69"/>
      <c r="H509" s="70"/>
      <c r="I509" s="70"/>
      <c r="J509" s="71"/>
      <c r="K509" s="72"/>
      <c r="L509" s="70"/>
      <c r="M509" s="70"/>
      <c r="N509" s="82"/>
      <c r="O509" s="70"/>
      <c r="P509" s="70"/>
      <c r="Q509" s="70"/>
      <c r="R509" s="71"/>
      <c r="S509" s="72"/>
      <c r="T509" s="70"/>
      <c r="U509" s="70"/>
      <c r="V509" s="71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</row>
    <row r="510">
      <c r="A510" s="70"/>
      <c r="B510" s="70"/>
      <c r="C510" s="70"/>
      <c r="D510" s="71"/>
      <c r="E510" s="72"/>
      <c r="F510" s="70"/>
      <c r="G510" s="69"/>
      <c r="H510" s="70"/>
      <c r="I510" s="70"/>
      <c r="J510" s="71"/>
      <c r="K510" s="72"/>
      <c r="L510" s="70"/>
      <c r="M510" s="70"/>
      <c r="N510" s="82"/>
      <c r="O510" s="70"/>
      <c r="P510" s="70"/>
      <c r="Q510" s="70"/>
      <c r="R510" s="71"/>
      <c r="S510" s="72"/>
      <c r="T510" s="70"/>
      <c r="U510" s="70"/>
      <c r="V510" s="71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</row>
    <row r="511">
      <c r="A511" s="70"/>
      <c r="B511" s="70"/>
      <c r="C511" s="70"/>
      <c r="D511" s="71"/>
      <c r="E511" s="72"/>
      <c r="F511" s="70"/>
      <c r="G511" s="69"/>
      <c r="H511" s="70"/>
      <c r="I511" s="70"/>
      <c r="J511" s="71"/>
      <c r="K511" s="72"/>
      <c r="L511" s="70"/>
      <c r="M511" s="70"/>
      <c r="N511" s="82"/>
      <c r="O511" s="70"/>
      <c r="P511" s="70"/>
      <c r="Q511" s="70"/>
      <c r="R511" s="71"/>
      <c r="S511" s="72"/>
      <c r="T511" s="70"/>
      <c r="U511" s="70"/>
      <c r="V511" s="71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</row>
    <row r="512">
      <c r="A512" s="70"/>
      <c r="B512" s="70"/>
      <c r="C512" s="70"/>
      <c r="D512" s="71"/>
      <c r="E512" s="72"/>
      <c r="F512" s="70"/>
      <c r="G512" s="69"/>
      <c r="H512" s="70"/>
      <c r="I512" s="70"/>
      <c r="J512" s="71"/>
      <c r="K512" s="72"/>
      <c r="L512" s="70"/>
      <c r="M512" s="70"/>
      <c r="N512" s="82"/>
      <c r="O512" s="70"/>
      <c r="P512" s="70"/>
      <c r="Q512" s="70"/>
      <c r="R512" s="71"/>
      <c r="S512" s="72"/>
      <c r="T512" s="70"/>
      <c r="U512" s="70"/>
      <c r="V512" s="71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</row>
    <row r="513">
      <c r="A513" s="70"/>
      <c r="B513" s="70"/>
      <c r="C513" s="70"/>
      <c r="D513" s="71"/>
      <c r="E513" s="72"/>
      <c r="F513" s="70"/>
      <c r="G513" s="69"/>
      <c r="H513" s="70"/>
      <c r="I513" s="70"/>
      <c r="J513" s="71"/>
      <c r="K513" s="72"/>
      <c r="L513" s="70"/>
      <c r="M513" s="70"/>
      <c r="N513" s="82"/>
      <c r="O513" s="70"/>
      <c r="P513" s="70"/>
      <c r="Q513" s="70"/>
      <c r="R513" s="71"/>
      <c r="S513" s="72"/>
      <c r="T513" s="70"/>
      <c r="U513" s="70"/>
      <c r="V513" s="71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</row>
    <row r="514">
      <c r="A514" s="70"/>
      <c r="B514" s="70"/>
      <c r="C514" s="70"/>
      <c r="D514" s="71"/>
      <c r="E514" s="72"/>
      <c r="F514" s="70"/>
      <c r="G514" s="69"/>
      <c r="H514" s="70"/>
      <c r="I514" s="70"/>
      <c r="J514" s="71"/>
      <c r="K514" s="72"/>
      <c r="L514" s="70"/>
      <c r="M514" s="70"/>
      <c r="N514" s="82"/>
      <c r="O514" s="70"/>
      <c r="P514" s="70"/>
      <c r="Q514" s="70"/>
      <c r="R514" s="71"/>
      <c r="S514" s="72"/>
      <c r="T514" s="70"/>
      <c r="U514" s="70"/>
      <c r="V514" s="71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</row>
    <row r="515">
      <c r="A515" s="70"/>
      <c r="B515" s="70"/>
      <c r="C515" s="70"/>
      <c r="D515" s="71"/>
      <c r="E515" s="72"/>
      <c r="F515" s="70"/>
      <c r="G515" s="69"/>
      <c r="H515" s="70"/>
      <c r="I515" s="70"/>
      <c r="J515" s="71"/>
      <c r="K515" s="72"/>
      <c r="L515" s="70"/>
      <c r="M515" s="70"/>
      <c r="N515" s="82"/>
      <c r="O515" s="70"/>
      <c r="P515" s="70"/>
      <c r="Q515" s="70"/>
      <c r="R515" s="71"/>
      <c r="S515" s="72"/>
      <c r="T515" s="70"/>
      <c r="U515" s="70"/>
      <c r="V515" s="71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</row>
    <row r="516">
      <c r="A516" s="70"/>
      <c r="B516" s="70"/>
      <c r="C516" s="70"/>
      <c r="D516" s="71"/>
      <c r="E516" s="72"/>
      <c r="F516" s="70"/>
      <c r="G516" s="69"/>
      <c r="H516" s="70"/>
      <c r="I516" s="70"/>
      <c r="J516" s="71"/>
      <c r="K516" s="72"/>
      <c r="L516" s="70"/>
      <c r="M516" s="70"/>
      <c r="N516" s="82"/>
      <c r="O516" s="70"/>
      <c r="P516" s="70"/>
      <c r="Q516" s="70"/>
      <c r="R516" s="71"/>
      <c r="S516" s="72"/>
      <c r="T516" s="70"/>
      <c r="U516" s="70"/>
      <c r="V516" s="71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</row>
    <row r="517">
      <c r="A517" s="70"/>
      <c r="B517" s="70"/>
      <c r="C517" s="70"/>
      <c r="D517" s="71"/>
      <c r="E517" s="72"/>
      <c r="F517" s="70"/>
      <c r="G517" s="69"/>
      <c r="H517" s="70"/>
      <c r="I517" s="70"/>
      <c r="J517" s="71"/>
      <c r="K517" s="72"/>
      <c r="L517" s="70"/>
      <c r="M517" s="70"/>
      <c r="N517" s="82"/>
      <c r="O517" s="70"/>
      <c r="P517" s="70"/>
      <c r="Q517" s="70"/>
      <c r="R517" s="71"/>
      <c r="S517" s="72"/>
      <c r="T517" s="70"/>
      <c r="U517" s="70"/>
      <c r="V517" s="71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</row>
    <row r="518">
      <c r="A518" s="70"/>
      <c r="B518" s="70"/>
      <c r="C518" s="70"/>
      <c r="D518" s="71"/>
      <c r="E518" s="72"/>
      <c r="F518" s="70"/>
      <c r="G518" s="69"/>
      <c r="H518" s="70"/>
      <c r="I518" s="70"/>
      <c r="J518" s="71"/>
      <c r="K518" s="72"/>
      <c r="L518" s="70"/>
      <c r="M518" s="70"/>
      <c r="N518" s="82"/>
      <c r="O518" s="70"/>
      <c r="P518" s="70"/>
      <c r="Q518" s="70"/>
      <c r="R518" s="71"/>
      <c r="S518" s="72"/>
      <c r="T518" s="70"/>
      <c r="U518" s="70"/>
      <c r="V518" s="71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</row>
    <row r="519">
      <c r="A519" s="70"/>
      <c r="B519" s="70"/>
      <c r="C519" s="70"/>
      <c r="D519" s="71"/>
      <c r="E519" s="72"/>
      <c r="F519" s="70"/>
      <c r="G519" s="69"/>
      <c r="H519" s="70"/>
      <c r="I519" s="70"/>
      <c r="J519" s="71"/>
      <c r="K519" s="72"/>
      <c r="L519" s="70"/>
      <c r="M519" s="70"/>
      <c r="N519" s="82"/>
      <c r="O519" s="70"/>
      <c r="P519" s="70"/>
      <c r="Q519" s="70"/>
      <c r="R519" s="71"/>
      <c r="S519" s="72"/>
      <c r="T519" s="70"/>
      <c r="U519" s="70"/>
      <c r="V519" s="71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</row>
    <row r="520">
      <c r="A520" s="70"/>
      <c r="B520" s="70"/>
      <c r="C520" s="70"/>
      <c r="D520" s="71"/>
      <c r="E520" s="72"/>
      <c r="F520" s="70"/>
      <c r="G520" s="69"/>
      <c r="H520" s="70"/>
      <c r="I520" s="70"/>
      <c r="J520" s="71"/>
      <c r="K520" s="72"/>
      <c r="L520" s="70"/>
      <c r="M520" s="70"/>
      <c r="N520" s="82"/>
      <c r="O520" s="70"/>
      <c r="P520" s="70"/>
      <c r="Q520" s="70"/>
      <c r="R520" s="71"/>
      <c r="S520" s="72"/>
      <c r="T520" s="70"/>
      <c r="U520" s="70"/>
      <c r="V520" s="71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</row>
    <row r="521">
      <c r="A521" s="70"/>
      <c r="B521" s="70"/>
      <c r="C521" s="70"/>
      <c r="D521" s="71"/>
      <c r="E521" s="72"/>
      <c r="F521" s="70"/>
      <c r="G521" s="69"/>
      <c r="H521" s="70"/>
      <c r="I521" s="70"/>
      <c r="J521" s="71"/>
      <c r="K521" s="72"/>
      <c r="L521" s="70"/>
      <c r="M521" s="70"/>
      <c r="N521" s="82"/>
      <c r="O521" s="70"/>
      <c r="P521" s="70"/>
      <c r="Q521" s="70"/>
      <c r="R521" s="71"/>
      <c r="S521" s="72"/>
      <c r="T521" s="70"/>
      <c r="U521" s="70"/>
      <c r="V521" s="71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</row>
    <row r="522">
      <c r="A522" s="70"/>
      <c r="B522" s="70"/>
      <c r="C522" s="70"/>
      <c r="D522" s="71"/>
      <c r="E522" s="72"/>
      <c r="F522" s="70"/>
      <c r="G522" s="69"/>
      <c r="H522" s="70"/>
      <c r="I522" s="70"/>
      <c r="J522" s="71"/>
      <c r="K522" s="72"/>
      <c r="L522" s="70"/>
      <c r="M522" s="70"/>
      <c r="N522" s="82"/>
      <c r="O522" s="70"/>
      <c r="P522" s="70"/>
      <c r="Q522" s="70"/>
      <c r="R522" s="71"/>
      <c r="S522" s="72"/>
      <c r="T522" s="70"/>
      <c r="U522" s="70"/>
      <c r="V522" s="71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</row>
    <row r="523">
      <c r="A523" s="70"/>
      <c r="B523" s="70"/>
      <c r="C523" s="70"/>
      <c r="D523" s="71"/>
      <c r="E523" s="72"/>
      <c r="F523" s="70"/>
      <c r="G523" s="69"/>
      <c r="H523" s="70"/>
      <c r="I523" s="70"/>
      <c r="J523" s="71"/>
      <c r="K523" s="72"/>
      <c r="L523" s="70"/>
      <c r="M523" s="70"/>
      <c r="N523" s="82"/>
      <c r="O523" s="70"/>
      <c r="P523" s="70"/>
      <c r="Q523" s="70"/>
      <c r="R523" s="71"/>
      <c r="S523" s="72"/>
      <c r="T523" s="70"/>
      <c r="U523" s="70"/>
      <c r="V523" s="71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</row>
    <row r="524">
      <c r="A524" s="70"/>
      <c r="B524" s="70"/>
      <c r="C524" s="70"/>
      <c r="D524" s="71"/>
      <c r="E524" s="72"/>
      <c r="F524" s="70"/>
      <c r="G524" s="69"/>
      <c r="H524" s="70"/>
      <c r="I524" s="70"/>
      <c r="J524" s="71"/>
      <c r="K524" s="72"/>
      <c r="L524" s="70"/>
      <c r="M524" s="70"/>
      <c r="N524" s="82"/>
      <c r="O524" s="70"/>
      <c r="P524" s="70"/>
      <c r="Q524" s="70"/>
      <c r="R524" s="71"/>
      <c r="S524" s="72"/>
      <c r="T524" s="70"/>
      <c r="U524" s="70"/>
      <c r="V524" s="71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</row>
    <row r="525">
      <c r="A525" s="70"/>
      <c r="B525" s="70"/>
      <c r="C525" s="70"/>
      <c r="D525" s="71"/>
      <c r="E525" s="72"/>
      <c r="F525" s="70"/>
      <c r="G525" s="69"/>
      <c r="H525" s="70"/>
      <c r="I525" s="70"/>
      <c r="J525" s="71"/>
      <c r="K525" s="72"/>
      <c r="L525" s="70"/>
      <c r="M525" s="70"/>
      <c r="N525" s="82"/>
      <c r="O525" s="70"/>
      <c r="P525" s="70"/>
      <c r="Q525" s="70"/>
      <c r="R525" s="71"/>
      <c r="S525" s="72"/>
      <c r="T525" s="70"/>
      <c r="U525" s="70"/>
      <c r="V525" s="71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</row>
    <row r="526">
      <c r="A526" s="70"/>
      <c r="B526" s="70"/>
      <c r="C526" s="70"/>
      <c r="D526" s="71"/>
      <c r="E526" s="72"/>
      <c r="F526" s="70"/>
      <c r="G526" s="69"/>
      <c r="H526" s="70"/>
      <c r="I526" s="70"/>
      <c r="J526" s="71"/>
      <c r="K526" s="72"/>
      <c r="L526" s="70"/>
      <c r="M526" s="70"/>
      <c r="N526" s="82"/>
      <c r="O526" s="70"/>
      <c r="P526" s="70"/>
      <c r="Q526" s="70"/>
      <c r="R526" s="71"/>
      <c r="S526" s="72"/>
      <c r="T526" s="70"/>
      <c r="U526" s="70"/>
      <c r="V526" s="71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</row>
    <row r="527">
      <c r="A527" s="70"/>
      <c r="B527" s="70"/>
      <c r="C527" s="70"/>
      <c r="D527" s="71"/>
      <c r="E527" s="72"/>
      <c r="F527" s="70"/>
      <c r="G527" s="69"/>
      <c r="H527" s="70"/>
      <c r="I527" s="70"/>
      <c r="J527" s="71"/>
      <c r="K527" s="72"/>
      <c r="L527" s="70"/>
      <c r="M527" s="70"/>
      <c r="N527" s="82"/>
      <c r="O527" s="70"/>
      <c r="P527" s="70"/>
      <c r="Q527" s="70"/>
      <c r="R527" s="71"/>
      <c r="S527" s="72"/>
      <c r="T527" s="70"/>
      <c r="U527" s="70"/>
      <c r="V527" s="71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</row>
    <row r="528">
      <c r="A528" s="70"/>
      <c r="B528" s="70"/>
      <c r="C528" s="70"/>
      <c r="D528" s="71"/>
      <c r="E528" s="72"/>
      <c r="F528" s="70"/>
      <c r="G528" s="69"/>
      <c r="H528" s="70"/>
      <c r="I528" s="70"/>
      <c r="J528" s="71"/>
      <c r="K528" s="72"/>
      <c r="L528" s="70"/>
      <c r="M528" s="70"/>
      <c r="N528" s="82"/>
      <c r="O528" s="70"/>
      <c r="P528" s="70"/>
      <c r="Q528" s="70"/>
      <c r="R528" s="71"/>
      <c r="S528" s="72"/>
      <c r="T528" s="70"/>
      <c r="U528" s="70"/>
      <c r="V528" s="71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</row>
    <row r="529">
      <c r="A529" s="70"/>
      <c r="B529" s="70"/>
      <c r="C529" s="70"/>
      <c r="D529" s="71"/>
      <c r="E529" s="72"/>
      <c r="F529" s="70"/>
      <c r="G529" s="69"/>
      <c r="H529" s="70"/>
      <c r="I529" s="70"/>
      <c r="J529" s="71"/>
      <c r="K529" s="72"/>
      <c r="L529" s="70"/>
      <c r="M529" s="70"/>
      <c r="N529" s="82"/>
      <c r="O529" s="70"/>
      <c r="P529" s="70"/>
      <c r="Q529" s="70"/>
      <c r="R529" s="71"/>
      <c r="S529" s="72"/>
      <c r="T529" s="70"/>
      <c r="U529" s="70"/>
      <c r="V529" s="71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</row>
    <row r="530">
      <c r="A530" s="70"/>
      <c r="B530" s="70"/>
      <c r="C530" s="70"/>
      <c r="D530" s="71"/>
      <c r="E530" s="72"/>
      <c r="F530" s="70"/>
      <c r="G530" s="69"/>
      <c r="H530" s="70"/>
      <c r="I530" s="70"/>
      <c r="J530" s="71"/>
      <c r="K530" s="72"/>
      <c r="L530" s="70"/>
      <c r="M530" s="70"/>
      <c r="N530" s="82"/>
      <c r="O530" s="70"/>
      <c r="P530" s="70"/>
      <c r="Q530" s="70"/>
      <c r="R530" s="71"/>
      <c r="S530" s="72"/>
      <c r="T530" s="70"/>
      <c r="U530" s="70"/>
      <c r="V530" s="71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</row>
    <row r="531">
      <c r="A531" s="70"/>
      <c r="B531" s="70"/>
      <c r="C531" s="70"/>
      <c r="D531" s="71"/>
      <c r="E531" s="72"/>
      <c r="F531" s="70"/>
      <c r="G531" s="69"/>
      <c r="H531" s="70"/>
      <c r="I531" s="70"/>
      <c r="J531" s="71"/>
      <c r="K531" s="72"/>
      <c r="L531" s="70"/>
      <c r="M531" s="70"/>
      <c r="N531" s="82"/>
      <c r="O531" s="70"/>
      <c r="P531" s="70"/>
      <c r="Q531" s="70"/>
      <c r="R531" s="71"/>
      <c r="S531" s="72"/>
      <c r="T531" s="70"/>
      <c r="U531" s="70"/>
      <c r="V531" s="71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</row>
    <row r="532">
      <c r="A532" s="70"/>
      <c r="B532" s="70"/>
      <c r="C532" s="70"/>
      <c r="D532" s="71"/>
      <c r="E532" s="72"/>
      <c r="F532" s="70"/>
      <c r="G532" s="69"/>
      <c r="H532" s="70"/>
      <c r="I532" s="70"/>
      <c r="J532" s="71"/>
      <c r="K532" s="72"/>
      <c r="L532" s="70"/>
      <c r="M532" s="70"/>
      <c r="N532" s="82"/>
      <c r="O532" s="70"/>
      <c r="P532" s="70"/>
      <c r="Q532" s="70"/>
      <c r="R532" s="71"/>
      <c r="S532" s="72"/>
      <c r="T532" s="70"/>
      <c r="U532" s="70"/>
      <c r="V532" s="71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</row>
    <row r="533">
      <c r="A533" s="70"/>
      <c r="B533" s="70"/>
      <c r="C533" s="70"/>
      <c r="D533" s="71"/>
      <c r="E533" s="72"/>
      <c r="F533" s="70"/>
      <c r="G533" s="69"/>
      <c r="H533" s="70"/>
      <c r="I533" s="70"/>
      <c r="J533" s="71"/>
      <c r="K533" s="72"/>
      <c r="L533" s="70"/>
      <c r="M533" s="70"/>
      <c r="N533" s="82"/>
      <c r="O533" s="70"/>
      <c r="P533" s="70"/>
      <c r="Q533" s="70"/>
      <c r="R533" s="71"/>
      <c r="S533" s="72"/>
      <c r="T533" s="70"/>
      <c r="U533" s="70"/>
      <c r="V533" s="71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</row>
    <row r="534">
      <c r="A534" s="70"/>
      <c r="B534" s="70"/>
      <c r="C534" s="70"/>
      <c r="D534" s="71"/>
      <c r="E534" s="72"/>
      <c r="F534" s="70"/>
      <c r="G534" s="69"/>
      <c r="H534" s="70"/>
      <c r="I534" s="70"/>
      <c r="J534" s="71"/>
      <c r="K534" s="72"/>
      <c r="L534" s="70"/>
      <c r="M534" s="70"/>
      <c r="N534" s="82"/>
      <c r="O534" s="70"/>
      <c r="P534" s="70"/>
      <c r="Q534" s="70"/>
      <c r="R534" s="71"/>
      <c r="S534" s="72"/>
      <c r="T534" s="70"/>
      <c r="U534" s="70"/>
      <c r="V534" s="71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</row>
    <row r="535">
      <c r="A535" s="70"/>
      <c r="B535" s="70"/>
      <c r="C535" s="70"/>
      <c r="D535" s="71"/>
      <c r="E535" s="72"/>
      <c r="F535" s="70"/>
      <c r="G535" s="69"/>
      <c r="H535" s="70"/>
      <c r="I535" s="70"/>
      <c r="J535" s="71"/>
      <c r="K535" s="72"/>
      <c r="L535" s="70"/>
      <c r="M535" s="70"/>
      <c r="N535" s="82"/>
      <c r="O535" s="70"/>
      <c r="P535" s="70"/>
      <c r="Q535" s="70"/>
      <c r="R535" s="71"/>
      <c r="S535" s="72"/>
      <c r="T535" s="70"/>
      <c r="U535" s="70"/>
      <c r="V535" s="71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</row>
    <row r="536">
      <c r="A536" s="70"/>
      <c r="B536" s="70"/>
      <c r="C536" s="70"/>
      <c r="D536" s="71"/>
      <c r="E536" s="72"/>
      <c r="F536" s="70"/>
      <c r="G536" s="69"/>
      <c r="H536" s="70"/>
      <c r="I536" s="70"/>
      <c r="J536" s="71"/>
      <c r="K536" s="72"/>
      <c r="L536" s="70"/>
      <c r="M536" s="70"/>
      <c r="N536" s="82"/>
      <c r="O536" s="70"/>
      <c r="P536" s="70"/>
      <c r="Q536" s="70"/>
      <c r="R536" s="71"/>
      <c r="S536" s="72"/>
      <c r="T536" s="70"/>
      <c r="U536" s="70"/>
      <c r="V536" s="71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</row>
    <row r="537">
      <c r="A537" s="70"/>
      <c r="B537" s="70"/>
      <c r="C537" s="70"/>
      <c r="D537" s="71"/>
      <c r="E537" s="72"/>
      <c r="F537" s="70"/>
      <c r="G537" s="69"/>
      <c r="H537" s="70"/>
      <c r="I537" s="70"/>
      <c r="J537" s="71"/>
      <c r="K537" s="72"/>
      <c r="L537" s="70"/>
      <c r="M537" s="70"/>
      <c r="N537" s="82"/>
      <c r="O537" s="70"/>
      <c r="P537" s="70"/>
      <c r="Q537" s="70"/>
      <c r="R537" s="71"/>
      <c r="S537" s="72"/>
      <c r="T537" s="70"/>
      <c r="U537" s="70"/>
      <c r="V537" s="71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</row>
    <row r="538">
      <c r="A538" s="70"/>
      <c r="B538" s="70"/>
      <c r="C538" s="70"/>
      <c r="D538" s="71"/>
      <c r="E538" s="72"/>
      <c r="F538" s="70"/>
      <c r="G538" s="69"/>
      <c r="H538" s="70"/>
      <c r="I538" s="70"/>
      <c r="J538" s="71"/>
      <c r="K538" s="72"/>
      <c r="L538" s="70"/>
      <c r="M538" s="70"/>
      <c r="N538" s="82"/>
      <c r="O538" s="70"/>
      <c r="P538" s="70"/>
      <c r="Q538" s="70"/>
      <c r="R538" s="71"/>
      <c r="S538" s="72"/>
      <c r="T538" s="70"/>
      <c r="U538" s="70"/>
      <c r="V538" s="71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</row>
    <row r="539">
      <c r="A539" s="70"/>
      <c r="B539" s="70"/>
      <c r="C539" s="70"/>
      <c r="D539" s="71"/>
      <c r="E539" s="72"/>
      <c r="F539" s="70"/>
      <c r="G539" s="69"/>
      <c r="H539" s="70"/>
      <c r="I539" s="70"/>
      <c r="J539" s="71"/>
      <c r="K539" s="72"/>
      <c r="L539" s="70"/>
      <c r="M539" s="70"/>
      <c r="N539" s="82"/>
      <c r="O539" s="70"/>
      <c r="P539" s="70"/>
      <c r="Q539" s="70"/>
      <c r="R539" s="71"/>
      <c r="S539" s="72"/>
      <c r="T539" s="70"/>
      <c r="U539" s="70"/>
      <c r="V539" s="71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</row>
    <row r="540">
      <c r="A540" s="70"/>
      <c r="B540" s="70"/>
      <c r="C540" s="70"/>
      <c r="D540" s="71"/>
      <c r="E540" s="72"/>
      <c r="F540" s="70"/>
      <c r="G540" s="69"/>
      <c r="H540" s="70"/>
      <c r="I540" s="70"/>
      <c r="J540" s="71"/>
      <c r="K540" s="72"/>
      <c r="L540" s="70"/>
      <c r="M540" s="70"/>
      <c r="N540" s="82"/>
      <c r="O540" s="70"/>
      <c r="P540" s="70"/>
      <c r="Q540" s="70"/>
      <c r="R540" s="71"/>
      <c r="S540" s="72"/>
      <c r="T540" s="70"/>
      <c r="U540" s="70"/>
      <c r="V540" s="71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</row>
    <row r="541">
      <c r="A541" s="70"/>
      <c r="B541" s="70"/>
      <c r="C541" s="70"/>
      <c r="D541" s="71"/>
      <c r="E541" s="72"/>
      <c r="F541" s="70"/>
      <c r="G541" s="69"/>
      <c r="H541" s="70"/>
      <c r="I541" s="70"/>
      <c r="J541" s="71"/>
      <c r="K541" s="72"/>
      <c r="L541" s="70"/>
      <c r="M541" s="70"/>
      <c r="N541" s="82"/>
      <c r="O541" s="70"/>
      <c r="P541" s="70"/>
      <c r="Q541" s="70"/>
      <c r="R541" s="71"/>
      <c r="S541" s="72"/>
      <c r="T541" s="70"/>
      <c r="U541" s="70"/>
      <c r="V541" s="71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</row>
    <row r="542">
      <c r="A542" s="70"/>
      <c r="B542" s="70"/>
      <c r="C542" s="70"/>
      <c r="D542" s="71"/>
      <c r="E542" s="72"/>
      <c r="F542" s="70"/>
      <c r="G542" s="69"/>
      <c r="H542" s="70"/>
      <c r="I542" s="70"/>
      <c r="J542" s="71"/>
      <c r="K542" s="72"/>
      <c r="L542" s="70"/>
      <c r="M542" s="70"/>
      <c r="N542" s="82"/>
      <c r="O542" s="70"/>
      <c r="P542" s="70"/>
      <c r="Q542" s="70"/>
      <c r="R542" s="71"/>
      <c r="S542" s="72"/>
      <c r="T542" s="70"/>
      <c r="U542" s="70"/>
      <c r="V542" s="71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</row>
    <row r="543">
      <c r="A543" s="70"/>
      <c r="B543" s="70"/>
      <c r="C543" s="70"/>
      <c r="D543" s="71"/>
      <c r="E543" s="72"/>
      <c r="F543" s="70"/>
      <c r="G543" s="69"/>
      <c r="H543" s="70"/>
      <c r="I543" s="70"/>
      <c r="J543" s="71"/>
      <c r="K543" s="72"/>
      <c r="L543" s="70"/>
      <c r="M543" s="70"/>
      <c r="N543" s="82"/>
      <c r="O543" s="70"/>
      <c r="P543" s="70"/>
      <c r="Q543" s="70"/>
      <c r="R543" s="71"/>
      <c r="S543" s="72"/>
      <c r="T543" s="70"/>
      <c r="U543" s="70"/>
      <c r="V543" s="71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</row>
    <row r="544">
      <c r="A544" s="70"/>
      <c r="B544" s="70"/>
      <c r="C544" s="70"/>
      <c r="D544" s="71"/>
      <c r="E544" s="72"/>
      <c r="F544" s="70"/>
      <c r="G544" s="69"/>
      <c r="H544" s="70"/>
      <c r="I544" s="70"/>
      <c r="J544" s="71"/>
      <c r="K544" s="72"/>
      <c r="L544" s="70"/>
      <c r="M544" s="70"/>
      <c r="N544" s="82"/>
      <c r="O544" s="70"/>
      <c r="P544" s="70"/>
      <c r="Q544" s="70"/>
      <c r="R544" s="71"/>
      <c r="S544" s="72"/>
      <c r="T544" s="70"/>
      <c r="U544" s="70"/>
      <c r="V544" s="71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</row>
    <row r="545">
      <c r="A545" s="70"/>
      <c r="B545" s="70"/>
      <c r="C545" s="70"/>
      <c r="D545" s="71"/>
      <c r="E545" s="72"/>
      <c r="F545" s="70"/>
      <c r="G545" s="69"/>
      <c r="H545" s="70"/>
      <c r="I545" s="70"/>
      <c r="J545" s="71"/>
      <c r="K545" s="72"/>
      <c r="L545" s="70"/>
      <c r="M545" s="70"/>
      <c r="N545" s="82"/>
      <c r="O545" s="70"/>
      <c r="P545" s="70"/>
      <c r="Q545" s="70"/>
      <c r="R545" s="71"/>
      <c r="S545" s="72"/>
      <c r="T545" s="70"/>
      <c r="U545" s="70"/>
      <c r="V545" s="71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</row>
    <row r="546">
      <c r="A546" s="70"/>
      <c r="B546" s="70"/>
      <c r="C546" s="70"/>
      <c r="D546" s="71"/>
      <c r="E546" s="72"/>
      <c r="F546" s="70"/>
      <c r="G546" s="69"/>
      <c r="H546" s="70"/>
      <c r="I546" s="70"/>
      <c r="J546" s="71"/>
      <c r="K546" s="72"/>
      <c r="L546" s="70"/>
      <c r="M546" s="70"/>
      <c r="N546" s="82"/>
      <c r="O546" s="70"/>
      <c r="P546" s="70"/>
      <c r="Q546" s="70"/>
      <c r="R546" s="71"/>
      <c r="S546" s="72"/>
      <c r="T546" s="70"/>
      <c r="U546" s="70"/>
      <c r="V546" s="71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</row>
    <row r="547">
      <c r="A547" s="70"/>
      <c r="B547" s="70"/>
      <c r="C547" s="70"/>
      <c r="D547" s="71"/>
      <c r="E547" s="72"/>
      <c r="F547" s="70"/>
      <c r="G547" s="69"/>
      <c r="H547" s="70"/>
      <c r="I547" s="70"/>
      <c r="J547" s="71"/>
      <c r="K547" s="72"/>
      <c r="L547" s="70"/>
      <c r="M547" s="70"/>
      <c r="N547" s="82"/>
      <c r="O547" s="70"/>
      <c r="P547" s="70"/>
      <c r="Q547" s="70"/>
      <c r="R547" s="71"/>
      <c r="S547" s="72"/>
      <c r="T547" s="70"/>
      <c r="U547" s="70"/>
      <c r="V547" s="71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</row>
    <row r="548">
      <c r="A548" s="70"/>
      <c r="B548" s="70"/>
      <c r="C548" s="70"/>
      <c r="D548" s="71"/>
      <c r="E548" s="72"/>
      <c r="F548" s="70"/>
      <c r="G548" s="69"/>
      <c r="H548" s="70"/>
      <c r="I548" s="70"/>
      <c r="J548" s="71"/>
      <c r="K548" s="72"/>
      <c r="L548" s="70"/>
      <c r="M548" s="70"/>
      <c r="N548" s="82"/>
      <c r="O548" s="70"/>
      <c r="P548" s="70"/>
      <c r="Q548" s="70"/>
      <c r="R548" s="71"/>
      <c r="S548" s="72"/>
      <c r="T548" s="70"/>
      <c r="U548" s="70"/>
      <c r="V548" s="71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</row>
    <row r="549">
      <c r="A549" s="70"/>
      <c r="B549" s="70"/>
      <c r="C549" s="70"/>
      <c r="D549" s="71"/>
      <c r="E549" s="72"/>
      <c r="F549" s="70"/>
      <c r="G549" s="69"/>
      <c r="H549" s="70"/>
      <c r="I549" s="70"/>
      <c r="J549" s="71"/>
      <c r="K549" s="72"/>
      <c r="L549" s="70"/>
      <c r="M549" s="70"/>
      <c r="N549" s="82"/>
      <c r="O549" s="70"/>
      <c r="P549" s="70"/>
      <c r="Q549" s="70"/>
      <c r="R549" s="71"/>
      <c r="S549" s="72"/>
      <c r="T549" s="70"/>
      <c r="U549" s="70"/>
      <c r="V549" s="71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</row>
    <row r="550">
      <c r="A550" s="70"/>
      <c r="B550" s="70"/>
      <c r="C550" s="70"/>
      <c r="D550" s="71"/>
      <c r="E550" s="72"/>
      <c r="F550" s="70"/>
      <c r="G550" s="69"/>
      <c r="H550" s="70"/>
      <c r="I550" s="70"/>
      <c r="J550" s="71"/>
      <c r="K550" s="72"/>
      <c r="L550" s="70"/>
      <c r="M550" s="70"/>
      <c r="N550" s="82"/>
      <c r="O550" s="70"/>
      <c r="P550" s="70"/>
      <c r="Q550" s="70"/>
      <c r="R550" s="71"/>
      <c r="S550" s="72"/>
      <c r="T550" s="70"/>
      <c r="U550" s="70"/>
      <c r="V550" s="71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</row>
    <row r="551">
      <c r="A551" s="70"/>
      <c r="B551" s="70"/>
      <c r="C551" s="70"/>
      <c r="D551" s="71"/>
      <c r="E551" s="72"/>
      <c r="F551" s="70"/>
      <c r="G551" s="69"/>
      <c r="H551" s="70"/>
      <c r="I551" s="70"/>
      <c r="J551" s="71"/>
      <c r="K551" s="72"/>
      <c r="L551" s="70"/>
      <c r="M551" s="70"/>
      <c r="N551" s="82"/>
      <c r="O551" s="70"/>
      <c r="P551" s="70"/>
      <c r="Q551" s="70"/>
      <c r="R551" s="71"/>
      <c r="S551" s="72"/>
      <c r="T551" s="70"/>
      <c r="U551" s="70"/>
      <c r="V551" s="71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</row>
    <row r="552">
      <c r="A552" s="70"/>
      <c r="B552" s="70"/>
      <c r="C552" s="70"/>
      <c r="D552" s="71"/>
      <c r="E552" s="72"/>
      <c r="F552" s="70"/>
      <c r="G552" s="69"/>
      <c r="H552" s="70"/>
      <c r="I552" s="70"/>
      <c r="J552" s="71"/>
      <c r="K552" s="72"/>
      <c r="L552" s="70"/>
      <c r="M552" s="70"/>
      <c r="N552" s="82"/>
      <c r="O552" s="70"/>
      <c r="P552" s="70"/>
      <c r="Q552" s="70"/>
      <c r="R552" s="71"/>
      <c r="S552" s="72"/>
      <c r="T552" s="70"/>
      <c r="U552" s="70"/>
      <c r="V552" s="71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</row>
    <row r="553">
      <c r="A553" s="70"/>
      <c r="B553" s="70"/>
      <c r="C553" s="70"/>
      <c r="D553" s="71"/>
      <c r="E553" s="72"/>
      <c r="F553" s="70"/>
      <c r="G553" s="69"/>
      <c r="H553" s="70"/>
      <c r="I553" s="70"/>
      <c r="J553" s="71"/>
      <c r="K553" s="72"/>
      <c r="L553" s="70"/>
      <c r="M553" s="70"/>
      <c r="N553" s="82"/>
      <c r="O553" s="70"/>
      <c r="P553" s="70"/>
      <c r="Q553" s="70"/>
      <c r="R553" s="71"/>
      <c r="S553" s="72"/>
      <c r="T553" s="70"/>
      <c r="U553" s="70"/>
      <c r="V553" s="71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</row>
    <row r="554">
      <c r="A554" s="70"/>
      <c r="B554" s="70"/>
      <c r="C554" s="70"/>
      <c r="D554" s="71"/>
      <c r="E554" s="72"/>
      <c r="F554" s="70"/>
      <c r="G554" s="69"/>
      <c r="H554" s="70"/>
      <c r="I554" s="70"/>
      <c r="J554" s="71"/>
      <c r="K554" s="72"/>
      <c r="L554" s="70"/>
      <c r="M554" s="70"/>
      <c r="N554" s="82"/>
      <c r="O554" s="70"/>
      <c r="P554" s="70"/>
      <c r="Q554" s="70"/>
      <c r="R554" s="71"/>
      <c r="S554" s="72"/>
      <c r="T554" s="70"/>
      <c r="U554" s="70"/>
      <c r="V554" s="71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</row>
    <row r="555">
      <c r="A555" s="70"/>
      <c r="B555" s="70"/>
      <c r="C555" s="70"/>
      <c r="D555" s="71"/>
      <c r="E555" s="72"/>
      <c r="F555" s="70"/>
      <c r="G555" s="69"/>
      <c r="H555" s="70"/>
      <c r="I555" s="70"/>
      <c r="J555" s="71"/>
      <c r="K555" s="72"/>
      <c r="L555" s="70"/>
      <c r="M555" s="70"/>
      <c r="N555" s="82"/>
      <c r="O555" s="70"/>
      <c r="P555" s="70"/>
      <c r="Q555" s="70"/>
      <c r="R555" s="71"/>
      <c r="S555" s="72"/>
      <c r="T555" s="70"/>
      <c r="U555" s="70"/>
      <c r="V555" s="71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</row>
    <row r="556">
      <c r="A556" s="70"/>
      <c r="B556" s="70"/>
      <c r="C556" s="70"/>
      <c r="D556" s="71"/>
      <c r="E556" s="72"/>
      <c r="F556" s="70"/>
      <c r="G556" s="69"/>
      <c r="H556" s="70"/>
      <c r="I556" s="70"/>
      <c r="J556" s="71"/>
      <c r="K556" s="72"/>
      <c r="L556" s="70"/>
      <c r="M556" s="70"/>
      <c r="N556" s="82"/>
      <c r="O556" s="70"/>
      <c r="P556" s="70"/>
      <c r="Q556" s="70"/>
      <c r="R556" s="71"/>
      <c r="S556" s="72"/>
      <c r="T556" s="70"/>
      <c r="U556" s="70"/>
      <c r="V556" s="71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</row>
    <row r="557">
      <c r="A557" s="70"/>
      <c r="B557" s="70"/>
      <c r="C557" s="70"/>
      <c r="D557" s="71"/>
      <c r="E557" s="72"/>
      <c r="F557" s="70"/>
      <c r="G557" s="69"/>
      <c r="H557" s="70"/>
      <c r="I557" s="70"/>
      <c r="J557" s="71"/>
      <c r="K557" s="72"/>
      <c r="L557" s="70"/>
      <c r="M557" s="70"/>
      <c r="N557" s="82"/>
      <c r="O557" s="70"/>
      <c r="P557" s="70"/>
      <c r="Q557" s="70"/>
      <c r="R557" s="71"/>
      <c r="S557" s="72"/>
      <c r="T557" s="70"/>
      <c r="U557" s="70"/>
      <c r="V557" s="71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</row>
    <row r="558">
      <c r="A558" s="70"/>
      <c r="B558" s="70"/>
      <c r="C558" s="70"/>
      <c r="D558" s="71"/>
      <c r="E558" s="72"/>
      <c r="F558" s="70"/>
      <c r="G558" s="69"/>
      <c r="H558" s="70"/>
      <c r="I558" s="70"/>
      <c r="J558" s="71"/>
      <c r="K558" s="72"/>
      <c r="L558" s="70"/>
      <c r="M558" s="70"/>
      <c r="N558" s="82"/>
      <c r="O558" s="70"/>
      <c r="P558" s="70"/>
      <c r="Q558" s="70"/>
      <c r="R558" s="71"/>
      <c r="S558" s="72"/>
      <c r="T558" s="70"/>
      <c r="U558" s="70"/>
      <c r="V558" s="71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</row>
    <row r="559">
      <c r="A559" s="70"/>
      <c r="B559" s="70"/>
      <c r="C559" s="70"/>
      <c r="D559" s="71"/>
      <c r="E559" s="72"/>
      <c r="F559" s="70"/>
      <c r="G559" s="69"/>
      <c r="H559" s="70"/>
      <c r="I559" s="70"/>
      <c r="J559" s="71"/>
      <c r="K559" s="72"/>
      <c r="L559" s="70"/>
      <c r="M559" s="70"/>
      <c r="N559" s="82"/>
      <c r="O559" s="70"/>
      <c r="P559" s="70"/>
      <c r="Q559" s="70"/>
      <c r="R559" s="71"/>
      <c r="S559" s="72"/>
      <c r="T559" s="70"/>
      <c r="U559" s="70"/>
      <c r="V559" s="71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</row>
    <row r="560">
      <c r="A560" s="70"/>
      <c r="B560" s="70"/>
      <c r="C560" s="70"/>
      <c r="D560" s="71"/>
      <c r="E560" s="72"/>
      <c r="F560" s="70"/>
      <c r="G560" s="69"/>
      <c r="H560" s="70"/>
      <c r="I560" s="70"/>
      <c r="J560" s="71"/>
      <c r="K560" s="72"/>
      <c r="L560" s="70"/>
      <c r="M560" s="70"/>
      <c r="N560" s="82"/>
      <c r="O560" s="70"/>
      <c r="P560" s="70"/>
      <c r="Q560" s="70"/>
      <c r="R560" s="71"/>
      <c r="S560" s="72"/>
      <c r="T560" s="70"/>
      <c r="U560" s="70"/>
      <c r="V560" s="71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</row>
    <row r="561">
      <c r="A561" s="70"/>
      <c r="B561" s="70"/>
      <c r="C561" s="70"/>
      <c r="D561" s="71"/>
      <c r="E561" s="72"/>
      <c r="F561" s="70"/>
      <c r="G561" s="69"/>
      <c r="H561" s="70"/>
      <c r="I561" s="70"/>
      <c r="J561" s="71"/>
      <c r="K561" s="72"/>
      <c r="L561" s="70"/>
      <c r="M561" s="70"/>
      <c r="N561" s="82"/>
      <c r="O561" s="70"/>
      <c r="P561" s="70"/>
      <c r="Q561" s="70"/>
      <c r="R561" s="71"/>
      <c r="S561" s="72"/>
      <c r="T561" s="70"/>
      <c r="U561" s="70"/>
      <c r="V561" s="71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</row>
    <row r="562">
      <c r="A562" s="70"/>
      <c r="B562" s="70"/>
      <c r="C562" s="70"/>
      <c r="D562" s="71"/>
      <c r="E562" s="72"/>
      <c r="F562" s="70"/>
      <c r="G562" s="69"/>
      <c r="H562" s="70"/>
      <c r="I562" s="70"/>
      <c r="J562" s="71"/>
      <c r="K562" s="72"/>
      <c r="L562" s="70"/>
      <c r="M562" s="70"/>
      <c r="N562" s="82"/>
      <c r="O562" s="70"/>
      <c r="P562" s="70"/>
      <c r="Q562" s="70"/>
      <c r="R562" s="71"/>
      <c r="S562" s="72"/>
      <c r="T562" s="70"/>
      <c r="U562" s="70"/>
      <c r="V562" s="71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</row>
    <row r="563">
      <c r="A563" s="70"/>
      <c r="B563" s="70"/>
      <c r="C563" s="70"/>
      <c r="D563" s="71"/>
      <c r="E563" s="72"/>
      <c r="F563" s="70"/>
      <c r="G563" s="69"/>
      <c r="H563" s="70"/>
      <c r="I563" s="70"/>
      <c r="J563" s="71"/>
      <c r="K563" s="72"/>
      <c r="L563" s="70"/>
      <c r="M563" s="70"/>
      <c r="N563" s="82"/>
      <c r="O563" s="70"/>
      <c r="P563" s="70"/>
      <c r="Q563" s="70"/>
      <c r="R563" s="71"/>
      <c r="S563" s="72"/>
      <c r="T563" s="70"/>
      <c r="U563" s="70"/>
      <c r="V563" s="71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</row>
    <row r="564">
      <c r="A564" s="70"/>
      <c r="B564" s="70"/>
      <c r="C564" s="70"/>
      <c r="D564" s="71"/>
      <c r="E564" s="72"/>
      <c r="F564" s="70"/>
      <c r="G564" s="69"/>
      <c r="H564" s="70"/>
      <c r="I564" s="70"/>
      <c r="J564" s="71"/>
      <c r="K564" s="72"/>
      <c r="L564" s="70"/>
      <c r="M564" s="70"/>
      <c r="N564" s="82"/>
      <c r="O564" s="70"/>
      <c r="P564" s="70"/>
      <c r="Q564" s="70"/>
      <c r="R564" s="71"/>
      <c r="S564" s="72"/>
      <c r="T564" s="70"/>
      <c r="U564" s="70"/>
      <c r="V564" s="71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</row>
    <row r="565">
      <c r="A565" s="70"/>
      <c r="B565" s="70"/>
      <c r="C565" s="70"/>
      <c r="D565" s="71"/>
      <c r="E565" s="72"/>
      <c r="F565" s="70"/>
      <c r="G565" s="69"/>
      <c r="H565" s="70"/>
      <c r="I565" s="70"/>
      <c r="J565" s="71"/>
      <c r="K565" s="72"/>
      <c r="L565" s="70"/>
      <c r="M565" s="70"/>
      <c r="N565" s="82"/>
      <c r="O565" s="70"/>
      <c r="P565" s="70"/>
      <c r="Q565" s="70"/>
      <c r="R565" s="71"/>
      <c r="S565" s="72"/>
      <c r="T565" s="70"/>
      <c r="U565" s="70"/>
      <c r="V565" s="71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</row>
    <row r="566">
      <c r="A566" s="70"/>
      <c r="B566" s="70"/>
      <c r="C566" s="70"/>
      <c r="D566" s="71"/>
      <c r="E566" s="72"/>
      <c r="F566" s="70"/>
      <c r="G566" s="69"/>
      <c r="H566" s="70"/>
      <c r="I566" s="70"/>
      <c r="J566" s="71"/>
      <c r="K566" s="72"/>
      <c r="L566" s="70"/>
      <c r="M566" s="70"/>
      <c r="N566" s="82"/>
      <c r="O566" s="70"/>
      <c r="P566" s="70"/>
      <c r="Q566" s="70"/>
      <c r="R566" s="71"/>
      <c r="S566" s="72"/>
      <c r="T566" s="70"/>
      <c r="U566" s="70"/>
      <c r="V566" s="71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</row>
    <row r="567">
      <c r="A567" s="70"/>
      <c r="B567" s="70"/>
      <c r="C567" s="70"/>
      <c r="D567" s="71"/>
      <c r="E567" s="72"/>
      <c r="F567" s="70"/>
      <c r="G567" s="69"/>
      <c r="H567" s="70"/>
      <c r="I567" s="70"/>
      <c r="J567" s="71"/>
      <c r="K567" s="72"/>
      <c r="L567" s="70"/>
      <c r="M567" s="70"/>
      <c r="N567" s="82"/>
      <c r="O567" s="70"/>
      <c r="P567" s="70"/>
      <c r="Q567" s="70"/>
      <c r="R567" s="71"/>
      <c r="S567" s="72"/>
      <c r="T567" s="70"/>
      <c r="U567" s="70"/>
      <c r="V567" s="71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</row>
    <row r="568">
      <c r="A568" s="70"/>
      <c r="B568" s="70"/>
      <c r="C568" s="70"/>
      <c r="D568" s="71"/>
      <c r="E568" s="72"/>
      <c r="F568" s="70"/>
      <c r="G568" s="69"/>
      <c r="H568" s="70"/>
      <c r="I568" s="70"/>
      <c r="J568" s="71"/>
      <c r="K568" s="72"/>
      <c r="L568" s="70"/>
      <c r="M568" s="70"/>
      <c r="N568" s="82"/>
      <c r="O568" s="70"/>
      <c r="P568" s="70"/>
      <c r="Q568" s="70"/>
      <c r="R568" s="71"/>
      <c r="S568" s="72"/>
      <c r="T568" s="70"/>
      <c r="U568" s="70"/>
      <c r="V568" s="71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</row>
    <row r="569">
      <c r="A569" s="70"/>
      <c r="B569" s="70"/>
      <c r="C569" s="70"/>
      <c r="D569" s="71"/>
      <c r="E569" s="72"/>
      <c r="F569" s="70"/>
      <c r="G569" s="69"/>
      <c r="H569" s="70"/>
      <c r="I569" s="70"/>
      <c r="J569" s="71"/>
      <c r="K569" s="72"/>
      <c r="L569" s="70"/>
      <c r="M569" s="70"/>
      <c r="N569" s="82"/>
      <c r="O569" s="70"/>
      <c r="P569" s="70"/>
      <c r="Q569" s="70"/>
      <c r="R569" s="71"/>
      <c r="S569" s="72"/>
      <c r="T569" s="70"/>
      <c r="U569" s="70"/>
      <c r="V569" s="71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</row>
    <row r="570">
      <c r="A570" s="70"/>
      <c r="B570" s="70"/>
      <c r="C570" s="70"/>
      <c r="D570" s="71"/>
      <c r="E570" s="72"/>
      <c r="F570" s="70"/>
      <c r="G570" s="69"/>
      <c r="H570" s="70"/>
      <c r="I570" s="70"/>
      <c r="J570" s="71"/>
      <c r="K570" s="72"/>
      <c r="L570" s="70"/>
      <c r="M570" s="70"/>
      <c r="N570" s="82"/>
      <c r="O570" s="70"/>
      <c r="P570" s="70"/>
      <c r="Q570" s="70"/>
      <c r="R570" s="71"/>
      <c r="S570" s="72"/>
      <c r="T570" s="70"/>
      <c r="U570" s="70"/>
      <c r="V570" s="71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</row>
    <row r="571">
      <c r="A571" s="70"/>
      <c r="B571" s="70"/>
      <c r="C571" s="70"/>
      <c r="D571" s="71"/>
      <c r="E571" s="72"/>
      <c r="F571" s="70"/>
      <c r="G571" s="69"/>
      <c r="H571" s="70"/>
      <c r="I571" s="70"/>
      <c r="J571" s="71"/>
      <c r="K571" s="72"/>
      <c r="L571" s="70"/>
      <c r="M571" s="70"/>
      <c r="N571" s="82"/>
      <c r="O571" s="70"/>
      <c r="P571" s="70"/>
      <c r="Q571" s="70"/>
      <c r="R571" s="71"/>
      <c r="S571" s="72"/>
      <c r="T571" s="70"/>
      <c r="U571" s="70"/>
      <c r="V571" s="71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</row>
    <row r="572">
      <c r="A572" s="70"/>
      <c r="B572" s="70"/>
      <c r="C572" s="70"/>
      <c r="D572" s="71"/>
      <c r="E572" s="72"/>
      <c r="F572" s="70"/>
      <c r="G572" s="69"/>
      <c r="H572" s="70"/>
      <c r="I572" s="70"/>
      <c r="J572" s="71"/>
      <c r="K572" s="72"/>
      <c r="L572" s="70"/>
      <c r="M572" s="70"/>
      <c r="N572" s="82"/>
      <c r="O572" s="70"/>
      <c r="P572" s="70"/>
      <c r="Q572" s="70"/>
      <c r="R572" s="71"/>
      <c r="S572" s="72"/>
      <c r="T572" s="70"/>
      <c r="U572" s="70"/>
      <c r="V572" s="71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</row>
    <row r="573">
      <c r="A573" s="70"/>
      <c r="B573" s="70"/>
      <c r="C573" s="70"/>
      <c r="D573" s="71"/>
      <c r="E573" s="72"/>
      <c r="F573" s="70"/>
      <c r="G573" s="69"/>
      <c r="H573" s="70"/>
      <c r="I573" s="70"/>
      <c r="J573" s="71"/>
      <c r="K573" s="72"/>
      <c r="L573" s="70"/>
      <c r="M573" s="70"/>
      <c r="N573" s="82"/>
      <c r="O573" s="70"/>
      <c r="P573" s="70"/>
      <c r="Q573" s="70"/>
      <c r="R573" s="71"/>
      <c r="S573" s="72"/>
      <c r="T573" s="70"/>
      <c r="U573" s="70"/>
      <c r="V573" s="71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</row>
    <row r="574">
      <c r="A574" s="70"/>
      <c r="B574" s="70"/>
      <c r="C574" s="70"/>
      <c r="D574" s="71"/>
      <c r="E574" s="72"/>
      <c r="F574" s="70"/>
      <c r="G574" s="69"/>
      <c r="H574" s="70"/>
      <c r="I574" s="70"/>
      <c r="J574" s="71"/>
      <c r="K574" s="72"/>
      <c r="L574" s="70"/>
      <c r="M574" s="70"/>
      <c r="N574" s="82"/>
      <c r="O574" s="70"/>
      <c r="P574" s="70"/>
      <c r="Q574" s="70"/>
      <c r="R574" s="71"/>
      <c r="S574" s="72"/>
      <c r="T574" s="70"/>
      <c r="U574" s="70"/>
      <c r="V574" s="71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</row>
    <row r="575">
      <c r="A575" s="70"/>
      <c r="B575" s="70"/>
      <c r="C575" s="70"/>
      <c r="D575" s="71"/>
      <c r="E575" s="72"/>
      <c r="F575" s="70"/>
      <c r="G575" s="69"/>
      <c r="H575" s="70"/>
      <c r="I575" s="70"/>
      <c r="J575" s="71"/>
      <c r="K575" s="72"/>
      <c r="L575" s="70"/>
      <c r="M575" s="70"/>
      <c r="N575" s="82"/>
      <c r="O575" s="70"/>
      <c r="P575" s="70"/>
      <c r="Q575" s="70"/>
      <c r="R575" s="71"/>
      <c r="S575" s="72"/>
      <c r="T575" s="70"/>
      <c r="U575" s="70"/>
      <c r="V575" s="71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</row>
    <row r="576">
      <c r="A576" s="70"/>
      <c r="B576" s="70"/>
      <c r="C576" s="70"/>
      <c r="D576" s="71"/>
      <c r="E576" s="72"/>
      <c r="F576" s="70"/>
      <c r="G576" s="69"/>
      <c r="H576" s="70"/>
      <c r="I576" s="70"/>
      <c r="J576" s="71"/>
      <c r="K576" s="72"/>
      <c r="L576" s="70"/>
      <c r="M576" s="70"/>
      <c r="N576" s="82"/>
      <c r="O576" s="70"/>
      <c r="P576" s="70"/>
      <c r="Q576" s="70"/>
      <c r="R576" s="71"/>
      <c r="S576" s="72"/>
      <c r="T576" s="70"/>
      <c r="U576" s="70"/>
      <c r="V576" s="71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</row>
    <row r="577">
      <c r="A577" s="70"/>
      <c r="B577" s="70"/>
      <c r="C577" s="70"/>
      <c r="D577" s="71"/>
      <c r="E577" s="72"/>
      <c r="F577" s="70"/>
      <c r="G577" s="69"/>
      <c r="H577" s="70"/>
      <c r="I577" s="70"/>
      <c r="J577" s="71"/>
      <c r="K577" s="72"/>
      <c r="L577" s="70"/>
      <c r="M577" s="70"/>
      <c r="N577" s="82"/>
      <c r="O577" s="70"/>
      <c r="P577" s="70"/>
      <c r="Q577" s="70"/>
      <c r="R577" s="71"/>
      <c r="S577" s="72"/>
      <c r="T577" s="70"/>
      <c r="U577" s="70"/>
      <c r="V577" s="71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</row>
    <row r="578">
      <c r="A578" s="70"/>
      <c r="B578" s="70"/>
      <c r="C578" s="70"/>
      <c r="D578" s="71"/>
      <c r="E578" s="72"/>
      <c r="F578" s="70"/>
      <c r="G578" s="69"/>
      <c r="H578" s="70"/>
      <c r="I578" s="70"/>
      <c r="J578" s="71"/>
      <c r="K578" s="72"/>
      <c r="L578" s="70"/>
      <c r="M578" s="70"/>
      <c r="N578" s="82"/>
      <c r="O578" s="70"/>
      <c r="P578" s="70"/>
      <c r="Q578" s="70"/>
      <c r="R578" s="71"/>
      <c r="S578" s="72"/>
      <c r="T578" s="70"/>
      <c r="U578" s="70"/>
      <c r="V578" s="71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</row>
    <row r="579">
      <c r="A579" s="70"/>
      <c r="B579" s="70"/>
      <c r="C579" s="70"/>
      <c r="D579" s="71"/>
      <c r="E579" s="72"/>
      <c r="F579" s="70"/>
      <c r="G579" s="69"/>
      <c r="H579" s="70"/>
      <c r="I579" s="70"/>
      <c r="J579" s="71"/>
      <c r="K579" s="72"/>
      <c r="L579" s="70"/>
      <c r="M579" s="70"/>
      <c r="N579" s="82"/>
      <c r="O579" s="70"/>
      <c r="P579" s="70"/>
      <c r="Q579" s="70"/>
      <c r="R579" s="71"/>
      <c r="S579" s="72"/>
      <c r="T579" s="70"/>
      <c r="U579" s="70"/>
      <c r="V579" s="71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</row>
    <row r="580">
      <c r="A580" s="70"/>
      <c r="B580" s="70"/>
      <c r="C580" s="70"/>
      <c r="D580" s="71"/>
      <c r="E580" s="72"/>
      <c r="F580" s="70"/>
      <c r="G580" s="69"/>
      <c r="H580" s="70"/>
      <c r="I580" s="70"/>
      <c r="J580" s="71"/>
      <c r="K580" s="72"/>
      <c r="L580" s="70"/>
      <c r="M580" s="70"/>
      <c r="N580" s="82"/>
      <c r="O580" s="70"/>
      <c r="P580" s="70"/>
      <c r="Q580" s="70"/>
      <c r="R580" s="71"/>
      <c r="S580" s="72"/>
      <c r="T580" s="70"/>
      <c r="U580" s="70"/>
      <c r="V580" s="71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</row>
    <row r="581">
      <c r="A581" s="70"/>
      <c r="B581" s="70"/>
      <c r="C581" s="70"/>
      <c r="D581" s="71"/>
      <c r="E581" s="72"/>
      <c r="F581" s="70"/>
      <c r="G581" s="69"/>
      <c r="H581" s="70"/>
      <c r="I581" s="70"/>
      <c r="J581" s="71"/>
      <c r="K581" s="72"/>
      <c r="L581" s="70"/>
      <c r="M581" s="70"/>
      <c r="N581" s="82"/>
      <c r="O581" s="70"/>
      <c r="P581" s="70"/>
      <c r="Q581" s="70"/>
      <c r="R581" s="71"/>
      <c r="S581" s="72"/>
      <c r="T581" s="70"/>
      <c r="U581" s="70"/>
      <c r="V581" s="71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</row>
    <row r="582">
      <c r="A582" s="70"/>
      <c r="B582" s="70"/>
      <c r="C582" s="70"/>
      <c r="D582" s="71"/>
      <c r="E582" s="72"/>
      <c r="F582" s="70"/>
      <c r="G582" s="69"/>
      <c r="H582" s="70"/>
      <c r="I582" s="70"/>
      <c r="J582" s="71"/>
      <c r="K582" s="72"/>
      <c r="L582" s="70"/>
      <c r="M582" s="70"/>
      <c r="N582" s="82"/>
      <c r="O582" s="70"/>
      <c r="P582" s="70"/>
      <c r="Q582" s="70"/>
      <c r="R582" s="71"/>
      <c r="S582" s="72"/>
      <c r="T582" s="70"/>
      <c r="U582" s="70"/>
      <c r="V582" s="71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</row>
    <row r="583">
      <c r="A583" s="70"/>
      <c r="B583" s="70"/>
      <c r="C583" s="70"/>
      <c r="D583" s="71"/>
      <c r="E583" s="72"/>
      <c r="F583" s="70"/>
      <c r="G583" s="69"/>
      <c r="H583" s="70"/>
      <c r="I583" s="70"/>
      <c r="J583" s="71"/>
      <c r="K583" s="72"/>
      <c r="L583" s="70"/>
      <c r="M583" s="70"/>
      <c r="N583" s="82"/>
      <c r="O583" s="70"/>
      <c r="P583" s="70"/>
      <c r="Q583" s="70"/>
      <c r="R583" s="71"/>
      <c r="S583" s="72"/>
      <c r="T583" s="70"/>
      <c r="U583" s="70"/>
      <c r="V583" s="71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</row>
    <row r="584">
      <c r="A584" s="70"/>
      <c r="B584" s="70"/>
      <c r="C584" s="70"/>
      <c r="D584" s="71"/>
      <c r="E584" s="72"/>
      <c r="F584" s="70"/>
      <c r="G584" s="69"/>
      <c r="H584" s="70"/>
      <c r="I584" s="70"/>
      <c r="J584" s="71"/>
      <c r="K584" s="72"/>
      <c r="L584" s="70"/>
      <c r="M584" s="70"/>
      <c r="N584" s="82"/>
      <c r="O584" s="70"/>
      <c r="P584" s="70"/>
      <c r="Q584" s="70"/>
      <c r="R584" s="71"/>
      <c r="S584" s="72"/>
      <c r="T584" s="70"/>
      <c r="U584" s="70"/>
      <c r="V584" s="71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</row>
    <row r="585">
      <c r="A585" s="70"/>
      <c r="B585" s="70"/>
      <c r="C585" s="70"/>
      <c r="D585" s="71"/>
      <c r="E585" s="72"/>
      <c r="F585" s="70"/>
      <c r="G585" s="69"/>
      <c r="H585" s="70"/>
      <c r="I585" s="70"/>
      <c r="J585" s="71"/>
      <c r="K585" s="72"/>
      <c r="L585" s="70"/>
      <c r="M585" s="70"/>
      <c r="N585" s="82"/>
      <c r="O585" s="70"/>
      <c r="P585" s="70"/>
      <c r="Q585" s="70"/>
      <c r="R585" s="71"/>
      <c r="S585" s="72"/>
      <c r="T585" s="70"/>
      <c r="U585" s="70"/>
      <c r="V585" s="71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</row>
    <row r="586">
      <c r="A586" s="70"/>
      <c r="B586" s="70"/>
      <c r="C586" s="70"/>
      <c r="D586" s="71"/>
      <c r="E586" s="72"/>
      <c r="F586" s="70"/>
      <c r="G586" s="69"/>
      <c r="H586" s="70"/>
      <c r="I586" s="70"/>
      <c r="J586" s="71"/>
      <c r="K586" s="72"/>
      <c r="L586" s="70"/>
      <c r="M586" s="70"/>
      <c r="N586" s="82"/>
      <c r="O586" s="70"/>
      <c r="P586" s="70"/>
      <c r="Q586" s="70"/>
      <c r="R586" s="71"/>
      <c r="S586" s="72"/>
      <c r="T586" s="70"/>
      <c r="U586" s="70"/>
      <c r="V586" s="71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</row>
    <row r="587">
      <c r="A587" s="70"/>
      <c r="B587" s="70"/>
      <c r="C587" s="70"/>
      <c r="D587" s="71"/>
      <c r="E587" s="72"/>
      <c r="F587" s="70"/>
      <c r="G587" s="69"/>
      <c r="H587" s="70"/>
      <c r="I587" s="70"/>
      <c r="J587" s="71"/>
      <c r="K587" s="72"/>
      <c r="L587" s="70"/>
      <c r="M587" s="70"/>
      <c r="N587" s="82"/>
      <c r="O587" s="70"/>
      <c r="P587" s="70"/>
      <c r="Q587" s="70"/>
      <c r="R587" s="71"/>
      <c r="S587" s="72"/>
      <c r="T587" s="70"/>
      <c r="U587" s="70"/>
      <c r="V587" s="71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</row>
    <row r="588">
      <c r="A588" s="70"/>
      <c r="B588" s="70"/>
      <c r="C588" s="70"/>
      <c r="D588" s="71"/>
      <c r="E588" s="72"/>
      <c r="F588" s="70"/>
      <c r="G588" s="69"/>
      <c r="H588" s="70"/>
      <c r="I588" s="70"/>
      <c r="J588" s="71"/>
      <c r="K588" s="72"/>
      <c r="L588" s="70"/>
      <c r="M588" s="70"/>
      <c r="N588" s="82"/>
      <c r="O588" s="70"/>
      <c r="P588" s="70"/>
      <c r="Q588" s="70"/>
      <c r="R588" s="71"/>
      <c r="S588" s="72"/>
      <c r="T588" s="70"/>
      <c r="U588" s="70"/>
      <c r="V588" s="71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</row>
    <row r="589">
      <c r="A589" s="70"/>
      <c r="B589" s="70"/>
      <c r="C589" s="70"/>
      <c r="D589" s="71"/>
      <c r="E589" s="72"/>
      <c r="F589" s="70"/>
      <c r="G589" s="69"/>
      <c r="H589" s="70"/>
      <c r="I589" s="70"/>
      <c r="J589" s="71"/>
      <c r="K589" s="72"/>
      <c r="L589" s="70"/>
      <c r="M589" s="70"/>
      <c r="N589" s="82"/>
      <c r="O589" s="70"/>
      <c r="P589" s="70"/>
      <c r="Q589" s="70"/>
      <c r="R589" s="71"/>
      <c r="S589" s="72"/>
      <c r="T589" s="70"/>
      <c r="U589" s="70"/>
      <c r="V589" s="71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</row>
    <row r="590">
      <c r="A590" s="70"/>
      <c r="B590" s="70"/>
      <c r="C590" s="70"/>
      <c r="D590" s="71"/>
      <c r="E590" s="72"/>
      <c r="F590" s="70"/>
      <c r="G590" s="69"/>
      <c r="H590" s="70"/>
      <c r="I590" s="70"/>
      <c r="J590" s="71"/>
      <c r="K590" s="72"/>
      <c r="L590" s="70"/>
      <c r="M590" s="70"/>
      <c r="N590" s="82"/>
      <c r="O590" s="70"/>
      <c r="P590" s="70"/>
      <c r="Q590" s="70"/>
      <c r="R590" s="71"/>
      <c r="S590" s="72"/>
      <c r="T590" s="70"/>
      <c r="U590" s="70"/>
      <c r="V590" s="71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</row>
    <row r="591">
      <c r="A591" s="70"/>
      <c r="B591" s="70"/>
      <c r="C591" s="70"/>
      <c r="D591" s="71"/>
      <c r="E591" s="72"/>
      <c r="F591" s="70"/>
      <c r="G591" s="69"/>
      <c r="H591" s="70"/>
      <c r="I591" s="70"/>
      <c r="J591" s="71"/>
      <c r="K591" s="72"/>
      <c r="L591" s="70"/>
      <c r="M591" s="70"/>
      <c r="N591" s="82"/>
      <c r="O591" s="70"/>
      <c r="P591" s="70"/>
      <c r="Q591" s="70"/>
      <c r="R591" s="71"/>
      <c r="S591" s="72"/>
      <c r="T591" s="70"/>
      <c r="U591" s="70"/>
      <c r="V591" s="71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</row>
    <row r="592">
      <c r="A592" s="70"/>
      <c r="B592" s="70"/>
      <c r="C592" s="70"/>
      <c r="D592" s="71"/>
      <c r="E592" s="72"/>
      <c r="F592" s="70"/>
      <c r="G592" s="69"/>
      <c r="H592" s="70"/>
      <c r="I592" s="70"/>
      <c r="J592" s="71"/>
      <c r="K592" s="72"/>
      <c r="L592" s="70"/>
      <c r="M592" s="70"/>
      <c r="N592" s="82"/>
      <c r="O592" s="70"/>
      <c r="P592" s="70"/>
      <c r="Q592" s="70"/>
      <c r="R592" s="71"/>
      <c r="S592" s="72"/>
      <c r="T592" s="70"/>
      <c r="U592" s="70"/>
      <c r="V592" s="71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</row>
    <row r="593">
      <c r="A593" s="70"/>
      <c r="B593" s="70"/>
      <c r="C593" s="70"/>
      <c r="D593" s="71"/>
      <c r="E593" s="72"/>
      <c r="F593" s="70"/>
      <c r="G593" s="69"/>
      <c r="H593" s="70"/>
      <c r="I593" s="70"/>
      <c r="J593" s="71"/>
      <c r="K593" s="72"/>
      <c r="L593" s="70"/>
      <c r="M593" s="70"/>
      <c r="N593" s="82"/>
      <c r="O593" s="70"/>
      <c r="P593" s="70"/>
      <c r="Q593" s="70"/>
      <c r="R593" s="71"/>
      <c r="S593" s="72"/>
      <c r="T593" s="70"/>
      <c r="U593" s="70"/>
      <c r="V593" s="71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</row>
    <row r="594">
      <c r="A594" s="70"/>
      <c r="B594" s="70"/>
      <c r="C594" s="70"/>
      <c r="D594" s="71"/>
      <c r="E594" s="72"/>
      <c r="F594" s="70"/>
      <c r="G594" s="69"/>
      <c r="H594" s="70"/>
      <c r="I594" s="70"/>
      <c r="J594" s="71"/>
      <c r="K594" s="72"/>
      <c r="L594" s="70"/>
      <c r="M594" s="70"/>
      <c r="N594" s="82"/>
      <c r="O594" s="70"/>
      <c r="P594" s="70"/>
      <c r="Q594" s="70"/>
      <c r="R594" s="71"/>
      <c r="S594" s="72"/>
      <c r="T594" s="70"/>
      <c r="U594" s="70"/>
      <c r="V594" s="71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</row>
    <row r="595">
      <c r="A595" s="70"/>
      <c r="B595" s="70"/>
      <c r="C595" s="70"/>
      <c r="D595" s="71"/>
      <c r="E595" s="72"/>
      <c r="F595" s="70"/>
      <c r="G595" s="69"/>
      <c r="H595" s="70"/>
      <c r="I595" s="70"/>
      <c r="J595" s="71"/>
      <c r="K595" s="72"/>
      <c r="L595" s="70"/>
      <c r="M595" s="70"/>
      <c r="N595" s="82"/>
      <c r="O595" s="70"/>
      <c r="P595" s="70"/>
      <c r="Q595" s="70"/>
      <c r="R595" s="71"/>
      <c r="S595" s="72"/>
      <c r="T595" s="70"/>
      <c r="U595" s="70"/>
      <c r="V595" s="71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</row>
    <row r="596">
      <c r="A596" s="70"/>
      <c r="B596" s="70"/>
      <c r="C596" s="70"/>
      <c r="D596" s="71"/>
      <c r="E596" s="72"/>
      <c r="F596" s="70"/>
      <c r="G596" s="69"/>
      <c r="H596" s="70"/>
      <c r="I596" s="70"/>
      <c r="J596" s="71"/>
      <c r="K596" s="72"/>
      <c r="L596" s="70"/>
      <c r="M596" s="70"/>
      <c r="N596" s="82"/>
      <c r="O596" s="70"/>
      <c r="P596" s="70"/>
      <c r="Q596" s="70"/>
      <c r="R596" s="71"/>
      <c r="S596" s="72"/>
      <c r="T596" s="70"/>
      <c r="U596" s="70"/>
      <c r="V596" s="71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</row>
    <row r="597">
      <c r="A597" s="70"/>
      <c r="B597" s="70"/>
      <c r="C597" s="70"/>
      <c r="D597" s="71"/>
      <c r="E597" s="72"/>
      <c r="F597" s="70"/>
      <c r="G597" s="69"/>
      <c r="H597" s="70"/>
      <c r="I597" s="70"/>
      <c r="J597" s="71"/>
      <c r="K597" s="72"/>
      <c r="L597" s="70"/>
      <c r="M597" s="70"/>
      <c r="N597" s="82"/>
      <c r="O597" s="70"/>
      <c r="P597" s="70"/>
      <c r="Q597" s="70"/>
      <c r="R597" s="71"/>
      <c r="S597" s="72"/>
      <c r="T597" s="70"/>
      <c r="U597" s="70"/>
      <c r="V597" s="71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</row>
    <row r="598">
      <c r="A598" s="70"/>
      <c r="B598" s="70"/>
      <c r="C598" s="70"/>
      <c r="D598" s="71"/>
      <c r="E598" s="72"/>
      <c r="F598" s="70"/>
      <c r="G598" s="69"/>
      <c r="H598" s="70"/>
      <c r="I598" s="70"/>
      <c r="J598" s="71"/>
      <c r="K598" s="72"/>
      <c r="L598" s="70"/>
      <c r="M598" s="70"/>
      <c r="N598" s="82"/>
      <c r="O598" s="70"/>
      <c r="P598" s="70"/>
      <c r="Q598" s="70"/>
      <c r="R598" s="71"/>
      <c r="S598" s="72"/>
      <c r="T598" s="70"/>
      <c r="U598" s="70"/>
      <c r="V598" s="71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</row>
    <row r="599">
      <c r="A599" s="70"/>
      <c r="B599" s="70"/>
      <c r="C599" s="70"/>
      <c r="D599" s="71"/>
      <c r="E599" s="72"/>
      <c r="F599" s="70"/>
      <c r="G599" s="69"/>
      <c r="H599" s="70"/>
      <c r="I599" s="70"/>
      <c r="J599" s="71"/>
      <c r="K599" s="72"/>
      <c r="L599" s="70"/>
      <c r="M599" s="70"/>
      <c r="N599" s="82"/>
      <c r="O599" s="70"/>
      <c r="P599" s="70"/>
      <c r="Q599" s="70"/>
      <c r="R599" s="71"/>
      <c r="S599" s="72"/>
      <c r="T599" s="70"/>
      <c r="U599" s="70"/>
      <c r="V599" s="71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</row>
    <row r="600">
      <c r="A600" s="70"/>
      <c r="B600" s="70"/>
      <c r="C600" s="70"/>
      <c r="D600" s="71"/>
      <c r="E600" s="72"/>
      <c r="F600" s="70"/>
      <c r="G600" s="69"/>
      <c r="H600" s="70"/>
      <c r="I600" s="70"/>
      <c r="J600" s="71"/>
      <c r="K600" s="72"/>
      <c r="L600" s="70"/>
      <c r="M600" s="70"/>
      <c r="N600" s="82"/>
      <c r="O600" s="70"/>
      <c r="P600" s="70"/>
      <c r="Q600" s="70"/>
      <c r="R600" s="71"/>
      <c r="S600" s="72"/>
      <c r="T600" s="70"/>
      <c r="U600" s="70"/>
      <c r="V600" s="71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</row>
    <row r="601">
      <c r="A601" s="70"/>
      <c r="B601" s="70"/>
      <c r="C601" s="70"/>
      <c r="D601" s="71"/>
      <c r="E601" s="72"/>
      <c r="F601" s="70"/>
      <c r="G601" s="69"/>
      <c r="H601" s="70"/>
      <c r="I601" s="70"/>
      <c r="J601" s="71"/>
      <c r="K601" s="72"/>
      <c r="L601" s="70"/>
      <c r="M601" s="70"/>
      <c r="N601" s="82"/>
      <c r="O601" s="70"/>
      <c r="P601" s="70"/>
      <c r="Q601" s="70"/>
      <c r="R601" s="71"/>
      <c r="S601" s="72"/>
      <c r="T601" s="70"/>
      <c r="U601" s="70"/>
      <c r="V601" s="71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</row>
    <row r="602">
      <c r="A602" s="70"/>
      <c r="B602" s="70"/>
      <c r="C602" s="70"/>
      <c r="D602" s="71"/>
      <c r="E602" s="72"/>
      <c r="F602" s="70"/>
      <c r="G602" s="69"/>
      <c r="H602" s="70"/>
      <c r="I602" s="70"/>
      <c r="J602" s="71"/>
      <c r="K602" s="72"/>
      <c r="L602" s="70"/>
      <c r="M602" s="70"/>
      <c r="N602" s="82"/>
      <c r="O602" s="70"/>
      <c r="P602" s="70"/>
      <c r="Q602" s="70"/>
      <c r="R602" s="71"/>
      <c r="S602" s="72"/>
      <c r="T602" s="70"/>
      <c r="U602" s="70"/>
      <c r="V602" s="71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</row>
    <row r="603">
      <c r="A603" s="70"/>
      <c r="B603" s="70"/>
      <c r="C603" s="70"/>
      <c r="D603" s="71"/>
      <c r="E603" s="72"/>
      <c r="F603" s="70"/>
      <c r="G603" s="69"/>
      <c r="H603" s="70"/>
      <c r="I603" s="70"/>
      <c r="J603" s="71"/>
      <c r="K603" s="72"/>
      <c r="L603" s="70"/>
      <c r="M603" s="70"/>
      <c r="N603" s="82"/>
      <c r="O603" s="70"/>
      <c r="P603" s="70"/>
      <c r="Q603" s="70"/>
      <c r="R603" s="71"/>
      <c r="S603" s="72"/>
      <c r="T603" s="70"/>
      <c r="U603" s="70"/>
      <c r="V603" s="71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</row>
    <row r="604">
      <c r="A604" s="70"/>
      <c r="B604" s="70"/>
      <c r="C604" s="70"/>
      <c r="D604" s="71"/>
      <c r="E604" s="72"/>
      <c r="F604" s="70"/>
      <c r="G604" s="69"/>
      <c r="H604" s="70"/>
      <c r="I604" s="70"/>
      <c r="J604" s="71"/>
      <c r="K604" s="72"/>
      <c r="L604" s="70"/>
      <c r="M604" s="70"/>
      <c r="N604" s="82"/>
      <c r="O604" s="70"/>
      <c r="P604" s="70"/>
      <c r="Q604" s="70"/>
      <c r="R604" s="71"/>
      <c r="S604" s="72"/>
      <c r="T604" s="70"/>
      <c r="U604" s="70"/>
      <c r="V604" s="71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</row>
    <row r="605">
      <c r="A605" s="70"/>
      <c r="B605" s="70"/>
      <c r="C605" s="70"/>
      <c r="D605" s="71"/>
      <c r="E605" s="72"/>
      <c r="F605" s="70"/>
      <c r="G605" s="69"/>
      <c r="H605" s="70"/>
      <c r="I605" s="70"/>
      <c r="J605" s="71"/>
      <c r="K605" s="72"/>
      <c r="L605" s="70"/>
      <c r="M605" s="70"/>
      <c r="N605" s="82"/>
      <c r="O605" s="70"/>
      <c r="P605" s="70"/>
      <c r="Q605" s="70"/>
      <c r="R605" s="71"/>
      <c r="S605" s="72"/>
      <c r="T605" s="70"/>
      <c r="U605" s="70"/>
      <c r="V605" s="71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</row>
    <row r="606">
      <c r="A606" s="70"/>
      <c r="B606" s="70"/>
      <c r="C606" s="70"/>
      <c r="D606" s="71"/>
      <c r="E606" s="72"/>
      <c r="F606" s="70"/>
      <c r="G606" s="69"/>
      <c r="H606" s="70"/>
      <c r="I606" s="70"/>
      <c r="J606" s="71"/>
      <c r="K606" s="72"/>
      <c r="L606" s="70"/>
      <c r="M606" s="70"/>
      <c r="N606" s="82"/>
      <c r="O606" s="70"/>
      <c r="P606" s="70"/>
      <c r="Q606" s="70"/>
      <c r="R606" s="71"/>
      <c r="S606" s="72"/>
      <c r="T606" s="70"/>
      <c r="U606" s="70"/>
      <c r="V606" s="71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</row>
    <row r="607">
      <c r="A607" s="70"/>
      <c r="B607" s="70"/>
      <c r="C607" s="70"/>
      <c r="D607" s="71"/>
      <c r="E607" s="72"/>
      <c r="F607" s="70"/>
      <c r="G607" s="69"/>
      <c r="H607" s="70"/>
      <c r="I607" s="70"/>
      <c r="J607" s="71"/>
      <c r="K607" s="72"/>
      <c r="L607" s="70"/>
      <c r="M607" s="70"/>
      <c r="N607" s="82"/>
      <c r="O607" s="70"/>
      <c r="P607" s="70"/>
      <c r="Q607" s="70"/>
      <c r="R607" s="71"/>
      <c r="S607" s="72"/>
      <c r="T607" s="70"/>
      <c r="U607" s="70"/>
      <c r="V607" s="71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</row>
    <row r="608">
      <c r="A608" s="70"/>
      <c r="B608" s="70"/>
      <c r="C608" s="70"/>
      <c r="D608" s="71"/>
      <c r="E608" s="72"/>
      <c r="F608" s="70"/>
      <c r="G608" s="69"/>
      <c r="H608" s="70"/>
      <c r="I608" s="70"/>
      <c r="J608" s="71"/>
      <c r="K608" s="72"/>
      <c r="L608" s="70"/>
      <c r="M608" s="70"/>
      <c r="N608" s="82"/>
      <c r="O608" s="70"/>
      <c r="P608" s="70"/>
      <c r="Q608" s="70"/>
      <c r="R608" s="71"/>
      <c r="S608" s="72"/>
      <c r="T608" s="70"/>
      <c r="U608" s="70"/>
      <c r="V608" s="71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</row>
    <row r="609">
      <c r="A609" s="70"/>
      <c r="B609" s="70"/>
      <c r="C609" s="70"/>
      <c r="D609" s="71"/>
      <c r="E609" s="72"/>
      <c r="F609" s="70"/>
      <c r="G609" s="69"/>
      <c r="H609" s="70"/>
      <c r="I609" s="70"/>
      <c r="J609" s="71"/>
      <c r="K609" s="72"/>
      <c r="L609" s="70"/>
      <c r="M609" s="70"/>
      <c r="N609" s="82"/>
      <c r="O609" s="70"/>
      <c r="P609" s="70"/>
      <c r="Q609" s="70"/>
      <c r="R609" s="71"/>
      <c r="S609" s="72"/>
      <c r="T609" s="70"/>
      <c r="U609" s="70"/>
      <c r="V609" s="71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</row>
    <row r="610">
      <c r="A610" s="70"/>
      <c r="B610" s="70"/>
      <c r="C610" s="70"/>
      <c r="D610" s="71"/>
      <c r="E610" s="72"/>
      <c r="F610" s="70"/>
      <c r="G610" s="69"/>
      <c r="H610" s="70"/>
      <c r="I610" s="70"/>
      <c r="J610" s="71"/>
      <c r="K610" s="72"/>
      <c r="L610" s="70"/>
      <c r="M610" s="70"/>
      <c r="N610" s="82"/>
      <c r="O610" s="70"/>
      <c r="P610" s="70"/>
      <c r="Q610" s="70"/>
      <c r="R610" s="71"/>
      <c r="S610" s="72"/>
      <c r="T610" s="70"/>
      <c r="U610" s="70"/>
      <c r="V610" s="71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</row>
    <row r="611">
      <c r="A611" s="70"/>
      <c r="B611" s="70"/>
      <c r="C611" s="70"/>
      <c r="D611" s="71"/>
      <c r="E611" s="72"/>
      <c r="F611" s="70"/>
      <c r="G611" s="69"/>
      <c r="H611" s="70"/>
      <c r="I611" s="70"/>
      <c r="J611" s="71"/>
      <c r="K611" s="72"/>
      <c r="L611" s="70"/>
      <c r="M611" s="70"/>
      <c r="N611" s="82"/>
      <c r="O611" s="70"/>
      <c r="P611" s="70"/>
      <c r="Q611" s="70"/>
      <c r="R611" s="71"/>
      <c r="S611" s="72"/>
      <c r="T611" s="70"/>
      <c r="U611" s="70"/>
      <c r="V611" s="71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</row>
    <row r="612">
      <c r="A612" s="70"/>
      <c r="B612" s="70"/>
      <c r="C612" s="70"/>
      <c r="D612" s="71"/>
      <c r="E612" s="72"/>
      <c r="F612" s="70"/>
      <c r="G612" s="69"/>
      <c r="H612" s="70"/>
      <c r="I612" s="70"/>
      <c r="J612" s="71"/>
      <c r="K612" s="72"/>
      <c r="L612" s="70"/>
      <c r="M612" s="70"/>
      <c r="N612" s="82"/>
      <c r="O612" s="70"/>
      <c r="P612" s="70"/>
      <c r="Q612" s="70"/>
      <c r="R612" s="71"/>
      <c r="S612" s="72"/>
      <c r="T612" s="70"/>
      <c r="U612" s="70"/>
      <c r="V612" s="71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</row>
    <row r="613">
      <c r="A613" s="70"/>
      <c r="B613" s="70"/>
      <c r="C613" s="70"/>
      <c r="D613" s="71"/>
      <c r="E613" s="72"/>
      <c r="F613" s="70"/>
      <c r="G613" s="69"/>
      <c r="H613" s="70"/>
      <c r="I613" s="70"/>
      <c r="J613" s="71"/>
      <c r="K613" s="72"/>
      <c r="L613" s="70"/>
      <c r="M613" s="70"/>
      <c r="N613" s="82"/>
      <c r="O613" s="70"/>
      <c r="P613" s="70"/>
      <c r="Q613" s="70"/>
      <c r="R613" s="71"/>
      <c r="S613" s="72"/>
      <c r="T613" s="70"/>
      <c r="U613" s="70"/>
      <c r="V613" s="71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</row>
    <row r="614">
      <c r="A614" s="70"/>
      <c r="B614" s="70"/>
      <c r="C614" s="70"/>
      <c r="D614" s="71"/>
      <c r="E614" s="72"/>
      <c r="F614" s="70"/>
      <c r="G614" s="69"/>
      <c r="H614" s="70"/>
      <c r="I614" s="70"/>
      <c r="J614" s="71"/>
      <c r="K614" s="72"/>
      <c r="L614" s="70"/>
      <c r="M614" s="70"/>
      <c r="N614" s="82"/>
      <c r="O614" s="70"/>
      <c r="P614" s="70"/>
      <c r="Q614" s="70"/>
      <c r="R614" s="71"/>
      <c r="S614" s="72"/>
      <c r="T614" s="70"/>
      <c r="U614" s="70"/>
      <c r="V614" s="71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</row>
    <row r="615">
      <c r="A615" s="70"/>
      <c r="B615" s="70"/>
      <c r="C615" s="70"/>
      <c r="D615" s="71"/>
      <c r="E615" s="72"/>
      <c r="F615" s="70"/>
      <c r="G615" s="69"/>
      <c r="H615" s="70"/>
      <c r="I615" s="70"/>
      <c r="J615" s="71"/>
      <c r="K615" s="72"/>
      <c r="L615" s="70"/>
      <c r="M615" s="70"/>
      <c r="N615" s="82"/>
      <c r="O615" s="70"/>
      <c r="P615" s="70"/>
      <c r="Q615" s="70"/>
      <c r="R615" s="71"/>
      <c r="S615" s="72"/>
      <c r="T615" s="70"/>
      <c r="U615" s="70"/>
      <c r="V615" s="71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</row>
    <row r="616">
      <c r="A616" s="70"/>
      <c r="B616" s="70"/>
      <c r="C616" s="70"/>
      <c r="D616" s="71"/>
      <c r="E616" s="72"/>
      <c r="F616" s="70"/>
      <c r="G616" s="69"/>
      <c r="H616" s="70"/>
      <c r="I616" s="70"/>
      <c r="J616" s="71"/>
      <c r="K616" s="72"/>
      <c r="L616" s="70"/>
      <c r="M616" s="70"/>
      <c r="N616" s="82"/>
      <c r="O616" s="70"/>
      <c r="P616" s="70"/>
      <c r="Q616" s="70"/>
      <c r="R616" s="71"/>
      <c r="S616" s="72"/>
      <c r="T616" s="70"/>
      <c r="U616" s="70"/>
      <c r="V616" s="71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</row>
    <row r="617">
      <c r="A617" s="70"/>
      <c r="B617" s="70"/>
      <c r="C617" s="70"/>
      <c r="D617" s="71"/>
      <c r="E617" s="72"/>
      <c r="F617" s="70"/>
      <c r="G617" s="69"/>
      <c r="H617" s="70"/>
      <c r="I617" s="70"/>
      <c r="J617" s="71"/>
      <c r="K617" s="72"/>
      <c r="L617" s="70"/>
      <c r="M617" s="70"/>
      <c r="N617" s="82"/>
      <c r="O617" s="70"/>
      <c r="P617" s="70"/>
      <c r="Q617" s="70"/>
      <c r="R617" s="71"/>
      <c r="S617" s="72"/>
      <c r="T617" s="70"/>
      <c r="U617" s="70"/>
      <c r="V617" s="71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</row>
    <row r="618">
      <c r="A618" s="70"/>
      <c r="B618" s="70"/>
      <c r="C618" s="70"/>
      <c r="D618" s="71"/>
      <c r="E618" s="72"/>
      <c r="F618" s="70"/>
      <c r="G618" s="69"/>
      <c r="H618" s="70"/>
      <c r="I618" s="70"/>
      <c r="J618" s="71"/>
      <c r="K618" s="72"/>
      <c r="L618" s="70"/>
      <c r="M618" s="70"/>
      <c r="N618" s="82"/>
      <c r="O618" s="70"/>
      <c r="P618" s="70"/>
      <c r="Q618" s="70"/>
      <c r="R618" s="71"/>
      <c r="S618" s="72"/>
      <c r="T618" s="70"/>
      <c r="U618" s="70"/>
      <c r="V618" s="71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</row>
    <row r="619">
      <c r="A619" s="70"/>
      <c r="B619" s="70"/>
      <c r="C619" s="70"/>
      <c r="D619" s="71"/>
      <c r="E619" s="72"/>
      <c r="F619" s="70"/>
      <c r="G619" s="69"/>
      <c r="H619" s="70"/>
      <c r="I619" s="70"/>
      <c r="J619" s="71"/>
      <c r="K619" s="72"/>
      <c r="L619" s="70"/>
      <c r="M619" s="70"/>
      <c r="N619" s="82"/>
      <c r="O619" s="70"/>
      <c r="P619" s="70"/>
      <c r="Q619" s="70"/>
      <c r="R619" s="71"/>
      <c r="S619" s="72"/>
      <c r="T619" s="70"/>
      <c r="U619" s="70"/>
      <c r="V619" s="71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</row>
    <row r="620">
      <c r="A620" s="70"/>
      <c r="B620" s="70"/>
      <c r="C620" s="70"/>
      <c r="D620" s="71"/>
      <c r="E620" s="72"/>
      <c r="F620" s="70"/>
      <c r="G620" s="69"/>
      <c r="H620" s="70"/>
      <c r="I620" s="70"/>
      <c r="J620" s="71"/>
      <c r="K620" s="72"/>
      <c r="L620" s="70"/>
      <c r="M620" s="70"/>
      <c r="N620" s="82"/>
      <c r="O620" s="70"/>
      <c r="P620" s="70"/>
      <c r="Q620" s="70"/>
      <c r="R620" s="71"/>
      <c r="S620" s="72"/>
      <c r="T620" s="70"/>
      <c r="U620" s="70"/>
      <c r="V620" s="71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</row>
    <row r="621">
      <c r="A621" s="70"/>
      <c r="B621" s="70"/>
      <c r="C621" s="70"/>
      <c r="D621" s="71"/>
      <c r="E621" s="72"/>
      <c r="F621" s="70"/>
      <c r="G621" s="69"/>
      <c r="H621" s="70"/>
      <c r="I621" s="70"/>
      <c r="J621" s="71"/>
      <c r="K621" s="72"/>
      <c r="L621" s="70"/>
      <c r="M621" s="70"/>
      <c r="N621" s="82"/>
      <c r="O621" s="70"/>
      <c r="P621" s="70"/>
      <c r="Q621" s="70"/>
      <c r="R621" s="71"/>
      <c r="S621" s="72"/>
      <c r="T621" s="70"/>
      <c r="U621" s="70"/>
      <c r="V621" s="71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</row>
    <row r="622">
      <c r="A622" s="70"/>
      <c r="B622" s="70"/>
      <c r="C622" s="70"/>
      <c r="D622" s="71"/>
      <c r="E622" s="72"/>
      <c r="F622" s="70"/>
      <c r="G622" s="69"/>
      <c r="H622" s="70"/>
      <c r="I622" s="70"/>
      <c r="J622" s="71"/>
      <c r="K622" s="72"/>
      <c r="L622" s="70"/>
      <c r="M622" s="70"/>
      <c r="N622" s="82"/>
      <c r="O622" s="70"/>
      <c r="P622" s="70"/>
      <c r="Q622" s="70"/>
      <c r="R622" s="71"/>
      <c r="S622" s="72"/>
      <c r="T622" s="70"/>
      <c r="U622" s="70"/>
      <c r="V622" s="71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</row>
    <row r="623">
      <c r="A623" s="70"/>
      <c r="B623" s="70"/>
      <c r="C623" s="70"/>
      <c r="D623" s="71"/>
      <c r="E623" s="72"/>
      <c r="F623" s="70"/>
      <c r="G623" s="69"/>
      <c r="H623" s="70"/>
      <c r="I623" s="70"/>
      <c r="J623" s="71"/>
      <c r="K623" s="72"/>
      <c r="L623" s="70"/>
      <c r="M623" s="70"/>
      <c r="N623" s="82"/>
      <c r="O623" s="70"/>
      <c r="P623" s="70"/>
      <c r="Q623" s="70"/>
      <c r="R623" s="71"/>
      <c r="S623" s="72"/>
      <c r="T623" s="70"/>
      <c r="U623" s="70"/>
      <c r="V623" s="71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</row>
    <row r="624">
      <c r="A624" s="70"/>
      <c r="B624" s="70"/>
      <c r="C624" s="70"/>
      <c r="D624" s="71"/>
      <c r="E624" s="72"/>
      <c r="F624" s="70"/>
      <c r="G624" s="69"/>
      <c r="H624" s="70"/>
      <c r="I624" s="70"/>
      <c r="J624" s="71"/>
      <c r="K624" s="72"/>
      <c r="L624" s="70"/>
      <c r="M624" s="70"/>
      <c r="N624" s="82"/>
      <c r="O624" s="70"/>
      <c r="P624" s="70"/>
      <c r="Q624" s="70"/>
      <c r="R624" s="71"/>
      <c r="S624" s="72"/>
      <c r="T624" s="70"/>
      <c r="U624" s="70"/>
      <c r="V624" s="71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</row>
    <row r="625">
      <c r="A625" s="70"/>
      <c r="B625" s="70"/>
      <c r="C625" s="70"/>
      <c r="D625" s="71"/>
      <c r="E625" s="72"/>
      <c r="F625" s="70"/>
      <c r="G625" s="69"/>
      <c r="H625" s="70"/>
      <c r="I625" s="70"/>
      <c r="J625" s="71"/>
      <c r="K625" s="72"/>
      <c r="L625" s="70"/>
      <c r="M625" s="70"/>
      <c r="N625" s="82"/>
      <c r="O625" s="70"/>
      <c r="P625" s="70"/>
      <c r="Q625" s="70"/>
      <c r="R625" s="71"/>
      <c r="S625" s="72"/>
      <c r="T625" s="70"/>
      <c r="U625" s="70"/>
      <c r="V625" s="71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</row>
    <row r="626">
      <c r="A626" s="70"/>
      <c r="B626" s="70"/>
      <c r="C626" s="70"/>
      <c r="D626" s="71"/>
      <c r="E626" s="72"/>
      <c r="F626" s="70"/>
      <c r="G626" s="69"/>
      <c r="H626" s="70"/>
      <c r="I626" s="70"/>
      <c r="J626" s="71"/>
      <c r="K626" s="72"/>
      <c r="L626" s="70"/>
      <c r="M626" s="70"/>
      <c r="N626" s="82"/>
      <c r="O626" s="70"/>
      <c r="P626" s="70"/>
      <c r="Q626" s="70"/>
      <c r="R626" s="71"/>
      <c r="S626" s="72"/>
      <c r="T626" s="70"/>
      <c r="U626" s="70"/>
      <c r="V626" s="71"/>
      <c r="W626" s="70"/>
      <c r="X626" s="70"/>
      <c r="Y626" s="70"/>
      <c r="Z626" s="70"/>
      <c r="AA626" s="70"/>
      <c r="AB626" s="70"/>
      <c r="AC626" s="70"/>
      <c r="AD626" s="70"/>
      <c r="AE626" s="70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</row>
    <row r="627">
      <c r="A627" s="70"/>
      <c r="B627" s="70"/>
      <c r="C627" s="70"/>
      <c r="D627" s="71"/>
      <c r="E627" s="72"/>
      <c r="F627" s="70"/>
      <c r="G627" s="69"/>
      <c r="H627" s="70"/>
      <c r="I627" s="70"/>
      <c r="J627" s="71"/>
      <c r="K627" s="72"/>
      <c r="L627" s="70"/>
      <c r="M627" s="70"/>
      <c r="N627" s="82"/>
      <c r="O627" s="70"/>
      <c r="P627" s="70"/>
      <c r="Q627" s="70"/>
      <c r="R627" s="71"/>
      <c r="S627" s="72"/>
      <c r="T627" s="70"/>
      <c r="U627" s="70"/>
      <c r="V627" s="71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</row>
    <row r="628">
      <c r="A628" s="70"/>
      <c r="B628" s="70"/>
      <c r="C628" s="70"/>
      <c r="D628" s="71"/>
      <c r="E628" s="72"/>
      <c r="F628" s="70"/>
      <c r="G628" s="69"/>
      <c r="H628" s="70"/>
      <c r="I628" s="70"/>
      <c r="J628" s="71"/>
      <c r="K628" s="72"/>
      <c r="L628" s="70"/>
      <c r="M628" s="70"/>
      <c r="N628" s="82"/>
      <c r="O628" s="70"/>
      <c r="P628" s="70"/>
      <c r="Q628" s="70"/>
      <c r="R628" s="71"/>
      <c r="S628" s="72"/>
      <c r="T628" s="70"/>
      <c r="U628" s="70"/>
      <c r="V628" s="71"/>
      <c r="W628" s="70"/>
      <c r="X628" s="70"/>
      <c r="Y628" s="70"/>
      <c r="Z628" s="70"/>
      <c r="AA628" s="70"/>
      <c r="AB628" s="70"/>
      <c r="AC628" s="70"/>
      <c r="AD628" s="70"/>
      <c r="AE628" s="70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</row>
    <row r="629">
      <c r="A629" s="70"/>
      <c r="B629" s="70"/>
      <c r="C629" s="70"/>
      <c r="D629" s="71"/>
      <c r="E629" s="72"/>
      <c r="F629" s="70"/>
      <c r="G629" s="69"/>
      <c r="H629" s="70"/>
      <c r="I629" s="70"/>
      <c r="J629" s="71"/>
      <c r="K629" s="72"/>
      <c r="L629" s="70"/>
      <c r="M629" s="70"/>
      <c r="N629" s="82"/>
      <c r="O629" s="70"/>
      <c r="P629" s="70"/>
      <c r="Q629" s="70"/>
      <c r="R629" s="71"/>
      <c r="S629" s="72"/>
      <c r="T629" s="70"/>
      <c r="U629" s="70"/>
      <c r="V629" s="71"/>
      <c r="W629" s="70"/>
      <c r="X629" s="70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</row>
    <row r="630">
      <c r="A630" s="70"/>
      <c r="B630" s="70"/>
      <c r="C630" s="70"/>
      <c r="D630" s="71"/>
      <c r="E630" s="72"/>
      <c r="F630" s="70"/>
      <c r="G630" s="69"/>
      <c r="H630" s="70"/>
      <c r="I630" s="70"/>
      <c r="J630" s="71"/>
      <c r="K630" s="72"/>
      <c r="L630" s="70"/>
      <c r="M630" s="70"/>
      <c r="N630" s="82"/>
      <c r="O630" s="70"/>
      <c r="P630" s="70"/>
      <c r="Q630" s="70"/>
      <c r="R630" s="71"/>
      <c r="S630" s="72"/>
      <c r="T630" s="70"/>
      <c r="U630" s="70"/>
      <c r="V630" s="71"/>
      <c r="W630" s="70"/>
      <c r="X630" s="70"/>
      <c r="Y630" s="70"/>
      <c r="Z630" s="70"/>
      <c r="AA630" s="70"/>
      <c r="AB630" s="70"/>
      <c r="AC630" s="70"/>
      <c r="AD630" s="70"/>
      <c r="AE630" s="70"/>
      <c r="AF630" s="70"/>
      <c r="AG630" s="70"/>
      <c r="AH630" s="70"/>
      <c r="AI630" s="70"/>
      <c r="AJ630" s="70"/>
      <c r="AK630" s="70"/>
      <c r="AL630" s="70"/>
      <c r="AM630" s="70"/>
      <c r="AN630" s="70"/>
      <c r="AO630" s="70"/>
    </row>
    <row r="631">
      <c r="A631" s="70"/>
      <c r="B631" s="70"/>
      <c r="C631" s="70"/>
      <c r="D631" s="71"/>
      <c r="E631" s="72"/>
      <c r="F631" s="70"/>
      <c r="G631" s="69"/>
      <c r="H631" s="70"/>
      <c r="I631" s="70"/>
      <c r="J631" s="71"/>
      <c r="K631" s="72"/>
      <c r="L631" s="70"/>
      <c r="M631" s="70"/>
      <c r="N631" s="82"/>
      <c r="O631" s="70"/>
      <c r="P631" s="70"/>
      <c r="Q631" s="70"/>
      <c r="R631" s="71"/>
      <c r="S631" s="72"/>
      <c r="T631" s="70"/>
      <c r="U631" s="70"/>
      <c r="V631" s="71"/>
      <c r="W631" s="70"/>
      <c r="X631" s="70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</row>
    <row r="632">
      <c r="A632" s="70"/>
      <c r="B632" s="70"/>
      <c r="C632" s="70"/>
      <c r="D632" s="71"/>
      <c r="E632" s="72"/>
      <c r="F632" s="70"/>
      <c r="G632" s="69"/>
      <c r="H632" s="70"/>
      <c r="I632" s="70"/>
      <c r="J632" s="71"/>
      <c r="K632" s="72"/>
      <c r="L632" s="70"/>
      <c r="M632" s="70"/>
      <c r="N632" s="82"/>
      <c r="O632" s="70"/>
      <c r="P632" s="70"/>
      <c r="Q632" s="70"/>
      <c r="R632" s="71"/>
      <c r="S632" s="72"/>
      <c r="T632" s="70"/>
      <c r="U632" s="70"/>
      <c r="V632" s="71"/>
      <c r="W632" s="70"/>
      <c r="X632" s="70"/>
      <c r="Y632" s="70"/>
      <c r="Z632" s="70"/>
      <c r="AA632" s="70"/>
      <c r="AB632" s="70"/>
      <c r="AC632" s="70"/>
      <c r="AD632" s="70"/>
      <c r="AE632" s="70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</row>
    <row r="633">
      <c r="A633" s="70"/>
      <c r="B633" s="70"/>
      <c r="C633" s="70"/>
      <c r="D633" s="71"/>
      <c r="E633" s="72"/>
      <c r="F633" s="70"/>
      <c r="G633" s="69"/>
      <c r="H633" s="70"/>
      <c r="I633" s="70"/>
      <c r="J633" s="71"/>
      <c r="K633" s="72"/>
      <c r="L633" s="70"/>
      <c r="M633" s="70"/>
      <c r="N633" s="82"/>
      <c r="O633" s="70"/>
      <c r="P633" s="70"/>
      <c r="Q633" s="70"/>
      <c r="R633" s="71"/>
      <c r="S633" s="72"/>
      <c r="T633" s="70"/>
      <c r="U633" s="70"/>
      <c r="V633" s="71"/>
      <c r="W633" s="70"/>
      <c r="X633" s="70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</row>
    <row r="634">
      <c r="A634" s="70"/>
      <c r="B634" s="70"/>
      <c r="C634" s="70"/>
      <c r="D634" s="71"/>
      <c r="E634" s="72"/>
      <c r="F634" s="70"/>
      <c r="G634" s="69"/>
      <c r="H634" s="70"/>
      <c r="I634" s="70"/>
      <c r="J634" s="71"/>
      <c r="K634" s="72"/>
      <c r="L634" s="70"/>
      <c r="M634" s="70"/>
      <c r="N634" s="82"/>
      <c r="O634" s="70"/>
      <c r="P634" s="70"/>
      <c r="Q634" s="70"/>
      <c r="R634" s="71"/>
      <c r="S634" s="72"/>
      <c r="T634" s="70"/>
      <c r="U634" s="70"/>
      <c r="V634" s="71"/>
      <c r="W634" s="70"/>
      <c r="X634" s="70"/>
      <c r="Y634" s="70"/>
      <c r="Z634" s="70"/>
      <c r="AA634" s="70"/>
      <c r="AB634" s="70"/>
      <c r="AC634" s="70"/>
      <c r="AD634" s="70"/>
      <c r="AE634" s="70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</row>
    <row r="635">
      <c r="A635" s="70"/>
      <c r="B635" s="70"/>
      <c r="C635" s="70"/>
      <c r="D635" s="71"/>
      <c r="E635" s="72"/>
      <c r="F635" s="70"/>
      <c r="G635" s="69"/>
      <c r="H635" s="70"/>
      <c r="I635" s="70"/>
      <c r="J635" s="71"/>
      <c r="K635" s="72"/>
      <c r="L635" s="70"/>
      <c r="M635" s="70"/>
      <c r="N635" s="82"/>
      <c r="O635" s="70"/>
      <c r="P635" s="70"/>
      <c r="Q635" s="70"/>
      <c r="R635" s="71"/>
      <c r="S635" s="72"/>
      <c r="T635" s="70"/>
      <c r="U635" s="70"/>
      <c r="V635" s="71"/>
      <c r="W635" s="70"/>
      <c r="X635" s="70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</row>
    <row r="636">
      <c r="A636" s="70"/>
      <c r="B636" s="70"/>
      <c r="C636" s="70"/>
      <c r="D636" s="71"/>
      <c r="E636" s="72"/>
      <c r="F636" s="70"/>
      <c r="G636" s="69"/>
      <c r="H636" s="70"/>
      <c r="I636" s="70"/>
      <c r="J636" s="71"/>
      <c r="K636" s="72"/>
      <c r="L636" s="70"/>
      <c r="M636" s="70"/>
      <c r="N636" s="82"/>
      <c r="O636" s="70"/>
      <c r="P636" s="70"/>
      <c r="Q636" s="70"/>
      <c r="R636" s="71"/>
      <c r="S636" s="72"/>
      <c r="T636" s="70"/>
      <c r="U636" s="70"/>
      <c r="V636" s="71"/>
      <c r="W636" s="70"/>
      <c r="X636" s="70"/>
      <c r="Y636" s="70"/>
      <c r="Z636" s="70"/>
      <c r="AA636" s="70"/>
      <c r="AB636" s="70"/>
      <c r="AC636" s="70"/>
      <c r="AD636" s="70"/>
      <c r="AE636" s="70"/>
      <c r="AF636" s="70"/>
      <c r="AG636" s="70"/>
      <c r="AH636" s="70"/>
      <c r="AI636" s="70"/>
      <c r="AJ636" s="70"/>
      <c r="AK636" s="70"/>
      <c r="AL636" s="70"/>
      <c r="AM636" s="70"/>
      <c r="AN636" s="70"/>
      <c r="AO636" s="70"/>
    </row>
    <row r="637">
      <c r="A637" s="70"/>
      <c r="B637" s="70"/>
      <c r="C637" s="70"/>
      <c r="D637" s="71"/>
      <c r="E637" s="72"/>
      <c r="F637" s="70"/>
      <c r="G637" s="69"/>
      <c r="H637" s="70"/>
      <c r="I637" s="70"/>
      <c r="J637" s="71"/>
      <c r="K637" s="72"/>
      <c r="L637" s="70"/>
      <c r="M637" s="70"/>
      <c r="N637" s="82"/>
      <c r="O637" s="70"/>
      <c r="P637" s="70"/>
      <c r="Q637" s="70"/>
      <c r="R637" s="71"/>
      <c r="S637" s="72"/>
      <c r="T637" s="70"/>
      <c r="U637" s="70"/>
      <c r="V637" s="71"/>
      <c r="W637" s="70"/>
      <c r="X637" s="70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</row>
    <row r="638">
      <c r="A638" s="70"/>
      <c r="B638" s="70"/>
      <c r="C638" s="70"/>
      <c r="D638" s="71"/>
      <c r="E638" s="72"/>
      <c r="F638" s="70"/>
      <c r="G638" s="69"/>
      <c r="H638" s="70"/>
      <c r="I638" s="70"/>
      <c r="J638" s="71"/>
      <c r="K638" s="72"/>
      <c r="L638" s="70"/>
      <c r="M638" s="70"/>
      <c r="N638" s="82"/>
      <c r="O638" s="70"/>
      <c r="P638" s="70"/>
      <c r="Q638" s="70"/>
      <c r="R638" s="71"/>
      <c r="S638" s="72"/>
      <c r="T638" s="70"/>
      <c r="U638" s="70"/>
      <c r="V638" s="71"/>
      <c r="W638" s="70"/>
      <c r="X638" s="70"/>
      <c r="Y638" s="70"/>
      <c r="Z638" s="70"/>
      <c r="AA638" s="70"/>
      <c r="AB638" s="70"/>
      <c r="AC638" s="70"/>
      <c r="AD638" s="70"/>
      <c r="AE638" s="70"/>
      <c r="AF638" s="70"/>
      <c r="AG638" s="70"/>
      <c r="AH638" s="70"/>
      <c r="AI638" s="70"/>
      <c r="AJ638" s="70"/>
      <c r="AK638" s="70"/>
      <c r="AL638" s="70"/>
      <c r="AM638" s="70"/>
      <c r="AN638" s="70"/>
      <c r="AO638" s="70"/>
    </row>
    <row r="639">
      <c r="A639" s="70"/>
      <c r="B639" s="70"/>
      <c r="C639" s="70"/>
      <c r="D639" s="71"/>
      <c r="E639" s="72"/>
      <c r="F639" s="70"/>
      <c r="G639" s="69"/>
      <c r="H639" s="70"/>
      <c r="I639" s="70"/>
      <c r="J639" s="71"/>
      <c r="K639" s="72"/>
      <c r="L639" s="70"/>
      <c r="M639" s="70"/>
      <c r="N639" s="82"/>
      <c r="O639" s="70"/>
      <c r="P639" s="70"/>
      <c r="Q639" s="70"/>
      <c r="R639" s="71"/>
      <c r="S639" s="72"/>
      <c r="T639" s="70"/>
      <c r="U639" s="70"/>
      <c r="V639" s="71"/>
      <c r="W639" s="70"/>
      <c r="X639" s="70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</row>
    <row r="640">
      <c r="A640" s="70"/>
      <c r="B640" s="70"/>
      <c r="C640" s="70"/>
      <c r="D640" s="71"/>
      <c r="E640" s="72"/>
      <c r="F640" s="70"/>
      <c r="G640" s="69"/>
      <c r="H640" s="70"/>
      <c r="I640" s="70"/>
      <c r="J640" s="71"/>
      <c r="K640" s="72"/>
      <c r="L640" s="70"/>
      <c r="M640" s="70"/>
      <c r="N640" s="82"/>
      <c r="O640" s="70"/>
      <c r="P640" s="70"/>
      <c r="Q640" s="70"/>
      <c r="R640" s="71"/>
      <c r="S640" s="72"/>
      <c r="T640" s="70"/>
      <c r="U640" s="70"/>
      <c r="V640" s="71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</row>
    <row r="641">
      <c r="A641" s="70"/>
      <c r="B641" s="70"/>
      <c r="C641" s="70"/>
      <c r="D641" s="71"/>
      <c r="E641" s="72"/>
      <c r="F641" s="70"/>
      <c r="G641" s="69"/>
      <c r="H641" s="70"/>
      <c r="I641" s="70"/>
      <c r="J641" s="71"/>
      <c r="K641" s="72"/>
      <c r="L641" s="70"/>
      <c r="M641" s="70"/>
      <c r="N641" s="82"/>
      <c r="O641" s="70"/>
      <c r="P641" s="70"/>
      <c r="Q641" s="70"/>
      <c r="R641" s="71"/>
      <c r="S641" s="72"/>
      <c r="T641" s="70"/>
      <c r="U641" s="70"/>
      <c r="V641" s="71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</row>
    <row r="642">
      <c r="A642" s="70"/>
      <c r="B642" s="70"/>
      <c r="C642" s="70"/>
      <c r="D642" s="71"/>
      <c r="E642" s="72"/>
      <c r="F642" s="70"/>
      <c r="G642" s="69"/>
      <c r="H642" s="70"/>
      <c r="I642" s="70"/>
      <c r="J642" s="71"/>
      <c r="K642" s="72"/>
      <c r="L642" s="70"/>
      <c r="M642" s="70"/>
      <c r="N642" s="82"/>
      <c r="O642" s="70"/>
      <c r="P642" s="70"/>
      <c r="Q642" s="70"/>
      <c r="R642" s="71"/>
      <c r="S642" s="72"/>
      <c r="T642" s="70"/>
      <c r="U642" s="70"/>
      <c r="V642" s="71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</row>
    <row r="643">
      <c r="A643" s="70"/>
      <c r="B643" s="70"/>
      <c r="C643" s="70"/>
      <c r="D643" s="71"/>
      <c r="E643" s="72"/>
      <c r="F643" s="70"/>
      <c r="G643" s="69"/>
      <c r="H643" s="70"/>
      <c r="I643" s="70"/>
      <c r="J643" s="71"/>
      <c r="K643" s="72"/>
      <c r="L643" s="70"/>
      <c r="M643" s="70"/>
      <c r="N643" s="82"/>
      <c r="O643" s="70"/>
      <c r="P643" s="70"/>
      <c r="Q643" s="70"/>
      <c r="R643" s="71"/>
      <c r="S643" s="72"/>
      <c r="T643" s="70"/>
      <c r="U643" s="70"/>
      <c r="V643" s="71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</row>
    <row r="644">
      <c r="A644" s="70"/>
      <c r="B644" s="70"/>
      <c r="C644" s="70"/>
      <c r="D644" s="71"/>
      <c r="E644" s="72"/>
      <c r="F644" s="70"/>
      <c r="G644" s="69"/>
      <c r="H644" s="70"/>
      <c r="I644" s="70"/>
      <c r="J644" s="71"/>
      <c r="K644" s="72"/>
      <c r="L644" s="70"/>
      <c r="M644" s="70"/>
      <c r="N644" s="82"/>
      <c r="O644" s="70"/>
      <c r="P644" s="70"/>
      <c r="Q644" s="70"/>
      <c r="R644" s="71"/>
      <c r="S644" s="72"/>
      <c r="T644" s="70"/>
      <c r="U644" s="70"/>
      <c r="V644" s="71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</row>
    <row r="645">
      <c r="A645" s="70"/>
      <c r="B645" s="70"/>
      <c r="C645" s="70"/>
      <c r="D645" s="71"/>
      <c r="E645" s="72"/>
      <c r="F645" s="70"/>
      <c r="G645" s="69"/>
      <c r="H645" s="70"/>
      <c r="I645" s="70"/>
      <c r="J645" s="71"/>
      <c r="K645" s="72"/>
      <c r="L645" s="70"/>
      <c r="M645" s="70"/>
      <c r="N645" s="82"/>
      <c r="O645" s="70"/>
      <c r="P645" s="70"/>
      <c r="Q645" s="70"/>
      <c r="R645" s="71"/>
      <c r="S645" s="72"/>
      <c r="T645" s="70"/>
      <c r="U645" s="70"/>
      <c r="V645" s="71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</row>
    <row r="646">
      <c r="A646" s="70"/>
      <c r="B646" s="70"/>
      <c r="C646" s="70"/>
      <c r="D646" s="71"/>
      <c r="E646" s="72"/>
      <c r="F646" s="70"/>
      <c r="G646" s="69"/>
      <c r="H646" s="70"/>
      <c r="I646" s="70"/>
      <c r="J646" s="71"/>
      <c r="K646" s="72"/>
      <c r="L646" s="70"/>
      <c r="M646" s="70"/>
      <c r="N646" s="82"/>
      <c r="O646" s="70"/>
      <c r="P646" s="70"/>
      <c r="Q646" s="70"/>
      <c r="R646" s="71"/>
      <c r="S646" s="72"/>
      <c r="T646" s="70"/>
      <c r="U646" s="70"/>
      <c r="V646" s="71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</row>
    <row r="647">
      <c r="A647" s="70"/>
      <c r="B647" s="70"/>
      <c r="C647" s="70"/>
      <c r="D647" s="71"/>
      <c r="E647" s="72"/>
      <c r="F647" s="70"/>
      <c r="G647" s="69"/>
      <c r="H647" s="70"/>
      <c r="I647" s="70"/>
      <c r="J647" s="71"/>
      <c r="K647" s="72"/>
      <c r="L647" s="70"/>
      <c r="M647" s="70"/>
      <c r="N647" s="82"/>
      <c r="O647" s="70"/>
      <c r="P647" s="70"/>
      <c r="Q647" s="70"/>
      <c r="R647" s="71"/>
      <c r="S647" s="72"/>
      <c r="T647" s="70"/>
      <c r="U647" s="70"/>
      <c r="V647" s="71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</row>
    <row r="648">
      <c r="A648" s="70"/>
      <c r="B648" s="70"/>
      <c r="C648" s="70"/>
      <c r="D648" s="71"/>
      <c r="E648" s="72"/>
      <c r="F648" s="70"/>
      <c r="G648" s="69"/>
      <c r="H648" s="70"/>
      <c r="I648" s="70"/>
      <c r="J648" s="71"/>
      <c r="K648" s="72"/>
      <c r="L648" s="70"/>
      <c r="M648" s="70"/>
      <c r="N648" s="82"/>
      <c r="O648" s="70"/>
      <c r="P648" s="70"/>
      <c r="Q648" s="70"/>
      <c r="R648" s="71"/>
      <c r="S648" s="72"/>
      <c r="T648" s="70"/>
      <c r="U648" s="70"/>
      <c r="V648" s="71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</row>
    <row r="649">
      <c r="A649" s="70"/>
      <c r="B649" s="70"/>
      <c r="C649" s="70"/>
      <c r="D649" s="71"/>
      <c r="E649" s="72"/>
      <c r="F649" s="70"/>
      <c r="G649" s="69"/>
      <c r="H649" s="70"/>
      <c r="I649" s="70"/>
      <c r="J649" s="71"/>
      <c r="K649" s="72"/>
      <c r="L649" s="70"/>
      <c r="M649" s="70"/>
      <c r="N649" s="82"/>
      <c r="O649" s="70"/>
      <c r="P649" s="70"/>
      <c r="Q649" s="70"/>
      <c r="R649" s="71"/>
      <c r="S649" s="72"/>
      <c r="T649" s="70"/>
      <c r="U649" s="70"/>
      <c r="V649" s="71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</row>
    <row r="650">
      <c r="A650" s="70"/>
      <c r="B650" s="70"/>
      <c r="C650" s="70"/>
      <c r="D650" s="71"/>
      <c r="E650" s="72"/>
      <c r="F650" s="70"/>
      <c r="G650" s="69"/>
      <c r="H650" s="70"/>
      <c r="I650" s="70"/>
      <c r="J650" s="71"/>
      <c r="K650" s="72"/>
      <c r="L650" s="70"/>
      <c r="M650" s="70"/>
      <c r="N650" s="82"/>
      <c r="O650" s="70"/>
      <c r="P650" s="70"/>
      <c r="Q650" s="70"/>
      <c r="R650" s="71"/>
      <c r="S650" s="72"/>
      <c r="T650" s="70"/>
      <c r="U650" s="70"/>
      <c r="V650" s="71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</row>
    <row r="651">
      <c r="A651" s="70"/>
      <c r="B651" s="70"/>
      <c r="C651" s="70"/>
      <c r="D651" s="71"/>
      <c r="E651" s="72"/>
      <c r="F651" s="70"/>
      <c r="G651" s="69"/>
      <c r="H651" s="70"/>
      <c r="I651" s="70"/>
      <c r="J651" s="71"/>
      <c r="K651" s="72"/>
      <c r="L651" s="70"/>
      <c r="M651" s="70"/>
      <c r="N651" s="82"/>
      <c r="O651" s="70"/>
      <c r="P651" s="70"/>
      <c r="Q651" s="70"/>
      <c r="R651" s="71"/>
      <c r="S651" s="72"/>
      <c r="T651" s="70"/>
      <c r="U651" s="70"/>
      <c r="V651" s="71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</row>
    <row r="652">
      <c r="A652" s="70"/>
      <c r="B652" s="70"/>
      <c r="C652" s="70"/>
      <c r="D652" s="71"/>
      <c r="E652" s="72"/>
      <c r="F652" s="70"/>
      <c r="G652" s="69"/>
      <c r="H652" s="70"/>
      <c r="I652" s="70"/>
      <c r="J652" s="71"/>
      <c r="K652" s="72"/>
      <c r="L652" s="70"/>
      <c r="M652" s="70"/>
      <c r="N652" s="82"/>
      <c r="O652" s="70"/>
      <c r="P652" s="70"/>
      <c r="Q652" s="70"/>
      <c r="R652" s="71"/>
      <c r="S652" s="72"/>
      <c r="T652" s="70"/>
      <c r="U652" s="70"/>
      <c r="V652" s="71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</row>
    <row r="653">
      <c r="A653" s="70"/>
      <c r="B653" s="70"/>
      <c r="C653" s="70"/>
      <c r="D653" s="71"/>
      <c r="E653" s="72"/>
      <c r="F653" s="70"/>
      <c r="G653" s="69"/>
      <c r="H653" s="70"/>
      <c r="I653" s="70"/>
      <c r="J653" s="71"/>
      <c r="K653" s="72"/>
      <c r="L653" s="70"/>
      <c r="M653" s="70"/>
      <c r="N653" s="82"/>
      <c r="O653" s="70"/>
      <c r="P653" s="70"/>
      <c r="Q653" s="70"/>
      <c r="R653" s="71"/>
      <c r="S653" s="72"/>
      <c r="T653" s="70"/>
      <c r="U653" s="70"/>
      <c r="V653" s="71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</row>
    <row r="654">
      <c r="A654" s="70"/>
      <c r="B654" s="70"/>
      <c r="C654" s="70"/>
      <c r="D654" s="71"/>
      <c r="E654" s="72"/>
      <c r="F654" s="70"/>
      <c r="G654" s="69"/>
      <c r="H654" s="70"/>
      <c r="I654" s="70"/>
      <c r="J654" s="71"/>
      <c r="K654" s="72"/>
      <c r="L654" s="70"/>
      <c r="M654" s="70"/>
      <c r="N654" s="82"/>
      <c r="O654" s="70"/>
      <c r="P654" s="70"/>
      <c r="Q654" s="70"/>
      <c r="R654" s="71"/>
      <c r="S654" s="72"/>
      <c r="T654" s="70"/>
      <c r="U654" s="70"/>
      <c r="V654" s="71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</row>
    <row r="655">
      <c r="A655" s="70"/>
      <c r="B655" s="70"/>
      <c r="C655" s="70"/>
      <c r="D655" s="71"/>
      <c r="E655" s="72"/>
      <c r="F655" s="70"/>
      <c r="G655" s="69"/>
      <c r="H655" s="70"/>
      <c r="I655" s="70"/>
      <c r="J655" s="71"/>
      <c r="K655" s="72"/>
      <c r="L655" s="70"/>
      <c r="M655" s="70"/>
      <c r="N655" s="82"/>
      <c r="O655" s="70"/>
      <c r="P655" s="70"/>
      <c r="Q655" s="70"/>
      <c r="R655" s="71"/>
      <c r="S655" s="72"/>
      <c r="T655" s="70"/>
      <c r="U655" s="70"/>
      <c r="V655" s="71"/>
      <c r="W655" s="70"/>
      <c r="X655" s="70"/>
      <c r="Y655" s="70"/>
      <c r="Z655" s="70"/>
      <c r="AA655" s="70"/>
      <c r="AB655" s="70"/>
      <c r="AC655" s="70"/>
      <c r="AD655" s="70"/>
      <c r="AE655" s="70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</row>
    <row r="656">
      <c r="A656" s="70"/>
      <c r="B656" s="70"/>
      <c r="C656" s="70"/>
      <c r="D656" s="71"/>
      <c r="E656" s="72"/>
      <c r="F656" s="70"/>
      <c r="G656" s="69"/>
      <c r="H656" s="70"/>
      <c r="I656" s="70"/>
      <c r="J656" s="71"/>
      <c r="K656" s="72"/>
      <c r="L656" s="70"/>
      <c r="M656" s="70"/>
      <c r="N656" s="82"/>
      <c r="O656" s="70"/>
      <c r="P656" s="70"/>
      <c r="Q656" s="70"/>
      <c r="R656" s="71"/>
      <c r="S656" s="72"/>
      <c r="T656" s="70"/>
      <c r="U656" s="70"/>
      <c r="V656" s="71"/>
      <c r="W656" s="70"/>
      <c r="X656" s="70"/>
      <c r="Y656" s="70"/>
      <c r="Z656" s="70"/>
      <c r="AA656" s="70"/>
      <c r="AB656" s="70"/>
      <c r="AC656" s="70"/>
      <c r="AD656" s="70"/>
      <c r="AE656" s="70"/>
      <c r="AF656" s="70"/>
      <c r="AG656" s="70"/>
      <c r="AH656" s="70"/>
      <c r="AI656" s="70"/>
      <c r="AJ656" s="70"/>
      <c r="AK656" s="70"/>
      <c r="AL656" s="70"/>
      <c r="AM656" s="70"/>
      <c r="AN656" s="70"/>
      <c r="AO656" s="70"/>
    </row>
    <row r="657">
      <c r="A657" s="70"/>
      <c r="B657" s="70"/>
      <c r="C657" s="70"/>
      <c r="D657" s="71"/>
      <c r="E657" s="72"/>
      <c r="F657" s="70"/>
      <c r="G657" s="69"/>
      <c r="H657" s="70"/>
      <c r="I657" s="70"/>
      <c r="J657" s="71"/>
      <c r="K657" s="72"/>
      <c r="L657" s="70"/>
      <c r="M657" s="70"/>
      <c r="N657" s="82"/>
      <c r="O657" s="70"/>
      <c r="P657" s="70"/>
      <c r="Q657" s="70"/>
      <c r="R657" s="71"/>
      <c r="S657" s="72"/>
      <c r="T657" s="70"/>
      <c r="U657" s="70"/>
      <c r="V657" s="71"/>
      <c r="W657" s="70"/>
      <c r="X657" s="70"/>
      <c r="Y657" s="70"/>
      <c r="Z657" s="70"/>
      <c r="AA657" s="70"/>
      <c r="AB657" s="70"/>
      <c r="AC657" s="70"/>
      <c r="AD657" s="70"/>
      <c r="AE657" s="70"/>
      <c r="AF657" s="70"/>
      <c r="AG657" s="70"/>
      <c r="AH657" s="70"/>
      <c r="AI657" s="70"/>
      <c r="AJ657" s="70"/>
      <c r="AK657" s="70"/>
      <c r="AL657" s="70"/>
      <c r="AM657" s="70"/>
      <c r="AN657" s="70"/>
      <c r="AO657" s="70"/>
    </row>
    <row r="658">
      <c r="A658" s="70"/>
      <c r="B658" s="70"/>
      <c r="C658" s="70"/>
      <c r="D658" s="71"/>
      <c r="E658" s="72"/>
      <c r="F658" s="70"/>
      <c r="G658" s="69"/>
      <c r="H658" s="70"/>
      <c r="I658" s="70"/>
      <c r="J658" s="71"/>
      <c r="K658" s="72"/>
      <c r="L658" s="70"/>
      <c r="M658" s="70"/>
      <c r="N658" s="82"/>
      <c r="O658" s="70"/>
      <c r="P658" s="70"/>
      <c r="Q658" s="70"/>
      <c r="R658" s="71"/>
      <c r="S658" s="72"/>
      <c r="T658" s="70"/>
      <c r="U658" s="70"/>
      <c r="V658" s="71"/>
      <c r="W658" s="70"/>
      <c r="X658" s="70"/>
      <c r="Y658" s="70"/>
      <c r="Z658" s="70"/>
      <c r="AA658" s="70"/>
      <c r="AB658" s="70"/>
      <c r="AC658" s="70"/>
      <c r="AD658" s="70"/>
      <c r="AE658" s="70"/>
      <c r="AF658" s="70"/>
      <c r="AG658" s="70"/>
      <c r="AH658" s="70"/>
      <c r="AI658" s="70"/>
      <c r="AJ658" s="70"/>
      <c r="AK658" s="70"/>
      <c r="AL658" s="70"/>
      <c r="AM658" s="70"/>
      <c r="AN658" s="70"/>
      <c r="AO658" s="70"/>
    </row>
    <row r="659">
      <c r="A659" s="70"/>
      <c r="B659" s="70"/>
      <c r="C659" s="70"/>
      <c r="D659" s="71"/>
      <c r="E659" s="72"/>
      <c r="F659" s="70"/>
      <c r="G659" s="69"/>
      <c r="H659" s="70"/>
      <c r="I659" s="70"/>
      <c r="J659" s="71"/>
      <c r="K659" s="72"/>
      <c r="L659" s="70"/>
      <c r="M659" s="70"/>
      <c r="N659" s="82"/>
      <c r="O659" s="70"/>
      <c r="P659" s="70"/>
      <c r="Q659" s="70"/>
      <c r="R659" s="71"/>
      <c r="S659" s="72"/>
      <c r="T659" s="70"/>
      <c r="U659" s="70"/>
      <c r="V659" s="71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</row>
    <row r="660">
      <c r="A660" s="70"/>
      <c r="B660" s="70"/>
      <c r="C660" s="70"/>
      <c r="D660" s="71"/>
      <c r="E660" s="72"/>
      <c r="F660" s="70"/>
      <c r="G660" s="69"/>
      <c r="H660" s="70"/>
      <c r="I660" s="70"/>
      <c r="J660" s="71"/>
      <c r="K660" s="72"/>
      <c r="L660" s="70"/>
      <c r="M660" s="70"/>
      <c r="N660" s="82"/>
      <c r="O660" s="70"/>
      <c r="P660" s="70"/>
      <c r="Q660" s="70"/>
      <c r="R660" s="71"/>
      <c r="S660" s="72"/>
      <c r="T660" s="70"/>
      <c r="U660" s="70"/>
      <c r="V660" s="71"/>
      <c r="W660" s="70"/>
      <c r="X660" s="70"/>
      <c r="Y660" s="70"/>
      <c r="Z660" s="70"/>
      <c r="AA660" s="70"/>
      <c r="AB660" s="70"/>
      <c r="AC660" s="70"/>
      <c r="AD660" s="70"/>
      <c r="AE660" s="70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</row>
    <row r="661">
      <c r="A661" s="70"/>
      <c r="B661" s="70"/>
      <c r="C661" s="70"/>
      <c r="D661" s="71"/>
      <c r="E661" s="72"/>
      <c r="F661" s="70"/>
      <c r="G661" s="69"/>
      <c r="H661" s="70"/>
      <c r="I661" s="70"/>
      <c r="J661" s="71"/>
      <c r="K661" s="72"/>
      <c r="L661" s="70"/>
      <c r="M661" s="70"/>
      <c r="N661" s="82"/>
      <c r="O661" s="70"/>
      <c r="P661" s="70"/>
      <c r="Q661" s="70"/>
      <c r="R661" s="71"/>
      <c r="S661" s="72"/>
      <c r="T661" s="70"/>
      <c r="U661" s="70"/>
      <c r="V661" s="71"/>
      <c r="W661" s="70"/>
      <c r="X661" s="70"/>
      <c r="Y661" s="70"/>
      <c r="Z661" s="70"/>
      <c r="AA661" s="70"/>
      <c r="AB661" s="70"/>
      <c r="AC661" s="70"/>
      <c r="AD661" s="70"/>
      <c r="AE661" s="70"/>
      <c r="AF661" s="70"/>
      <c r="AG661" s="70"/>
      <c r="AH661" s="70"/>
      <c r="AI661" s="70"/>
      <c r="AJ661" s="70"/>
      <c r="AK661" s="70"/>
      <c r="AL661" s="70"/>
      <c r="AM661" s="70"/>
      <c r="AN661" s="70"/>
      <c r="AO661" s="70"/>
    </row>
    <row r="662">
      <c r="A662" s="70"/>
      <c r="B662" s="70"/>
      <c r="C662" s="70"/>
      <c r="D662" s="71"/>
      <c r="E662" s="72"/>
      <c r="F662" s="70"/>
      <c r="G662" s="69"/>
      <c r="H662" s="70"/>
      <c r="I662" s="70"/>
      <c r="J662" s="71"/>
      <c r="K662" s="72"/>
      <c r="L662" s="70"/>
      <c r="M662" s="70"/>
      <c r="N662" s="82"/>
      <c r="O662" s="70"/>
      <c r="P662" s="70"/>
      <c r="Q662" s="70"/>
      <c r="R662" s="71"/>
      <c r="S662" s="72"/>
      <c r="T662" s="70"/>
      <c r="U662" s="70"/>
      <c r="V662" s="71"/>
      <c r="W662" s="70"/>
      <c r="X662" s="70"/>
      <c r="Y662" s="70"/>
      <c r="Z662" s="70"/>
      <c r="AA662" s="70"/>
      <c r="AB662" s="70"/>
      <c r="AC662" s="70"/>
      <c r="AD662" s="70"/>
      <c r="AE662" s="70"/>
      <c r="AF662" s="70"/>
      <c r="AG662" s="70"/>
      <c r="AH662" s="70"/>
      <c r="AI662" s="70"/>
      <c r="AJ662" s="70"/>
      <c r="AK662" s="70"/>
      <c r="AL662" s="70"/>
      <c r="AM662" s="70"/>
      <c r="AN662" s="70"/>
      <c r="AO662" s="70"/>
    </row>
    <row r="663">
      <c r="A663" s="70"/>
      <c r="B663" s="70"/>
      <c r="C663" s="70"/>
      <c r="D663" s="71"/>
      <c r="E663" s="72"/>
      <c r="F663" s="70"/>
      <c r="G663" s="69"/>
      <c r="H663" s="70"/>
      <c r="I663" s="70"/>
      <c r="J663" s="71"/>
      <c r="K663" s="72"/>
      <c r="L663" s="70"/>
      <c r="M663" s="70"/>
      <c r="N663" s="82"/>
      <c r="O663" s="70"/>
      <c r="P663" s="70"/>
      <c r="Q663" s="70"/>
      <c r="R663" s="71"/>
      <c r="S663" s="72"/>
      <c r="T663" s="70"/>
      <c r="U663" s="70"/>
      <c r="V663" s="71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</row>
    <row r="664">
      <c r="A664" s="70"/>
      <c r="B664" s="70"/>
      <c r="C664" s="70"/>
      <c r="D664" s="71"/>
      <c r="E664" s="72"/>
      <c r="F664" s="70"/>
      <c r="G664" s="69"/>
      <c r="H664" s="70"/>
      <c r="I664" s="70"/>
      <c r="J664" s="71"/>
      <c r="K664" s="72"/>
      <c r="L664" s="70"/>
      <c r="M664" s="70"/>
      <c r="N664" s="82"/>
      <c r="O664" s="70"/>
      <c r="P664" s="70"/>
      <c r="Q664" s="70"/>
      <c r="R664" s="71"/>
      <c r="S664" s="72"/>
      <c r="T664" s="70"/>
      <c r="U664" s="70"/>
      <c r="V664" s="71"/>
      <c r="W664" s="70"/>
      <c r="X664" s="70"/>
      <c r="Y664" s="70"/>
      <c r="Z664" s="70"/>
      <c r="AA664" s="70"/>
      <c r="AB664" s="70"/>
      <c r="AC664" s="70"/>
      <c r="AD664" s="70"/>
      <c r="AE664" s="70"/>
      <c r="AF664" s="70"/>
      <c r="AG664" s="70"/>
      <c r="AH664" s="70"/>
      <c r="AI664" s="70"/>
      <c r="AJ664" s="70"/>
      <c r="AK664" s="70"/>
      <c r="AL664" s="70"/>
      <c r="AM664" s="70"/>
      <c r="AN664" s="70"/>
      <c r="AO664" s="70"/>
    </row>
    <row r="665">
      <c r="A665" s="70"/>
      <c r="B665" s="70"/>
      <c r="C665" s="70"/>
      <c r="D665" s="71"/>
      <c r="E665" s="72"/>
      <c r="F665" s="70"/>
      <c r="G665" s="69"/>
      <c r="H665" s="70"/>
      <c r="I665" s="70"/>
      <c r="J665" s="71"/>
      <c r="K665" s="72"/>
      <c r="L665" s="70"/>
      <c r="M665" s="70"/>
      <c r="N665" s="82"/>
      <c r="O665" s="70"/>
      <c r="P665" s="70"/>
      <c r="Q665" s="70"/>
      <c r="R665" s="71"/>
      <c r="S665" s="72"/>
      <c r="T665" s="70"/>
      <c r="U665" s="70"/>
      <c r="V665" s="71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</row>
    <row r="666">
      <c r="A666" s="70"/>
      <c r="B666" s="70"/>
      <c r="C666" s="70"/>
      <c r="D666" s="71"/>
      <c r="E666" s="72"/>
      <c r="F666" s="70"/>
      <c r="G666" s="69"/>
      <c r="H666" s="70"/>
      <c r="I666" s="70"/>
      <c r="J666" s="71"/>
      <c r="K666" s="72"/>
      <c r="L666" s="70"/>
      <c r="M666" s="70"/>
      <c r="N666" s="82"/>
      <c r="O666" s="70"/>
      <c r="P666" s="70"/>
      <c r="Q666" s="70"/>
      <c r="R666" s="71"/>
      <c r="S666" s="72"/>
      <c r="T666" s="70"/>
      <c r="U666" s="70"/>
      <c r="V666" s="71"/>
      <c r="W666" s="70"/>
      <c r="X666" s="70"/>
      <c r="Y666" s="70"/>
      <c r="Z666" s="70"/>
      <c r="AA666" s="70"/>
      <c r="AB666" s="70"/>
      <c r="AC666" s="70"/>
      <c r="AD666" s="70"/>
      <c r="AE666" s="70"/>
      <c r="AF666" s="70"/>
      <c r="AG666" s="70"/>
      <c r="AH666" s="70"/>
      <c r="AI666" s="70"/>
      <c r="AJ666" s="70"/>
      <c r="AK666" s="70"/>
      <c r="AL666" s="70"/>
      <c r="AM666" s="70"/>
      <c r="AN666" s="70"/>
      <c r="AO666" s="70"/>
    </row>
    <row r="667">
      <c r="A667" s="70"/>
      <c r="B667" s="70"/>
      <c r="C667" s="70"/>
      <c r="D667" s="71"/>
      <c r="E667" s="72"/>
      <c r="F667" s="70"/>
      <c r="G667" s="69"/>
      <c r="H667" s="70"/>
      <c r="I667" s="70"/>
      <c r="J667" s="71"/>
      <c r="K667" s="72"/>
      <c r="L667" s="70"/>
      <c r="M667" s="70"/>
      <c r="N667" s="82"/>
      <c r="O667" s="70"/>
      <c r="P667" s="70"/>
      <c r="Q667" s="70"/>
      <c r="R667" s="71"/>
      <c r="S667" s="72"/>
      <c r="T667" s="70"/>
      <c r="U667" s="70"/>
      <c r="V667" s="71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</row>
    <row r="668">
      <c r="A668" s="70"/>
      <c r="B668" s="70"/>
      <c r="C668" s="70"/>
      <c r="D668" s="71"/>
      <c r="E668" s="72"/>
      <c r="F668" s="70"/>
      <c r="G668" s="69"/>
      <c r="H668" s="70"/>
      <c r="I668" s="70"/>
      <c r="J668" s="71"/>
      <c r="K668" s="72"/>
      <c r="L668" s="70"/>
      <c r="M668" s="70"/>
      <c r="N668" s="82"/>
      <c r="O668" s="70"/>
      <c r="P668" s="70"/>
      <c r="Q668" s="70"/>
      <c r="R668" s="71"/>
      <c r="S668" s="72"/>
      <c r="T668" s="70"/>
      <c r="U668" s="70"/>
      <c r="V668" s="71"/>
      <c r="W668" s="70"/>
      <c r="X668" s="70"/>
      <c r="Y668" s="70"/>
      <c r="Z668" s="70"/>
      <c r="AA668" s="70"/>
      <c r="AB668" s="70"/>
      <c r="AC668" s="70"/>
      <c r="AD668" s="70"/>
      <c r="AE668" s="70"/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</row>
    <row r="669">
      <c r="A669" s="70"/>
      <c r="B669" s="70"/>
      <c r="C669" s="70"/>
      <c r="D669" s="71"/>
      <c r="E669" s="72"/>
      <c r="F669" s="70"/>
      <c r="G669" s="69"/>
      <c r="H669" s="70"/>
      <c r="I669" s="70"/>
      <c r="J669" s="71"/>
      <c r="K669" s="72"/>
      <c r="L669" s="70"/>
      <c r="M669" s="70"/>
      <c r="N669" s="82"/>
      <c r="O669" s="70"/>
      <c r="P669" s="70"/>
      <c r="Q669" s="70"/>
      <c r="R669" s="71"/>
      <c r="S669" s="72"/>
      <c r="T669" s="70"/>
      <c r="U669" s="70"/>
      <c r="V669" s="71"/>
      <c r="W669" s="70"/>
      <c r="X669" s="70"/>
      <c r="Y669" s="70"/>
      <c r="Z669" s="70"/>
      <c r="AA669" s="70"/>
      <c r="AB669" s="70"/>
      <c r="AC669" s="70"/>
      <c r="AD669" s="70"/>
      <c r="AE669" s="70"/>
      <c r="AF669" s="70"/>
      <c r="AG669" s="70"/>
      <c r="AH669" s="70"/>
      <c r="AI669" s="70"/>
      <c r="AJ669" s="70"/>
      <c r="AK669" s="70"/>
      <c r="AL669" s="70"/>
      <c r="AM669" s="70"/>
      <c r="AN669" s="70"/>
      <c r="AO669" s="70"/>
    </row>
    <row r="670">
      <c r="A670" s="70"/>
      <c r="B670" s="70"/>
      <c r="C670" s="70"/>
      <c r="D670" s="71"/>
      <c r="E670" s="72"/>
      <c r="F670" s="70"/>
      <c r="G670" s="69"/>
      <c r="H670" s="70"/>
      <c r="I670" s="70"/>
      <c r="J670" s="71"/>
      <c r="K670" s="72"/>
      <c r="L670" s="70"/>
      <c r="M670" s="70"/>
      <c r="N670" s="82"/>
      <c r="O670" s="70"/>
      <c r="P670" s="70"/>
      <c r="Q670" s="70"/>
      <c r="R670" s="71"/>
      <c r="S670" s="72"/>
      <c r="T670" s="70"/>
      <c r="U670" s="70"/>
      <c r="V670" s="71"/>
      <c r="W670" s="70"/>
      <c r="X670" s="70"/>
      <c r="Y670" s="70"/>
      <c r="Z670" s="70"/>
      <c r="AA670" s="70"/>
      <c r="AB670" s="70"/>
      <c r="AC670" s="70"/>
      <c r="AD670" s="70"/>
      <c r="AE670" s="70"/>
      <c r="AF670" s="70"/>
      <c r="AG670" s="70"/>
      <c r="AH670" s="70"/>
      <c r="AI670" s="70"/>
      <c r="AJ670" s="70"/>
      <c r="AK670" s="70"/>
      <c r="AL670" s="70"/>
      <c r="AM670" s="70"/>
      <c r="AN670" s="70"/>
      <c r="AO670" s="70"/>
    </row>
    <row r="671">
      <c r="A671" s="70"/>
      <c r="B671" s="70"/>
      <c r="C671" s="70"/>
      <c r="D671" s="71"/>
      <c r="E671" s="72"/>
      <c r="F671" s="70"/>
      <c r="G671" s="69"/>
      <c r="H671" s="70"/>
      <c r="I671" s="70"/>
      <c r="J671" s="71"/>
      <c r="K671" s="72"/>
      <c r="L671" s="70"/>
      <c r="M671" s="70"/>
      <c r="N671" s="82"/>
      <c r="O671" s="70"/>
      <c r="P671" s="70"/>
      <c r="Q671" s="70"/>
      <c r="R671" s="71"/>
      <c r="S671" s="72"/>
      <c r="T671" s="70"/>
      <c r="U671" s="70"/>
      <c r="V671" s="71"/>
      <c r="W671" s="70"/>
      <c r="X671" s="70"/>
      <c r="Y671" s="70"/>
      <c r="Z671" s="70"/>
      <c r="AA671" s="70"/>
      <c r="AB671" s="70"/>
      <c r="AC671" s="70"/>
      <c r="AD671" s="70"/>
      <c r="AE671" s="70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</row>
    <row r="672">
      <c r="A672" s="70"/>
      <c r="B672" s="70"/>
      <c r="C672" s="70"/>
      <c r="D672" s="71"/>
      <c r="E672" s="72"/>
      <c r="F672" s="70"/>
      <c r="G672" s="69"/>
      <c r="H672" s="70"/>
      <c r="I672" s="70"/>
      <c r="J672" s="71"/>
      <c r="K672" s="72"/>
      <c r="L672" s="70"/>
      <c r="M672" s="70"/>
      <c r="N672" s="82"/>
      <c r="O672" s="70"/>
      <c r="P672" s="70"/>
      <c r="Q672" s="70"/>
      <c r="R672" s="71"/>
      <c r="S672" s="72"/>
      <c r="T672" s="70"/>
      <c r="U672" s="70"/>
      <c r="V672" s="71"/>
      <c r="W672" s="70"/>
      <c r="X672" s="70"/>
      <c r="Y672" s="70"/>
      <c r="Z672" s="70"/>
      <c r="AA672" s="70"/>
      <c r="AB672" s="70"/>
      <c r="AC672" s="70"/>
      <c r="AD672" s="70"/>
      <c r="AE672" s="70"/>
      <c r="AF672" s="70"/>
      <c r="AG672" s="70"/>
      <c r="AH672" s="70"/>
      <c r="AI672" s="70"/>
      <c r="AJ672" s="70"/>
      <c r="AK672" s="70"/>
      <c r="AL672" s="70"/>
      <c r="AM672" s="70"/>
      <c r="AN672" s="70"/>
      <c r="AO672" s="70"/>
    </row>
    <row r="673">
      <c r="A673" s="70"/>
      <c r="B673" s="70"/>
      <c r="C673" s="70"/>
      <c r="D673" s="71"/>
      <c r="E673" s="72"/>
      <c r="F673" s="70"/>
      <c r="G673" s="69"/>
      <c r="H673" s="70"/>
      <c r="I673" s="70"/>
      <c r="J673" s="71"/>
      <c r="K673" s="72"/>
      <c r="L673" s="70"/>
      <c r="M673" s="70"/>
      <c r="N673" s="82"/>
      <c r="O673" s="70"/>
      <c r="P673" s="70"/>
      <c r="Q673" s="70"/>
      <c r="R673" s="71"/>
      <c r="S673" s="72"/>
      <c r="T673" s="70"/>
      <c r="U673" s="70"/>
      <c r="V673" s="71"/>
      <c r="W673" s="70"/>
      <c r="X673" s="70"/>
      <c r="Y673" s="70"/>
      <c r="Z673" s="70"/>
      <c r="AA673" s="70"/>
      <c r="AB673" s="70"/>
      <c r="AC673" s="70"/>
      <c r="AD673" s="70"/>
      <c r="AE673" s="70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</row>
    <row r="674">
      <c r="A674" s="70"/>
      <c r="B674" s="70"/>
      <c r="C674" s="70"/>
      <c r="D674" s="71"/>
      <c r="E674" s="72"/>
      <c r="F674" s="70"/>
      <c r="G674" s="69"/>
      <c r="H674" s="70"/>
      <c r="I674" s="70"/>
      <c r="J674" s="71"/>
      <c r="K674" s="72"/>
      <c r="L674" s="70"/>
      <c r="M674" s="70"/>
      <c r="N674" s="82"/>
      <c r="O674" s="70"/>
      <c r="P674" s="70"/>
      <c r="Q674" s="70"/>
      <c r="R674" s="71"/>
      <c r="S674" s="72"/>
      <c r="T674" s="70"/>
      <c r="U674" s="70"/>
      <c r="V674" s="71"/>
      <c r="W674" s="70"/>
      <c r="X674" s="70"/>
      <c r="Y674" s="70"/>
      <c r="Z674" s="70"/>
      <c r="AA674" s="70"/>
      <c r="AB674" s="70"/>
      <c r="AC674" s="70"/>
      <c r="AD674" s="70"/>
      <c r="AE674" s="70"/>
      <c r="AF674" s="70"/>
      <c r="AG674" s="70"/>
      <c r="AH674" s="70"/>
      <c r="AI674" s="70"/>
      <c r="AJ674" s="70"/>
      <c r="AK674" s="70"/>
      <c r="AL674" s="70"/>
      <c r="AM674" s="70"/>
      <c r="AN674" s="70"/>
      <c r="AO674" s="70"/>
    </row>
    <row r="675">
      <c r="A675" s="70"/>
      <c r="B675" s="70"/>
      <c r="C675" s="70"/>
      <c r="D675" s="71"/>
      <c r="E675" s="72"/>
      <c r="F675" s="70"/>
      <c r="G675" s="69"/>
      <c r="H675" s="70"/>
      <c r="I675" s="70"/>
      <c r="J675" s="71"/>
      <c r="K675" s="72"/>
      <c r="L675" s="70"/>
      <c r="M675" s="70"/>
      <c r="N675" s="82"/>
      <c r="O675" s="70"/>
      <c r="P675" s="70"/>
      <c r="Q675" s="70"/>
      <c r="R675" s="71"/>
      <c r="S675" s="72"/>
      <c r="T675" s="70"/>
      <c r="U675" s="70"/>
      <c r="V675" s="71"/>
      <c r="W675" s="70"/>
      <c r="X675" s="70"/>
      <c r="Y675" s="70"/>
      <c r="Z675" s="70"/>
      <c r="AA675" s="70"/>
      <c r="AB675" s="70"/>
      <c r="AC675" s="70"/>
      <c r="AD675" s="70"/>
      <c r="AE675" s="70"/>
      <c r="AF675" s="70"/>
      <c r="AG675" s="70"/>
      <c r="AH675" s="70"/>
      <c r="AI675" s="70"/>
      <c r="AJ675" s="70"/>
      <c r="AK675" s="70"/>
      <c r="AL675" s="70"/>
      <c r="AM675" s="70"/>
      <c r="AN675" s="70"/>
      <c r="AO675" s="70"/>
    </row>
    <row r="676">
      <c r="A676" s="70"/>
      <c r="B676" s="70"/>
      <c r="C676" s="70"/>
      <c r="D676" s="71"/>
      <c r="E676" s="72"/>
      <c r="F676" s="70"/>
      <c r="G676" s="69"/>
      <c r="H676" s="70"/>
      <c r="I676" s="70"/>
      <c r="J676" s="71"/>
      <c r="K676" s="72"/>
      <c r="L676" s="70"/>
      <c r="M676" s="70"/>
      <c r="N676" s="82"/>
      <c r="O676" s="70"/>
      <c r="P676" s="70"/>
      <c r="Q676" s="70"/>
      <c r="R676" s="71"/>
      <c r="S676" s="72"/>
      <c r="T676" s="70"/>
      <c r="U676" s="70"/>
      <c r="V676" s="71"/>
      <c r="W676" s="70"/>
      <c r="X676" s="70"/>
      <c r="Y676" s="70"/>
      <c r="Z676" s="70"/>
      <c r="AA676" s="70"/>
      <c r="AB676" s="70"/>
      <c r="AC676" s="70"/>
      <c r="AD676" s="70"/>
      <c r="AE676" s="70"/>
      <c r="AF676" s="70"/>
      <c r="AG676" s="70"/>
      <c r="AH676" s="70"/>
      <c r="AI676" s="70"/>
      <c r="AJ676" s="70"/>
      <c r="AK676" s="70"/>
      <c r="AL676" s="70"/>
      <c r="AM676" s="70"/>
      <c r="AN676" s="70"/>
      <c r="AO676" s="70"/>
    </row>
    <row r="677">
      <c r="A677" s="70"/>
      <c r="B677" s="70"/>
      <c r="C677" s="70"/>
      <c r="D677" s="71"/>
      <c r="E677" s="72"/>
      <c r="F677" s="70"/>
      <c r="G677" s="69"/>
      <c r="H677" s="70"/>
      <c r="I677" s="70"/>
      <c r="J677" s="71"/>
      <c r="K677" s="72"/>
      <c r="L677" s="70"/>
      <c r="M677" s="70"/>
      <c r="N677" s="82"/>
      <c r="O677" s="70"/>
      <c r="P677" s="70"/>
      <c r="Q677" s="70"/>
      <c r="R677" s="71"/>
      <c r="S677" s="72"/>
      <c r="T677" s="70"/>
      <c r="U677" s="70"/>
      <c r="V677" s="71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</row>
    <row r="678">
      <c r="A678" s="70"/>
      <c r="B678" s="70"/>
      <c r="C678" s="70"/>
      <c r="D678" s="71"/>
      <c r="E678" s="72"/>
      <c r="F678" s="70"/>
      <c r="G678" s="69"/>
      <c r="H678" s="70"/>
      <c r="I678" s="70"/>
      <c r="J678" s="71"/>
      <c r="K678" s="72"/>
      <c r="L678" s="70"/>
      <c r="M678" s="70"/>
      <c r="N678" s="82"/>
      <c r="O678" s="70"/>
      <c r="P678" s="70"/>
      <c r="Q678" s="70"/>
      <c r="R678" s="71"/>
      <c r="S678" s="72"/>
      <c r="T678" s="70"/>
      <c r="U678" s="70"/>
      <c r="V678" s="71"/>
      <c r="W678" s="70"/>
      <c r="X678" s="70"/>
      <c r="Y678" s="70"/>
      <c r="Z678" s="70"/>
      <c r="AA678" s="70"/>
      <c r="AB678" s="70"/>
      <c r="AC678" s="70"/>
      <c r="AD678" s="70"/>
      <c r="AE678" s="70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</row>
    <row r="679">
      <c r="A679" s="70"/>
      <c r="B679" s="70"/>
      <c r="C679" s="70"/>
      <c r="D679" s="71"/>
      <c r="E679" s="72"/>
      <c r="F679" s="70"/>
      <c r="G679" s="69"/>
      <c r="H679" s="70"/>
      <c r="I679" s="70"/>
      <c r="J679" s="71"/>
      <c r="K679" s="72"/>
      <c r="L679" s="70"/>
      <c r="M679" s="70"/>
      <c r="N679" s="82"/>
      <c r="O679" s="70"/>
      <c r="P679" s="70"/>
      <c r="Q679" s="70"/>
      <c r="R679" s="71"/>
      <c r="S679" s="72"/>
      <c r="T679" s="70"/>
      <c r="U679" s="70"/>
      <c r="V679" s="71"/>
      <c r="W679" s="70"/>
      <c r="X679" s="70"/>
      <c r="Y679" s="70"/>
      <c r="Z679" s="70"/>
      <c r="AA679" s="70"/>
      <c r="AB679" s="70"/>
      <c r="AC679" s="70"/>
      <c r="AD679" s="70"/>
      <c r="AE679" s="70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</row>
    <row r="680">
      <c r="A680" s="70"/>
      <c r="B680" s="70"/>
      <c r="C680" s="70"/>
      <c r="D680" s="71"/>
      <c r="E680" s="72"/>
      <c r="F680" s="70"/>
      <c r="G680" s="69"/>
      <c r="H680" s="70"/>
      <c r="I680" s="70"/>
      <c r="J680" s="71"/>
      <c r="K680" s="72"/>
      <c r="L680" s="70"/>
      <c r="M680" s="70"/>
      <c r="N680" s="82"/>
      <c r="O680" s="70"/>
      <c r="P680" s="70"/>
      <c r="Q680" s="70"/>
      <c r="R680" s="71"/>
      <c r="S680" s="72"/>
      <c r="T680" s="70"/>
      <c r="U680" s="70"/>
      <c r="V680" s="71"/>
      <c r="W680" s="70"/>
      <c r="X680" s="70"/>
      <c r="Y680" s="70"/>
      <c r="Z680" s="70"/>
      <c r="AA680" s="70"/>
      <c r="AB680" s="70"/>
      <c r="AC680" s="70"/>
      <c r="AD680" s="70"/>
      <c r="AE680" s="70"/>
      <c r="AF680" s="70"/>
      <c r="AG680" s="70"/>
      <c r="AH680" s="70"/>
      <c r="AI680" s="70"/>
      <c r="AJ680" s="70"/>
      <c r="AK680" s="70"/>
      <c r="AL680" s="70"/>
      <c r="AM680" s="70"/>
      <c r="AN680" s="70"/>
      <c r="AO680" s="70"/>
    </row>
    <row r="681">
      <c r="A681" s="70"/>
      <c r="B681" s="70"/>
      <c r="C681" s="70"/>
      <c r="D681" s="71"/>
      <c r="E681" s="72"/>
      <c r="F681" s="70"/>
      <c r="G681" s="69"/>
      <c r="H681" s="70"/>
      <c r="I681" s="70"/>
      <c r="J681" s="71"/>
      <c r="K681" s="72"/>
      <c r="L681" s="70"/>
      <c r="M681" s="70"/>
      <c r="N681" s="82"/>
      <c r="O681" s="70"/>
      <c r="P681" s="70"/>
      <c r="Q681" s="70"/>
      <c r="R681" s="71"/>
      <c r="S681" s="72"/>
      <c r="T681" s="70"/>
      <c r="U681" s="70"/>
      <c r="V681" s="71"/>
      <c r="W681" s="70"/>
      <c r="X681" s="70"/>
      <c r="Y681" s="70"/>
      <c r="Z681" s="70"/>
      <c r="AA681" s="70"/>
      <c r="AB681" s="70"/>
      <c r="AC681" s="70"/>
      <c r="AD681" s="70"/>
      <c r="AE681" s="70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</row>
    <row r="682">
      <c r="A682" s="70"/>
      <c r="B682" s="70"/>
      <c r="C682" s="70"/>
      <c r="D682" s="71"/>
      <c r="E682" s="72"/>
      <c r="F682" s="70"/>
      <c r="G682" s="69"/>
      <c r="H682" s="70"/>
      <c r="I682" s="70"/>
      <c r="J682" s="71"/>
      <c r="K682" s="72"/>
      <c r="L682" s="70"/>
      <c r="M682" s="70"/>
      <c r="N682" s="82"/>
      <c r="O682" s="70"/>
      <c r="P682" s="70"/>
      <c r="Q682" s="70"/>
      <c r="R682" s="71"/>
      <c r="S682" s="72"/>
      <c r="T682" s="70"/>
      <c r="U682" s="70"/>
      <c r="V682" s="71"/>
      <c r="W682" s="70"/>
      <c r="X682" s="70"/>
      <c r="Y682" s="70"/>
      <c r="Z682" s="70"/>
      <c r="AA682" s="70"/>
      <c r="AB682" s="70"/>
      <c r="AC682" s="70"/>
      <c r="AD682" s="70"/>
      <c r="AE682" s="70"/>
      <c r="AF682" s="70"/>
      <c r="AG682" s="70"/>
      <c r="AH682" s="70"/>
      <c r="AI682" s="70"/>
      <c r="AJ682" s="70"/>
      <c r="AK682" s="70"/>
      <c r="AL682" s="70"/>
      <c r="AM682" s="70"/>
      <c r="AN682" s="70"/>
      <c r="AO682" s="70"/>
    </row>
    <row r="683">
      <c r="A683" s="70"/>
      <c r="B683" s="70"/>
      <c r="C683" s="70"/>
      <c r="D683" s="71"/>
      <c r="E683" s="72"/>
      <c r="F683" s="70"/>
      <c r="G683" s="69"/>
      <c r="H683" s="70"/>
      <c r="I683" s="70"/>
      <c r="J683" s="71"/>
      <c r="K683" s="72"/>
      <c r="L683" s="70"/>
      <c r="M683" s="70"/>
      <c r="N683" s="82"/>
      <c r="O683" s="70"/>
      <c r="P683" s="70"/>
      <c r="Q683" s="70"/>
      <c r="R683" s="71"/>
      <c r="S683" s="72"/>
      <c r="T683" s="70"/>
      <c r="U683" s="70"/>
      <c r="V683" s="71"/>
      <c r="W683" s="70"/>
      <c r="X683" s="70"/>
      <c r="Y683" s="70"/>
      <c r="Z683" s="70"/>
      <c r="AA683" s="70"/>
      <c r="AB683" s="70"/>
      <c r="AC683" s="70"/>
      <c r="AD683" s="70"/>
      <c r="AE683" s="70"/>
      <c r="AF683" s="70"/>
      <c r="AG683" s="70"/>
      <c r="AH683" s="70"/>
      <c r="AI683" s="70"/>
      <c r="AJ683" s="70"/>
      <c r="AK683" s="70"/>
      <c r="AL683" s="70"/>
      <c r="AM683" s="70"/>
      <c r="AN683" s="70"/>
      <c r="AO683" s="70"/>
    </row>
    <row r="684">
      <c r="A684" s="70"/>
      <c r="B684" s="70"/>
      <c r="C684" s="70"/>
      <c r="D684" s="71"/>
      <c r="E684" s="72"/>
      <c r="F684" s="70"/>
      <c r="G684" s="69"/>
      <c r="H684" s="70"/>
      <c r="I684" s="70"/>
      <c r="J684" s="71"/>
      <c r="K684" s="72"/>
      <c r="L684" s="70"/>
      <c r="M684" s="70"/>
      <c r="N684" s="82"/>
      <c r="O684" s="70"/>
      <c r="P684" s="70"/>
      <c r="Q684" s="70"/>
      <c r="R684" s="71"/>
      <c r="S684" s="72"/>
      <c r="T684" s="70"/>
      <c r="U684" s="70"/>
      <c r="V684" s="71"/>
      <c r="W684" s="70"/>
      <c r="X684" s="70"/>
      <c r="Y684" s="70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  <c r="AJ684" s="70"/>
      <c r="AK684" s="70"/>
      <c r="AL684" s="70"/>
      <c r="AM684" s="70"/>
      <c r="AN684" s="70"/>
      <c r="AO684" s="70"/>
    </row>
    <row r="685">
      <c r="A685" s="70"/>
      <c r="B685" s="70"/>
      <c r="C685" s="70"/>
      <c r="D685" s="71"/>
      <c r="E685" s="72"/>
      <c r="F685" s="70"/>
      <c r="G685" s="69"/>
      <c r="H685" s="70"/>
      <c r="I685" s="70"/>
      <c r="J685" s="71"/>
      <c r="K685" s="72"/>
      <c r="L685" s="70"/>
      <c r="M685" s="70"/>
      <c r="N685" s="82"/>
      <c r="O685" s="70"/>
      <c r="P685" s="70"/>
      <c r="Q685" s="70"/>
      <c r="R685" s="71"/>
      <c r="S685" s="72"/>
      <c r="T685" s="70"/>
      <c r="U685" s="70"/>
      <c r="V685" s="71"/>
      <c r="W685" s="70"/>
      <c r="X685" s="70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</row>
    <row r="686">
      <c r="A686" s="70"/>
      <c r="B686" s="70"/>
      <c r="C686" s="70"/>
      <c r="D686" s="71"/>
      <c r="E686" s="72"/>
      <c r="F686" s="70"/>
      <c r="G686" s="69"/>
      <c r="H686" s="70"/>
      <c r="I686" s="70"/>
      <c r="J686" s="71"/>
      <c r="K686" s="72"/>
      <c r="L686" s="70"/>
      <c r="M686" s="70"/>
      <c r="N686" s="82"/>
      <c r="O686" s="70"/>
      <c r="P686" s="70"/>
      <c r="Q686" s="70"/>
      <c r="R686" s="71"/>
      <c r="S686" s="72"/>
      <c r="T686" s="70"/>
      <c r="U686" s="70"/>
      <c r="V686" s="71"/>
      <c r="W686" s="70"/>
      <c r="X686" s="70"/>
      <c r="Y686" s="70"/>
      <c r="Z686" s="70"/>
      <c r="AA686" s="70"/>
      <c r="AB686" s="70"/>
      <c r="AC686" s="70"/>
      <c r="AD686" s="70"/>
      <c r="AE686" s="70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</row>
    <row r="687">
      <c r="A687" s="70"/>
      <c r="B687" s="70"/>
      <c r="C687" s="70"/>
      <c r="D687" s="71"/>
      <c r="E687" s="72"/>
      <c r="F687" s="70"/>
      <c r="G687" s="69"/>
      <c r="H687" s="70"/>
      <c r="I687" s="70"/>
      <c r="J687" s="71"/>
      <c r="K687" s="72"/>
      <c r="L687" s="70"/>
      <c r="M687" s="70"/>
      <c r="N687" s="82"/>
      <c r="O687" s="70"/>
      <c r="P687" s="70"/>
      <c r="Q687" s="70"/>
      <c r="R687" s="71"/>
      <c r="S687" s="72"/>
      <c r="T687" s="70"/>
      <c r="U687" s="70"/>
      <c r="V687" s="71"/>
      <c r="W687" s="70"/>
      <c r="X687" s="70"/>
      <c r="Y687" s="70"/>
      <c r="Z687" s="70"/>
      <c r="AA687" s="70"/>
      <c r="AB687" s="70"/>
      <c r="AC687" s="70"/>
      <c r="AD687" s="70"/>
      <c r="AE687" s="70"/>
      <c r="AF687" s="70"/>
      <c r="AG687" s="70"/>
      <c r="AH687" s="70"/>
      <c r="AI687" s="70"/>
      <c r="AJ687" s="70"/>
      <c r="AK687" s="70"/>
      <c r="AL687" s="70"/>
      <c r="AM687" s="70"/>
      <c r="AN687" s="70"/>
      <c r="AO687" s="70"/>
    </row>
    <row r="688">
      <c r="A688" s="70"/>
      <c r="B688" s="70"/>
      <c r="C688" s="70"/>
      <c r="D688" s="71"/>
      <c r="E688" s="72"/>
      <c r="F688" s="70"/>
      <c r="G688" s="69"/>
      <c r="H688" s="70"/>
      <c r="I688" s="70"/>
      <c r="J688" s="71"/>
      <c r="K688" s="72"/>
      <c r="L688" s="70"/>
      <c r="M688" s="70"/>
      <c r="N688" s="82"/>
      <c r="O688" s="70"/>
      <c r="P688" s="70"/>
      <c r="Q688" s="70"/>
      <c r="R688" s="71"/>
      <c r="S688" s="72"/>
      <c r="T688" s="70"/>
      <c r="U688" s="70"/>
      <c r="V688" s="71"/>
      <c r="W688" s="70"/>
      <c r="X688" s="70"/>
      <c r="Y688" s="70"/>
      <c r="Z688" s="70"/>
      <c r="AA688" s="70"/>
      <c r="AB688" s="70"/>
      <c r="AC688" s="70"/>
      <c r="AD688" s="70"/>
      <c r="AE688" s="70"/>
      <c r="AF688" s="70"/>
      <c r="AG688" s="70"/>
      <c r="AH688" s="70"/>
      <c r="AI688" s="70"/>
      <c r="AJ688" s="70"/>
      <c r="AK688" s="70"/>
      <c r="AL688" s="70"/>
      <c r="AM688" s="70"/>
      <c r="AN688" s="70"/>
      <c r="AO688" s="70"/>
    </row>
    <row r="689">
      <c r="A689" s="70"/>
      <c r="B689" s="70"/>
      <c r="C689" s="70"/>
      <c r="D689" s="71"/>
      <c r="E689" s="72"/>
      <c r="F689" s="70"/>
      <c r="G689" s="69"/>
      <c r="H689" s="70"/>
      <c r="I689" s="70"/>
      <c r="J689" s="71"/>
      <c r="K689" s="72"/>
      <c r="L689" s="70"/>
      <c r="M689" s="70"/>
      <c r="N689" s="82"/>
      <c r="O689" s="70"/>
      <c r="P689" s="70"/>
      <c r="Q689" s="70"/>
      <c r="R689" s="71"/>
      <c r="S689" s="72"/>
      <c r="T689" s="70"/>
      <c r="U689" s="70"/>
      <c r="V689" s="71"/>
      <c r="W689" s="70"/>
      <c r="X689" s="70"/>
      <c r="Y689" s="70"/>
      <c r="Z689" s="70"/>
      <c r="AA689" s="70"/>
      <c r="AB689" s="70"/>
      <c r="AC689" s="70"/>
      <c r="AD689" s="70"/>
      <c r="AE689" s="70"/>
      <c r="AF689" s="70"/>
      <c r="AG689" s="70"/>
      <c r="AH689" s="70"/>
      <c r="AI689" s="70"/>
      <c r="AJ689" s="70"/>
      <c r="AK689" s="70"/>
      <c r="AL689" s="70"/>
      <c r="AM689" s="70"/>
      <c r="AN689" s="70"/>
      <c r="AO689" s="70"/>
    </row>
    <row r="690">
      <c r="A690" s="70"/>
      <c r="B690" s="70"/>
      <c r="C690" s="70"/>
      <c r="D690" s="71"/>
      <c r="E690" s="72"/>
      <c r="F690" s="70"/>
      <c r="G690" s="69"/>
      <c r="H690" s="70"/>
      <c r="I690" s="70"/>
      <c r="J690" s="71"/>
      <c r="K690" s="72"/>
      <c r="L690" s="70"/>
      <c r="M690" s="70"/>
      <c r="N690" s="82"/>
      <c r="O690" s="70"/>
      <c r="P690" s="70"/>
      <c r="Q690" s="70"/>
      <c r="R690" s="71"/>
      <c r="S690" s="72"/>
      <c r="T690" s="70"/>
      <c r="U690" s="70"/>
      <c r="V690" s="71"/>
      <c r="W690" s="70"/>
      <c r="X690" s="70"/>
      <c r="Y690" s="70"/>
      <c r="Z690" s="70"/>
      <c r="AA690" s="70"/>
      <c r="AB690" s="70"/>
      <c r="AC690" s="70"/>
      <c r="AD690" s="70"/>
      <c r="AE690" s="70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</row>
    <row r="691">
      <c r="A691" s="70"/>
      <c r="B691" s="70"/>
      <c r="C691" s="70"/>
      <c r="D691" s="71"/>
      <c r="E691" s="72"/>
      <c r="F691" s="70"/>
      <c r="G691" s="69"/>
      <c r="H691" s="70"/>
      <c r="I691" s="70"/>
      <c r="J691" s="71"/>
      <c r="K691" s="72"/>
      <c r="L691" s="70"/>
      <c r="M691" s="70"/>
      <c r="N691" s="82"/>
      <c r="O691" s="70"/>
      <c r="P691" s="70"/>
      <c r="Q691" s="70"/>
      <c r="R691" s="71"/>
      <c r="S691" s="72"/>
      <c r="T691" s="70"/>
      <c r="U691" s="70"/>
      <c r="V691" s="71"/>
      <c r="W691" s="70"/>
      <c r="X691" s="70"/>
      <c r="Y691" s="70"/>
      <c r="Z691" s="70"/>
      <c r="AA691" s="70"/>
      <c r="AB691" s="70"/>
      <c r="AC691" s="70"/>
      <c r="AD691" s="70"/>
      <c r="AE691" s="70"/>
      <c r="AF691" s="70"/>
      <c r="AG691" s="70"/>
      <c r="AH691" s="70"/>
      <c r="AI691" s="70"/>
      <c r="AJ691" s="70"/>
      <c r="AK691" s="70"/>
      <c r="AL691" s="70"/>
      <c r="AM691" s="70"/>
      <c r="AN691" s="70"/>
      <c r="AO691" s="70"/>
    </row>
    <row r="692">
      <c r="A692" s="70"/>
      <c r="B692" s="70"/>
      <c r="C692" s="70"/>
      <c r="D692" s="71"/>
      <c r="E692" s="72"/>
      <c r="F692" s="70"/>
      <c r="G692" s="69"/>
      <c r="H692" s="70"/>
      <c r="I692" s="70"/>
      <c r="J692" s="71"/>
      <c r="K692" s="72"/>
      <c r="L692" s="70"/>
      <c r="M692" s="70"/>
      <c r="N692" s="82"/>
      <c r="O692" s="70"/>
      <c r="P692" s="70"/>
      <c r="Q692" s="70"/>
      <c r="R692" s="71"/>
      <c r="S692" s="72"/>
      <c r="T692" s="70"/>
      <c r="U692" s="70"/>
      <c r="V692" s="71"/>
      <c r="W692" s="70"/>
      <c r="X692" s="70"/>
      <c r="Y692" s="70"/>
      <c r="Z692" s="70"/>
      <c r="AA692" s="70"/>
      <c r="AB692" s="70"/>
      <c r="AC692" s="70"/>
      <c r="AD692" s="70"/>
      <c r="AE692" s="70"/>
      <c r="AF692" s="70"/>
      <c r="AG692" s="70"/>
      <c r="AH692" s="70"/>
      <c r="AI692" s="70"/>
      <c r="AJ692" s="70"/>
      <c r="AK692" s="70"/>
      <c r="AL692" s="70"/>
      <c r="AM692" s="70"/>
      <c r="AN692" s="70"/>
      <c r="AO692" s="70"/>
    </row>
    <row r="693">
      <c r="A693" s="70"/>
      <c r="B693" s="70"/>
      <c r="C693" s="70"/>
      <c r="D693" s="71"/>
      <c r="E693" s="72"/>
      <c r="F693" s="70"/>
      <c r="G693" s="69"/>
      <c r="H693" s="70"/>
      <c r="I693" s="70"/>
      <c r="J693" s="71"/>
      <c r="K693" s="72"/>
      <c r="L693" s="70"/>
      <c r="M693" s="70"/>
      <c r="N693" s="82"/>
      <c r="O693" s="70"/>
      <c r="P693" s="70"/>
      <c r="Q693" s="70"/>
      <c r="R693" s="71"/>
      <c r="S693" s="72"/>
      <c r="T693" s="70"/>
      <c r="U693" s="70"/>
      <c r="V693" s="71"/>
      <c r="W693" s="70"/>
      <c r="X693" s="70"/>
      <c r="Y693" s="70"/>
      <c r="Z693" s="70"/>
      <c r="AA693" s="70"/>
      <c r="AB693" s="70"/>
      <c r="AC693" s="70"/>
      <c r="AD693" s="70"/>
      <c r="AE693" s="70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</row>
    <row r="694">
      <c r="A694" s="70"/>
      <c r="B694" s="70"/>
      <c r="C694" s="70"/>
      <c r="D694" s="71"/>
      <c r="E694" s="72"/>
      <c r="F694" s="70"/>
      <c r="G694" s="69"/>
      <c r="H694" s="70"/>
      <c r="I694" s="70"/>
      <c r="J694" s="71"/>
      <c r="K694" s="72"/>
      <c r="L694" s="70"/>
      <c r="M694" s="70"/>
      <c r="N694" s="82"/>
      <c r="O694" s="70"/>
      <c r="P694" s="70"/>
      <c r="Q694" s="70"/>
      <c r="R694" s="71"/>
      <c r="S694" s="72"/>
      <c r="T694" s="70"/>
      <c r="U694" s="70"/>
      <c r="V694" s="71"/>
      <c r="W694" s="70"/>
      <c r="X694" s="70"/>
      <c r="Y694" s="70"/>
      <c r="Z694" s="70"/>
      <c r="AA694" s="70"/>
      <c r="AB694" s="70"/>
      <c r="AC694" s="70"/>
      <c r="AD694" s="70"/>
      <c r="AE694" s="70"/>
      <c r="AF694" s="70"/>
      <c r="AG694" s="70"/>
      <c r="AH694" s="70"/>
      <c r="AI694" s="70"/>
      <c r="AJ694" s="70"/>
      <c r="AK694" s="70"/>
      <c r="AL694" s="70"/>
      <c r="AM694" s="70"/>
      <c r="AN694" s="70"/>
      <c r="AO694" s="70"/>
    </row>
    <row r="695">
      <c r="A695" s="70"/>
      <c r="B695" s="70"/>
      <c r="C695" s="70"/>
      <c r="D695" s="71"/>
      <c r="E695" s="72"/>
      <c r="F695" s="70"/>
      <c r="G695" s="69"/>
      <c r="H695" s="70"/>
      <c r="I695" s="70"/>
      <c r="J695" s="71"/>
      <c r="K695" s="72"/>
      <c r="L695" s="70"/>
      <c r="M695" s="70"/>
      <c r="N695" s="82"/>
      <c r="O695" s="70"/>
      <c r="P695" s="70"/>
      <c r="Q695" s="70"/>
      <c r="R695" s="71"/>
      <c r="S695" s="72"/>
      <c r="T695" s="70"/>
      <c r="U695" s="70"/>
      <c r="V695" s="71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</row>
    <row r="696">
      <c r="A696" s="70"/>
      <c r="B696" s="70"/>
      <c r="C696" s="70"/>
      <c r="D696" s="71"/>
      <c r="E696" s="72"/>
      <c r="F696" s="70"/>
      <c r="G696" s="69"/>
      <c r="H696" s="70"/>
      <c r="I696" s="70"/>
      <c r="J696" s="71"/>
      <c r="K696" s="72"/>
      <c r="L696" s="70"/>
      <c r="M696" s="70"/>
      <c r="N696" s="82"/>
      <c r="O696" s="70"/>
      <c r="P696" s="70"/>
      <c r="Q696" s="70"/>
      <c r="R696" s="71"/>
      <c r="S696" s="72"/>
      <c r="T696" s="70"/>
      <c r="U696" s="70"/>
      <c r="V696" s="71"/>
      <c r="W696" s="70"/>
      <c r="X696" s="70"/>
      <c r="Y696" s="70"/>
      <c r="Z696" s="70"/>
      <c r="AA696" s="70"/>
      <c r="AB696" s="70"/>
      <c r="AC696" s="70"/>
      <c r="AD696" s="70"/>
      <c r="AE696" s="70"/>
      <c r="AF696" s="70"/>
      <c r="AG696" s="70"/>
      <c r="AH696" s="70"/>
      <c r="AI696" s="70"/>
      <c r="AJ696" s="70"/>
      <c r="AK696" s="70"/>
      <c r="AL696" s="70"/>
      <c r="AM696" s="70"/>
      <c r="AN696" s="70"/>
      <c r="AO696" s="70"/>
    </row>
    <row r="697">
      <c r="A697" s="70"/>
      <c r="B697" s="70"/>
      <c r="C697" s="70"/>
      <c r="D697" s="71"/>
      <c r="E697" s="72"/>
      <c r="F697" s="70"/>
      <c r="G697" s="69"/>
      <c r="H697" s="70"/>
      <c r="I697" s="70"/>
      <c r="J697" s="71"/>
      <c r="K697" s="72"/>
      <c r="L697" s="70"/>
      <c r="M697" s="70"/>
      <c r="N697" s="82"/>
      <c r="O697" s="70"/>
      <c r="P697" s="70"/>
      <c r="Q697" s="70"/>
      <c r="R697" s="71"/>
      <c r="S697" s="72"/>
      <c r="T697" s="70"/>
      <c r="U697" s="70"/>
      <c r="V697" s="71"/>
      <c r="W697" s="70"/>
      <c r="X697" s="70"/>
      <c r="Y697" s="70"/>
      <c r="Z697" s="70"/>
      <c r="AA697" s="70"/>
      <c r="AB697" s="70"/>
      <c r="AC697" s="70"/>
      <c r="AD697" s="70"/>
      <c r="AE697" s="70"/>
      <c r="AF697" s="70"/>
      <c r="AG697" s="70"/>
      <c r="AH697" s="70"/>
      <c r="AI697" s="70"/>
      <c r="AJ697" s="70"/>
      <c r="AK697" s="70"/>
      <c r="AL697" s="70"/>
      <c r="AM697" s="70"/>
      <c r="AN697" s="70"/>
      <c r="AO697" s="70"/>
    </row>
    <row r="698">
      <c r="A698" s="70"/>
      <c r="B698" s="70"/>
      <c r="C698" s="70"/>
      <c r="D698" s="71"/>
      <c r="E698" s="72"/>
      <c r="F698" s="70"/>
      <c r="G698" s="69"/>
      <c r="H698" s="70"/>
      <c r="I698" s="70"/>
      <c r="J698" s="71"/>
      <c r="K698" s="72"/>
      <c r="L698" s="70"/>
      <c r="M698" s="70"/>
      <c r="N698" s="82"/>
      <c r="O698" s="70"/>
      <c r="P698" s="70"/>
      <c r="Q698" s="70"/>
      <c r="R698" s="71"/>
      <c r="S698" s="72"/>
      <c r="T698" s="70"/>
      <c r="U698" s="70"/>
      <c r="V698" s="71"/>
      <c r="W698" s="70"/>
      <c r="X698" s="70"/>
      <c r="Y698" s="70"/>
      <c r="Z698" s="70"/>
      <c r="AA698" s="70"/>
      <c r="AB698" s="70"/>
      <c r="AC698" s="70"/>
      <c r="AD698" s="70"/>
      <c r="AE698" s="70"/>
      <c r="AF698" s="70"/>
      <c r="AG698" s="70"/>
      <c r="AH698" s="70"/>
      <c r="AI698" s="70"/>
      <c r="AJ698" s="70"/>
      <c r="AK698" s="70"/>
      <c r="AL698" s="70"/>
      <c r="AM698" s="70"/>
      <c r="AN698" s="70"/>
      <c r="AO698" s="70"/>
    </row>
    <row r="699">
      <c r="A699" s="70"/>
      <c r="B699" s="70"/>
      <c r="C699" s="70"/>
      <c r="D699" s="71"/>
      <c r="E699" s="72"/>
      <c r="F699" s="70"/>
      <c r="G699" s="69"/>
      <c r="H699" s="70"/>
      <c r="I699" s="70"/>
      <c r="J699" s="71"/>
      <c r="K699" s="72"/>
      <c r="L699" s="70"/>
      <c r="M699" s="70"/>
      <c r="N699" s="82"/>
      <c r="O699" s="70"/>
      <c r="P699" s="70"/>
      <c r="Q699" s="70"/>
      <c r="R699" s="71"/>
      <c r="S699" s="72"/>
      <c r="T699" s="70"/>
      <c r="U699" s="70"/>
      <c r="V699" s="71"/>
      <c r="W699" s="70"/>
      <c r="X699" s="70"/>
      <c r="Y699" s="70"/>
      <c r="Z699" s="70"/>
      <c r="AA699" s="70"/>
      <c r="AB699" s="70"/>
      <c r="AC699" s="70"/>
      <c r="AD699" s="70"/>
      <c r="AE699" s="70"/>
      <c r="AF699" s="70"/>
      <c r="AG699" s="70"/>
      <c r="AH699" s="70"/>
      <c r="AI699" s="70"/>
      <c r="AJ699" s="70"/>
      <c r="AK699" s="70"/>
      <c r="AL699" s="70"/>
      <c r="AM699" s="70"/>
      <c r="AN699" s="70"/>
      <c r="AO699" s="70"/>
    </row>
    <row r="700">
      <c r="A700" s="70"/>
      <c r="B700" s="70"/>
      <c r="C700" s="70"/>
      <c r="D700" s="71"/>
      <c r="E700" s="72"/>
      <c r="F700" s="70"/>
      <c r="G700" s="69"/>
      <c r="H700" s="70"/>
      <c r="I700" s="70"/>
      <c r="J700" s="71"/>
      <c r="K700" s="72"/>
      <c r="L700" s="70"/>
      <c r="M700" s="70"/>
      <c r="N700" s="82"/>
      <c r="O700" s="70"/>
      <c r="P700" s="70"/>
      <c r="Q700" s="70"/>
      <c r="R700" s="71"/>
      <c r="S700" s="72"/>
      <c r="T700" s="70"/>
      <c r="U700" s="70"/>
      <c r="V700" s="71"/>
      <c r="W700" s="70"/>
      <c r="X700" s="70"/>
      <c r="Y700" s="70"/>
      <c r="Z700" s="70"/>
      <c r="AA700" s="70"/>
      <c r="AB700" s="70"/>
      <c r="AC700" s="70"/>
      <c r="AD700" s="70"/>
      <c r="AE700" s="70"/>
      <c r="AF700" s="70"/>
      <c r="AG700" s="70"/>
      <c r="AH700" s="70"/>
      <c r="AI700" s="70"/>
      <c r="AJ700" s="70"/>
      <c r="AK700" s="70"/>
      <c r="AL700" s="70"/>
      <c r="AM700" s="70"/>
      <c r="AN700" s="70"/>
      <c r="AO700" s="70"/>
    </row>
    <row r="701">
      <c r="A701" s="70"/>
      <c r="B701" s="70"/>
      <c r="C701" s="70"/>
      <c r="D701" s="71"/>
      <c r="E701" s="72"/>
      <c r="F701" s="70"/>
      <c r="G701" s="69"/>
      <c r="H701" s="70"/>
      <c r="I701" s="70"/>
      <c r="J701" s="71"/>
      <c r="K701" s="72"/>
      <c r="L701" s="70"/>
      <c r="M701" s="70"/>
      <c r="N701" s="82"/>
      <c r="O701" s="70"/>
      <c r="P701" s="70"/>
      <c r="Q701" s="70"/>
      <c r="R701" s="71"/>
      <c r="S701" s="72"/>
      <c r="T701" s="70"/>
      <c r="U701" s="70"/>
      <c r="V701" s="71"/>
      <c r="W701" s="70"/>
      <c r="X701" s="70"/>
      <c r="Y701" s="70"/>
      <c r="Z701" s="70"/>
      <c r="AA701" s="70"/>
      <c r="AB701" s="70"/>
      <c r="AC701" s="70"/>
      <c r="AD701" s="70"/>
      <c r="AE701" s="70"/>
      <c r="AF701" s="70"/>
      <c r="AG701" s="70"/>
      <c r="AH701" s="70"/>
      <c r="AI701" s="70"/>
      <c r="AJ701" s="70"/>
      <c r="AK701" s="70"/>
      <c r="AL701" s="70"/>
      <c r="AM701" s="70"/>
      <c r="AN701" s="70"/>
      <c r="AO701" s="70"/>
    </row>
    <row r="702">
      <c r="A702" s="70"/>
      <c r="B702" s="70"/>
      <c r="C702" s="70"/>
      <c r="D702" s="71"/>
      <c r="E702" s="72"/>
      <c r="F702" s="70"/>
      <c r="G702" s="69"/>
      <c r="H702" s="70"/>
      <c r="I702" s="70"/>
      <c r="J702" s="71"/>
      <c r="K702" s="72"/>
      <c r="L702" s="70"/>
      <c r="M702" s="70"/>
      <c r="N702" s="82"/>
      <c r="O702" s="70"/>
      <c r="P702" s="70"/>
      <c r="Q702" s="70"/>
      <c r="R702" s="71"/>
      <c r="S702" s="72"/>
      <c r="T702" s="70"/>
      <c r="U702" s="70"/>
      <c r="V702" s="71"/>
      <c r="W702" s="70"/>
      <c r="X702" s="70"/>
      <c r="Y702" s="70"/>
      <c r="Z702" s="70"/>
      <c r="AA702" s="70"/>
      <c r="AB702" s="70"/>
      <c r="AC702" s="70"/>
      <c r="AD702" s="70"/>
      <c r="AE702" s="70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</row>
    <row r="703">
      <c r="A703" s="70"/>
      <c r="B703" s="70"/>
      <c r="C703" s="70"/>
      <c r="D703" s="71"/>
      <c r="E703" s="72"/>
      <c r="F703" s="70"/>
      <c r="G703" s="69"/>
      <c r="H703" s="70"/>
      <c r="I703" s="70"/>
      <c r="J703" s="71"/>
      <c r="K703" s="72"/>
      <c r="L703" s="70"/>
      <c r="M703" s="70"/>
      <c r="N703" s="82"/>
      <c r="O703" s="70"/>
      <c r="P703" s="70"/>
      <c r="Q703" s="70"/>
      <c r="R703" s="71"/>
      <c r="S703" s="72"/>
      <c r="T703" s="70"/>
      <c r="U703" s="70"/>
      <c r="V703" s="71"/>
      <c r="W703" s="70"/>
      <c r="X703" s="70"/>
      <c r="Y703" s="70"/>
      <c r="Z703" s="70"/>
      <c r="AA703" s="70"/>
      <c r="AB703" s="70"/>
      <c r="AC703" s="70"/>
      <c r="AD703" s="70"/>
      <c r="AE703" s="70"/>
      <c r="AF703" s="70"/>
      <c r="AG703" s="70"/>
      <c r="AH703" s="70"/>
      <c r="AI703" s="70"/>
      <c r="AJ703" s="70"/>
      <c r="AK703" s="70"/>
      <c r="AL703" s="70"/>
      <c r="AM703" s="70"/>
      <c r="AN703" s="70"/>
      <c r="AO703" s="70"/>
    </row>
    <row r="704">
      <c r="A704" s="70"/>
      <c r="B704" s="70"/>
      <c r="C704" s="70"/>
      <c r="D704" s="71"/>
      <c r="E704" s="72"/>
      <c r="F704" s="70"/>
      <c r="G704" s="69"/>
      <c r="H704" s="70"/>
      <c r="I704" s="70"/>
      <c r="J704" s="71"/>
      <c r="K704" s="72"/>
      <c r="L704" s="70"/>
      <c r="M704" s="70"/>
      <c r="N704" s="82"/>
      <c r="O704" s="70"/>
      <c r="P704" s="70"/>
      <c r="Q704" s="70"/>
      <c r="R704" s="71"/>
      <c r="S704" s="72"/>
      <c r="T704" s="70"/>
      <c r="U704" s="70"/>
      <c r="V704" s="71"/>
      <c r="W704" s="70"/>
      <c r="X704" s="70"/>
      <c r="Y704" s="70"/>
      <c r="Z704" s="70"/>
      <c r="AA704" s="70"/>
      <c r="AB704" s="70"/>
      <c r="AC704" s="70"/>
      <c r="AD704" s="70"/>
      <c r="AE704" s="70"/>
      <c r="AF704" s="70"/>
      <c r="AG704" s="70"/>
      <c r="AH704" s="70"/>
      <c r="AI704" s="70"/>
      <c r="AJ704" s="70"/>
      <c r="AK704" s="70"/>
      <c r="AL704" s="70"/>
      <c r="AM704" s="70"/>
      <c r="AN704" s="70"/>
      <c r="AO704" s="70"/>
    </row>
    <row r="705">
      <c r="A705" s="70"/>
      <c r="B705" s="70"/>
      <c r="C705" s="70"/>
      <c r="D705" s="71"/>
      <c r="E705" s="72"/>
      <c r="F705" s="70"/>
      <c r="G705" s="69"/>
      <c r="H705" s="70"/>
      <c r="I705" s="70"/>
      <c r="J705" s="71"/>
      <c r="K705" s="72"/>
      <c r="L705" s="70"/>
      <c r="M705" s="70"/>
      <c r="N705" s="82"/>
      <c r="O705" s="70"/>
      <c r="P705" s="70"/>
      <c r="Q705" s="70"/>
      <c r="R705" s="71"/>
      <c r="S705" s="72"/>
      <c r="T705" s="70"/>
      <c r="U705" s="70"/>
      <c r="V705" s="71"/>
      <c r="W705" s="70"/>
      <c r="X705" s="70"/>
      <c r="Y705" s="70"/>
      <c r="Z705" s="70"/>
      <c r="AA705" s="70"/>
      <c r="AB705" s="70"/>
      <c r="AC705" s="70"/>
      <c r="AD705" s="70"/>
      <c r="AE705" s="70"/>
      <c r="AF705" s="70"/>
      <c r="AG705" s="70"/>
      <c r="AH705" s="70"/>
      <c r="AI705" s="70"/>
      <c r="AJ705" s="70"/>
      <c r="AK705" s="70"/>
      <c r="AL705" s="70"/>
      <c r="AM705" s="70"/>
      <c r="AN705" s="70"/>
      <c r="AO705" s="70"/>
    </row>
    <row r="706">
      <c r="A706" s="70"/>
      <c r="B706" s="70"/>
      <c r="C706" s="70"/>
      <c r="D706" s="71"/>
      <c r="E706" s="72"/>
      <c r="F706" s="70"/>
      <c r="G706" s="69"/>
      <c r="H706" s="70"/>
      <c r="I706" s="70"/>
      <c r="J706" s="71"/>
      <c r="K706" s="72"/>
      <c r="L706" s="70"/>
      <c r="M706" s="70"/>
      <c r="N706" s="82"/>
      <c r="O706" s="70"/>
      <c r="P706" s="70"/>
      <c r="Q706" s="70"/>
      <c r="R706" s="71"/>
      <c r="S706" s="72"/>
      <c r="T706" s="70"/>
      <c r="U706" s="70"/>
      <c r="V706" s="71"/>
      <c r="W706" s="70"/>
      <c r="X706" s="70"/>
      <c r="Y706" s="70"/>
      <c r="Z706" s="70"/>
      <c r="AA706" s="70"/>
      <c r="AB706" s="70"/>
      <c r="AC706" s="70"/>
      <c r="AD706" s="70"/>
      <c r="AE706" s="70"/>
      <c r="AF706" s="70"/>
      <c r="AG706" s="70"/>
      <c r="AH706" s="70"/>
      <c r="AI706" s="70"/>
      <c r="AJ706" s="70"/>
      <c r="AK706" s="70"/>
      <c r="AL706" s="70"/>
      <c r="AM706" s="70"/>
      <c r="AN706" s="70"/>
      <c r="AO706" s="70"/>
    </row>
    <row r="707">
      <c r="A707" s="70"/>
      <c r="B707" s="70"/>
      <c r="C707" s="70"/>
      <c r="D707" s="71"/>
      <c r="E707" s="72"/>
      <c r="F707" s="70"/>
      <c r="G707" s="69"/>
      <c r="H707" s="70"/>
      <c r="I707" s="70"/>
      <c r="J707" s="71"/>
      <c r="K707" s="72"/>
      <c r="L707" s="70"/>
      <c r="M707" s="70"/>
      <c r="N707" s="82"/>
      <c r="O707" s="70"/>
      <c r="P707" s="70"/>
      <c r="Q707" s="70"/>
      <c r="R707" s="71"/>
      <c r="S707" s="72"/>
      <c r="T707" s="70"/>
      <c r="U707" s="70"/>
      <c r="V707" s="71"/>
      <c r="W707" s="70"/>
      <c r="X707" s="70"/>
      <c r="Y707" s="70"/>
      <c r="Z707" s="70"/>
      <c r="AA707" s="70"/>
      <c r="AB707" s="70"/>
      <c r="AC707" s="70"/>
      <c r="AD707" s="70"/>
      <c r="AE707" s="70"/>
      <c r="AF707" s="70"/>
      <c r="AG707" s="70"/>
      <c r="AH707" s="70"/>
      <c r="AI707" s="70"/>
      <c r="AJ707" s="70"/>
      <c r="AK707" s="70"/>
      <c r="AL707" s="70"/>
      <c r="AM707" s="70"/>
      <c r="AN707" s="70"/>
      <c r="AO707" s="70"/>
    </row>
    <row r="708">
      <c r="A708" s="70"/>
      <c r="B708" s="70"/>
      <c r="C708" s="70"/>
      <c r="D708" s="71"/>
      <c r="E708" s="72"/>
      <c r="F708" s="70"/>
      <c r="G708" s="69"/>
      <c r="H708" s="70"/>
      <c r="I708" s="70"/>
      <c r="J708" s="71"/>
      <c r="K708" s="72"/>
      <c r="L708" s="70"/>
      <c r="M708" s="70"/>
      <c r="N708" s="82"/>
      <c r="O708" s="70"/>
      <c r="P708" s="70"/>
      <c r="Q708" s="70"/>
      <c r="R708" s="71"/>
      <c r="S708" s="72"/>
      <c r="T708" s="70"/>
      <c r="U708" s="70"/>
      <c r="V708" s="71"/>
      <c r="W708" s="70"/>
      <c r="X708" s="70"/>
      <c r="Y708" s="70"/>
      <c r="Z708" s="70"/>
      <c r="AA708" s="70"/>
      <c r="AB708" s="70"/>
      <c r="AC708" s="70"/>
      <c r="AD708" s="70"/>
      <c r="AE708" s="70"/>
      <c r="AF708" s="70"/>
      <c r="AG708" s="70"/>
      <c r="AH708" s="70"/>
      <c r="AI708" s="70"/>
      <c r="AJ708" s="70"/>
      <c r="AK708" s="70"/>
      <c r="AL708" s="70"/>
      <c r="AM708" s="70"/>
      <c r="AN708" s="70"/>
      <c r="AO708" s="70"/>
    </row>
    <row r="709">
      <c r="A709" s="70"/>
      <c r="B709" s="70"/>
      <c r="C709" s="70"/>
      <c r="D709" s="71"/>
      <c r="E709" s="72"/>
      <c r="F709" s="70"/>
      <c r="G709" s="69"/>
      <c r="H709" s="70"/>
      <c r="I709" s="70"/>
      <c r="J709" s="71"/>
      <c r="K709" s="72"/>
      <c r="L709" s="70"/>
      <c r="M709" s="70"/>
      <c r="N709" s="82"/>
      <c r="O709" s="70"/>
      <c r="P709" s="70"/>
      <c r="Q709" s="70"/>
      <c r="R709" s="71"/>
      <c r="S709" s="72"/>
      <c r="T709" s="70"/>
      <c r="U709" s="70"/>
      <c r="V709" s="71"/>
      <c r="W709" s="70"/>
      <c r="X709" s="70"/>
      <c r="Y709" s="70"/>
      <c r="Z709" s="70"/>
      <c r="AA709" s="70"/>
      <c r="AB709" s="70"/>
      <c r="AC709" s="70"/>
      <c r="AD709" s="70"/>
      <c r="AE709" s="70"/>
      <c r="AF709" s="70"/>
      <c r="AG709" s="70"/>
      <c r="AH709" s="70"/>
      <c r="AI709" s="70"/>
      <c r="AJ709" s="70"/>
      <c r="AK709" s="70"/>
      <c r="AL709" s="70"/>
      <c r="AM709" s="70"/>
      <c r="AN709" s="70"/>
      <c r="AO709" s="70"/>
    </row>
    <row r="710">
      <c r="A710" s="70"/>
      <c r="B710" s="70"/>
      <c r="C710" s="70"/>
      <c r="D710" s="71"/>
      <c r="E710" s="72"/>
      <c r="F710" s="70"/>
      <c r="G710" s="69"/>
      <c r="H710" s="70"/>
      <c r="I710" s="70"/>
      <c r="J710" s="71"/>
      <c r="K710" s="72"/>
      <c r="L710" s="70"/>
      <c r="M710" s="70"/>
      <c r="N710" s="82"/>
      <c r="O710" s="70"/>
      <c r="P710" s="70"/>
      <c r="Q710" s="70"/>
      <c r="R710" s="71"/>
      <c r="S710" s="72"/>
      <c r="T710" s="70"/>
      <c r="U710" s="70"/>
      <c r="V710" s="71"/>
      <c r="W710" s="70"/>
      <c r="X710" s="70"/>
      <c r="Y710" s="70"/>
      <c r="Z710" s="70"/>
      <c r="AA710" s="70"/>
      <c r="AB710" s="70"/>
      <c r="AC710" s="70"/>
      <c r="AD710" s="70"/>
      <c r="AE710" s="70"/>
      <c r="AF710" s="70"/>
      <c r="AG710" s="70"/>
      <c r="AH710" s="70"/>
      <c r="AI710" s="70"/>
      <c r="AJ710" s="70"/>
      <c r="AK710" s="70"/>
      <c r="AL710" s="70"/>
      <c r="AM710" s="70"/>
      <c r="AN710" s="70"/>
      <c r="AO710" s="70"/>
    </row>
    <row r="711">
      <c r="A711" s="70"/>
      <c r="B711" s="70"/>
      <c r="C711" s="70"/>
      <c r="D711" s="71"/>
      <c r="E711" s="72"/>
      <c r="F711" s="70"/>
      <c r="G711" s="69"/>
      <c r="H711" s="70"/>
      <c r="I711" s="70"/>
      <c r="J711" s="71"/>
      <c r="K711" s="72"/>
      <c r="L711" s="70"/>
      <c r="M711" s="70"/>
      <c r="N711" s="82"/>
      <c r="O711" s="70"/>
      <c r="P711" s="70"/>
      <c r="Q711" s="70"/>
      <c r="R711" s="71"/>
      <c r="S711" s="72"/>
      <c r="T711" s="70"/>
      <c r="U711" s="70"/>
      <c r="V711" s="71"/>
      <c r="W711" s="70"/>
      <c r="X711" s="70"/>
      <c r="Y711" s="70"/>
      <c r="Z711" s="70"/>
      <c r="AA711" s="70"/>
      <c r="AB711" s="70"/>
      <c r="AC711" s="70"/>
      <c r="AD711" s="70"/>
      <c r="AE711" s="70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</row>
    <row r="712">
      <c r="A712" s="70"/>
      <c r="B712" s="70"/>
      <c r="C712" s="70"/>
      <c r="D712" s="71"/>
      <c r="E712" s="72"/>
      <c r="F712" s="70"/>
      <c r="G712" s="69"/>
      <c r="H712" s="70"/>
      <c r="I712" s="70"/>
      <c r="J712" s="71"/>
      <c r="K712" s="72"/>
      <c r="L712" s="70"/>
      <c r="M712" s="70"/>
      <c r="N712" s="82"/>
      <c r="O712" s="70"/>
      <c r="P712" s="70"/>
      <c r="Q712" s="70"/>
      <c r="R712" s="71"/>
      <c r="S712" s="72"/>
      <c r="T712" s="70"/>
      <c r="U712" s="70"/>
      <c r="V712" s="71"/>
      <c r="W712" s="70"/>
      <c r="X712" s="70"/>
      <c r="Y712" s="70"/>
      <c r="Z712" s="70"/>
      <c r="AA712" s="70"/>
      <c r="AB712" s="70"/>
      <c r="AC712" s="70"/>
      <c r="AD712" s="70"/>
      <c r="AE712" s="70"/>
      <c r="AF712" s="70"/>
      <c r="AG712" s="70"/>
      <c r="AH712" s="70"/>
      <c r="AI712" s="70"/>
      <c r="AJ712" s="70"/>
      <c r="AK712" s="70"/>
      <c r="AL712" s="70"/>
      <c r="AM712" s="70"/>
      <c r="AN712" s="70"/>
      <c r="AO712" s="70"/>
    </row>
    <row r="713">
      <c r="A713" s="70"/>
      <c r="B713" s="70"/>
      <c r="C713" s="70"/>
      <c r="D713" s="71"/>
      <c r="E713" s="72"/>
      <c r="F713" s="70"/>
      <c r="G713" s="69"/>
      <c r="H713" s="70"/>
      <c r="I713" s="70"/>
      <c r="J713" s="71"/>
      <c r="K713" s="72"/>
      <c r="L713" s="70"/>
      <c r="M713" s="70"/>
      <c r="N713" s="82"/>
      <c r="O713" s="70"/>
      <c r="P713" s="70"/>
      <c r="Q713" s="70"/>
      <c r="R713" s="71"/>
      <c r="S713" s="72"/>
      <c r="T713" s="70"/>
      <c r="U713" s="70"/>
      <c r="V713" s="71"/>
      <c r="W713" s="70"/>
      <c r="X713" s="70"/>
      <c r="Y713" s="70"/>
      <c r="Z713" s="70"/>
      <c r="AA713" s="70"/>
      <c r="AB713" s="70"/>
      <c r="AC713" s="70"/>
      <c r="AD713" s="70"/>
      <c r="AE713" s="70"/>
      <c r="AF713" s="70"/>
      <c r="AG713" s="70"/>
      <c r="AH713" s="70"/>
      <c r="AI713" s="70"/>
      <c r="AJ713" s="70"/>
      <c r="AK713" s="70"/>
      <c r="AL713" s="70"/>
      <c r="AM713" s="70"/>
      <c r="AN713" s="70"/>
      <c r="AO713" s="70"/>
    </row>
    <row r="714">
      <c r="A714" s="70"/>
      <c r="B714" s="70"/>
      <c r="C714" s="70"/>
      <c r="D714" s="71"/>
      <c r="E714" s="72"/>
      <c r="F714" s="70"/>
      <c r="G714" s="69"/>
      <c r="H714" s="70"/>
      <c r="I714" s="70"/>
      <c r="J714" s="71"/>
      <c r="K714" s="72"/>
      <c r="L714" s="70"/>
      <c r="M714" s="70"/>
      <c r="N714" s="82"/>
      <c r="O714" s="70"/>
      <c r="P714" s="70"/>
      <c r="Q714" s="70"/>
      <c r="R714" s="71"/>
      <c r="S714" s="72"/>
      <c r="T714" s="70"/>
      <c r="U714" s="70"/>
      <c r="V714" s="71"/>
      <c r="W714" s="70"/>
      <c r="X714" s="70"/>
      <c r="Y714" s="70"/>
      <c r="Z714" s="70"/>
      <c r="AA714" s="70"/>
      <c r="AB714" s="70"/>
      <c r="AC714" s="70"/>
      <c r="AD714" s="70"/>
      <c r="AE714" s="70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</row>
    <row r="715">
      <c r="A715" s="70"/>
      <c r="B715" s="70"/>
      <c r="C715" s="70"/>
      <c r="D715" s="71"/>
      <c r="E715" s="72"/>
      <c r="F715" s="70"/>
      <c r="G715" s="69"/>
      <c r="H715" s="70"/>
      <c r="I715" s="70"/>
      <c r="J715" s="71"/>
      <c r="K715" s="72"/>
      <c r="L715" s="70"/>
      <c r="M715" s="70"/>
      <c r="N715" s="82"/>
      <c r="O715" s="70"/>
      <c r="P715" s="70"/>
      <c r="Q715" s="70"/>
      <c r="R715" s="71"/>
      <c r="S715" s="72"/>
      <c r="T715" s="70"/>
      <c r="U715" s="70"/>
      <c r="V715" s="71"/>
      <c r="W715" s="70"/>
      <c r="X715" s="70"/>
      <c r="Y715" s="70"/>
      <c r="Z715" s="70"/>
      <c r="AA715" s="70"/>
      <c r="AB715" s="70"/>
      <c r="AC715" s="70"/>
      <c r="AD715" s="70"/>
      <c r="AE715" s="70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</row>
    <row r="716">
      <c r="A716" s="70"/>
      <c r="B716" s="70"/>
      <c r="C716" s="70"/>
      <c r="D716" s="71"/>
      <c r="E716" s="72"/>
      <c r="F716" s="70"/>
      <c r="G716" s="69"/>
      <c r="H716" s="70"/>
      <c r="I716" s="70"/>
      <c r="J716" s="71"/>
      <c r="K716" s="72"/>
      <c r="L716" s="70"/>
      <c r="M716" s="70"/>
      <c r="N716" s="82"/>
      <c r="O716" s="70"/>
      <c r="P716" s="70"/>
      <c r="Q716" s="70"/>
      <c r="R716" s="71"/>
      <c r="S716" s="72"/>
      <c r="T716" s="70"/>
      <c r="U716" s="70"/>
      <c r="V716" s="71"/>
      <c r="W716" s="70"/>
      <c r="X716" s="70"/>
      <c r="Y716" s="70"/>
      <c r="Z716" s="70"/>
      <c r="AA716" s="70"/>
      <c r="AB716" s="70"/>
      <c r="AC716" s="70"/>
      <c r="AD716" s="70"/>
      <c r="AE716" s="70"/>
      <c r="AF716" s="70"/>
      <c r="AG716" s="70"/>
      <c r="AH716" s="70"/>
      <c r="AI716" s="70"/>
      <c r="AJ716" s="70"/>
      <c r="AK716" s="70"/>
      <c r="AL716" s="70"/>
      <c r="AM716" s="70"/>
      <c r="AN716" s="70"/>
      <c r="AO716" s="70"/>
    </row>
    <row r="717">
      <c r="A717" s="70"/>
      <c r="B717" s="70"/>
      <c r="C717" s="70"/>
      <c r="D717" s="71"/>
      <c r="E717" s="72"/>
      <c r="F717" s="70"/>
      <c r="G717" s="69"/>
      <c r="H717" s="70"/>
      <c r="I717" s="70"/>
      <c r="J717" s="71"/>
      <c r="K717" s="72"/>
      <c r="L717" s="70"/>
      <c r="M717" s="70"/>
      <c r="N717" s="82"/>
      <c r="O717" s="70"/>
      <c r="P717" s="70"/>
      <c r="Q717" s="70"/>
      <c r="R717" s="71"/>
      <c r="S717" s="72"/>
      <c r="T717" s="70"/>
      <c r="U717" s="70"/>
      <c r="V717" s="71"/>
      <c r="W717" s="70"/>
      <c r="X717" s="70"/>
      <c r="Y717" s="70"/>
      <c r="Z717" s="70"/>
      <c r="AA717" s="70"/>
      <c r="AB717" s="70"/>
      <c r="AC717" s="70"/>
      <c r="AD717" s="70"/>
      <c r="AE717" s="70"/>
      <c r="AF717" s="70"/>
      <c r="AG717" s="70"/>
      <c r="AH717" s="70"/>
      <c r="AI717" s="70"/>
      <c r="AJ717" s="70"/>
      <c r="AK717" s="70"/>
      <c r="AL717" s="70"/>
      <c r="AM717" s="70"/>
      <c r="AN717" s="70"/>
      <c r="AO717" s="70"/>
    </row>
    <row r="718">
      <c r="A718" s="70"/>
      <c r="B718" s="70"/>
      <c r="C718" s="70"/>
      <c r="D718" s="71"/>
      <c r="E718" s="72"/>
      <c r="F718" s="70"/>
      <c r="G718" s="69"/>
      <c r="H718" s="70"/>
      <c r="I718" s="70"/>
      <c r="J718" s="71"/>
      <c r="K718" s="72"/>
      <c r="L718" s="70"/>
      <c r="M718" s="70"/>
      <c r="N718" s="82"/>
      <c r="O718" s="70"/>
      <c r="P718" s="70"/>
      <c r="Q718" s="70"/>
      <c r="R718" s="71"/>
      <c r="S718" s="72"/>
      <c r="T718" s="70"/>
      <c r="U718" s="70"/>
      <c r="V718" s="71"/>
      <c r="W718" s="70"/>
      <c r="X718" s="70"/>
      <c r="Y718" s="70"/>
      <c r="Z718" s="70"/>
      <c r="AA718" s="70"/>
      <c r="AB718" s="70"/>
      <c r="AC718" s="70"/>
      <c r="AD718" s="70"/>
      <c r="AE718" s="70"/>
      <c r="AF718" s="70"/>
      <c r="AG718" s="70"/>
      <c r="AH718" s="70"/>
      <c r="AI718" s="70"/>
      <c r="AJ718" s="70"/>
      <c r="AK718" s="70"/>
      <c r="AL718" s="70"/>
      <c r="AM718" s="70"/>
      <c r="AN718" s="70"/>
      <c r="AO718" s="70"/>
    </row>
    <row r="719">
      <c r="A719" s="70"/>
      <c r="B719" s="70"/>
      <c r="C719" s="70"/>
      <c r="D719" s="71"/>
      <c r="E719" s="72"/>
      <c r="F719" s="70"/>
      <c r="G719" s="69"/>
      <c r="H719" s="70"/>
      <c r="I719" s="70"/>
      <c r="J719" s="71"/>
      <c r="K719" s="72"/>
      <c r="L719" s="70"/>
      <c r="M719" s="70"/>
      <c r="N719" s="82"/>
      <c r="O719" s="70"/>
      <c r="P719" s="70"/>
      <c r="Q719" s="70"/>
      <c r="R719" s="71"/>
      <c r="S719" s="72"/>
      <c r="T719" s="70"/>
      <c r="U719" s="70"/>
      <c r="V719" s="71"/>
      <c r="W719" s="70"/>
      <c r="X719" s="70"/>
      <c r="Y719" s="70"/>
      <c r="Z719" s="70"/>
      <c r="AA719" s="70"/>
      <c r="AB719" s="70"/>
      <c r="AC719" s="70"/>
      <c r="AD719" s="70"/>
      <c r="AE719" s="70"/>
      <c r="AF719" s="70"/>
      <c r="AG719" s="70"/>
      <c r="AH719" s="70"/>
      <c r="AI719" s="70"/>
      <c r="AJ719" s="70"/>
      <c r="AK719" s="70"/>
      <c r="AL719" s="70"/>
      <c r="AM719" s="70"/>
      <c r="AN719" s="70"/>
      <c r="AO719" s="70"/>
    </row>
    <row r="720">
      <c r="A720" s="70"/>
      <c r="B720" s="70"/>
      <c r="C720" s="70"/>
      <c r="D720" s="71"/>
      <c r="E720" s="72"/>
      <c r="F720" s="70"/>
      <c r="G720" s="69"/>
      <c r="H720" s="70"/>
      <c r="I720" s="70"/>
      <c r="J720" s="71"/>
      <c r="K720" s="72"/>
      <c r="L720" s="70"/>
      <c r="M720" s="70"/>
      <c r="N720" s="82"/>
      <c r="O720" s="70"/>
      <c r="P720" s="70"/>
      <c r="Q720" s="70"/>
      <c r="R720" s="71"/>
      <c r="S720" s="72"/>
      <c r="T720" s="70"/>
      <c r="U720" s="70"/>
      <c r="V720" s="71"/>
      <c r="W720" s="70"/>
      <c r="X720" s="70"/>
      <c r="Y720" s="70"/>
      <c r="Z720" s="70"/>
      <c r="AA720" s="70"/>
      <c r="AB720" s="70"/>
      <c r="AC720" s="70"/>
      <c r="AD720" s="70"/>
      <c r="AE720" s="70"/>
      <c r="AF720" s="70"/>
      <c r="AG720" s="70"/>
      <c r="AH720" s="70"/>
      <c r="AI720" s="70"/>
      <c r="AJ720" s="70"/>
      <c r="AK720" s="70"/>
      <c r="AL720" s="70"/>
      <c r="AM720" s="70"/>
      <c r="AN720" s="70"/>
      <c r="AO720" s="70"/>
    </row>
    <row r="721">
      <c r="A721" s="70"/>
      <c r="B721" s="70"/>
      <c r="C721" s="70"/>
      <c r="D721" s="71"/>
      <c r="E721" s="72"/>
      <c r="F721" s="70"/>
      <c r="G721" s="69"/>
      <c r="H721" s="70"/>
      <c r="I721" s="70"/>
      <c r="J721" s="71"/>
      <c r="K721" s="72"/>
      <c r="L721" s="70"/>
      <c r="M721" s="70"/>
      <c r="N721" s="82"/>
      <c r="O721" s="70"/>
      <c r="P721" s="70"/>
      <c r="Q721" s="70"/>
      <c r="R721" s="71"/>
      <c r="S721" s="72"/>
      <c r="T721" s="70"/>
      <c r="U721" s="70"/>
      <c r="V721" s="71"/>
      <c r="W721" s="70"/>
      <c r="X721" s="70"/>
      <c r="Y721" s="70"/>
      <c r="Z721" s="70"/>
      <c r="AA721" s="70"/>
      <c r="AB721" s="70"/>
      <c r="AC721" s="70"/>
      <c r="AD721" s="70"/>
      <c r="AE721" s="70"/>
      <c r="AF721" s="70"/>
      <c r="AG721" s="70"/>
      <c r="AH721" s="70"/>
      <c r="AI721" s="70"/>
      <c r="AJ721" s="70"/>
      <c r="AK721" s="70"/>
      <c r="AL721" s="70"/>
      <c r="AM721" s="70"/>
      <c r="AN721" s="70"/>
      <c r="AO721" s="70"/>
    </row>
    <row r="722">
      <c r="A722" s="70"/>
      <c r="B722" s="70"/>
      <c r="C722" s="70"/>
      <c r="D722" s="71"/>
      <c r="E722" s="72"/>
      <c r="F722" s="70"/>
      <c r="G722" s="69"/>
      <c r="H722" s="70"/>
      <c r="I722" s="70"/>
      <c r="J722" s="71"/>
      <c r="K722" s="72"/>
      <c r="L722" s="70"/>
      <c r="M722" s="70"/>
      <c r="N722" s="82"/>
      <c r="O722" s="70"/>
      <c r="P722" s="70"/>
      <c r="Q722" s="70"/>
      <c r="R722" s="71"/>
      <c r="S722" s="72"/>
      <c r="T722" s="70"/>
      <c r="U722" s="70"/>
      <c r="V722" s="71"/>
      <c r="W722" s="70"/>
      <c r="X722" s="70"/>
      <c r="Y722" s="70"/>
      <c r="Z722" s="70"/>
      <c r="AA722" s="70"/>
      <c r="AB722" s="70"/>
      <c r="AC722" s="70"/>
      <c r="AD722" s="70"/>
      <c r="AE722" s="70"/>
      <c r="AF722" s="70"/>
      <c r="AG722" s="70"/>
      <c r="AH722" s="70"/>
      <c r="AI722" s="70"/>
      <c r="AJ722" s="70"/>
      <c r="AK722" s="70"/>
      <c r="AL722" s="70"/>
      <c r="AM722" s="70"/>
      <c r="AN722" s="70"/>
      <c r="AO722" s="70"/>
    </row>
    <row r="723">
      <c r="A723" s="70"/>
      <c r="B723" s="70"/>
      <c r="C723" s="70"/>
      <c r="D723" s="71"/>
      <c r="E723" s="72"/>
      <c r="F723" s="70"/>
      <c r="G723" s="69"/>
      <c r="H723" s="70"/>
      <c r="I723" s="70"/>
      <c r="J723" s="71"/>
      <c r="K723" s="72"/>
      <c r="L723" s="70"/>
      <c r="M723" s="70"/>
      <c r="N723" s="82"/>
      <c r="O723" s="70"/>
      <c r="P723" s="70"/>
      <c r="Q723" s="70"/>
      <c r="R723" s="71"/>
      <c r="S723" s="72"/>
      <c r="T723" s="70"/>
      <c r="U723" s="70"/>
      <c r="V723" s="71"/>
      <c r="W723" s="70"/>
      <c r="X723" s="70"/>
      <c r="Y723" s="70"/>
      <c r="Z723" s="70"/>
      <c r="AA723" s="70"/>
      <c r="AB723" s="70"/>
      <c r="AC723" s="70"/>
      <c r="AD723" s="70"/>
      <c r="AE723" s="70"/>
      <c r="AF723" s="70"/>
      <c r="AG723" s="70"/>
      <c r="AH723" s="70"/>
      <c r="AI723" s="70"/>
      <c r="AJ723" s="70"/>
      <c r="AK723" s="70"/>
      <c r="AL723" s="70"/>
      <c r="AM723" s="70"/>
      <c r="AN723" s="70"/>
      <c r="AO723" s="70"/>
    </row>
    <row r="724">
      <c r="A724" s="70"/>
      <c r="B724" s="70"/>
      <c r="C724" s="70"/>
      <c r="D724" s="71"/>
      <c r="E724" s="72"/>
      <c r="F724" s="70"/>
      <c r="G724" s="69"/>
      <c r="H724" s="70"/>
      <c r="I724" s="70"/>
      <c r="J724" s="71"/>
      <c r="K724" s="72"/>
      <c r="L724" s="70"/>
      <c r="M724" s="70"/>
      <c r="N724" s="82"/>
      <c r="O724" s="70"/>
      <c r="P724" s="70"/>
      <c r="Q724" s="70"/>
      <c r="R724" s="71"/>
      <c r="S724" s="72"/>
      <c r="T724" s="70"/>
      <c r="U724" s="70"/>
      <c r="V724" s="71"/>
      <c r="W724" s="70"/>
      <c r="X724" s="70"/>
      <c r="Y724" s="70"/>
      <c r="Z724" s="70"/>
      <c r="AA724" s="70"/>
      <c r="AB724" s="70"/>
      <c r="AC724" s="70"/>
      <c r="AD724" s="70"/>
      <c r="AE724" s="70"/>
      <c r="AF724" s="70"/>
      <c r="AG724" s="70"/>
      <c r="AH724" s="70"/>
      <c r="AI724" s="70"/>
      <c r="AJ724" s="70"/>
      <c r="AK724" s="70"/>
      <c r="AL724" s="70"/>
      <c r="AM724" s="70"/>
      <c r="AN724" s="70"/>
      <c r="AO724" s="70"/>
    </row>
    <row r="725">
      <c r="A725" s="70"/>
      <c r="B725" s="70"/>
      <c r="C725" s="70"/>
      <c r="D725" s="71"/>
      <c r="E725" s="72"/>
      <c r="F725" s="70"/>
      <c r="G725" s="69"/>
      <c r="H725" s="70"/>
      <c r="I725" s="70"/>
      <c r="J725" s="71"/>
      <c r="K725" s="72"/>
      <c r="L725" s="70"/>
      <c r="M725" s="70"/>
      <c r="N725" s="82"/>
      <c r="O725" s="70"/>
      <c r="P725" s="70"/>
      <c r="Q725" s="70"/>
      <c r="R725" s="71"/>
      <c r="S725" s="72"/>
      <c r="T725" s="70"/>
      <c r="U725" s="70"/>
      <c r="V725" s="71"/>
      <c r="W725" s="70"/>
      <c r="X725" s="70"/>
      <c r="Y725" s="70"/>
      <c r="Z725" s="70"/>
      <c r="AA725" s="70"/>
      <c r="AB725" s="70"/>
      <c r="AC725" s="70"/>
      <c r="AD725" s="70"/>
      <c r="AE725" s="70"/>
      <c r="AF725" s="70"/>
      <c r="AG725" s="70"/>
      <c r="AH725" s="70"/>
      <c r="AI725" s="70"/>
      <c r="AJ725" s="70"/>
      <c r="AK725" s="70"/>
      <c r="AL725" s="70"/>
      <c r="AM725" s="70"/>
      <c r="AN725" s="70"/>
      <c r="AO725" s="70"/>
    </row>
    <row r="726">
      <c r="A726" s="70"/>
      <c r="B726" s="70"/>
      <c r="C726" s="70"/>
      <c r="D726" s="71"/>
      <c r="E726" s="72"/>
      <c r="F726" s="70"/>
      <c r="G726" s="69"/>
      <c r="H726" s="70"/>
      <c r="I726" s="70"/>
      <c r="J726" s="71"/>
      <c r="K726" s="72"/>
      <c r="L726" s="70"/>
      <c r="M726" s="70"/>
      <c r="N726" s="82"/>
      <c r="O726" s="70"/>
      <c r="P726" s="70"/>
      <c r="Q726" s="70"/>
      <c r="R726" s="71"/>
      <c r="S726" s="72"/>
      <c r="T726" s="70"/>
      <c r="U726" s="70"/>
      <c r="V726" s="71"/>
      <c r="W726" s="70"/>
      <c r="X726" s="70"/>
      <c r="Y726" s="70"/>
      <c r="Z726" s="70"/>
      <c r="AA726" s="70"/>
      <c r="AB726" s="70"/>
      <c r="AC726" s="70"/>
      <c r="AD726" s="70"/>
      <c r="AE726" s="70"/>
      <c r="AF726" s="70"/>
      <c r="AG726" s="70"/>
      <c r="AH726" s="70"/>
      <c r="AI726" s="70"/>
      <c r="AJ726" s="70"/>
      <c r="AK726" s="70"/>
      <c r="AL726" s="70"/>
      <c r="AM726" s="70"/>
      <c r="AN726" s="70"/>
      <c r="AO726" s="70"/>
    </row>
    <row r="727">
      <c r="A727" s="70"/>
      <c r="B727" s="70"/>
      <c r="C727" s="70"/>
      <c r="D727" s="71"/>
      <c r="E727" s="72"/>
      <c r="F727" s="70"/>
      <c r="G727" s="69"/>
      <c r="H727" s="70"/>
      <c r="I727" s="70"/>
      <c r="J727" s="71"/>
      <c r="K727" s="72"/>
      <c r="L727" s="70"/>
      <c r="M727" s="70"/>
      <c r="N727" s="82"/>
      <c r="O727" s="70"/>
      <c r="P727" s="70"/>
      <c r="Q727" s="70"/>
      <c r="R727" s="71"/>
      <c r="S727" s="72"/>
      <c r="T727" s="70"/>
      <c r="U727" s="70"/>
      <c r="V727" s="71"/>
      <c r="W727" s="70"/>
      <c r="X727" s="70"/>
      <c r="Y727" s="70"/>
      <c r="Z727" s="70"/>
      <c r="AA727" s="70"/>
      <c r="AB727" s="70"/>
      <c r="AC727" s="70"/>
      <c r="AD727" s="70"/>
      <c r="AE727" s="70"/>
      <c r="AF727" s="70"/>
      <c r="AG727" s="70"/>
      <c r="AH727" s="70"/>
      <c r="AI727" s="70"/>
      <c r="AJ727" s="70"/>
      <c r="AK727" s="70"/>
      <c r="AL727" s="70"/>
      <c r="AM727" s="70"/>
      <c r="AN727" s="70"/>
      <c r="AO727" s="70"/>
    </row>
    <row r="728">
      <c r="A728" s="70"/>
      <c r="B728" s="70"/>
      <c r="C728" s="70"/>
      <c r="D728" s="71"/>
      <c r="E728" s="72"/>
      <c r="F728" s="70"/>
      <c r="G728" s="69"/>
      <c r="H728" s="70"/>
      <c r="I728" s="70"/>
      <c r="J728" s="71"/>
      <c r="K728" s="72"/>
      <c r="L728" s="70"/>
      <c r="M728" s="70"/>
      <c r="N728" s="82"/>
      <c r="O728" s="70"/>
      <c r="P728" s="70"/>
      <c r="Q728" s="70"/>
      <c r="R728" s="71"/>
      <c r="S728" s="72"/>
      <c r="T728" s="70"/>
      <c r="U728" s="70"/>
      <c r="V728" s="71"/>
      <c r="W728" s="70"/>
      <c r="X728" s="70"/>
      <c r="Y728" s="70"/>
      <c r="Z728" s="70"/>
      <c r="AA728" s="70"/>
      <c r="AB728" s="70"/>
      <c r="AC728" s="70"/>
      <c r="AD728" s="70"/>
      <c r="AE728" s="70"/>
      <c r="AF728" s="70"/>
      <c r="AG728" s="70"/>
      <c r="AH728" s="70"/>
      <c r="AI728" s="70"/>
      <c r="AJ728" s="70"/>
      <c r="AK728" s="70"/>
      <c r="AL728" s="70"/>
      <c r="AM728" s="70"/>
      <c r="AN728" s="70"/>
      <c r="AO728" s="70"/>
    </row>
    <row r="729">
      <c r="A729" s="70"/>
      <c r="B729" s="70"/>
      <c r="C729" s="70"/>
      <c r="D729" s="71"/>
      <c r="E729" s="72"/>
      <c r="F729" s="70"/>
      <c r="G729" s="69"/>
      <c r="H729" s="70"/>
      <c r="I729" s="70"/>
      <c r="J729" s="71"/>
      <c r="K729" s="72"/>
      <c r="L729" s="70"/>
      <c r="M729" s="70"/>
      <c r="N729" s="82"/>
      <c r="O729" s="70"/>
      <c r="P729" s="70"/>
      <c r="Q729" s="70"/>
      <c r="R729" s="71"/>
      <c r="S729" s="72"/>
      <c r="T729" s="70"/>
      <c r="U729" s="70"/>
      <c r="V729" s="71"/>
      <c r="W729" s="70"/>
      <c r="X729" s="70"/>
      <c r="Y729" s="70"/>
      <c r="Z729" s="70"/>
      <c r="AA729" s="70"/>
      <c r="AB729" s="70"/>
      <c r="AC729" s="70"/>
      <c r="AD729" s="70"/>
      <c r="AE729" s="70"/>
      <c r="AF729" s="70"/>
      <c r="AG729" s="70"/>
      <c r="AH729" s="70"/>
      <c r="AI729" s="70"/>
      <c r="AJ729" s="70"/>
      <c r="AK729" s="70"/>
      <c r="AL729" s="70"/>
      <c r="AM729" s="70"/>
      <c r="AN729" s="70"/>
      <c r="AO729" s="70"/>
    </row>
    <row r="730">
      <c r="A730" s="70"/>
      <c r="B730" s="70"/>
      <c r="C730" s="70"/>
      <c r="D730" s="71"/>
      <c r="E730" s="72"/>
      <c r="F730" s="70"/>
      <c r="G730" s="69"/>
      <c r="H730" s="70"/>
      <c r="I730" s="70"/>
      <c r="J730" s="71"/>
      <c r="K730" s="72"/>
      <c r="L730" s="70"/>
      <c r="M730" s="70"/>
      <c r="N730" s="82"/>
      <c r="O730" s="70"/>
      <c r="P730" s="70"/>
      <c r="Q730" s="70"/>
      <c r="R730" s="71"/>
      <c r="S730" s="72"/>
      <c r="T730" s="70"/>
      <c r="U730" s="70"/>
      <c r="V730" s="71"/>
      <c r="W730" s="70"/>
      <c r="X730" s="70"/>
      <c r="Y730" s="70"/>
      <c r="Z730" s="70"/>
      <c r="AA730" s="70"/>
      <c r="AB730" s="70"/>
      <c r="AC730" s="70"/>
      <c r="AD730" s="70"/>
      <c r="AE730" s="70"/>
      <c r="AF730" s="70"/>
      <c r="AG730" s="70"/>
      <c r="AH730" s="70"/>
      <c r="AI730" s="70"/>
      <c r="AJ730" s="70"/>
      <c r="AK730" s="70"/>
      <c r="AL730" s="70"/>
      <c r="AM730" s="70"/>
      <c r="AN730" s="70"/>
      <c r="AO730" s="70"/>
    </row>
    <row r="731">
      <c r="A731" s="70"/>
      <c r="B731" s="70"/>
      <c r="C731" s="70"/>
      <c r="D731" s="71"/>
      <c r="E731" s="72"/>
      <c r="F731" s="70"/>
      <c r="G731" s="69"/>
      <c r="H731" s="70"/>
      <c r="I731" s="70"/>
      <c r="J731" s="71"/>
      <c r="K731" s="72"/>
      <c r="L731" s="70"/>
      <c r="M731" s="70"/>
      <c r="N731" s="82"/>
      <c r="O731" s="70"/>
      <c r="P731" s="70"/>
      <c r="Q731" s="70"/>
      <c r="R731" s="71"/>
      <c r="S731" s="72"/>
      <c r="T731" s="70"/>
      <c r="U731" s="70"/>
      <c r="V731" s="71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</row>
    <row r="732">
      <c r="A732" s="70"/>
      <c r="B732" s="70"/>
      <c r="C732" s="70"/>
      <c r="D732" s="71"/>
      <c r="E732" s="72"/>
      <c r="F732" s="70"/>
      <c r="G732" s="69"/>
      <c r="H732" s="70"/>
      <c r="I732" s="70"/>
      <c r="J732" s="71"/>
      <c r="K732" s="72"/>
      <c r="L732" s="70"/>
      <c r="M732" s="70"/>
      <c r="N732" s="82"/>
      <c r="O732" s="70"/>
      <c r="P732" s="70"/>
      <c r="Q732" s="70"/>
      <c r="R732" s="71"/>
      <c r="S732" s="72"/>
      <c r="T732" s="70"/>
      <c r="U732" s="70"/>
      <c r="V732" s="71"/>
      <c r="W732" s="70"/>
      <c r="X732" s="70"/>
      <c r="Y732" s="70"/>
      <c r="Z732" s="70"/>
      <c r="AA732" s="70"/>
      <c r="AB732" s="70"/>
      <c r="AC732" s="70"/>
      <c r="AD732" s="70"/>
      <c r="AE732" s="70"/>
      <c r="AF732" s="70"/>
      <c r="AG732" s="70"/>
      <c r="AH732" s="70"/>
      <c r="AI732" s="70"/>
      <c r="AJ732" s="70"/>
      <c r="AK732" s="70"/>
      <c r="AL732" s="70"/>
      <c r="AM732" s="70"/>
      <c r="AN732" s="70"/>
      <c r="AO732" s="70"/>
    </row>
    <row r="733">
      <c r="A733" s="70"/>
      <c r="B733" s="70"/>
      <c r="C733" s="70"/>
      <c r="D733" s="71"/>
      <c r="E733" s="72"/>
      <c r="F733" s="70"/>
      <c r="G733" s="69"/>
      <c r="H733" s="70"/>
      <c r="I733" s="70"/>
      <c r="J733" s="71"/>
      <c r="K733" s="72"/>
      <c r="L733" s="70"/>
      <c r="M733" s="70"/>
      <c r="N733" s="82"/>
      <c r="O733" s="70"/>
      <c r="P733" s="70"/>
      <c r="Q733" s="70"/>
      <c r="R733" s="71"/>
      <c r="S733" s="72"/>
      <c r="T733" s="70"/>
      <c r="U733" s="70"/>
      <c r="V733" s="71"/>
      <c r="W733" s="70"/>
      <c r="X733" s="70"/>
      <c r="Y733" s="70"/>
      <c r="Z733" s="70"/>
      <c r="AA733" s="70"/>
      <c r="AB733" s="70"/>
      <c r="AC733" s="70"/>
      <c r="AD733" s="70"/>
      <c r="AE733" s="70"/>
      <c r="AF733" s="70"/>
      <c r="AG733" s="70"/>
      <c r="AH733" s="70"/>
      <c r="AI733" s="70"/>
      <c r="AJ733" s="70"/>
      <c r="AK733" s="70"/>
      <c r="AL733" s="70"/>
      <c r="AM733" s="70"/>
      <c r="AN733" s="70"/>
      <c r="AO733" s="70"/>
    </row>
    <row r="734">
      <c r="A734" s="70"/>
      <c r="B734" s="70"/>
      <c r="C734" s="70"/>
      <c r="D734" s="71"/>
      <c r="E734" s="72"/>
      <c r="F734" s="70"/>
      <c r="G734" s="69"/>
      <c r="H734" s="70"/>
      <c r="I734" s="70"/>
      <c r="J734" s="71"/>
      <c r="K734" s="72"/>
      <c r="L734" s="70"/>
      <c r="M734" s="70"/>
      <c r="N734" s="82"/>
      <c r="O734" s="70"/>
      <c r="P734" s="70"/>
      <c r="Q734" s="70"/>
      <c r="R734" s="71"/>
      <c r="S734" s="72"/>
      <c r="T734" s="70"/>
      <c r="U734" s="70"/>
      <c r="V734" s="71"/>
      <c r="W734" s="70"/>
      <c r="X734" s="70"/>
      <c r="Y734" s="70"/>
      <c r="Z734" s="70"/>
      <c r="AA734" s="70"/>
      <c r="AB734" s="70"/>
      <c r="AC734" s="70"/>
      <c r="AD734" s="70"/>
      <c r="AE734" s="70"/>
      <c r="AF734" s="70"/>
      <c r="AG734" s="70"/>
      <c r="AH734" s="70"/>
      <c r="AI734" s="70"/>
      <c r="AJ734" s="70"/>
      <c r="AK734" s="70"/>
      <c r="AL734" s="70"/>
      <c r="AM734" s="70"/>
      <c r="AN734" s="70"/>
      <c r="AO734" s="70"/>
    </row>
    <row r="735">
      <c r="A735" s="70"/>
      <c r="B735" s="70"/>
      <c r="C735" s="70"/>
      <c r="D735" s="71"/>
      <c r="E735" s="72"/>
      <c r="F735" s="70"/>
      <c r="G735" s="69"/>
      <c r="H735" s="70"/>
      <c r="I735" s="70"/>
      <c r="J735" s="71"/>
      <c r="K735" s="72"/>
      <c r="L735" s="70"/>
      <c r="M735" s="70"/>
      <c r="N735" s="82"/>
      <c r="O735" s="70"/>
      <c r="P735" s="70"/>
      <c r="Q735" s="70"/>
      <c r="R735" s="71"/>
      <c r="S735" s="72"/>
      <c r="T735" s="70"/>
      <c r="U735" s="70"/>
      <c r="V735" s="71"/>
      <c r="W735" s="70"/>
      <c r="X735" s="70"/>
      <c r="Y735" s="70"/>
      <c r="Z735" s="70"/>
      <c r="AA735" s="70"/>
      <c r="AB735" s="70"/>
      <c r="AC735" s="70"/>
      <c r="AD735" s="70"/>
      <c r="AE735" s="70"/>
      <c r="AF735" s="70"/>
      <c r="AG735" s="70"/>
      <c r="AH735" s="70"/>
      <c r="AI735" s="70"/>
      <c r="AJ735" s="70"/>
      <c r="AK735" s="70"/>
      <c r="AL735" s="70"/>
      <c r="AM735" s="70"/>
      <c r="AN735" s="70"/>
      <c r="AO735" s="70"/>
    </row>
    <row r="736">
      <c r="A736" s="70"/>
      <c r="B736" s="70"/>
      <c r="C736" s="70"/>
      <c r="D736" s="71"/>
      <c r="E736" s="72"/>
      <c r="F736" s="70"/>
      <c r="G736" s="69"/>
      <c r="H736" s="70"/>
      <c r="I736" s="70"/>
      <c r="J736" s="71"/>
      <c r="K736" s="72"/>
      <c r="L736" s="70"/>
      <c r="M736" s="70"/>
      <c r="N736" s="82"/>
      <c r="O736" s="70"/>
      <c r="P736" s="70"/>
      <c r="Q736" s="70"/>
      <c r="R736" s="71"/>
      <c r="S736" s="72"/>
      <c r="T736" s="70"/>
      <c r="U736" s="70"/>
      <c r="V736" s="71"/>
      <c r="W736" s="70"/>
      <c r="X736" s="70"/>
      <c r="Y736" s="70"/>
      <c r="Z736" s="70"/>
      <c r="AA736" s="70"/>
      <c r="AB736" s="70"/>
      <c r="AC736" s="70"/>
      <c r="AD736" s="70"/>
      <c r="AE736" s="70"/>
      <c r="AF736" s="70"/>
      <c r="AG736" s="70"/>
      <c r="AH736" s="70"/>
      <c r="AI736" s="70"/>
      <c r="AJ736" s="70"/>
      <c r="AK736" s="70"/>
      <c r="AL736" s="70"/>
      <c r="AM736" s="70"/>
      <c r="AN736" s="70"/>
      <c r="AO736" s="70"/>
    </row>
    <row r="737">
      <c r="A737" s="70"/>
      <c r="B737" s="70"/>
      <c r="C737" s="70"/>
      <c r="D737" s="71"/>
      <c r="E737" s="72"/>
      <c r="F737" s="70"/>
      <c r="G737" s="69"/>
      <c r="H737" s="70"/>
      <c r="I737" s="70"/>
      <c r="J737" s="71"/>
      <c r="K737" s="72"/>
      <c r="L737" s="70"/>
      <c r="M737" s="70"/>
      <c r="N737" s="82"/>
      <c r="O737" s="70"/>
      <c r="P737" s="70"/>
      <c r="Q737" s="70"/>
      <c r="R737" s="71"/>
      <c r="S737" s="72"/>
      <c r="T737" s="70"/>
      <c r="U737" s="70"/>
      <c r="V737" s="71"/>
      <c r="W737" s="70"/>
      <c r="X737" s="70"/>
      <c r="Y737" s="70"/>
      <c r="Z737" s="70"/>
      <c r="AA737" s="70"/>
      <c r="AB737" s="70"/>
      <c r="AC737" s="70"/>
      <c r="AD737" s="70"/>
      <c r="AE737" s="70"/>
      <c r="AF737" s="70"/>
      <c r="AG737" s="70"/>
      <c r="AH737" s="70"/>
      <c r="AI737" s="70"/>
      <c r="AJ737" s="70"/>
      <c r="AK737" s="70"/>
      <c r="AL737" s="70"/>
      <c r="AM737" s="70"/>
      <c r="AN737" s="70"/>
      <c r="AO737" s="70"/>
    </row>
    <row r="738">
      <c r="A738" s="70"/>
      <c r="B738" s="70"/>
      <c r="C738" s="70"/>
      <c r="D738" s="71"/>
      <c r="E738" s="72"/>
      <c r="F738" s="70"/>
      <c r="G738" s="69"/>
      <c r="H738" s="70"/>
      <c r="I738" s="70"/>
      <c r="J738" s="71"/>
      <c r="K738" s="72"/>
      <c r="L738" s="70"/>
      <c r="M738" s="70"/>
      <c r="N738" s="82"/>
      <c r="O738" s="70"/>
      <c r="P738" s="70"/>
      <c r="Q738" s="70"/>
      <c r="R738" s="71"/>
      <c r="S738" s="72"/>
      <c r="T738" s="70"/>
      <c r="U738" s="70"/>
      <c r="V738" s="71"/>
      <c r="W738" s="70"/>
      <c r="X738" s="70"/>
      <c r="Y738" s="70"/>
      <c r="Z738" s="70"/>
      <c r="AA738" s="70"/>
      <c r="AB738" s="70"/>
      <c r="AC738" s="70"/>
      <c r="AD738" s="70"/>
      <c r="AE738" s="70"/>
      <c r="AF738" s="70"/>
      <c r="AG738" s="70"/>
      <c r="AH738" s="70"/>
      <c r="AI738" s="70"/>
      <c r="AJ738" s="70"/>
      <c r="AK738" s="70"/>
      <c r="AL738" s="70"/>
      <c r="AM738" s="70"/>
      <c r="AN738" s="70"/>
      <c r="AO738" s="70"/>
    </row>
    <row r="739">
      <c r="A739" s="70"/>
      <c r="B739" s="70"/>
      <c r="C739" s="70"/>
      <c r="D739" s="71"/>
      <c r="E739" s="72"/>
      <c r="F739" s="70"/>
      <c r="G739" s="69"/>
      <c r="H739" s="70"/>
      <c r="I739" s="70"/>
      <c r="J739" s="71"/>
      <c r="K739" s="72"/>
      <c r="L739" s="70"/>
      <c r="M739" s="70"/>
      <c r="N739" s="82"/>
      <c r="O739" s="70"/>
      <c r="P739" s="70"/>
      <c r="Q739" s="70"/>
      <c r="R739" s="71"/>
      <c r="S739" s="72"/>
      <c r="T739" s="70"/>
      <c r="U739" s="70"/>
      <c r="V739" s="71"/>
      <c r="W739" s="70"/>
      <c r="X739" s="70"/>
      <c r="Y739" s="70"/>
      <c r="Z739" s="70"/>
      <c r="AA739" s="70"/>
      <c r="AB739" s="70"/>
      <c r="AC739" s="70"/>
      <c r="AD739" s="70"/>
      <c r="AE739" s="70"/>
      <c r="AF739" s="70"/>
      <c r="AG739" s="70"/>
      <c r="AH739" s="70"/>
      <c r="AI739" s="70"/>
      <c r="AJ739" s="70"/>
      <c r="AK739" s="70"/>
      <c r="AL739" s="70"/>
      <c r="AM739" s="70"/>
      <c r="AN739" s="70"/>
      <c r="AO739" s="70"/>
    </row>
    <row r="740">
      <c r="A740" s="70"/>
      <c r="B740" s="70"/>
      <c r="C740" s="70"/>
      <c r="D740" s="71"/>
      <c r="E740" s="72"/>
      <c r="F740" s="70"/>
      <c r="G740" s="69"/>
      <c r="H740" s="70"/>
      <c r="I740" s="70"/>
      <c r="J740" s="71"/>
      <c r="K740" s="72"/>
      <c r="L740" s="70"/>
      <c r="M740" s="70"/>
      <c r="N740" s="82"/>
      <c r="O740" s="70"/>
      <c r="P740" s="70"/>
      <c r="Q740" s="70"/>
      <c r="R740" s="71"/>
      <c r="S740" s="72"/>
      <c r="T740" s="70"/>
      <c r="U740" s="70"/>
      <c r="V740" s="71"/>
      <c r="W740" s="70"/>
      <c r="X740" s="70"/>
      <c r="Y740" s="70"/>
      <c r="Z740" s="70"/>
      <c r="AA740" s="70"/>
      <c r="AB740" s="70"/>
      <c r="AC740" s="70"/>
      <c r="AD740" s="70"/>
      <c r="AE740" s="70"/>
      <c r="AF740" s="70"/>
      <c r="AG740" s="70"/>
      <c r="AH740" s="70"/>
      <c r="AI740" s="70"/>
      <c r="AJ740" s="70"/>
      <c r="AK740" s="70"/>
      <c r="AL740" s="70"/>
      <c r="AM740" s="70"/>
      <c r="AN740" s="70"/>
      <c r="AO740" s="70"/>
    </row>
    <row r="741">
      <c r="A741" s="70"/>
      <c r="B741" s="70"/>
      <c r="C741" s="70"/>
      <c r="D741" s="71"/>
      <c r="E741" s="72"/>
      <c r="F741" s="70"/>
      <c r="G741" s="69"/>
      <c r="H741" s="70"/>
      <c r="I741" s="70"/>
      <c r="J741" s="71"/>
      <c r="K741" s="72"/>
      <c r="L741" s="70"/>
      <c r="M741" s="70"/>
      <c r="N741" s="82"/>
      <c r="O741" s="70"/>
      <c r="P741" s="70"/>
      <c r="Q741" s="70"/>
      <c r="R741" s="71"/>
      <c r="S741" s="72"/>
      <c r="T741" s="70"/>
      <c r="U741" s="70"/>
      <c r="V741" s="71"/>
      <c r="W741" s="70"/>
      <c r="X741" s="70"/>
      <c r="Y741" s="70"/>
      <c r="Z741" s="70"/>
      <c r="AA741" s="70"/>
      <c r="AB741" s="70"/>
      <c r="AC741" s="70"/>
      <c r="AD741" s="70"/>
      <c r="AE741" s="70"/>
      <c r="AF741" s="70"/>
      <c r="AG741" s="70"/>
      <c r="AH741" s="70"/>
      <c r="AI741" s="70"/>
      <c r="AJ741" s="70"/>
      <c r="AK741" s="70"/>
      <c r="AL741" s="70"/>
      <c r="AM741" s="70"/>
      <c r="AN741" s="70"/>
      <c r="AO741" s="70"/>
    </row>
    <row r="742">
      <c r="A742" s="70"/>
      <c r="B742" s="70"/>
      <c r="C742" s="70"/>
      <c r="D742" s="71"/>
      <c r="E742" s="72"/>
      <c r="F742" s="70"/>
      <c r="G742" s="69"/>
      <c r="H742" s="70"/>
      <c r="I742" s="70"/>
      <c r="J742" s="71"/>
      <c r="K742" s="72"/>
      <c r="L742" s="70"/>
      <c r="M742" s="70"/>
      <c r="N742" s="82"/>
      <c r="O742" s="70"/>
      <c r="P742" s="70"/>
      <c r="Q742" s="70"/>
      <c r="R742" s="71"/>
      <c r="S742" s="72"/>
      <c r="T742" s="70"/>
      <c r="U742" s="70"/>
      <c r="V742" s="71"/>
      <c r="W742" s="70"/>
      <c r="X742" s="70"/>
      <c r="Y742" s="70"/>
      <c r="Z742" s="70"/>
      <c r="AA742" s="70"/>
      <c r="AB742" s="70"/>
      <c r="AC742" s="70"/>
      <c r="AD742" s="70"/>
      <c r="AE742" s="70"/>
      <c r="AF742" s="70"/>
      <c r="AG742" s="70"/>
      <c r="AH742" s="70"/>
      <c r="AI742" s="70"/>
      <c r="AJ742" s="70"/>
      <c r="AK742" s="70"/>
      <c r="AL742" s="70"/>
      <c r="AM742" s="70"/>
      <c r="AN742" s="70"/>
      <c r="AO742" s="70"/>
    </row>
    <row r="743">
      <c r="A743" s="70"/>
      <c r="B743" s="70"/>
      <c r="C743" s="70"/>
      <c r="D743" s="71"/>
      <c r="E743" s="72"/>
      <c r="F743" s="70"/>
      <c r="G743" s="69"/>
      <c r="H743" s="70"/>
      <c r="I743" s="70"/>
      <c r="J743" s="71"/>
      <c r="K743" s="72"/>
      <c r="L743" s="70"/>
      <c r="M743" s="70"/>
      <c r="N743" s="82"/>
      <c r="O743" s="70"/>
      <c r="P743" s="70"/>
      <c r="Q743" s="70"/>
      <c r="R743" s="71"/>
      <c r="S743" s="72"/>
      <c r="T743" s="70"/>
      <c r="U743" s="70"/>
      <c r="V743" s="71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</row>
    <row r="744">
      <c r="A744" s="70"/>
      <c r="B744" s="70"/>
      <c r="C744" s="70"/>
      <c r="D744" s="71"/>
      <c r="E744" s="72"/>
      <c r="F744" s="70"/>
      <c r="G744" s="69"/>
      <c r="H744" s="70"/>
      <c r="I744" s="70"/>
      <c r="J744" s="71"/>
      <c r="K744" s="72"/>
      <c r="L744" s="70"/>
      <c r="M744" s="70"/>
      <c r="N744" s="82"/>
      <c r="O744" s="70"/>
      <c r="P744" s="70"/>
      <c r="Q744" s="70"/>
      <c r="R744" s="71"/>
      <c r="S744" s="72"/>
      <c r="T744" s="70"/>
      <c r="U744" s="70"/>
      <c r="V744" s="71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</row>
    <row r="745">
      <c r="A745" s="70"/>
      <c r="B745" s="70"/>
      <c r="C745" s="70"/>
      <c r="D745" s="71"/>
      <c r="E745" s="72"/>
      <c r="F745" s="70"/>
      <c r="G745" s="69"/>
      <c r="H745" s="70"/>
      <c r="I745" s="70"/>
      <c r="J745" s="71"/>
      <c r="K745" s="72"/>
      <c r="L745" s="70"/>
      <c r="M745" s="70"/>
      <c r="N745" s="82"/>
      <c r="O745" s="70"/>
      <c r="P745" s="70"/>
      <c r="Q745" s="70"/>
      <c r="R745" s="71"/>
      <c r="S745" s="72"/>
      <c r="T745" s="70"/>
      <c r="U745" s="70"/>
      <c r="V745" s="71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</row>
    <row r="746">
      <c r="A746" s="70"/>
      <c r="B746" s="70"/>
      <c r="C746" s="70"/>
      <c r="D746" s="71"/>
      <c r="E746" s="72"/>
      <c r="F746" s="70"/>
      <c r="G746" s="69"/>
      <c r="H746" s="70"/>
      <c r="I746" s="70"/>
      <c r="J746" s="71"/>
      <c r="K746" s="72"/>
      <c r="L746" s="70"/>
      <c r="M746" s="70"/>
      <c r="N746" s="82"/>
      <c r="O746" s="70"/>
      <c r="P746" s="70"/>
      <c r="Q746" s="70"/>
      <c r="R746" s="71"/>
      <c r="S746" s="72"/>
      <c r="T746" s="70"/>
      <c r="U746" s="70"/>
      <c r="V746" s="71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</row>
    <row r="747">
      <c r="A747" s="70"/>
      <c r="B747" s="70"/>
      <c r="C747" s="70"/>
      <c r="D747" s="71"/>
      <c r="E747" s="72"/>
      <c r="F747" s="70"/>
      <c r="G747" s="69"/>
      <c r="H747" s="70"/>
      <c r="I747" s="70"/>
      <c r="J747" s="71"/>
      <c r="K747" s="72"/>
      <c r="L747" s="70"/>
      <c r="M747" s="70"/>
      <c r="N747" s="82"/>
      <c r="O747" s="70"/>
      <c r="P747" s="70"/>
      <c r="Q747" s="70"/>
      <c r="R747" s="71"/>
      <c r="S747" s="72"/>
      <c r="T747" s="70"/>
      <c r="U747" s="70"/>
      <c r="V747" s="71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</row>
    <row r="748">
      <c r="A748" s="70"/>
      <c r="B748" s="70"/>
      <c r="C748" s="70"/>
      <c r="D748" s="71"/>
      <c r="E748" s="72"/>
      <c r="F748" s="70"/>
      <c r="G748" s="69"/>
      <c r="H748" s="70"/>
      <c r="I748" s="70"/>
      <c r="J748" s="71"/>
      <c r="K748" s="72"/>
      <c r="L748" s="70"/>
      <c r="M748" s="70"/>
      <c r="N748" s="82"/>
      <c r="O748" s="70"/>
      <c r="P748" s="70"/>
      <c r="Q748" s="70"/>
      <c r="R748" s="71"/>
      <c r="S748" s="72"/>
      <c r="T748" s="70"/>
      <c r="U748" s="70"/>
      <c r="V748" s="71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</row>
    <row r="749">
      <c r="A749" s="70"/>
      <c r="B749" s="70"/>
      <c r="C749" s="70"/>
      <c r="D749" s="71"/>
      <c r="E749" s="72"/>
      <c r="F749" s="70"/>
      <c r="G749" s="69"/>
      <c r="H749" s="70"/>
      <c r="I749" s="70"/>
      <c r="J749" s="71"/>
      <c r="K749" s="72"/>
      <c r="L749" s="70"/>
      <c r="M749" s="70"/>
      <c r="N749" s="82"/>
      <c r="O749" s="70"/>
      <c r="P749" s="70"/>
      <c r="Q749" s="70"/>
      <c r="R749" s="71"/>
      <c r="S749" s="72"/>
      <c r="T749" s="70"/>
      <c r="U749" s="70"/>
      <c r="V749" s="71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</row>
    <row r="750">
      <c r="A750" s="70"/>
      <c r="B750" s="70"/>
      <c r="C750" s="70"/>
      <c r="D750" s="71"/>
      <c r="E750" s="72"/>
      <c r="F750" s="70"/>
      <c r="G750" s="69"/>
      <c r="H750" s="70"/>
      <c r="I750" s="70"/>
      <c r="J750" s="71"/>
      <c r="K750" s="72"/>
      <c r="L750" s="70"/>
      <c r="M750" s="70"/>
      <c r="N750" s="82"/>
      <c r="O750" s="70"/>
      <c r="P750" s="70"/>
      <c r="Q750" s="70"/>
      <c r="R750" s="71"/>
      <c r="S750" s="72"/>
      <c r="T750" s="70"/>
      <c r="U750" s="70"/>
      <c r="V750" s="71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</row>
    <row r="751">
      <c r="A751" s="70"/>
      <c r="B751" s="70"/>
      <c r="C751" s="70"/>
      <c r="D751" s="71"/>
      <c r="E751" s="72"/>
      <c r="F751" s="70"/>
      <c r="G751" s="69"/>
      <c r="H751" s="70"/>
      <c r="I751" s="70"/>
      <c r="J751" s="71"/>
      <c r="K751" s="72"/>
      <c r="L751" s="70"/>
      <c r="M751" s="70"/>
      <c r="N751" s="82"/>
      <c r="O751" s="70"/>
      <c r="P751" s="70"/>
      <c r="Q751" s="70"/>
      <c r="R751" s="71"/>
      <c r="S751" s="72"/>
      <c r="T751" s="70"/>
      <c r="U751" s="70"/>
      <c r="V751" s="71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</row>
    <row r="752">
      <c r="A752" s="70"/>
      <c r="B752" s="70"/>
      <c r="C752" s="70"/>
      <c r="D752" s="71"/>
      <c r="E752" s="72"/>
      <c r="F752" s="70"/>
      <c r="G752" s="69"/>
      <c r="H752" s="70"/>
      <c r="I752" s="70"/>
      <c r="J752" s="71"/>
      <c r="K752" s="72"/>
      <c r="L752" s="70"/>
      <c r="M752" s="70"/>
      <c r="N752" s="82"/>
      <c r="O752" s="70"/>
      <c r="P752" s="70"/>
      <c r="Q752" s="70"/>
      <c r="R752" s="71"/>
      <c r="S752" s="72"/>
      <c r="T752" s="70"/>
      <c r="U752" s="70"/>
      <c r="V752" s="71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</row>
    <row r="753">
      <c r="A753" s="70"/>
      <c r="B753" s="70"/>
      <c r="C753" s="70"/>
      <c r="D753" s="71"/>
      <c r="E753" s="72"/>
      <c r="F753" s="70"/>
      <c r="G753" s="69"/>
      <c r="H753" s="70"/>
      <c r="I753" s="70"/>
      <c r="J753" s="71"/>
      <c r="K753" s="72"/>
      <c r="L753" s="70"/>
      <c r="M753" s="70"/>
      <c r="N753" s="82"/>
      <c r="O753" s="70"/>
      <c r="P753" s="70"/>
      <c r="Q753" s="70"/>
      <c r="R753" s="71"/>
      <c r="S753" s="72"/>
      <c r="T753" s="70"/>
      <c r="U753" s="70"/>
      <c r="V753" s="71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</row>
    <row r="754">
      <c r="A754" s="70"/>
      <c r="B754" s="70"/>
      <c r="C754" s="70"/>
      <c r="D754" s="71"/>
      <c r="E754" s="72"/>
      <c r="F754" s="70"/>
      <c r="G754" s="69"/>
      <c r="H754" s="70"/>
      <c r="I754" s="70"/>
      <c r="J754" s="71"/>
      <c r="K754" s="72"/>
      <c r="L754" s="70"/>
      <c r="M754" s="70"/>
      <c r="N754" s="82"/>
      <c r="O754" s="70"/>
      <c r="P754" s="70"/>
      <c r="Q754" s="70"/>
      <c r="R754" s="71"/>
      <c r="S754" s="72"/>
      <c r="T754" s="70"/>
      <c r="U754" s="70"/>
      <c r="V754" s="71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</row>
    <row r="755">
      <c r="A755" s="70"/>
      <c r="B755" s="70"/>
      <c r="C755" s="70"/>
      <c r="D755" s="71"/>
      <c r="E755" s="72"/>
      <c r="F755" s="70"/>
      <c r="G755" s="69"/>
      <c r="H755" s="70"/>
      <c r="I755" s="70"/>
      <c r="J755" s="71"/>
      <c r="K755" s="72"/>
      <c r="L755" s="70"/>
      <c r="M755" s="70"/>
      <c r="N755" s="82"/>
      <c r="O755" s="70"/>
      <c r="P755" s="70"/>
      <c r="Q755" s="70"/>
      <c r="R755" s="71"/>
      <c r="S755" s="72"/>
      <c r="T755" s="70"/>
      <c r="U755" s="70"/>
      <c r="V755" s="71"/>
      <c r="W755" s="70"/>
      <c r="X755" s="70"/>
      <c r="Y755" s="70"/>
      <c r="Z755" s="70"/>
      <c r="AA755" s="70"/>
      <c r="AB755" s="70"/>
      <c r="AC755" s="70"/>
      <c r="AD755" s="70"/>
      <c r="AE755" s="70"/>
      <c r="AF755" s="70"/>
      <c r="AG755" s="70"/>
      <c r="AH755" s="70"/>
      <c r="AI755" s="70"/>
      <c r="AJ755" s="70"/>
      <c r="AK755" s="70"/>
      <c r="AL755" s="70"/>
      <c r="AM755" s="70"/>
      <c r="AN755" s="70"/>
      <c r="AO755" s="70"/>
    </row>
    <row r="756">
      <c r="A756" s="70"/>
      <c r="B756" s="70"/>
      <c r="C756" s="70"/>
      <c r="D756" s="71"/>
      <c r="E756" s="72"/>
      <c r="F756" s="70"/>
      <c r="G756" s="69"/>
      <c r="H756" s="70"/>
      <c r="I756" s="70"/>
      <c r="J756" s="71"/>
      <c r="K756" s="72"/>
      <c r="L756" s="70"/>
      <c r="M756" s="70"/>
      <c r="N756" s="82"/>
      <c r="O756" s="70"/>
      <c r="P756" s="70"/>
      <c r="Q756" s="70"/>
      <c r="R756" s="71"/>
      <c r="S756" s="72"/>
      <c r="T756" s="70"/>
      <c r="U756" s="70"/>
      <c r="V756" s="71"/>
      <c r="W756" s="70"/>
      <c r="X756" s="70"/>
      <c r="Y756" s="70"/>
      <c r="Z756" s="70"/>
      <c r="AA756" s="70"/>
      <c r="AB756" s="70"/>
      <c r="AC756" s="70"/>
      <c r="AD756" s="70"/>
      <c r="AE756" s="70"/>
      <c r="AF756" s="70"/>
      <c r="AG756" s="70"/>
      <c r="AH756" s="70"/>
      <c r="AI756" s="70"/>
      <c r="AJ756" s="70"/>
      <c r="AK756" s="70"/>
      <c r="AL756" s="70"/>
      <c r="AM756" s="70"/>
      <c r="AN756" s="70"/>
      <c r="AO756" s="70"/>
    </row>
    <row r="757">
      <c r="A757" s="70"/>
      <c r="B757" s="70"/>
      <c r="C757" s="70"/>
      <c r="D757" s="71"/>
      <c r="E757" s="72"/>
      <c r="F757" s="70"/>
      <c r="G757" s="69"/>
      <c r="H757" s="70"/>
      <c r="I757" s="70"/>
      <c r="J757" s="71"/>
      <c r="K757" s="72"/>
      <c r="L757" s="70"/>
      <c r="M757" s="70"/>
      <c r="N757" s="82"/>
      <c r="O757" s="70"/>
      <c r="P757" s="70"/>
      <c r="Q757" s="70"/>
      <c r="R757" s="71"/>
      <c r="S757" s="72"/>
      <c r="T757" s="70"/>
      <c r="U757" s="70"/>
      <c r="V757" s="71"/>
      <c r="W757" s="70"/>
      <c r="X757" s="70"/>
      <c r="Y757" s="70"/>
      <c r="Z757" s="70"/>
      <c r="AA757" s="70"/>
      <c r="AB757" s="70"/>
      <c r="AC757" s="70"/>
      <c r="AD757" s="70"/>
      <c r="AE757" s="70"/>
      <c r="AF757" s="70"/>
      <c r="AG757" s="70"/>
      <c r="AH757" s="70"/>
      <c r="AI757" s="70"/>
      <c r="AJ757" s="70"/>
      <c r="AK757" s="70"/>
      <c r="AL757" s="70"/>
      <c r="AM757" s="70"/>
      <c r="AN757" s="70"/>
      <c r="AO757" s="70"/>
    </row>
    <row r="758">
      <c r="A758" s="70"/>
      <c r="B758" s="70"/>
      <c r="C758" s="70"/>
      <c r="D758" s="71"/>
      <c r="E758" s="72"/>
      <c r="F758" s="70"/>
      <c r="G758" s="69"/>
      <c r="H758" s="70"/>
      <c r="I758" s="70"/>
      <c r="J758" s="71"/>
      <c r="K758" s="72"/>
      <c r="L758" s="70"/>
      <c r="M758" s="70"/>
      <c r="N758" s="82"/>
      <c r="O758" s="70"/>
      <c r="P758" s="70"/>
      <c r="Q758" s="70"/>
      <c r="R758" s="71"/>
      <c r="S758" s="72"/>
      <c r="T758" s="70"/>
      <c r="U758" s="70"/>
      <c r="V758" s="71"/>
      <c r="W758" s="70"/>
      <c r="X758" s="70"/>
      <c r="Y758" s="70"/>
      <c r="Z758" s="70"/>
      <c r="AA758" s="70"/>
      <c r="AB758" s="70"/>
      <c r="AC758" s="70"/>
      <c r="AD758" s="70"/>
      <c r="AE758" s="70"/>
      <c r="AF758" s="70"/>
      <c r="AG758" s="70"/>
      <c r="AH758" s="70"/>
      <c r="AI758" s="70"/>
      <c r="AJ758" s="70"/>
      <c r="AK758" s="70"/>
      <c r="AL758" s="70"/>
      <c r="AM758" s="70"/>
      <c r="AN758" s="70"/>
      <c r="AO758" s="70"/>
    </row>
    <row r="759">
      <c r="A759" s="70"/>
      <c r="B759" s="70"/>
      <c r="C759" s="70"/>
      <c r="D759" s="71"/>
      <c r="E759" s="72"/>
      <c r="F759" s="70"/>
      <c r="G759" s="69"/>
      <c r="H759" s="70"/>
      <c r="I759" s="70"/>
      <c r="J759" s="71"/>
      <c r="K759" s="72"/>
      <c r="L759" s="70"/>
      <c r="M759" s="70"/>
      <c r="N759" s="82"/>
      <c r="O759" s="70"/>
      <c r="P759" s="70"/>
      <c r="Q759" s="70"/>
      <c r="R759" s="71"/>
      <c r="S759" s="72"/>
      <c r="T759" s="70"/>
      <c r="U759" s="70"/>
      <c r="V759" s="71"/>
      <c r="W759" s="70"/>
      <c r="X759" s="70"/>
      <c r="Y759" s="70"/>
      <c r="Z759" s="70"/>
      <c r="AA759" s="70"/>
      <c r="AB759" s="70"/>
      <c r="AC759" s="70"/>
      <c r="AD759" s="70"/>
      <c r="AE759" s="70"/>
      <c r="AF759" s="70"/>
      <c r="AG759" s="70"/>
      <c r="AH759" s="70"/>
      <c r="AI759" s="70"/>
      <c r="AJ759" s="70"/>
      <c r="AK759" s="70"/>
      <c r="AL759" s="70"/>
      <c r="AM759" s="70"/>
      <c r="AN759" s="70"/>
      <c r="AO759" s="70"/>
    </row>
    <row r="760">
      <c r="A760" s="70"/>
      <c r="B760" s="70"/>
      <c r="C760" s="70"/>
      <c r="D760" s="71"/>
      <c r="E760" s="72"/>
      <c r="F760" s="70"/>
      <c r="G760" s="69"/>
      <c r="H760" s="70"/>
      <c r="I760" s="70"/>
      <c r="J760" s="71"/>
      <c r="K760" s="72"/>
      <c r="L760" s="70"/>
      <c r="M760" s="70"/>
      <c r="N760" s="82"/>
      <c r="O760" s="70"/>
      <c r="P760" s="70"/>
      <c r="Q760" s="70"/>
      <c r="R760" s="71"/>
      <c r="S760" s="72"/>
      <c r="T760" s="70"/>
      <c r="U760" s="70"/>
      <c r="V760" s="71"/>
      <c r="W760" s="70"/>
      <c r="X760" s="70"/>
      <c r="Y760" s="70"/>
      <c r="Z760" s="70"/>
      <c r="AA760" s="70"/>
      <c r="AB760" s="70"/>
      <c r="AC760" s="70"/>
      <c r="AD760" s="70"/>
      <c r="AE760" s="70"/>
      <c r="AF760" s="70"/>
      <c r="AG760" s="70"/>
      <c r="AH760" s="70"/>
      <c r="AI760" s="70"/>
      <c r="AJ760" s="70"/>
      <c r="AK760" s="70"/>
      <c r="AL760" s="70"/>
      <c r="AM760" s="70"/>
      <c r="AN760" s="70"/>
      <c r="AO760" s="70"/>
    </row>
    <row r="761">
      <c r="A761" s="70"/>
      <c r="B761" s="70"/>
      <c r="C761" s="70"/>
      <c r="D761" s="71"/>
      <c r="E761" s="72"/>
      <c r="F761" s="70"/>
      <c r="G761" s="69"/>
      <c r="H761" s="70"/>
      <c r="I761" s="70"/>
      <c r="J761" s="71"/>
      <c r="K761" s="72"/>
      <c r="L761" s="70"/>
      <c r="M761" s="70"/>
      <c r="N761" s="82"/>
      <c r="O761" s="70"/>
      <c r="P761" s="70"/>
      <c r="Q761" s="70"/>
      <c r="R761" s="71"/>
      <c r="S761" s="72"/>
      <c r="T761" s="70"/>
      <c r="U761" s="70"/>
      <c r="V761" s="71"/>
      <c r="W761" s="70"/>
      <c r="X761" s="70"/>
      <c r="Y761" s="70"/>
      <c r="Z761" s="70"/>
      <c r="AA761" s="70"/>
      <c r="AB761" s="70"/>
      <c r="AC761" s="70"/>
      <c r="AD761" s="70"/>
      <c r="AE761" s="70"/>
      <c r="AF761" s="70"/>
      <c r="AG761" s="70"/>
      <c r="AH761" s="70"/>
      <c r="AI761" s="70"/>
      <c r="AJ761" s="70"/>
      <c r="AK761" s="70"/>
      <c r="AL761" s="70"/>
      <c r="AM761" s="70"/>
      <c r="AN761" s="70"/>
      <c r="AO761" s="70"/>
    </row>
    <row r="762">
      <c r="A762" s="70"/>
      <c r="B762" s="70"/>
      <c r="C762" s="70"/>
      <c r="D762" s="71"/>
      <c r="E762" s="72"/>
      <c r="F762" s="70"/>
      <c r="G762" s="69"/>
      <c r="H762" s="70"/>
      <c r="I762" s="70"/>
      <c r="J762" s="71"/>
      <c r="K762" s="72"/>
      <c r="L762" s="70"/>
      <c r="M762" s="70"/>
      <c r="N762" s="82"/>
      <c r="O762" s="70"/>
      <c r="P762" s="70"/>
      <c r="Q762" s="70"/>
      <c r="R762" s="71"/>
      <c r="S762" s="72"/>
      <c r="T762" s="70"/>
      <c r="U762" s="70"/>
      <c r="V762" s="71"/>
      <c r="W762" s="70"/>
      <c r="X762" s="70"/>
      <c r="Y762" s="70"/>
      <c r="Z762" s="70"/>
      <c r="AA762" s="70"/>
      <c r="AB762" s="70"/>
      <c r="AC762" s="70"/>
      <c r="AD762" s="70"/>
      <c r="AE762" s="70"/>
      <c r="AF762" s="70"/>
      <c r="AG762" s="70"/>
      <c r="AH762" s="70"/>
      <c r="AI762" s="70"/>
      <c r="AJ762" s="70"/>
      <c r="AK762" s="70"/>
      <c r="AL762" s="70"/>
      <c r="AM762" s="70"/>
      <c r="AN762" s="70"/>
      <c r="AO762" s="70"/>
    </row>
    <row r="763">
      <c r="A763" s="70"/>
      <c r="B763" s="70"/>
      <c r="C763" s="70"/>
      <c r="D763" s="71"/>
      <c r="E763" s="72"/>
      <c r="F763" s="70"/>
      <c r="G763" s="69"/>
      <c r="H763" s="70"/>
      <c r="I763" s="70"/>
      <c r="J763" s="71"/>
      <c r="K763" s="72"/>
      <c r="L763" s="70"/>
      <c r="M763" s="70"/>
      <c r="N763" s="82"/>
      <c r="O763" s="70"/>
      <c r="P763" s="70"/>
      <c r="Q763" s="70"/>
      <c r="R763" s="71"/>
      <c r="S763" s="72"/>
      <c r="T763" s="70"/>
      <c r="U763" s="70"/>
      <c r="V763" s="71"/>
      <c r="W763" s="70"/>
      <c r="X763" s="70"/>
      <c r="Y763" s="70"/>
      <c r="Z763" s="70"/>
      <c r="AA763" s="70"/>
      <c r="AB763" s="70"/>
      <c r="AC763" s="70"/>
      <c r="AD763" s="70"/>
      <c r="AE763" s="70"/>
      <c r="AF763" s="70"/>
      <c r="AG763" s="70"/>
      <c r="AH763" s="70"/>
      <c r="AI763" s="70"/>
      <c r="AJ763" s="70"/>
      <c r="AK763" s="70"/>
      <c r="AL763" s="70"/>
      <c r="AM763" s="70"/>
      <c r="AN763" s="70"/>
      <c r="AO763" s="70"/>
    </row>
    <row r="764">
      <c r="A764" s="70"/>
      <c r="B764" s="70"/>
      <c r="C764" s="70"/>
      <c r="D764" s="71"/>
      <c r="E764" s="72"/>
      <c r="F764" s="70"/>
      <c r="G764" s="69"/>
      <c r="H764" s="70"/>
      <c r="I764" s="70"/>
      <c r="J764" s="71"/>
      <c r="K764" s="72"/>
      <c r="L764" s="70"/>
      <c r="M764" s="70"/>
      <c r="N764" s="82"/>
      <c r="O764" s="70"/>
      <c r="P764" s="70"/>
      <c r="Q764" s="70"/>
      <c r="R764" s="71"/>
      <c r="S764" s="72"/>
      <c r="T764" s="70"/>
      <c r="U764" s="70"/>
      <c r="V764" s="71"/>
      <c r="W764" s="70"/>
      <c r="X764" s="70"/>
      <c r="Y764" s="70"/>
      <c r="Z764" s="70"/>
      <c r="AA764" s="70"/>
      <c r="AB764" s="70"/>
      <c r="AC764" s="70"/>
      <c r="AD764" s="70"/>
      <c r="AE764" s="70"/>
      <c r="AF764" s="70"/>
      <c r="AG764" s="70"/>
      <c r="AH764" s="70"/>
      <c r="AI764" s="70"/>
      <c r="AJ764" s="70"/>
      <c r="AK764" s="70"/>
      <c r="AL764" s="70"/>
      <c r="AM764" s="70"/>
      <c r="AN764" s="70"/>
      <c r="AO764" s="70"/>
    </row>
    <row r="765">
      <c r="A765" s="70"/>
      <c r="B765" s="70"/>
      <c r="C765" s="70"/>
      <c r="D765" s="71"/>
      <c r="E765" s="72"/>
      <c r="F765" s="70"/>
      <c r="G765" s="69"/>
      <c r="H765" s="70"/>
      <c r="I765" s="70"/>
      <c r="J765" s="71"/>
      <c r="K765" s="72"/>
      <c r="L765" s="70"/>
      <c r="M765" s="70"/>
      <c r="N765" s="82"/>
      <c r="O765" s="70"/>
      <c r="P765" s="70"/>
      <c r="Q765" s="70"/>
      <c r="R765" s="71"/>
      <c r="S765" s="72"/>
      <c r="T765" s="70"/>
      <c r="U765" s="70"/>
      <c r="V765" s="71"/>
      <c r="W765" s="70"/>
      <c r="X765" s="70"/>
      <c r="Y765" s="70"/>
      <c r="Z765" s="70"/>
      <c r="AA765" s="70"/>
      <c r="AB765" s="70"/>
      <c r="AC765" s="70"/>
      <c r="AD765" s="70"/>
      <c r="AE765" s="70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</row>
    <row r="766">
      <c r="A766" s="70"/>
      <c r="B766" s="70"/>
      <c r="C766" s="70"/>
      <c r="D766" s="71"/>
      <c r="E766" s="72"/>
      <c r="F766" s="70"/>
      <c r="G766" s="69"/>
      <c r="H766" s="70"/>
      <c r="I766" s="70"/>
      <c r="J766" s="71"/>
      <c r="K766" s="72"/>
      <c r="L766" s="70"/>
      <c r="M766" s="70"/>
      <c r="N766" s="82"/>
      <c r="O766" s="70"/>
      <c r="P766" s="70"/>
      <c r="Q766" s="70"/>
      <c r="R766" s="71"/>
      <c r="S766" s="72"/>
      <c r="T766" s="70"/>
      <c r="U766" s="70"/>
      <c r="V766" s="71"/>
      <c r="W766" s="70"/>
      <c r="X766" s="70"/>
      <c r="Y766" s="70"/>
      <c r="Z766" s="70"/>
      <c r="AA766" s="70"/>
      <c r="AB766" s="70"/>
      <c r="AC766" s="70"/>
      <c r="AD766" s="70"/>
      <c r="AE766" s="70"/>
      <c r="AF766" s="70"/>
      <c r="AG766" s="70"/>
      <c r="AH766" s="70"/>
      <c r="AI766" s="70"/>
      <c r="AJ766" s="70"/>
      <c r="AK766" s="70"/>
      <c r="AL766" s="70"/>
      <c r="AM766" s="70"/>
      <c r="AN766" s="70"/>
      <c r="AO766" s="70"/>
    </row>
    <row r="767">
      <c r="A767" s="70"/>
      <c r="B767" s="70"/>
      <c r="C767" s="70"/>
      <c r="D767" s="71"/>
      <c r="E767" s="72"/>
      <c r="F767" s="70"/>
      <c r="G767" s="69"/>
      <c r="H767" s="70"/>
      <c r="I767" s="70"/>
      <c r="J767" s="71"/>
      <c r="K767" s="72"/>
      <c r="L767" s="70"/>
      <c r="M767" s="70"/>
      <c r="N767" s="82"/>
      <c r="O767" s="70"/>
      <c r="P767" s="70"/>
      <c r="Q767" s="70"/>
      <c r="R767" s="71"/>
      <c r="S767" s="72"/>
      <c r="T767" s="70"/>
      <c r="U767" s="70"/>
      <c r="V767" s="71"/>
      <c r="W767" s="70"/>
      <c r="X767" s="70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</row>
    <row r="768">
      <c r="A768" s="70"/>
      <c r="B768" s="70"/>
      <c r="C768" s="70"/>
      <c r="D768" s="71"/>
      <c r="E768" s="72"/>
      <c r="F768" s="70"/>
      <c r="G768" s="69"/>
      <c r="H768" s="70"/>
      <c r="I768" s="70"/>
      <c r="J768" s="71"/>
      <c r="K768" s="72"/>
      <c r="L768" s="70"/>
      <c r="M768" s="70"/>
      <c r="N768" s="82"/>
      <c r="O768" s="70"/>
      <c r="P768" s="70"/>
      <c r="Q768" s="70"/>
      <c r="R768" s="71"/>
      <c r="S768" s="72"/>
      <c r="T768" s="70"/>
      <c r="U768" s="70"/>
      <c r="V768" s="71"/>
      <c r="W768" s="70"/>
      <c r="X768" s="70"/>
      <c r="Y768" s="70"/>
      <c r="Z768" s="70"/>
      <c r="AA768" s="70"/>
      <c r="AB768" s="70"/>
      <c r="AC768" s="70"/>
      <c r="AD768" s="70"/>
      <c r="AE768" s="70"/>
      <c r="AF768" s="70"/>
      <c r="AG768" s="70"/>
      <c r="AH768" s="70"/>
      <c r="AI768" s="70"/>
      <c r="AJ768" s="70"/>
      <c r="AK768" s="70"/>
      <c r="AL768" s="70"/>
      <c r="AM768" s="70"/>
      <c r="AN768" s="70"/>
      <c r="AO768" s="70"/>
    </row>
    <row r="769">
      <c r="A769" s="70"/>
      <c r="B769" s="70"/>
      <c r="C769" s="70"/>
      <c r="D769" s="71"/>
      <c r="E769" s="72"/>
      <c r="F769" s="70"/>
      <c r="G769" s="69"/>
      <c r="H769" s="70"/>
      <c r="I769" s="70"/>
      <c r="J769" s="71"/>
      <c r="K769" s="72"/>
      <c r="L769" s="70"/>
      <c r="M769" s="70"/>
      <c r="N769" s="82"/>
      <c r="O769" s="70"/>
      <c r="P769" s="70"/>
      <c r="Q769" s="70"/>
      <c r="R769" s="71"/>
      <c r="S769" s="72"/>
      <c r="T769" s="70"/>
      <c r="U769" s="70"/>
      <c r="V769" s="71"/>
      <c r="W769" s="70"/>
      <c r="X769" s="70"/>
      <c r="Y769" s="70"/>
      <c r="Z769" s="70"/>
      <c r="AA769" s="70"/>
      <c r="AB769" s="70"/>
      <c r="AC769" s="70"/>
      <c r="AD769" s="70"/>
      <c r="AE769" s="70"/>
      <c r="AF769" s="70"/>
      <c r="AG769" s="70"/>
      <c r="AH769" s="70"/>
      <c r="AI769" s="70"/>
      <c r="AJ769" s="70"/>
      <c r="AK769" s="70"/>
      <c r="AL769" s="70"/>
      <c r="AM769" s="70"/>
      <c r="AN769" s="70"/>
      <c r="AO769" s="70"/>
    </row>
    <row r="770">
      <c r="A770" s="70"/>
      <c r="B770" s="70"/>
      <c r="C770" s="70"/>
      <c r="D770" s="71"/>
      <c r="E770" s="72"/>
      <c r="F770" s="70"/>
      <c r="G770" s="69"/>
      <c r="H770" s="70"/>
      <c r="I770" s="70"/>
      <c r="J770" s="71"/>
      <c r="K770" s="72"/>
      <c r="L770" s="70"/>
      <c r="M770" s="70"/>
      <c r="N770" s="82"/>
      <c r="O770" s="70"/>
      <c r="P770" s="70"/>
      <c r="Q770" s="70"/>
      <c r="R770" s="71"/>
      <c r="S770" s="72"/>
      <c r="T770" s="70"/>
      <c r="U770" s="70"/>
      <c r="V770" s="71"/>
      <c r="W770" s="70"/>
      <c r="X770" s="70"/>
      <c r="Y770" s="70"/>
      <c r="Z770" s="70"/>
      <c r="AA770" s="70"/>
      <c r="AB770" s="70"/>
      <c r="AC770" s="70"/>
      <c r="AD770" s="70"/>
      <c r="AE770" s="70"/>
      <c r="AF770" s="70"/>
      <c r="AG770" s="70"/>
      <c r="AH770" s="70"/>
      <c r="AI770" s="70"/>
      <c r="AJ770" s="70"/>
      <c r="AK770" s="70"/>
      <c r="AL770" s="70"/>
      <c r="AM770" s="70"/>
      <c r="AN770" s="70"/>
      <c r="AO770" s="70"/>
    </row>
    <row r="771">
      <c r="A771" s="70"/>
      <c r="B771" s="70"/>
      <c r="C771" s="70"/>
      <c r="D771" s="71"/>
      <c r="E771" s="72"/>
      <c r="F771" s="70"/>
      <c r="G771" s="69"/>
      <c r="H771" s="70"/>
      <c r="I771" s="70"/>
      <c r="J771" s="71"/>
      <c r="K771" s="72"/>
      <c r="L771" s="70"/>
      <c r="M771" s="70"/>
      <c r="N771" s="82"/>
      <c r="O771" s="70"/>
      <c r="P771" s="70"/>
      <c r="Q771" s="70"/>
      <c r="R771" s="71"/>
      <c r="S771" s="72"/>
      <c r="T771" s="70"/>
      <c r="U771" s="70"/>
      <c r="V771" s="71"/>
      <c r="W771" s="70"/>
      <c r="X771" s="70"/>
      <c r="Y771" s="70"/>
      <c r="Z771" s="70"/>
      <c r="AA771" s="70"/>
      <c r="AB771" s="70"/>
      <c r="AC771" s="70"/>
      <c r="AD771" s="70"/>
      <c r="AE771" s="70"/>
      <c r="AF771" s="70"/>
      <c r="AG771" s="70"/>
      <c r="AH771" s="70"/>
      <c r="AI771" s="70"/>
      <c r="AJ771" s="70"/>
      <c r="AK771" s="70"/>
      <c r="AL771" s="70"/>
      <c r="AM771" s="70"/>
      <c r="AN771" s="70"/>
      <c r="AO771" s="70"/>
    </row>
    <row r="772">
      <c r="A772" s="70"/>
      <c r="B772" s="70"/>
      <c r="C772" s="70"/>
      <c r="D772" s="71"/>
      <c r="E772" s="72"/>
      <c r="F772" s="70"/>
      <c r="G772" s="69"/>
      <c r="H772" s="70"/>
      <c r="I772" s="70"/>
      <c r="J772" s="71"/>
      <c r="K772" s="72"/>
      <c r="L772" s="70"/>
      <c r="M772" s="70"/>
      <c r="N772" s="82"/>
      <c r="O772" s="70"/>
      <c r="P772" s="70"/>
      <c r="Q772" s="70"/>
      <c r="R772" s="71"/>
      <c r="S772" s="72"/>
      <c r="T772" s="70"/>
      <c r="U772" s="70"/>
      <c r="V772" s="71"/>
      <c r="W772" s="70"/>
      <c r="X772" s="70"/>
      <c r="Y772" s="70"/>
      <c r="Z772" s="70"/>
      <c r="AA772" s="70"/>
      <c r="AB772" s="70"/>
      <c r="AC772" s="70"/>
      <c r="AD772" s="70"/>
      <c r="AE772" s="70"/>
      <c r="AF772" s="70"/>
      <c r="AG772" s="70"/>
      <c r="AH772" s="70"/>
      <c r="AI772" s="70"/>
      <c r="AJ772" s="70"/>
      <c r="AK772" s="70"/>
      <c r="AL772" s="70"/>
      <c r="AM772" s="70"/>
      <c r="AN772" s="70"/>
      <c r="AO772" s="70"/>
    </row>
    <row r="773">
      <c r="A773" s="70"/>
      <c r="B773" s="70"/>
      <c r="C773" s="70"/>
      <c r="D773" s="71"/>
      <c r="E773" s="72"/>
      <c r="F773" s="70"/>
      <c r="G773" s="69"/>
      <c r="H773" s="70"/>
      <c r="I773" s="70"/>
      <c r="J773" s="71"/>
      <c r="K773" s="72"/>
      <c r="L773" s="70"/>
      <c r="M773" s="70"/>
      <c r="N773" s="82"/>
      <c r="O773" s="70"/>
      <c r="P773" s="70"/>
      <c r="Q773" s="70"/>
      <c r="R773" s="71"/>
      <c r="S773" s="72"/>
      <c r="T773" s="70"/>
      <c r="U773" s="70"/>
      <c r="V773" s="71"/>
      <c r="W773" s="70"/>
      <c r="X773" s="70"/>
      <c r="Y773" s="70"/>
      <c r="Z773" s="70"/>
      <c r="AA773" s="70"/>
      <c r="AB773" s="70"/>
      <c r="AC773" s="70"/>
      <c r="AD773" s="70"/>
      <c r="AE773" s="70"/>
      <c r="AF773" s="70"/>
      <c r="AG773" s="70"/>
      <c r="AH773" s="70"/>
      <c r="AI773" s="70"/>
      <c r="AJ773" s="70"/>
      <c r="AK773" s="70"/>
      <c r="AL773" s="70"/>
      <c r="AM773" s="70"/>
      <c r="AN773" s="70"/>
      <c r="AO773" s="70"/>
    </row>
    <row r="774">
      <c r="A774" s="70"/>
      <c r="B774" s="70"/>
      <c r="C774" s="70"/>
      <c r="D774" s="71"/>
      <c r="E774" s="72"/>
      <c r="F774" s="70"/>
      <c r="G774" s="69"/>
      <c r="H774" s="70"/>
      <c r="I774" s="70"/>
      <c r="J774" s="71"/>
      <c r="K774" s="72"/>
      <c r="L774" s="70"/>
      <c r="M774" s="70"/>
      <c r="N774" s="82"/>
      <c r="O774" s="70"/>
      <c r="P774" s="70"/>
      <c r="Q774" s="70"/>
      <c r="R774" s="71"/>
      <c r="S774" s="72"/>
      <c r="T774" s="70"/>
      <c r="U774" s="70"/>
      <c r="V774" s="71"/>
      <c r="W774" s="70"/>
      <c r="X774" s="70"/>
      <c r="Y774" s="70"/>
      <c r="Z774" s="70"/>
      <c r="AA774" s="70"/>
      <c r="AB774" s="70"/>
      <c r="AC774" s="70"/>
      <c r="AD774" s="70"/>
      <c r="AE774" s="70"/>
      <c r="AF774" s="70"/>
      <c r="AG774" s="70"/>
      <c r="AH774" s="70"/>
      <c r="AI774" s="70"/>
      <c r="AJ774" s="70"/>
      <c r="AK774" s="70"/>
      <c r="AL774" s="70"/>
      <c r="AM774" s="70"/>
      <c r="AN774" s="70"/>
      <c r="AO774" s="70"/>
    </row>
    <row r="775">
      <c r="A775" s="70"/>
      <c r="B775" s="70"/>
      <c r="C775" s="70"/>
      <c r="D775" s="71"/>
      <c r="E775" s="72"/>
      <c r="F775" s="70"/>
      <c r="G775" s="69"/>
      <c r="H775" s="70"/>
      <c r="I775" s="70"/>
      <c r="J775" s="71"/>
      <c r="K775" s="72"/>
      <c r="L775" s="70"/>
      <c r="M775" s="70"/>
      <c r="N775" s="82"/>
      <c r="O775" s="70"/>
      <c r="P775" s="70"/>
      <c r="Q775" s="70"/>
      <c r="R775" s="71"/>
      <c r="S775" s="72"/>
      <c r="T775" s="70"/>
      <c r="U775" s="70"/>
      <c r="V775" s="71"/>
      <c r="W775" s="70"/>
      <c r="X775" s="70"/>
      <c r="Y775" s="70"/>
      <c r="Z775" s="70"/>
      <c r="AA775" s="70"/>
      <c r="AB775" s="70"/>
      <c r="AC775" s="70"/>
      <c r="AD775" s="70"/>
      <c r="AE775" s="70"/>
      <c r="AF775" s="70"/>
      <c r="AG775" s="70"/>
      <c r="AH775" s="70"/>
      <c r="AI775" s="70"/>
      <c r="AJ775" s="70"/>
      <c r="AK775" s="70"/>
      <c r="AL775" s="70"/>
      <c r="AM775" s="70"/>
      <c r="AN775" s="70"/>
      <c r="AO775" s="70"/>
    </row>
    <row r="776">
      <c r="A776" s="70"/>
      <c r="B776" s="70"/>
      <c r="C776" s="70"/>
      <c r="D776" s="71"/>
      <c r="E776" s="72"/>
      <c r="F776" s="70"/>
      <c r="G776" s="69"/>
      <c r="H776" s="70"/>
      <c r="I776" s="70"/>
      <c r="J776" s="71"/>
      <c r="K776" s="72"/>
      <c r="L776" s="70"/>
      <c r="M776" s="70"/>
      <c r="N776" s="82"/>
      <c r="O776" s="70"/>
      <c r="P776" s="70"/>
      <c r="Q776" s="70"/>
      <c r="R776" s="71"/>
      <c r="S776" s="72"/>
      <c r="T776" s="70"/>
      <c r="U776" s="70"/>
      <c r="V776" s="71"/>
      <c r="W776" s="70"/>
      <c r="X776" s="70"/>
      <c r="Y776" s="70"/>
      <c r="Z776" s="70"/>
      <c r="AA776" s="70"/>
      <c r="AB776" s="70"/>
      <c r="AC776" s="70"/>
      <c r="AD776" s="70"/>
      <c r="AE776" s="70"/>
      <c r="AF776" s="70"/>
      <c r="AG776" s="70"/>
      <c r="AH776" s="70"/>
      <c r="AI776" s="70"/>
      <c r="AJ776" s="70"/>
      <c r="AK776" s="70"/>
      <c r="AL776" s="70"/>
      <c r="AM776" s="70"/>
      <c r="AN776" s="70"/>
      <c r="AO776" s="70"/>
    </row>
    <row r="777">
      <c r="A777" s="70"/>
      <c r="B777" s="70"/>
      <c r="C777" s="70"/>
      <c r="D777" s="71"/>
      <c r="E777" s="72"/>
      <c r="F777" s="70"/>
      <c r="G777" s="69"/>
      <c r="H777" s="70"/>
      <c r="I777" s="70"/>
      <c r="J777" s="71"/>
      <c r="K777" s="72"/>
      <c r="L777" s="70"/>
      <c r="M777" s="70"/>
      <c r="N777" s="82"/>
      <c r="O777" s="70"/>
      <c r="P777" s="70"/>
      <c r="Q777" s="70"/>
      <c r="R777" s="71"/>
      <c r="S777" s="72"/>
      <c r="T777" s="70"/>
      <c r="U777" s="70"/>
      <c r="V777" s="71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</row>
    <row r="778">
      <c r="A778" s="70"/>
      <c r="B778" s="70"/>
      <c r="C778" s="70"/>
      <c r="D778" s="71"/>
      <c r="E778" s="72"/>
      <c r="F778" s="70"/>
      <c r="G778" s="69"/>
      <c r="H778" s="70"/>
      <c r="I778" s="70"/>
      <c r="J778" s="71"/>
      <c r="K778" s="72"/>
      <c r="L778" s="70"/>
      <c r="M778" s="70"/>
      <c r="N778" s="82"/>
      <c r="O778" s="70"/>
      <c r="P778" s="70"/>
      <c r="Q778" s="70"/>
      <c r="R778" s="71"/>
      <c r="S778" s="72"/>
      <c r="T778" s="70"/>
      <c r="U778" s="70"/>
      <c r="V778" s="71"/>
      <c r="W778" s="70"/>
      <c r="X778" s="70"/>
      <c r="Y778" s="70"/>
      <c r="Z778" s="70"/>
      <c r="AA778" s="70"/>
      <c r="AB778" s="70"/>
      <c r="AC778" s="70"/>
      <c r="AD778" s="70"/>
      <c r="AE778" s="70"/>
      <c r="AF778" s="70"/>
      <c r="AG778" s="70"/>
      <c r="AH778" s="70"/>
      <c r="AI778" s="70"/>
      <c r="AJ778" s="70"/>
      <c r="AK778" s="70"/>
      <c r="AL778" s="70"/>
      <c r="AM778" s="70"/>
      <c r="AN778" s="70"/>
      <c r="AO778" s="70"/>
    </row>
    <row r="779">
      <c r="A779" s="70"/>
      <c r="B779" s="70"/>
      <c r="C779" s="70"/>
      <c r="D779" s="71"/>
      <c r="E779" s="72"/>
      <c r="F779" s="70"/>
      <c r="G779" s="69"/>
      <c r="H779" s="70"/>
      <c r="I779" s="70"/>
      <c r="J779" s="71"/>
      <c r="K779" s="72"/>
      <c r="L779" s="70"/>
      <c r="M779" s="70"/>
      <c r="N779" s="82"/>
      <c r="O779" s="70"/>
      <c r="P779" s="70"/>
      <c r="Q779" s="70"/>
      <c r="R779" s="71"/>
      <c r="S779" s="72"/>
      <c r="T779" s="70"/>
      <c r="U779" s="70"/>
      <c r="V779" s="71"/>
      <c r="W779" s="70"/>
      <c r="X779" s="70"/>
      <c r="Y779" s="70"/>
      <c r="Z779" s="70"/>
      <c r="AA779" s="70"/>
      <c r="AB779" s="70"/>
      <c r="AC779" s="70"/>
      <c r="AD779" s="70"/>
      <c r="AE779" s="70"/>
      <c r="AF779" s="70"/>
      <c r="AG779" s="70"/>
      <c r="AH779" s="70"/>
      <c r="AI779" s="70"/>
      <c r="AJ779" s="70"/>
      <c r="AK779" s="70"/>
      <c r="AL779" s="70"/>
      <c r="AM779" s="70"/>
      <c r="AN779" s="70"/>
      <c r="AO779" s="70"/>
    </row>
    <row r="780">
      <c r="A780" s="70"/>
      <c r="B780" s="70"/>
      <c r="C780" s="70"/>
      <c r="D780" s="71"/>
      <c r="E780" s="72"/>
      <c r="F780" s="70"/>
      <c r="G780" s="69"/>
      <c r="H780" s="70"/>
      <c r="I780" s="70"/>
      <c r="J780" s="71"/>
      <c r="K780" s="72"/>
      <c r="L780" s="70"/>
      <c r="M780" s="70"/>
      <c r="N780" s="82"/>
      <c r="O780" s="70"/>
      <c r="P780" s="70"/>
      <c r="Q780" s="70"/>
      <c r="R780" s="71"/>
      <c r="S780" s="72"/>
      <c r="T780" s="70"/>
      <c r="U780" s="70"/>
      <c r="V780" s="71"/>
      <c r="W780" s="70"/>
      <c r="X780" s="70"/>
      <c r="Y780" s="70"/>
      <c r="Z780" s="70"/>
      <c r="AA780" s="70"/>
      <c r="AB780" s="70"/>
      <c r="AC780" s="70"/>
      <c r="AD780" s="70"/>
      <c r="AE780" s="70"/>
      <c r="AF780" s="70"/>
      <c r="AG780" s="70"/>
      <c r="AH780" s="70"/>
      <c r="AI780" s="70"/>
      <c r="AJ780" s="70"/>
      <c r="AK780" s="70"/>
      <c r="AL780" s="70"/>
      <c r="AM780" s="70"/>
      <c r="AN780" s="70"/>
      <c r="AO780" s="70"/>
    </row>
    <row r="781">
      <c r="A781" s="70"/>
      <c r="B781" s="70"/>
      <c r="C781" s="70"/>
      <c r="D781" s="71"/>
      <c r="E781" s="72"/>
      <c r="F781" s="70"/>
      <c r="G781" s="69"/>
      <c r="H781" s="70"/>
      <c r="I781" s="70"/>
      <c r="J781" s="71"/>
      <c r="K781" s="72"/>
      <c r="L781" s="70"/>
      <c r="M781" s="70"/>
      <c r="N781" s="82"/>
      <c r="O781" s="70"/>
      <c r="P781" s="70"/>
      <c r="Q781" s="70"/>
      <c r="R781" s="71"/>
      <c r="S781" s="72"/>
      <c r="T781" s="70"/>
      <c r="U781" s="70"/>
      <c r="V781" s="71"/>
      <c r="W781" s="70"/>
      <c r="X781" s="70"/>
      <c r="Y781" s="70"/>
      <c r="Z781" s="70"/>
      <c r="AA781" s="70"/>
      <c r="AB781" s="70"/>
      <c r="AC781" s="70"/>
      <c r="AD781" s="70"/>
      <c r="AE781" s="70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</row>
    <row r="782">
      <c r="A782" s="70"/>
      <c r="B782" s="70"/>
      <c r="C782" s="70"/>
      <c r="D782" s="71"/>
      <c r="E782" s="72"/>
      <c r="F782" s="70"/>
      <c r="G782" s="69"/>
      <c r="H782" s="70"/>
      <c r="I782" s="70"/>
      <c r="J782" s="71"/>
      <c r="K782" s="72"/>
      <c r="L782" s="70"/>
      <c r="M782" s="70"/>
      <c r="N782" s="82"/>
      <c r="O782" s="70"/>
      <c r="P782" s="70"/>
      <c r="Q782" s="70"/>
      <c r="R782" s="71"/>
      <c r="S782" s="72"/>
      <c r="T782" s="70"/>
      <c r="U782" s="70"/>
      <c r="V782" s="71"/>
      <c r="W782" s="70"/>
      <c r="X782" s="70"/>
      <c r="Y782" s="70"/>
      <c r="Z782" s="70"/>
      <c r="AA782" s="70"/>
      <c r="AB782" s="70"/>
      <c r="AC782" s="70"/>
      <c r="AD782" s="70"/>
      <c r="AE782" s="70"/>
      <c r="AF782" s="70"/>
      <c r="AG782" s="70"/>
      <c r="AH782" s="70"/>
      <c r="AI782" s="70"/>
      <c r="AJ782" s="70"/>
      <c r="AK782" s="70"/>
      <c r="AL782" s="70"/>
      <c r="AM782" s="70"/>
      <c r="AN782" s="70"/>
      <c r="AO782" s="70"/>
    </row>
    <row r="783">
      <c r="A783" s="70"/>
      <c r="B783" s="70"/>
      <c r="C783" s="70"/>
      <c r="D783" s="71"/>
      <c r="E783" s="72"/>
      <c r="F783" s="70"/>
      <c r="G783" s="69"/>
      <c r="H783" s="70"/>
      <c r="I783" s="70"/>
      <c r="J783" s="71"/>
      <c r="K783" s="72"/>
      <c r="L783" s="70"/>
      <c r="M783" s="70"/>
      <c r="N783" s="82"/>
      <c r="O783" s="70"/>
      <c r="P783" s="70"/>
      <c r="Q783" s="70"/>
      <c r="R783" s="71"/>
      <c r="S783" s="72"/>
      <c r="T783" s="70"/>
      <c r="U783" s="70"/>
      <c r="V783" s="71"/>
      <c r="W783" s="70"/>
      <c r="X783" s="70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</row>
    <row r="784">
      <c r="A784" s="70"/>
      <c r="B784" s="70"/>
      <c r="C784" s="70"/>
      <c r="D784" s="71"/>
      <c r="E784" s="72"/>
      <c r="F784" s="70"/>
      <c r="G784" s="69"/>
      <c r="H784" s="70"/>
      <c r="I784" s="70"/>
      <c r="J784" s="71"/>
      <c r="K784" s="72"/>
      <c r="L784" s="70"/>
      <c r="M784" s="70"/>
      <c r="N784" s="82"/>
      <c r="O784" s="70"/>
      <c r="P784" s="70"/>
      <c r="Q784" s="70"/>
      <c r="R784" s="71"/>
      <c r="S784" s="72"/>
      <c r="T784" s="70"/>
      <c r="U784" s="70"/>
      <c r="V784" s="71"/>
      <c r="W784" s="70"/>
      <c r="X784" s="70"/>
      <c r="Y784" s="70"/>
      <c r="Z784" s="70"/>
      <c r="AA784" s="70"/>
      <c r="AB784" s="70"/>
      <c r="AC784" s="70"/>
      <c r="AD784" s="70"/>
      <c r="AE784" s="70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</row>
    <row r="785">
      <c r="A785" s="70"/>
      <c r="B785" s="70"/>
      <c r="C785" s="70"/>
      <c r="D785" s="71"/>
      <c r="E785" s="72"/>
      <c r="F785" s="70"/>
      <c r="G785" s="69"/>
      <c r="H785" s="70"/>
      <c r="I785" s="70"/>
      <c r="J785" s="71"/>
      <c r="K785" s="72"/>
      <c r="L785" s="70"/>
      <c r="M785" s="70"/>
      <c r="N785" s="82"/>
      <c r="O785" s="70"/>
      <c r="P785" s="70"/>
      <c r="Q785" s="70"/>
      <c r="R785" s="71"/>
      <c r="S785" s="72"/>
      <c r="T785" s="70"/>
      <c r="U785" s="70"/>
      <c r="V785" s="71"/>
      <c r="W785" s="70"/>
      <c r="X785" s="70"/>
      <c r="Y785" s="70"/>
      <c r="Z785" s="70"/>
      <c r="AA785" s="70"/>
      <c r="AB785" s="70"/>
      <c r="AC785" s="70"/>
      <c r="AD785" s="70"/>
      <c r="AE785" s="70"/>
      <c r="AF785" s="70"/>
      <c r="AG785" s="70"/>
      <c r="AH785" s="70"/>
      <c r="AI785" s="70"/>
      <c r="AJ785" s="70"/>
      <c r="AK785" s="70"/>
      <c r="AL785" s="70"/>
      <c r="AM785" s="70"/>
      <c r="AN785" s="70"/>
      <c r="AO785" s="70"/>
    </row>
    <row r="786">
      <c r="A786" s="70"/>
      <c r="B786" s="70"/>
      <c r="C786" s="70"/>
      <c r="D786" s="71"/>
      <c r="E786" s="72"/>
      <c r="F786" s="70"/>
      <c r="G786" s="69"/>
      <c r="H786" s="70"/>
      <c r="I786" s="70"/>
      <c r="J786" s="71"/>
      <c r="K786" s="72"/>
      <c r="L786" s="70"/>
      <c r="M786" s="70"/>
      <c r="N786" s="82"/>
      <c r="O786" s="70"/>
      <c r="P786" s="70"/>
      <c r="Q786" s="70"/>
      <c r="R786" s="71"/>
      <c r="S786" s="72"/>
      <c r="T786" s="70"/>
      <c r="U786" s="70"/>
      <c r="V786" s="71"/>
      <c r="W786" s="70"/>
      <c r="X786" s="70"/>
      <c r="Y786" s="70"/>
      <c r="Z786" s="70"/>
      <c r="AA786" s="70"/>
      <c r="AB786" s="70"/>
      <c r="AC786" s="70"/>
      <c r="AD786" s="70"/>
      <c r="AE786" s="70"/>
      <c r="AF786" s="70"/>
      <c r="AG786" s="70"/>
      <c r="AH786" s="70"/>
      <c r="AI786" s="70"/>
      <c r="AJ786" s="70"/>
      <c r="AK786" s="70"/>
      <c r="AL786" s="70"/>
      <c r="AM786" s="70"/>
      <c r="AN786" s="70"/>
      <c r="AO786" s="70"/>
    </row>
    <row r="787">
      <c r="A787" s="70"/>
      <c r="B787" s="70"/>
      <c r="C787" s="70"/>
      <c r="D787" s="71"/>
      <c r="E787" s="72"/>
      <c r="F787" s="70"/>
      <c r="G787" s="69"/>
      <c r="H787" s="70"/>
      <c r="I787" s="70"/>
      <c r="J787" s="71"/>
      <c r="K787" s="72"/>
      <c r="L787" s="70"/>
      <c r="M787" s="70"/>
      <c r="N787" s="82"/>
      <c r="O787" s="70"/>
      <c r="P787" s="70"/>
      <c r="Q787" s="70"/>
      <c r="R787" s="71"/>
      <c r="S787" s="72"/>
      <c r="T787" s="70"/>
      <c r="U787" s="70"/>
      <c r="V787" s="71"/>
      <c r="W787" s="70"/>
      <c r="X787" s="70"/>
      <c r="Y787" s="70"/>
      <c r="Z787" s="70"/>
      <c r="AA787" s="70"/>
      <c r="AB787" s="70"/>
      <c r="AC787" s="70"/>
      <c r="AD787" s="70"/>
      <c r="AE787" s="70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</row>
    <row r="788">
      <c r="A788" s="70"/>
      <c r="B788" s="70"/>
      <c r="C788" s="70"/>
      <c r="D788" s="71"/>
      <c r="E788" s="72"/>
      <c r="F788" s="70"/>
      <c r="G788" s="69"/>
      <c r="H788" s="70"/>
      <c r="I788" s="70"/>
      <c r="J788" s="71"/>
      <c r="K788" s="72"/>
      <c r="L788" s="70"/>
      <c r="M788" s="70"/>
      <c r="N788" s="82"/>
      <c r="O788" s="70"/>
      <c r="P788" s="70"/>
      <c r="Q788" s="70"/>
      <c r="R788" s="71"/>
      <c r="S788" s="72"/>
      <c r="T788" s="70"/>
      <c r="U788" s="70"/>
      <c r="V788" s="71"/>
      <c r="W788" s="70"/>
      <c r="X788" s="70"/>
      <c r="Y788" s="70"/>
      <c r="Z788" s="70"/>
      <c r="AA788" s="70"/>
      <c r="AB788" s="70"/>
      <c r="AC788" s="70"/>
      <c r="AD788" s="70"/>
      <c r="AE788" s="70"/>
      <c r="AF788" s="70"/>
      <c r="AG788" s="70"/>
      <c r="AH788" s="70"/>
      <c r="AI788" s="70"/>
      <c r="AJ788" s="70"/>
      <c r="AK788" s="70"/>
      <c r="AL788" s="70"/>
      <c r="AM788" s="70"/>
      <c r="AN788" s="70"/>
      <c r="AO788" s="70"/>
    </row>
    <row r="789">
      <c r="A789" s="70"/>
      <c r="B789" s="70"/>
      <c r="C789" s="70"/>
      <c r="D789" s="71"/>
      <c r="E789" s="72"/>
      <c r="F789" s="70"/>
      <c r="G789" s="69"/>
      <c r="H789" s="70"/>
      <c r="I789" s="70"/>
      <c r="J789" s="71"/>
      <c r="K789" s="72"/>
      <c r="L789" s="70"/>
      <c r="M789" s="70"/>
      <c r="N789" s="82"/>
      <c r="O789" s="70"/>
      <c r="P789" s="70"/>
      <c r="Q789" s="70"/>
      <c r="R789" s="71"/>
      <c r="S789" s="72"/>
      <c r="T789" s="70"/>
      <c r="U789" s="70"/>
      <c r="V789" s="71"/>
      <c r="W789" s="70"/>
      <c r="X789" s="70"/>
      <c r="Y789" s="70"/>
      <c r="Z789" s="70"/>
      <c r="AA789" s="70"/>
      <c r="AB789" s="70"/>
      <c r="AC789" s="70"/>
      <c r="AD789" s="70"/>
      <c r="AE789" s="70"/>
      <c r="AF789" s="70"/>
      <c r="AG789" s="70"/>
      <c r="AH789" s="70"/>
      <c r="AI789" s="70"/>
      <c r="AJ789" s="70"/>
      <c r="AK789" s="70"/>
      <c r="AL789" s="70"/>
      <c r="AM789" s="70"/>
      <c r="AN789" s="70"/>
      <c r="AO789" s="70"/>
    </row>
    <row r="790">
      <c r="A790" s="70"/>
      <c r="B790" s="70"/>
      <c r="C790" s="70"/>
      <c r="D790" s="71"/>
      <c r="E790" s="72"/>
      <c r="F790" s="70"/>
      <c r="G790" s="69"/>
      <c r="H790" s="70"/>
      <c r="I790" s="70"/>
      <c r="J790" s="71"/>
      <c r="K790" s="72"/>
      <c r="L790" s="70"/>
      <c r="M790" s="70"/>
      <c r="N790" s="82"/>
      <c r="O790" s="70"/>
      <c r="P790" s="70"/>
      <c r="Q790" s="70"/>
      <c r="R790" s="71"/>
      <c r="S790" s="72"/>
      <c r="T790" s="70"/>
      <c r="U790" s="70"/>
      <c r="V790" s="71"/>
      <c r="W790" s="70"/>
      <c r="X790" s="70"/>
      <c r="Y790" s="70"/>
      <c r="Z790" s="70"/>
      <c r="AA790" s="70"/>
      <c r="AB790" s="70"/>
      <c r="AC790" s="70"/>
      <c r="AD790" s="70"/>
      <c r="AE790" s="70"/>
      <c r="AF790" s="70"/>
      <c r="AG790" s="70"/>
      <c r="AH790" s="70"/>
      <c r="AI790" s="70"/>
      <c r="AJ790" s="70"/>
      <c r="AK790" s="70"/>
      <c r="AL790" s="70"/>
      <c r="AM790" s="70"/>
      <c r="AN790" s="70"/>
      <c r="AO790" s="70"/>
    </row>
    <row r="791">
      <c r="A791" s="70"/>
      <c r="B791" s="70"/>
      <c r="C791" s="70"/>
      <c r="D791" s="71"/>
      <c r="E791" s="72"/>
      <c r="F791" s="70"/>
      <c r="G791" s="69"/>
      <c r="H791" s="70"/>
      <c r="I791" s="70"/>
      <c r="J791" s="71"/>
      <c r="K791" s="72"/>
      <c r="L791" s="70"/>
      <c r="M791" s="70"/>
      <c r="N791" s="82"/>
      <c r="O791" s="70"/>
      <c r="P791" s="70"/>
      <c r="Q791" s="70"/>
      <c r="R791" s="71"/>
      <c r="S791" s="72"/>
      <c r="T791" s="70"/>
      <c r="U791" s="70"/>
      <c r="V791" s="71"/>
      <c r="W791" s="70"/>
      <c r="X791" s="70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</row>
    <row r="792">
      <c r="A792" s="70"/>
      <c r="B792" s="70"/>
      <c r="C792" s="70"/>
      <c r="D792" s="71"/>
      <c r="E792" s="72"/>
      <c r="F792" s="70"/>
      <c r="G792" s="69"/>
      <c r="H792" s="70"/>
      <c r="I792" s="70"/>
      <c r="J792" s="71"/>
      <c r="K792" s="72"/>
      <c r="L792" s="70"/>
      <c r="M792" s="70"/>
      <c r="N792" s="82"/>
      <c r="O792" s="70"/>
      <c r="P792" s="70"/>
      <c r="Q792" s="70"/>
      <c r="R792" s="71"/>
      <c r="S792" s="72"/>
      <c r="T792" s="70"/>
      <c r="U792" s="70"/>
      <c r="V792" s="71"/>
      <c r="W792" s="70"/>
      <c r="X792" s="70"/>
      <c r="Y792" s="70"/>
      <c r="Z792" s="70"/>
      <c r="AA792" s="70"/>
      <c r="AB792" s="70"/>
      <c r="AC792" s="70"/>
      <c r="AD792" s="70"/>
      <c r="AE792" s="70"/>
      <c r="AF792" s="70"/>
      <c r="AG792" s="70"/>
      <c r="AH792" s="70"/>
      <c r="AI792" s="70"/>
      <c r="AJ792" s="70"/>
      <c r="AK792" s="70"/>
      <c r="AL792" s="70"/>
      <c r="AM792" s="70"/>
      <c r="AN792" s="70"/>
      <c r="AO792" s="70"/>
    </row>
    <row r="793">
      <c r="A793" s="70"/>
      <c r="B793" s="70"/>
      <c r="C793" s="70"/>
      <c r="D793" s="71"/>
      <c r="E793" s="72"/>
      <c r="F793" s="70"/>
      <c r="G793" s="69"/>
      <c r="H793" s="70"/>
      <c r="I793" s="70"/>
      <c r="J793" s="71"/>
      <c r="K793" s="72"/>
      <c r="L793" s="70"/>
      <c r="M793" s="70"/>
      <c r="N793" s="82"/>
      <c r="O793" s="70"/>
      <c r="P793" s="70"/>
      <c r="Q793" s="70"/>
      <c r="R793" s="71"/>
      <c r="S793" s="72"/>
      <c r="T793" s="70"/>
      <c r="U793" s="70"/>
      <c r="V793" s="71"/>
      <c r="W793" s="70"/>
      <c r="X793" s="70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</row>
    <row r="794">
      <c r="A794" s="70"/>
      <c r="B794" s="70"/>
      <c r="C794" s="70"/>
      <c r="D794" s="71"/>
      <c r="E794" s="72"/>
      <c r="F794" s="70"/>
      <c r="G794" s="69"/>
      <c r="H794" s="70"/>
      <c r="I794" s="70"/>
      <c r="J794" s="71"/>
      <c r="K794" s="72"/>
      <c r="L794" s="70"/>
      <c r="M794" s="70"/>
      <c r="N794" s="82"/>
      <c r="O794" s="70"/>
      <c r="P794" s="70"/>
      <c r="Q794" s="70"/>
      <c r="R794" s="71"/>
      <c r="S794" s="72"/>
      <c r="T794" s="70"/>
      <c r="U794" s="70"/>
      <c r="V794" s="71"/>
      <c r="W794" s="70"/>
      <c r="X794" s="70"/>
      <c r="Y794" s="70"/>
      <c r="Z794" s="70"/>
      <c r="AA794" s="70"/>
      <c r="AB794" s="70"/>
      <c r="AC794" s="70"/>
      <c r="AD794" s="70"/>
      <c r="AE794" s="70"/>
      <c r="AF794" s="70"/>
      <c r="AG794" s="70"/>
      <c r="AH794" s="70"/>
      <c r="AI794" s="70"/>
      <c r="AJ794" s="70"/>
      <c r="AK794" s="70"/>
      <c r="AL794" s="70"/>
      <c r="AM794" s="70"/>
      <c r="AN794" s="70"/>
      <c r="AO794" s="70"/>
    </row>
    <row r="795">
      <c r="A795" s="70"/>
      <c r="B795" s="70"/>
      <c r="C795" s="70"/>
      <c r="D795" s="71"/>
      <c r="E795" s="72"/>
      <c r="F795" s="70"/>
      <c r="G795" s="69"/>
      <c r="H795" s="70"/>
      <c r="I795" s="70"/>
      <c r="J795" s="71"/>
      <c r="K795" s="72"/>
      <c r="L795" s="70"/>
      <c r="M795" s="70"/>
      <c r="N795" s="82"/>
      <c r="O795" s="70"/>
      <c r="P795" s="70"/>
      <c r="Q795" s="70"/>
      <c r="R795" s="71"/>
      <c r="S795" s="72"/>
      <c r="T795" s="70"/>
      <c r="U795" s="70"/>
      <c r="V795" s="71"/>
      <c r="W795" s="70"/>
      <c r="X795" s="70"/>
      <c r="Y795" s="70"/>
      <c r="Z795" s="70"/>
      <c r="AA795" s="70"/>
      <c r="AB795" s="70"/>
      <c r="AC795" s="70"/>
      <c r="AD795" s="70"/>
      <c r="AE795" s="70"/>
      <c r="AF795" s="70"/>
      <c r="AG795" s="70"/>
      <c r="AH795" s="70"/>
      <c r="AI795" s="70"/>
      <c r="AJ795" s="70"/>
      <c r="AK795" s="70"/>
      <c r="AL795" s="70"/>
      <c r="AM795" s="70"/>
      <c r="AN795" s="70"/>
      <c r="AO795" s="70"/>
    </row>
    <row r="796">
      <c r="A796" s="70"/>
      <c r="B796" s="70"/>
      <c r="C796" s="70"/>
      <c r="D796" s="71"/>
      <c r="E796" s="72"/>
      <c r="F796" s="70"/>
      <c r="G796" s="69"/>
      <c r="H796" s="70"/>
      <c r="I796" s="70"/>
      <c r="J796" s="71"/>
      <c r="K796" s="72"/>
      <c r="L796" s="70"/>
      <c r="M796" s="70"/>
      <c r="N796" s="82"/>
      <c r="O796" s="70"/>
      <c r="P796" s="70"/>
      <c r="Q796" s="70"/>
      <c r="R796" s="71"/>
      <c r="S796" s="72"/>
      <c r="T796" s="70"/>
      <c r="U796" s="70"/>
      <c r="V796" s="71"/>
      <c r="W796" s="70"/>
      <c r="X796" s="70"/>
      <c r="Y796" s="70"/>
      <c r="Z796" s="70"/>
      <c r="AA796" s="70"/>
      <c r="AB796" s="70"/>
      <c r="AC796" s="70"/>
      <c r="AD796" s="70"/>
      <c r="AE796" s="70"/>
      <c r="AF796" s="70"/>
      <c r="AG796" s="70"/>
      <c r="AH796" s="70"/>
      <c r="AI796" s="70"/>
      <c r="AJ796" s="70"/>
      <c r="AK796" s="70"/>
      <c r="AL796" s="70"/>
      <c r="AM796" s="70"/>
      <c r="AN796" s="70"/>
      <c r="AO796" s="70"/>
    </row>
    <row r="797">
      <c r="A797" s="70"/>
      <c r="B797" s="70"/>
      <c r="C797" s="70"/>
      <c r="D797" s="71"/>
      <c r="E797" s="72"/>
      <c r="F797" s="70"/>
      <c r="G797" s="69"/>
      <c r="H797" s="70"/>
      <c r="I797" s="70"/>
      <c r="J797" s="71"/>
      <c r="K797" s="72"/>
      <c r="L797" s="70"/>
      <c r="M797" s="70"/>
      <c r="N797" s="82"/>
      <c r="O797" s="70"/>
      <c r="P797" s="70"/>
      <c r="Q797" s="70"/>
      <c r="R797" s="71"/>
      <c r="S797" s="72"/>
      <c r="T797" s="70"/>
      <c r="U797" s="70"/>
      <c r="V797" s="71"/>
      <c r="W797" s="70"/>
      <c r="X797" s="70"/>
      <c r="Y797" s="70"/>
      <c r="Z797" s="70"/>
      <c r="AA797" s="70"/>
      <c r="AB797" s="70"/>
      <c r="AC797" s="70"/>
      <c r="AD797" s="70"/>
      <c r="AE797" s="70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</row>
    <row r="798">
      <c r="A798" s="70"/>
      <c r="B798" s="70"/>
      <c r="C798" s="70"/>
      <c r="D798" s="71"/>
      <c r="E798" s="72"/>
      <c r="F798" s="70"/>
      <c r="G798" s="69"/>
      <c r="H798" s="70"/>
      <c r="I798" s="70"/>
      <c r="J798" s="71"/>
      <c r="K798" s="72"/>
      <c r="L798" s="70"/>
      <c r="M798" s="70"/>
      <c r="N798" s="82"/>
      <c r="O798" s="70"/>
      <c r="P798" s="70"/>
      <c r="Q798" s="70"/>
      <c r="R798" s="71"/>
      <c r="S798" s="72"/>
      <c r="T798" s="70"/>
      <c r="U798" s="70"/>
      <c r="V798" s="71"/>
      <c r="W798" s="70"/>
      <c r="X798" s="70"/>
      <c r="Y798" s="70"/>
      <c r="Z798" s="70"/>
      <c r="AA798" s="70"/>
      <c r="AB798" s="70"/>
      <c r="AC798" s="70"/>
      <c r="AD798" s="70"/>
      <c r="AE798" s="70"/>
      <c r="AF798" s="70"/>
      <c r="AG798" s="70"/>
      <c r="AH798" s="70"/>
      <c r="AI798" s="70"/>
      <c r="AJ798" s="70"/>
      <c r="AK798" s="70"/>
      <c r="AL798" s="70"/>
      <c r="AM798" s="70"/>
      <c r="AN798" s="70"/>
      <c r="AO798" s="70"/>
    </row>
    <row r="799">
      <c r="A799" s="70"/>
      <c r="B799" s="70"/>
      <c r="C799" s="70"/>
      <c r="D799" s="71"/>
      <c r="E799" s="72"/>
      <c r="F799" s="70"/>
      <c r="G799" s="69"/>
      <c r="H799" s="70"/>
      <c r="I799" s="70"/>
      <c r="J799" s="71"/>
      <c r="K799" s="72"/>
      <c r="L799" s="70"/>
      <c r="M799" s="70"/>
      <c r="N799" s="82"/>
      <c r="O799" s="70"/>
      <c r="P799" s="70"/>
      <c r="Q799" s="70"/>
      <c r="R799" s="71"/>
      <c r="S799" s="72"/>
      <c r="T799" s="70"/>
      <c r="U799" s="70"/>
      <c r="V799" s="71"/>
      <c r="W799" s="70"/>
      <c r="X799" s="70"/>
      <c r="Y799" s="70"/>
      <c r="Z799" s="70"/>
      <c r="AA799" s="70"/>
      <c r="AB799" s="70"/>
      <c r="AC799" s="70"/>
      <c r="AD799" s="70"/>
      <c r="AE799" s="70"/>
      <c r="AF799" s="70"/>
      <c r="AG799" s="70"/>
      <c r="AH799" s="70"/>
      <c r="AI799" s="70"/>
      <c r="AJ799" s="70"/>
      <c r="AK799" s="70"/>
      <c r="AL799" s="70"/>
      <c r="AM799" s="70"/>
      <c r="AN799" s="70"/>
      <c r="AO799" s="70"/>
    </row>
    <row r="800">
      <c r="A800" s="70"/>
      <c r="B800" s="70"/>
      <c r="C800" s="70"/>
      <c r="D800" s="71"/>
      <c r="E800" s="72"/>
      <c r="F800" s="70"/>
      <c r="G800" s="69"/>
      <c r="H800" s="70"/>
      <c r="I800" s="70"/>
      <c r="J800" s="71"/>
      <c r="K800" s="72"/>
      <c r="L800" s="70"/>
      <c r="M800" s="70"/>
      <c r="N800" s="82"/>
      <c r="O800" s="70"/>
      <c r="P800" s="70"/>
      <c r="Q800" s="70"/>
      <c r="R800" s="71"/>
      <c r="S800" s="72"/>
      <c r="T800" s="70"/>
      <c r="U800" s="70"/>
      <c r="V800" s="71"/>
      <c r="W800" s="70"/>
      <c r="X800" s="70"/>
      <c r="Y800" s="70"/>
      <c r="Z800" s="70"/>
      <c r="AA800" s="70"/>
      <c r="AB800" s="70"/>
      <c r="AC800" s="70"/>
      <c r="AD800" s="70"/>
      <c r="AE800" s="70"/>
      <c r="AF800" s="70"/>
      <c r="AG800" s="70"/>
      <c r="AH800" s="70"/>
      <c r="AI800" s="70"/>
      <c r="AJ800" s="70"/>
      <c r="AK800" s="70"/>
      <c r="AL800" s="70"/>
      <c r="AM800" s="70"/>
      <c r="AN800" s="70"/>
      <c r="AO800" s="70"/>
    </row>
    <row r="801">
      <c r="A801" s="70"/>
      <c r="B801" s="70"/>
      <c r="C801" s="70"/>
      <c r="D801" s="71"/>
      <c r="E801" s="72"/>
      <c r="F801" s="70"/>
      <c r="G801" s="69"/>
      <c r="H801" s="70"/>
      <c r="I801" s="70"/>
      <c r="J801" s="71"/>
      <c r="K801" s="72"/>
      <c r="L801" s="70"/>
      <c r="M801" s="70"/>
      <c r="N801" s="82"/>
      <c r="O801" s="70"/>
      <c r="P801" s="70"/>
      <c r="Q801" s="70"/>
      <c r="R801" s="71"/>
      <c r="S801" s="72"/>
      <c r="T801" s="70"/>
      <c r="U801" s="70"/>
      <c r="V801" s="71"/>
      <c r="W801" s="70"/>
      <c r="X801" s="70"/>
      <c r="Y801" s="70"/>
      <c r="Z801" s="70"/>
      <c r="AA801" s="70"/>
      <c r="AB801" s="70"/>
      <c r="AC801" s="70"/>
      <c r="AD801" s="70"/>
      <c r="AE801" s="70"/>
      <c r="AF801" s="70"/>
      <c r="AG801" s="70"/>
      <c r="AH801" s="70"/>
      <c r="AI801" s="70"/>
      <c r="AJ801" s="70"/>
      <c r="AK801" s="70"/>
      <c r="AL801" s="70"/>
      <c r="AM801" s="70"/>
      <c r="AN801" s="70"/>
      <c r="AO801" s="70"/>
    </row>
    <row r="802">
      <c r="A802" s="70"/>
      <c r="B802" s="70"/>
      <c r="C802" s="70"/>
      <c r="D802" s="71"/>
      <c r="E802" s="72"/>
      <c r="F802" s="70"/>
      <c r="G802" s="69"/>
      <c r="H802" s="70"/>
      <c r="I802" s="70"/>
      <c r="J802" s="71"/>
      <c r="K802" s="72"/>
      <c r="L802" s="70"/>
      <c r="M802" s="70"/>
      <c r="N802" s="82"/>
      <c r="O802" s="70"/>
      <c r="P802" s="70"/>
      <c r="Q802" s="70"/>
      <c r="R802" s="71"/>
      <c r="S802" s="72"/>
      <c r="T802" s="70"/>
      <c r="U802" s="70"/>
      <c r="V802" s="71"/>
      <c r="W802" s="70"/>
      <c r="X802" s="70"/>
      <c r="Y802" s="70"/>
      <c r="Z802" s="70"/>
      <c r="AA802" s="70"/>
      <c r="AB802" s="70"/>
      <c r="AC802" s="70"/>
      <c r="AD802" s="70"/>
      <c r="AE802" s="70"/>
      <c r="AF802" s="70"/>
      <c r="AG802" s="70"/>
      <c r="AH802" s="70"/>
      <c r="AI802" s="70"/>
      <c r="AJ802" s="70"/>
      <c r="AK802" s="70"/>
      <c r="AL802" s="70"/>
      <c r="AM802" s="70"/>
      <c r="AN802" s="70"/>
      <c r="AO802" s="70"/>
    </row>
    <row r="803">
      <c r="A803" s="70"/>
      <c r="B803" s="70"/>
      <c r="C803" s="70"/>
      <c r="D803" s="71"/>
      <c r="E803" s="72"/>
      <c r="F803" s="70"/>
      <c r="G803" s="69"/>
      <c r="H803" s="70"/>
      <c r="I803" s="70"/>
      <c r="J803" s="71"/>
      <c r="K803" s="72"/>
      <c r="L803" s="70"/>
      <c r="M803" s="70"/>
      <c r="N803" s="82"/>
      <c r="O803" s="70"/>
      <c r="P803" s="70"/>
      <c r="Q803" s="70"/>
      <c r="R803" s="71"/>
      <c r="S803" s="72"/>
      <c r="T803" s="70"/>
      <c r="U803" s="70"/>
      <c r="V803" s="71"/>
      <c r="W803" s="70"/>
      <c r="X803" s="70"/>
      <c r="Y803" s="70"/>
      <c r="Z803" s="70"/>
      <c r="AA803" s="70"/>
      <c r="AB803" s="70"/>
      <c r="AC803" s="70"/>
      <c r="AD803" s="70"/>
      <c r="AE803" s="70"/>
      <c r="AF803" s="70"/>
      <c r="AG803" s="70"/>
      <c r="AH803" s="70"/>
      <c r="AI803" s="70"/>
      <c r="AJ803" s="70"/>
      <c r="AK803" s="70"/>
      <c r="AL803" s="70"/>
      <c r="AM803" s="70"/>
      <c r="AN803" s="70"/>
      <c r="AO803" s="70"/>
    </row>
    <row r="804">
      <c r="A804" s="70"/>
      <c r="B804" s="70"/>
      <c r="C804" s="70"/>
      <c r="D804" s="71"/>
      <c r="E804" s="72"/>
      <c r="F804" s="70"/>
      <c r="G804" s="69"/>
      <c r="H804" s="70"/>
      <c r="I804" s="70"/>
      <c r="J804" s="71"/>
      <c r="K804" s="72"/>
      <c r="L804" s="70"/>
      <c r="M804" s="70"/>
      <c r="N804" s="82"/>
      <c r="O804" s="70"/>
      <c r="P804" s="70"/>
      <c r="Q804" s="70"/>
      <c r="R804" s="71"/>
      <c r="S804" s="72"/>
      <c r="T804" s="70"/>
      <c r="U804" s="70"/>
      <c r="V804" s="71"/>
      <c r="W804" s="70"/>
      <c r="X804" s="70"/>
      <c r="Y804" s="70"/>
      <c r="Z804" s="70"/>
      <c r="AA804" s="70"/>
      <c r="AB804" s="70"/>
      <c r="AC804" s="70"/>
      <c r="AD804" s="70"/>
      <c r="AE804" s="70"/>
      <c r="AF804" s="70"/>
      <c r="AG804" s="70"/>
      <c r="AH804" s="70"/>
      <c r="AI804" s="70"/>
      <c r="AJ804" s="70"/>
      <c r="AK804" s="70"/>
      <c r="AL804" s="70"/>
      <c r="AM804" s="70"/>
      <c r="AN804" s="70"/>
      <c r="AO804" s="70"/>
    </row>
    <row r="805">
      <c r="A805" s="70"/>
      <c r="B805" s="70"/>
      <c r="C805" s="70"/>
      <c r="D805" s="71"/>
      <c r="E805" s="72"/>
      <c r="F805" s="70"/>
      <c r="G805" s="69"/>
      <c r="H805" s="70"/>
      <c r="I805" s="70"/>
      <c r="J805" s="71"/>
      <c r="K805" s="72"/>
      <c r="L805" s="70"/>
      <c r="M805" s="70"/>
      <c r="N805" s="82"/>
      <c r="O805" s="70"/>
      <c r="P805" s="70"/>
      <c r="Q805" s="70"/>
      <c r="R805" s="71"/>
      <c r="S805" s="72"/>
      <c r="T805" s="70"/>
      <c r="U805" s="70"/>
      <c r="V805" s="71"/>
      <c r="W805" s="70"/>
      <c r="X805" s="70"/>
      <c r="Y805" s="70"/>
      <c r="Z805" s="70"/>
      <c r="AA805" s="70"/>
      <c r="AB805" s="70"/>
      <c r="AC805" s="70"/>
      <c r="AD805" s="70"/>
      <c r="AE805" s="70"/>
      <c r="AF805" s="70"/>
      <c r="AG805" s="70"/>
      <c r="AH805" s="70"/>
      <c r="AI805" s="70"/>
      <c r="AJ805" s="70"/>
      <c r="AK805" s="70"/>
      <c r="AL805" s="70"/>
      <c r="AM805" s="70"/>
      <c r="AN805" s="70"/>
      <c r="AO805" s="70"/>
    </row>
    <row r="806">
      <c r="A806" s="70"/>
      <c r="B806" s="70"/>
      <c r="C806" s="70"/>
      <c r="D806" s="71"/>
      <c r="E806" s="72"/>
      <c r="F806" s="70"/>
      <c r="G806" s="69"/>
      <c r="H806" s="70"/>
      <c r="I806" s="70"/>
      <c r="J806" s="71"/>
      <c r="K806" s="72"/>
      <c r="L806" s="70"/>
      <c r="M806" s="70"/>
      <c r="N806" s="82"/>
      <c r="O806" s="70"/>
      <c r="P806" s="70"/>
      <c r="Q806" s="70"/>
      <c r="R806" s="71"/>
      <c r="S806" s="72"/>
      <c r="T806" s="70"/>
      <c r="U806" s="70"/>
      <c r="V806" s="71"/>
      <c r="W806" s="70"/>
      <c r="X806" s="70"/>
      <c r="Y806" s="70"/>
      <c r="Z806" s="70"/>
      <c r="AA806" s="70"/>
      <c r="AB806" s="70"/>
      <c r="AC806" s="70"/>
      <c r="AD806" s="70"/>
      <c r="AE806" s="70"/>
      <c r="AF806" s="70"/>
      <c r="AG806" s="70"/>
      <c r="AH806" s="70"/>
      <c r="AI806" s="70"/>
      <c r="AJ806" s="70"/>
      <c r="AK806" s="70"/>
      <c r="AL806" s="70"/>
      <c r="AM806" s="70"/>
      <c r="AN806" s="70"/>
      <c r="AO806" s="70"/>
    </row>
    <row r="807">
      <c r="A807" s="70"/>
      <c r="B807" s="70"/>
      <c r="C807" s="70"/>
      <c r="D807" s="71"/>
      <c r="E807" s="72"/>
      <c r="F807" s="70"/>
      <c r="G807" s="69"/>
      <c r="H807" s="70"/>
      <c r="I807" s="70"/>
      <c r="J807" s="71"/>
      <c r="K807" s="72"/>
      <c r="L807" s="70"/>
      <c r="M807" s="70"/>
      <c r="N807" s="82"/>
      <c r="O807" s="70"/>
      <c r="P807" s="70"/>
      <c r="Q807" s="70"/>
      <c r="R807" s="71"/>
      <c r="S807" s="72"/>
      <c r="T807" s="70"/>
      <c r="U807" s="70"/>
      <c r="V807" s="71"/>
      <c r="W807" s="70"/>
      <c r="X807" s="70"/>
      <c r="Y807" s="70"/>
      <c r="Z807" s="70"/>
      <c r="AA807" s="70"/>
      <c r="AB807" s="70"/>
      <c r="AC807" s="70"/>
      <c r="AD807" s="70"/>
      <c r="AE807" s="70"/>
      <c r="AF807" s="70"/>
      <c r="AG807" s="70"/>
      <c r="AH807" s="70"/>
      <c r="AI807" s="70"/>
      <c r="AJ807" s="70"/>
      <c r="AK807" s="70"/>
      <c r="AL807" s="70"/>
      <c r="AM807" s="70"/>
      <c r="AN807" s="70"/>
      <c r="AO807" s="70"/>
    </row>
    <row r="808">
      <c r="A808" s="70"/>
      <c r="B808" s="70"/>
      <c r="C808" s="70"/>
      <c r="D808" s="71"/>
      <c r="E808" s="72"/>
      <c r="F808" s="70"/>
      <c r="G808" s="69"/>
      <c r="H808" s="70"/>
      <c r="I808" s="70"/>
      <c r="J808" s="71"/>
      <c r="K808" s="72"/>
      <c r="L808" s="70"/>
      <c r="M808" s="70"/>
      <c r="N808" s="82"/>
      <c r="O808" s="70"/>
      <c r="P808" s="70"/>
      <c r="Q808" s="70"/>
      <c r="R808" s="71"/>
      <c r="S808" s="72"/>
      <c r="T808" s="70"/>
      <c r="U808" s="70"/>
      <c r="V808" s="71"/>
      <c r="W808" s="70"/>
      <c r="X808" s="70"/>
      <c r="Y808" s="70"/>
      <c r="Z808" s="70"/>
      <c r="AA808" s="70"/>
      <c r="AB808" s="70"/>
      <c r="AC808" s="70"/>
      <c r="AD808" s="70"/>
      <c r="AE808" s="70"/>
      <c r="AF808" s="70"/>
      <c r="AG808" s="70"/>
      <c r="AH808" s="70"/>
      <c r="AI808" s="70"/>
      <c r="AJ808" s="70"/>
      <c r="AK808" s="70"/>
      <c r="AL808" s="70"/>
      <c r="AM808" s="70"/>
      <c r="AN808" s="70"/>
      <c r="AO808" s="70"/>
    </row>
    <row r="809">
      <c r="A809" s="70"/>
      <c r="B809" s="70"/>
      <c r="C809" s="70"/>
      <c r="D809" s="71"/>
      <c r="E809" s="72"/>
      <c r="F809" s="70"/>
      <c r="G809" s="69"/>
      <c r="H809" s="70"/>
      <c r="I809" s="70"/>
      <c r="J809" s="71"/>
      <c r="K809" s="72"/>
      <c r="L809" s="70"/>
      <c r="M809" s="70"/>
      <c r="N809" s="82"/>
      <c r="O809" s="70"/>
      <c r="P809" s="70"/>
      <c r="Q809" s="70"/>
      <c r="R809" s="71"/>
      <c r="S809" s="72"/>
      <c r="T809" s="70"/>
      <c r="U809" s="70"/>
      <c r="V809" s="71"/>
      <c r="W809" s="70"/>
      <c r="X809" s="70"/>
      <c r="Y809" s="70"/>
      <c r="Z809" s="70"/>
      <c r="AA809" s="70"/>
      <c r="AB809" s="70"/>
      <c r="AC809" s="70"/>
      <c r="AD809" s="70"/>
      <c r="AE809" s="70"/>
      <c r="AF809" s="70"/>
      <c r="AG809" s="70"/>
      <c r="AH809" s="70"/>
      <c r="AI809" s="70"/>
      <c r="AJ809" s="70"/>
      <c r="AK809" s="70"/>
      <c r="AL809" s="70"/>
      <c r="AM809" s="70"/>
      <c r="AN809" s="70"/>
      <c r="AO809" s="70"/>
    </row>
    <row r="810">
      <c r="A810" s="70"/>
      <c r="B810" s="70"/>
      <c r="C810" s="70"/>
      <c r="D810" s="71"/>
      <c r="E810" s="72"/>
      <c r="F810" s="70"/>
      <c r="G810" s="69"/>
      <c r="H810" s="70"/>
      <c r="I810" s="70"/>
      <c r="J810" s="71"/>
      <c r="K810" s="72"/>
      <c r="L810" s="70"/>
      <c r="M810" s="70"/>
      <c r="N810" s="82"/>
      <c r="O810" s="70"/>
      <c r="P810" s="70"/>
      <c r="Q810" s="70"/>
      <c r="R810" s="71"/>
      <c r="S810" s="72"/>
      <c r="T810" s="70"/>
      <c r="U810" s="70"/>
      <c r="V810" s="71"/>
      <c r="W810" s="70"/>
      <c r="X810" s="70"/>
      <c r="Y810" s="70"/>
      <c r="Z810" s="70"/>
      <c r="AA810" s="70"/>
      <c r="AB810" s="70"/>
      <c r="AC810" s="70"/>
      <c r="AD810" s="70"/>
      <c r="AE810" s="70"/>
      <c r="AF810" s="70"/>
      <c r="AG810" s="70"/>
      <c r="AH810" s="70"/>
      <c r="AI810" s="70"/>
      <c r="AJ810" s="70"/>
      <c r="AK810" s="70"/>
      <c r="AL810" s="70"/>
      <c r="AM810" s="70"/>
      <c r="AN810" s="70"/>
      <c r="AO810" s="70"/>
    </row>
    <row r="811">
      <c r="A811" s="70"/>
      <c r="B811" s="70"/>
      <c r="C811" s="70"/>
      <c r="D811" s="71"/>
      <c r="E811" s="72"/>
      <c r="F811" s="70"/>
      <c r="G811" s="69"/>
      <c r="H811" s="70"/>
      <c r="I811" s="70"/>
      <c r="J811" s="71"/>
      <c r="K811" s="72"/>
      <c r="L811" s="70"/>
      <c r="M811" s="70"/>
      <c r="N811" s="82"/>
      <c r="O811" s="70"/>
      <c r="P811" s="70"/>
      <c r="Q811" s="70"/>
      <c r="R811" s="71"/>
      <c r="S811" s="72"/>
      <c r="T811" s="70"/>
      <c r="U811" s="70"/>
      <c r="V811" s="71"/>
      <c r="W811" s="70"/>
      <c r="X811" s="70"/>
      <c r="Y811" s="70"/>
      <c r="Z811" s="70"/>
      <c r="AA811" s="70"/>
      <c r="AB811" s="70"/>
      <c r="AC811" s="70"/>
      <c r="AD811" s="70"/>
      <c r="AE811" s="70"/>
      <c r="AF811" s="70"/>
      <c r="AG811" s="70"/>
      <c r="AH811" s="70"/>
      <c r="AI811" s="70"/>
      <c r="AJ811" s="70"/>
      <c r="AK811" s="70"/>
      <c r="AL811" s="70"/>
      <c r="AM811" s="70"/>
      <c r="AN811" s="70"/>
      <c r="AO811" s="70"/>
    </row>
    <row r="812">
      <c r="A812" s="70"/>
      <c r="B812" s="70"/>
      <c r="C812" s="70"/>
      <c r="D812" s="71"/>
      <c r="E812" s="72"/>
      <c r="F812" s="70"/>
      <c r="G812" s="69"/>
      <c r="H812" s="70"/>
      <c r="I812" s="70"/>
      <c r="J812" s="71"/>
      <c r="K812" s="72"/>
      <c r="L812" s="70"/>
      <c r="M812" s="70"/>
      <c r="N812" s="82"/>
      <c r="O812" s="70"/>
      <c r="P812" s="70"/>
      <c r="Q812" s="70"/>
      <c r="R812" s="71"/>
      <c r="S812" s="72"/>
      <c r="T812" s="70"/>
      <c r="U812" s="70"/>
      <c r="V812" s="71"/>
      <c r="W812" s="70"/>
      <c r="X812" s="70"/>
      <c r="Y812" s="70"/>
      <c r="Z812" s="70"/>
      <c r="AA812" s="70"/>
      <c r="AB812" s="70"/>
      <c r="AC812" s="70"/>
      <c r="AD812" s="70"/>
      <c r="AE812" s="70"/>
      <c r="AF812" s="70"/>
      <c r="AG812" s="70"/>
      <c r="AH812" s="70"/>
      <c r="AI812" s="70"/>
      <c r="AJ812" s="70"/>
      <c r="AK812" s="70"/>
      <c r="AL812" s="70"/>
      <c r="AM812" s="70"/>
      <c r="AN812" s="70"/>
      <c r="AO812" s="70"/>
    </row>
    <row r="813">
      <c r="A813" s="70"/>
      <c r="B813" s="70"/>
      <c r="C813" s="70"/>
      <c r="D813" s="71"/>
      <c r="E813" s="72"/>
      <c r="F813" s="70"/>
      <c r="G813" s="69"/>
      <c r="H813" s="70"/>
      <c r="I813" s="70"/>
      <c r="J813" s="71"/>
      <c r="K813" s="72"/>
      <c r="L813" s="70"/>
      <c r="M813" s="70"/>
      <c r="N813" s="82"/>
      <c r="O813" s="70"/>
      <c r="P813" s="70"/>
      <c r="Q813" s="70"/>
      <c r="R813" s="71"/>
      <c r="S813" s="72"/>
      <c r="T813" s="70"/>
      <c r="U813" s="70"/>
      <c r="V813" s="71"/>
      <c r="W813" s="70"/>
      <c r="X813" s="70"/>
      <c r="Y813" s="70"/>
      <c r="Z813" s="70"/>
      <c r="AA813" s="70"/>
      <c r="AB813" s="70"/>
      <c r="AC813" s="70"/>
      <c r="AD813" s="70"/>
      <c r="AE813" s="70"/>
      <c r="AF813" s="70"/>
      <c r="AG813" s="70"/>
      <c r="AH813" s="70"/>
      <c r="AI813" s="70"/>
      <c r="AJ813" s="70"/>
      <c r="AK813" s="70"/>
      <c r="AL813" s="70"/>
      <c r="AM813" s="70"/>
      <c r="AN813" s="70"/>
      <c r="AO813" s="70"/>
    </row>
    <row r="814">
      <c r="A814" s="70"/>
      <c r="B814" s="70"/>
      <c r="C814" s="70"/>
      <c r="D814" s="71"/>
      <c r="E814" s="72"/>
      <c r="F814" s="70"/>
      <c r="G814" s="69"/>
      <c r="H814" s="70"/>
      <c r="I814" s="70"/>
      <c r="J814" s="71"/>
      <c r="K814" s="72"/>
      <c r="L814" s="70"/>
      <c r="M814" s="70"/>
      <c r="N814" s="82"/>
      <c r="O814" s="70"/>
      <c r="P814" s="70"/>
      <c r="Q814" s="70"/>
      <c r="R814" s="71"/>
      <c r="S814" s="72"/>
      <c r="T814" s="70"/>
      <c r="U814" s="70"/>
      <c r="V814" s="71"/>
      <c r="W814" s="70"/>
      <c r="X814" s="70"/>
      <c r="Y814" s="70"/>
      <c r="Z814" s="70"/>
      <c r="AA814" s="70"/>
      <c r="AB814" s="70"/>
      <c r="AC814" s="70"/>
      <c r="AD814" s="70"/>
      <c r="AE814" s="70"/>
      <c r="AF814" s="70"/>
      <c r="AG814" s="70"/>
      <c r="AH814" s="70"/>
      <c r="AI814" s="70"/>
      <c r="AJ814" s="70"/>
      <c r="AK814" s="70"/>
      <c r="AL814" s="70"/>
      <c r="AM814" s="70"/>
      <c r="AN814" s="70"/>
      <c r="AO814" s="70"/>
    </row>
    <row r="815">
      <c r="A815" s="70"/>
      <c r="B815" s="70"/>
      <c r="C815" s="70"/>
      <c r="D815" s="71"/>
      <c r="E815" s="72"/>
      <c r="F815" s="70"/>
      <c r="G815" s="69"/>
      <c r="H815" s="70"/>
      <c r="I815" s="70"/>
      <c r="J815" s="71"/>
      <c r="K815" s="72"/>
      <c r="L815" s="70"/>
      <c r="M815" s="70"/>
      <c r="N815" s="82"/>
      <c r="O815" s="70"/>
      <c r="P815" s="70"/>
      <c r="Q815" s="70"/>
      <c r="R815" s="71"/>
      <c r="S815" s="72"/>
      <c r="T815" s="70"/>
      <c r="U815" s="70"/>
      <c r="V815" s="71"/>
      <c r="W815" s="70"/>
      <c r="X815" s="70"/>
      <c r="Y815" s="70"/>
      <c r="Z815" s="70"/>
      <c r="AA815" s="70"/>
      <c r="AB815" s="70"/>
      <c r="AC815" s="70"/>
      <c r="AD815" s="70"/>
      <c r="AE815" s="70"/>
      <c r="AF815" s="70"/>
      <c r="AG815" s="70"/>
      <c r="AH815" s="70"/>
      <c r="AI815" s="70"/>
      <c r="AJ815" s="70"/>
      <c r="AK815" s="70"/>
      <c r="AL815" s="70"/>
      <c r="AM815" s="70"/>
      <c r="AN815" s="70"/>
      <c r="AO815" s="70"/>
    </row>
    <row r="816">
      <c r="A816" s="70"/>
      <c r="B816" s="70"/>
      <c r="C816" s="70"/>
      <c r="D816" s="71"/>
      <c r="E816" s="72"/>
      <c r="F816" s="70"/>
      <c r="G816" s="69"/>
      <c r="H816" s="70"/>
      <c r="I816" s="70"/>
      <c r="J816" s="71"/>
      <c r="K816" s="72"/>
      <c r="L816" s="70"/>
      <c r="M816" s="70"/>
      <c r="N816" s="82"/>
      <c r="O816" s="70"/>
      <c r="P816" s="70"/>
      <c r="Q816" s="70"/>
      <c r="R816" s="71"/>
      <c r="S816" s="72"/>
      <c r="T816" s="70"/>
      <c r="U816" s="70"/>
      <c r="V816" s="71"/>
      <c r="W816" s="70"/>
      <c r="X816" s="70"/>
      <c r="Y816" s="70"/>
      <c r="Z816" s="70"/>
      <c r="AA816" s="70"/>
      <c r="AB816" s="70"/>
      <c r="AC816" s="70"/>
      <c r="AD816" s="70"/>
      <c r="AE816" s="70"/>
      <c r="AF816" s="70"/>
      <c r="AG816" s="70"/>
      <c r="AH816" s="70"/>
      <c r="AI816" s="70"/>
      <c r="AJ816" s="70"/>
      <c r="AK816" s="70"/>
      <c r="AL816" s="70"/>
      <c r="AM816" s="70"/>
      <c r="AN816" s="70"/>
      <c r="AO816" s="70"/>
    </row>
    <row r="817">
      <c r="A817" s="70"/>
      <c r="B817" s="70"/>
      <c r="C817" s="70"/>
      <c r="D817" s="71"/>
      <c r="E817" s="72"/>
      <c r="F817" s="70"/>
      <c r="G817" s="69"/>
      <c r="H817" s="70"/>
      <c r="I817" s="70"/>
      <c r="J817" s="71"/>
      <c r="K817" s="72"/>
      <c r="L817" s="70"/>
      <c r="M817" s="70"/>
      <c r="N817" s="82"/>
      <c r="O817" s="70"/>
      <c r="P817" s="70"/>
      <c r="Q817" s="70"/>
      <c r="R817" s="71"/>
      <c r="S817" s="72"/>
      <c r="T817" s="70"/>
      <c r="U817" s="70"/>
      <c r="V817" s="71"/>
      <c r="W817" s="70"/>
      <c r="X817" s="70"/>
      <c r="Y817" s="70"/>
      <c r="Z817" s="70"/>
      <c r="AA817" s="70"/>
      <c r="AB817" s="70"/>
      <c r="AC817" s="70"/>
      <c r="AD817" s="70"/>
      <c r="AE817" s="70"/>
      <c r="AF817" s="70"/>
      <c r="AG817" s="70"/>
      <c r="AH817" s="70"/>
      <c r="AI817" s="70"/>
      <c r="AJ817" s="70"/>
      <c r="AK817" s="70"/>
      <c r="AL817" s="70"/>
      <c r="AM817" s="70"/>
      <c r="AN817" s="70"/>
      <c r="AO817" s="70"/>
    </row>
    <row r="818">
      <c r="A818" s="70"/>
      <c r="B818" s="70"/>
      <c r="C818" s="70"/>
      <c r="D818" s="71"/>
      <c r="E818" s="72"/>
      <c r="F818" s="70"/>
      <c r="G818" s="69"/>
      <c r="H818" s="70"/>
      <c r="I818" s="70"/>
      <c r="J818" s="71"/>
      <c r="K818" s="72"/>
      <c r="L818" s="70"/>
      <c r="M818" s="70"/>
      <c r="N818" s="82"/>
      <c r="O818" s="70"/>
      <c r="P818" s="70"/>
      <c r="Q818" s="70"/>
      <c r="R818" s="71"/>
      <c r="S818" s="72"/>
      <c r="T818" s="70"/>
      <c r="U818" s="70"/>
      <c r="V818" s="71"/>
      <c r="W818" s="70"/>
      <c r="X818" s="70"/>
      <c r="Y818" s="70"/>
      <c r="Z818" s="70"/>
      <c r="AA818" s="70"/>
      <c r="AB818" s="70"/>
      <c r="AC818" s="70"/>
      <c r="AD818" s="70"/>
      <c r="AE818" s="70"/>
      <c r="AF818" s="70"/>
      <c r="AG818" s="70"/>
      <c r="AH818" s="70"/>
      <c r="AI818" s="70"/>
      <c r="AJ818" s="70"/>
      <c r="AK818" s="70"/>
      <c r="AL818" s="70"/>
      <c r="AM818" s="70"/>
      <c r="AN818" s="70"/>
      <c r="AO818" s="70"/>
    </row>
    <row r="819">
      <c r="A819" s="70"/>
      <c r="B819" s="70"/>
      <c r="C819" s="70"/>
      <c r="D819" s="71"/>
      <c r="E819" s="72"/>
      <c r="F819" s="70"/>
      <c r="G819" s="69"/>
      <c r="H819" s="70"/>
      <c r="I819" s="70"/>
      <c r="J819" s="71"/>
      <c r="K819" s="72"/>
      <c r="L819" s="70"/>
      <c r="M819" s="70"/>
      <c r="N819" s="82"/>
      <c r="O819" s="70"/>
      <c r="P819" s="70"/>
      <c r="Q819" s="70"/>
      <c r="R819" s="71"/>
      <c r="S819" s="72"/>
      <c r="T819" s="70"/>
      <c r="U819" s="70"/>
      <c r="V819" s="71"/>
      <c r="W819" s="70"/>
      <c r="X819" s="70"/>
      <c r="Y819" s="70"/>
      <c r="Z819" s="70"/>
      <c r="AA819" s="70"/>
      <c r="AB819" s="70"/>
      <c r="AC819" s="70"/>
      <c r="AD819" s="70"/>
      <c r="AE819" s="70"/>
      <c r="AF819" s="70"/>
      <c r="AG819" s="70"/>
      <c r="AH819" s="70"/>
      <c r="AI819" s="70"/>
      <c r="AJ819" s="70"/>
      <c r="AK819" s="70"/>
      <c r="AL819" s="70"/>
      <c r="AM819" s="70"/>
      <c r="AN819" s="70"/>
      <c r="AO819" s="70"/>
    </row>
    <row r="820">
      <c r="A820" s="70"/>
      <c r="B820" s="70"/>
      <c r="C820" s="70"/>
      <c r="D820" s="71"/>
      <c r="E820" s="72"/>
      <c r="F820" s="70"/>
      <c r="G820" s="69"/>
      <c r="H820" s="70"/>
      <c r="I820" s="70"/>
      <c r="J820" s="71"/>
      <c r="K820" s="72"/>
      <c r="L820" s="70"/>
      <c r="M820" s="70"/>
      <c r="N820" s="82"/>
      <c r="O820" s="70"/>
      <c r="P820" s="70"/>
      <c r="Q820" s="70"/>
      <c r="R820" s="71"/>
      <c r="S820" s="72"/>
      <c r="T820" s="70"/>
      <c r="U820" s="70"/>
      <c r="V820" s="71"/>
      <c r="W820" s="70"/>
      <c r="X820" s="70"/>
      <c r="Y820" s="70"/>
      <c r="Z820" s="70"/>
      <c r="AA820" s="70"/>
      <c r="AB820" s="70"/>
      <c r="AC820" s="70"/>
      <c r="AD820" s="70"/>
      <c r="AE820" s="70"/>
      <c r="AF820" s="70"/>
      <c r="AG820" s="70"/>
      <c r="AH820" s="70"/>
      <c r="AI820" s="70"/>
      <c r="AJ820" s="70"/>
      <c r="AK820" s="70"/>
      <c r="AL820" s="70"/>
      <c r="AM820" s="70"/>
      <c r="AN820" s="70"/>
      <c r="AO820" s="70"/>
    </row>
    <row r="821">
      <c r="A821" s="70"/>
      <c r="B821" s="70"/>
      <c r="C821" s="70"/>
      <c r="D821" s="71"/>
      <c r="E821" s="72"/>
      <c r="F821" s="70"/>
      <c r="G821" s="69"/>
      <c r="H821" s="70"/>
      <c r="I821" s="70"/>
      <c r="J821" s="71"/>
      <c r="K821" s="72"/>
      <c r="L821" s="70"/>
      <c r="M821" s="70"/>
      <c r="N821" s="82"/>
      <c r="O821" s="70"/>
      <c r="P821" s="70"/>
      <c r="Q821" s="70"/>
      <c r="R821" s="71"/>
      <c r="S821" s="72"/>
      <c r="T821" s="70"/>
      <c r="U821" s="70"/>
      <c r="V821" s="71"/>
      <c r="W821" s="70"/>
      <c r="X821" s="70"/>
      <c r="Y821" s="70"/>
      <c r="Z821" s="70"/>
      <c r="AA821" s="70"/>
      <c r="AB821" s="70"/>
      <c r="AC821" s="70"/>
      <c r="AD821" s="70"/>
      <c r="AE821" s="70"/>
      <c r="AF821" s="70"/>
      <c r="AG821" s="70"/>
      <c r="AH821" s="70"/>
      <c r="AI821" s="70"/>
      <c r="AJ821" s="70"/>
      <c r="AK821" s="70"/>
      <c r="AL821" s="70"/>
      <c r="AM821" s="70"/>
      <c r="AN821" s="70"/>
      <c r="AO821" s="70"/>
    </row>
    <row r="822">
      <c r="A822" s="70"/>
      <c r="B822" s="70"/>
      <c r="C822" s="70"/>
      <c r="D822" s="71"/>
      <c r="E822" s="72"/>
      <c r="F822" s="70"/>
      <c r="G822" s="69"/>
      <c r="H822" s="70"/>
      <c r="I822" s="70"/>
      <c r="J822" s="71"/>
      <c r="K822" s="72"/>
      <c r="L822" s="70"/>
      <c r="M822" s="70"/>
      <c r="N822" s="82"/>
      <c r="O822" s="70"/>
      <c r="P822" s="70"/>
      <c r="Q822" s="70"/>
      <c r="R822" s="71"/>
      <c r="S822" s="72"/>
      <c r="T822" s="70"/>
      <c r="U822" s="70"/>
      <c r="V822" s="71"/>
      <c r="W822" s="70"/>
      <c r="X822" s="70"/>
      <c r="Y822" s="70"/>
      <c r="Z822" s="70"/>
      <c r="AA822" s="70"/>
      <c r="AB822" s="70"/>
      <c r="AC822" s="70"/>
      <c r="AD822" s="70"/>
      <c r="AE822" s="70"/>
      <c r="AF822" s="70"/>
      <c r="AG822" s="70"/>
      <c r="AH822" s="70"/>
      <c r="AI822" s="70"/>
      <c r="AJ822" s="70"/>
      <c r="AK822" s="70"/>
      <c r="AL822" s="70"/>
      <c r="AM822" s="70"/>
      <c r="AN822" s="70"/>
      <c r="AO822" s="70"/>
    </row>
    <row r="823">
      <c r="A823" s="70"/>
      <c r="B823" s="70"/>
      <c r="C823" s="70"/>
      <c r="D823" s="71"/>
      <c r="E823" s="72"/>
      <c r="F823" s="70"/>
      <c r="G823" s="69"/>
      <c r="H823" s="70"/>
      <c r="I823" s="70"/>
      <c r="J823" s="71"/>
      <c r="K823" s="72"/>
      <c r="L823" s="70"/>
      <c r="M823" s="70"/>
      <c r="N823" s="82"/>
      <c r="O823" s="70"/>
      <c r="P823" s="70"/>
      <c r="Q823" s="70"/>
      <c r="R823" s="71"/>
      <c r="S823" s="72"/>
      <c r="T823" s="70"/>
      <c r="U823" s="70"/>
      <c r="V823" s="71"/>
      <c r="W823" s="70"/>
      <c r="X823" s="70"/>
      <c r="Y823" s="70"/>
      <c r="Z823" s="70"/>
      <c r="AA823" s="70"/>
      <c r="AB823" s="70"/>
      <c r="AC823" s="70"/>
      <c r="AD823" s="70"/>
      <c r="AE823" s="70"/>
      <c r="AF823" s="70"/>
      <c r="AG823" s="70"/>
      <c r="AH823" s="70"/>
      <c r="AI823" s="70"/>
      <c r="AJ823" s="70"/>
      <c r="AK823" s="70"/>
      <c r="AL823" s="70"/>
      <c r="AM823" s="70"/>
      <c r="AN823" s="70"/>
      <c r="AO823" s="70"/>
    </row>
    <row r="824">
      <c r="A824" s="70"/>
      <c r="B824" s="70"/>
      <c r="C824" s="70"/>
      <c r="D824" s="71"/>
      <c r="E824" s="72"/>
      <c r="F824" s="70"/>
      <c r="G824" s="69"/>
      <c r="H824" s="70"/>
      <c r="I824" s="70"/>
      <c r="J824" s="71"/>
      <c r="K824" s="72"/>
      <c r="L824" s="70"/>
      <c r="M824" s="70"/>
      <c r="N824" s="82"/>
      <c r="O824" s="70"/>
      <c r="P824" s="70"/>
      <c r="Q824" s="70"/>
      <c r="R824" s="71"/>
      <c r="S824" s="72"/>
      <c r="T824" s="70"/>
      <c r="U824" s="70"/>
      <c r="V824" s="71"/>
      <c r="W824" s="70"/>
      <c r="X824" s="70"/>
      <c r="Y824" s="70"/>
      <c r="Z824" s="70"/>
      <c r="AA824" s="70"/>
      <c r="AB824" s="70"/>
      <c r="AC824" s="70"/>
      <c r="AD824" s="70"/>
      <c r="AE824" s="70"/>
      <c r="AF824" s="70"/>
      <c r="AG824" s="70"/>
      <c r="AH824" s="70"/>
      <c r="AI824" s="70"/>
      <c r="AJ824" s="70"/>
      <c r="AK824" s="70"/>
      <c r="AL824" s="70"/>
      <c r="AM824" s="70"/>
      <c r="AN824" s="70"/>
      <c r="AO824" s="70"/>
    </row>
    <row r="825">
      <c r="A825" s="70"/>
      <c r="B825" s="70"/>
      <c r="C825" s="70"/>
      <c r="D825" s="71"/>
      <c r="E825" s="72"/>
      <c r="F825" s="70"/>
      <c r="G825" s="69"/>
      <c r="H825" s="70"/>
      <c r="I825" s="70"/>
      <c r="J825" s="71"/>
      <c r="K825" s="72"/>
      <c r="L825" s="70"/>
      <c r="M825" s="70"/>
      <c r="N825" s="82"/>
      <c r="O825" s="70"/>
      <c r="P825" s="70"/>
      <c r="Q825" s="70"/>
      <c r="R825" s="71"/>
      <c r="S825" s="72"/>
      <c r="T825" s="70"/>
      <c r="U825" s="70"/>
      <c r="V825" s="71"/>
      <c r="W825" s="70"/>
      <c r="X825" s="70"/>
      <c r="Y825" s="70"/>
      <c r="Z825" s="70"/>
      <c r="AA825" s="70"/>
      <c r="AB825" s="70"/>
      <c r="AC825" s="70"/>
      <c r="AD825" s="70"/>
      <c r="AE825" s="70"/>
      <c r="AF825" s="70"/>
      <c r="AG825" s="70"/>
      <c r="AH825" s="70"/>
      <c r="AI825" s="70"/>
      <c r="AJ825" s="70"/>
      <c r="AK825" s="70"/>
      <c r="AL825" s="70"/>
      <c r="AM825" s="70"/>
      <c r="AN825" s="70"/>
      <c r="AO825" s="70"/>
    </row>
    <row r="826">
      <c r="A826" s="70"/>
      <c r="B826" s="70"/>
      <c r="C826" s="70"/>
      <c r="D826" s="71"/>
      <c r="E826" s="72"/>
      <c r="F826" s="70"/>
      <c r="G826" s="69"/>
      <c r="H826" s="70"/>
      <c r="I826" s="70"/>
      <c r="J826" s="71"/>
      <c r="K826" s="72"/>
      <c r="L826" s="70"/>
      <c r="M826" s="70"/>
      <c r="N826" s="82"/>
      <c r="O826" s="70"/>
      <c r="P826" s="70"/>
      <c r="Q826" s="70"/>
      <c r="R826" s="71"/>
      <c r="S826" s="72"/>
      <c r="T826" s="70"/>
      <c r="U826" s="70"/>
      <c r="V826" s="71"/>
      <c r="W826" s="70"/>
      <c r="X826" s="70"/>
      <c r="Y826" s="70"/>
      <c r="Z826" s="70"/>
      <c r="AA826" s="70"/>
      <c r="AB826" s="70"/>
      <c r="AC826" s="70"/>
      <c r="AD826" s="70"/>
      <c r="AE826" s="70"/>
      <c r="AF826" s="70"/>
      <c r="AG826" s="70"/>
      <c r="AH826" s="70"/>
      <c r="AI826" s="70"/>
      <c r="AJ826" s="70"/>
      <c r="AK826" s="70"/>
      <c r="AL826" s="70"/>
      <c r="AM826" s="70"/>
      <c r="AN826" s="70"/>
      <c r="AO826" s="70"/>
    </row>
    <row r="827">
      <c r="A827" s="70"/>
      <c r="B827" s="70"/>
      <c r="C827" s="70"/>
      <c r="D827" s="71"/>
      <c r="E827" s="72"/>
      <c r="F827" s="70"/>
      <c r="G827" s="69"/>
      <c r="H827" s="70"/>
      <c r="I827" s="70"/>
      <c r="J827" s="71"/>
      <c r="K827" s="72"/>
      <c r="L827" s="70"/>
      <c r="M827" s="70"/>
      <c r="N827" s="82"/>
      <c r="O827" s="70"/>
      <c r="P827" s="70"/>
      <c r="Q827" s="70"/>
      <c r="R827" s="71"/>
      <c r="S827" s="72"/>
      <c r="T827" s="70"/>
      <c r="U827" s="70"/>
      <c r="V827" s="71"/>
      <c r="W827" s="70"/>
      <c r="X827" s="70"/>
      <c r="Y827" s="70"/>
      <c r="Z827" s="70"/>
      <c r="AA827" s="70"/>
      <c r="AB827" s="70"/>
      <c r="AC827" s="70"/>
      <c r="AD827" s="70"/>
      <c r="AE827" s="70"/>
      <c r="AF827" s="70"/>
      <c r="AG827" s="70"/>
      <c r="AH827" s="70"/>
      <c r="AI827" s="70"/>
      <c r="AJ827" s="70"/>
      <c r="AK827" s="70"/>
      <c r="AL827" s="70"/>
      <c r="AM827" s="70"/>
      <c r="AN827" s="70"/>
      <c r="AO827" s="70"/>
    </row>
    <row r="828">
      <c r="A828" s="70"/>
      <c r="B828" s="70"/>
      <c r="C828" s="70"/>
      <c r="D828" s="71"/>
      <c r="E828" s="72"/>
      <c r="F828" s="70"/>
      <c r="G828" s="69"/>
      <c r="H828" s="70"/>
      <c r="I828" s="70"/>
      <c r="J828" s="71"/>
      <c r="K828" s="72"/>
      <c r="L828" s="70"/>
      <c r="M828" s="70"/>
      <c r="N828" s="82"/>
      <c r="O828" s="70"/>
      <c r="P828" s="70"/>
      <c r="Q828" s="70"/>
      <c r="R828" s="71"/>
      <c r="S828" s="72"/>
      <c r="T828" s="70"/>
      <c r="U828" s="70"/>
      <c r="V828" s="71"/>
      <c r="W828" s="70"/>
      <c r="X828" s="70"/>
      <c r="Y828" s="70"/>
      <c r="Z828" s="70"/>
      <c r="AA828" s="70"/>
      <c r="AB828" s="70"/>
      <c r="AC828" s="70"/>
      <c r="AD828" s="70"/>
      <c r="AE828" s="70"/>
      <c r="AF828" s="70"/>
      <c r="AG828" s="70"/>
      <c r="AH828" s="70"/>
      <c r="AI828" s="70"/>
      <c r="AJ828" s="70"/>
      <c r="AK828" s="70"/>
      <c r="AL828" s="70"/>
      <c r="AM828" s="70"/>
      <c r="AN828" s="70"/>
      <c r="AO828" s="70"/>
    </row>
    <row r="829">
      <c r="A829" s="70"/>
      <c r="B829" s="70"/>
      <c r="C829" s="70"/>
      <c r="D829" s="71"/>
      <c r="E829" s="72"/>
      <c r="F829" s="70"/>
      <c r="G829" s="69"/>
      <c r="H829" s="70"/>
      <c r="I829" s="70"/>
      <c r="J829" s="71"/>
      <c r="K829" s="72"/>
      <c r="L829" s="70"/>
      <c r="M829" s="70"/>
      <c r="N829" s="82"/>
      <c r="O829" s="70"/>
      <c r="P829" s="70"/>
      <c r="Q829" s="70"/>
      <c r="R829" s="71"/>
      <c r="S829" s="72"/>
      <c r="T829" s="70"/>
      <c r="U829" s="70"/>
      <c r="V829" s="71"/>
      <c r="W829" s="70"/>
      <c r="X829" s="70"/>
      <c r="Y829" s="70"/>
      <c r="Z829" s="70"/>
      <c r="AA829" s="70"/>
      <c r="AB829" s="70"/>
      <c r="AC829" s="70"/>
      <c r="AD829" s="70"/>
      <c r="AE829" s="70"/>
      <c r="AF829" s="70"/>
      <c r="AG829" s="70"/>
      <c r="AH829" s="70"/>
      <c r="AI829" s="70"/>
      <c r="AJ829" s="70"/>
      <c r="AK829" s="70"/>
      <c r="AL829" s="70"/>
      <c r="AM829" s="70"/>
      <c r="AN829" s="70"/>
      <c r="AO829" s="70"/>
    </row>
    <row r="830">
      <c r="A830" s="70"/>
      <c r="B830" s="70"/>
      <c r="C830" s="70"/>
      <c r="D830" s="71"/>
      <c r="E830" s="72"/>
      <c r="F830" s="70"/>
      <c r="G830" s="69"/>
      <c r="H830" s="70"/>
      <c r="I830" s="70"/>
      <c r="J830" s="71"/>
      <c r="K830" s="72"/>
      <c r="L830" s="70"/>
      <c r="M830" s="70"/>
      <c r="N830" s="82"/>
      <c r="O830" s="70"/>
      <c r="P830" s="70"/>
      <c r="Q830" s="70"/>
      <c r="R830" s="71"/>
      <c r="S830" s="72"/>
      <c r="T830" s="70"/>
      <c r="U830" s="70"/>
      <c r="V830" s="71"/>
      <c r="W830" s="70"/>
      <c r="X830" s="70"/>
      <c r="Y830" s="70"/>
      <c r="Z830" s="70"/>
      <c r="AA830" s="70"/>
      <c r="AB830" s="70"/>
      <c r="AC830" s="70"/>
      <c r="AD830" s="70"/>
      <c r="AE830" s="70"/>
      <c r="AF830" s="70"/>
      <c r="AG830" s="70"/>
      <c r="AH830" s="70"/>
      <c r="AI830" s="70"/>
      <c r="AJ830" s="70"/>
      <c r="AK830" s="70"/>
      <c r="AL830" s="70"/>
      <c r="AM830" s="70"/>
      <c r="AN830" s="70"/>
      <c r="AO830" s="70"/>
    </row>
    <row r="831">
      <c r="A831" s="70"/>
      <c r="B831" s="70"/>
      <c r="C831" s="70"/>
      <c r="D831" s="71"/>
      <c r="E831" s="72"/>
      <c r="F831" s="70"/>
      <c r="G831" s="69"/>
      <c r="H831" s="70"/>
      <c r="I831" s="70"/>
      <c r="J831" s="71"/>
      <c r="K831" s="72"/>
      <c r="L831" s="70"/>
      <c r="M831" s="70"/>
      <c r="N831" s="82"/>
      <c r="O831" s="70"/>
      <c r="P831" s="70"/>
      <c r="Q831" s="70"/>
      <c r="R831" s="71"/>
      <c r="S831" s="72"/>
      <c r="T831" s="70"/>
      <c r="U831" s="70"/>
      <c r="V831" s="71"/>
      <c r="W831" s="70"/>
      <c r="X831" s="70"/>
      <c r="Y831" s="70"/>
      <c r="Z831" s="70"/>
      <c r="AA831" s="70"/>
      <c r="AB831" s="70"/>
      <c r="AC831" s="70"/>
      <c r="AD831" s="70"/>
      <c r="AE831" s="70"/>
      <c r="AF831" s="70"/>
      <c r="AG831" s="70"/>
      <c r="AH831" s="70"/>
      <c r="AI831" s="70"/>
      <c r="AJ831" s="70"/>
      <c r="AK831" s="70"/>
      <c r="AL831" s="70"/>
      <c r="AM831" s="70"/>
      <c r="AN831" s="70"/>
      <c r="AO831" s="70"/>
    </row>
    <row r="832">
      <c r="A832" s="70"/>
      <c r="B832" s="70"/>
      <c r="C832" s="70"/>
      <c r="D832" s="71"/>
      <c r="E832" s="72"/>
      <c r="F832" s="70"/>
      <c r="G832" s="69"/>
      <c r="H832" s="70"/>
      <c r="I832" s="70"/>
      <c r="J832" s="71"/>
      <c r="K832" s="72"/>
      <c r="L832" s="70"/>
      <c r="M832" s="70"/>
      <c r="N832" s="82"/>
      <c r="O832" s="70"/>
      <c r="P832" s="70"/>
      <c r="Q832" s="70"/>
      <c r="R832" s="71"/>
      <c r="S832" s="72"/>
      <c r="T832" s="70"/>
      <c r="U832" s="70"/>
      <c r="V832" s="71"/>
      <c r="W832" s="70"/>
      <c r="X832" s="70"/>
      <c r="Y832" s="70"/>
      <c r="Z832" s="70"/>
      <c r="AA832" s="70"/>
      <c r="AB832" s="70"/>
      <c r="AC832" s="70"/>
      <c r="AD832" s="70"/>
      <c r="AE832" s="70"/>
      <c r="AF832" s="70"/>
      <c r="AG832" s="70"/>
      <c r="AH832" s="70"/>
      <c r="AI832" s="70"/>
      <c r="AJ832" s="70"/>
      <c r="AK832" s="70"/>
      <c r="AL832" s="70"/>
      <c r="AM832" s="70"/>
      <c r="AN832" s="70"/>
      <c r="AO832" s="70"/>
    </row>
    <row r="833">
      <c r="A833" s="70"/>
      <c r="B833" s="70"/>
      <c r="C833" s="70"/>
      <c r="D833" s="71"/>
      <c r="E833" s="72"/>
      <c r="F833" s="70"/>
      <c r="G833" s="69"/>
      <c r="H833" s="70"/>
      <c r="I833" s="70"/>
      <c r="J833" s="71"/>
      <c r="K833" s="72"/>
      <c r="L833" s="70"/>
      <c r="M833" s="70"/>
      <c r="N833" s="82"/>
      <c r="O833" s="70"/>
      <c r="P833" s="70"/>
      <c r="Q833" s="70"/>
      <c r="R833" s="71"/>
      <c r="S833" s="72"/>
      <c r="T833" s="70"/>
      <c r="U833" s="70"/>
      <c r="V833" s="71"/>
      <c r="W833" s="70"/>
      <c r="X833" s="70"/>
      <c r="Y833" s="70"/>
      <c r="Z833" s="70"/>
      <c r="AA833" s="70"/>
      <c r="AB833" s="70"/>
      <c r="AC833" s="70"/>
      <c r="AD833" s="70"/>
      <c r="AE833" s="70"/>
      <c r="AF833" s="70"/>
      <c r="AG833" s="70"/>
      <c r="AH833" s="70"/>
      <c r="AI833" s="70"/>
      <c r="AJ833" s="70"/>
      <c r="AK833" s="70"/>
      <c r="AL833" s="70"/>
      <c r="AM833" s="70"/>
      <c r="AN833" s="70"/>
      <c r="AO833" s="70"/>
    </row>
    <row r="834">
      <c r="A834" s="70"/>
      <c r="B834" s="70"/>
      <c r="C834" s="70"/>
      <c r="D834" s="71"/>
      <c r="E834" s="72"/>
      <c r="F834" s="70"/>
      <c r="G834" s="69"/>
      <c r="H834" s="70"/>
      <c r="I834" s="70"/>
      <c r="J834" s="71"/>
      <c r="K834" s="72"/>
      <c r="L834" s="70"/>
      <c r="M834" s="70"/>
      <c r="N834" s="82"/>
      <c r="O834" s="70"/>
      <c r="P834" s="70"/>
      <c r="Q834" s="70"/>
      <c r="R834" s="71"/>
      <c r="S834" s="72"/>
      <c r="T834" s="70"/>
      <c r="U834" s="70"/>
      <c r="V834" s="71"/>
      <c r="W834" s="70"/>
      <c r="X834" s="70"/>
      <c r="Y834" s="70"/>
      <c r="Z834" s="70"/>
      <c r="AA834" s="70"/>
      <c r="AB834" s="70"/>
      <c r="AC834" s="70"/>
      <c r="AD834" s="70"/>
      <c r="AE834" s="70"/>
      <c r="AF834" s="70"/>
      <c r="AG834" s="70"/>
      <c r="AH834" s="70"/>
      <c r="AI834" s="70"/>
      <c r="AJ834" s="70"/>
      <c r="AK834" s="70"/>
      <c r="AL834" s="70"/>
      <c r="AM834" s="70"/>
      <c r="AN834" s="70"/>
      <c r="AO834" s="70"/>
    </row>
    <row r="835">
      <c r="A835" s="70"/>
      <c r="B835" s="70"/>
      <c r="C835" s="70"/>
      <c r="D835" s="71"/>
      <c r="E835" s="72"/>
      <c r="F835" s="70"/>
      <c r="G835" s="69"/>
      <c r="H835" s="70"/>
      <c r="I835" s="70"/>
      <c r="J835" s="71"/>
      <c r="K835" s="72"/>
      <c r="L835" s="70"/>
      <c r="M835" s="70"/>
      <c r="N835" s="82"/>
      <c r="O835" s="70"/>
      <c r="P835" s="70"/>
      <c r="Q835" s="70"/>
      <c r="R835" s="71"/>
      <c r="S835" s="72"/>
      <c r="T835" s="70"/>
      <c r="U835" s="70"/>
      <c r="V835" s="71"/>
      <c r="W835" s="70"/>
      <c r="X835" s="70"/>
      <c r="Y835" s="70"/>
      <c r="Z835" s="70"/>
      <c r="AA835" s="70"/>
      <c r="AB835" s="70"/>
      <c r="AC835" s="70"/>
      <c r="AD835" s="70"/>
      <c r="AE835" s="70"/>
      <c r="AF835" s="70"/>
      <c r="AG835" s="70"/>
      <c r="AH835" s="70"/>
      <c r="AI835" s="70"/>
      <c r="AJ835" s="70"/>
      <c r="AK835" s="70"/>
      <c r="AL835" s="70"/>
      <c r="AM835" s="70"/>
      <c r="AN835" s="70"/>
      <c r="AO835" s="70"/>
    </row>
    <row r="836">
      <c r="A836" s="70"/>
      <c r="B836" s="70"/>
      <c r="C836" s="70"/>
      <c r="D836" s="71"/>
      <c r="E836" s="72"/>
      <c r="F836" s="70"/>
      <c r="G836" s="69"/>
      <c r="H836" s="70"/>
      <c r="I836" s="70"/>
      <c r="J836" s="71"/>
      <c r="K836" s="72"/>
      <c r="L836" s="70"/>
      <c r="M836" s="70"/>
      <c r="N836" s="82"/>
      <c r="O836" s="70"/>
      <c r="P836" s="70"/>
      <c r="Q836" s="70"/>
      <c r="R836" s="71"/>
      <c r="S836" s="72"/>
      <c r="T836" s="70"/>
      <c r="U836" s="70"/>
      <c r="V836" s="71"/>
      <c r="W836" s="70"/>
      <c r="X836" s="70"/>
      <c r="Y836" s="70"/>
      <c r="Z836" s="70"/>
      <c r="AA836" s="70"/>
      <c r="AB836" s="70"/>
      <c r="AC836" s="70"/>
      <c r="AD836" s="70"/>
      <c r="AE836" s="70"/>
      <c r="AF836" s="70"/>
      <c r="AG836" s="70"/>
      <c r="AH836" s="70"/>
      <c r="AI836" s="70"/>
      <c r="AJ836" s="70"/>
      <c r="AK836" s="70"/>
      <c r="AL836" s="70"/>
      <c r="AM836" s="70"/>
      <c r="AN836" s="70"/>
      <c r="AO836" s="70"/>
    </row>
    <row r="837">
      <c r="A837" s="70"/>
      <c r="B837" s="70"/>
      <c r="C837" s="70"/>
      <c r="D837" s="71"/>
      <c r="E837" s="72"/>
      <c r="F837" s="70"/>
      <c r="G837" s="69"/>
      <c r="H837" s="70"/>
      <c r="I837" s="70"/>
      <c r="J837" s="71"/>
      <c r="K837" s="72"/>
      <c r="L837" s="70"/>
      <c r="M837" s="70"/>
      <c r="N837" s="82"/>
      <c r="O837" s="70"/>
      <c r="P837" s="70"/>
      <c r="Q837" s="70"/>
      <c r="R837" s="71"/>
      <c r="S837" s="72"/>
      <c r="T837" s="70"/>
      <c r="U837" s="70"/>
      <c r="V837" s="71"/>
      <c r="W837" s="70"/>
      <c r="X837" s="70"/>
      <c r="Y837" s="70"/>
      <c r="Z837" s="70"/>
      <c r="AA837" s="70"/>
      <c r="AB837" s="70"/>
      <c r="AC837" s="70"/>
      <c r="AD837" s="70"/>
      <c r="AE837" s="70"/>
      <c r="AF837" s="70"/>
      <c r="AG837" s="70"/>
      <c r="AH837" s="70"/>
      <c r="AI837" s="70"/>
      <c r="AJ837" s="70"/>
      <c r="AK837" s="70"/>
      <c r="AL837" s="70"/>
      <c r="AM837" s="70"/>
      <c r="AN837" s="70"/>
      <c r="AO837" s="70"/>
    </row>
    <row r="838">
      <c r="A838" s="70"/>
      <c r="B838" s="70"/>
      <c r="C838" s="70"/>
      <c r="D838" s="71"/>
      <c r="E838" s="72"/>
      <c r="F838" s="70"/>
      <c r="G838" s="69"/>
      <c r="H838" s="70"/>
      <c r="I838" s="70"/>
      <c r="J838" s="71"/>
      <c r="K838" s="72"/>
      <c r="L838" s="70"/>
      <c r="M838" s="70"/>
      <c r="N838" s="82"/>
      <c r="O838" s="70"/>
      <c r="P838" s="70"/>
      <c r="Q838" s="70"/>
      <c r="R838" s="71"/>
      <c r="S838" s="72"/>
      <c r="T838" s="70"/>
      <c r="U838" s="70"/>
      <c r="V838" s="71"/>
      <c r="W838" s="70"/>
      <c r="X838" s="70"/>
      <c r="Y838" s="70"/>
      <c r="Z838" s="70"/>
      <c r="AA838" s="70"/>
      <c r="AB838" s="70"/>
      <c r="AC838" s="70"/>
      <c r="AD838" s="70"/>
      <c r="AE838" s="70"/>
      <c r="AF838" s="70"/>
      <c r="AG838" s="70"/>
      <c r="AH838" s="70"/>
      <c r="AI838" s="70"/>
      <c r="AJ838" s="70"/>
      <c r="AK838" s="70"/>
      <c r="AL838" s="70"/>
      <c r="AM838" s="70"/>
      <c r="AN838" s="70"/>
      <c r="AO838" s="70"/>
    </row>
    <row r="839">
      <c r="A839" s="70"/>
      <c r="B839" s="70"/>
      <c r="C839" s="70"/>
      <c r="D839" s="71"/>
      <c r="E839" s="72"/>
      <c r="F839" s="70"/>
      <c r="G839" s="69"/>
      <c r="H839" s="70"/>
      <c r="I839" s="70"/>
      <c r="J839" s="71"/>
      <c r="K839" s="72"/>
      <c r="L839" s="70"/>
      <c r="M839" s="70"/>
      <c r="N839" s="82"/>
      <c r="O839" s="70"/>
      <c r="P839" s="70"/>
      <c r="Q839" s="70"/>
      <c r="R839" s="71"/>
      <c r="S839" s="72"/>
      <c r="T839" s="70"/>
      <c r="U839" s="70"/>
      <c r="V839" s="71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0"/>
      <c r="AJ839" s="70"/>
      <c r="AK839" s="70"/>
      <c r="AL839" s="70"/>
      <c r="AM839" s="70"/>
      <c r="AN839" s="70"/>
      <c r="AO839" s="70"/>
    </row>
    <row r="840">
      <c r="A840" s="70"/>
      <c r="B840" s="70"/>
      <c r="C840" s="70"/>
      <c r="D840" s="71"/>
      <c r="E840" s="72"/>
      <c r="F840" s="70"/>
      <c r="G840" s="69"/>
      <c r="H840" s="70"/>
      <c r="I840" s="70"/>
      <c r="J840" s="71"/>
      <c r="K840" s="72"/>
      <c r="L840" s="70"/>
      <c r="M840" s="70"/>
      <c r="N840" s="82"/>
      <c r="O840" s="70"/>
      <c r="P840" s="70"/>
      <c r="Q840" s="70"/>
      <c r="R840" s="71"/>
      <c r="S840" s="72"/>
      <c r="T840" s="70"/>
      <c r="U840" s="70"/>
      <c r="V840" s="71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</row>
    <row r="841">
      <c r="A841" s="70"/>
      <c r="B841" s="70"/>
      <c r="C841" s="70"/>
      <c r="D841" s="71"/>
      <c r="E841" s="72"/>
      <c r="F841" s="70"/>
      <c r="G841" s="69"/>
      <c r="H841" s="70"/>
      <c r="I841" s="70"/>
      <c r="J841" s="71"/>
      <c r="K841" s="72"/>
      <c r="L841" s="70"/>
      <c r="M841" s="70"/>
      <c r="N841" s="82"/>
      <c r="O841" s="70"/>
      <c r="P841" s="70"/>
      <c r="Q841" s="70"/>
      <c r="R841" s="71"/>
      <c r="S841" s="72"/>
      <c r="T841" s="70"/>
      <c r="U841" s="70"/>
      <c r="V841" s="71"/>
      <c r="W841" s="70"/>
      <c r="X841" s="70"/>
      <c r="Y841" s="70"/>
      <c r="Z841" s="70"/>
      <c r="AA841" s="70"/>
      <c r="AB841" s="70"/>
      <c r="AC841" s="70"/>
      <c r="AD841" s="70"/>
      <c r="AE841" s="70"/>
      <c r="AF841" s="70"/>
      <c r="AG841" s="70"/>
      <c r="AH841" s="70"/>
      <c r="AI841" s="70"/>
      <c r="AJ841" s="70"/>
      <c r="AK841" s="70"/>
      <c r="AL841" s="70"/>
      <c r="AM841" s="70"/>
      <c r="AN841" s="70"/>
      <c r="AO841" s="70"/>
    </row>
    <row r="842">
      <c r="A842" s="70"/>
      <c r="B842" s="70"/>
      <c r="C842" s="70"/>
      <c r="D842" s="71"/>
      <c r="E842" s="72"/>
      <c r="F842" s="70"/>
      <c r="G842" s="69"/>
      <c r="H842" s="70"/>
      <c r="I842" s="70"/>
      <c r="J842" s="71"/>
      <c r="K842" s="72"/>
      <c r="L842" s="70"/>
      <c r="M842" s="70"/>
      <c r="N842" s="82"/>
      <c r="O842" s="70"/>
      <c r="P842" s="70"/>
      <c r="Q842" s="70"/>
      <c r="R842" s="71"/>
      <c r="S842" s="72"/>
      <c r="T842" s="70"/>
      <c r="U842" s="70"/>
      <c r="V842" s="71"/>
      <c r="W842" s="70"/>
      <c r="X842" s="70"/>
      <c r="Y842" s="70"/>
      <c r="Z842" s="70"/>
      <c r="AA842" s="70"/>
      <c r="AB842" s="70"/>
      <c r="AC842" s="70"/>
      <c r="AD842" s="70"/>
      <c r="AE842" s="70"/>
      <c r="AF842" s="70"/>
      <c r="AG842" s="70"/>
      <c r="AH842" s="70"/>
      <c r="AI842" s="70"/>
      <c r="AJ842" s="70"/>
      <c r="AK842" s="70"/>
      <c r="AL842" s="70"/>
      <c r="AM842" s="70"/>
      <c r="AN842" s="70"/>
      <c r="AO842" s="70"/>
    </row>
    <row r="843">
      <c r="A843" s="70"/>
      <c r="B843" s="70"/>
      <c r="C843" s="70"/>
      <c r="D843" s="71"/>
      <c r="E843" s="72"/>
      <c r="F843" s="70"/>
      <c r="G843" s="69"/>
      <c r="H843" s="70"/>
      <c r="I843" s="70"/>
      <c r="J843" s="71"/>
      <c r="K843" s="72"/>
      <c r="L843" s="70"/>
      <c r="M843" s="70"/>
      <c r="N843" s="82"/>
      <c r="O843" s="70"/>
      <c r="P843" s="70"/>
      <c r="Q843" s="70"/>
      <c r="R843" s="71"/>
      <c r="S843" s="72"/>
      <c r="T843" s="70"/>
      <c r="U843" s="70"/>
      <c r="V843" s="71"/>
      <c r="W843" s="70"/>
      <c r="X843" s="70"/>
      <c r="Y843" s="70"/>
      <c r="Z843" s="70"/>
      <c r="AA843" s="70"/>
      <c r="AB843" s="70"/>
      <c r="AC843" s="70"/>
      <c r="AD843" s="70"/>
      <c r="AE843" s="70"/>
      <c r="AF843" s="70"/>
      <c r="AG843" s="70"/>
      <c r="AH843" s="70"/>
      <c r="AI843" s="70"/>
      <c r="AJ843" s="70"/>
      <c r="AK843" s="70"/>
      <c r="AL843" s="70"/>
      <c r="AM843" s="70"/>
      <c r="AN843" s="70"/>
      <c r="AO843" s="70"/>
    </row>
    <row r="844">
      <c r="A844" s="70"/>
      <c r="B844" s="70"/>
      <c r="C844" s="70"/>
      <c r="D844" s="71"/>
      <c r="E844" s="72"/>
      <c r="F844" s="70"/>
      <c r="G844" s="69"/>
      <c r="H844" s="70"/>
      <c r="I844" s="70"/>
      <c r="J844" s="71"/>
      <c r="K844" s="72"/>
      <c r="L844" s="70"/>
      <c r="M844" s="70"/>
      <c r="N844" s="82"/>
      <c r="O844" s="70"/>
      <c r="P844" s="70"/>
      <c r="Q844" s="70"/>
      <c r="R844" s="71"/>
      <c r="S844" s="72"/>
      <c r="T844" s="70"/>
      <c r="U844" s="70"/>
      <c r="V844" s="71"/>
      <c r="W844" s="70"/>
      <c r="X844" s="70"/>
      <c r="Y844" s="70"/>
      <c r="Z844" s="70"/>
      <c r="AA844" s="70"/>
      <c r="AB844" s="70"/>
      <c r="AC844" s="70"/>
      <c r="AD844" s="70"/>
      <c r="AE844" s="70"/>
      <c r="AF844" s="70"/>
      <c r="AG844" s="70"/>
      <c r="AH844" s="70"/>
      <c r="AI844" s="70"/>
      <c r="AJ844" s="70"/>
      <c r="AK844" s="70"/>
      <c r="AL844" s="70"/>
      <c r="AM844" s="70"/>
      <c r="AN844" s="70"/>
      <c r="AO844" s="70"/>
    </row>
    <row r="845">
      <c r="A845" s="70"/>
      <c r="B845" s="70"/>
      <c r="C845" s="70"/>
      <c r="D845" s="71"/>
      <c r="E845" s="72"/>
      <c r="F845" s="70"/>
      <c r="G845" s="69"/>
      <c r="H845" s="70"/>
      <c r="I845" s="70"/>
      <c r="J845" s="71"/>
      <c r="K845" s="72"/>
      <c r="L845" s="70"/>
      <c r="M845" s="70"/>
      <c r="N845" s="82"/>
      <c r="O845" s="70"/>
      <c r="P845" s="70"/>
      <c r="Q845" s="70"/>
      <c r="R845" s="71"/>
      <c r="S845" s="72"/>
      <c r="T845" s="70"/>
      <c r="U845" s="70"/>
      <c r="V845" s="71"/>
      <c r="W845" s="70"/>
      <c r="X845" s="70"/>
      <c r="Y845" s="70"/>
      <c r="Z845" s="70"/>
      <c r="AA845" s="70"/>
      <c r="AB845" s="70"/>
      <c r="AC845" s="70"/>
      <c r="AD845" s="70"/>
      <c r="AE845" s="70"/>
      <c r="AF845" s="70"/>
      <c r="AG845" s="70"/>
      <c r="AH845" s="70"/>
      <c r="AI845" s="70"/>
      <c r="AJ845" s="70"/>
      <c r="AK845" s="70"/>
      <c r="AL845" s="70"/>
      <c r="AM845" s="70"/>
      <c r="AN845" s="70"/>
      <c r="AO845" s="70"/>
    </row>
    <row r="846">
      <c r="A846" s="70"/>
      <c r="B846" s="70"/>
      <c r="C846" s="70"/>
      <c r="D846" s="71"/>
      <c r="E846" s="72"/>
      <c r="F846" s="70"/>
      <c r="G846" s="69"/>
      <c r="H846" s="70"/>
      <c r="I846" s="70"/>
      <c r="J846" s="71"/>
      <c r="K846" s="72"/>
      <c r="L846" s="70"/>
      <c r="M846" s="70"/>
      <c r="N846" s="82"/>
      <c r="O846" s="70"/>
      <c r="P846" s="70"/>
      <c r="Q846" s="70"/>
      <c r="R846" s="71"/>
      <c r="S846" s="72"/>
      <c r="T846" s="70"/>
      <c r="U846" s="70"/>
      <c r="V846" s="71"/>
      <c r="W846" s="70"/>
      <c r="X846" s="70"/>
      <c r="Y846" s="70"/>
      <c r="Z846" s="70"/>
      <c r="AA846" s="70"/>
      <c r="AB846" s="70"/>
      <c r="AC846" s="70"/>
      <c r="AD846" s="70"/>
      <c r="AE846" s="70"/>
      <c r="AF846" s="70"/>
      <c r="AG846" s="70"/>
      <c r="AH846" s="70"/>
      <c r="AI846" s="70"/>
      <c r="AJ846" s="70"/>
      <c r="AK846" s="70"/>
      <c r="AL846" s="70"/>
      <c r="AM846" s="70"/>
      <c r="AN846" s="70"/>
      <c r="AO846" s="70"/>
    </row>
    <row r="847">
      <c r="A847" s="70"/>
      <c r="B847" s="70"/>
      <c r="C847" s="70"/>
      <c r="D847" s="71"/>
      <c r="E847" s="72"/>
      <c r="F847" s="70"/>
      <c r="G847" s="69"/>
      <c r="H847" s="70"/>
      <c r="I847" s="70"/>
      <c r="J847" s="71"/>
      <c r="K847" s="72"/>
      <c r="L847" s="70"/>
      <c r="M847" s="70"/>
      <c r="N847" s="82"/>
      <c r="O847" s="70"/>
      <c r="P847" s="70"/>
      <c r="Q847" s="70"/>
      <c r="R847" s="71"/>
      <c r="S847" s="72"/>
      <c r="T847" s="70"/>
      <c r="U847" s="70"/>
      <c r="V847" s="71"/>
      <c r="W847" s="70"/>
      <c r="X847" s="70"/>
      <c r="Y847" s="70"/>
      <c r="Z847" s="70"/>
      <c r="AA847" s="70"/>
      <c r="AB847" s="70"/>
      <c r="AC847" s="70"/>
      <c r="AD847" s="70"/>
      <c r="AE847" s="70"/>
      <c r="AF847" s="70"/>
      <c r="AG847" s="70"/>
      <c r="AH847" s="70"/>
      <c r="AI847" s="70"/>
      <c r="AJ847" s="70"/>
      <c r="AK847" s="70"/>
      <c r="AL847" s="70"/>
      <c r="AM847" s="70"/>
      <c r="AN847" s="70"/>
      <c r="AO847" s="70"/>
    </row>
    <row r="848">
      <c r="A848" s="70"/>
      <c r="B848" s="70"/>
      <c r="C848" s="70"/>
      <c r="D848" s="71"/>
      <c r="E848" s="72"/>
      <c r="F848" s="70"/>
      <c r="G848" s="69"/>
      <c r="H848" s="70"/>
      <c r="I848" s="70"/>
      <c r="J848" s="71"/>
      <c r="K848" s="72"/>
      <c r="L848" s="70"/>
      <c r="M848" s="70"/>
      <c r="N848" s="82"/>
      <c r="O848" s="70"/>
      <c r="P848" s="70"/>
      <c r="Q848" s="70"/>
      <c r="R848" s="71"/>
      <c r="S848" s="72"/>
      <c r="T848" s="70"/>
      <c r="U848" s="70"/>
      <c r="V848" s="71"/>
      <c r="W848" s="70"/>
      <c r="X848" s="70"/>
      <c r="Y848" s="70"/>
      <c r="Z848" s="70"/>
      <c r="AA848" s="70"/>
      <c r="AB848" s="70"/>
      <c r="AC848" s="70"/>
      <c r="AD848" s="70"/>
      <c r="AE848" s="70"/>
      <c r="AF848" s="70"/>
      <c r="AG848" s="70"/>
      <c r="AH848" s="70"/>
      <c r="AI848" s="70"/>
      <c r="AJ848" s="70"/>
      <c r="AK848" s="70"/>
      <c r="AL848" s="70"/>
      <c r="AM848" s="70"/>
      <c r="AN848" s="70"/>
      <c r="AO848" s="70"/>
    </row>
    <row r="849">
      <c r="A849" s="70"/>
      <c r="B849" s="70"/>
      <c r="C849" s="70"/>
      <c r="D849" s="71"/>
      <c r="E849" s="72"/>
      <c r="F849" s="70"/>
      <c r="G849" s="69"/>
      <c r="H849" s="70"/>
      <c r="I849" s="70"/>
      <c r="J849" s="71"/>
      <c r="K849" s="72"/>
      <c r="L849" s="70"/>
      <c r="M849" s="70"/>
      <c r="N849" s="82"/>
      <c r="O849" s="70"/>
      <c r="P849" s="70"/>
      <c r="Q849" s="70"/>
      <c r="R849" s="71"/>
      <c r="S849" s="72"/>
      <c r="T849" s="70"/>
      <c r="U849" s="70"/>
      <c r="V849" s="71"/>
      <c r="W849" s="70"/>
      <c r="X849" s="70"/>
      <c r="Y849" s="70"/>
      <c r="Z849" s="70"/>
      <c r="AA849" s="70"/>
      <c r="AB849" s="70"/>
      <c r="AC849" s="70"/>
      <c r="AD849" s="70"/>
      <c r="AE849" s="70"/>
      <c r="AF849" s="70"/>
      <c r="AG849" s="70"/>
      <c r="AH849" s="70"/>
      <c r="AI849" s="70"/>
      <c r="AJ849" s="70"/>
      <c r="AK849" s="70"/>
      <c r="AL849" s="70"/>
      <c r="AM849" s="70"/>
      <c r="AN849" s="70"/>
      <c r="AO849" s="70"/>
    </row>
    <row r="850">
      <c r="A850" s="70"/>
      <c r="B850" s="70"/>
      <c r="C850" s="70"/>
      <c r="D850" s="71"/>
      <c r="E850" s="72"/>
      <c r="F850" s="70"/>
      <c r="G850" s="69"/>
      <c r="H850" s="70"/>
      <c r="I850" s="70"/>
      <c r="J850" s="71"/>
      <c r="K850" s="72"/>
      <c r="L850" s="70"/>
      <c r="M850" s="70"/>
      <c r="N850" s="82"/>
      <c r="O850" s="70"/>
      <c r="P850" s="70"/>
      <c r="Q850" s="70"/>
      <c r="R850" s="71"/>
      <c r="S850" s="72"/>
      <c r="T850" s="70"/>
      <c r="U850" s="70"/>
      <c r="V850" s="71"/>
      <c r="W850" s="70"/>
      <c r="X850" s="70"/>
      <c r="Y850" s="70"/>
      <c r="Z850" s="70"/>
      <c r="AA850" s="70"/>
      <c r="AB850" s="70"/>
      <c r="AC850" s="70"/>
      <c r="AD850" s="70"/>
      <c r="AE850" s="70"/>
      <c r="AF850" s="70"/>
      <c r="AG850" s="70"/>
      <c r="AH850" s="70"/>
      <c r="AI850" s="70"/>
      <c r="AJ850" s="70"/>
      <c r="AK850" s="70"/>
      <c r="AL850" s="70"/>
      <c r="AM850" s="70"/>
      <c r="AN850" s="70"/>
      <c r="AO850" s="70"/>
    </row>
    <row r="851">
      <c r="A851" s="70"/>
      <c r="B851" s="70"/>
      <c r="C851" s="70"/>
      <c r="D851" s="71"/>
      <c r="E851" s="72"/>
      <c r="F851" s="70"/>
      <c r="G851" s="69"/>
      <c r="H851" s="70"/>
      <c r="I851" s="70"/>
      <c r="J851" s="71"/>
      <c r="K851" s="72"/>
      <c r="L851" s="70"/>
      <c r="M851" s="70"/>
      <c r="N851" s="82"/>
      <c r="O851" s="70"/>
      <c r="P851" s="70"/>
      <c r="Q851" s="70"/>
      <c r="R851" s="71"/>
      <c r="S851" s="72"/>
      <c r="T851" s="70"/>
      <c r="U851" s="70"/>
      <c r="V851" s="71"/>
      <c r="W851" s="70"/>
      <c r="X851" s="70"/>
      <c r="Y851" s="70"/>
      <c r="Z851" s="70"/>
      <c r="AA851" s="70"/>
      <c r="AB851" s="70"/>
      <c r="AC851" s="70"/>
      <c r="AD851" s="70"/>
      <c r="AE851" s="70"/>
      <c r="AF851" s="70"/>
      <c r="AG851" s="70"/>
      <c r="AH851" s="70"/>
      <c r="AI851" s="70"/>
      <c r="AJ851" s="70"/>
      <c r="AK851" s="70"/>
      <c r="AL851" s="70"/>
      <c r="AM851" s="70"/>
      <c r="AN851" s="70"/>
      <c r="AO851" s="70"/>
    </row>
    <row r="852">
      <c r="A852" s="70"/>
      <c r="B852" s="70"/>
      <c r="C852" s="70"/>
      <c r="D852" s="71"/>
      <c r="E852" s="72"/>
      <c r="F852" s="70"/>
      <c r="G852" s="69"/>
      <c r="H852" s="70"/>
      <c r="I852" s="70"/>
      <c r="J852" s="71"/>
      <c r="K852" s="72"/>
      <c r="L852" s="70"/>
      <c r="M852" s="70"/>
      <c r="N852" s="82"/>
      <c r="O852" s="70"/>
      <c r="P852" s="70"/>
      <c r="Q852" s="70"/>
      <c r="R852" s="71"/>
      <c r="S852" s="72"/>
      <c r="T852" s="70"/>
      <c r="U852" s="70"/>
      <c r="V852" s="71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0"/>
      <c r="AJ852" s="70"/>
      <c r="AK852" s="70"/>
      <c r="AL852" s="70"/>
      <c r="AM852" s="70"/>
      <c r="AN852" s="70"/>
      <c r="AO852" s="70"/>
    </row>
    <row r="853">
      <c r="A853" s="70"/>
      <c r="B853" s="70"/>
      <c r="C853" s="70"/>
      <c r="D853" s="71"/>
      <c r="E853" s="72"/>
      <c r="F853" s="70"/>
      <c r="G853" s="69"/>
      <c r="H853" s="70"/>
      <c r="I853" s="70"/>
      <c r="J853" s="71"/>
      <c r="K853" s="72"/>
      <c r="L853" s="70"/>
      <c r="M853" s="70"/>
      <c r="N853" s="82"/>
      <c r="O853" s="70"/>
      <c r="P853" s="70"/>
      <c r="Q853" s="70"/>
      <c r="R853" s="71"/>
      <c r="S853" s="72"/>
      <c r="T853" s="70"/>
      <c r="U853" s="70"/>
      <c r="V853" s="71"/>
      <c r="W853" s="70"/>
      <c r="X853" s="70"/>
      <c r="Y853" s="70"/>
      <c r="Z853" s="70"/>
      <c r="AA853" s="70"/>
      <c r="AB853" s="70"/>
      <c r="AC853" s="70"/>
      <c r="AD853" s="70"/>
      <c r="AE853" s="70"/>
      <c r="AF853" s="70"/>
      <c r="AG853" s="70"/>
      <c r="AH853" s="70"/>
      <c r="AI853" s="70"/>
      <c r="AJ853" s="70"/>
      <c r="AK853" s="70"/>
      <c r="AL853" s="70"/>
      <c r="AM853" s="70"/>
      <c r="AN853" s="70"/>
      <c r="AO853" s="70"/>
    </row>
    <row r="854">
      <c r="A854" s="70"/>
      <c r="B854" s="70"/>
      <c r="C854" s="70"/>
      <c r="D854" s="71"/>
      <c r="E854" s="72"/>
      <c r="F854" s="70"/>
      <c r="G854" s="69"/>
      <c r="H854" s="70"/>
      <c r="I854" s="70"/>
      <c r="J854" s="71"/>
      <c r="K854" s="72"/>
      <c r="L854" s="70"/>
      <c r="M854" s="70"/>
      <c r="N854" s="82"/>
      <c r="O854" s="70"/>
      <c r="P854" s="70"/>
      <c r="Q854" s="70"/>
      <c r="R854" s="71"/>
      <c r="S854" s="72"/>
      <c r="T854" s="70"/>
      <c r="U854" s="70"/>
      <c r="V854" s="71"/>
      <c r="W854" s="70"/>
      <c r="X854" s="70"/>
      <c r="Y854" s="70"/>
      <c r="Z854" s="70"/>
      <c r="AA854" s="70"/>
      <c r="AB854" s="70"/>
      <c r="AC854" s="70"/>
      <c r="AD854" s="70"/>
      <c r="AE854" s="70"/>
      <c r="AF854" s="70"/>
      <c r="AG854" s="70"/>
      <c r="AH854" s="70"/>
      <c r="AI854" s="70"/>
      <c r="AJ854" s="70"/>
      <c r="AK854" s="70"/>
      <c r="AL854" s="70"/>
      <c r="AM854" s="70"/>
      <c r="AN854" s="70"/>
      <c r="AO854" s="70"/>
    </row>
    <row r="855">
      <c r="A855" s="70"/>
      <c r="B855" s="70"/>
      <c r="C855" s="70"/>
      <c r="D855" s="71"/>
      <c r="E855" s="72"/>
      <c r="F855" s="70"/>
      <c r="G855" s="69"/>
      <c r="H855" s="70"/>
      <c r="I855" s="70"/>
      <c r="J855" s="71"/>
      <c r="K855" s="72"/>
      <c r="L855" s="70"/>
      <c r="M855" s="70"/>
      <c r="N855" s="82"/>
      <c r="O855" s="70"/>
      <c r="P855" s="70"/>
      <c r="Q855" s="70"/>
      <c r="R855" s="71"/>
      <c r="S855" s="72"/>
      <c r="T855" s="70"/>
      <c r="U855" s="70"/>
      <c r="V855" s="71"/>
      <c r="W855" s="70"/>
      <c r="X855" s="70"/>
      <c r="Y855" s="70"/>
      <c r="Z855" s="70"/>
      <c r="AA855" s="70"/>
      <c r="AB855" s="70"/>
      <c r="AC855" s="70"/>
      <c r="AD855" s="70"/>
      <c r="AE855" s="70"/>
      <c r="AF855" s="70"/>
      <c r="AG855" s="70"/>
      <c r="AH855" s="70"/>
      <c r="AI855" s="70"/>
      <c r="AJ855" s="70"/>
      <c r="AK855" s="70"/>
      <c r="AL855" s="70"/>
      <c r="AM855" s="70"/>
      <c r="AN855" s="70"/>
      <c r="AO855" s="70"/>
    </row>
    <row r="856">
      <c r="A856" s="70"/>
      <c r="B856" s="70"/>
      <c r="C856" s="70"/>
      <c r="D856" s="71"/>
      <c r="E856" s="72"/>
      <c r="F856" s="70"/>
      <c r="G856" s="69"/>
      <c r="H856" s="70"/>
      <c r="I856" s="70"/>
      <c r="J856" s="71"/>
      <c r="K856" s="72"/>
      <c r="L856" s="70"/>
      <c r="M856" s="70"/>
      <c r="N856" s="82"/>
      <c r="O856" s="70"/>
      <c r="P856" s="70"/>
      <c r="Q856" s="70"/>
      <c r="R856" s="71"/>
      <c r="S856" s="72"/>
      <c r="T856" s="70"/>
      <c r="U856" s="70"/>
      <c r="V856" s="71"/>
      <c r="W856" s="70"/>
      <c r="X856" s="70"/>
      <c r="Y856" s="70"/>
      <c r="Z856" s="70"/>
      <c r="AA856" s="70"/>
      <c r="AB856" s="70"/>
      <c r="AC856" s="70"/>
      <c r="AD856" s="70"/>
      <c r="AE856" s="70"/>
      <c r="AF856" s="70"/>
      <c r="AG856" s="70"/>
      <c r="AH856" s="70"/>
      <c r="AI856" s="70"/>
      <c r="AJ856" s="70"/>
      <c r="AK856" s="70"/>
      <c r="AL856" s="70"/>
      <c r="AM856" s="70"/>
      <c r="AN856" s="70"/>
      <c r="AO856" s="70"/>
    </row>
    <row r="857">
      <c r="A857" s="70"/>
      <c r="B857" s="70"/>
      <c r="C857" s="70"/>
      <c r="D857" s="71"/>
      <c r="E857" s="72"/>
      <c r="F857" s="70"/>
      <c r="G857" s="69"/>
      <c r="H857" s="70"/>
      <c r="I857" s="70"/>
      <c r="J857" s="71"/>
      <c r="K857" s="72"/>
      <c r="L857" s="70"/>
      <c r="M857" s="70"/>
      <c r="N857" s="82"/>
      <c r="O857" s="70"/>
      <c r="P857" s="70"/>
      <c r="Q857" s="70"/>
      <c r="R857" s="71"/>
      <c r="S857" s="72"/>
      <c r="T857" s="70"/>
      <c r="U857" s="70"/>
      <c r="V857" s="71"/>
      <c r="W857" s="70"/>
      <c r="X857" s="70"/>
      <c r="Y857" s="70"/>
      <c r="Z857" s="70"/>
      <c r="AA857" s="70"/>
      <c r="AB857" s="70"/>
      <c r="AC857" s="70"/>
      <c r="AD857" s="70"/>
      <c r="AE857" s="70"/>
      <c r="AF857" s="70"/>
      <c r="AG857" s="70"/>
      <c r="AH857" s="70"/>
      <c r="AI857" s="70"/>
      <c r="AJ857" s="70"/>
      <c r="AK857" s="70"/>
      <c r="AL857" s="70"/>
      <c r="AM857" s="70"/>
      <c r="AN857" s="70"/>
      <c r="AO857" s="70"/>
    </row>
    <row r="858">
      <c r="A858" s="70"/>
      <c r="B858" s="70"/>
      <c r="C858" s="70"/>
      <c r="D858" s="71"/>
      <c r="E858" s="72"/>
      <c r="F858" s="70"/>
      <c r="G858" s="69"/>
      <c r="H858" s="70"/>
      <c r="I858" s="70"/>
      <c r="J858" s="71"/>
      <c r="K858" s="72"/>
      <c r="L858" s="70"/>
      <c r="M858" s="70"/>
      <c r="N858" s="82"/>
      <c r="O858" s="70"/>
      <c r="P858" s="70"/>
      <c r="Q858" s="70"/>
      <c r="R858" s="71"/>
      <c r="S858" s="72"/>
      <c r="T858" s="70"/>
      <c r="U858" s="70"/>
      <c r="V858" s="71"/>
      <c r="W858" s="70"/>
      <c r="X858" s="70"/>
      <c r="Y858" s="70"/>
      <c r="Z858" s="70"/>
      <c r="AA858" s="70"/>
      <c r="AB858" s="70"/>
      <c r="AC858" s="70"/>
      <c r="AD858" s="70"/>
      <c r="AE858" s="70"/>
      <c r="AF858" s="70"/>
      <c r="AG858" s="70"/>
      <c r="AH858" s="70"/>
      <c r="AI858" s="70"/>
      <c r="AJ858" s="70"/>
      <c r="AK858" s="70"/>
      <c r="AL858" s="70"/>
      <c r="AM858" s="70"/>
      <c r="AN858" s="70"/>
      <c r="AO858" s="70"/>
    </row>
    <row r="859">
      <c r="A859" s="70"/>
      <c r="B859" s="70"/>
      <c r="C859" s="70"/>
      <c r="D859" s="71"/>
      <c r="E859" s="72"/>
      <c r="F859" s="70"/>
      <c r="G859" s="69"/>
      <c r="H859" s="70"/>
      <c r="I859" s="70"/>
      <c r="J859" s="71"/>
      <c r="K859" s="72"/>
      <c r="L859" s="70"/>
      <c r="M859" s="70"/>
      <c r="N859" s="82"/>
      <c r="O859" s="70"/>
      <c r="P859" s="70"/>
      <c r="Q859" s="70"/>
      <c r="R859" s="71"/>
      <c r="S859" s="72"/>
      <c r="T859" s="70"/>
      <c r="U859" s="70"/>
      <c r="V859" s="71"/>
      <c r="W859" s="70"/>
      <c r="X859" s="70"/>
      <c r="Y859" s="70"/>
      <c r="Z859" s="70"/>
      <c r="AA859" s="70"/>
      <c r="AB859" s="70"/>
      <c r="AC859" s="70"/>
      <c r="AD859" s="70"/>
      <c r="AE859" s="70"/>
      <c r="AF859" s="70"/>
      <c r="AG859" s="70"/>
      <c r="AH859" s="70"/>
      <c r="AI859" s="70"/>
      <c r="AJ859" s="70"/>
      <c r="AK859" s="70"/>
      <c r="AL859" s="70"/>
      <c r="AM859" s="70"/>
      <c r="AN859" s="70"/>
      <c r="AO859" s="70"/>
    </row>
    <row r="860">
      <c r="A860" s="70"/>
      <c r="B860" s="70"/>
      <c r="C860" s="70"/>
      <c r="D860" s="71"/>
      <c r="E860" s="72"/>
      <c r="F860" s="70"/>
      <c r="G860" s="69"/>
      <c r="H860" s="70"/>
      <c r="I860" s="70"/>
      <c r="J860" s="71"/>
      <c r="K860" s="72"/>
      <c r="L860" s="70"/>
      <c r="M860" s="70"/>
      <c r="N860" s="82"/>
      <c r="O860" s="70"/>
      <c r="P860" s="70"/>
      <c r="Q860" s="70"/>
      <c r="R860" s="71"/>
      <c r="S860" s="72"/>
      <c r="T860" s="70"/>
      <c r="U860" s="70"/>
      <c r="V860" s="71"/>
      <c r="W860" s="70"/>
      <c r="X860" s="70"/>
      <c r="Y860" s="70"/>
      <c r="Z860" s="70"/>
      <c r="AA860" s="70"/>
      <c r="AB860" s="70"/>
      <c r="AC860" s="70"/>
      <c r="AD860" s="70"/>
      <c r="AE860" s="70"/>
      <c r="AF860" s="70"/>
      <c r="AG860" s="70"/>
      <c r="AH860" s="70"/>
      <c r="AI860" s="70"/>
      <c r="AJ860" s="70"/>
      <c r="AK860" s="70"/>
      <c r="AL860" s="70"/>
      <c r="AM860" s="70"/>
      <c r="AN860" s="70"/>
      <c r="AO860" s="70"/>
    </row>
    <row r="861">
      <c r="A861" s="70"/>
      <c r="B861" s="70"/>
      <c r="C861" s="70"/>
      <c r="D861" s="71"/>
      <c r="E861" s="72"/>
      <c r="F861" s="70"/>
      <c r="G861" s="69"/>
      <c r="H861" s="70"/>
      <c r="I861" s="70"/>
      <c r="J861" s="71"/>
      <c r="K861" s="72"/>
      <c r="L861" s="70"/>
      <c r="M861" s="70"/>
      <c r="N861" s="82"/>
      <c r="O861" s="70"/>
      <c r="P861" s="70"/>
      <c r="Q861" s="70"/>
      <c r="R861" s="71"/>
      <c r="S861" s="72"/>
      <c r="T861" s="70"/>
      <c r="U861" s="70"/>
      <c r="V861" s="71"/>
      <c r="W861" s="70"/>
      <c r="X861" s="70"/>
      <c r="Y861" s="70"/>
      <c r="Z861" s="70"/>
      <c r="AA861" s="70"/>
      <c r="AB861" s="70"/>
      <c r="AC861" s="70"/>
      <c r="AD861" s="70"/>
      <c r="AE861" s="70"/>
      <c r="AF861" s="70"/>
      <c r="AG861" s="70"/>
      <c r="AH861" s="70"/>
      <c r="AI861" s="70"/>
      <c r="AJ861" s="70"/>
      <c r="AK861" s="70"/>
      <c r="AL861" s="70"/>
      <c r="AM861" s="70"/>
      <c r="AN861" s="70"/>
      <c r="AO861" s="70"/>
    </row>
    <row r="862">
      <c r="A862" s="70"/>
      <c r="B862" s="70"/>
      <c r="C862" s="70"/>
      <c r="D862" s="71"/>
      <c r="E862" s="72"/>
      <c r="F862" s="70"/>
      <c r="G862" s="69"/>
      <c r="H862" s="70"/>
      <c r="I862" s="70"/>
      <c r="J862" s="71"/>
      <c r="K862" s="72"/>
      <c r="L862" s="70"/>
      <c r="M862" s="70"/>
      <c r="N862" s="82"/>
      <c r="O862" s="70"/>
      <c r="P862" s="70"/>
      <c r="Q862" s="70"/>
      <c r="R862" s="71"/>
      <c r="S862" s="72"/>
      <c r="T862" s="70"/>
      <c r="U862" s="70"/>
      <c r="V862" s="71"/>
      <c r="W862" s="70"/>
      <c r="X862" s="70"/>
      <c r="Y862" s="70"/>
      <c r="Z862" s="70"/>
      <c r="AA862" s="70"/>
      <c r="AB862" s="70"/>
      <c r="AC862" s="70"/>
      <c r="AD862" s="70"/>
      <c r="AE862" s="70"/>
      <c r="AF862" s="70"/>
      <c r="AG862" s="70"/>
      <c r="AH862" s="70"/>
      <c r="AI862" s="70"/>
      <c r="AJ862" s="70"/>
      <c r="AK862" s="70"/>
      <c r="AL862" s="70"/>
      <c r="AM862" s="70"/>
      <c r="AN862" s="70"/>
      <c r="AO862" s="70"/>
    </row>
    <row r="863">
      <c r="A863" s="70"/>
      <c r="B863" s="70"/>
      <c r="C863" s="70"/>
      <c r="D863" s="71"/>
      <c r="E863" s="72"/>
      <c r="F863" s="70"/>
      <c r="G863" s="69"/>
      <c r="H863" s="70"/>
      <c r="I863" s="70"/>
      <c r="J863" s="71"/>
      <c r="K863" s="72"/>
      <c r="L863" s="70"/>
      <c r="M863" s="70"/>
      <c r="N863" s="82"/>
      <c r="O863" s="70"/>
      <c r="P863" s="70"/>
      <c r="Q863" s="70"/>
      <c r="R863" s="71"/>
      <c r="S863" s="72"/>
      <c r="T863" s="70"/>
      <c r="U863" s="70"/>
      <c r="V863" s="71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</row>
    <row r="864">
      <c r="A864" s="70"/>
      <c r="B864" s="70"/>
      <c r="C864" s="70"/>
      <c r="D864" s="71"/>
      <c r="E864" s="72"/>
      <c r="F864" s="70"/>
      <c r="G864" s="69"/>
      <c r="H864" s="70"/>
      <c r="I864" s="70"/>
      <c r="J864" s="71"/>
      <c r="K864" s="72"/>
      <c r="L864" s="70"/>
      <c r="M864" s="70"/>
      <c r="N864" s="82"/>
      <c r="O864" s="70"/>
      <c r="P864" s="70"/>
      <c r="Q864" s="70"/>
      <c r="R864" s="71"/>
      <c r="S864" s="72"/>
      <c r="T864" s="70"/>
      <c r="U864" s="70"/>
      <c r="V864" s="71"/>
      <c r="W864" s="70"/>
      <c r="X864" s="70"/>
      <c r="Y864" s="70"/>
      <c r="Z864" s="70"/>
      <c r="AA864" s="70"/>
      <c r="AB864" s="70"/>
      <c r="AC864" s="70"/>
      <c r="AD864" s="70"/>
      <c r="AE864" s="70"/>
      <c r="AF864" s="70"/>
      <c r="AG864" s="70"/>
      <c r="AH864" s="70"/>
      <c r="AI864" s="70"/>
      <c r="AJ864" s="70"/>
      <c r="AK864" s="70"/>
      <c r="AL864" s="70"/>
      <c r="AM864" s="70"/>
      <c r="AN864" s="70"/>
      <c r="AO864" s="70"/>
    </row>
    <row r="865">
      <c r="A865" s="70"/>
      <c r="B865" s="70"/>
      <c r="C865" s="70"/>
      <c r="D865" s="71"/>
      <c r="E865" s="72"/>
      <c r="F865" s="70"/>
      <c r="G865" s="69"/>
      <c r="H865" s="70"/>
      <c r="I865" s="70"/>
      <c r="J865" s="71"/>
      <c r="K865" s="72"/>
      <c r="L865" s="70"/>
      <c r="M865" s="70"/>
      <c r="N865" s="82"/>
      <c r="O865" s="70"/>
      <c r="P865" s="70"/>
      <c r="Q865" s="70"/>
      <c r="R865" s="71"/>
      <c r="S865" s="72"/>
      <c r="T865" s="70"/>
      <c r="U865" s="70"/>
      <c r="V865" s="71"/>
      <c r="W865" s="70"/>
      <c r="X865" s="70"/>
      <c r="Y865" s="70"/>
      <c r="Z865" s="70"/>
      <c r="AA865" s="70"/>
      <c r="AB865" s="70"/>
      <c r="AC865" s="70"/>
      <c r="AD865" s="70"/>
      <c r="AE865" s="70"/>
      <c r="AF865" s="70"/>
      <c r="AG865" s="70"/>
      <c r="AH865" s="70"/>
      <c r="AI865" s="70"/>
      <c r="AJ865" s="70"/>
      <c r="AK865" s="70"/>
      <c r="AL865" s="70"/>
      <c r="AM865" s="70"/>
      <c r="AN865" s="70"/>
      <c r="AO865" s="70"/>
    </row>
    <row r="866">
      <c r="A866" s="70"/>
      <c r="B866" s="70"/>
      <c r="C866" s="70"/>
      <c r="D866" s="71"/>
      <c r="E866" s="72"/>
      <c r="F866" s="70"/>
      <c r="G866" s="69"/>
      <c r="H866" s="70"/>
      <c r="I866" s="70"/>
      <c r="J866" s="71"/>
      <c r="K866" s="72"/>
      <c r="L866" s="70"/>
      <c r="M866" s="70"/>
      <c r="N866" s="82"/>
      <c r="O866" s="70"/>
      <c r="P866" s="70"/>
      <c r="Q866" s="70"/>
      <c r="R866" s="71"/>
      <c r="S866" s="72"/>
      <c r="T866" s="70"/>
      <c r="U866" s="70"/>
      <c r="V866" s="71"/>
      <c r="W866" s="70"/>
      <c r="X866" s="70"/>
      <c r="Y866" s="70"/>
      <c r="Z866" s="70"/>
      <c r="AA866" s="70"/>
      <c r="AB866" s="70"/>
      <c r="AC866" s="70"/>
      <c r="AD866" s="70"/>
      <c r="AE866" s="70"/>
      <c r="AF866" s="70"/>
      <c r="AG866" s="70"/>
      <c r="AH866" s="70"/>
      <c r="AI866" s="70"/>
      <c r="AJ866" s="70"/>
      <c r="AK866" s="70"/>
      <c r="AL866" s="70"/>
      <c r="AM866" s="70"/>
      <c r="AN866" s="70"/>
      <c r="AO866" s="70"/>
    </row>
    <row r="867">
      <c r="A867" s="70"/>
      <c r="B867" s="70"/>
      <c r="C867" s="70"/>
      <c r="D867" s="71"/>
      <c r="E867" s="72"/>
      <c r="F867" s="70"/>
      <c r="G867" s="69"/>
      <c r="H867" s="70"/>
      <c r="I867" s="70"/>
      <c r="J867" s="71"/>
      <c r="K867" s="72"/>
      <c r="L867" s="70"/>
      <c r="M867" s="70"/>
      <c r="N867" s="82"/>
      <c r="O867" s="70"/>
      <c r="P867" s="70"/>
      <c r="Q867" s="70"/>
      <c r="R867" s="71"/>
      <c r="S867" s="72"/>
      <c r="T867" s="70"/>
      <c r="U867" s="70"/>
      <c r="V867" s="71"/>
      <c r="W867" s="70"/>
      <c r="X867" s="70"/>
      <c r="Y867" s="70"/>
      <c r="Z867" s="70"/>
      <c r="AA867" s="70"/>
      <c r="AB867" s="70"/>
      <c r="AC867" s="70"/>
      <c r="AD867" s="70"/>
      <c r="AE867" s="70"/>
      <c r="AF867" s="70"/>
      <c r="AG867" s="70"/>
      <c r="AH867" s="70"/>
      <c r="AI867" s="70"/>
      <c r="AJ867" s="70"/>
      <c r="AK867" s="70"/>
      <c r="AL867" s="70"/>
      <c r="AM867" s="70"/>
      <c r="AN867" s="70"/>
      <c r="AO867" s="70"/>
    </row>
    <row r="868">
      <c r="A868" s="70"/>
      <c r="B868" s="70"/>
      <c r="C868" s="70"/>
      <c r="D868" s="71"/>
      <c r="E868" s="72"/>
      <c r="F868" s="70"/>
      <c r="G868" s="69"/>
      <c r="H868" s="70"/>
      <c r="I868" s="70"/>
      <c r="J868" s="71"/>
      <c r="K868" s="72"/>
      <c r="L868" s="70"/>
      <c r="M868" s="70"/>
      <c r="N868" s="82"/>
      <c r="O868" s="70"/>
      <c r="P868" s="70"/>
      <c r="Q868" s="70"/>
      <c r="R868" s="71"/>
      <c r="S868" s="72"/>
      <c r="T868" s="70"/>
      <c r="U868" s="70"/>
      <c r="V868" s="71"/>
      <c r="W868" s="70"/>
      <c r="X868" s="70"/>
      <c r="Y868" s="70"/>
      <c r="Z868" s="70"/>
      <c r="AA868" s="70"/>
      <c r="AB868" s="70"/>
      <c r="AC868" s="70"/>
      <c r="AD868" s="70"/>
      <c r="AE868" s="70"/>
      <c r="AF868" s="70"/>
      <c r="AG868" s="70"/>
      <c r="AH868" s="70"/>
      <c r="AI868" s="70"/>
      <c r="AJ868" s="70"/>
      <c r="AK868" s="70"/>
      <c r="AL868" s="70"/>
      <c r="AM868" s="70"/>
      <c r="AN868" s="70"/>
      <c r="AO868" s="70"/>
    </row>
    <row r="869">
      <c r="A869" s="70"/>
      <c r="B869" s="70"/>
      <c r="C869" s="70"/>
      <c r="D869" s="71"/>
      <c r="E869" s="72"/>
      <c r="F869" s="70"/>
      <c r="G869" s="69"/>
      <c r="H869" s="70"/>
      <c r="I869" s="70"/>
      <c r="J869" s="71"/>
      <c r="K869" s="72"/>
      <c r="L869" s="70"/>
      <c r="M869" s="70"/>
      <c r="N869" s="82"/>
      <c r="O869" s="70"/>
      <c r="P869" s="70"/>
      <c r="Q869" s="70"/>
      <c r="R869" s="71"/>
      <c r="S869" s="72"/>
      <c r="T869" s="70"/>
      <c r="U869" s="70"/>
      <c r="V869" s="71"/>
      <c r="W869" s="70"/>
      <c r="X869" s="70"/>
      <c r="Y869" s="70"/>
      <c r="Z869" s="70"/>
      <c r="AA869" s="70"/>
      <c r="AB869" s="70"/>
      <c r="AC869" s="70"/>
      <c r="AD869" s="70"/>
      <c r="AE869" s="70"/>
      <c r="AF869" s="70"/>
      <c r="AG869" s="70"/>
      <c r="AH869" s="70"/>
      <c r="AI869" s="70"/>
      <c r="AJ869" s="70"/>
      <c r="AK869" s="70"/>
      <c r="AL869" s="70"/>
      <c r="AM869" s="70"/>
      <c r="AN869" s="70"/>
      <c r="AO869" s="70"/>
    </row>
    <row r="870">
      <c r="A870" s="70"/>
      <c r="B870" s="70"/>
      <c r="C870" s="70"/>
      <c r="D870" s="71"/>
      <c r="E870" s="72"/>
      <c r="F870" s="70"/>
      <c r="G870" s="69"/>
      <c r="H870" s="70"/>
      <c r="I870" s="70"/>
      <c r="J870" s="71"/>
      <c r="K870" s="72"/>
      <c r="L870" s="70"/>
      <c r="M870" s="70"/>
      <c r="N870" s="82"/>
      <c r="O870" s="70"/>
      <c r="P870" s="70"/>
      <c r="Q870" s="70"/>
      <c r="R870" s="71"/>
      <c r="S870" s="72"/>
      <c r="T870" s="70"/>
      <c r="U870" s="70"/>
      <c r="V870" s="71"/>
      <c r="W870" s="70"/>
      <c r="X870" s="70"/>
      <c r="Y870" s="70"/>
      <c r="Z870" s="70"/>
      <c r="AA870" s="70"/>
      <c r="AB870" s="70"/>
      <c r="AC870" s="70"/>
      <c r="AD870" s="70"/>
      <c r="AE870" s="70"/>
      <c r="AF870" s="70"/>
      <c r="AG870" s="70"/>
      <c r="AH870" s="70"/>
      <c r="AI870" s="70"/>
      <c r="AJ870" s="70"/>
      <c r="AK870" s="70"/>
      <c r="AL870" s="70"/>
      <c r="AM870" s="70"/>
      <c r="AN870" s="70"/>
      <c r="AO870" s="70"/>
    </row>
    <row r="871">
      <c r="A871" s="70"/>
      <c r="B871" s="70"/>
      <c r="C871" s="70"/>
      <c r="D871" s="71"/>
      <c r="E871" s="72"/>
      <c r="F871" s="70"/>
      <c r="G871" s="69"/>
      <c r="H871" s="70"/>
      <c r="I871" s="70"/>
      <c r="J871" s="71"/>
      <c r="K871" s="72"/>
      <c r="L871" s="70"/>
      <c r="M871" s="70"/>
      <c r="N871" s="82"/>
      <c r="O871" s="70"/>
      <c r="P871" s="70"/>
      <c r="Q871" s="70"/>
      <c r="R871" s="71"/>
      <c r="S871" s="72"/>
      <c r="T871" s="70"/>
      <c r="U871" s="70"/>
      <c r="V871" s="71"/>
      <c r="W871" s="70"/>
      <c r="X871" s="70"/>
      <c r="Y871" s="70"/>
      <c r="Z871" s="70"/>
      <c r="AA871" s="70"/>
      <c r="AB871" s="70"/>
      <c r="AC871" s="70"/>
      <c r="AD871" s="70"/>
      <c r="AE871" s="70"/>
      <c r="AF871" s="70"/>
      <c r="AG871" s="70"/>
      <c r="AH871" s="70"/>
      <c r="AI871" s="70"/>
      <c r="AJ871" s="70"/>
      <c r="AK871" s="70"/>
      <c r="AL871" s="70"/>
      <c r="AM871" s="70"/>
      <c r="AN871" s="70"/>
      <c r="AO871" s="70"/>
    </row>
    <row r="872">
      <c r="A872" s="70"/>
      <c r="B872" s="70"/>
      <c r="C872" s="70"/>
      <c r="D872" s="71"/>
      <c r="E872" s="72"/>
      <c r="F872" s="70"/>
      <c r="G872" s="69"/>
      <c r="H872" s="70"/>
      <c r="I872" s="70"/>
      <c r="J872" s="71"/>
      <c r="K872" s="72"/>
      <c r="L872" s="70"/>
      <c r="M872" s="70"/>
      <c r="N872" s="82"/>
      <c r="O872" s="70"/>
      <c r="P872" s="70"/>
      <c r="Q872" s="70"/>
      <c r="R872" s="71"/>
      <c r="S872" s="72"/>
      <c r="T872" s="70"/>
      <c r="U872" s="70"/>
      <c r="V872" s="71"/>
      <c r="W872" s="70"/>
      <c r="X872" s="70"/>
      <c r="Y872" s="70"/>
      <c r="Z872" s="70"/>
      <c r="AA872" s="70"/>
      <c r="AB872" s="70"/>
      <c r="AC872" s="70"/>
      <c r="AD872" s="70"/>
      <c r="AE872" s="70"/>
      <c r="AF872" s="70"/>
      <c r="AG872" s="70"/>
      <c r="AH872" s="70"/>
      <c r="AI872" s="70"/>
      <c r="AJ872" s="70"/>
      <c r="AK872" s="70"/>
      <c r="AL872" s="70"/>
      <c r="AM872" s="70"/>
      <c r="AN872" s="70"/>
      <c r="AO872" s="70"/>
    </row>
    <row r="873">
      <c r="A873" s="70"/>
      <c r="B873" s="70"/>
      <c r="C873" s="70"/>
      <c r="D873" s="71"/>
      <c r="E873" s="72"/>
      <c r="F873" s="70"/>
      <c r="G873" s="69"/>
      <c r="H873" s="70"/>
      <c r="I873" s="70"/>
      <c r="J873" s="71"/>
      <c r="K873" s="72"/>
      <c r="L873" s="70"/>
      <c r="M873" s="70"/>
      <c r="N873" s="82"/>
      <c r="O873" s="70"/>
      <c r="P873" s="70"/>
      <c r="Q873" s="70"/>
      <c r="R873" s="71"/>
      <c r="S873" s="72"/>
      <c r="T873" s="70"/>
      <c r="U873" s="70"/>
      <c r="V873" s="71"/>
      <c r="W873" s="70"/>
      <c r="X873" s="70"/>
      <c r="Y873" s="70"/>
      <c r="Z873" s="70"/>
      <c r="AA873" s="70"/>
      <c r="AB873" s="70"/>
      <c r="AC873" s="70"/>
      <c r="AD873" s="70"/>
      <c r="AE873" s="70"/>
      <c r="AF873" s="70"/>
      <c r="AG873" s="70"/>
      <c r="AH873" s="70"/>
      <c r="AI873" s="70"/>
      <c r="AJ873" s="70"/>
      <c r="AK873" s="70"/>
      <c r="AL873" s="70"/>
      <c r="AM873" s="70"/>
      <c r="AN873" s="70"/>
      <c r="AO873" s="70"/>
    </row>
    <row r="874">
      <c r="A874" s="70"/>
      <c r="B874" s="70"/>
      <c r="C874" s="70"/>
      <c r="D874" s="71"/>
      <c r="E874" s="72"/>
      <c r="F874" s="70"/>
      <c r="G874" s="69"/>
      <c r="H874" s="70"/>
      <c r="I874" s="70"/>
      <c r="J874" s="71"/>
      <c r="K874" s="72"/>
      <c r="L874" s="70"/>
      <c r="M874" s="70"/>
      <c r="N874" s="82"/>
      <c r="O874" s="70"/>
      <c r="P874" s="70"/>
      <c r="Q874" s="70"/>
      <c r="R874" s="71"/>
      <c r="S874" s="72"/>
      <c r="T874" s="70"/>
      <c r="U874" s="70"/>
      <c r="V874" s="71"/>
      <c r="W874" s="70"/>
      <c r="X874" s="70"/>
      <c r="Y874" s="70"/>
      <c r="Z874" s="70"/>
      <c r="AA874" s="70"/>
      <c r="AB874" s="70"/>
      <c r="AC874" s="70"/>
      <c r="AD874" s="70"/>
      <c r="AE874" s="70"/>
      <c r="AF874" s="70"/>
      <c r="AG874" s="70"/>
      <c r="AH874" s="70"/>
      <c r="AI874" s="70"/>
      <c r="AJ874" s="70"/>
      <c r="AK874" s="70"/>
      <c r="AL874" s="70"/>
      <c r="AM874" s="70"/>
      <c r="AN874" s="70"/>
      <c r="AO874" s="70"/>
    </row>
    <row r="875">
      <c r="A875" s="70"/>
      <c r="B875" s="70"/>
      <c r="C875" s="70"/>
      <c r="D875" s="71"/>
      <c r="E875" s="72"/>
      <c r="F875" s="70"/>
      <c r="G875" s="69"/>
      <c r="H875" s="70"/>
      <c r="I875" s="70"/>
      <c r="J875" s="71"/>
      <c r="K875" s="72"/>
      <c r="L875" s="70"/>
      <c r="M875" s="70"/>
      <c r="N875" s="82"/>
      <c r="O875" s="70"/>
      <c r="P875" s="70"/>
      <c r="Q875" s="70"/>
      <c r="R875" s="71"/>
      <c r="S875" s="72"/>
      <c r="T875" s="70"/>
      <c r="U875" s="70"/>
      <c r="V875" s="71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0"/>
      <c r="AJ875" s="70"/>
      <c r="AK875" s="70"/>
      <c r="AL875" s="70"/>
      <c r="AM875" s="70"/>
      <c r="AN875" s="70"/>
      <c r="AO875" s="70"/>
    </row>
    <row r="876">
      <c r="A876" s="70"/>
      <c r="B876" s="70"/>
      <c r="C876" s="70"/>
      <c r="D876" s="71"/>
      <c r="E876" s="72"/>
      <c r="F876" s="70"/>
      <c r="G876" s="69"/>
      <c r="H876" s="70"/>
      <c r="I876" s="70"/>
      <c r="J876" s="71"/>
      <c r="K876" s="72"/>
      <c r="L876" s="70"/>
      <c r="M876" s="70"/>
      <c r="N876" s="82"/>
      <c r="O876" s="70"/>
      <c r="P876" s="70"/>
      <c r="Q876" s="70"/>
      <c r="R876" s="71"/>
      <c r="S876" s="72"/>
      <c r="T876" s="70"/>
      <c r="U876" s="70"/>
      <c r="V876" s="71"/>
      <c r="W876" s="70"/>
      <c r="X876" s="70"/>
      <c r="Y876" s="70"/>
      <c r="Z876" s="70"/>
      <c r="AA876" s="70"/>
      <c r="AB876" s="70"/>
      <c r="AC876" s="70"/>
      <c r="AD876" s="70"/>
      <c r="AE876" s="70"/>
      <c r="AF876" s="70"/>
      <c r="AG876" s="70"/>
      <c r="AH876" s="70"/>
      <c r="AI876" s="70"/>
      <c r="AJ876" s="70"/>
      <c r="AK876" s="70"/>
      <c r="AL876" s="70"/>
      <c r="AM876" s="70"/>
      <c r="AN876" s="70"/>
      <c r="AO876" s="70"/>
    </row>
    <row r="877">
      <c r="A877" s="70"/>
      <c r="B877" s="70"/>
      <c r="C877" s="70"/>
      <c r="D877" s="71"/>
      <c r="E877" s="72"/>
      <c r="F877" s="70"/>
      <c r="G877" s="69"/>
      <c r="H877" s="70"/>
      <c r="I877" s="70"/>
      <c r="J877" s="71"/>
      <c r="K877" s="72"/>
      <c r="L877" s="70"/>
      <c r="M877" s="70"/>
      <c r="N877" s="82"/>
      <c r="O877" s="70"/>
      <c r="P877" s="70"/>
      <c r="Q877" s="70"/>
      <c r="R877" s="71"/>
      <c r="S877" s="72"/>
      <c r="T877" s="70"/>
      <c r="U877" s="70"/>
      <c r="V877" s="71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</row>
    <row r="878">
      <c r="A878" s="70"/>
      <c r="B878" s="70"/>
      <c r="C878" s="70"/>
      <c r="D878" s="71"/>
      <c r="E878" s="72"/>
      <c r="F878" s="70"/>
      <c r="G878" s="69"/>
      <c r="H878" s="70"/>
      <c r="I878" s="70"/>
      <c r="J878" s="71"/>
      <c r="K878" s="72"/>
      <c r="L878" s="70"/>
      <c r="M878" s="70"/>
      <c r="N878" s="82"/>
      <c r="O878" s="70"/>
      <c r="P878" s="70"/>
      <c r="Q878" s="70"/>
      <c r="R878" s="71"/>
      <c r="S878" s="72"/>
      <c r="T878" s="70"/>
      <c r="U878" s="70"/>
      <c r="V878" s="71"/>
      <c r="W878" s="70"/>
      <c r="X878" s="70"/>
      <c r="Y878" s="70"/>
      <c r="Z878" s="70"/>
      <c r="AA878" s="70"/>
      <c r="AB878" s="70"/>
      <c r="AC878" s="70"/>
      <c r="AD878" s="70"/>
      <c r="AE878" s="70"/>
      <c r="AF878" s="70"/>
      <c r="AG878" s="70"/>
      <c r="AH878" s="70"/>
      <c r="AI878" s="70"/>
      <c r="AJ878" s="70"/>
      <c r="AK878" s="70"/>
      <c r="AL878" s="70"/>
      <c r="AM878" s="70"/>
      <c r="AN878" s="70"/>
      <c r="AO878" s="70"/>
    </row>
    <row r="879">
      <c r="A879" s="70"/>
      <c r="B879" s="70"/>
      <c r="C879" s="70"/>
      <c r="D879" s="71"/>
      <c r="E879" s="72"/>
      <c r="F879" s="70"/>
      <c r="G879" s="69"/>
      <c r="H879" s="70"/>
      <c r="I879" s="70"/>
      <c r="J879" s="71"/>
      <c r="K879" s="72"/>
      <c r="L879" s="70"/>
      <c r="M879" s="70"/>
      <c r="N879" s="82"/>
      <c r="O879" s="70"/>
      <c r="P879" s="70"/>
      <c r="Q879" s="70"/>
      <c r="R879" s="71"/>
      <c r="S879" s="72"/>
      <c r="T879" s="70"/>
      <c r="U879" s="70"/>
      <c r="V879" s="71"/>
      <c r="W879" s="70"/>
      <c r="X879" s="70"/>
      <c r="Y879" s="70"/>
      <c r="Z879" s="70"/>
      <c r="AA879" s="70"/>
      <c r="AB879" s="70"/>
      <c r="AC879" s="70"/>
      <c r="AD879" s="70"/>
      <c r="AE879" s="70"/>
      <c r="AF879" s="70"/>
      <c r="AG879" s="70"/>
      <c r="AH879" s="70"/>
      <c r="AI879" s="70"/>
      <c r="AJ879" s="70"/>
      <c r="AK879" s="70"/>
      <c r="AL879" s="70"/>
      <c r="AM879" s="70"/>
      <c r="AN879" s="70"/>
      <c r="AO879" s="70"/>
    </row>
    <row r="880">
      <c r="A880" s="70"/>
      <c r="B880" s="70"/>
      <c r="C880" s="70"/>
      <c r="D880" s="71"/>
      <c r="E880" s="72"/>
      <c r="F880" s="70"/>
      <c r="G880" s="69"/>
      <c r="H880" s="70"/>
      <c r="I880" s="70"/>
      <c r="J880" s="71"/>
      <c r="K880" s="72"/>
      <c r="L880" s="70"/>
      <c r="M880" s="70"/>
      <c r="N880" s="82"/>
      <c r="O880" s="70"/>
      <c r="P880" s="70"/>
      <c r="Q880" s="70"/>
      <c r="R880" s="71"/>
      <c r="S880" s="72"/>
      <c r="T880" s="70"/>
      <c r="U880" s="70"/>
      <c r="V880" s="71"/>
      <c r="W880" s="70"/>
      <c r="X880" s="70"/>
      <c r="Y880" s="70"/>
      <c r="Z880" s="70"/>
      <c r="AA880" s="70"/>
      <c r="AB880" s="70"/>
      <c r="AC880" s="70"/>
      <c r="AD880" s="70"/>
      <c r="AE880" s="70"/>
      <c r="AF880" s="70"/>
      <c r="AG880" s="70"/>
      <c r="AH880" s="70"/>
      <c r="AI880" s="70"/>
      <c r="AJ880" s="70"/>
      <c r="AK880" s="70"/>
      <c r="AL880" s="70"/>
      <c r="AM880" s="70"/>
      <c r="AN880" s="70"/>
      <c r="AO880" s="70"/>
    </row>
    <row r="881">
      <c r="A881" s="70"/>
      <c r="B881" s="70"/>
      <c r="C881" s="70"/>
      <c r="D881" s="71"/>
      <c r="E881" s="72"/>
      <c r="F881" s="70"/>
      <c r="G881" s="69"/>
      <c r="H881" s="70"/>
      <c r="I881" s="70"/>
      <c r="J881" s="71"/>
      <c r="K881" s="72"/>
      <c r="L881" s="70"/>
      <c r="M881" s="70"/>
      <c r="N881" s="82"/>
      <c r="O881" s="70"/>
      <c r="P881" s="70"/>
      <c r="Q881" s="70"/>
      <c r="R881" s="71"/>
      <c r="S881" s="72"/>
      <c r="T881" s="70"/>
      <c r="U881" s="70"/>
      <c r="V881" s="71"/>
      <c r="W881" s="70"/>
      <c r="X881" s="70"/>
      <c r="Y881" s="70"/>
      <c r="Z881" s="70"/>
      <c r="AA881" s="70"/>
      <c r="AB881" s="70"/>
      <c r="AC881" s="70"/>
      <c r="AD881" s="70"/>
      <c r="AE881" s="70"/>
      <c r="AF881" s="70"/>
      <c r="AG881" s="70"/>
      <c r="AH881" s="70"/>
      <c r="AI881" s="70"/>
      <c r="AJ881" s="70"/>
      <c r="AK881" s="70"/>
      <c r="AL881" s="70"/>
      <c r="AM881" s="70"/>
      <c r="AN881" s="70"/>
      <c r="AO881" s="70"/>
    </row>
    <row r="882">
      <c r="A882" s="70"/>
      <c r="B882" s="70"/>
      <c r="C882" s="70"/>
      <c r="D882" s="71"/>
      <c r="E882" s="72"/>
      <c r="F882" s="70"/>
      <c r="G882" s="69"/>
      <c r="H882" s="70"/>
      <c r="I882" s="70"/>
      <c r="J882" s="71"/>
      <c r="K882" s="72"/>
      <c r="L882" s="70"/>
      <c r="M882" s="70"/>
      <c r="N882" s="82"/>
      <c r="O882" s="70"/>
      <c r="P882" s="70"/>
      <c r="Q882" s="70"/>
      <c r="R882" s="71"/>
      <c r="S882" s="72"/>
      <c r="T882" s="70"/>
      <c r="U882" s="70"/>
      <c r="V882" s="71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0"/>
      <c r="AJ882" s="70"/>
      <c r="AK882" s="70"/>
      <c r="AL882" s="70"/>
      <c r="AM882" s="70"/>
      <c r="AN882" s="70"/>
      <c r="AO882" s="70"/>
    </row>
    <row r="883">
      <c r="A883" s="70"/>
      <c r="B883" s="70"/>
      <c r="C883" s="70"/>
      <c r="D883" s="71"/>
      <c r="E883" s="72"/>
      <c r="F883" s="70"/>
      <c r="G883" s="69"/>
      <c r="H883" s="70"/>
      <c r="I883" s="70"/>
      <c r="J883" s="71"/>
      <c r="K883" s="72"/>
      <c r="L883" s="70"/>
      <c r="M883" s="70"/>
      <c r="N883" s="82"/>
      <c r="O883" s="70"/>
      <c r="P883" s="70"/>
      <c r="Q883" s="70"/>
      <c r="R883" s="71"/>
      <c r="S883" s="72"/>
      <c r="T883" s="70"/>
      <c r="U883" s="70"/>
      <c r="V883" s="71"/>
      <c r="W883" s="70"/>
      <c r="X883" s="70"/>
      <c r="Y883" s="70"/>
      <c r="Z883" s="70"/>
      <c r="AA883" s="70"/>
      <c r="AB883" s="70"/>
      <c r="AC883" s="70"/>
      <c r="AD883" s="70"/>
      <c r="AE883" s="70"/>
      <c r="AF883" s="70"/>
      <c r="AG883" s="70"/>
      <c r="AH883" s="70"/>
      <c r="AI883" s="70"/>
      <c r="AJ883" s="70"/>
      <c r="AK883" s="70"/>
      <c r="AL883" s="70"/>
      <c r="AM883" s="70"/>
      <c r="AN883" s="70"/>
      <c r="AO883" s="70"/>
    </row>
    <row r="884">
      <c r="A884" s="70"/>
      <c r="B884" s="70"/>
      <c r="C884" s="70"/>
      <c r="D884" s="71"/>
      <c r="E884" s="72"/>
      <c r="F884" s="70"/>
      <c r="G884" s="69"/>
      <c r="H884" s="70"/>
      <c r="I884" s="70"/>
      <c r="J884" s="71"/>
      <c r="K884" s="72"/>
      <c r="L884" s="70"/>
      <c r="M884" s="70"/>
      <c r="N884" s="82"/>
      <c r="O884" s="70"/>
      <c r="P884" s="70"/>
      <c r="Q884" s="70"/>
      <c r="R884" s="71"/>
      <c r="S884" s="72"/>
      <c r="T884" s="70"/>
      <c r="U884" s="70"/>
      <c r="V884" s="71"/>
      <c r="W884" s="70"/>
      <c r="X884" s="70"/>
      <c r="Y884" s="70"/>
      <c r="Z884" s="70"/>
      <c r="AA884" s="70"/>
      <c r="AB884" s="70"/>
      <c r="AC884" s="70"/>
      <c r="AD884" s="70"/>
      <c r="AE884" s="70"/>
      <c r="AF884" s="70"/>
      <c r="AG884" s="70"/>
      <c r="AH884" s="70"/>
      <c r="AI884" s="70"/>
      <c r="AJ884" s="70"/>
      <c r="AK884" s="70"/>
      <c r="AL884" s="70"/>
      <c r="AM884" s="70"/>
      <c r="AN884" s="70"/>
      <c r="AO884" s="70"/>
    </row>
    <row r="885">
      <c r="A885" s="70"/>
      <c r="B885" s="70"/>
      <c r="C885" s="70"/>
      <c r="D885" s="71"/>
      <c r="E885" s="72"/>
      <c r="F885" s="70"/>
      <c r="G885" s="69"/>
      <c r="H885" s="70"/>
      <c r="I885" s="70"/>
      <c r="J885" s="71"/>
      <c r="K885" s="72"/>
      <c r="L885" s="70"/>
      <c r="M885" s="70"/>
      <c r="N885" s="82"/>
      <c r="O885" s="70"/>
      <c r="P885" s="70"/>
      <c r="Q885" s="70"/>
      <c r="R885" s="71"/>
      <c r="S885" s="72"/>
      <c r="T885" s="70"/>
      <c r="U885" s="70"/>
      <c r="V885" s="71"/>
      <c r="W885" s="70"/>
      <c r="X885" s="70"/>
      <c r="Y885" s="70"/>
      <c r="Z885" s="70"/>
      <c r="AA885" s="70"/>
      <c r="AB885" s="70"/>
      <c r="AC885" s="70"/>
      <c r="AD885" s="70"/>
      <c r="AE885" s="70"/>
      <c r="AF885" s="70"/>
      <c r="AG885" s="70"/>
      <c r="AH885" s="70"/>
      <c r="AI885" s="70"/>
      <c r="AJ885" s="70"/>
      <c r="AK885" s="70"/>
      <c r="AL885" s="70"/>
      <c r="AM885" s="70"/>
      <c r="AN885" s="70"/>
      <c r="AO885" s="70"/>
    </row>
    <row r="886">
      <c r="A886" s="70"/>
      <c r="B886" s="70"/>
      <c r="C886" s="70"/>
      <c r="D886" s="71"/>
      <c r="E886" s="72"/>
      <c r="F886" s="70"/>
      <c r="G886" s="69"/>
      <c r="H886" s="70"/>
      <c r="I886" s="70"/>
      <c r="J886" s="71"/>
      <c r="K886" s="72"/>
      <c r="L886" s="70"/>
      <c r="M886" s="70"/>
      <c r="N886" s="82"/>
      <c r="O886" s="70"/>
      <c r="P886" s="70"/>
      <c r="Q886" s="70"/>
      <c r="R886" s="71"/>
      <c r="S886" s="72"/>
      <c r="T886" s="70"/>
      <c r="U886" s="70"/>
      <c r="V886" s="71"/>
      <c r="W886" s="70"/>
      <c r="X886" s="70"/>
      <c r="Y886" s="70"/>
      <c r="Z886" s="70"/>
      <c r="AA886" s="70"/>
      <c r="AB886" s="70"/>
      <c r="AC886" s="70"/>
      <c r="AD886" s="70"/>
      <c r="AE886" s="70"/>
      <c r="AF886" s="70"/>
      <c r="AG886" s="70"/>
      <c r="AH886" s="70"/>
      <c r="AI886" s="70"/>
      <c r="AJ886" s="70"/>
      <c r="AK886" s="70"/>
      <c r="AL886" s="70"/>
      <c r="AM886" s="70"/>
      <c r="AN886" s="70"/>
      <c r="AO886" s="70"/>
    </row>
    <row r="887">
      <c r="A887" s="70"/>
      <c r="B887" s="70"/>
      <c r="C887" s="70"/>
      <c r="D887" s="71"/>
      <c r="E887" s="72"/>
      <c r="F887" s="70"/>
      <c r="G887" s="69"/>
      <c r="H887" s="70"/>
      <c r="I887" s="70"/>
      <c r="J887" s="71"/>
      <c r="K887" s="72"/>
      <c r="L887" s="70"/>
      <c r="M887" s="70"/>
      <c r="N887" s="82"/>
      <c r="O887" s="70"/>
      <c r="P887" s="70"/>
      <c r="Q887" s="70"/>
      <c r="R887" s="71"/>
      <c r="S887" s="72"/>
      <c r="T887" s="70"/>
      <c r="U887" s="70"/>
      <c r="V887" s="71"/>
      <c r="W887" s="70"/>
      <c r="X887" s="70"/>
      <c r="Y887" s="70"/>
      <c r="Z887" s="70"/>
      <c r="AA887" s="70"/>
      <c r="AB887" s="70"/>
      <c r="AC887" s="70"/>
      <c r="AD887" s="70"/>
      <c r="AE887" s="70"/>
      <c r="AF887" s="70"/>
      <c r="AG887" s="70"/>
      <c r="AH887" s="70"/>
      <c r="AI887" s="70"/>
      <c r="AJ887" s="70"/>
      <c r="AK887" s="70"/>
      <c r="AL887" s="70"/>
      <c r="AM887" s="70"/>
      <c r="AN887" s="70"/>
      <c r="AO887" s="70"/>
    </row>
    <row r="888">
      <c r="A888" s="70"/>
      <c r="B888" s="70"/>
      <c r="C888" s="70"/>
      <c r="D888" s="71"/>
      <c r="E888" s="72"/>
      <c r="F888" s="70"/>
      <c r="G888" s="69"/>
      <c r="H888" s="70"/>
      <c r="I888" s="70"/>
      <c r="J888" s="71"/>
      <c r="K888" s="72"/>
      <c r="L888" s="70"/>
      <c r="M888" s="70"/>
      <c r="N888" s="82"/>
      <c r="O888" s="70"/>
      <c r="P888" s="70"/>
      <c r="Q888" s="70"/>
      <c r="R888" s="71"/>
      <c r="S888" s="72"/>
      <c r="T888" s="70"/>
      <c r="U888" s="70"/>
      <c r="V888" s="71"/>
      <c r="W888" s="70"/>
      <c r="X888" s="70"/>
      <c r="Y888" s="70"/>
      <c r="Z888" s="70"/>
      <c r="AA888" s="70"/>
      <c r="AB888" s="70"/>
      <c r="AC888" s="70"/>
      <c r="AD888" s="70"/>
      <c r="AE888" s="70"/>
      <c r="AF888" s="70"/>
      <c r="AG888" s="70"/>
      <c r="AH888" s="70"/>
      <c r="AI888" s="70"/>
      <c r="AJ888" s="70"/>
      <c r="AK888" s="70"/>
      <c r="AL888" s="70"/>
      <c r="AM888" s="70"/>
      <c r="AN888" s="70"/>
      <c r="AO888" s="70"/>
    </row>
    <row r="889">
      <c r="A889" s="70"/>
      <c r="B889" s="70"/>
      <c r="C889" s="70"/>
      <c r="D889" s="71"/>
      <c r="E889" s="72"/>
      <c r="F889" s="70"/>
      <c r="G889" s="69"/>
      <c r="H889" s="70"/>
      <c r="I889" s="70"/>
      <c r="J889" s="71"/>
      <c r="K889" s="72"/>
      <c r="L889" s="70"/>
      <c r="M889" s="70"/>
      <c r="N889" s="82"/>
      <c r="O889" s="70"/>
      <c r="P889" s="70"/>
      <c r="Q889" s="70"/>
      <c r="R889" s="71"/>
      <c r="S889" s="72"/>
      <c r="T889" s="70"/>
      <c r="U889" s="70"/>
      <c r="V889" s="71"/>
      <c r="W889" s="70"/>
      <c r="X889" s="70"/>
      <c r="Y889" s="70"/>
      <c r="Z889" s="70"/>
      <c r="AA889" s="70"/>
      <c r="AB889" s="70"/>
      <c r="AC889" s="70"/>
      <c r="AD889" s="70"/>
      <c r="AE889" s="70"/>
      <c r="AF889" s="70"/>
      <c r="AG889" s="70"/>
      <c r="AH889" s="70"/>
      <c r="AI889" s="70"/>
      <c r="AJ889" s="70"/>
      <c r="AK889" s="70"/>
      <c r="AL889" s="70"/>
      <c r="AM889" s="70"/>
      <c r="AN889" s="70"/>
      <c r="AO889" s="70"/>
    </row>
    <row r="890">
      <c r="A890" s="70"/>
      <c r="B890" s="70"/>
      <c r="C890" s="70"/>
      <c r="D890" s="71"/>
      <c r="E890" s="72"/>
      <c r="F890" s="70"/>
      <c r="G890" s="69"/>
      <c r="H890" s="70"/>
      <c r="I890" s="70"/>
      <c r="J890" s="71"/>
      <c r="K890" s="72"/>
      <c r="L890" s="70"/>
      <c r="M890" s="70"/>
      <c r="N890" s="82"/>
      <c r="O890" s="70"/>
      <c r="P890" s="70"/>
      <c r="Q890" s="70"/>
      <c r="R890" s="71"/>
      <c r="S890" s="72"/>
      <c r="T890" s="70"/>
      <c r="U890" s="70"/>
      <c r="V890" s="71"/>
      <c r="W890" s="70"/>
      <c r="X890" s="70"/>
      <c r="Y890" s="70"/>
      <c r="Z890" s="70"/>
      <c r="AA890" s="70"/>
      <c r="AB890" s="70"/>
      <c r="AC890" s="70"/>
      <c r="AD890" s="70"/>
      <c r="AE890" s="70"/>
      <c r="AF890" s="70"/>
      <c r="AG890" s="70"/>
      <c r="AH890" s="70"/>
      <c r="AI890" s="70"/>
      <c r="AJ890" s="70"/>
      <c r="AK890" s="70"/>
      <c r="AL890" s="70"/>
      <c r="AM890" s="70"/>
      <c r="AN890" s="70"/>
      <c r="AO890" s="70"/>
    </row>
    <row r="891">
      <c r="A891" s="70"/>
      <c r="B891" s="70"/>
      <c r="C891" s="70"/>
      <c r="D891" s="71"/>
      <c r="E891" s="72"/>
      <c r="F891" s="70"/>
      <c r="G891" s="69"/>
      <c r="H891" s="70"/>
      <c r="I891" s="70"/>
      <c r="J891" s="71"/>
      <c r="K891" s="72"/>
      <c r="L891" s="70"/>
      <c r="M891" s="70"/>
      <c r="N891" s="82"/>
      <c r="O891" s="70"/>
      <c r="P891" s="70"/>
      <c r="Q891" s="70"/>
      <c r="R891" s="71"/>
      <c r="S891" s="72"/>
      <c r="T891" s="70"/>
      <c r="U891" s="70"/>
      <c r="V891" s="71"/>
      <c r="W891" s="70"/>
      <c r="X891" s="70"/>
      <c r="Y891" s="70"/>
      <c r="Z891" s="70"/>
      <c r="AA891" s="70"/>
      <c r="AB891" s="70"/>
      <c r="AC891" s="70"/>
      <c r="AD891" s="70"/>
      <c r="AE891" s="70"/>
      <c r="AF891" s="70"/>
      <c r="AG891" s="70"/>
      <c r="AH891" s="70"/>
      <c r="AI891" s="70"/>
      <c r="AJ891" s="70"/>
      <c r="AK891" s="70"/>
      <c r="AL891" s="70"/>
      <c r="AM891" s="70"/>
      <c r="AN891" s="70"/>
      <c r="AO891" s="70"/>
    </row>
    <row r="892">
      <c r="A892" s="70"/>
      <c r="B892" s="70"/>
      <c r="C892" s="70"/>
      <c r="D892" s="71"/>
      <c r="E892" s="72"/>
      <c r="F892" s="70"/>
      <c r="G892" s="69"/>
      <c r="H892" s="70"/>
      <c r="I892" s="70"/>
      <c r="J892" s="71"/>
      <c r="K892" s="72"/>
      <c r="L892" s="70"/>
      <c r="M892" s="70"/>
      <c r="N892" s="82"/>
      <c r="O892" s="70"/>
      <c r="P892" s="70"/>
      <c r="Q892" s="70"/>
      <c r="R892" s="71"/>
      <c r="S892" s="72"/>
      <c r="T892" s="70"/>
      <c r="U892" s="70"/>
      <c r="V892" s="71"/>
      <c r="W892" s="70"/>
      <c r="X892" s="70"/>
      <c r="Y892" s="70"/>
      <c r="Z892" s="70"/>
      <c r="AA892" s="70"/>
      <c r="AB892" s="70"/>
      <c r="AC892" s="70"/>
      <c r="AD892" s="70"/>
      <c r="AE892" s="70"/>
      <c r="AF892" s="70"/>
      <c r="AG892" s="70"/>
      <c r="AH892" s="70"/>
      <c r="AI892" s="70"/>
      <c r="AJ892" s="70"/>
      <c r="AK892" s="70"/>
      <c r="AL892" s="70"/>
      <c r="AM892" s="70"/>
      <c r="AN892" s="70"/>
      <c r="AO892" s="70"/>
    </row>
    <row r="893">
      <c r="A893" s="70"/>
      <c r="B893" s="70"/>
      <c r="C893" s="70"/>
      <c r="D893" s="71"/>
      <c r="E893" s="72"/>
      <c r="F893" s="70"/>
      <c r="G893" s="69"/>
      <c r="H893" s="70"/>
      <c r="I893" s="70"/>
      <c r="J893" s="71"/>
      <c r="K893" s="72"/>
      <c r="L893" s="70"/>
      <c r="M893" s="70"/>
      <c r="N893" s="82"/>
      <c r="O893" s="70"/>
      <c r="P893" s="70"/>
      <c r="Q893" s="70"/>
      <c r="R893" s="71"/>
      <c r="S893" s="72"/>
      <c r="T893" s="70"/>
      <c r="U893" s="70"/>
      <c r="V893" s="71"/>
      <c r="W893" s="70"/>
      <c r="X893" s="70"/>
      <c r="Y893" s="70"/>
      <c r="Z893" s="70"/>
      <c r="AA893" s="70"/>
      <c r="AB893" s="70"/>
      <c r="AC893" s="70"/>
      <c r="AD893" s="70"/>
      <c r="AE893" s="70"/>
      <c r="AF893" s="70"/>
      <c r="AG893" s="70"/>
      <c r="AH893" s="70"/>
      <c r="AI893" s="70"/>
      <c r="AJ893" s="70"/>
      <c r="AK893" s="70"/>
      <c r="AL893" s="70"/>
      <c r="AM893" s="70"/>
      <c r="AN893" s="70"/>
      <c r="AO893" s="70"/>
    </row>
    <row r="894">
      <c r="A894" s="70"/>
      <c r="B894" s="70"/>
      <c r="C894" s="70"/>
      <c r="D894" s="71"/>
      <c r="E894" s="72"/>
      <c r="F894" s="70"/>
      <c r="G894" s="69"/>
      <c r="H894" s="70"/>
      <c r="I894" s="70"/>
      <c r="J894" s="71"/>
      <c r="K894" s="72"/>
      <c r="L894" s="70"/>
      <c r="M894" s="70"/>
      <c r="N894" s="82"/>
      <c r="O894" s="70"/>
      <c r="P894" s="70"/>
      <c r="Q894" s="70"/>
      <c r="R894" s="71"/>
      <c r="S894" s="72"/>
      <c r="T894" s="70"/>
      <c r="U894" s="70"/>
      <c r="V894" s="71"/>
      <c r="W894" s="70"/>
      <c r="X894" s="70"/>
      <c r="Y894" s="70"/>
      <c r="Z894" s="70"/>
      <c r="AA894" s="70"/>
      <c r="AB894" s="70"/>
      <c r="AC894" s="70"/>
      <c r="AD894" s="70"/>
      <c r="AE894" s="70"/>
      <c r="AF894" s="70"/>
      <c r="AG894" s="70"/>
      <c r="AH894" s="70"/>
      <c r="AI894" s="70"/>
      <c r="AJ894" s="70"/>
      <c r="AK894" s="70"/>
      <c r="AL894" s="70"/>
      <c r="AM894" s="70"/>
      <c r="AN894" s="70"/>
      <c r="AO894" s="70"/>
    </row>
    <row r="895">
      <c r="A895" s="70"/>
      <c r="B895" s="70"/>
      <c r="C895" s="70"/>
      <c r="D895" s="71"/>
      <c r="E895" s="72"/>
      <c r="F895" s="70"/>
      <c r="G895" s="69"/>
      <c r="H895" s="70"/>
      <c r="I895" s="70"/>
      <c r="J895" s="71"/>
      <c r="K895" s="72"/>
      <c r="L895" s="70"/>
      <c r="M895" s="70"/>
      <c r="N895" s="82"/>
      <c r="O895" s="70"/>
      <c r="P895" s="70"/>
      <c r="Q895" s="70"/>
      <c r="R895" s="71"/>
      <c r="S895" s="72"/>
      <c r="T895" s="70"/>
      <c r="U895" s="70"/>
      <c r="V895" s="71"/>
      <c r="W895" s="70"/>
      <c r="X895" s="70"/>
      <c r="Y895" s="70"/>
      <c r="Z895" s="70"/>
      <c r="AA895" s="70"/>
      <c r="AB895" s="70"/>
      <c r="AC895" s="70"/>
      <c r="AD895" s="70"/>
      <c r="AE895" s="70"/>
      <c r="AF895" s="70"/>
      <c r="AG895" s="70"/>
      <c r="AH895" s="70"/>
      <c r="AI895" s="70"/>
      <c r="AJ895" s="70"/>
      <c r="AK895" s="70"/>
      <c r="AL895" s="70"/>
      <c r="AM895" s="70"/>
      <c r="AN895" s="70"/>
      <c r="AO895" s="70"/>
    </row>
    <row r="896">
      <c r="A896" s="70"/>
      <c r="B896" s="70"/>
      <c r="C896" s="70"/>
      <c r="D896" s="71"/>
      <c r="E896" s="72"/>
      <c r="F896" s="70"/>
      <c r="G896" s="69"/>
      <c r="H896" s="70"/>
      <c r="I896" s="70"/>
      <c r="J896" s="71"/>
      <c r="K896" s="72"/>
      <c r="L896" s="70"/>
      <c r="M896" s="70"/>
      <c r="N896" s="82"/>
      <c r="O896" s="70"/>
      <c r="P896" s="70"/>
      <c r="Q896" s="70"/>
      <c r="R896" s="71"/>
      <c r="S896" s="72"/>
      <c r="T896" s="70"/>
      <c r="U896" s="70"/>
      <c r="V896" s="71"/>
      <c r="W896" s="70"/>
      <c r="X896" s="70"/>
      <c r="Y896" s="70"/>
      <c r="Z896" s="70"/>
      <c r="AA896" s="70"/>
      <c r="AB896" s="70"/>
      <c r="AC896" s="70"/>
      <c r="AD896" s="70"/>
      <c r="AE896" s="70"/>
      <c r="AF896" s="70"/>
      <c r="AG896" s="70"/>
      <c r="AH896" s="70"/>
      <c r="AI896" s="70"/>
      <c r="AJ896" s="70"/>
      <c r="AK896" s="70"/>
      <c r="AL896" s="70"/>
      <c r="AM896" s="70"/>
      <c r="AN896" s="70"/>
      <c r="AO896" s="70"/>
    </row>
    <row r="897">
      <c r="A897" s="70"/>
      <c r="B897" s="70"/>
      <c r="C897" s="70"/>
      <c r="D897" s="71"/>
      <c r="E897" s="72"/>
      <c r="F897" s="70"/>
      <c r="G897" s="69"/>
      <c r="H897" s="70"/>
      <c r="I897" s="70"/>
      <c r="J897" s="71"/>
      <c r="K897" s="72"/>
      <c r="L897" s="70"/>
      <c r="M897" s="70"/>
      <c r="N897" s="82"/>
      <c r="O897" s="70"/>
      <c r="P897" s="70"/>
      <c r="Q897" s="70"/>
      <c r="R897" s="71"/>
      <c r="S897" s="72"/>
      <c r="T897" s="70"/>
      <c r="U897" s="70"/>
      <c r="V897" s="71"/>
      <c r="W897" s="70"/>
      <c r="X897" s="70"/>
      <c r="Y897" s="70"/>
      <c r="Z897" s="70"/>
      <c r="AA897" s="70"/>
      <c r="AB897" s="70"/>
      <c r="AC897" s="70"/>
      <c r="AD897" s="70"/>
      <c r="AE897" s="70"/>
      <c r="AF897" s="70"/>
      <c r="AG897" s="70"/>
      <c r="AH897" s="70"/>
      <c r="AI897" s="70"/>
      <c r="AJ897" s="70"/>
      <c r="AK897" s="70"/>
      <c r="AL897" s="70"/>
      <c r="AM897" s="70"/>
      <c r="AN897" s="70"/>
      <c r="AO897" s="70"/>
    </row>
    <row r="898">
      <c r="A898" s="70"/>
      <c r="B898" s="70"/>
      <c r="C898" s="70"/>
      <c r="D898" s="71"/>
      <c r="E898" s="72"/>
      <c r="F898" s="70"/>
      <c r="G898" s="69"/>
      <c r="H898" s="70"/>
      <c r="I898" s="70"/>
      <c r="J898" s="71"/>
      <c r="K898" s="72"/>
      <c r="L898" s="70"/>
      <c r="M898" s="70"/>
      <c r="N898" s="82"/>
      <c r="O898" s="70"/>
      <c r="P898" s="70"/>
      <c r="Q898" s="70"/>
      <c r="R898" s="71"/>
      <c r="S898" s="72"/>
      <c r="T898" s="70"/>
      <c r="U898" s="70"/>
      <c r="V898" s="71"/>
      <c r="W898" s="70"/>
      <c r="X898" s="70"/>
      <c r="Y898" s="70"/>
      <c r="Z898" s="70"/>
      <c r="AA898" s="70"/>
      <c r="AB898" s="70"/>
      <c r="AC898" s="70"/>
      <c r="AD898" s="70"/>
      <c r="AE898" s="70"/>
      <c r="AF898" s="70"/>
      <c r="AG898" s="70"/>
      <c r="AH898" s="70"/>
      <c r="AI898" s="70"/>
      <c r="AJ898" s="70"/>
      <c r="AK898" s="70"/>
      <c r="AL898" s="70"/>
      <c r="AM898" s="70"/>
      <c r="AN898" s="70"/>
      <c r="AO898" s="70"/>
    </row>
    <row r="899">
      <c r="A899" s="70"/>
      <c r="B899" s="70"/>
      <c r="C899" s="70"/>
      <c r="D899" s="71"/>
      <c r="E899" s="72"/>
      <c r="F899" s="70"/>
      <c r="G899" s="69"/>
      <c r="H899" s="70"/>
      <c r="I899" s="70"/>
      <c r="J899" s="71"/>
      <c r="K899" s="72"/>
      <c r="L899" s="70"/>
      <c r="M899" s="70"/>
      <c r="N899" s="82"/>
      <c r="O899" s="70"/>
      <c r="P899" s="70"/>
      <c r="Q899" s="70"/>
      <c r="R899" s="71"/>
      <c r="S899" s="72"/>
      <c r="T899" s="70"/>
      <c r="U899" s="70"/>
      <c r="V899" s="71"/>
      <c r="W899" s="70"/>
      <c r="X899" s="70"/>
      <c r="Y899" s="70"/>
      <c r="Z899" s="70"/>
      <c r="AA899" s="70"/>
      <c r="AB899" s="70"/>
      <c r="AC899" s="70"/>
      <c r="AD899" s="70"/>
      <c r="AE899" s="70"/>
      <c r="AF899" s="70"/>
      <c r="AG899" s="70"/>
      <c r="AH899" s="70"/>
      <c r="AI899" s="70"/>
      <c r="AJ899" s="70"/>
      <c r="AK899" s="70"/>
      <c r="AL899" s="70"/>
      <c r="AM899" s="70"/>
      <c r="AN899" s="70"/>
      <c r="AO899" s="70"/>
    </row>
    <row r="900">
      <c r="A900" s="70"/>
      <c r="B900" s="70"/>
      <c r="C900" s="70"/>
      <c r="D900" s="71"/>
      <c r="E900" s="72"/>
      <c r="F900" s="70"/>
      <c r="G900" s="69"/>
      <c r="H900" s="70"/>
      <c r="I900" s="70"/>
      <c r="J900" s="71"/>
      <c r="K900" s="72"/>
      <c r="L900" s="70"/>
      <c r="M900" s="70"/>
      <c r="N900" s="82"/>
      <c r="O900" s="70"/>
      <c r="P900" s="70"/>
      <c r="Q900" s="70"/>
      <c r="R900" s="71"/>
      <c r="S900" s="72"/>
      <c r="T900" s="70"/>
      <c r="U900" s="70"/>
      <c r="V900" s="71"/>
      <c r="W900" s="70"/>
      <c r="X900" s="70"/>
      <c r="Y900" s="70"/>
      <c r="Z900" s="70"/>
      <c r="AA900" s="70"/>
      <c r="AB900" s="70"/>
      <c r="AC900" s="70"/>
      <c r="AD900" s="70"/>
      <c r="AE900" s="70"/>
      <c r="AF900" s="70"/>
      <c r="AG900" s="70"/>
      <c r="AH900" s="70"/>
      <c r="AI900" s="70"/>
      <c r="AJ900" s="70"/>
      <c r="AK900" s="70"/>
      <c r="AL900" s="70"/>
      <c r="AM900" s="70"/>
      <c r="AN900" s="70"/>
      <c r="AO900" s="70"/>
    </row>
    <row r="901">
      <c r="A901" s="70"/>
      <c r="B901" s="70"/>
      <c r="C901" s="70"/>
      <c r="D901" s="71"/>
      <c r="E901" s="72"/>
      <c r="F901" s="70"/>
      <c r="G901" s="69"/>
      <c r="H901" s="70"/>
      <c r="I901" s="70"/>
      <c r="J901" s="71"/>
      <c r="K901" s="72"/>
      <c r="L901" s="70"/>
      <c r="M901" s="70"/>
      <c r="N901" s="82"/>
      <c r="O901" s="70"/>
      <c r="P901" s="70"/>
      <c r="Q901" s="70"/>
      <c r="R901" s="71"/>
      <c r="S901" s="72"/>
      <c r="T901" s="70"/>
      <c r="U901" s="70"/>
      <c r="V901" s="71"/>
      <c r="W901" s="70"/>
      <c r="X901" s="70"/>
      <c r="Y901" s="70"/>
      <c r="Z901" s="70"/>
      <c r="AA901" s="70"/>
      <c r="AB901" s="70"/>
      <c r="AC901" s="70"/>
      <c r="AD901" s="70"/>
      <c r="AE901" s="70"/>
      <c r="AF901" s="70"/>
      <c r="AG901" s="70"/>
      <c r="AH901" s="70"/>
      <c r="AI901" s="70"/>
      <c r="AJ901" s="70"/>
      <c r="AK901" s="70"/>
      <c r="AL901" s="70"/>
      <c r="AM901" s="70"/>
      <c r="AN901" s="70"/>
      <c r="AO901" s="70"/>
    </row>
    <row r="902">
      <c r="A902" s="70"/>
      <c r="B902" s="70"/>
      <c r="C902" s="70"/>
      <c r="D902" s="71"/>
      <c r="E902" s="72"/>
      <c r="F902" s="70"/>
      <c r="G902" s="69"/>
      <c r="H902" s="70"/>
      <c r="I902" s="70"/>
      <c r="J902" s="71"/>
      <c r="K902" s="72"/>
      <c r="L902" s="70"/>
      <c r="M902" s="70"/>
      <c r="N902" s="82"/>
      <c r="O902" s="70"/>
      <c r="P902" s="70"/>
      <c r="Q902" s="70"/>
      <c r="R902" s="71"/>
      <c r="S902" s="72"/>
      <c r="T902" s="70"/>
      <c r="U902" s="70"/>
      <c r="V902" s="71"/>
      <c r="W902" s="70"/>
      <c r="X902" s="70"/>
      <c r="Y902" s="70"/>
      <c r="Z902" s="70"/>
      <c r="AA902" s="70"/>
      <c r="AB902" s="70"/>
      <c r="AC902" s="70"/>
      <c r="AD902" s="70"/>
      <c r="AE902" s="70"/>
      <c r="AF902" s="70"/>
      <c r="AG902" s="70"/>
      <c r="AH902" s="70"/>
      <c r="AI902" s="70"/>
      <c r="AJ902" s="70"/>
      <c r="AK902" s="70"/>
      <c r="AL902" s="70"/>
      <c r="AM902" s="70"/>
      <c r="AN902" s="70"/>
      <c r="AO902" s="70"/>
    </row>
    <row r="903">
      <c r="A903" s="70"/>
      <c r="B903" s="70"/>
      <c r="C903" s="70"/>
      <c r="D903" s="71"/>
      <c r="E903" s="72"/>
      <c r="F903" s="70"/>
      <c r="G903" s="69"/>
      <c r="H903" s="70"/>
      <c r="I903" s="70"/>
      <c r="J903" s="71"/>
      <c r="K903" s="72"/>
      <c r="L903" s="70"/>
      <c r="M903" s="70"/>
      <c r="N903" s="82"/>
      <c r="O903" s="70"/>
      <c r="P903" s="70"/>
      <c r="Q903" s="70"/>
      <c r="R903" s="71"/>
      <c r="S903" s="72"/>
      <c r="T903" s="70"/>
      <c r="U903" s="70"/>
      <c r="V903" s="71"/>
      <c r="W903" s="70"/>
      <c r="X903" s="70"/>
      <c r="Y903" s="70"/>
      <c r="Z903" s="70"/>
      <c r="AA903" s="70"/>
      <c r="AB903" s="70"/>
      <c r="AC903" s="70"/>
      <c r="AD903" s="70"/>
      <c r="AE903" s="70"/>
      <c r="AF903" s="70"/>
      <c r="AG903" s="70"/>
      <c r="AH903" s="70"/>
      <c r="AI903" s="70"/>
      <c r="AJ903" s="70"/>
      <c r="AK903" s="70"/>
      <c r="AL903" s="70"/>
      <c r="AM903" s="70"/>
      <c r="AN903" s="70"/>
      <c r="AO903" s="70"/>
    </row>
    <row r="904">
      <c r="A904" s="70"/>
      <c r="B904" s="70"/>
      <c r="C904" s="70"/>
      <c r="D904" s="71"/>
      <c r="E904" s="72"/>
      <c r="F904" s="70"/>
      <c r="G904" s="69"/>
      <c r="H904" s="70"/>
      <c r="I904" s="70"/>
      <c r="J904" s="71"/>
      <c r="K904" s="72"/>
      <c r="L904" s="70"/>
      <c r="M904" s="70"/>
      <c r="N904" s="82"/>
      <c r="O904" s="70"/>
      <c r="P904" s="70"/>
      <c r="Q904" s="70"/>
      <c r="R904" s="71"/>
      <c r="S904" s="72"/>
      <c r="T904" s="70"/>
      <c r="U904" s="70"/>
      <c r="V904" s="71"/>
      <c r="W904" s="70"/>
      <c r="X904" s="70"/>
      <c r="Y904" s="70"/>
      <c r="Z904" s="70"/>
      <c r="AA904" s="70"/>
      <c r="AB904" s="70"/>
      <c r="AC904" s="70"/>
      <c r="AD904" s="70"/>
      <c r="AE904" s="70"/>
      <c r="AF904" s="70"/>
      <c r="AG904" s="70"/>
      <c r="AH904" s="70"/>
      <c r="AI904" s="70"/>
      <c r="AJ904" s="70"/>
      <c r="AK904" s="70"/>
      <c r="AL904" s="70"/>
      <c r="AM904" s="70"/>
      <c r="AN904" s="70"/>
      <c r="AO904" s="70"/>
    </row>
    <row r="905">
      <c r="A905" s="70"/>
      <c r="B905" s="70"/>
      <c r="C905" s="70"/>
      <c r="D905" s="71"/>
      <c r="E905" s="72"/>
      <c r="F905" s="70"/>
      <c r="G905" s="69"/>
      <c r="H905" s="70"/>
      <c r="I905" s="70"/>
      <c r="J905" s="71"/>
      <c r="K905" s="72"/>
      <c r="L905" s="70"/>
      <c r="M905" s="70"/>
      <c r="N905" s="82"/>
      <c r="O905" s="70"/>
      <c r="P905" s="70"/>
      <c r="Q905" s="70"/>
      <c r="R905" s="71"/>
      <c r="S905" s="72"/>
      <c r="T905" s="70"/>
      <c r="U905" s="70"/>
      <c r="V905" s="71"/>
      <c r="W905" s="70"/>
      <c r="X905" s="70"/>
      <c r="Y905" s="70"/>
      <c r="Z905" s="70"/>
      <c r="AA905" s="70"/>
      <c r="AB905" s="70"/>
      <c r="AC905" s="70"/>
      <c r="AD905" s="70"/>
      <c r="AE905" s="70"/>
      <c r="AF905" s="70"/>
      <c r="AG905" s="70"/>
      <c r="AH905" s="70"/>
      <c r="AI905" s="70"/>
      <c r="AJ905" s="70"/>
      <c r="AK905" s="70"/>
      <c r="AL905" s="70"/>
      <c r="AM905" s="70"/>
      <c r="AN905" s="70"/>
      <c r="AO905" s="70"/>
    </row>
    <row r="906">
      <c r="A906" s="70"/>
      <c r="B906" s="70"/>
      <c r="C906" s="70"/>
      <c r="D906" s="71"/>
      <c r="E906" s="72"/>
      <c r="F906" s="70"/>
      <c r="G906" s="69"/>
      <c r="H906" s="70"/>
      <c r="I906" s="70"/>
      <c r="J906" s="71"/>
      <c r="K906" s="72"/>
      <c r="L906" s="70"/>
      <c r="M906" s="70"/>
      <c r="N906" s="82"/>
      <c r="O906" s="70"/>
      <c r="P906" s="70"/>
      <c r="Q906" s="70"/>
      <c r="R906" s="71"/>
      <c r="S906" s="72"/>
      <c r="T906" s="70"/>
      <c r="U906" s="70"/>
      <c r="V906" s="71"/>
      <c r="W906" s="70"/>
      <c r="X906" s="70"/>
      <c r="Y906" s="70"/>
      <c r="Z906" s="70"/>
      <c r="AA906" s="70"/>
      <c r="AB906" s="70"/>
      <c r="AC906" s="70"/>
      <c r="AD906" s="70"/>
      <c r="AE906" s="70"/>
      <c r="AF906" s="70"/>
      <c r="AG906" s="70"/>
      <c r="AH906" s="70"/>
      <c r="AI906" s="70"/>
      <c r="AJ906" s="70"/>
      <c r="AK906" s="70"/>
      <c r="AL906" s="70"/>
      <c r="AM906" s="70"/>
      <c r="AN906" s="70"/>
      <c r="AO906" s="70"/>
    </row>
    <row r="907">
      <c r="A907" s="70"/>
      <c r="B907" s="70"/>
      <c r="C907" s="70"/>
      <c r="D907" s="71"/>
      <c r="E907" s="72"/>
      <c r="F907" s="70"/>
      <c r="G907" s="69"/>
      <c r="H907" s="70"/>
      <c r="I907" s="70"/>
      <c r="J907" s="71"/>
      <c r="K907" s="72"/>
      <c r="L907" s="70"/>
      <c r="M907" s="70"/>
      <c r="N907" s="82"/>
      <c r="O907" s="70"/>
      <c r="P907" s="70"/>
      <c r="Q907" s="70"/>
      <c r="R907" s="71"/>
      <c r="S907" s="72"/>
      <c r="T907" s="70"/>
      <c r="U907" s="70"/>
      <c r="V907" s="71"/>
      <c r="W907" s="70"/>
      <c r="X907" s="70"/>
      <c r="Y907" s="70"/>
      <c r="Z907" s="70"/>
      <c r="AA907" s="70"/>
      <c r="AB907" s="70"/>
      <c r="AC907" s="70"/>
      <c r="AD907" s="70"/>
      <c r="AE907" s="70"/>
      <c r="AF907" s="70"/>
      <c r="AG907" s="70"/>
      <c r="AH907" s="70"/>
      <c r="AI907" s="70"/>
      <c r="AJ907" s="70"/>
      <c r="AK907" s="70"/>
      <c r="AL907" s="70"/>
      <c r="AM907" s="70"/>
      <c r="AN907" s="70"/>
      <c r="AO907" s="70"/>
    </row>
    <row r="908">
      <c r="A908" s="70"/>
      <c r="B908" s="70"/>
      <c r="C908" s="70"/>
      <c r="D908" s="71"/>
      <c r="E908" s="72"/>
      <c r="F908" s="70"/>
      <c r="G908" s="69"/>
      <c r="H908" s="70"/>
      <c r="I908" s="70"/>
      <c r="J908" s="71"/>
      <c r="K908" s="72"/>
      <c r="L908" s="70"/>
      <c r="M908" s="70"/>
      <c r="N908" s="82"/>
      <c r="O908" s="70"/>
      <c r="P908" s="70"/>
      <c r="Q908" s="70"/>
      <c r="R908" s="71"/>
      <c r="S908" s="72"/>
      <c r="T908" s="70"/>
      <c r="U908" s="70"/>
      <c r="V908" s="71"/>
      <c r="W908" s="70"/>
      <c r="X908" s="70"/>
      <c r="Y908" s="70"/>
      <c r="Z908" s="70"/>
      <c r="AA908" s="70"/>
      <c r="AB908" s="70"/>
      <c r="AC908" s="70"/>
      <c r="AD908" s="70"/>
      <c r="AE908" s="70"/>
      <c r="AF908" s="70"/>
      <c r="AG908" s="70"/>
      <c r="AH908" s="70"/>
      <c r="AI908" s="70"/>
      <c r="AJ908" s="70"/>
      <c r="AK908" s="70"/>
      <c r="AL908" s="70"/>
      <c r="AM908" s="70"/>
      <c r="AN908" s="70"/>
      <c r="AO908" s="70"/>
    </row>
    <row r="909">
      <c r="A909" s="70"/>
      <c r="B909" s="70"/>
      <c r="C909" s="70"/>
      <c r="D909" s="71"/>
      <c r="E909" s="72"/>
      <c r="F909" s="70"/>
      <c r="G909" s="69"/>
      <c r="H909" s="70"/>
      <c r="I909" s="70"/>
      <c r="J909" s="71"/>
      <c r="K909" s="72"/>
      <c r="L909" s="70"/>
      <c r="M909" s="70"/>
      <c r="N909" s="82"/>
      <c r="O909" s="70"/>
      <c r="P909" s="70"/>
      <c r="Q909" s="70"/>
      <c r="R909" s="71"/>
      <c r="S909" s="72"/>
      <c r="T909" s="70"/>
      <c r="U909" s="70"/>
      <c r="V909" s="71"/>
      <c r="W909" s="70"/>
      <c r="X909" s="70"/>
      <c r="Y909" s="70"/>
      <c r="Z909" s="70"/>
      <c r="AA909" s="70"/>
      <c r="AB909" s="70"/>
      <c r="AC909" s="70"/>
      <c r="AD909" s="70"/>
      <c r="AE909" s="70"/>
      <c r="AF909" s="70"/>
      <c r="AG909" s="70"/>
      <c r="AH909" s="70"/>
      <c r="AI909" s="70"/>
      <c r="AJ909" s="70"/>
      <c r="AK909" s="70"/>
      <c r="AL909" s="70"/>
      <c r="AM909" s="70"/>
      <c r="AN909" s="70"/>
      <c r="AO909" s="70"/>
    </row>
    <row r="910">
      <c r="A910" s="70"/>
      <c r="B910" s="70"/>
      <c r="C910" s="70"/>
      <c r="D910" s="71"/>
      <c r="E910" s="72"/>
      <c r="F910" s="70"/>
      <c r="G910" s="69"/>
      <c r="H910" s="70"/>
      <c r="I910" s="70"/>
      <c r="J910" s="71"/>
      <c r="K910" s="72"/>
      <c r="L910" s="70"/>
      <c r="M910" s="70"/>
      <c r="N910" s="82"/>
      <c r="O910" s="70"/>
      <c r="P910" s="70"/>
      <c r="Q910" s="70"/>
      <c r="R910" s="71"/>
      <c r="S910" s="72"/>
      <c r="T910" s="70"/>
      <c r="U910" s="70"/>
      <c r="V910" s="71"/>
      <c r="W910" s="70"/>
      <c r="X910" s="70"/>
      <c r="Y910" s="70"/>
      <c r="Z910" s="70"/>
      <c r="AA910" s="70"/>
      <c r="AB910" s="70"/>
      <c r="AC910" s="70"/>
      <c r="AD910" s="70"/>
      <c r="AE910" s="70"/>
      <c r="AF910" s="70"/>
      <c r="AG910" s="70"/>
      <c r="AH910" s="70"/>
      <c r="AI910" s="70"/>
      <c r="AJ910" s="70"/>
      <c r="AK910" s="70"/>
      <c r="AL910" s="70"/>
      <c r="AM910" s="70"/>
      <c r="AN910" s="70"/>
      <c r="AO910" s="70"/>
    </row>
    <row r="911">
      <c r="A911" s="70"/>
      <c r="B911" s="70"/>
      <c r="C911" s="70"/>
      <c r="D911" s="71"/>
      <c r="E911" s="72"/>
      <c r="F911" s="70"/>
      <c r="G911" s="69"/>
      <c r="H911" s="70"/>
      <c r="I911" s="70"/>
      <c r="J911" s="71"/>
      <c r="K911" s="72"/>
      <c r="L911" s="70"/>
      <c r="M911" s="70"/>
      <c r="N911" s="82"/>
      <c r="O911" s="70"/>
      <c r="P911" s="70"/>
      <c r="Q911" s="70"/>
      <c r="R911" s="71"/>
      <c r="S911" s="72"/>
      <c r="T911" s="70"/>
      <c r="U911" s="70"/>
      <c r="V911" s="71"/>
      <c r="W911" s="70"/>
      <c r="X911" s="70"/>
      <c r="Y911" s="70"/>
      <c r="Z911" s="70"/>
      <c r="AA911" s="70"/>
      <c r="AB911" s="70"/>
      <c r="AC911" s="70"/>
      <c r="AD911" s="70"/>
      <c r="AE911" s="70"/>
      <c r="AF911" s="70"/>
      <c r="AG911" s="70"/>
      <c r="AH911" s="70"/>
      <c r="AI911" s="70"/>
      <c r="AJ911" s="70"/>
      <c r="AK911" s="70"/>
      <c r="AL911" s="70"/>
      <c r="AM911" s="70"/>
      <c r="AN911" s="70"/>
      <c r="AO911" s="70"/>
    </row>
    <row r="912">
      <c r="A912" s="70"/>
      <c r="B912" s="70"/>
      <c r="C912" s="70"/>
      <c r="D912" s="71"/>
      <c r="E912" s="72"/>
      <c r="F912" s="70"/>
      <c r="G912" s="69"/>
      <c r="H912" s="70"/>
      <c r="I912" s="70"/>
      <c r="J912" s="71"/>
      <c r="K912" s="72"/>
      <c r="L912" s="70"/>
      <c r="M912" s="70"/>
      <c r="N912" s="82"/>
      <c r="O912" s="70"/>
      <c r="P912" s="70"/>
      <c r="Q912" s="70"/>
      <c r="R912" s="71"/>
      <c r="S912" s="72"/>
      <c r="T912" s="70"/>
      <c r="U912" s="70"/>
      <c r="V912" s="71"/>
      <c r="W912" s="70"/>
      <c r="X912" s="70"/>
      <c r="Y912" s="70"/>
      <c r="Z912" s="70"/>
      <c r="AA912" s="70"/>
      <c r="AB912" s="70"/>
      <c r="AC912" s="70"/>
      <c r="AD912" s="70"/>
      <c r="AE912" s="70"/>
      <c r="AF912" s="70"/>
      <c r="AG912" s="70"/>
      <c r="AH912" s="70"/>
      <c r="AI912" s="70"/>
      <c r="AJ912" s="70"/>
      <c r="AK912" s="70"/>
      <c r="AL912" s="70"/>
      <c r="AM912" s="70"/>
      <c r="AN912" s="70"/>
      <c r="AO912" s="70"/>
    </row>
    <row r="913">
      <c r="A913" s="70"/>
      <c r="B913" s="70"/>
      <c r="C913" s="70"/>
      <c r="D913" s="71"/>
      <c r="E913" s="72"/>
      <c r="F913" s="70"/>
      <c r="G913" s="69"/>
      <c r="H913" s="70"/>
      <c r="I913" s="70"/>
      <c r="J913" s="71"/>
      <c r="K913" s="72"/>
      <c r="L913" s="70"/>
      <c r="M913" s="70"/>
      <c r="N913" s="82"/>
      <c r="O913" s="70"/>
      <c r="P913" s="70"/>
      <c r="Q913" s="70"/>
      <c r="R913" s="71"/>
      <c r="S913" s="72"/>
      <c r="T913" s="70"/>
      <c r="U913" s="70"/>
      <c r="V913" s="71"/>
      <c r="W913" s="70"/>
      <c r="X913" s="70"/>
      <c r="Y913" s="70"/>
      <c r="Z913" s="70"/>
      <c r="AA913" s="70"/>
      <c r="AB913" s="70"/>
      <c r="AC913" s="70"/>
      <c r="AD913" s="70"/>
      <c r="AE913" s="70"/>
      <c r="AF913" s="70"/>
      <c r="AG913" s="70"/>
      <c r="AH913" s="70"/>
      <c r="AI913" s="70"/>
      <c r="AJ913" s="70"/>
      <c r="AK913" s="70"/>
      <c r="AL913" s="70"/>
      <c r="AM913" s="70"/>
      <c r="AN913" s="70"/>
      <c r="AO913" s="70"/>
    </row>
    <row r="914">
      <c r="A914" s="70"/>
      <c r="B914" s="70"/>
      <c r="C914" s="70"/>
      <c r="D914" s="71"/>
      <c r="E914" s="72"/>
      <c r="F914" s="70"/>
      <c r="G914" s="69"/>
      <c r="H914" s="70"/>
      <c r="I914" s="70"/>
      <c r="J914" s="71"/>
      <c r="K914" s="72"/>
      <c r="L914" s="70"/>
      <c r="M914" s="70"/>
      <c r="N914" s="82"/>
      <c r="O914" s="70"/>
      <c r="P914" s="70"/>
      <c r="Q914" s="70"/>
      <c r="R914" s="71"/>
      <c r="S914" s="72"/>
      <c r="T914" s="70"/>
      <c r="U914" s="70"/>
      <c r="V914" s="71"/>
      <c r="W914" s="70"/>
      <c r="X914" s="70"/>
      <c r="Y914" s="70"/>
      <c r="Z914" s="70"/>
      <c r="AA914" s="70"/>
      <c r="AB914" s="70"/>
      <c r="AC914" s="70"/>
      <c r="AD914" s="70"/>
      <c r="AE914" s="70"/>
      <c r="AF914" s="70"/>
      <c r="AG914" s="70"/>
      <c r="AH914" s="70"/>
      <c r="AI914" s="70"/>
      <c r="AJ914" s="70"/>
      <c r="AK914" s="70"/>
      <c r="AL914" s="70"/>
      <c r="AM914" s="70"/>
      <c r="AN914" s="70"/>
      <c r="AO914" s="70"/>
    </row>
    <row r="915">
      <c r="A915" s="70"/>
      <c r="B915" s="70"/>
      <c r="C915" s="70"/>
      <c r="D915" s="71"/>
      <c r="E915" s="72"/>
      <c r="F915" s="70"/>
      <c r="G915" s="69"/>
      <c r="H915" s="70"/>
      <c r="I915" s="70"/>
      <c r="J915" s="71"/>
      <c r="K915" s="72"/>
      <c r="L915" s="70"/>
      <c r="M915" s="70"/>
      <c r="N915" s="82"/>
      <c r="O915" s="70"/>
      <c r="P915" s="70"/>
      <c r="Q915" s="70"/>
      <c r="R915" s="71"/>
      <c r="S915" s="72"/>
      <c r="T915" s="70"/>
      <c r="U915" s="70"/>
      <c r="V915" s="71"/>
      <c r="W915" s="70"/>
      <c r="X915" s="70"/>
      <c r="Y915" s="70"/>
      <c r="Z915" s="70"/>
      <c r="AA915" s="70"/>
      <c r="AB915" s="70"/>
      <c r="AC915" s="70"/>
      <c r="AD915" s="70"/>
      <c r="AE915" s="70"/>
      <c r="AF915" s="70"/>
      <c r="AG915" s="70"/>
      <c r="AH915" s="70"/>
      <c r="AI915" s="70"/>
      <c r="AJ915" s="70"/>
      <c r="AK915" s="70"/>
      <c r="AL915" s="70"/>
      <c r="AM915" s="70"/>
      <c r="AN915" s="70"/>
      <c r="AO915" s="70"/>
    </row>
    <row r="916">
      <c r="A916" s="70"/>
      <c r="B916" s="70"/>
      <c r="C916" s="70"/>
      <c r="D916" s="71"/>
      <c r="E916" s="72"/>
      <c r="F916" s="70"/>
      <c r="G916" s="69"/>
      <c r="H916" s="70"/>
      <c r="I916" s="70"/>
      <c r="J916" s="71"/>
      <c r="K916" s="72"/>
      <c r="L916" s="70"/>
      <c r="M916" s="70"/>
      <c r="N916" s="82"/>
      <c r="O916" s="70"/>
      <c r="P916" s="70"/>
      <c r="Q916" s="70"/>
      <c r="R916" s="71"/>
      <c r="S916" s="72"/>
      <c r="T916" s="70"/>
      <c r="U916" s="70"/>
      <c r="V916" s="71"/>
      <c r="W916" s="70"/>
      <c r="X916" s="70"/>
      <c r="Y916" s="70"/>
      <c r="Z916" s="70"/>
      <c r="AA916" s="70"/>
      <c r="AB916" s="70"/>
      <c r="AC916" s="70"/>
      <c r="AD916" s="70"/>
      <c r="AE916" s="70"/>
      <c r="AF916" s="70"/>
      <c r="AG916" s="70"/>
      <c r="AH916" s="70"/>
      <c r="AI916" s="70"/>
      <c r="AJ916" s="70"/>
      <c r="AK916" s="70"/>
      <c r="AL916" s="70"/>
      <c r="AM916" s="70"/>
      <c r="AN916" s="70"/>
      <c r="AO916" s="70"/>
    </row>
    <row r="917">
      <c r="A917" s="70"/>
      <c r="B917" s="70"/>
      <c r="C917" s="70"/>
      <c r="D917" s="71"/>
      <c r="E917" s="72"/>
      <c r="F917" s="70"/>
      <c r="G917" s="69"/>
      <c r="H917" s="70"/>
      <c r="I917" s="70"/>
      <c r="J917" s="71"/>
      <c r="K917" s="72"/>
      <c r="L917" s="70"/>
      <c r="M917" s="70"/>
      <c r="N917" s="82"/>
      <c r="O917" s="70"/>
      <c r="P917" s="70"/>
      <c r="Q917" s="70"/>
      <c r="R917" s="71"/>
      <c r="S917" s="72"/>
      <c r="T917" s="70"/>
      <c r="U917" s="70"/>
      <c r="V917" s="71"/>
      <c r="W917" s="70"/>
      <c r="X917" s="70"/>
      <c r="Y917" s="70"/>
      <c r="Z917" s="70"/>
      <c r="AA917" s="70"/>
      <c r="AB917" s="70"/>
      <c r="AC917" s="70"/>
      <c r="AD917" s="70"/>
      <c r="AE917" s="70"/>
      <c r="AF917" s="70"/>
      <c r="AG917" s="70"/>
      <c r="AH917" s="70"/>
      <c r="AI917" s="70"/>
      <c r="AJ917" s="70"/>
      <c r="AK917" s="70"/>
      <c r="AL917" s="70"/>
      <c r="AM917" s="70"/>
      <c r="AN917" s="70"/>
      <c r="AO917" s="70"/>
    </row>
    <row r="918">
      <c r="A918" s="70"/>
      <c r="B918" s="70"/>
      <c r="C918" s="70"/>
      <c r="D918" s="71"/>
      <c r="E918" s="72"/>
      <c r="F918" s="70"/>
      <c r="G918" s="69"/>
      <c r="H918" s="70"/>
      <c r="I918" s="70"/>
      <c r="J918" s="71"/>
      <c r="K918" s="72"/>
      <c r="L918" s="70"/>
      <c r="M918" s="70"/>
      <c r="N918" s="82"/>
      <c r="O918" s="70"/>
      <c r="P918" s="70"/>
      <c r="Q918" s="70"/>
      <c r="R918" s="71"/>
      <c r="S918" s="72"/>
      <c r="T918" s="70"/>
      <c r="U918" s="70"/>
      <c r="V918" s="71"/>
      <c r="W918" s="70"/>
      <c r="X918" s="70"/>
      <c r="Y918" s="70"/>
      <c r="Z918" s="70"/>
      <c r="AA918" s="70"/>
      <c r="AB918" s="70"/>
      <c r="AC918" s="70"/>
      <c r="AD918" s="70"/>
      <c r="AE918" s="70"/>
      <c r="AF918" s="70"/>
      <c r="AG918" s="70"/>
      <c r="AH918" s="70"/>
      <c r="AI918" s="70"/>
      <c r="AJ918" s="70"/>
      <c r="AK918" s="70"/>
      <c r="AL918" s="70"/>
      <c r="AM918" s="70"/>
      <c r="AN918" s="70"/>
      <c r="AO918" s="70"/>
    </row>
    <row r="919">
      <c r="A919" s="70"/>
      <c r="B919" s="70"/>
      <c r="C919" s="70"/>
      <c r="D919" s="71"/>
      <c r="E919" s="72"/>
      <c r="F919" s="70"/>
      <c r="G919" s="69"/>
      <c r="H919" s="70"/>
      <c r="I919" s="70"/>
      <c r="J919" s="71"/>
      <c r="K919" s="72"/>
      <c r="L919" s="70"/>
      <c r="M919" s="70"/>
      <c r="N919" s="82"/>
      <c r="O919" s="70"/>
      <c r="P919" s="70"/>
      <c r="Q919" s="70"/>
      <c r="R919" s="71"/>
      <c r="S919" s="72"/>
      <c r="T919" s="70"/>
      <c r="U919" s="70"/>
      <c r="V919" s="71"/>
      <c r="W919" s="70"/>
      <c r="X919" s="70"/>
      <c r="Y919" s="70"/>
      <c r="Z919" s="70"/>
      <c r="AA919" s="70"/>
      <c r="AB919" s="70"/>
      <c r="AC919" s="70"/>
      <c r="AD919" s="70"/>
      <c r="AE919" s="70"/>
      <c r="AF919" s="70"/>
      <c r="AG919" s="70"/>
      <c r="AH919" s="70"/>
      <c r="AI919" s="70"/>
      <c r="AJ919" s="70"/>
      <c r="AK919" s="70"/>
      <c r="AL919" s="70"/>
      <c r="AM919" s="70"/>
      <c r="AN919" s="70"/>
      <c r="AO919" s="70"/>
    </row>
    <row r="920">
      <c r="A920" s="70"/>
      <c r="B920" s="70"/>
      <c r="C920" s="70"/>
      <c r="D920" s="71"/>
      <c r="E920" s="72"/>
      <c r="F920" s="70"/>
      <c r="G920" s="69"/>
      <c r="H920" s="70"/>
      <c r="I920" s="70"/>
      <c r="J920" s="71"/>
      <c r="K920" s="72"/>
      <c r="L920" s="70"/>
      <c r="M920" s="70"/>
      <c r="N920" s="82"/>
      <c r="O920" s="70"/>
      <c r="P920" s="70"/>
      <c r="Q920" s="70"/>
      <c r="R920" s="71"/>
      <c r="S920" s="72"/>
      <c r="T920" s="70"/>
      <c r="U920" s="70"/>
      <c r="V920" s="71"/>
      <c r="W920" s="70"/>
      <c r="X920" s="70"/>
      <c r="Y920" s="70"/>
      <c r="Z920" s="70"/>
      <c r="AA920" s="70"/>
      <c r="AB920" s="70"/>
      <c r="AC920" s="70"/>
      <c r="AD920" s="70"/>
      <c r="AE920" s="70"/>
      <c r="AF920" s="70"/>
      <c r="AG920" s="70"/>
      <c r="AH920" s="70"/>
      <c r="AI920" s="70"/>
      <c r="AJ920" s="70"/>
      <c r="AK920" s="70"/>
      <c r="AL920" s="70"/>
      <c r="AM920" s="70"/>
      <c r="AN920" s="70"/>
      <c r="AO920" s="70"/>
    </row>
    <row r="921">
      <c r="A921" s="70"/>
      <c r="B921" s="70"/>
      <c r="C921" s="70"/>
      <c r="D921" s="71"/>
      <c r="E921" s="72"/>
      <c r="F921" s="70"/>
      <c r="G921" s="69"/>
      <c r="H921" s="70"/>
      <c r="I921" s="70"/>
      <c r="J921" s="71"/>
      <c r="K921" s="72"/>
      <c r="L921" s="70"/>
      <c r="M921" s="70"/>
      <c r="N921" s="82"/>
      <c r="O921" s="70"/>
      <c r="P921" s="70"/>
      <c r="Q921" s="70"/>
      <c r="R921" s="71"/>
      <c r="S921" s="72"/>
      <c r="T921" s="70"/>
      <c r="U921" s="70"/>
      <c r="V921" s="71"/>
      <c r="W921" s="70"/>
      <c r="X921" s="70"/>
      <c r="Y921" s="70"/>
      <c r="Z921" s="70"/>
      <c r="AA921" s="70"/>
      <c r="AB921" s="70"/>
      <c r="AC921" s="70"/>
      <c r="AD921" s="70"/>
      <c r="AE921" s="70"/>
      <c r="AF921" s="70"/>
      <c r="AG921" s="70"/>
      <c r="AH921" s="70"/>
      <c r="AI921" s="70"/>
      <c r="AJ921" s="70"/>
      <c r="AK921" s="70"/>
      <c r="AL921" s="70"/>
      <c r="AM921" s="70"/>
      <c r="AN921" s="70"/>
      <c r="AO921" s="70"/>
    </row>
    <row r="922">
      <c r="A922" s="70"/>
      <c r="B922" s="70"/>
      <c r="C922" s="70"/>
      <c r="D922" s="71"/>
      <c r="E922" s="72"/>
      <c r="F922" s="70"/>
      <c r="G922" s="69"/>
      <c r="H922" s="70"/>
      <c r="I922" s="70"/>
      <c r="J922" s="71"/>
      <c r="K922" s="72"/>
      <c r="L922" s="70"/>
      <c r="M922" s="70"/>
      <c r="N922" s="82"/>
      <c r="O922" s="70"/>
      <c r="P922" s="70"/>
      <c r="Q922" s="70"/>
      <c r="R922" s="71"/>
      <c r="S922" s="72"/>
      <c r="T922" s="70"/>
      <c r="U922" s="70"/>
      <c r="V922" s="71"/>
      <c r="W922" s="70"/>
      <c r="X922" s="70"/>
      <c r="Y922" s="70"/>
      <c r="Z922" s="70"/>
      <c r="AA922" s="70"/>
      <c r="AB922" s="70"/>
      <c r="AC922" s="70"/>
      <c r="AD922" s="70"/>
      <c r="AE922" s="70"/>
      <c r="AF922" s="70"/>
      <c r="AG922" s="70"/>
      <c r="AH922" s="70"/>
      <c r="AI922" s="70"/>
      <c r="AJ922" s="70"/>
      <c r="AK922" s="70"/>
      <c r="AL922" s="70"/>
      <c r="AM922" s="70"/>
      <c r="AN922" s="70"/>
      <c r="AO922" s="70"/>
    </row>
    <row r="923">
      <c r="A923" s="70"/>
      <c r="B923" s="70"/>
      <c r="C923" s="70"/>
      <c r="D923" s="71"/>
      <c r="E923" s="72"/>
      <c r="F923" s="70"/>
      <c r="G923" s="69"/>
      <c r="H923" s="70"/>
      <c r="I923" s="70"/>
      <c r="J923" s="71"/>
      <c r="K923" s="72"/>
      <c r="L923" s="70"/>
      <c r="M923" s="70"/>
      <c r="N923" s="82"/>
      <c r="O923" s="70"/>
      <c r="P923" s="70"/>
      <c r="Q923" s="70"/>
      <c r="R923" s="71"/>
      <c r="S923" s="72"/>
      <c r="T923" s="70"/>
      <c r="U923" s="70"/>
      <c r="V923" s="71"/>
      <c r="W923" s="70"/>
      <c r="X923" s="70"/>
      <c r="Y923" s="70"/>
      <c r="Z923" s="70"/>
      <c r="AA923" s="70"/>
      <c r="AB923" s="70"/>
      <c r="AC923" s="70"/>
      <c r="AD923" s="70"/>
      <c r="AE923" s="70"/>
      <c r="AF923" s="70"/>
      <c r="AG923" s="70"/>
      <c r="AH923" s="70"/>
      <c r="AI923" s="70"/>
      <c r="AJ923" s="70"/>
      <c r="AK923" s="70"/>
      <c r="AL923" s="70"/>
      <c r="AM923" s="70"/>
      <c r="AN923" s="70"/>
      <c r="AO923" s="70"/>
    </row>
    <row r="924">
      <c r="A924" s="70"/>
      <c r="B924" s="70"/>
      <c r="C924" s="70"/>
      <c r="D924" s="71"/>
      <c r="E924" s="72"/>
      <c r="F924" s="70"/>
      <c r="G924" s="69"/>
      <c r="H924" s="70"/>
      <c r="I924" s="70"/>
      <c r="J924" s="71"/>
      <c r="K924" s="72"/>
      <c r="L924" s="70"/>
      <c r="M924" s="70"/>
      <c r="N924" s="82"/>
      <c r="O924" s="70"/>
      <c r="P924" s="70"/>
      <c r="Q924" s="70"/>
      <c r="R924" s="71"/>
      <c r="S924" s="72"/>
      <c r="T924" s="70"/>
      <c r="U924" s="70"/>
      <c r="V924" s="71"/>
      <c r="W924" s="70"/>
      <c r="X924" s="70"/>
      <c r="Y924" s="70"/>
      <c r="Z924" s="70"/>
      <c r="AA924" s="70"/>
      <c r="AB924" s="70"/>
      <c r="AC924" s="70"/>
      <c r="AD924" s="70"/>
      <c r="AE924" s="70"/>
      <c r="AF924" s="70"/>
      <c r="AG924" s="70"/>
      <c r="AH924" s="70"/>
      <c r="AI924" s="70"/>
      <c r="AJ924" s="70"/>
      <c r="AK924" s="70"/>
      <c r="AL924" s="70"/>
      <c r="AM924" s="70"/>
      <c r="AN924" s="70"/>
      <c r="AO924" s="70"/>
    </row>
    <row r="925">
      <c r="A925" s="70"/>
      <c r="B925" s="70"/>
      <c r="C925" s="70"/>
      <c r="D925" s="71"/>
      <c r="E925" s="72"/>
      <c r="F925" s="70"/>
      <c r="G925" s="69"/>
      <c r="H925" s="70"/>
      <c r="I925" s="70"/>
      <c r="J925" s="71"/>
      <c r="K925" s="72"/>
      <c r="L925" s="70"/>
      <c r="M925" s="70"/>
      <c r="N925" s="82"/>
      <c r="O925" s="70"/>
      <c r="P925" s="70"/>
      <c r="Q925" s="70"/>
      <c r="R925" s="71"/>
      <c r="S925" s="72"/>
      <c r="T925" s="70"/>
      <c r="U925" s="70"/>
      <c r="V925" s="71"/>
      <c r="W925" s="70"/>
      <c r="X925" s="70"/>
      <c r="Y925" s="70"/>
      <c r="Z925" s="70"/>
      <c r="AA925" s="70"/>
      <c r="AB925" s="70"/>
      <c r="AC925" s="70"/>
      <c r="AD925" s="70"/>
      <c r="AE925" s="70"/>
      <c r="AF925" s="70"/>
      <c r="AG925" s="70"/>
      <c r="AH925" s="70"/>
      <c r="AI925" s="70"/>
      <c r="AJ925" s="70"/>
      <c r="AK925" s="70"/>
      <c r="AL925" s="70"/>
      <c r="AM925" s="70"/>
      <c r="AN925" s="70"/>
      <c r="AO925" s="70"/>
    </row>
    <row r="926">
      <c r="A926" s="70"/>
      <c r="B926" s="70"/>
      <c r="C926" s="70"/>
      <c r="D926" s="71"/>
      <c r="E926" s="72"/>
      <c r="F926" s="70"/>
      <c r="G926" s="69"/>
      <c r="H926" s="70"/>
      <c r="I926" s="70"/>
      <c r="J926" s="71"/>
      <c r="K926" s="72"/>
      <c r="L926" s="70"/>
      <c r="M926" s="70"/>
      <c r="N926" s="82"/>
      <c r="O926" s="70"/>
      <c r="P926" s="70"/>
      <c r="Q926" s="70"/>
      <c r="R926" s="71"/>
      <c r="S926" s="72"/>
      <c r="T926" s="70"/>
      <c r="U926" s="70"/>
      <c r="V926" s="71"/>
      <c r="W926" s="70"/>
      <c r="X926" s="70"/>
      <c r="Y926" s="70"/>
      <c r="Z926" s="70"/>
      <c r="AA926" s="70"/>
      <c r="AB926" s="70"/>
      <c r="AC926" s="70"/>
      <c r="AD926" s="70"/>
      <c r="AE926" s="70"/>
      <c r="AF926" s="70"/>
      <c r="AG926" s="70"/>
      <c r="AH926" s="70"/>
      <c r="AI926" s="70"/>
      <c r="AJ926" s="70"/>
      <c r="AK926" s="70"/>
      <c r="AL926" s="70"/>
      <c r="AM926" s="70"/>
      <c r="AN926" s="70"/>
      <c r="AO926" s="70"/>
    </row>
    <row r="927">
      <c r="A927" s="70"/>
      <c r="B927" s="70"/>
      <c r="C927" s="70"/>
      <c r="D927" s="71"/>
      <c r="E927" s="72"/>
      <c r="F927" s="70"/>
      <c r="G927" s="69"/>
      <c r="H927" s="70"/>
      <c r="I927" s="70"/>
      <c r="J927" s="71"/>
      <c r="K927" s="72"/>
      <c r="L927" s="70"/>
      <c r="M927" s="70"/>
      <c r="N927" s="82"/>
      <c r="O927" s="70"/>
      <c r="P927" s="70"/>
      <c r="Q927" s="70"/>
      <c r="R927" s="71"/>
      <c r="S927" s="72"/>
      <c r="T927" s="70"/>
      <c r="U927" s="70"/>
      <c r="V927" s="71"/>
      <c r="W927" s="70"/>
      <c r="X927" s="70"/>
      <c r="Y927" s="70"/>
      <c r="Z927" s="70"/>
      <c r="AA927" s="70"/>
      <c r="AB927" s="70"/>
      <c r="AC927" s="70"/>
      <c r="AD927" s="70"/>
      <c r="AE927" s="70"/>
      <c r="AF927" s="70"/>
      <c r="AG927" s="70"/>
      <c r="AH927" s="70"/>
      <c r="AI927" s="70"/>
      <c r="AJ927" s="70"/>
      <c r="AK927" s="70"/>
      <c r="AL927" s="70"/>
      <c r="AM927" s="70"/>
      <c r="AN927" s="70"/>
      <c r="AO927" s="70"/>
    </row>
    <row r="928">
      <c r="A928" s="70"/>
      <c r="B928" s="70"/>
      <c r="C928" s="70"/>
      <c r="D928" s="71"/>
      <c r="E928" s="72"/>
      <c r="F928" s="70"/>
      <c r="G928" s="69"/>
      <c r="H928" s="70"/>
      <c r="I928" s="70"/>
      <c r="J928" s="71"/>
      <c r="K928" s="72"/>
      <c r="L928" s="70"/>
      <c r="M928" s="70"/>
      <c r="N928" s="82"/>
      <c r="O928" s="70"/>
      <c r="P928" s="70"/>
      <c r="Q928" s="70"/>
      <c r="R928" s="71"/>
      <c r="S928" s="72"/>
      <c r="T928" s="70"/>
      <c r="U928" s="70"/>
      <c r="V928" s="71"/>
      <c r="W928" s="70"/>
      <c r="X928" s="70"/>
      <c r="Y928" s="70"/>
      <c r="Z928" s="70"/>
      <c r="AA928" s="70"/>
      <c r="AB928" s="70"/>
      <c r="AC928" s="70"/>
      <c r="AD928" s="70"/>
      <c r="AE928" s="70"/>
      <c r="AF928" s="70"/>
      <c r="AG928" s="70"/>
      <c r="AH928" s="70"/>
      <c r="AI928" s="70"/>
      <c r="AJ928" s="70"/>
      <c r="AK928" s="70"/>
      <c r="AL928" s="70"/>
      <c r="AM928" s="70"/>
      <c r="AN928" s="70"/>
      <c r="AO928" s="70"/>
    </row>
    <row r="929">
      <c r="A929" s="70"/>
      <c r="B929" s="70"/>
      <c r="C929" s="70"/>
      <c r="D929" s="71"/>
      <c r="E929" s="72"/>
      <c r="F929" s="70"/>
      <c r="G929" s="69"/>
      <c r="H929" s="70"/>
      <c r="I929" s="70"/>
      <c r="J929" s="71"/>
      <c r="K929" s="72"/>
      <c r="L929" s="70"/>
      <c r="M929" s="70"/>
      <c r="N929" s="82"/>
      <c r="O929" s="70"/>
      <c r="P929" s="70"/>
      <c r="Q929" s="70"/>
      <c r="R929" s="71"/>
      <c r="S929" s="72"/>
      <c r="T929" s="70"/>
      <c r="U929" s="70"/>
      <c r="V929" s="71"/>
      <c r="W929" s="70"/>
      <c r="X929" s="70"/>
      <c r="Y929" s="70"/>
      <c r="Z929" s="70"/>
      <c r="AA929" s="70"/>
      <c r="AB929" s="70"/>
      <c r="AC929" s="70"/>
      <c r="AD929" s="70"/>
      <c r="AE929" s="70"/>
      <c r="AF929" s="70"/>
      <c r="AG929" s="70"/>
      <c r="AH929" s="70"/>
      <c r="AI929" s="70"/>
      <c r="AJ929" s="70"/>
      <c r="AK929" s="70"/>
      <c r="AL929" s="70"/>
      <c r="AM929" s="70"/>
      <c r="AN929" s="70"/>
      <c r="AO929" s="70"/>
    </row>
    <row r="930">
      <c r="A930" s="70"/>
      <c r="B930" s="70"/>
      <c r="C930" s="70"/>
      <c r="D930" s="71"/>
      <c r="E930" s="72"/>
      <c r="F930" s="70"/>
      <c r="G930" s="69"/>
      <c r="H930" s="70"/>
      <c r="I930" s="70"/>
      <c r="J930" s="71"/>
      <c r="K930" s="72"/>
      <c r="L930" s="70"/>
      <c r="M930" s="70"/>
      <c r="N930" s="82"/>
      <c r="O930" s="70"/>
      <c r="P930" s="70"/>
      <c r="Q930" s="70"/>
      <c r="R930" s="71"/>
      <c r="S930" s="72"/>
      <c r="T930" s="70"/>
      <c r="U930" s="70"/>
      <c r="V930" s="71"/>
      <c r="W930" s="70"/>
      <c r="X930" s="70"/>
      <c r="Y930" s="70"/>
      <c r="Z930" s="70"/>
      <c r="AA930" s="70"/>
      <c r="AB930" s="70"/>
      <c r="AC930" s="70"/>
      <c r="AD930" s="70"/>
      <c r="AE930" s="70"/>
      <c r="AF930" s="70"/>
      <c r="AG930" s="70"/>
      <c r="AH930" s="70"/>
      <c r="AI930" s="70"/>
      <c r="AJ930" s="70"/>
      <c r="AK930" s="70"/>
      <c r="AL930" s="70"/>
      <c r="AM930" s="70"/>
      <c r="AN930" s="70"/>
      <c r="AO930" s="70"/>
    </row>
    <row r="931">
      <c r="A931" s="70"/>
      <c r="B931" s="70"/>
      <c r="C931" s="70"/>
      <c r="D931" s="71"/>
      <c r="E931" s="72"/>
      <c r="F931" s="70"/>
      <c r="G931" s="69"/>
      <c r="H931" s="70"/>
      <c r="I931" s="70"/>
      <c r="J931" s="71"/>
      <c r="K931" s="72"/>
      <c r="L931" s="70"/>
      <c r="M931" s="70"/>
      <c r="N931" s="82"/>
      <c r="O931" s="70"/>
      <c r="P931" s="70"/>
      <c r="Q931" s="70"/>
      <c r="R931" s="71"/>
      <c r="S931" s="72"/>
      <c r="T931" s="70"/>
      <c r="U931" s="70"/>
      <c r="V931" s="71"/>
      <c r="W931" s="70"/>
      <c r="X931" s="70"/>
      <c r="Y931" s="70"/>
      <c r="Z931" s="70"/>
      <c r="AA931" s="70"/>
      <c r="AB931" s="70"/>
      <c r="AC931" s="70"/>
      <c r="AD931" s="70"/>
      <c r="AE931" s="70"/>
      <c r="AF931" s="70"/>
      <c r="AG931" s="70"/>
      <c r="AH931" s="70"/>
      <c r="AI931" s="70"/>
      <c r="AJ931" s="70"/>
      <c r="AK931" s="70"/>
      <c r="AL931" s="70"/>
      <c r="AM931" s="70"/>
      <c r="AN931" s="70"/>
      <c r="AO931" s="70"/>
    </row>
    <row r="932">
      <c r="A932" s="70"/>
      <c r="B932" s="70"/>
      <c r="C932" s="70"/>
      <c r="D932" s="71"/>
      <c r="E932" s="72"/>
      <c r="F932" s="70"/>
      <c r="G932" s="69"/>
      <c r="H932" s="70"/>
      <c r="I932" s="70"/>
      <c r="J932" s="71"/>
      <c r="K932" s="72"/>
      <c r="L932" s="70"/>
      <c r="M932" s="70"/>
      <c r="N932" s="82"/>
      <c r="O932" s="70"/>
      <c r="P932" s="70"/>
      <c r="Q932" s="70"/>
      <c r="R932" s="71"/>
      <c r="S932" s="72"/>
      <c r="T932" s="70"/>
      <c r="U932" s="70"/>
      <c r="V932" s="71"/>
      <c r="W932" s="70"/>
      <c r="X932" s="70"/>
      <c r="Y932" s="70"/>
      <c r="Z932" s="70"/>
      <c r="AA932" s="70"/>
      <c r="AB932" s="70"/>
      <c r="AC932" s="70"/>
      <c r="AD932" s="70"/>
      <c r="AE932" s="70"/>
      <c r="AF932" s="70"/>
      <c r="AG932" s="70"/>
      <c r="AH932" s="70"/>
      <c r="AI932" s="70"/>
      <c r="AJ932" s="70"/>
      <c r="AK932" s="70"/>
      <c r="AL932" s="70"/>
      <c r="AM932" s="70"/>
      <c r="AN932" s="70"/>
      <c r="AO932" s="70"/>
    </row>
    <row r="933">
      <c r="A933" s="70"/>
      <c r="B933" s="70"/>
      <c r="C933" s="70"/>
      <c r="D933" s="71"/>
      <c r="E933" s="72"/>
      <c r="F933" s="70"/>
      <c r="G933" s="69"/>
      <c r="H933" s="70"/>
      <c r="I933" s="70"/>
      <c r="J933" s="71"/>
      <c r="K933" s="72"/>
      <c r="L933" s="70"/>
      <c r="M933" s="70"/>
      <c r="N933" s="82"/>
      <c r="O933" s="70"/>
      <c r="P933" s="70"/>
      <c r="Q933" s="70"/>
      <c r="R933" s="71"/>
      <c r="S933" s="72"/>
      <c r="T933" s="70"/>
      <c r="U933" s="70"/>
      <c r="V933" s="71"/>
      <c r="W933" s="70"/>
      <c r="X933" s="70"/>
      <c r="Y933" s="70"/>
      <c r="Z933" s="70"/>
      <c r="AA933" s="70"/>
      <c r="AB933" s="70"/>
      <c r="AC933" s="70"/>
      <c r="AD933" s="70"/>
      <c r="AE933" s="70"/>
      <c r="AF933" s="70"/>
      <c r="AG933" s="70"/>
      <c r="AH933" s="70"/>
      <c r="AI933" s="70"/>
      <c r="AJ933" s="70"/>
      <c r="AK933" s="70"/>
      <c r="AL933" s="70"/>
      <c r="AM933" s="70"/>
      <c r="AN933" s="70"/>
      <c r="AO933" s="70"/>
    </row>
    <row r="934">
      <c r="A934" s="70"/>
      <c r="B934" s="70"/>
      <c r="C934" s="70"/>
      <c r="D934" s="71"/>
      <c r="E934" s="72"/>
      <c r="F934" s="70"/>
      <c r="G934" s="69"/>
      <c r="H934" s="70"/>
      <c r="I934" s="70"/>
      <c r="J934" s="71"/>
      <c r="K934" s="72"/>
      <c r="L934" s="70"/>
      <c r="M934" s="70"/>
      <c r="N934" s="82"/>
      <c r="O934" s="70"/>
      <c r="P934" s="70"/>
      <c r="Q934" s="70"/>
      <c r="R934" s="71"/>
      <c r="S934" s="72"/>
      <c r="T934" s="70"/>
      <c r="U934" s="70"/>
      <c r="V934" s="71"/>
      <c r="W934" s="70"/>
      <c r="X934" s="70"/>
      <c r="Y934" s="70"/>
      <c r="Z934" s="70"/>
      <c r="AA934" s="70"/>
      <c r="AB934" s="70"/>
      <c r="AC934" s="70"/>
      <c r="AD934" s="70"/>
      <c r="AE934" s="70"/>
      <c r="AF934" s="70"/>
      <c r="AG934" s="70"/>
      <c r="AH934" s="70"/>
      <c r="AI934" s="70"/>
      <c r="AJ934" s="70"/>
      <c r="AK934" s="70"/>
      <c r="AL934" s="70"/>
      <c r="AM934" s="70"/>
      <c r="AN934" s="70"/>
      <c r="AO934" s="70"/>
    </row>
    <row r="935">
      <c r="A935" s="70"/>
      <c r="B935" s="70"/>
      <c r="C935" s="70"/>
      <c r="D935" s="71"/>
      <c r="E935" s="72"/>
      <c r="F935" s="70"/>
      <c r="G935" s="69"/>
      <c r="H935" s="70"/>
      <c r="I935" s="70"/>
      <c r="J935" s="71"/>
      <c r="K935" s="72"/>
      <c r="L935" s="70"/>
      <c r="M935" s="70"/>
      <c r="N935" s="82"/>
      <c r="O935" s="70"/>
      <c r="P935" s="70"/>
      <c r="Q935" s="70"/>
      <c r="R935" s="71"/>
      <c r="S935" s="72"/>
      <c r="T935" s="70"/>
      <c r="U935" s="70"/>
      <c r="V935" s="71"/>
      <c r="W935" s="70"/>
      <c r="X935" s="70"/>
      <c r="Y935" s="70"/>
      <c r="Z935" s="70"/>
      <c r="AA935" s="70"/>
      <c r="AB935" s="70"/>
      <c r="AC935" s="70"/>
      <c r="AD935" s="70"/>
      <c r="AE935" s="70"/>
      <c r="AF935" s="70"/>
      <c r="AG935" s="70"/>
      <c r="AH935" s="70"/>
      <c r="AI935" s="70"/>
      <c r="AJ935" s="70"/>
      <c r="AK935" s="70"/>
      <c r="AL935" s="70"/>
      <c r="AM935" s="70"/>
      <c r="AN935" s="70"/>
      <c r="AO935" s="70"/>
    </row>
    <row r="936">
      <c r="A936" s="70"/>
      <c r="B936" s="70"/>
      <c r="C936" s="70"/>
      <c r="D936" s="71"/>
      <c r="E936" s="72"/>
      <c r="F936" s="70"/>
      <c r="G936" s="69"/>
      <c r="H936" s="70"/>
      <c r="I936" s="70"/>
      <c r="J936" s="71"/>
      <c r="K936" s="72"/>
      <c r="L936" s="70"/>
      <c r="M936" s="70"/>
      <c r="N936" s="82"/>
      <c r="O936" s="70"/>
      <c r="P936" s="70"/>
      <c r="Q936" s="70"/>
      <c r="R936" s="71"/>
      <c r="S936" s="72"/>
      <c r="T936" s="70"/>
      <c r="U936" s="70"/>
      <c r="V936" s="71"/>
      <c r="W936" s="70"/>
      <c r="X936" s="70"/>
      <c r="Y936" s="70"/>
      <c r="Z936" s="70"/>
      <c r="AA936" s="70"/>
      <c r="AB936" s="70"/>
      <c r="AC936" s="70"/>
      <c r="AD936" s="70"/>
      <c r="AE936" s="70"/>
      <c r="AF936" s="70"/>
      <c r="AG936" s="70"/>
      <c r="AH936" s="70"/>
      <c r="AI936" s="70"/>
      <c r="AJ936" s="70"/>
      <c r="AK936" s="70"/>
      <c r="AL936" s="70"/>
      <c r="AM936" s="70"/>
      <c r="AN936" s="70"/>
      <c r="AO936" s="70"/>
    </row>
    <row r="937">
      <c r="A937" s="70"/>
      <c r="B937" s="70"/>
      <c r="C937" s="70"/>
      <c r="D937" s="71"/>
      <c r="E937" s="72"/>
      <c r="F937" s="70"/>
      <c r="G937" s="69"/>
      <c r="H937" s="70"/>
      <c r="I937" s="70"/>
      <c r="J937" s="71"/>
      <c r="K937" s="72"/>
      <c r="L937" s="70"/>
      <c r="M937" s="70"/>
      <c r="N937" s="82"/>
      <c r="O937" s="70"/>
      <c r="P937" s="70"/>
      <c r="Q937" s="70"/>
      <c r="R937" s="71"/>
      <c r="S937" s="72"/>
      <c r="T937" s="70"/>
      <c r="U937" s="70"/>
      <c r="V937" s="71"/>
      <c r="W937" s="70"/>
      <c r="X937" s="70"/>
      <c r="Y937" s="70"/>
      <c r="Z937" s="70"/>
      <c r="AA937" s="70"/>
      <c r="AB937" s="70"/>
      <c r="AC937" s="70"/>
      <c r="AD937" s="70"/>
      <c r="AE937" s="70"/>
      <c r="AF937" s="70"/>
      <c r="AG937" s="70"/>
      <c r="AH937" s="70"/>
      <c r="AI937" s="70"/>
      <c r="AJ937" s="70"/>
      <c r="AK937" s="70"/>
      <c r="AL937" s="70"/>
      <c r="AM937" s="70"/>
      <c r="AN937" s="70"/>
      <c r="AO937" s="70"/>
    </row>
    <row r="938">
      <c r="A938" s="70"/>
      <c r="B938" s="70"/>
      <c r="C938" s="70"/>
      <c r="D938" s="71"/>
      <c r="E938" s="72"/>
      <c r="F938" s="70"/>
      <c r="G938" s="69"/>
      <c r="H938" s="70"/>
      <c r="I938" s="70"/>
      <c r="J938" s="71"/>
      <c r="K938" s="72"/>
      <c r="L938" s="70"/>
      <c r="M938" s="70"/>
      <c r="N938" s="82"/>
      <c r="O938" s="70"/>
      <c r="P938" s="70"/>
      <c r="Q938" s="70"/>
      <c r="R938" s="71"/>
      <c r="S938" s="72"/>
      <c r="T938" s="70"/>
      <c r="U938" s="70"/>
      <c r="V938" s="71"/>
      <c r="W938" s="70"/>
      <c r="X938" s="70"/>
      <c r="Y938" s="70"/>
      <c r="Z938" s="70"/>
      <c r="AA938" s="70"/>
      <c r="AB938" s="70"/>
      <c r="AC938" s="70"/>
      <c r="AD938" s="70"/>
      <c r="AE938" s="70"/>
      <c r="AF938" s="70"/>
      <c r="AG938" s="70"/>
      <c r="AH938" s="70"/>
      <c r="AI938" s="70"/>
      <c r="AJ938" s="70"/>
      <c r="AK938" s="70"/>
      <c r="AL938" s="70"/>
      <c r="AM938" s="70"/>
      <c r="AN938" s="70"/>
      <c r="AO938" s="70"/>
    </row>
    <row r="939">
      <c r="A939" s="70"/>
      <c r="B939" s="70"/>
      <c r="C939" s="70"/>
      <c r="D939" s="71"/>
      <c r="E939" s="72"/>
      <c r="F939" s="70"/>
      <c r="G939" s="69"/>
      <c r="H939" s="70"/>
      <c r="I939" s="70"/>
      <c r="J939" s="71"/>
      <c r="K939" s="72"/>
      <c r="L939" s="70"/>
      <c r="M939" s="70"/>
      <c r="N939" s="82"/>
      <c r="O939" s="70"/>
      <c r="P939" s="70"/>
      <c r="Q939" s="70"/>
      <c r="R939" s="71"/>
      <c r="S939" s="72"/>
      <c r="T939" s="70"/>
      <c r="U939" s="70"/>
      <c r="V939" s="71"/>
      <c r="W939" s="70"/>
      <c r="X939" s="70"/>
      <c r="Y939" s="70"/>
      <c r="Z939" s="70"/>
      <c r="AA939" s="70"/>
      <c r="AB939" s="70"/>
      <c r="AC939" s="70"/>
      <c r="AD939" s="70"/>
      <c r="AE939" s="70"/>
      <c r="AF939" s="70"/>
      <c r="AG939" s="70"/>
      <c r="AH939" s="70"/>
      <c r="AI939" s="70"/>
      <c r="AJ939" s="70"/>
      <c r="AK939" s="70"/>
      <c r="AL939" s="70"/>
      <c r="AM939" s="70"/>
      <c r="AN939" s="70"/>
      <c r="AO939" s="70"/>
    </row>
    <row r="940">
      <c r="A940" s="70"/>
      <c r="B940" s="70"/>
      <c r="C940" s="70"/>
      <c r="D940" s="71"/>
      <c r="E940" s="72"/>
      <c r="F940" s="70"/>
      <c r="G940" s="69"/>
      <c r="H940" s="70"/>
      <c r="I940" s="70"/>
      <c r="J940" s="71"/>
      <c r="K940" s="72"/>
      <c r="L940" s="70"/>
      <c r="M940" s="70"/>
      <c r="N940" s="82"/>
      <c r="O940" s="70"/>
      <c r="P940" s="70"/>
      <c r="Q940" s="70"/>
      <c r="R940" s="71"/>
      <c r="S940" s="72"/>
      <c r="T940" s="70"/>
      <c r="U940" s="70"/>
      <c r="V940" s="71"/>
      <c r="W940" s="70"/>
      <c r="X940" s="70"/>
      <c r="Y940" s="70"/>
      <c r="Z940" s="70"/>
      <c r="AA940" s="70"/>
      <c r="AB940" s="70"/>
      <c r="AC940" s="70"/>
      <c r="AD940" s="70"/>
      <c r="AE940" s="70"/>
      <c r="AF940" s="70"/>
      <c r="AG940" s="70"/>
      <c r="AH940" s="70"/>
      <c r="AI940" s="70"/>
      <c r="AJ940" s="70"/>
      <c r="AK940" s="70"/>
      <c r="AL940" s="70"/>
      <c r="AM940" s="70"/>
      <c r="AN940" s="70"/>
      <c r="AO940" s="70"/>
    </row>
    <row r="941">
      <c r="A941" s="70"/>
      <c r="B941" s="70"/>
      <c r="C941" s="70"/>
      <c r="D941" s="71"/>
      <c r="E941" s="72"/>
      <c r="F941" s="70"/>
      <c r="G941" s="69"/>
      <c r="H941" s="70"/>
      <c r="I941" s="70"/>
      <c r="J941" s="71"/>
      <c r="K941" s="72"/>
      <c r="L941" s="70"/>
      <c r="M941" s="70"/>
      <c r="N941" s="82"/>
      <c r="O941" s="70"/>
      <c r="P941" s="70"/>
      <c r="Q941" s="70"/>
      <c r="R941" s="71"/>
      <c r="S941" s="72"/>
      <c r="T941" s="70"/>
      <c r="U941" s="70"/>
      <c r="V941" s="71"/>
      <c r="W941" s="70"/>
      <c r="X941" s="70"/>
      <c r="Y941" s="70"/>
      <c r="Z941" s="70"/>
      <c r="AA941" s="70"/>
      <c r="AB941" s="70"/>
      <c r="AC941" s="70"/>
      <c r="AD941" s="70"/>
      <c r="AE941" s="70"/>
      <c r="AF941" s="70"/>
      <c r="AG941" s="70"/>
      <c r="AH941" s="70"/>
      <c r="AI941" s="70"/>
      <c r="AJ941" s="70"/>
      <c r="AK941" s="70"/>
      <c r="AL941" s="70"/>
      <c r="AM941" s="70"/>
      <c r="AN941" s="70"/>
      <c r="AO941" s="70"/>
    </row>
    <row r="942">
      <c r="A942" s="70"/>
      <c r="B942" s="70"/>
      <c r="C942" s="70"/>
      <c r="D942" s="71"/>
      <c r="E942" s="72"/>
      <c r="F942" s="70"/>
      <c r="G942" s="69"/>
      <c r="H942" s="70"/>
      <c r="I942" s="70"/>
      <c r="J942" s="71"/>
      <c r="K942" s="72"/>
      <c r="L942" s="70"/>
      <c r="M942" s="70"/>
      <c r="N942" s="82"/>
      <c r="O942" s="70"/>
      <c r="P942" s="70"/>
      <c r="Q942" s="70"/>
      <c r="R942" s="71"/>
      <c r="S942" s="72"/>
      <c r="T942" s="70"/>
      <c r="U942" s="70"/>
      <c r="V942" s="71"/>
      <c r="W942" s="70"/>
      <c r="X942" s="70"/>
      <c r="Y942" s="70"/>
      <c r="Z942" s="70"/>
      <c r="AA942" s="70"/>
      <c r="AB942" s="70"/>
      <c r="AC942" s="70"/>
      <c r="AD942" s="70"/>
      <c r="AE942" s="70"/>
      <c r="AF942" s="70"/>
      <c r="AG942" s="70"/>
      <c r="AH942" s="70"/>
      <c r="AI942" s="70"/>
      <c r="AJ942" s="70"/>
      <c r="AK942" s="70"/>
      <c r="AL942" s="70"/>
      <c r="AM942" s="70"/>
      <c r="AN942" s="70"/>
      <c r="AO942" s="70"/>
    </row>
    <row r="943">
      <c r="A943" s="70"/>
      <c r="B943" s="70"/>
      <c r="C943" s="70"/>
      <c r="D943" s="71"/>
      <c r="E943" s="72"/>
      <c r="F943" s="70"/>
      <c r="G943" s="69"/>
      <c r="H943" s="70"/>
      <c r="I943" s="70"/>
      <c r="J943" s="71"/>
      <c r="K943" s="72"/>
      <c r="L943" s="70"/>
      <c r="M943" s="70"/>
      <c r="N943" s="82"/>
      <c r="O943" s="70"/>
      <c r="P943" s="70"/>
      <c r="Q943" s="70"/>
      <c r="R943" s="71"/>
      <c r="S943" s="72"/>
      <c r="T943" s="70"/>
      <c r="U943" s="70"/>
      <c r="V943" s="71"/>
      <c r="W943" s="70"/>
      <c r="X943" s="70"/>
      <c r="Y943" s="70"/>
      <c r="Z943" s="70"/>
      <c r="AA943" s="70"/>
      <c r="AB943" s="70"/>
      <c r="AC943" s="70"/>
      <c r="AD943" s="70"/>
      <c r="AE943" s="70"/>
      <c r="AF943" s="70"/>
      <c r="AG943" s="70"/>
      <c r="AH943" s="70"/>
      <c r="AI943" s="70"/>
      <c r="AJ943" s="70"/>
      <c r="AK943" s="70"/>
      <c r="AL943" s="70"/>
      <c r="AM943" s="70"/>
      <c r="AN943" s="70"/>
      <c r="AO943" s="70"/>
    </row>
    <row r="944">
      <c r="A944" s="70"/>
      <c r="B944" s="70"/>
      <c r="C944" s="70"/>
      <c r="D944" s="71"/>
      <c r="E944" s="72"/>
      <c r="F944" s="70"/>
      <c r="G944" s="69"/>
      <c r="H944" s="70"/>
      <c r="I944" s="70"/>
      <c r="J944" s="71"/>
      <c r="K944" s="72"/>
      <c r="L944" s="70"/>
      <c r="M944" s="70"/>
      <c r="N944" s="82"/>
      <c r="O944" s="70"/>
      <c r="P944" s="70"/>
      <c r="Q944" s="70"/>
      <c r="R944" s="71"/>
      <c r="S944" s="72"/>
      <c r="T944" s="70"/>
      <c r="U944" s="70"/>
      <c r="V944" s="71"/>
      <c r="W944" s="70"/>
      <c r="X944" s="70"/>
      <c r="Y944" s="70"/>
      <c r="Z944" s="70"/>
      <c r="AA944" s="70"/>
      <c r="AB944" s="70"/>
      <c r="AC944" s="70"/>
      <c r="AD944" s="70"/>
      <c r="AE944" s="70"/>
      <c r="AF944" s="70"/>
      <c r="AG944" s="70"/>
      <c r="AH944" s="70"/>
      <c r="AI944" s="70"/>
      <c r="AJ944" s="70"/>
      <c r="AK944" s="70"/>
      <c r="AL944" s="70"/>
      <c r="AM944" s="70"/>
      <c r="AN944" s="70"/>
      <c r="AO944" s="70"/>
    </row>
    <row r="945">
      <c r="A945" s="70"/>
      <c r="B945" s="70"/>
      <c r="C945" s="70"/>
      <c r="D945" s="71"/>
      <c r="E945" s="72"/>
      <c r="F945" s="70"/>
      <c r="G945" s="69"/>
      <c r="H945" s="70"/>
      <c r="I945" s="70"/>
      <c r="J945" s="71"/>
      <c r="K945" s="72"/>
      <c r="L945" s="70"/>
      <c r="M945" s="70"/>
      <c r="N945" s="82"/>
      <c r="O945" s="70"/>
      <c r="P945" s="70"/>
      <c r="Q945" s="70"/>
      <c r="R945" s="71"/>
      <c r="S945" s="72"/>
      <c r="T945" s="70"/>
      <c r="U945" s="70"/>
      <c r="V945" s="71"/>
      <c r="W945" s="70"/>
      <c r="X945" s="70"/>
      <c r="Y945" s="70"/>
      <c r="Z945" s="70"/>
      <c r="AA945" s="70"/>
      <c r="AB945" s="70"/>
      <c r="AC945" s="70"/>
      <c r="AD945" s="70"/>
      <c r="AE945" s="70"/>
      <c r="AF945" s="70"/>
      <c r="AG945" s="70"/>
      <c r="AH945" s="70"/>
      <c r="AI945" s="70"/>
      <c r="AJ945" s="70"/>
      <c r="AK945" s="70"/>
      <c r="AL945" s="70"/>
      <c r="AM945" s="70"/>
      <c r="AN945" s="70"/>
      <c r="AO945" s="70"/>
    </row>
    <row r="946">
      <c r="A946" s="70"/>
      <c r="B946" s="70"/>
      <c r="C946" s="70"/>
      <c r="D946" s="71"/>
      <c r="E946" s="72"/>
      <c r="F946" s="70"/>
      <c r="G946" s="69"/>
      <c r="H946" s="70"/>
      <c r="I946" s="70"/>
      <c r="J946" s="71"/>
      <c r="K946" s="72"/>
      <c r="L946" s="70"/>
      <c r="M946" s="70"/>
      <c r="N946" s="82"/>
      <c r="O946" s="70"/>
      <c r="P946" s="70"/>
      <c r="Q946" s="70"/>
      <c r="R946" s="71"/>
      <c r="S946" s="72"/>
      <c r="T946" s="70"/>
      <c r="U946" s="70"/>
      <c r="V946" s="71"/>
      <c r="W946" s="70"/>
      <c r="X946" s="70"/>
      <c r="Y946" s="70"/>
      <c r="Z946" s="70"/>
      <c r="AA946" s="70"/>
      <c r="AB946" s="70"/>
      <c r="AC946" s="70"/>
      <c r="AD946" s="70"/>
      <c r="AE946" s="70"/>
      <c r="AF946" s="70"/>
      <c r="AG946" s="70"/>
      <c r="AH946" s="70"/>
      <c r="AI946" s="70"/>
      <c r="AJ946" s="70"/>
      <c r="AK946" s="70"/>
      <c r="AL946" s="70"/>
      <c r="AM946" s="70"/>
      <c r="AN946" s="70"/>
      <c r="AO946" s="70"/>
    </row>
    <row r="947">
      <c r="A947" s="70"/>
      <c r="B947" s="70"/>
      <c r="C947" s="70"/>
      <c r="D947" s="71"/>
      <c r="E947" s="72"/>
      <c r="F947" s="70"/>
      <c r="G947" s="69"/>
      <c r="H947" s="70"/>
      <c r="I947" s="70"/>
      <c r="J947" s="71"/>
      <c r="K947" s="72"/>
      <c r="L947" s="70"/>
      <c r="M947" s="70"/>
      <c r="N947" s="82"/>
      <c r="O947" s="70"/>
      <c r="P947" s="70"/>
      <c r="Q947" s="70"/>
      <c r="R947" s="71"/>
      <c r="S947" s="72"/>
      <c r="T947" s="70"/>
      <c r="U947" s="70"/>
      <c r="V947" s="71"/>
      <c r="W947" s="70"/>
      <c r="X947" s="70"/>
      <c r="Y947" s="70"/>
      <c r="Z947" s="70"/>
      <c r="AA947" s="70"/>
      <c r="AB947" s="70"/>
      <c r="AC947" s="70"/>
      <c r="AD947" s="70"/>
      <c r="AE947" s="70"/>
      <c r="AF947" s="70"/>
      <c r="AG947" s="70"/>
      <c r="AH947" s="70"/>
      <c r="AI947" s="70"/>
      <c r="AJ947" s="70"/>
      <c r="AK947" s="70"/>
      <c r="AL947" s="70"/>
      <c r="AM947" s="70"/>
      <c r="AN947" s="70"/>
      <c r="AO947" s="70"/>
    </row>
    <row r="948">
      <c r="A948" s="70"/>
      <c r="B948" s="70"/>
      <c r="C948" s="70"/>
      <c r="D948" s="71"/>
      <c r="E948" s="72"/>
      <c r="F948" s="70"/>
      <c r="G948" s="69"/>
      <c r="H948" s="70"/>
      <c r="I948" s="70"/>
      <c r="J948" s="71"/>
      <c r="K948" s="72"/>
      <c r="L948" s="70"/>
      <c r="M948" s="70"/>
      <c r="N948" s="82"/>
      <c r="O948" s="70"/>
      <c r="P948" s="70"/>
      <c r="Q948" s="70"/>
      <c r="R948" s="71"/>
      <c r="S948" s="72"/>
      <c r="T948" s="70"/>
      <c r="U948" s="70"/>
      <c r="V948" s="71"/>
      <c r="W948" s="70"/>
      <c r="X948" s="70"/>
      <c r="Y948" s="70"/>
      <c r="Z948" s="70"/>
      <c r="AA948" s="70"/>
      <c r="AB948" s="70"/>
      <c r="AC948" s="70"/>
      <c r="AD948" s="70"/>
      <c r="AE948" s="70"/>
      <c r="AF948" s="70"/>
      <c r="AG948" s="70"/>
      <c r="AH948" s="70"/>
      <c r="AI948" s="70"/>
      <c r="AJ948" s="70"/>
      <c r="AK948" s="70"/>
      <c r="AL948" s="70"/>
      <c r="AM948" s="70"/>
      <c r="AN948" s="70"/>
      <c r="AO948" s="70"/>
    </row>
    <row r="949">
      <c r="A949" s="70"/>
      <c r="B949" s="70"/>
      <c r="C949" s="70"/>
      <c r="D949" s="71"/>
      <c r="E949" s="72"/>
      <c r="F949" s="70"/>
      <c r="G949" s="69"/>
      <c r="H949" s="70"/>
      <c r="I949" s="70"/>
      <c r="J949" s="71"/>
      <c r="K949" s="72"/>
      <c r="L949" s="70"/>
      <c r="M949" s="70"/>
      <c r="N949" s="82"/>
      <c r="O949" s="70"/>
      <c r="P949" s="70"/>
      <c r="Q949" s="70"/>
      <c r="R949" s="71"/>
      <c r="S949" s="72"/>
      <c r="T949" s="70"/>
      <c r="U949" s="70"/>
      <c r="V949" s="71"/>
      <c r="W949" s="70"/>
      <c r="X949" s="70"/>
      <c r="Y949" s="70"/>
      <c r="Z949" s="70"/>
      <c r="AA949" s="70"/>
      <c r="AB949" s="70"/>
      <c r="AC949" s="70"/>
      <c r="AD949" s="70"/>
      <c r="AE949" s="70"/>
      <c r="AF949" s="70"/>
      <c r="AG949" s="70"/>
      <c r="AH949" s="70"/>
      <c r="AI949" s="70"/>
      <c r="AJ949" s="70"/>
      <c r="AK949" s="70"/>
      <c r="AL949" s="70"/>
      <c r="AM949" s="70"/>
      <c r="AN949" s="70"/>
      <c r="AO949" s="70"/>
    </row>
    <row r="950">
      <c r="A950" s="70"/>
      <c r="B950" s="70"/>
      <c r="C950" s="70"/>
      <c r="D950" s="71"/>
      <c r="E950" s="72"/>
      <c r="F950" s="70"/>
      <c r="G950" s="69"/>
      <c r="H950" s="70"/>
      <c r="I950" s="70"/>
      <c r="J950" s="71"/>
      <c r="K950" s="72"/>
      <c r="L950" s="70"/>
      <c r="M950" s="70"/>
      <c r="N950" s="82"/>
      <c r="O950" s="70"/>
      <c r="P950" s="70"/>
      <c r="Q950" s="70"/>
      <c r="R950" s="71"/>
      <c r="S950" s="72"/>
      <c r="T950" s="70"/>
      <c r="U950" s="70"/>
      <c r="V950" s="71"/>
      <c r="W950" s="70"/>
      <c r="X950" s="70"/>
      <c r="Y950" s="70"/>
      <c r="Z950" s="70"/>
      <c r="AA950" s="70"/>
      <c r="AB950" s="70"/>
      <c r="AC950" s="70"/>
      <c r="AD950" s="70"/>
      <c r="AE950" s="70"/>
      <c r="AF950" s="70"/>
      <c r="AG950" s="70"/>
      <c r="AH950" s="70"/>
      <c r="AI950" s="70"/>
      <c r="AJ950" s="70"/>
      <c r="AK950" s="70"/>
      <c r="AL950" s="70"/>
      <c r="AM950" s="70"/>
      <c r="AN950" s="70"/>
      <c r="AO950" s="70"/>
    </row>
    <row r="951">
      <c r="A951" s="70"/>
      <c r="B951" s="70"/>
      <c r="C951" s="70"/>
      <c r="D951" s="71"/>
      <c r="E951" s="72"/>
      <c r="F951" s="70"/>
      <c r="G951" s="69"/>
      <c r="H951" s="70"/>
      <c r="I951" s="70"/>
      <c r="J951" s="71"/>
      <c r="K951" s="72"/>
      <c r="L951" s="70"/>
      <c r="M951" s="70"/>
      <c r="N951" s="82"/>
      <c r="O951" s="70"/>
      <c r="P951" s="70"/>
      <c r="Q951" s="70"/>
      <c r="R951" s="71"/>
      <c r="S951" s="72"/>
      <c r="T951" s="70"/>
      <c r="U951" s="70"/>
      <c r="V951" s="71"/>
      <c r="W951" s="70"/>
      <c r="X951" s="70"/>
      <c r="Y951" s="70"/>
      <c r="Z951" s="70"/>
      <c r="AA951" s="70"/>
      <c r="AB951" s="70"/>
      <c r="AC951" s="70"/>
      <c r="AD951" s="70"/>
      <c r="AE951" s="70"/>
      <c r="AF951" s="70"/>
      <c r="AG951" s="70"/>
      <c r="AH951" s="70"/>
      <c r="AI951" s="70"/>
      <c r="AJ951" s="70"/>
      <c r="AK951" s="70"/>
      <c r="AL951" s="70"/>
      <c r="AM951" s="70"/>
      <c r="AN951" s="70"/>
      <c r="AO951" s="70"/>
    </row>
    <row r="952">
      <c r="A952" s="70"/>
      <c r="B952" s="70"/>
      <c r="C952" s="70"/>
      <c r="D952" s="71"/>
      <c r="E952" s="72"/>
      <c r="F952" s="70"/>
      <c r="G952" s="69"/>
      <c r="H952" s="70"/>
      <c r="I952" s="70"/>
      <c r="J952" s="71"/>
      <c r="K952" s="72"/>
      <c r="L952" s="70"/>
      <c r="M952" s="70"/>
      <c r="N952" s="82"/>
      <c r="O952" s="70"/>
      <c r="P952" s="70"/>
      <c r="Q952" s="70"/>
      <c r="R952" s="71"/>
      <c r="S952" s="72"/>
      <c r="T952" s="70"/>
      <c r="U952" s="70"/>
      <c r="V952" s="71"/>
      <c r="W952" s="70"/>
      <c r="X952" s="70"/>
      <c r="Y952" s="70"/>
      <c r="Z952" s="70"/>
      <c r="AA952" s="70"/>
      <c r="AB952" s="70"/>
      <c r="AC952" s="70"/>
      <c r="AD952" s="70"/>
      <c r="AE952" s="70"/>
      <c r="AF952" s="70"/>
      <c r="AG952" s="70"/>
      <c r="AH952" s="70"/>
      <c r="AI952" s="70"/>
      <c r="AJ952" s="70"/>
      <c r="AK952" s="70"/>
      <c r="AL952" s="70"/>
      <c r="AM952" s="70"/>
      <c r="AN952" s="70"/>
      <c r="AO952" s="70"/>
    </row>
    <row r="953">
      <c r="A953" s="70"/>
      <c r="B953" s="70"/>
      <c r="C953" s="70"/>
      <c r="D953" s="71"/>
      <c r="E953" s="72"/>
      <c r="F953" s="70"/>
      <c r="G953" s="69"/>
      <c r="H953" s="70"/>
      <c r="I953" s="70"/>
      <c r="J953" s="71"/>
      <c r="K953" s="72"/>
      <c r="L953" s="70"/>
      <c r="M953" s="70"/>
      <c r="N953" s="82"/>
      <c r="O953" s="70"/>
      <c r="P953" s="70"/>
      <c r="Q953" s="70"/>
      <c r="R953" s="71"/>
      <c r="S953" s="72"/>
      <c r="T953" s="70"/>
      <c r="U953" s="70"/>
      <c r="V953" s="71"/>
      <c r="W953" s="70"/>
      <c r="X953" s="70"/>
      <c r="Y953" s="70"/>
      <c r="Z953" s="70"/>
      <c r="AA953" s="70"/>
      <c r="AB953" s="70"/>
      <c r="AC953" s="70"/>
      <c r="AD953" s="70"/>
      <c r="AE953" s="70"/>
      <c r="AF953" s="70"/>
      <c r="AG953" s="70"/>
      <c r="AH953" s="70"/>
      <c r="AI953" s="70"/>
      <c r="AJ953" s="70"/>
      <c r="AK953" s="70"/>
      <c r="AL953" s="70"/>
      <c r="AM953" s="70"/>
      <c r="AN953" s="70"/>
      <c r="AO953" s="70"/>
    </row>
    <row r="954">
      <c r="A954" s="70"/>
      <c r="B954" s="70"/>
      <c r="C954" s="70"/>
      <c r="D954" s="71"/>
      <c r="E954" s="72"/>
      <c r="F954" s="70"/>
      <c r="G954" s="69"/>
      <c r="H954" s="70"/>
      <c r="I954" s="70"/>
      <c r="J954" s="71"/>
      <c r="K954" s="72"/>
      <c r="L954" s="70"/>
      <c r="M954" s="70"/>
      <c r="N954" s="82"/>
      <c r="O954" s="70"/>
      <c r="P954" s="70"/>
      <c r="Q954" s="70"/>
      <c r="R954" s="71"/>
      <c r="S954" s="72"/>
      <c r="T954" s="70"/>
      <c r="U954" s="70"/>
      <c r="V954" s="71"/>
      <c r="W954" s="70"/>
      <c r="X954" s="70"/>
      <c r="Y954" s="70"/>
      <c r="Z954" s="70"/>
      <c r="AA954" s="70"/>
      <c r="AB954" s="70"/>
      <c r="AC954" s="70"/>
      <c r="AD954" s="70"/>
      <c r="AE954" s="70"/>
      <c r="AF954" s="70"/>
      <c r="AG954" s="70"/>
      <c r="AH954" s="70"/>
      <c r="AI954" s="70"/>
      <c r="AJ954" s="70"/>
      <c r="AK954" s="70"/>
      <c r="AL954" s="70"/>
      <c r="AM954" s="70"/>
      <c r="AN954" s="70"/>
      <c r="AO954" s="70"/>
    </row>
    <row r="955">
      <c r="A955" s="70"/>
      <c r="B955" s="70"/>
      <c r="C955" s="70"/>
      <c r="D955" s="71"/>
      <c r="E955" s="72"/>
      <c r="F955" s="70"/>
      <c r="G955" s="69"/>
      <c r="H955" s="70"/>
      <c r="I955" s="70"/>
      <c r="J955" s="71"/>
      <c r="K955" s="72"/>
      <c r="L955" s="70"/>
      <c r="M955" s="70"/>
      <c r="N955" s="82"/>
      <c r="O955" s="70"/>
      <c r="P955" s="70"/>
      <c r="Q955" s="70"/>
      <c r="R955" s="71"/>
      <c r="S955" s="72"/>
      <c r="T955" s="70"/>
      <c r="U955" s="70"/>
      <c r="V955" s="71"/>
      <c r="W955" s="70"/>
      <c r="X955" s="70"/>
      <c r="Y955" s="70"/>
      <c r="Z955" s="70"/>
      <c r="AA955" s="70"/>
      <c r="AB955" s="70"/>
      <c r="AC955" s="70"/>
      <c r="AD955" s="70"/>
      <c r="AE955" s="70"/>
      <c r="AF955" s="70"/>
      <c r="AG955" s="70"/>
      <c r="AH955" s="70"/>
      <c r="AI955" s="70"/>
      <c r="AJ955" s="70"/>
      <c r="AK955" s="70"/>
      <c r="AL955" s="70"/>
      <c r="AM955" s="70"/>
      <c r="AN955" s="70"/>
      <c r="AO955" s="70"/>
    </row>
    <row r="956">
      <c r="A956" s="70"/>
      <c r="B956" s="70"/>
      <c r="C956" s="70"/>
      <c r="D956" s="71"/>
      <c r="E956" s="72"/>
      <c r="F956" s="70"/>
      <c r="G956" s="69"/>
      <c r="H956" s="70"/>
      <c r="I956" s="70"/>
      <c r="J956" s="71"/>
      <c r="K956" s="72"/>
      <c r="L956" s="70"/>
      <c r="M956" s="70"/>
      <c r="N956" s="82"/>
      <c r="O956" s="70"/>
      <c r="P956" s="70"/>
      <c r="Q956" s="70"/>
      <c r="R956" s="71"/>
      <c r="S956" s="72"/>
      <c r="T956" s="70"/>
      <c r="U956" s="70"/>
      <c r="V956" s="71"/>
      <c r="W956" s="70"/>
      <c r="X956" s="70"/>
      <c r="Y956" s="70"/>
      <c r="Z956" s="70"/>
      <c r="AA956" s="70"/>
      <c r="AB956" s="70"/>
      <c r="AC956" s="70"/>
      <c r="AD956" s="70"/>
      <c r="AE956" s="70"/>
      <c r="AF956" s="70"/>
      <c r="AG956" s="70"/>
      <c r="AH956" s="70"/>
      <c r="AI956" s="70"/>
      <c r="AJ956" s="70"/>
      <c r="AK956" s="70"/>
      <c r="AL956" s="70"/>
      <c r="AM956" s="70"/>
      <c r="AN956" s="70"/>
      <c r="AO956" s="70"/>
    </row>
    <row r="957">
      <c r="A957" s="70"/>
      <c r="B957" s="70"/>
      <c r="C957" s="70"/>
      <c r="D957" s="71"/>
      <c r="E957" s="72"/>
      <c r="F957" s="70"/>
      <c r="G957" s="69"/>
      <c r="H957" s="70"/>
      <c r="I957" s="70"/>
      <c r="J957" s="71"/>
      <c r="K957" s="72"/>
      <c r="L957" s="70"/>
      <c r="M957" s="70"/>
      <c r="N957" s="82"/>
      <c r="O957" s="70"/>
      <c r="P957" s="70"/>
      <c r="Q957" s="70"/>
      <c r="R957" s="71"/>
      <c r="S957" s="72"/>
      <c r="T957" s="70"/>
      <c r="U957" s="70"/>
      <c r="V957" s="71"/>
      <c r="W957" s="70"/>
      <c r="X957" s="70"/>
      <c r="Y957" s="70"/>
      <c r="Z957" s="70"/>
      <c r="AA957" s="70"/>
      <c r="AB957" s="70"/>
      <c r="AC957" s="70"/>
      <c r="AD957" s="70"/>
      <c r="AE957" s="70"/>
      <c r="AF957" s="70"/>
      <c r="AG957" s="70"/>
      <c r="AH957" s="70"/>
      <c r="AI957" s="70"/>
      <c r="AJ957" s="70"/>
      <c r="AK957" s="70"/>
      <c r="AL957" s="70"/>
      <c r="AM957" s="70"/>
      <c r="AN957" s="70"/>
      <c r="AO957" s="70"/>
    </row>
    <row r="958">
      <c r="A958" s="70"/>
      <c r="B958" s="70"/>
      <c r="C958" s="70"/>
      <c r="D958" s="71"/>
      <c r="E958" s="72"/>
      <c r="F958" s="70"/>
      <c r="G958" s="69"/>
      <c r="H958" s="70"/>
      <c r="I958" s="70"/>
      <c r="J958" s="71"/>
      <c r="K958" s="72"/>
      <c r="L958" s="70"/>
      <c r="M958" s="70"/>
      <c r="N958" s="82"/>
      <c r="O958" s="70"/>
      <c r="P958" s="70"/>
      <c r="Q958" s="70"/>
      <c r="R958" s="71"/>
      <c r="S958" s="72"/>
      <c r="T958" s="70"/>
      <c r="U958" s="70"/>
      <c r="V958" s="71"/>
      <c r="W958" s="70"/>
      <c r="X958" s="70"/>
      <c r="Y958" s="70"/>
      <c r="Z958" s="70"/>
      <c r="AA958" s="70"/>
      <c r="AB958" s="70"/>
      <c r="AC958" s="70"/>
      <c r="AD958" s="70"/>
      <c r="AE958" s="70"/>
      <c r="AF958" s="70"/>
      <c r="AG958" s="70"/>
      <c r="AH958" s="70"/>
      <c r="AI958" s="70"/>
      <c r="AJ958" s="70"/>
      <c r="AK958" s="70"/>
      <c r="AL958" s="70"/>
      <c r="AM958" s="70"/>
      <c r="AN958" s="70"/>
      <c r="AO958" s="70"/>
    </row>
    <row r="959">
      <c r="A959" s="70"/>
      <c r="B959" s="70"/>
      <c r="C959" s="70"/>
      <c r="D959" s="71"/>
      <c r="E959" s="72"/>
      <c r="F959" s="70"/>
      <c r="G959" s="69"/>
      <c r="H959" s="70"/>
      <c r="I959" s="70"/>
      <c r="J959" s="71"/>
      <c r="K959" s="72"/>
      <c r="L959" s="70"/>
      <c r="M959" s="70"/>
      <c r="N959" s="82"/>
      <c r="O959" s="70"/>
      <c r="P959" s="70"/>
      <c r="Q959" s="70"/>
      <c r="R959" s="71"/>
      <c r="S959" s="72"/>
      <c r="T959" s="70"/>
      <c r="U959" s="70"/>
      <c r="V959" s="71"/>
      <c r="W959" s="70"/>
      <c r="X959" s="70"/>
      <c r="Y959" s="70"/>
      <c r="Z959" s="70"/>
      <c r="AA959" s="70"/>
      <c r="AB959" s="70"/>
      <c r="AC959" s="70"/>
      <c r="AD959" s="70"/>
      <c r="AE959" s="70"/>
      <c r="AF959" s="70"/>
      <c r="AG959" s="70"/>
      <c r="AH959" s="70"/>
      <c r="AI959" s="70"/>
      <c r="AJ959" s="70"/>
      <c r="AK959" s="70"/>
      <c r="AL959" s="70"/>
      <c r="AM959" s="70"/>
      <c r="AN959" s="70"/>
      <c r="AO959" s="70"/>
    </row>
    <row r="960">
      <c r="A960" s="70"/>
      <c r="B960" s="70"/>
      <c r="C960" s="70"/>
      <c r="D960" s="71"/>
      <c r="E960" s="72"/>
      <c r="F960" s="70"/>
      <c r="G960" s="69"/>
      <c r="H960" s="70"/>
      <c r="I960" s="70"/>
      <c r="J960" s="71"/>
      <c r="K960" s="72"/>
      <c r="L960" s="70"/>
      <c r="M960" s="70"/>
      <c r="N960" s="82"/>
      <c r="O960" s="70"/>
      <c r="P960" s="70"/>
      <c r="Q960" s="70"/>
      <c r="R960" s="71"/>
      <c r="S960" s="72"/>
      <c r="T960" s="70"/>
      <c r="U960" s="70"/>
      <c r="V960" s="71"/>
      <c r="W960" s="70"/>
      <c r="X960" s="70"/>
      <c r="Y960" s="70"/>
      <c r="Z960" s="70"/>
      <c r="AA960" s="70"/>
      <c r="AB960" s="70"/>
      <c r="AC960" s="70"/>
      <c r="AD960" s="70"/>
      <c r="AE960" s="70"/>
      <c r="AF960" s="70"/>
      <c r="AG960" s="70"/>
      <c r="AH960" s="70"/>
      <c r="AI960" s="70"/>
      <c r="AJ960" s="70"/>
      <c r="AK960" s="70"/>
      <c r="AL960" s="70"/>
      <c r="AM960" s="70"/>
      <c r="AN960" s="70"/>
      <c r="AO960" s="70"/>
    </row>
    <row r="961">
      <c r="A961" s="70"/>
      <c r="B961" s="70"/>
      <c r="C961" s="70"/>
      <c r="D961" s="71"/>
      <c r="E961" s="72"/>
      <c r="F961" s="70"/>
      <c r="G961" s="69"/>
      <c r="H961" s="70"/>
      <c r="I961" s="70"/>
      <c r="J961" s="71"/>
      <c r="K961" s="72"/>
      <c r="L961" s="70"/>
      <c r="M961" s="70"/>
      <c r="N961" s="82"/>
      <c r="O961" s="70"/>
      <c r="P961" s="70"/>
      <c r="Q961" s="70"/>
      <c r="R961" s="71"/>
      <c r="S961" s="72"/>
      <c r="T961" s="70"/>
      <c r="U961" s="70"/>
      <c r="V961" s="71"/>
      <c r="W961" s="70"/>
      <c r="X961" s="70"/>
      <c r="Y961" s="70"/>
      <c r="Z961" s="70"/>
      <c r="AA961" s="70"/>
      <c r="AB961" s="70"/>
      <c r="AC961" s="70"/>
      <c r="AD961" s="70"/>
      <c r="AE961" s="70"/>
      <c r="AF961" s="70"/>
      <c r="AG961" s="70"/>
      <c r="AH961" s="70"/>
      <c r="AI961" s="70"/>
      <c r="AJ961" s="70"/>
      <c r="AK961" s="70"/>
      <c r="AL961" s="70"/>
      <c r="AM961" s="70"/>
      <c r="AN961" s="70"/>
      <c r="AO961" s="70"/>
    </row>
    <row r="962">
      <c r="A962" s="70"/>
      <c r="B962" s="70"/>
      <c r="C962" s="70"/>
      <c r="D962" s="71"/>
      <c r="E962" s="72"/>
      <c r="F962" s="70"/>
      <c r="G962" s="69"/>
      <c r="H962" s="70"/>
      <c r="I962" s="70"/>
      <c r="J962" s="71"/>
      <c r="K962" s="72"/>
      <c r="L962" s="70"/>
      <c r="M962" s="70"/>
      <c r="N962" s="82"/>
      <c r="O962" s="70"/>
      <c r="P962" s="70"/>
      <c r="Q962" s="70"/>
      <c r="R962" s="71"/>
      <c r="S962" s="72"/>
      <c r="T962" s="70"/>
      <c r="U962" s="70"/>
      <c r="V962" s="71"/>
      <c r="W962" s="70"/>
      <c r="X962" s="70"/>
      <c r="Y962" s="70"/>
      <c r="Z962" s="70"/>
      <c r="AA962" s="70"/>
      <c r="AB962" s="70"/>
      <c r="AC962" s="70"/>
      <c r="AD962" s="70"/>
      <c r="AE962" s="70"/>
      <c r="AF962" s="70"/>
      <c r="AG962" s="70"/>
      <c r="AH962" s="70"/>
      <c r="AI962" s="70"/>
      <c r="AJ962" s="70"/>
      <c r="AK962" s="70"/>
      <c r="AL962" s="70"/>
      <c r="AM962" s="70"/>
      <c r="AN962" s="70"/>
      <c r="AO962" s="70"/>
    </row>
    <row r="963">
      <c r="A963" s="70"/>
      <c r="B963" s="70"/>
      <c r="C963" s="70"/>
      <c r="D963" s="71"/>
      <c r="E963" s="72"/>
      <c r="F963" s="70"/>
      <c r="G963" s="69"/>
      <c r="H963" s="70"/>
      <c r="I963" s="70"/>
      <c r="J963" s="71"/>
      <c r="K963" s="72"/>
      <c r="L963" s="70"/>
      <c r="M963" s="70"/>
      <c r="N963" s="82"/>
      <c r="O963" s="70"/>
      <c r="P963" s="70"/>
      <c r="Q963" s="70"/>
      <c r="R963" s="71"/>
      <c r="S963" s="72"/>
      <c r="T963" s="70"/>
      <c r="U963" s="70"/>
      <c r="V963" s="71"/>
      <c r="W963" s="70"/>
      <c r="X963" s="70"/>
      <c r="Y963" s="70"/>
      <c r="Z963" s="70"/>
      <c r="AA963" s="70"/>
      <c r="AB963" s="70"/>
      <c r="AC963" s="70"/>
      <c r="AD963" s="70"/>
      <c r="AE963" s="70"/>
      <c r="AF963" s="70"/>
      <c r="AG963" s="70"/>
      <c r="AH963" s="70"/>
      <c r="AI963" s="70"/>
      <c r="AJ963" s="70"/>
      <c r="AK963" s="70"/>
      <c r="AL963" s="70"/>
      <c r="AM963" s="70"/>
      <c r="AN963" s="70"/>
      <c r="AO963" s="70"/>
    </row>
    <row r="964">
      <c r="A964" s="70"/>
      <c r="B964" s="70"/>
      <c r="C964" s="70"/>
      <c r="D964" s="71"/>
      <c r="E964" s="72"/>
      <c r="F964" s="70"/>
      <c r="G964" s="69"/>
      <c r="H964" s="70"/>
      <c r="I964" s="70"/>
      <c r="J964" s="71"/>
      <c r="K964" s="72"/>
      <c r="L964" s="70"/>
      <c r="M964" s="70"/>
      <c r="N964" s="82"/>
      <c r="O964" s="70"/>
      <c r="P964" s="70"/>
      <c r="Q964" s="70"/>
      <c r="R964" s="71"/>
      <c r="S964" s="72"/>
      <c r="T964" s="70"/>
      <c r="U964" s="70"/>
      <c r="V964" s="71"/>
      <c r="W964" s="70"/>
      <c r="X964" s="70"/>
      <c r="Y964" s="70"/>
      <c r="Z964" s="70"/>
      <c r="AA964" s="70"/>
      <c r="AB964" s="70"/>
      <c r="AC964" s="70"/>
      <c r="AD964" s="70"/>
      <c r="AE964" s="70"/>
      <c r="AF964" s="70"/>
      <c r="AG964" s="70"/>
      <c r="AH964" s="70"/>
      <c r="AI964" s="70"/>
      <c r="AJ964" s="70"/>
      <c r="AK964" s="70"/>
      <c r="AL964" s="70"/>
      <c r="AM964" s="70"/>
      <c r="AN964" s="70"/>
      <c r="AO964" s="70"/>
    </row>
    <row r="965">
      <c r="A965" s="70"/>
      <c r="B965" s="70"/>
      <c r="C965" s="70"/>
      <c r="D965" s="71"/>
      <c r="E965" s="72"/>
      <c r="F965" s="70"/>
      <c r="G965" s="69"/>
      <c r="H965" s="70"/>
      <c r="I965" s="70"/>
      <c r="J965" s="71"/>
      <c r="K965" s="72"/>
      <c r="L965" s="70"/>
      <c r="M965" s="70"/>
      <c r="N965" s="82"/>
      <c r="O965" s="70"/>
      <c r="P965" s="70"/>
      <c r="Q965" s="70"/>
      <c r="R965" s="71"/>
      <c r="S965" s="72"/>
      <c r="T965" s="70"/>
      <c r="U965" s="70"/>
      <c r="V965" s="71"/>
      <c r="W965" s="70"/>
      <c r="X965" s="70"/>
      <c r="Y965" s="70"/>
      <c r="Z965" s="70"/>
      <c r="AA965" s="70"/>
      <c r="AB965" s="70"/>
      <c r="AC965" s="70"/>
      <c r="AD965" s="70"/>
      <c r="AE965" s="70"/>
      <c r="AF965" s="70"/>
      <c r="AG965" s="70"/>
      <c r="AH965" s="70"/>
      <c r="AI965" s="70"/>
      <c r="AJ965" s="70"/>
      <c r="AK965" s="70"/>
      <c r="AL965" s="70"/>
      <c r="AM965" s="70"/>
      <c r="AN965" s="70"/>
      <c r="AO965" s="70"/>
    </row>
    <row r="966">
      <c r="A966" s="70"/>
      <c r="B966" s="70"/>
      <c r="C966" s="70"/>
      <c r="D966" s="71"/>
      <c r="E966" s="72"/>
      <c r="F966" s="70"/>
      <c r="G966" s="69"/>
      <c r="H966" s="70"/>
      <c r="I966" s="70"/>
      <c r="J966" s="71"/>
      <c r="K966" s="72"/>
      <c r="L966" s="70"/>
      <c r="M966" s="70"/>
      <c r="N966" s="82"/>
      <c r="O966" s="70"/>
      <c r="P966" s="70"/>
      <c r="Q966" s="70"/>
      <c r="R966" s="71"/>
      <c r="S966" s="72"/>
      <c r="T966" s="70"/>
      <c r="U966" s="70"/>
      <c r="V966" s="71"/>
      <c r="W966" s="70"/>
      <c r="X966" s="70"/>
      <c r="Y966" s="70"/>
      <c r="Z966" s="70"/>
      <c r="AA966" s="70"/>
      <c r="AB966" s="70"/>
      <c r="AC966" s="70"/>
      <c r="AD966" s="70"/>
      <c r="AE966" s="70"/>
      <c r="AF966" s="70"/>
      <c r="AG966" s="70"/>
      <c r="AH966" s="70"/>
      <c r="AI966" s="70"/>
      <c r="AJ966" s="70"/>
      <c r="AK966" s="70"/>
      <c r="AL966" s="70"/>
      <c r="AM966" s="70"/>
      <c r="AN966" s="70"/>
      <c r="AO966" s="70"/>
    </row>
    <row r="967">
      <c r="A967" s="70"/>
      <c r="B967" s="70"/>
      <c r="C967" s="70"/>
      <c r="D967" s="71"/>
      <c r="E967" s="72"/>
      <c r="F967" s="70"/>
      <c r="G967" s="69"/>
      <c r="H967" s="70"/>
      <c r="I967" s="70"/>
      <c r="J967" s="71"/>
      <c r="K967" s="72"/>
      <c r="L967" s="70"/>
      <c r="M967" s="70"/>
      <c r="N967" s="82"/>
      <c r="O967" s="70"/>
      <c r="P967" s="70"/>
      <c r="Q967" s="70"/>
      <c r="R967" s="71"/>
      <c r="S967" s="72"/>
      <c r="T967" s="70"/>
      <c r="U967" s="70"/>
      <c r="V967" s="71"/>
      <c r="W967" s="70"/>
      <c r="X967" s="70"/>
      <c r="Y967" s="70"/>
      <c r="Z967" s="70"/>
      <c r="AA967" s="70"/>
      <c r="AB967" s="70"/>
      <c r="AC967" s="70"/>
      <c r="AD967" s="70"/>
      <c r="AE967" s="70"/>
      <c r="AF967" s="70"/>
      <c r="AG967" s="70"/>
      <c r="AH967" s="70"/>
      <c r="AI967" s="70"/>
      <c r="AJ967" s="70"/>
      <c r="AK967" s="70"/>
      <c r="AL967" s="70"/>
      <c r="AM967" s="70"/>
      <c r="AN967" s="70"/>
      <c r="AO967" s="70"/>
    </row>
    <row r="968">
      <c r="A968" s="70"/>
      <c r="B968" s="70"/>
      <c r="C968" s="70"/>
      <c r="D968" s="71"/>
      <c r="E968" s="72"/>
      <c r="F968" s="70"/>
      <c r="G968" s="69"/>
      <c r="H968" s="70"/>
      <c r="I968" s="70"/>
      <c r="J968" s="71"/>
      <c r="K968" s="72"/>
      <c r="L968" s="70"/>
      <c r="M968" s="70"/>
      <c r="N968" s="82"/>
      <c r="O968" s="70"/>
      <c r="P968" s="70"/>
      <c r="Q968" s="70"/>
      <c r="R968" s="71"/>
      <c r="S968" s="72"/>
      <c r="T968" s="70"/>
      <c r="U968" s="70"/>
      <c r="V968" s="71"/>
      <c r="W968" s="70"/>
      <c r="X968" s="70"/>
      <c r="Y968" s="70"/>
      <c r="Z968" s="70"/>
      <c r="AA968" s="70"/>
      <c r="AB968" s="70"/>
      <c r="AC968" s="70"/>
      <c r="AD968" s="70"/>
      <c r="AE968" s="70"/>
      <c r="AF968" s="70"/>
      <c r="AG968" s="70"/>
      <c r="AH968" s="70"/>
      <c r="AI968" s="70"/>
      <c r="AJ968" s="70"/>
      <c r="AK968" s="70"/>
      <c r="AL968" s="70"/>
      <c r="AM968" s="70"/>
      <c r="AN968" s="70"/>
      <c r="AO968" s="70"/>
    </row>
    <row r="969">
      <c r="A969" s="70"/>
      <c r="B969" s="70"/>
      <c r="C969" s="70"/>
      <c r="D969" s="71"/>
      <c r="E969" s="72"/>
      <c r="F969" s="70"/>
      <c r="G969" s="69"/>
      <c r="H969" s="70"/>
      <c r="I969" s="70"/>
      <c r="J969" s="71"/>
      <c r="K969" s="72"/>
      <c r="L969" s="70"/>
      <c r="M969" s="70"/>
      <c r="N969" s="82"/>
      <c r="O969" s="70"/>
      <c r="P969" s="70"/>
      <c r="Q969" s="70"/>
      <c r="R969" s="71"/>
      <c r="S969" s="72"/>
      <c r="T969" s="70"/>
      <c r="U969" s="70"/>
      <c r="V969" s="71"/>
      <c r="W969" s="70"/>
      <c r="X969" s="70"/>
      <c r="Y969" s="70"/>
      <c r="Z969" s="70"/>
      <c r="AA969" s="70"/>
      <c r="AB969" s="70"/>
      <c r="AC969" s="70"/>
      <c r="AD969" s="70"/>
      <c r="AE969" s="70"/>
      <c r="AF969" s="70"/>
      <c r="AG969" s="70"/>
      <c r="AH969" s="70"/>
      <c r="AI969" s="70"/>
      <c r="AJ969" s="70"/>
      <c r="AK969" s="70"/>
      <c r="AL969" s="70"/>
      <c r="AM969" s="70"/>
      <c r="AN969" s="70"/>
      <c r="AO969" s="70"/>
    </row>
    <row r="970">
      <c r="A970" s="70"/>
      <c r="B970" s="70"/>
      <c r="C970" s="70"/>
      <c r="D970" s="71"/>
      <c r="E970" s="72"/>
      <c r="F970" s="70"/>
      <c r="G970" s="69"/>
      <c r="H970" s="70"/>
      <c r="I970" s="70"/>
      <c r="J970" s="71"/>
      <c r="K970" s="72"/>
      <c r="L970" s="70"/>
      <c r="M970" s="70"/>
      <c r="N970" s="82"/>
      <c r="O970" s="70"/>
      <c r="P970" s="70"/>
      <c r="Q970" s="70"/>
      <c r="R970" s="71"/>
      <c r="S970" s="72"/>
      <c r="T970" s="70"/>
      <c r="U970" s="70"/>
      <c r="V970" s="71"/>
      <c r="W970" s="70"/>
      <c r="X970" s="70"/>
      <c r="Y970" s="70"/>
      <c r="Z970" s="70"/>
      <c r="AA970" s="70"/>
      <c r="AB970" s="70"/>
      <c r="AC970" s="70"/>
      <c r="AD970" s="70"/>
      <c r="AE970" s="70"/>
      <c r="AF970" s="70"/>
      <c r="AG970" s="70"/>
      <c r="AH970" s="70"/>
      <c r="AI970" s="70"/>
      <c r="AJ970" s="70"/>
      <c r="AK970" s="70"/>
      <c r="AL970" s="70"/>
      <c r="AM970" s="70"/>
      <c r="AN970" s="70"/>
      <c r="AO970" s="70"/>
    </row>
    <row r="971">
      <c r="A971" s="70"/>
      <c r="B971" s="70"/>
      <c r="C971" s="70"/>
      <c r="D971" s="71"/>
      <c r="E971" s="72"/>
      <c r="F971" s="70"/>
      <c r="G971" s="69"/>
      <c r="H971" s="70"/>
      <c r="I971" s="70"/>
      <c r="J971" s="71"/>
      <c r="K971" s="72"/>
      <c r="L971" s="70"/>
      <c r="M971" s="70"/>
      <c r="N971" s="82"/>
      <c r="O971" s="70"/>
      <c r="P971" s="70"/>
      <c r="Q971" s="70"/>
      <c r="R971" s="71"/>
      <c r="S971" s="72"/>
      <c r="T971" s="70"/>
      <c r="U971" s="70"/>
      <c r="V971" s="71"/>
      <c r="W971" s="70"/>
      <c r="X971" s="70"/>
      <c r="Y971" s="70"/>
      <c r="Z971" s="70"/>
      <c r="AA971" s="70"/>
      <c r="AB971" s="70"/>
      <c r="AC971" s="70"/>
      <c r="AD971" s="70"/>
      <c r="AE971" s="70"/>
      <c r="AF971" s="70"/>
      <c r="AG971" s="70"/>
      <c r="AH971" s="70"/>
      <c r="AI971" s="70"/>
      <c r="AJ971" s="70"/>
      <c r="AK971" s="70"/>
      <c r="AL971" s="70"/>
      <c r="AM971" s="70"/>
      <c r="AN971" s="70"/>
      <c r="AO971" s="70"/>
    </row>
    <row r="972">
      <c r="A972" s="70"/>
      <c r="B972" s="70"/>
      <c r="C972" s="70"/>
      <c r="D972" s="71"/>
      <c r="E972" s="72"/>
      <c r="F972" s="70"/>
      <c r="G972" s="69"/>
      <c r="H972" s="70"/>
      <c r="I972" s="70"/>
      <c r="J972" s="71"/>
      <c r="K972" s="72"/>
      <c r="L972" s="70"/>
      <c r="M972" s="70"/>
      <c r="N972" s="82"/>
      <c r="O972" s="70"/>
      <c r="P972" s="70"/>
      <c r="Q972" s="70"/>
      <c r="R972" s="71"/>
      <c r="S972" s="72"/>
      <c r="T972" s="70"/>
      <c r="U972" s="70"/>
      <c r="V972" s="71"/>
      <c r="W972" s="70"/>
      <c r="X972" s="70"/>
      <c r="Y972" s="70"/>
      <c r="Z972" s="70"/>
      <c r="AA972" s="70"/>
      <c r="AB972" s="70"/>
      <c r="AC972" s="70"/>
      <c r="AD972" s="70"/>
      <c r="AE972" s="70"/>
      <c r="AF972" s="70"/>
      <c r="AG972" s="70"/>
      <c r="AH972" s="70"/>
      <c r="AI972" s="70"/>
      <c r="AJ972" s="70"/>
      <c r="AK972" s="70"/>
      <c r="AL972" s="70"/>
      <c r="AM972" s="70"/>
      <c r="AN972" s="70"/>
      <c r="AO972" s="70"/>
    </row>
    <row r="973">
      <c r="A973" s="70"/>
      <c r="B973" s="70"/>
      <c r="C973" s="70"/>
      <c r="D973" s="71"/>
      <c r="E973" s="72"/>
      <c r="F973" s="70"/>
      <c r="G973" s="69"/>
      <c r="H973" s="70"/>
      <c r="I973" s="70"/>
      <c r="J973" s="71"/>
      <c r="K973" s="72"/>
      <c r="L973" s="70"/>
      <c r="M973" s="70"/>
      <c r="N973" s="82"/>
      <c r="O973" s="70"/>
      <c r="P973" s="70"/>
      <c r="Q973" s="70"/>
      <c r="R973" s="71"/>
      <c r="S973" s="72"/>
      <c r="T973" s="70"/>
      <c r="U973" s="70"/>
      <c r="V973" s="71"/>
      <c r="W973" s="70"/>
      <c r="X973" s="70"/>
      <c r="Y973" s="70"/>
      <c r="Z973" s="70"/>
      <c r="AA973" s="70"/>
      <c r="AB973" s="70"/>
      <c r="AC973" s="70"/>
      <c r="AD973" s="70"/>
      <c r="AE973" s="70"/>
      <c r="AF973" s="70"/>
      <c r="AG973" s="70"/>
      <c r="AH973" s="70"/>
      <c r="AI973" s="70"/>
      <c r="AJ973" s="70"/>
      <c r="AK973" s="70"/>
      <c r="AL973" s="70"/>
      <c r="AM973" s="70"/>
      <c r="AN973" s="70"/>
      <c r="AO973" s="70"/>
    </row>
    <row r="974">
      <c r="A974" s="70"/>
      <c r="B974" s="70"/>
      <c r="C974" s="70"/>
      <c r="D974" s="71"/>
      <c r="E974" s="72"/>
      <c r="F974" s="70"/>
      <c r="G974" s="69"/>
      <c r="H974" s="70"/>
      <c r="I974" s="70"/>
      <c r="J974" s="71"/>
      <c r="K974" s="72"/>
      <c r="L974" s="70"/>
      <c r="M974" s="70"/>
      <c r="N974" s="82"/>
      <c r="O974" s="70"/>
      <c r="P974" s="70"/>
      <c r="Q974" s="70"/>
      <c r="R974" s="71"/>
      <c r="S974" s="72"/>
      <c r="T974" s="70"/>
      <c r="U974" s="70"/>
      <c r="V974" s="71"/>
      <c r="W974" s="70"/>
      <c r="X974" s="70"/>
      <c r="Y974" s="70"/>
      <c r="Z974" s="70"/>
      <c r="AA974" s="70"/>
      <c r="AB974" s="70"/>
      <c r="AC974" s="70"/>
      <c r="AD974" s="70"/>
      <c r="AE974" s="70"/>
      <c r="AF974" s="70"/>
      <c r="AG974" s="70"/>
      <c r="AH974" s="70"/>
      <c r="AI974" s="70"/>
      <c r="AJ974" s="70"/>
      <c r="AK974" s="70"/>
      <c r="AL974" s="70"/>
      <c r="AM974" s="70"/>
      <c r="AN974" s="70"/>
      <c r="AO974" s="70"/>
    </row>
    <row r="975">
      <c r="A975" s="70"/>
      <c r="B975" s="70"/>
      <c r="C975" s="70"/>
      <c r="D975" s="71"/>
      <c r="E975" s="72"/>
      <c r="F975" s="70"/>
      <c r="G975" s="69"/>
      <c r="H975" s="70"/>
      <c r="I975" s="70"/>
      <c r="J975" s="71"/>
      <c r="K975" s="72"/>
      <c r="L975" s="70"/>
      <c r="M975" s="70"/>
      <c r="N975" s="82"/>
      <c r="O975" s="70"/>
      <c r="P975" s="70"/>
      <c r="Q975" s="70"/>
      <c r="R975" s="71"/>
      <c r="S975" s="72"/>
      <c r="T975" s="70"/>
      <c r="U975" s="70"/>
      <c r="V975" s="71"/>
      <c r="W975" s="70"/>
      <c r="X975" s="70"/>
      <c r="Y975" s="70"/>
      <c r="Z975" s="70"/>
      <c r="AA975" s="70"/>
      <c r="AB975" s="70"/>
      <c r="AC975" s="70"/>
      <c r="AD975" s="70"/>
      <c r="AE975" s="70"/>
      <c r="AF975" s="70"/>
      <c r="AG975" s="70"/>
      <c r="AH975" s="70"/>
      <c r="AI975" s="70"/>
      <c r="AJ975" s="70"/>
      <c r="AK975" s="70"/>
      <c r="AL975" s="70"/>
      <c r="AM975" s="70"/>
      <c r="AN975" s="70"/>
      <c r="AO975" s="70"/>
    </row>
    <row r="976">
      <c r="A976" s="70"/>
      <c r="B976" s="70"/>
      <c r="C976" s="70"/>
      <c r="D976" s="71"/>
      <c r="E976" s="72"/>
      <c r="F976" s="70"/>
      <c r="G976" s="69"/>
      <c r="H976" s="70"/>
      <c r="I976" s="70"/>
      <c r="J976" s="71"/>
      <c r="K976" s="72"/>
      <c r="L976" s="70"/>
      <c r="M976" s="70"/>
      <c r="N976" s="82"/>
      <c r="O976" s="70"/>
      <c r="P976" s="70"/>
      <c r="Q976" s="70"/>
      <c r="R976" s="71"/>
      <c r="S976" s="72"/>
      <c r="T976" s="70"/>
      <c r="U976" s="70"/>
      <c r="V976" s="71"/>
      <c r="W976" s="70"/>
      <c r="X976" s="70"/>
      <c r="Y976" s="70"/>
      <c r="Z976" s="70"/>
      <c r="AA976" s="70"/>
      <c r="AB976" s="70"/>
      <c r="AC976" s="70"/>
      <c r="AD976" s="70"/>
      <c r="AE976" s="70"/>
      <c r="AF976" s="70"/>
      <c r="AG976" s="70"/>
      <c r="AH976" s="70"/>
      <c r="AI976" s="70"/>
      <c r="AJ976" s="70"/>
      <c r="AK976" s="70"/>
      <c r="AL976" s="70"/>
      <c r="AM976" s="70"/>
      <c r="AN976" s="70"/>
      <c r="AO976" s="70"/>
    </row>
    <row r="977">
      <c r="A977" s="70"/>
      <c r="B977" s="70"/>
      <c r="C977" s="70"/>
      <c r="D977" s="71"/>
      <c r="E977" s="72"/>
      <c r="F977" s="70"/>
      <c r="G977" s="69"/>
      <c r="H977" s="70"/>
      <c r="I977" s="70"/>
      <c r="J977" s="71"/>
      <c r="K977" s="72"/>
      <c r="L977" s="70"/>
      <c r="M977" s="70"/>
      <c r="N977" s="82"/>
      <c r="O977" s="70"/>
      <c r="P977" s="70"/>
      <c r="Q977" s="70"/>
      <c r="R977" s="71"/>
      <c r="S977" s="72"/>
      <c r="T977" s="70"/>
      <c r="U977" s="70"/>
      <c r="V977" s="71"/>
      <c r="W977" s="70"/>
      <c r="X977" s="70"/>
      <c r="Y977" s="70"/>
      <c r="Z977" s="70"/>
      <c r="AA977" s="70"/>
      <c r="AB977" s="70"/>
      <c r="AC977" s="70"/>
      <c r="AD977" s="70"/>
      <c r="AE977" s="70"/>
      <c r="AF977" s="70"/>
      <c r="AG977" s="70"/>
      <c r="AH977" s="70"/>
      <c r="AI977" s="70"/>
      <c r="AJ977" s="70"/>
      <c r="AK977" s="70"/>
      <c r="AL977" s="70"/>
      <c r="AM977" s="70"/>
      <c r="AN977" s="70"/>
      <c r="AO977" s="70"/>
    </row>
    <row r="978">
      <c r="A978" s="70"/>
      <c r="B978" s="70"/>
      <c r="C978" s="70"/>
      <c r="D978" s="71"/>
      <c r="E978" s="72"/>
      <c r="F978" s="70"/>
      <c r="G978" s="69"/>
      <c r="H978" s="70"/>
      <c r="I978" s="70"/>
      <c r="J978" s="71"/>
      <c r="K978" s="72"/>
      <c r="L978" s="70"/>
      <c r="M978" s="70"/>
      <c r="N978" s="82"/>
      <c r="O978" s="70"/>
      <c r="P978" s="70"/>
      <c r="Q978" s="70"/>
      <c r="R978" s="71"/>
      <c r="S978" s="72"/>
      <c r="T978" s="70"/>
      <c r="U978" s="70"/>
      <c r="V978" s="71"/>
      <c r="W978" s="70"/>
      <c r="X978" s="70"/>
      <c r="Y978" s="70"/>
      <c r="Z978" s="70"/>
      <c r="AA978" s="70"/>
      <c r="AB978" s="70"/>
      <c r="AC978" s="70"/>
      <c r="AD978" s="70"/>
      <c r="AE978" s="70"/>
      <c r="AF978" s="70"/>
      <c r="AG978" s="70"/>
      <c r="AH978" s="70"/>
      <c r="AI978" s="70"/>
      <c r="AJ978" s="70"/>
      <c r="AK978" s="70"/>
      <c r="AL978" s="70"/>
      <c r="AM978" s="70"/>
      <c r="AN978" s="70"/>
      <c r="AO978" s="70"/>
    </row>
    <row r="979">
      <c r="A979" s="70"/>
      <c r="B979" s="70"/>
      <c r="C979" s="70"/>
      <c r="D979" s="71"/>
      <c r="E979" s="72"/>
      <c r="F979" s="70"/>
      <c r="G979" s="69"/>
      <c r="H979" s="70"/>
      <c r="I979" s="70"/>
      <c r="J979" s="71"/>
      <c r="K979" s="72"/>
      <c r="L979" s="70"/>
      <c r="M979" s="70"/>
      <c r="N979" s="82"/>
      <c r="O979" s="70"/>
      <c r="P979" s="70"/>
      <c r="Q979" s="70"/>
      <c r="R979" s="71"/>
      <c r="S979" s="72"/>
      <c r="T979" s="70"/>
      <c r="U979" s="70"/>
      <c r="V979" s="71"/>
      <c r="W979" s="70"/>
      <c r="X979" s="70"/>
      <c r="Y979" s="70"/>
      <c r="Z979" s="70"/>
      <c r="AA979" s="70"/>
      <c r="AB979" s="70"/>
      <c r="AC979" s="70"/>
      <c r="AD979" s="70"/>
      <c r="AE979" s="70"/>
      <c r="AF979" s="70"/>
      <c r="AG979" s="70"/>
      <c r="AH979" s="70"/>
      <c r="AI979" s="70"/>
      <c r="AJ979" s="70"/>
      <c r="AK979" s="70"/>
      <c r="AL979" s="70"/>
      <c r="AM979" s="70"/>
      <c r="AN979" s="70"/>
      <c r="AO979" s="70"/>
    </row>
    <row r="980">
      <c r="A980" s="70"/>
      <c r="B980" s="70"/>
      <c r="C980" s="70"/>
      <c r="D980" s="71"/>
      <c r="E980" s="72"/>
      <c r="F980" s="70"/>
      <c r="G980" s="69"/>
      <c r="H980" s="70"/>
      <c r="I980" s="70"/>
      <c r="J980" s="71"/>
      <c r="K980" s="72"/>
      <c r="L980" s="70"/>
      <c r="M980" s="70"/>
      <c r="N980" s="82"/>
      <c r="O980" s="70"/>
      <c r="P980" s="70"/>
      <c r="Q980" s="70"/>
      <c r="R980" s="71"/>
      <c r="S980" s="72"/>
      <c r="T980" s="70"/>
      <c r="U980" s="70"/>
      <c r="V980" s="71"/>
      <c r="W980" s="70"/>
      <c r="X980" s="70"/>
      <c r="Y980" s="70"/>
      <c r="Z980" s="70"/>
      <c r="AA980" s="70"/>
      <c r="AB980" s="70"/>
      <c r="AC980" s="70"/>
      <c r="AD980" s="70"/>
      <c r="AE980" s="70"/>
      <c r="AF980" s="70"/>
      <c r="AG980" s="70"/>
      <c r="AH980" s="70"/>
      <c r="AI980" s="70"/>
      <c r="AJ980" s="70"/>
      <c r="AK980" s="70"/>
      <c r="AL980" s="70"/>
      <c r="AM980" s="70"/>
      <c r="AN980" s="70"/>
      <c r="AO980" s="70"/>
    </row>
    <row r="981">
      <c r="A981" s="70"/>
      <c r="B981" s="70"/>
      <c r="C981" s="70"/>
      <c r="D981" s="71"/>
      <c r="E981" s="72"/>
      <c r="F981" s="70"/>
      <c r="G981" s="69"/>
      <c r="H981" s="70"/>
      <c r="I981" s="70"/>
      <c r="J981" s="71"/>
      <c r="K981" s="72"/>
      <c r="L981" s="70"/>
      <c r="M981" s="70"/>
      <c r="N981" s="82"/>
      <c r="O981" s="70"/>
      <c r="P981" s="70"/>
      <c r="Q981" s="70"/>
      <c r="R981" s="71"/>
      <c r="S981" s="72"/>
      <c r="T981" s="70"/>
      <c r="U981" s="70"/>
      <c r="V981" s="71"/>
      <c r="W981" s="70"/>
      <c r="X981" s="70"/>
      <c r="Y981" s="70"/>
      <c r="Z981" s="70"/>
      <c r="AA981" s="70"/>
      <c r="AB981" s="70"/>
      <c r="AC981" s="70"/>
      <c r="AD981" s="70"/>
      <c r="AE981" s="70"/>
      <c r="AF981" s="70"/>
      <c r="AG981" s="70"/>
      <c r="AH981" s="70"/>
      <c r="AI981" s="70"/>
      <c r="AJ981" s="70"/>
      <c r="AK981" s="70"/>
      <c r="AL981" s="70"/>
      <c r="AM981" s="70"/>
      <c r="AN981" s="70"/>
      <c r="AO981" s="70"/>
    </row>
    <row r="982">
      <c r="A982" s="70"/>
      <c r="B982" s="70"/>
      <c r="C982" s="70"/>
      <c r="D982" s="71"/>
      <c r="E982" s="72"/>
      <c r="F982" s="70"/>
      <c r="G982" s="69"/>
      <c r="H982" s="70"/>
      <c r="I982" s="70"/>
      <c r="J982" s="71"/>
      <c r="K982" s="72"/>
      <c r="L982" s="70"/>
      <c r="M982" s="70"/>
      <c r="N982" s="82"/>
      <c r="O982" s="70"/>
      <c r="P982" s="70"/>
      <c r="Q982" s="70"/>
      <c r="R982" s="71"/>
      <c r="S982" s="72"/>
      <c r="T982" s="70"/>
      <c r="U982" s="70"/>
      <c r="V982" s="71"/>
      <c r="W982" s="70"/>
      <c r="X982" s="70"/>
      <c r="Y982" s="70"/>
      <c r="Z982" s="70"/>
      <c r="AA982" s="70"/>
      <c r="AB982" s="70"/>
      <c r="AC982" s="70"/>
      <c r="AD982" s="70"/>
      <c r="AE982" s="70"/>
      <c r="AF982" s="70"/>
      <c r="AG982" s="70"/>
      <c r="AH982" s="70"/>
      <c r="AI982" s="70"/>
      <c r="AJ982" s="70"/>
      <c r="AK982" s="70"/>
      <c r="AL982" s="70"/>
      <c r="AM982" s="70"/>
      <c r="AN982" s="70"/>
      <c r="AO982" s="70"/>
    </row>
    <row r="983">
      <c r="A983" s="70"/>
      <c r="B983" s="70"/>
      <c r="C983" s="70"/>
      <c r="D983" s="71"/>
      <c r="E983" s="72"/>
      <c r="F983" s="70"/>
      <c r="G983" s="69"/>
      <c r="H983" s="70"/>
      <c r="I983" s="70"/>
      <c r="J983" s="71"/>
      <c r="K983" s="72"/>
      <c r="L983" s="70"/>
      <c r="M983" s="70"/>
      <c r="N983" s="82"/>
      <c r="O983" s="70"/>
      <c r="P983" s="70"/>
      <c r="Q983" s="70"/>
      <c r="R983" s="71"/>
      <c r="S983" s="72"/>
      <c r="T983" s="70"/>
      <c r="U983" s="70"/>
      <c r="V983" s="71"/>
      <c r="W983" s="70"/>
      <c r="X983" s="70"/>
      <c r="Y983" s="70"/>
      <c r="Z983" s="70"/>
      <c r="AA983" s="70"/>
      <c r="AB983" s="70"/>
      <c r="AC983" s="70"/>
      <c r="AD983" s="70"/>
      <c r="AE983" s="70"/>
      <c r="AF983" s="70"/>
      <c r="AG983" s="70"/>
      <c r="AH983" s="70"/>
      <c r="AI983" s="70"/>
      <c r="AJ983" s="70"/>
      <c r="AK983" s="70"/>
      <c r="AL983" s="70"/>
      <c r="AM983" s="70"/>
      <c r="AN983" s="70"/>
      <c r="AO983" s="70"/>
    </row>
    <row r="984">
      <c r="A984" s="70"/>
      <c r="B984" s="70"/>
      <c r="C984" s="70"/>
      <c r="D984" s="71"/>
      <c r="E984" s="72"/>
      <c r="F984" s="70"/>
      <c r="G984" s="69"/>
      <c r="H984" s="70"/>
      <c r="I984" s="70"/>
      <c r="J984" s="71"/>
      <c r="K984" s="72"/>
      <c r="L984" s="70"/>
      <c r="M984" s="70"/>
      <c r="N984" s="82"/>
      <c r="O984" s="70"/>
      <c r="P984" s="70"/>
      <c r="Q984" s="70"/>
      <c r="R984" s="71"/>
      <c r="S984" s="72"/>
      <c r="T984" s="70"/>
      <c r="U984" s="70"/>
      <c r="V984" s="71"/>
      <c r="W984" s="70"/>
      <c r="X984" s="70"/>
      <c r="Y984" s="70"/>
      <c r="Z984" s="70"/>
      <c r="AA984" s="70"/>
      <c r="AB984" s="70"/>
      <c r="AC984" s="70"/>
      <c r="AD984" s="70"/>
      <c r="AE984" s="70"/>
      <c r="AF984" s="70"/>
      <c r="AG984" s="70"/>
      <c r="AH984" s="70"/>
      <c r="AI984" s="70"/>
      <c r="AJ984" s="70"/>
      <c r="AK984" s="70"/>
      <c r="AL984" s="70"/>
      <c r="AM984" s="70"/>
      <c r="AN984" s="70"/>
      <c r="AO984" s="70"/>
    </row>
    <row r="985">
      <c r="A985" s="70"/>
      <c r="B985" s="70"/>
      <c r="C985" s="70"/>
      <c r="D985" s="71"/>
      <c r="E985" s="72"/>
      <c r="F985" s="70"/>
      <c r="G985" s="69"/>
      <c r="H985" s="70"/>
      <c r="I985" s="70"/>
      <c r="J985" s="71"/>
      <c r="K985" s="72"/>
      <c r="L985" s="70"/>
      <c r="M985" s="70"/>
      <c r="N985" s="82"/>
      <c r="O985" s="70"/>
      <c r="P985" s="70"/>
      <c r="Q985" s="70"/>
      <c r="R985" s="71"/>
      <c r="S985" s="72"/>
      <c r="T985" s="70"/>
      <c r="U985" s="70"/>
      <c r="V985" s="71"/>
      <c r="W985" s="70"/>
      <c r="X985" s="70"/>
      <c r="Y985" s="70"/>
      <c r="Z985" s="70"/>
      <c r="AA985" s="70"/>
      <c r="AB985" s="70"/>
      <c r="AC985" s="70"/>
      <c r="AD985" s="70"/>
      <c r="AE985" s="70"/>
      <c r="AF985" s="70"/>
      <c r="AG985" s="70"/>
      <c r="AH985" s="70"/>
      <c r="AI985" s="70"/>
      <c r="AJ985" s="70"/>
      <c r="AK985" s="70"/>
      <c r="AL985" s="70"/>
      <c r="AM985" s="70"/>
      <c r="AN985" s="70"/>
      <c r="AO985" s="70"/>
    </row>
    <row r="986">
      <c r="A986" s="70"/>
      <c r="B986" s="70"/>
      <c r="C986" s="70"/>
      <c r="D986" s="71"/>
      <c r="E986" s="72"/>
      <c r="F986" s="70"/>
      <c r="G986" s="69"/>
      <c r="H986" s="70"/>
      <c r="I986" s="70"/>
      <c r="J986" s="71"/>
      <c r="K986" s="72"/>
      <c r="L986" s="70"/>
      <c r="M986" s="70"/>
      <c r="N986" s="82"/>
      <c r="O986" s="70"/>
      <c r="P986" s="70"/>
      <c r="Q986" s="70"/>
      <c r="R986" s="71"/>
      <c r="S986" s="72"/>
      <c r="T986" s="70"/>
      <c r="U986" s="70"/>
      <c r="V986" s="71"/>
      <c r="W986" s="70"/>
      <c r="X986" s="70"/>
      <c r="Y986" s="70"/>
      <c r="Z986" s="70"/>
      <c r="AA986" s="70"/>
      <c r="AB986" s="70"/>
      <c r="AC986" s="70"/>
      <c r="AD986" s="70"/>
      <c r="AE986" s="70"/>
      <c r="AF986" s="70"/>
      <c r="AG986" s="70"/>
      <c r="AH986" s="70"/>
      <c r="AI986" s="70"/>
      <c r="AJ986" s="70"/>
      <c r="AK986" s="70"/>
      <c r="AL986" s="70"/>
      <c r="AM986" s="70"/>
      <c r="AN986" s="70"/>
      <c r="AO986" s="70"/>
    </row>
    <row r="987">
      <c r="A987" s="70"/>
      <c r="B987" s="70"/>
      <c r="C987" s="70"/>
      <c r="D987" s="71"/>
      <c r="E987" s="72"/>
      <c r="F987" s="70"/>
      <c r="G987" s="69"/>
      <c r="H987" s="70"/>
      <c r="I987" s="70"/>
      <c r="J987" s="71"/>
      <c r="K987" s="72"/>
      <c r="L987" s="70"/>
      <c r="M987" s="70"/>
      <c r="N987" s="82"/>
      <c r="O987" s="70"/>
      <c r="P987" s="70"/>
      <c r="Q987" s="70"/>
      <c r="R987" s="71"/>
      <c r="S987" s="72"/>
      <c r="T987" s="70"/>
      <c r="U987" s="70"/>
      <c r="V987" s="71"/>
      <c r="W987" s="70"/>
      <c r="X987" s="70"/>
      <c r="Y987" s="70"/>
      <c r="Z987" s="70"/>
      <c r="AA987" s="70"/>
      <c r="AB987" s="70"/>
      <c r="AC987" s="70"/>
      <c r="AD987" s="70"/>
      <c r="AE987" s="70"/>
      <c r="AF987" s="70"/>
      <c r="AG987" s="70"/>
      <c r="AH987" s="70"/>
      <c r="AI987" s="70"/>
      <c r="AJ987" s="70"/>
      <c r="AK987" s="70"/>
      <c r="AL987" s="70"/>
      <c r="AM987" s="70"/>
      <c r="AN987" s="70"/>
      <c r="AO987" s="70"/>
    </row>
    <row r="988">
      <c r="A988" s="70"/>
      <c r="B988" s="70"/>
      <c r="C988" s="70"/>
      <c r="D988" s="71"/>
      <c r="E988" s="72"/>
      <c r="F988" s="70"/>
      <c r="G988" s="69"/>
      <c r="H988" s="70"/>
      <c r="I988" s="70"/>
      <c r="J988" s="71"/>
      <c r="K988" s="72"/>
      <c r="L988" s="70"/>
      <c r="M988" s="70"/>
      <c r="N988" s="82"/>
      <c r="O988" s="70"/>
      <c r="P988" s="70"/>
      <c r="Q988" s="70"/>
      <c r="R988" s="71"/>
      <c r="S988" s="72"/>
      <c r="T988" s="70"/>
      <c r="U988" s="70"/>
      <c r="V988" s="71"/>
      <c r="W988" s="70"/>
      <c r="X988" s="70"/>
      <c r="Y988" s="70"/>
      <c r="Z988" s="70"/>
      <c r="AA988" s="70"/>
      <c r="AB988" s="70"/>
      <c r="AC988" s="70"/>
      <c r="AD988" s="70"/>
      <c r="AE988" s="70"/>
      <c r="AF988" s="70"/>
      <c r="AG988" s="70"/>
      <c r="AH988" s="70"/>
      <c r="AI988" s="70"/>
      <c r="AJ988" s="70"/>
      <c r="AK988" s="70"/>
      <c r="AL988" s="70"/>
      <c r="AM988" s="70"/>
      <c r="AN988" s="70"/>
      <c r="AO988" s="70"/>
    </row>
    <row r="989">
      <c r="A989" s="70"/>
      <c r="B989" s="70"/>
      <c r="C989" s="70"/>
      <c r="D989" s="71"/>
      <c r="E989" s="72"/>
      <c r="F989" s="70"/>
      <c r="G989" s="69"/>
      <c r="H989" s="70"/>
      <c r="I989" s="70"/>
      <c r="J989" s="71"/>
      <c r="K989" s="72"/>
      <c r="L989" s="70"/>
      <c r="M989" s="70"/>
      <c r="N989" s="82"/>
      <c r="O989" s="70"/>
      <c r="P989" s="70"/>
      <c r="Q989" s="70"/>
      <c r="R989" s="71"/>
      <c r="S989" s="72"/>
      <c r="T989" s="70"/>
      <c r="U989" s="70"/>
      <c r="V989" s="71"/>
      <c r="W989" s="70"/>
      <c r="X989" s="70"/>
      <c r="Y989" s="70"/>
      <c r="Z989" s="70"/>
      <c r="AA989" s="70"/>
      <c r="AB989" s="70"/>
      <c r="AC989" s="70"/>
      <c r="AD989" s="70"/>
      <c r="AE989" s="70"/>
      <c r="AF989" s="70"/>
      <c r="AG989" s="70"/>
      <c r="AH989" s="70"/>
      <c r="AI989" s="70"/>
      <c r="AJ989" s="70"/>
      <c r="AK989" s="70"/>
      <c r="AL989" s="70"/>
      <c r="AM989" s="70"/>
      <c r="AN989" s="70"/>
      <c r="AO989" s="70"/>
    </row>
    <row r="990">
      <c r="A990" s="70"/>
      <c r="B990" s="70"/>
      <c r="C990" s="70"/>
      <c r="D990" s="71"/>
      <c r="E990" s="72"/>
      <c r="F990" s="70"/>
      <c r="G990" s="69"/>
      <c r="H990" s="70"/>
      <c r="I990" s="70"/>
      <c r="J990" s="71"/>
      <c r="K990" s="72"/>
      <c r="L990" s="70"/>
      <c r="M990" s="70"/>
      <c r="N990" s="82"/>
      <c r="O990" s="70"/>
      <c r="P990" s="70"/>
      <c r="Q990" s="70"/>
      <c r="R990" s="71"/>
      <c r="S990" s="72"/>
      <c r="T990" s="70"/>
      <c r="U990" s="70"/>
      <c r="V990" s="71"/>
      <c r="W990" s="70"/>
      <c r="X990" s="70"/>
      <c r="Y990" s="70"/>
      <c r="Z990" s="70"/>
      <c r="AA990" s="70"/>
      <c r="AB990" s="70"/>
      <c r="AC990" s="70"/>
      <c r="AD990" s="70"/>
      <c r="AE990" s="70"/>
      <c r="AF990" s="70"/>
      <c r="AG990" s="70"/>
      <c r="AH990" s="70"/>
      <c r="AI990" s="70"/>
      <c r="AJ990" s="70"/>
      <c r="AK990" s="70"/>
      <c r="AL990" s="70"/>
      <c r="AM990" s="70"/>
      <c r="AN990" s="70"/>
      <c r="AO990" s="70"/>
    </row>
    <row r="991">
      <c r="A991" s="70"/>
      <c r="B991" s="70"/>
      <c r="C991" s="70"/>
      <c r="D991" s="71"/>
      <c r="E991" s="72"/>
      <c r="F991" s="70"/>
      <c r="G991" s="69"/>
      <c r="H991" s="70"/>
      <c r="I991" s="70"/>
      <c r="J991" s="71"/>
      <c r="K991" s="72"/>
      <c r="L991" s="70"/>
      <c r="M991" s="70"/>
      <c r="N991" s="82"/>
      <c r="O991" s="70"/>
      <c r="P991" s="70"/>
      <c r="Q991" s="70"/>
      <c r="R991" s="71"/>
      <c r="S991" s="72"/>
      <c r="T991" s="70"/>
      <c r="U991" s="70"/>
      <c r="V991" s="71"/>
      <c r="W991" s="70"/>
      <c r="X991" s="70"/>
      <c r="Y991" s="70"/>
      <c r="Z991" s="70"/>
      <c r="AA991" s="70"/>
      <c r="AB991" s="70"/>
      <c r="AC991" s="70"/>
      <c r="AD991" s="70"/>
      <c r="AE991" s="70"/>
      <c r="AF991" s="70"/>
      <c r="AG991" s="70"/>
      <c r="AH991" s="70"/>
      <c r="AI991" s="70"/>
      <c r="AJ991" s="70"/>
      <c r="AK991" s="70"/>
      <c r="AL991" s="70"/>
      <c r="AM991" s="70"/>
      <c r="AN991" s="70"/>
      <c r="AO991" s="70"/>
    </row>
    <row r="992">
      <c r="A992" s="70"/>
      <c r="B992" s="70"/>
      <c r="C992" s="70"/>
      <c r="D992" s="71"/>
      <c r="E992" s="72"/>
      <c r="F992" s="70"/>
      <c r="G992" s="69"/>
      <c r="H992" s="70"/>
      <c r="I992" s="70"/>
      <c r="J992" s="71"/>
      <c r="K992" s="72"/>
      <c r="L992" s="70"/>
      <c r="M992" s="70"/>
      <c r="N992" s="82"/>
      <c r="O992" s="70"/>
      <c r="P992" s="70"/>
      <c r="Q992" s="70"/>
      <c r="R992" s="71"/>
      <c r="S992" s="72"/>
      <c r="T992" s="70"/>
      <c r="U992" s="70"/>
      <c r="V992" s="71"/>
      <c r="W992" s="70"/>
      <c r="X992" s="70"/>
      <c r="Y992" s="70"/>
      <c r="Z992" s="70"/>
      <c r="AA992" s="70"/>
      <c r="AB992" s="70"/>
      <c r="AC992" s="70"/>
      <c r="AD992" s="70"/>
      <c r="AE992" s="70"/>
      <c r="AF992" s="70"/>
      <c r="AG992" s="70"/>
      <c r="AH992" s="70"/>
      <c r="AI992" s="70"/>
      <c r="AJ992" s="70"/>
      <c r="AK992" s="70"/>
      <c r="AL992" s="70"/>
      <c r="AM992" s="70"/>
      <c r="AN992" s="70"/>
      <c r="AO992" s="70"/>
    </row>
    <row r="993">
      <c r="A993" s="70"/>
      <c r="B993" s="70"/>
      <c r="C993" s="70"/>
      <c r="D993" s="71"/>
      <c r="E993" s="72"/>
      <c r="F993" s="70"/>
      <c r="G993" s="69"/>
      <c r="H993" s="70"/>
      <c r="I993" s="70"/>
      <c r="J993" s="71"/>
      <c r="K993" s="72"/>
      <c r="L993" s="70"/>
      <c r="M993" s="70"/>
      <c r="N993" s="82"/>
      <c r="O993" s="70"/>
      <c r="P993" s="70"/>
      <c r="Q993" s="70"/>
      <c r="R993" s="71"/>
      <c r="S993" s="72"/>
      <c r="T993" s="70"/>
      <c r="U993" s="70"/>
      <c r="V993" s="71"/>
      <c r="W993" s="70"/>
      <c r="X993" s="70"/>
      <c r="Y993" s="70"/>
      <c r="Z993" s="70"/>
      <c r="AA993" s="70"/>
      <c r="AB993" s="70"/>
      <c r="AC993" s="70"/>
      <c r="AD993" s="70"/>
      <c r="AE993" s="70"/>
      <c r="AF993" s="70"/>
      <c r="AG993" s="70"/>
      <c r="AH993" s="70"/>
      <c r="AI993" s="70"/>
      <c r="AJ993" s="70"/>
      <c r="AK993" s="70"/>
      <c r="AL993" s="70"/>
      <c r="AM993" s="70"/>
      <c r="AN993" s="70"/>
      <c r="AO993" s="70"/>
    </row>
    <row r="994">
      <c r="A994" s="70"/>
      <c r="B994" s="70"/>
      <c r="C994" s="70"/>
      <c r="D994" s="71"/>
      <c r="E994" s="72"/>
      <c r="F994" s="70"/>
      <c r="G994" s="69"/>
      <c r="H994" s="70"/>
      <c r="I994" s="70"/>
      <c r="J994" s="71"/>
      <c r="K994" s="72"/>
      <c r="L994" s="70"/>
      <c r="M994" s="70"/>
      <c r="N994" s="82"/>
      <c r="O994" s="70"/>
      <c r="P994" s="70"/>
      <c r="Q994" s="70"/>
      <c r="R994" s="71"/>
      <c r="S994" s="72"/>
      <c r="T994" s="70"/>
      <c r="U994" s="70"/>
      <c r="V994" s="71"/>
      <c r="W994" s="70"/>
      <c r="X994" s="70"/>
      <c r="Y994" s="70"/>
      <c r="Z994" s="70"/>
      <c r="AA994" s="70"/>
      <c r="AB994" s="70"/>
      <c r="AC994" s="70"/>
      <c r="AD994" s="70"/>
      <c r="AE994" s="70"/>
      <c r="AF994" s="70"/>
      <c r="AG994" s="70"/>
      <c r="AH994" s="70"/>
      <c r="AI994" s="70"/>
      <c r="AJ994" s="70"/>
      <c r="AK994" s="70"/>
      <c r="AL994" s="70"/>
      <c r="AM994" s="70"/>
      <c r="AN994" s="70"/>
      <c r="AO994" s="70"/>
    </row>
    <row r="995">
      <c r="A995" s="70"/>
      <c r="B995" s="70"/>
      <c r="C995" s="70"/>
      <c r="D995" s="71"/>
      <c r="E995" s="72"/>
      <c r="F995" s="70"/>
      <c r="G995" s="69"/>
      <c r="H995" s="70"/>
      <c r="I995" s="70"/>
      <c r="J995" s="71"/>
      <c r="K995" s="72"/>
      <c r="L995" s="70"/>
      <c r="M995" s="70"/>
      <c r="N995" s="82"/>
      <c r="O995" s="70"/>
      <c r="P995" s="70"/>
      <c r="Q995" s="70"/>
      <c r="R995" s="71"/>
      <c r="S995" s="72"/>
      <c r="T995" s="70"/>
      <c r="U995" s="70"/>
      <c r="V995" s="71"/>
      <c r="W995" s="70"/>
      <c r="X995" s="70"/>
      <c r="Y995" s="70"/>
      <c r="Z995" s="70"/>
      <c r="AA995" s="70"/>
      <c r="AB995" s="70"/>
      <c r="AC995" s="70"/>
      <c r="AD995" s="70"/>
      <c r="AE995" s="70"/>
      <c r="AF995" s="70"/>
      <c r="AG995" s="70"/>
      <c r="AH995" s="70"/>
      <c r="AI995" s="70"/>
      <c r="AJ995" s="70"/>
      <c r="AK995" s="70"/>
      <c r="AL995" s="70"/>
      <c r="AM995" s="70"/>
      <c r="AN995" s="70"/>
      <c r="AO995" s="70"/>
    </row>
    <row r="996">
      <c r="A996" s="70"/>
      <c r="B996" s="70"/>
      <c r="C996" s="70"/>
      <c r="D996" s="71"/>
      <c r="E996" s="72"/>
      <c r="F996" s="70"/>
      <c r="G996" s="69"/>
      <c r="H996" s="70"/>
      <c r="I996" s="70"/>
      <c r="J996" s="71"/>
      <c r="K996" s="72"/>
      <c r="L996" s="70"/>
      <c r="M996" s="70"/>
      <c r="N996" s="82"/>
      <c r="O996" s="70"/>
      <c r="P996" s="70"/>
      <c r="Q996" s="70"/>
      <c r="R996" s="71"/>
      <c r="S996" s="72"/>
      <c r="T996" s="70"/>
      <c r="U996" s="70"/>
      <c r="V996" s="71"/>
      <c r="W996" s="70"/>
      <c r="X996" s="70"/>
      <c r="Y996" s="70"/>
      <c r="Z996" s="70"/>
      <c r="AA996" s="70"/>
      <c r="AB996" s="70"/>
      <c r="AC996" s="70"/>
      <c r="AD996" s="70"/>
      <c r="AE996" s="70"/>
      <c r="AF996" s="70"/>
      <c r="AG996" s="70"/>
      <c r="AH996" s="70"/>
      <c r="AI996" s="70"/>
      <c r="AJ996" s="70"/>
      <c r="AK996" s="70"/>
      <c r="AL996" s="70"/>
      <c r="AM996" s="70"/>
      <c r="AN996" s="70"/>
      <c r="AO996" s="70"/>
    </row>
    <row r="997">
      <c r="A997" s="70"/>
      <c r="B997" s="70"/>
      <c r="C997" s="70"/>
      <c r="D997" s="71"/>
      <c r="E997" s="72"/>
      <c r="F997" s="70"/>
      <c r="G997" s="69"/>
      <c r="H997" s="70"/>
      <c r="I997" s="70"/>
      <c r="J997" s="71"/>
      <c r="K997" s="72"/>
      <c r="L997" s="70"/>
      <c r="M997" s="70"/>
      <c r="N997" s="82"/>
      <c r="O997" s="70"/>
      <c r="P997" s="70"/>
      <c r="Q997" s="70"/>
      <c r="R997" s="71"/>
      <c r="S997" s="72"/>
      <c r="T997" s="70"/>
      <c r="U997" s="70"/>
      <c r="V997" s="71"/>
      <c r="W997" s="70"/>
      <c r="X997" s="70"/>
      <c r="Y997" s="70"/>
      <c r="Z997" s="70"/>
      <c r="AA997" s="70"/>
      <c r="AB997" s="70"/>
      <c r="AC997" s="70"/>
      <c r="AD997" s="70"/>
      <c r="AE997" s="70"/>
      <c r="AF997" s="70"/>
      <c r="AG997" s="70"/>
      <c r="AH997" s="70"/>
      <c r="AI997" s="70"/>
      <c r="AJ997" s="70"/>
      <c r="AK997" s="70"/>
      <c r="AL997" s="70"/>
      <c r="AM997" s="70"/>
      <c r="AN997" s="70"/>
      <c r="AO997" s="70"/>
    </row>
    <row r="998">
      <c r="A998" s="70"/>
      <c r="B998" s="70"/>
      <c r="C998" s="70"/>
      <c r="D998" s="71"/>
      <c r="E998" s="72"/>
      <c r="F998" s="70"/>
      <c r="G998" s="69"/>
      <c r="H998" s="70"/>
      <c r="I998" s="70"/>
      <c r="J998" s="71"/>
      <c r="K998" s="72"/>
      <c r="L998" s="70"/>
      <c r="M998" s="70"/>
      <c r="N998" s="82"/>
      <c r="O998" s="70"/>
      <c r="P998" s="70"/>
      <c r="Q998" s="70"/>
      <c r="R998" s="71"/>
      <c r="S998" s="72"/>
      <c r="T998" s="70"/>
      <c r="U998" s="70"/>
      <c r="V998" s="71"/>
      <c r="W998" s="70"/>
      <c r="X998" s="70"/>
      <c r="Y998" s="70"/>
      <c r="Z998" s="70"/>
      <c r="AA998" s="70"/>
      <c r="AB998" s="70"/>
      <c r="AC998" s="70"/>
      <c r="AD998" s="70"/>
      <c r="AE998" s="70"/>
      <c r="AF998" s="70"/>
      <c r="AG998" s="70"/>
      <c r="AH998" s="70"/>
      <c r="AI998" s="70"/>
      <c r="AJ998" s="70"/>
      <c r="AK998" s="70"/>
      <c r="AL998" s="70"/>
      <c r="AM998" s="70"/>
      <c r="AN998" s="70"/>
      <c r="AO998" s="70"/>
    </row>
    <row r="999">
      <c r="A999" s="70"/>
      <c r="B999" s="70"/>
      <c r="C999" s="70"/>
      <c r="D999" s="71"/>
      <c r="E999" s="72"/>
      <c r="F999" s="70"/>
      <c r="G999" s="69"/>
      <c r="H999" s="70"/>
      <c r="I999" s="70"/>
      <c r="J999" s="71"/>
      <c r="K999" s="72"/>
      <c r="L999" s="70"/>
      <c r="M999" s="70"/>
      <c r="N999" s="82"/>
      <c r="O999" s="70"/>
      <c r="P999" s="70"/>
      <c r="Q999" s="70"/>
      <c r="R999" s="71"/>
      <c r="S999" s="72"/>
      <c r="T999" s="70"/>
      <c r="U999" s="70"/>
      <c r="V999" s="71"/>
      <c r="W999" s="70"/>
      <c r="X999" s="70"/>
      <c r="Y999" s="70"/>
      <c r="Z999" s="70"/>
      <c r="AA999" s="70"/>
      <c r="AB999" s="70"/>
      <c r="AC999" s="70"/>
      <c r="AD999" s="70"/>
      <c r="AE999" s="70"/>
      <c r="AF999" s="70"/>
      <c r="AG999" s="70"/>
      <c r="AH999" s="70"/>
      <c r="AI999" s="70"/>
      <c r="AJ999" s="70"/>
      <c r="AK999" s="70"/>
      <c r="AL999" s="70"/>
      <c r="AM999" s="70"/>
      <c r="AN999" s="70"/>
      <c r="AO999" s="70"/>
    </row>
    <row r="1000">
      <c r="A1000" s="70"/>
      <c r="B1000" s="70"/>
      <c r="C1000" s="70"/>
      <c r="D1000" s="71"/>
      <c r="E1000" s="72"/>
      <c r="F1000" s="70"/>
      <c r="G1000" s="69"/>
      <c r="H1000" s="70"/>
      <c r="I1000" s="70"/>
      <c r="J1000" s="71"/>
      <c r="K1000" s="72"/>
      <c r="L1000" s="70"/>
      <c r="M1000" s="70"/>
      <c r="N1000" s="82"/>
      <c r="O1000" s="70"/>
      <c r="P1000" s="70"/>
      <c r="Q1000" s="70"/>
      <c r="R1000" s="71"/>
      <c r="S1000" s="72"/>
      <c r="T1000" s="70"/>
      <c r="U1000" s="70"/>
      <c r="V1000" s="71"/>
      <c r="W1000" s="70"/>
      <c r="X1000" s="70"/>
      <c r="Y1000" s="70"/>
      <c r="Z1000" s="70"/>
      <c r="AA1000" s="70"/>
      <c r="AB1000" s="70"/>
      <c r="AC1000" s="70"/>
      <c r="AD1000" s="70"/>
      <c r="AE1000" s="70"/>
      <c r="AF1000" s="70"/>
      <c r="AG1000" s="70"/>
      <c r="AH1000" s="70"/>
      <c r="AI1000" s="70"/>
      <c r="AJ1000" s="70"/>
      <c r="AK1000" s="70"/>
      <c r="AL1000" s="70"/>
      <c r="AM1000" s="70"/>
      <c r="AN1000" s="70"/>
      <c r="AO1000" s="70"/>
    </row>
    <row r="1001">
      <c r="A1001" s="70"/>
      <c r="B1001" s="70"/>
      <c r="C1001" s="70"/>
      <c r="D1001" s="71"/>
      <c r="E1001" s="72"/>
      <c r="F1001" s="70"/>
      <c r="G1001" s="69"/>
      <c r="H1001" s="70"/>
      <c r="I1001" s="70"/>
      <c r="J1001" s="71"/>
      <c r="K1001" s="72"/>
      <c r="L1001" s="70"/>
      <c r="M1001" s="70"/>
      <c r="N1001" s="82"/>
      <c r="O1001" s="70"/>
      <c r="P1001" s="70"/>
      <c r="Q1001" s="70"/>
      <c r="R1001" s="71"/>
      <c r="S1001" s="72"/>
      <c r="T1001" s="70"/>
      <c r="U1001" s="70"/>
      <c r="V1001" s="71"/>
      <c r="W1001" s="70"/>
      <c r="X1001" s="70"/>
      <c r="Y1001" s="70"/>
      <c r="Z1001" s="70"/>
      <c r="AA1001" s="70"/>
      <c r="AB1001" s="70"/>
      <c r="AC1001" s="70"/>
      <c r="AD1001" s="70"/>
      <c r="AE1001" s="70"/>
      <c r="AF1001" s="70"/>
      <c r="AG1001" s="70"/>
      <c r="AH1001" s="70"/>
      <c r="AI1001" s="70"/>
      <c r="AJ1001" s="70"/>
      <c r="AK1001" s="70"/>
      <c r="AL1001" s="70"/>
      <c r="AM1001" s="70"/>
      <c r="AN1001" s="70"/>
      <c r="AO1001" s="70"/>
    </row>
  </sheetData>
  <conditionalFormatting sqref="D1:D1001">
    <cfRule type="colorScale" priority="1">
      <colorScale>
        <cfvo type="min"/>
        <cfvo type="max"/>
        <color rgb="FFFFFFFF"/>
        <color rgb="FF3C78D8"/>
      </colorScale>
    </cfRule>
  </conditionalFormatting>
  <dataValidations>
    <dataValidation type="list" allowBlank="1" showErrorMessage="1" sqref="Q2">
      <formula1>'sales by country'!$A$1:$C$1</formula1>
    </dataValidation>
  </dataValidation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13"/>
    <col customWidth="1" min="2" max="2" width="9.88"/>
    <col customWidth="1" min="3" max="3" width="10.63"/>
    <col customWidth="1" min="4" max="4" width="15.0"/>
    <col customWidth="1" min="5" max="5" width="16.75"/>
    <col customWidth="1" min="6" max="6" width="17.13"/>
    <col customWidth="1" min="8" max="8" width="11.13"/>
    <col customWidth="1" min="9" max="9" width="17.5"/>
    <col customWidth="1" min="11" max="11" width="16.63"/>
  </cols>
  <sheetData>
    <row r="1"/>
    <row r="2"/>
    <row r="3"/>
    <row r="4"/>
    <row r="5"/>
    <row r="6"/>
    <row r="7"/>
    <row r="8"/>
    <row r="9"/>
    <row r="10"/>
    <row r="11"/>
    <row r="14">
      <c r="A14" s="46" t="str">
        <f>IFERROR(__xludf.DUMMYFUNCTION("QUERY(A4:I11,""select A,D,H label D'revenue_by_offline_channel', H'revenue_by_online_channel'"")"),"")</f>
        <v/>
      </c>
      <c r="B14" s="46" t="str">
        <f>IFERROR(__xludf.DUMMYFUNCTION("""COMPUTED_VALUE"""),"revenue_by_offline_channel")</f>
        <v>revenue_by_offline_channel</v>
      </c>
      <c r="C14" s="46" t="str">
        <f>IFERROR(__xludf.DUMMYFUNCTION("""COMPUTED_VALUE"""),"revenue_by_online_channel")</f>
        <v>revenue_by_online_channel</v>
      </c>
    </row>
    <row r="15">
      <c r="A15" s="46">
        <f>IFERROR(__xludf.DUMMYFUNCTION("""COMPUTED_VALUE"""),2010.0)</f>
        <v>2010</v>
      </c>
      <c r="B15" s="84">
        <f>IFERROR(__xludf.DUMMYFUNCTION("""COMPUTED_VALUE"""),8.631724075999999E7)</f>
        <v>86317240.76</v>
      </c>
      <c r="C15" s="46">
        <f>IFERROR(__xludf.DUMMYFUNCTION("""COMPUTED_VALUE"""),93.0)</f>
        <v>93</v>
      </c>
    </row>
    <row r="16">
      <c r="A16" s="46">
        <f>IFERROR(__xludf.DUMMYFUNCTION("""COMPUTED_VALUE"""),2011.0)</f>
        <v>2011</v>
      </c>
      <c r="B16" s="84">
        <f>IFERROR(__xludf.DUMMYFUNCTION("""COMPUTED_VALUE"""),1.2681480231999998E8)</f>
        <v>126814802.3</v>
      </c>
      <c r="C16" s="46">
        <f>IFERROR(__xludf.DUMMYFUNCTION("""COMPUTED_VALUE"""),84.0)</f>
        <v>84</v>
      </c>
    </row>
    <row r="17">
      <c r="A17" s="46">
        <f>IFERROR(__xludf.DUMMYFUNCTION("""COMPUTED_VALUE"""),2012.0)</f>
        <v>2012</v>
      </c>
      <c r="B17" s="84">
        <f>IFERROR(__xludf.DUMMYFUNCTION("""COMPUTED_VALUE"""),1.4909056625E8)</f>
        <v>149090566.3</v>
      </c>
      <c r="C17" s="46">
        <f>IFERROR(__xludf.DUMMYFUNCTION("""COMPUTED_VALUE"""),99.0)</f>
        <v>99</v>
      </c>
    </row>
    <row r="18">
      <c r="A18" s="46">
        <f>IFERROR(__xludf.DUMMYFUNCTION("""COMPUTED_VALUE"""),2013.0)</f>
        <v>2013</v>
      </c>
      <c r="B18" s="84">
        <f>IFERROR(__xludf.DUMMYFUNCTION("""COMPUTED_VALUE"""),7.828978121E7)</f>
        <v>78289781.21</v>
      </c>
      <c r="C18" s="46">
        <f>IFERROR(__xludf.DUMMYFUNCTION("""COMPUTED_VALUE"""),81.0)</f>
        <v>81</v>
      </c>
    </row>
    <row r="19">
      <c r="A19" s="46">
        <f>IFERROR(__xludf.DUMMYFUNCTION("""COMPUTED_VALUE"""),2014.0)</f>
        <v>2014</v>
      </c>
      <c r="B19" s="84">
        <f>IFERROR(__xludf.DUMMYFUNCTION("""COMPUTED_VALUE"""),1.1894136353000008E8)</f>
        <v>118941363.5</v>
      </c>
      <c r="C19" s="46">
        <f>IFERROR(__xludf.DUMMYFUNCTION("""COMPUTED_VALUE"""),90.0)</f>
        <v>90</v>
      </c>
    </row>
    <row r="20">
      <c r="A20" s="46">
        <f>IFERROR(__xludf.DUMMYFUNCTION("""COMPUTED_VALUE"""),2015.0)</f>
        <v>2015</v>
      </c>
      <c r="B20" s="84">
        <f>IFERROR(__xludf.DUMMYFUNCTION("""COMPUTED_VALUE"""),1.3060530919999997E8)</f>
        <v>130605309.2</v>
      </c>
      <c r="C20" s="46">
        <f>IFERROR(__xludf.DUMMYFUNCTION("""COMPUTED_VALUE"""),82.0)</f>
        <v>82</v>
      </c>
    </row>
    <row r="21">
      <c r="A21" s="46">
        <f>IFERROR(__xludf.DUMMYFUNCTION("""COMPUTED_VALUE"""),2016.0)</f>
        <v>2016</v>
      </c>
      <c r="B21" s="84">
        <f>IFERROR(__xludf.DUMMYFUNCTION("""COMPUTED_VALUE"""),1.0909244613999999E8)</f>
        <v>109092446.1</v>
      </c>
      <c r="C21" s="46">
        <f>IFERROR(__xludf.DUMMYFUNCTION("""COMPUTED_VALUE"""),84.0)</f>
        <v>84</v>
      </c>
    </row>
    <row r="22">
      <c r="A22" s="46">
        <f>IFERROR(__xludf.DUMMYFUNCTION("""COMPUTED_VALUE"""),2017.0)</f>
        <v>2017</v>
      </c>
      <c r="B22" s="84">
        <f>IFERROR(__xludf.DUMMYFUNCTION("""COMPUTED_VALUE"""),7.510606243E7)</f>
        <v>75106062.43</v>
      </c>
      <c r="C22" s="46">
        <f>IFERROR(__xludf.DUMMYFUNCTION("""COMPUTED_VALUE"""),50.0)</f>
        <v>50</v>
      </c>
    </row>
    <row r="30">
      <c r="A30" s="85" t="str">
        <f>IFERROR(__xludf.DUMMYFUNCTION("QUERY(event2,""select G,count(A),sum(K),sum(L) group by G label G'sales_channel',count(A)'order_count', sum(K)'revenue',sum(L)'cost'"")"),"sales_channel")</f>
        <v>sales_channel</v>
      </c>
      <c r="B30" s="85" t="str">
        <f>IFERROR(__xludf.DUMMYFUNCTION("""COMPUTED_VALUE"""),"order_count")</f>
        <v>order_count</v>
      </c>
      <c r="C30" s="85" t="str">
        <f>IFERROR(__xludf.DUMMYFUNCTION("""COMPUTED_VALUE"""),"revenue")</f>
        <v>revenue</v>
      </c>
      <c r="D30" s="85" t="str">
        <f>IFERROR(__xludf.DUMMYFUNCTION("""COMPUTED_VALUE"""),"cost")</f>
        <v>cost</v>
      </c>
      <c r="E30" s="85"/>
    </row>
    <row r="31">
      <c r="A31" s="70" t="str">
        <f>IFERROR(__xludf.DUMMYFUNCTION("""COMPUTED_VALUE"""),"Offline")</f>
        <v>Offline</v>
      </c>
      <c r="B31" s="70">
        <f>IFERROR(__xludf.DUMMYFUNCTION("""COMPUTED_VALUE"""),667.0)</f>
        <v>667</v>
      </c>
      <c r="C31" s="70">
        <f>IFERROR(__xludf.DUMMYFUNCTION("""COMPUTED_VALUE"""),8.742575718400009E8)</f>
        <v>874257571.8</v>
      </c>
      <c r="D31" s="70">
        <f>IFERROR(__xludf.DUMMYFUNCTION("""COMPUTED_VALUE"""),6.203832079500009E8)</f>
        <v>620383208</v>
      </c>
      <c r="E31" s="70"/>
    </row>
    <row r="32">
      <c r="A32" s="70" t="str">
        <f>IFERROR(__xludf.DUMMYFUNCTION("""COMPUTED_VALUE"""),"Online")</f>
        <v>Online</v>
      </c>
      <c r="B32" s="70">
        <f>IFERROR(__xludf.DUMMYFUNCTION("""COMPUTED_VALUE"""),663.0)</f>
        <v>663</v>
      </c>
      <c r="C32" s="70">
        <f>IFERROR(__xludf.DUMMYFUNCTION("""COMPUTED_VALUE"""),8.3036878433E8)</f>
        <v>830368784.3</v>
      </c>
      <c r="D32" s="70">
        <f>IFERROR(__xludf.DUMMYFUNCTION("""COMPUTED_VALUE"""),5.8240084414E8)</f>
        <v>582400844.1</v>
      </c>
      <c r="E32" s="70"/>
    </row>
    <row r="33">
      <c r="A33" s="70"/>
      <c r="B33" s="70"/>
      <c r="C33" s="70"/>
      <c r="D33" s="70"/>
      <c r="E33" s="70"/>
    </row>
    <row r="34">
      <c r="A34" s="70"/>
      <c r="B34" s="70"/>
      <c r="C34" s="70"/>
      <c r="D34" s="70"/>
      <c r="E34" s="70"/>
    </row>
    <row r="35">
      <c r="A35" s="70"/>
      <c r="B35" s="70"/>
      <c r="C35" s="70"/>
      <c r="D35" s="70"/>
      <c r="E35" s="70"/>
    </row>
    <row r="36">
      <c r="A36" s="70"/>
      <c r="B36" s="70"/>
      <c r="C36" s="70"/>
      <c r="D36" s="70"/>
      <c r="E36" s="70"/>
    </row>
    <row r="37">
      <c r="A37" s="86"/>
      <c r="B37" s="78"/>
      <c r="C37" s="78"/>
      <c r="D37" s="78"/>
      <c r="E37" s="78"/>
    </row>
    <row r="38">
      <c r="A38" s="70"/>
      <c r="B38" s="70"/>
      <c r="C38" s="70"/>
      <c r="D38" s="70"/>
      <c r="E38" s="70"/>
    </row>
    <row r="39">
      <c r="A39" s="70"/>
      <c r="B39" s="70"/>
      <c r="C39" s="70"/>
      <c r="D39" s="70"/>
      <c r="E39" s="70"/>
    </row>
    <row r="40">
      <c r="A40" s="70"/>
      <c r="B40" s="70"/>
      <c r="C40" s="70"/>
      <c r="D40" s="70"/>
      <c r="E40" s="70"/>
    </row>
    <row r="41">
      <c r="A41" s="70"/>
      <c r="B41" s="70"/>
      <c r="C41" s="70"/>
      <c r="D41" s="70"/>
      <c r="E41" s="70"/>
    </row>
    <row r="42">
      <c r="A42" s="70"/>
      <c r="B42" s="70"/>
      <c r="C42" s="70"/>
      <c r="D42" s="70"/>
      <c r="E42" s="70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1" max="7" width="12.63"/>
  </cols>
  <sheetData>
    <row r="1">
      <c r="A1" s="46" t="str">
        <f>IFERROR(__xludf.DUMMYFUNCTION("QUERY(event2,""select Y,X,N,S,A, K label Y'region', X'country', N'category', S'aging', A'order_id', K'revenue' "")"),"region")</f>
        <v>region</v>
      </c>
      <c r="B1" s="46" t="str">
        <f>IFERROR(__xludf.DUMMYFUNCTION("""COMPUTED_VALUE"""),"country")</f>
        <v>country</v>
      </c>
      <c r="C1" s="46" t="str">
        <f>IFERROR(__xludf.DUMMYFUNCTION("""COMPUTED_VALUE"""),"category")</f>
        <v>category</v>
      </c>
      <c r="D1" s="46" t="str">
        <f>IFERROR(__xludf.DUMMYFUNCTION("""COMPUTED_VALUE"""),"aging")</f>
        <v>aging</v>
      </c>
      <c r="E1" s="46" t="str">
        <f>IFERROR(__xludf.DUMMYFUNCTION("""COMPUTED_VALUE"""),"order_id")</f>
        <v>order_id</v>
      </c>
      <c r="F1" s="46" t="str">
        <f>IFERROR(__xludf.DUMMYFUNCTION("""COMPUTED_VALUE"""),"revenue")</f>
        <v>revenue</v>
      </c>
      <c r="I1" s="87"/>
    </row>
    <row r="2">
      <c r="A2" s="46" t="str">
        <f>IFERROR(__xludf.DUMMYFUNCTION("""COMPUTED_VALUE"""),"Europe")</f>
        <v>Europe</v>
      </c>
      <c r="B2" s="46" t="str">
        <f>IFERROR(__xludf.DUMMYFUNCTION("""COMPUTED_VALUE"""),"Norway")</f>
        <v>Norway</v>
      </c>
      <c r="C2" s="46" t="str">
        <f>IFERROR(__xludf.DUMMYFUNCTION("""COMPUTED_VALUE"""),"Cereal")</f>
        <v>Cereal</v>
      </c>
      <c r="D2" s="46">
        <f>IFERROR(__xludf.DUMMYFUNCTION("""COMPUTED_VALUE"""),10.0)</f>
        <v>10</v>
      </c>
      <c r="E2" s="46">
        <f>IFERROR(__xludf.DUMMYFUNCTION("""COMPUTED_VALUE"""),1.00640618E8)</f>
        <v>100640618</v>
      </c>
      <c r="F2" s="84">
        <f>IFERROR(__xludf.DUMMYFUNCTION("""COMPUTED_VALUE"""),133705.0)</f>
        <v>133705</v>
      </c>
      <c r="H2" s="56" t="s">
        <v>31</v>
      </c>
      <c r="I2" s="87"/>
    </row>
    <row r="3">
      <c r="A3" s="46" t="str">
        <f>IFERROR(__xludf.DUMMYFUNCTION("""COMPUTED_VALUE"""),"Europe")</f>
        <v>Europe</v>
      </c>
      <c r="B3" s="46" t="str">
        <f>IFERROR(__xludf.DUMMYFUNCTION("""COMPUTED_VALUE"""),"Serbia")</f>
        <v>Serbia</v>
      </c>
      <c r="C3" s="46" t="str">
        <f>IFERROR(__xludf.DUMMYFUNCTION("""COMPUTED_VALUE"""),"Cereal")</f>
        <v>Cereal</v>
      </c>
      <c r="D3" s="46">
        <f>IFERROR(__xludf.DUMMYFUNCTION("""COMPUTED_VALUE"""),0.0)</f>
        <v>0</v>
      </c>
      <c r="E3" s="46">
        <f>IFERROR(__xludf.DUMMYFUNCTION("""COMPUTED_VALUE"""),1.00983083E8)</f>
        <v>100983083</v>
      </c>
      <c r="F3" s="84">
        <f>IFERROR(__xludf.DUMMYFUNCTION("""COMPUTED_VALUE"""),409960.1)</f>
        <v>409960.1</v>
      </c>
      <c r="H3" s="88" t="str">
        <f>IFERROR(__xludf.DUMMYFUNCTION("IF($H$2=$A$1, QUERY(aging_revenue, ""select A, avg(D), min(D), max(D), count(E), sum(F) group by A order by avg(D) desc label avg(D)'average_aging', min(D)'min_aging', max(D)'max_aging', count(E)'order_count', sum(F)'revenue'""), IF($H$2=$B$1, QUERY(aging"&amp;"_revenue,""select B, avg(D), min(D), max(D), count(E), sum(F) group by B order by avg(D) desc label  avg(D)'average_aging', min(D)'min_aging', max(D)'max_aging', count(E)'order_count', sum(F)'revenue'""), QUERY(aging_revenue,""select C, avg(D), min(D), ma"&amp;"x(D), count(E), sum(F) group by C order by avg(D) desc label avg(D)'average_aging', min(D)'min_aging', max(D)'max_aging', count(E)'order_count', sum(F)'revenue'"")))"),"")</f>
        <v/>
      </c>
      <c r="I3" s="89" t="str">
        <f>IFERROR(__xludf.DUMMYFUNCTION("""COMPUTED_VALUE"""),"average_aging")</f>
        <v>average_aging</v>
      </c>
      <c r="J3" s="88" t="str">
        <f>IFERROR(__xludf.DUMMYFUNCTION("""COMPUTED_VALUE"""),"min_aging")</f>
        <v>min_aging</v>
      </c>
      <c r="K3" s="88" t="str">
        <f>IFERROR(__xludf.DUMMYFUNCTION("""COMPUTED_VALUE"""),"max_aging")</f>
        <v>max_aging</v>
      </c>
      <c r="L3" s="88" t="str">
        <f>IFERROR(__xludf.DUMMYFUNCTION("""COMPUTED_VALUE"""),"order_count")</f>
        <v>order_count</v>
      </c>
      <c r="M3" s="88" t="str">
        <f>IFERROR(__xludf.DUMMYFUNCTION("""COMPUTED_VALUE"""),"revenue")</f>
        <v>revenue</v>
      </c>
    </row>
    <row r="4">
      <c r="A4" s="46" t="str">
        <f>IFERROR(__xludf.DUMMYFUNCTION("""COMPUTED_VALUE"""),"Undefined")</f>
        <v>Undefined</v>
      </c>
      <c r="B4" s="46" t="str">
        <f>IFERROR(__xludf.DUMMYFUNCTION("""COMPUTED_VALUE"""),"Undefined")</f>
        <v>Undefined</v>
      </c>
      <c r="C4" s="46" t="str">
        <f>IFERROR(__xludf.DUMMYFUNCTION("""COMPUTED_VALUE"""),"Household")</f>
        <v>Household</v>
      </c>
      <c r="D4" s="46">
        <f>IFERROR(__xludf.DUMMYFUNCTION("""COMPUTED_VALUE"""),24.0)</f>
        <v>24</v>
      </c>
      <c r="E4" s="46">
        <f>IFERROR(__xludf.DUMMYFUNCTION("""COMPUTED_VALUE"""),1.01025998E8)</f>
        <v>101025998</v>
      </c>
      <c r="F4" s="84">
        <f>IFERROR(__xludf.DUMMYFUNCTION("""COMPUTED_VALUE"""),3136191.11)</f>
        <v>3136191.11</v>
      </c>
      <c r="H4" s="46" t="str">
        <f>IFERROR(__xludf.DUMMYFUNCTION("""COMPUTED_VALUE"""),"Hungary")</f>
        <v>Hungary</v>
      </c>
      <c r="I4" s="87">
        <f>IFERROR(__xludf.DUMMYFUNCTION("""COMPUTED_VALUE"""),32.64)</f>
        <v>32.64</v>
      </c>
      <c r="J4" s="46">
        <f>IFERROR(__xludf.DUMMYFUNCTION("""COMPUTED_VALUE"""),2.0)</f>
        <v>2</v>
      </c>
      <c r="K4" s="46">
        <f>IFERROR(__xludf.DUMMYFUNCTION("""COMPUTED_VALUE"""),50.0)</f>
        <v>50</v>
      </c>
      <c r="L4" s="46">
        <f>IFERROR(__xludf.DUMMYFUNCTION("""COMPUTED_VALUE"""),25.0)</f>
        <v>25</v>
      </c>
      <c r="M4" s="46">
        <f>IFERROR(__xludf.DUMMYFUNCTION("""COMPUTED_VALUE"""),4.2408249120000005E7)</f>
        <v>42408249.12</v>
      </c>
    </row>
    <row r="5">
      <c r="A5" s="46" t="str">
        <f>IFERROR(__xludf.DUMMYFUNCTION("""COMPUTED_VALUE"""),"Europe")</f>
        <v>Europe</v>
      </c>
      <c r="B5" s="46" t="str">
        <f>IFERROR(__xludf.DUMMYFUNCTION("""COMPUTED_VALUE"""),"Montenegro")</f>
        <v>Montenegro</v>
      </c>
      <c r="C5" s="46" t="str">
        <f>IFERROR(__xludf.DUMMYFUNCTION("""COMPUTED_VALUE"""),"Clothes")</f>
        <v>Clothes</v>
      </c>
      <c r="D5" s="46">
        <f>IFERROR(__xludf.DUMMYFUNCTION("""COMPUTED_VALUE"""),31.0)</f>
        <v>31</v>
      </c>
      <c r="E5" s="46">
        <f>IFERROR(__xludf.DUMMYFUNCTION("""COMPUTED_VALUE"""),1.02230632E8)</f>
        <v>102230632</v>
      </c>
      <c r="F5" s="84">
        <f>IFERROR(__xludf.DUMMYFUNCTION("""COMPUTED_VALUE"""),127966.88)</f>
        <v>127966.88</v>
      </c>
      <c r="H5" s="46" t="str">
        <f>IFERROR(__xludf.DUMMYFUNCTION("""COMPUTED_VALUE"""),"Georgia")</f>
        <v>Georgia</v>
      </c>
      <c r="I5" s="87">
        <f>IFERROR(__xludf.DUMMYFUNCTION("""COMPUTED_VALUE"""),29.695652173913043)</f>
        <v>29.69565217</v>
      </c>
      <c r="J5" s="46">
        <f>IFERROR(__xludf.DUMMYFUNCTION("""COMPUTED_VALUE"""),7.0)</f>
        <v>7</v>
      </c>
      <c r="K5" s="46">
        <f>IFERROR(__xludf.DUMMYFUNCTION("""COMPUTED_VALUE"""),47.0)</f>
        <v>47</v>
      </c>
      <c r="L5" s="46">
        <f>IFERROR(__xludf.DUMMYFUNCTION("""COMPUTED_VALUE"""),23.0)</f>
        <v>23</v>
      </c>
      <c r="M5" s="46">
        <f>IFERROR(__xludf.DUMMYFUNCTION("""COMPUTED_VALUE"""),2.280219566E7)</f>
        <v>22802195.66</v>
      </c>
    </row>
    <row r="6">
      <c r="A6" s="46" t="str">
        <f>IFERROR(__xludf.DUMMYFUNCTION("""COMPUTED_VALUE"""),"Europe")</f>
        <v>Europe</v>
      </c>
      <c r="B6" s="46" t="str">
        <f>IFERROR(__xludf.DUMMYFUNCTION("""COMPUTED_VALUE"""),"Serbia")</f>
        <v>Serbia</v>
      </c>
      <c r="C6" s="46" t="str">
        <f>IFERROR(__xludf.DUMMYFUNCTION("""COMPUTED_VALUE"""),"Beverages")</f>
        <v>Beverages</v>
      </c>
      <c r="D6" s="46">
        <f>IFERROR(__xludf.DUMMYFUNCTION("""COMPUTED_VALUE"""),38.0)</f>
        <v>38</v>
      </c>
      <c r="E6" s="46">
        <f>IFERROR(__xludf.DUMMYFUNCTION("""COMPUTED_VALUE"""),1.03435266E8)</f>
        <v>103435266</v>
      </c>
      <c r="F6" s="84">
        <f>IFERROR(__xludf.DUMMYFUNCTION("""COMPUTED_VALUE"""),362897.60000000003)</f>
        <v>362897.6</v>
      </c>
      <c r="H6" s="46" t="str">
        <f>IFERROR(__xludf.DUMMYFUNCTION("""COMPUTED_VALUE"""),"Austria")</f>
        <v>Austria</v>
      </c>
      <c r="I6" s="87">
        <f>IFERROR(__xludf.DUMMYFUNCTION("""COMPUTED_VALUE"""),28.5)</f>
        <v>28.5</v>
      </c>
      <c r="J6" s="46">
        <f>IFERROR(__xludf.DUMMYFUNCTION("""COMPUTED_VALUE"""),3.0)</f>
        <v>3</v>
      </c>
      <c r="K6" s="46">
        <f>IFERROR(__xludf.DUMMYFUNCTION("""COMPUTED_VALUE"""),50.0)</f>
        <v>50</v>
      </c>
      <c r="L6" s="46">
        <f>IFERROR(__xludf.DUMMYFUNCTION("""COMPUTED_VALUE"""),28.0)</f>
        <v>28</v>
      </c>
      <c r="M6" s="46">
        <f>IFERROR(__xludf.DUMMYFUNCTION("""COMPUTED_VALUE"""),3.574087149E7)</f>
        <v>35740871.49</v>
      </c>
    </row>
    <row r="7">
      <c r="A7" s="46" t="str">
        <f>IFERROR(__xludf.DUMMYFUNCTION("""COMPUTED_VALUE"""),"Europe")</f>
        <v>Europe</v>
      </c>
      <c r="B7" s="46" t="str">
        <f>IFERROR(__xludf.DUMMYFUNCTION("""COMPUTED_VALUE"""),"Slovakia")</f>
        <v>Slovakia</v>
      </c>
      <c r="C7" s="46" t="str">
        <f>IFERROR(__xludf.DUMMYFUNCTION("""COMPUTED_VALUE"""),"Office Supplies")</f>
        <v>Office Supplies</v>
      </c>
      <c r="D7" s="46">
        <f>IFERROR(__xludf.DUMMYFUNCTION("""COMPUTED_VALUE"""),34.0)</f>
        <v>34</v>
      </c>
      <c r="E7" s="46">
        <f>IFERROR(__xludf.DUMMYFUNCTION("""COMPUTED_VALUE"""),1.03450715E8)</f>
        <v>103450715</v>
      </c>
      <c r="F7" s="84">
        <f>IFERROR(__xludf.DUMMYFUNCTION("""COMPUTED_VALUE"""),1445686.2000000002)</f>
        <v>1445686.2</v>
      </c>
      <c r="H7" s="46" t="str">
        <f>IFERROR(__xludf.DUMMYFUNCTION("""COMPUTED_VALUE"""),"Slovakia")</f>
        <v>Slovakia</v>
      </c>
      <c r="I7" s="87">
        <f>IFERROR(__xludf.DUMMYFUNCTION("""COMPUTED_VALUE"""),28.466666666666665)</f>
        <v>28.46666667</v>
      </c>
      <c r="J7" s="46">
        <f>IFERROR(__xludf.DUMMYFUNCTION("""COMPUTED_VALUE"""),3.0)</f>
        <v>3</v>
      </c>
      <c r="K7" s="46">
        <f>IFERROR(__xludf.DUMMYFUNCTION("""COMPUTED_VALUE"""),50.0)</f>
        <v>50</v>
      </c>
      <c r="L7" s="46">
        <f>IFERROR(__xludf.DUMMYFUNCTION("""COMPUTED_VALUE"""),30.0)</f>
        <v>30</v>
      </c>
      <c r="M7" s="46">
        <f>IFERROR(__xludf.DUMMYFUNCTION("""COMPUTED_VALUE"""),4.294099832E7)</f>
        <v>42940998.32</v>
      </c>
    </row>
    <row r="8">
      <c r="A8" s="46" t="str">
        <f>IFERROR(__xludf.DUMMYFUNCTION("""COMPUTED_VALUE"""),"Europe")</f>
        <v>Europe</v>
      </c>
      <c r="B8" s="46" t="str">
        <f>IFERROR(__xludf.DUMMYFUNCTION("""COMPUTED_VALUE"""),"France")</f>
        <v>France</v>
      </c>
      <c r="C8" s="46" t="str">
        <f>IFERROR(__xludf.DUMMYFUNCTION("""COMPUTED_VALUE"""),"Fruits")</f>
        <v>Fruits</v>
      </c>
      <c r="D8" s="46">
        <f>IFERROR(__xludf.DUMMYFUNCTION("""COMPUTED_VALUE"""),47.0)</f>
        <v>47</v>
      </c>
      <c r="E8" s="46">
        <f>IFERROR(__xludf.DUMMYFUNCTION("""COMPUTED_VALUE"""),1.03499639E8)</f>
        <v>103499639</v>
      </c>
      <c r="F8" s="84">
        <f>IFERROR(__xludf.DUMMYFUNCTION("""COMPUTED_VALUE"""),62492.340000000004)</f>
        <v>62492.34</v>
      </c>
      <c r="H8" s="46" t="str">
        <f>IFERROR(__xludf.DUMMYFUNCTION("""COMPUTED_VALUE"""),"Luxembourg")</f>
        <v>Luxembourg</v>
      </c>
      <c r="I8" s="87">
        <f>IFERROR(__xludf.DUMMYFUNCTION("""COMPUTED_VALUE"""),27.75)</f>
        <v>27.75</v>
      </c>
      <c r="J8" s="46">
        <f>IFERROR(__xludf.DUMMYFUNCTION("""COMPUTED_VALUE"""),0.0)</f>
        <v>0</v>
      </c>
      <c r="K8" s="46">
        <f>IFERROR(__xludf.DUMMYFUNCTION("""COMPUTED_VALUE"""),48.0)</f>
        <v>48</v>
      </c>
      <c r="L8" s="46">
        <f>IFERROR(__xludf.DUMMYFUNCTION("""COMPUTED_VALUE"""),28.0)</f>
        <v>28</v>
      </c>
      <c r="M8" s="46">
        <f>IFERROR(__xludf.DUMMYFUNCTION("""COMPUTED_VALUE"""),3.3075377209999997E7)</f>
        <v>33075377.21</v>
      </c>
    </row>
    <row r="9">
      <c r="A9" s="46" t="str">
        <f>IFERROR(__xludf.DUMMYFUNCTION("""COMPUTED_VALUE"""),"Europe")</f>
        <v>Europe</v>
      </c>
      <c r="B9" s="46" t="str">
        <f>IFERROR(__xludf.DUMMYFUNCTION("""COMPUTED_VALUE"""),"Spain")</f>
        <v>Spain</v>
      </c>
      <c r="C9" s="46" t="str">
        <f>IFERROR(__xludf.DUMMYFUNCTION("""COMPUTED_VALUE"""),"Vegetables")</f>
        <v>Vegetables</v>
      </c>
      <c r="D9" s="46">
        <f>IFERROR(__xludf.DUMMYFUNCTION("""COMPUTED_VALUE"""),32.0)</f>
        <v>32</v>
      </c>
      <c r="E9" s="46">
        <f>IFERROR(__xludf.DUMMYFUNCTION("""COMPUTED_VALUE"""),1.0376228E8)</f>
        <v>103762280</v>
      </c>
      <c r="F9" s="84">
        <f>IFERROR(__xludf.DUMMYFUNCTION("""COMPUTED_VALUE"""),680791.14)</f>
        <v>680791.14</v>
      </c>
      <c r="H9" s="46" t="str">
        <f>IFERROR(__xludf.DUMMYFUNCTION("""COMPUTED_VALUE"""),"Lithuania")</f>
        <v>Lithuania</v>
      </c>
      <c r="I9" s="87">
        <f>IFERROR(__xludf.DUMMYFUNCTION("""COMPUTED_VALUE"""),27.56)</f>
        <v>27.56</v>
      </c>
      <c r="J9" s="46">
        <f>IFERROR(__xludf.DUMMYFUNCTION("""COMPUTED_VALUE"""),5.0)</f>
        <v>5</v>
      </c>
      <c r="K9" s="46">
        <f>IFERROR(__xludf.DUMMYFUNCTION("""COMPUTED_VALUE"""),49.0)</f>
        <v>49</v>
      </c>
      <c r="L9" s="46">
        <f>IFERROR(__xludf.DUMMYFUNCTION("""COMPUTED_VALUE"""),25.0)</f>
        <v>25</v>
      </c>
      <c r="M9" s="46">
        <f>IFERROR(__xludf.DUMMYFUNCTION("""COMPUTED_VALUE"""),2.90319421E7)</f>
        <v>29031942.1</v>
      </c>
    </row>
    <row r="10">
      <c r="A10" s="46" t="str">
        <f>IFERROR(__xludf.DUMMYFUNCTION("""COMPUTED_VALUE"""),"Europe")</f>
        <v>Europe</v>
      </c>
      <c r="B10" s="46" t="str">
        <f>IFERROR(__xludf.DUMMYFUNCTION("""COMPUTED_VALUE"""),"Croatia")</f>
        <v>Croatia</v>
      </c>
      <c r="C10" s="46" t="str">
        <f>IFERROR(__xludf.DUMMYFUNCTION("""COMPUTED_VALUE"""),"Baby Food")</f>
        <v>Baby Food</v>
      </c>
      <c r="D10" s="46">
        <f>IFERROR(__xludf.DUMMYFUNCTION("""COMPUTED_VALUE"""),31.0)</f>
        <v>31</v>
      </c>
      <c r="E10" s="46">
        <f>IFERROR(__xludf.DUMMYFUNCTION("""COMPUTED_VALUE"""),1.03832662E8)</f>
        <v>103832662</v>
      </c>
      <c r="F10" s="84">
        <f>IFERROR(__xludf.DUMMYFUNCTION("""COMPUTED_VALUE"""),1339454.16)</f>
        <v>1339454.16</v>
      </c>
      <c r="H10" s="46" t="str">
        <f>IFERROR(__xludf.DUMMYFUNCTION("""COMPUTED_VALUE"""),"Poland")</f>
        <v>Poland</v>
      </c>
      <c r="I10" s="87">
        <f>IFERROR(__xludf.DUMMYFUNCTION("""COMPUTED_VALUE"""),27.464285714285715)</f>
        <v>27.46428571</v>
      </c>
      <c r="J10" s="46">
        <f>IFERROR(__xludf.DUMMYFUNCTION("""COMPUTED_VALUE"""),6.0)</f>
        <v>6</v>
      </c>
      <c r="K10" s="46">
        <f>IFERROR(__xludf.DUMMYFUNCTION("""COMPUTED_VALUE"""),50.0)</f>
        <v>50</v>
      </c>
      <c r="L10" s="46">
        <f>IFERROR(__xludf.DUMMYFUNCTION("""COMPUTED_VALUE"""),28.0)</f>
        <v>28</v>
      </c>
      <c r="M10" s="46">
        <f>IFERROR(__xludf.DUMMYFUNCTION("""COMPUTED_VALUE"""),3.3805403220000006E7)</f>
        <v>33805403.22</v>
      </c>
    </row>
    <row r="11">
      <c r="A11" s="46" t="str">
        <f>IFERROR(__xludf.DUMMYFUNCTION("""COMPUTED_VALUE"""),"Europe")</f>
        <v>Europe</v>
      </c>
      <c r="B11" s="46" t="str">
        <f>IFERROR(__xludf.DUMMYFUNCTION("""COMPUTED_VALUE"""),"Germany")</f>
        <v>Germany</v>
      </c>
      <c r="C11" s="46" t="str">
        <f>IFERROR(__xludf.DUMMYFUNCTION("""COMPUTED_VALUE"""),"Cereal")</f>
        <v>Cereal</v>
      </c>
      <c r="D11" s="46">
        <f>IFERROR(__xludf.DUMMYFUNCTION("""COMPUTED_VALUE"""),30.0)</f>
        <v>30</v>
      </c>
      <c r="E11" s="46">
        <f>IFERROR(__xludf.DUMMYFUNCTION("""COMPUTED_VALUE"""),1.04008615E8)</f>
        <v>104008615</v>
      </c>
      <c r="F11" s="84">
        <f>IFERROR(__xludf.DUMMYFUNCTION("""COMPUTED_VALUE"""),1504695.5)</f>
        <v>1504695.5</v>
      </c>
      <c r="H11" s="46" t="str">
        <f>IFERROR(__xludf.DUMMYFUNCTION("""COMPUTED_VALUE"""),"Russia")</f>
        <v>Russia</v>
      </c>
      <c r="I11" s="87">
        <f>IFERROR(__xludf.DUMMYFUNCTION("""COMPUTED_VALUE"""),27.375)</f>
        <v>27.375</v>
      </c>
      <c r="J11" s="46">
        <f>IFERROR(__xludf.DUMMYFUNCTION("""COMPUTED_VALUE"""),0.0)</f>
        <v>0</v>
      </c>
      <c r="K11" s="46">
        <f>IFERROR(__xludf.DUMMYFUNCTION("""COMPUTED_VALUE"""),50.0)</f>
        <v>50</v>
      </c>
      <c r="L11" s="46">
        <f>IFERROR(__xludf.DUMMYFUNCTION("""COMPUTED_VALUE"""),32.0)</f>
        <v>32</v>
      </c>
      <c r="M11" s="46">
        <f>IFERROR(__xludf.DUMMYFUNCTION("""COMPUTED_VALUE"""),4.605165981E7)</f>
        <v>46051659.81</v>
      </c>
    </row>
    <row r="12">
      <c r="A12" s="46" t="str">
        <f>IFERROR(__xludf.DUMMYFUNCTION("""COMPUTED_VALUE"""),"Asia")</f>
        <v>Asia</v>
      </c>
      <c r="B12" s="46" t="str">
        <f>IFERROR(__xludf.DUMMYFUNCTION("""COMPUTED_VALUE"""),"Armenia")</f>
        <v>Armenia</v>
      </c>
      <c r="C12" s="46" t="str">
        <f>IFERROR(__xludf.DUMMYFUNCTION("""COMPUTED_VALUE"""),"Household")</f>
        <v>Household</v>
      </c>
      <c r="D12" s="46">
        <f>IFERROR(__xludf.DUMMYFUNCTION("""COMPUTED_VALUE"""),16.0)</f>
        <v>16</v>
      </c>
      <c r="E12" s="46">
        <f>IFERROR(__xludf.DUMMYFUNCTION("""COMPUTED_VALUE"""),1.04165685E8)</f>
        <v>104165685</v>
      </c>
      <c r="F12" s="84">
        <f>IFERROR(__xludf.DUMMYFUNCTION("""COMPUTED_VALUE"""),2536752.92)</f>
        <v>2536752.92</v>
      </c>
      <c r="H12" s="46" t="str">
        <f>IFERROR(__xludf.DUMMYFUNCTION("""COMPUTED_VALUE"""),"Monaco")</f>
        <v>Monaco</v>
      </c>
      <c r="I12" s="87">
        <f>IFERROR(__xludf.DUMMYFUNCTION("""COMPUTED_VALUE"""),26.846153846153847)</f>
        <v>26.84615385</v>
      </c>
      <c r="J12" s="46">
        <f>IFERROR(__xludf.DUMMYFUNCTION("""COMPUTED_VALUE"""),5.0)</f>
        <v>5</v>
      </c>
      <c r="K12" s="46">
        <f>IFERROR(__xludf.DUMMYFUNCTION("""COMPUTED_VALUE"""),48.0)</f>
        <v>48</v>
      </c>
      <c r="L12" s="46">
        <f>IFERROR(__xludf.DUMMYFUNCTION("""COMPUTED_VALUE"""),13.0)</f>
        <v>13</v>
      </c>
      <c r="M12" s="46">
        <f>IFERROR(__xludf.DUMMYFUNCTION("""COMPUTED_VALUE"""),1.382873816E7)</f>
        <v>13828738.16</v>
      </c>
    </row>
    <row r="13">
      <c r="A13" s="46" t="str">
        <f>IFERROR(__xludf.DUMMYFUNCTION("""COMPUTED_VALUE"""),"Asia")</f>
        <v>Asia</v>
      </c>
      <c r="B13" s="46" t="str">
        <f>IFERROR(__xludf.DUMMYFUNCTION("""COMPUTED_VALUE"""),"Georgia")</f>
        <v>Georgia</v>
      </c>
      <c r="C13" s="46" t="str">
        <f>IFERROR(__xludf.DUMMYFUNCTION("""COMPUTED_VALUE"""),"Meat")</f>
        <v>Meat</v>
      </c>
      <c r="D13" s="46">
        <f>IFERROR(__xludf.DUMMYFUNCTION("""COMPUTED_VALUE"""),18.0)</f>
        <v>18</v>
      </c>
      <c r="E13" s="46">
        <f>IFERROR(__xludf.DUMMYFUNCTION("""COMPUTED_VALUE"""),1.04190576E8)</f>
        <v>104190576</v>
      </c>
      <c r="F13" s="84">
        <f>IFERROR(__xludf.DUMMYFUNCTION("""COMPUTED_VALUE"""),490236.18)</f>
        <v>490236.18</v>
      </c>
      <c r="H13" s="46" t="str">
        <f>IFERROR(__xludf.DUMMYFUNCTION("""COMPUTED_VALUE"""),"Bulgaria")</f>
        <v>Bulgaria</v>
      </c>
      <c r="I13" s="87">
        <f>IFERROR(__xludf.DUMMYFUNCTION("""COMPUTED_VALUE"""),26.8)</f>
        <v>26.8</v>
      </c>
      <c r="J13" s="46">
        <f>IFERROR(__xludf.DUMMYFUNCTION("""COMPUTED_VALUE"""),3.0)</f>
        <v>3</v>
      </c>
      <c r="K13" s="46">
        <f>IFERROR(__xludf.DUMMYFUNCTION("""COMPUTED_VALUE"""),48.0)</f>
        <v>48</v>
      </c>
      <c r="L13" s="46">
        <f>IFERROR(__xludf.DUMMYFUNCTION("""COMPUTED_VALUE"""),30.0)</f>
        <v>30</v>
      </c>
      <c r="M13" s="46">
        <f>IFERROR(__xludf.DUMMYFUNCTION("""COMPUTED_VALUE"""),3.81615557E7)</f>
        <v>38161555.7</v>
      </c>
    </row>
    <row r="14">
      <c r="A14" s="46" t="str">
        <f>IFERROR(__xludf.DUMMYFUNCTION("""COMPUTED_VALUE"""),"Europe")</f>
        <v>Europe</v>
      </c>
      <c r="B14" s="46" t="str">
        <f>IFERROR(__xludf.DUMMYFUNCTION("""COMPUTED_VALUE"""),"United Kingdom")</f>
        <v>United Kingdom</v>
      </c>
      <c r="C14" s="46" t="str">
        <f>IFERROR(__xludf.DUMMYFUNCTION("""COMPUTED_VALUE"""),"Fruits")</f>
        <v>Fruits</v>
      </c>
      <c r="D14" s="46">
        <f>IFERROR(__xludf.DUMMYFUNCTION("""COMPUTED_VALUE"""),25.0)</f>
        <v>25</v>
      </c>
      <c r="E14" s="46">
        <f>IFERROR(__xludf.DUMMYFUNCTION("""COMPUTED_VALUE"""),1.04245078E8)</f>
        <v>104245078</v>
      </c>
      <c r="F14" s="84">
        <f>IFERROR(__xludf.DUMMYFUNCTION("""COMPUTED_VALUE"""),68015.7)</f>
        <v>68015.7</v>
      </c>
      <c r="H14" s="46" t="str">
        <f>IFERROR(__xludf.DUMMYFUNCTION("""COMPUTED_VALUE"""),"Montenegro")</f>
        <v>Montenegro</v>
      </c>
      <c r="I14" s="87">
        <f>IFERROR(__xludf.DUMMYFUNCTION("""COMPUTED_VALUE"""),26.678571428571427)</f>
        <v>26.67857143</v>
      </c>
      <c r="J14" s="46">
        <f>IFERROR(__xludf.DUMMYFUNCTION("""COMPUTED_VALUE"""),0.0)</f>
        <v>0</v>
      </c>
      <c r="K14" s="46">
        <f>IFERROR(__xludf.DUMMYFUNCTION("""COMPUTED_VALUE"""),50.0)</f>
        <v>50</v>
      </c>
      <c r="L14" s="46">
        <f>IFERROR(__xludf.DUMMYFUNCTION("""COMPUTED_VALUE"""),28.0)</f>
        <v>28</v>
      </c>
      <c r="M14" s="46">
        <f>IFERROR(__xludf.DUMMYFUNCTION("""COMPUTED_VALUE"""),3.1346476900000002E7)</f>
        <v>31346476.9</v>
      </c>
    </row>
    <row r="15">
      <c r="A15" s="46" t="str">
        <f>IFERROR(__xludf.DUMMYFUNCTION("""COMPUTED_VALUE"""),"Undefined")</f>
        <v>Undefined</v>
      </c>
      <c r="B15" s="46" t="str">
        <f>IFERROR(__xludf.DUMMYFUNCTION("""COMPUTED_VALUE"""),"Undefined")</f>
        <v>Undefined</v>
      </c>
      <c r="C15" s="46" t="str">
        <f>IFERROR(__xludf.DUMMYFUNCTION("""COMPUTED_VALUE"""),"Baby Food")</f>
        <v>Baby Food</v>
      </c>
      <c r="D15" s="46">
        <f>IFERROR(__xludf.DUMMYFUNCTION("""COMPUTED_VALUE"""),4.0)</f>
        <v>4</v>
      </c>
      <c r="E15" s="46">
        <f>IFERROR(__xludf.DUMMYFUNCTION("""COMPUTED_VALUE"""),1.0454849E8)</f>
        <v>104548490</v>
      </c>
      <c r="F15" s="84">
        <f>IFERROR(__xludf.DUMMYFUNCTION("""COMPUTED_VALUE"""),1806361.28)</f>
        <v>1806361.28</v>
      </c>
      <c r="H15" s="46" t="str">
        <f>IFERROR(__xludf.DUMMYFUNCTION("""COMPUTED_VALUE"""),"Netherlands")</f>
        <v>Netherlands</v>
      </c>
      <c r="I15" s="87">
        <f>IFERROR(__xludf.DUMMYFUNCTION("""COMPUTED_VALUE"""),26.625)</f>
        <v>26.625</v>
      </c>
      <c r="J15" s="46">
        <f>IFERROR(__xludf.DUMMYFUNCTION("""COMPUTED_VALUE"""),2.0)</f>
        <v>2</v>
      </c>
      <c r="K15" s="46">
        <f>IFERROR(__xludf.DUMMYFUNCTION("""COMPUTED_VALUE"""),49.0)</f>
        <v>49</v>
      </c>
      <c r="L15" s="46">
        <f>IFERROR(__xludf.DUMMYFUNCTION("""COMPUTED_VALUE"""),24.0)</f>
        <v>24</v>
      </c>
      <c r="M15" s="46">
        <f>IFERROR(__xludf.DUMMYFUNCTION("""COMPUTED_VALUE"""),2.086078879E7)</f>
        <v>20860788.79</v>
      </c>
    </row>
    <row r="16">
      <c r="A16" s="46" t="str">
        <f>IFERROR(__xludf.DUMMYFUNCTION("""COMPUTED_VALUE"""),"Europe")</f>
        <v>Europe</v>
      </c>
      <c r="B16" s="46" t="str">
        <f>IFERROR(__xludf.DUMMYFUNCTION("""COMPUTED_VALUE"""),"Slovenia")</f>
        <v>Slovenia</v>
      </c>
      <c r="C16" s="46" t="str">
        <f>IFERROR(__xludf.DUMMYFUNCTION("""COMPUTED_VALUE"""),"Clothes")</f>
        <v>Clothes</v>
      </c>
      <c r="D16" s="46">
        <f>IFERROR(__xludf.DUMMYFUNCTION("""COMPUTED_VALUE"""),11.0)</f>
        <v>11</v>
      </c>
      <c r="E16" s="46">
        <f>IFERROR(__xludf.DUMMYFUNCTION("""COMPUTED_VALUE"""),1.0503E8)</f>
        <v>105030000</v>
      </c>
      <c r="F16" s="84">
        <f>IFERROR(__xludf.DUMMYFUNCTION("""COMPUTED_VALUE"""),1045372.48)</f>
        <v>1045372.48</v>
      </c>
      <c r="H16" s="46" t="str">
        <f>IFERROR(__xludf.DUMMYFUNCTION("""COMPUTED_VALUE"""),"Belgium")</f>
        <v>Belgium</v>
      </c>
      <c r="I16" s="87">
        <f>IFERROR(__xludf.DUMMYFUNCTION("""COMPUTED_VALUE"""),26.53846153846154)</f>
        <v>26.53846154</v>
      </c>
      <c r="J16" s="46">
        <f>IFERROR(__xludf.DUMMYFUNCTION("""COMPUTED_VALUE"""),1.0)</f>
        <v>1</v>
      </c>
      <c r="K16" s="46">
        <f>IFERROR(__xludf.DUMMYFUNCTION("""COMPUTED_VALUE"""),48.0)</f>
        <v>48</v>
      </c>
      <c r="L16" s="46">
        <f>IFERROR(__xludf.DUMMYFUNCTION("""COMPUTED_VALUE"""),26.0)</f>
        <v>26</v>
      </c>
      <c r="M16" s="46">
        <f>IFERROR(__xludf.DUMMYFUNCTION("""COMPUTED_VALUE"""),2.5852572299999997E7)</f>
        <v>25852572.3</v>
      </c>
    </row>
    <row r="17">
      <c r="A17" s="46" t="str">
        <f>IFERROR(__xludf.DUMMYFUNCTION("""COMPUTED_VALUE"""),"Europe")</f>
        <v>Europe</v>
      </c>
      <c r="B17" s="46" t="str">
        <f>IFERROR(__xludf.DUMMYFUNCTION("""COMPUTED_VALUE"""),"Croatia")</f>
        <v>Croatia</v>
      </c>
      <c r="C17" s="46" t="str">
        <f>IFERROR(__xludf.DUMMYFUNCTION("""COMPUTED_VALUE"""),"Household")</f>
        <v>Household</v>
      </c>
      <c r="D17" s="46">
        <f>IFERROR(__xludf.DUMMYFUNCTION("""COMPUTED_VALUE"""),14.0)</f>
        <v>14</v>
      </c>
      <c r="E17" s="46">
        <f>IFERROR(__xludf.DUMMYFUNCTION("""COMPUTED_VALUE"""),1.07651269E8)</f>
        <v>107651269</v>
      </c>
      <c r="F17" s="84">
        <f>IFERROR(__xludf.DUMMYFUNCTION("""COMPUTED_VALUE"""),3513763.6599999997)</f>
        <v>3513763.66</v>
      </c>
      <c r="H17" s="46" t="str">
        <f>IFERROR(__xludf.DUMMYFUNCTION("""COMPUTED_VALUE"""),"France")</f>
        <v>France</v>
      </c>
      <c r="I17" s="87">
        <f>IFERROR(__xludf.DUMMYFUNCTION("""COMPUTED_VALUE"""),26.423076923076923)</f>
        <v>26.42307692</v>
      </c>
      <c r="J17" s="46">
        <f>IFERROR(__xludf.DUMMYFUNCTION("""COMPUTED_VALUE"""),1.0)</f>
        <v>1</v>
      </c>
      <c r="K17" s="46">
        <f>IFERROR(__xludf.DUMMYFUNCTION("""COMPUTED_VALUE"""),48.0)</f>
        <v>48</v>
      </c>
      <c r="L17" s="46">
        <f>IFERROR(__xludf.DUMMYFUNCTION("""COMPUTED_VALUE"""),26.0)</f>
        <v>26</v>
      </c>
      <c r="M17" s="46">
        <f>IFERROR(__xludf.DUMMYFUNCTION("""COMPUTED_VALUE"""),3.9362112150000006E7)</f>
        <v>39362112.15</v>
      </c>
    </row>
    <row r="18">
      <c r="A18" s="46" t="str">
        <f>IFERROR(__xludf.DUMMYFUNCTION("""COMPUTED_VALUE"""),"Europe")</f>
        <v>Europe</v>
      </c>
      <c r="B18" s="46" t="str">
        <f>IFERROR(__xludf.DUMMYFUNCTION("""COMPUTED_VALUE"""),"Romania")</f>
        <v>Romania</v>
      </c>
      <c r="C18" s="46" t="str">
        <f>IFERROR(__xludf.DUMMYFUNCTION("""COMPUTED_VALUE"""),"Baby Food")</f>
        <v>Baby Food</v>
      </c>
      <c r="D18" s="46">
        <f>IFERROR(__xludf.DUMMYFUNCTION("""COMPUTED_VALUE"""),36.0)</f>
        <v>36</v>
      </c>
      <c r="E18" s="46">
        <f>IFERROR(__xludf.DUMMYFUNCTION("""COMPUTED_VALUE"""),1.08407437E8)</f>
        <v>108407437</v>
      </c>
      <c r="F18" s="84">
        <f>IFERROR(__xludf.DUMMYFUNCTION("""COMPUTED_VALUE"""),2303902.0)</f>
        <v>2303902</v>
      </c>
      <c r="H18" s="46" t="str">
        <f>IFERROR(__xludf.DUMMYFUNCTION("""COMPUTED_VALUE"""),"Andorra")</f>
        <v>Andorra</v>
      </c>
      <c r="I18" s="87">
        <f>IFERROR(__xludf.DUMMYFUNCTION("""COMPUTED_VALUE"""),26.275)</f>
        <v>26.275</v>
      </c>
      <c r="J18" s="46">
        <f>IFERROR(__xludf.DUMMYFUNCTION("""COMPUTED_VALUE"""),0.0)</f>
        <v>0</v>
      </c>
      <c r="K18" s="46">
        <f>IFERROR(__xludf.DUMMYFUNCTION("""COMPUTED_VALUE"""),50.0)</f>
        <v>50</v>
      </c>
      <c r="L18" s="46">
        <f>IFERROR(__xludf.DUMMYFUNCTION("""COMPUTED_VALUE"""),40.0)</f>
        <v>40</v>
      </c>
      <c r="M18" s="46">
        <f>IFERROR(__xludf.DUMMYFUNCTION("""COMPUTED_VALUE"""),4.775669317000001E7)</f>
        <v>47756693.17</v>
      </c>
    </row>
    <row r="19">
      <c r="A19" s="46" t="str">
        <f>IFERROR(__xludf.DUMMYFUNCTION("""COMPUTED_VALUE"""),"Europe")</f>
        <v>Europe</v>
      </c>
      <c r="B19" s="46" t="str">
        <f>IFERROR(__xludf.DUMMYFUNCTION("""COMPUTED_VALUE"""),"Poland")</f>
        <v>Poland</v>
      </c>
      <c r="C19" s="46" t="str">
        <f>IFERROR(__xludf.DUMMYFUNCTION("""COMPUTED_VALUE"""),"Clothes")</f>
        <v>Clothes</v>
      </c>
      <c r="D19" s="46">
        <f>IFERROR(__xludf.DUMMYFUNCTION("""COMPUTED_VALUE"""),35.0)</f>
        <v>35</v>
      </c>
      <c r="E19" s="46">
        <f>IFERROR(__xludf.DUMMYFUNCTION("""COMPUTED_VALUE"""),1.09914195E8)</f>
        <v>109914195</v>
      </c>
      <c r="F19" s="84">
        <f>IFERROR(__xludf.DUMMYFUNCTION("""COMPUTED_VALUE"""),536346.24)</f>
        <v>536346.24</v>
      </c>
      <c r="H19" s="46" t="str">
        <f>IFERROR(__xludf.DUMMYFUNCTION("""COMPUTED_VALUE"""),"Finland")</f>
        <v>Finland</v>
      </c>
      <c r="I19" s="87">
        <f>IFERROR(__xludf.DUMMYFUNCTION("""COMPUTED_VALUE"""),26.217391304347824)</f>
        <v>26.2173913</v>
      </c>
      <c r="J19" s="46">
        <f>IFERROR(__xludf.DUMMYFUNCTION("""COMPUTED_VALUE"""),5.0)</f>
        <v>5</v>
      </c>
      <c r="K19" s="46">
        <f>IFERROR(__xludf.DUMMYFUNCTION("""COMPUTED_VALUE"""),43.0)</f>
        <v>43</v>
      </c>
      <c r="L19" s="46">
        <f>IFERROR(__xludf.DUMMYFUNCTION("""COMPUTED_VALUE"""),23.0)</f>
        <v>23</v>
      </c>
      <c r="M19" s="46">
        <f>IFERROR(__xludf.DUMMYFUNCTION("""COMPUTED_VALUE"""),2.6027948980000008E7)</f>
        <v>26027948.98</v>
      </c>
      <c r="N19" s="52" t="s">
        <v>49</v>
      </c>
    </row>
    <row r="20">
      <c r="A20" s="46" t="str">
        <f>IFERROR(__xludf.DUMMYFUNCTION("""COMPUTED_VALUE"""),"Europe")</f>
        <v>Europe</v>
      </c>
      <c r="B20" s="46" t="str">
        <f>IFERROR(__xludf.DUMMYFUNCTION("""COMPUTED_VALUE"""),"Luxembourg")</f>
        <v>Luxembourg</v>
      </c>
      <c r="C20" s="46" t="str">
        <f>IFERROR(__xludf.DUMMYFUNCTION("""COMPUTED_VALUE"""),"Baby Food")</f>
        <v>Baby Food</v>
      </c>
      <c r="D20" s="46">
        <f>IFERROR(__xludf.DUMMYFUNCTION("""COMPUTED_VALUE"""),48.0)</f>
        <v>48</v>
      </c>
      <c r="E20" s="46">
        <f>IFERROR(__xludf.DUMMYFUNCTION("""COMPUTED_VALUE"""),1.11063039E8)</f>
        <v>111063039</v>
      </c>
      <c r="F20" s="84">
        <f>IFERROR(__xludf.DUMMYFUNCTION("""COMPUTED_VALUE"""),1244745.28)</f>
        <v>1244745.28</v>
      </c>
      <c r="H20" s="46" t="str">
        <f>IFERROR(__xludf.DUMMYFUNCTION("""COMPUTED_VALUE"""),"Albania")</f>
        <v>Albania</v>
      </c>
      <c r="I20" s="87">
        <f>IFERROR(__xludf.DUMMYFUNCTION("""COMPUTED_VALUE"""),26.19047619047619)</f>
        <v>26.19047619</v>
      </c>
      <c r="J20" s="46">
        <f>IFERROR(__xludf.DUMMYFUNCTION("""COMPUTED_VALUE"""),2.0)</f>
        <v>2</v>
      </c>
      <c r="K20" s="46">
        <f>IFERROR(__xludf.DUMMYFUNCTION("""COMPUTED_VALUE"""),49.0)</f>
        <v>49</v>
      </c>
      <c r="L20" s="46">
        <f>IFERROR(__xludf.DUMMYFUNCTION("""COMPUTED_VALUE"""),21.0)</f>
        <v>21</v>
      </c>
      <c r="M20" s="46">
        <f>IFERROR(__xludf.DUMMYFUNCTION("""COMPUTED_VALUE"""),3.222485387E7)</f>
        <v>32224853.87</v>
      </c>
    </row>
    <row r="21">
      <c r="A21" s="46" t="str">
        <f>IFERROR(__xludf.DUMMYFUNCTION("""COMPUTED_VALUE"""),"Asia")</f>
        <v>Asia</v>
      </c>
      <c r="B21" s="46" t="str">
        <f>IFERROR(__xludf.DUMMYFUNCTION("""COMPUTED_VALUE"""),"Cyprus")</f>
        <v>Cyprus</v>
      </c>
      <c r="C21" s="46" t="str">
        <f>IFERROR(__xludf.DUMMYFUNCTION("""COMPUTED_VALUE"""),"Meat")</f>
        <v>Meat</v>
      </c>
      <c r="D21" s="46">
        <f>IFERROR(__xludf.DUMMYFUNCTION("""COMPUTED_VALUE"""),23.0)</f>
        <v>23</v>
      </c>
      <c r="E21" s="46">
        <f>IFERROR(__xludf.DUMMYFUNCTION("""COMPUTED_VALUE"""),1.11246287E8)</f>
        <v>111246287</v>
      </c>
      <c r="F21" s="84">
        <f>IFERROR(__xludf.DUMMYFUNCTION("""COMPUTED_VALUE"""),3840464.67)</f>
        <v>3840464.67</v>
      </c>
      <c r="H21" s="46" t="str">
        <f>IFERROR(__xludf.DUMMYFUNCTION("""COMPUTED_VALUE"""),"Armenia")</f>
        <v>Armenia</v>
      </c>
      <c r="I21" s="87">
        <f>IFERROR(__xludf.DUMMYFUNCTION("""COMPUTED_VALUE"""),26.17241379310345)</f>
        <v>26.17241379</v>
      </c>
      <c r="J21" s="46">
        <f>IFERROR(__xludf.DUMMYFUNCTION("""COMPUTED_VALUE"""),2.0)</f>
        <v>2</v>
      </c>
      <c r="K21" s="46">
        <f>IFERROR(__xludf.DUMMYFUNCTION("""COMPUTED_VALUE"""),50.0)</f>
        <v>50</v>
      </c>
      <c r="L21" s="46">
        <f>IFERROR(__xludf.DUMMYFUNCTION("""COMPUTED_VALUE"""),29.0)</f>
        <v>29</v>
      </c>
      <c r="M21" s="46">
        <f>IFERROR(__xludf.DUMMYFUNCTION("""COMPUTED_VALUE"""),3.751984020999999E7)</f>
        <v>37519840.21</v>
      </c>
    </row>
    <row r="22">
      <c r="A22" s="46" t="str">
        <f>IFERROR(__xludf.DUMMYFUNCTION("""COMPUTED_VALUE"""),"Europe")</f>
        <v>Europe</v>
      </c>
      <c r="B22" s="46" t="str">
        <f>IFERROR(__xludf.DUMMYFUNCTION("""COMPUTED_VALUE"""),"Belgium")</f>
        <v>Belgium</v>
      </c>
      <c r="C22" s="46" t="str">
        <f>IFERROR(__xludf.DUMMYFUNCTION("""COMPUTED_VALUE"""),"Fruits")</f>
        <v>Fruits</v>
      </c>
      <c r="D22" s="46">
        <f>IFERROR(__xludf.DUMMYFUNCTION("""COMPUTED_VALUE"""),37.0)</f>
        <v>37</v>
      </c>
      <c r="E22" s="46">
        <f>IFERROR(__xludf.DUMMYFUNCTION("""COMPUTED_VALUE"""),1.11496055E8)</f>
        <v>111496055</v>
      </c>
      <c r="F22" s="84">
        <f>IFERROR(__xludf.DUMMYFUNCTION("""COMPUTED_VALUE"""),28129.95)</f>
        <v>28129.95</v>
      </c>
      <c r="H22" s="46" t="str">
        <f>IFERROR(__xludf.DUMMYFUNCTION("""COMPUTED_VALUE"""),"Spain")</f>
        <v>Spain</v>
      </c>
      <c r="I22" s="87">
        <f>IFERROR(__xludf.DUMMYFUNCTION("""COMPUTED_VALUE"""),26.153846153846153)</f>
        <v>26.15384615</v>
      </c>
      <c r="J22" s="46">
        <f>IFERROR(__xludf.DUMMYFUNCTION("""COMPUTED_VALUE"""),2.0)</f>
        <v>2</v>
      </c>
      <c r="K22" s="46">
        <f>IFERROR(__xludf.DUMMYFUNCTION("""COMPUTED_VALUE"""),50.0)</f>
        <v>50</v>
      </c>
      <c r="L22" s="46">
        <f>IFERROR(__xludf.DUMMYFUNCTION("""COMPUTED_VALUE"""),26.0)</f>
        <v>26</v>
      </c>
      <c r="M22" s="46">
        <f>IFERROR(__xludf.DUMMYFUNCTION("""COMPUTED_VALUE"""),2.8472026850000005E7)</f>
        <v>28472026.85</v>
      </c>
    </row>
    <row r="23">
      <c r="A23" s="46" t="str">
        <f>IFERROR(__xludf.DUMMYFUNCTION("""COMPUTED_VALUE"""),"Europe")</f>
        <v>Europe</v>
      </c>
      <c r="B23" s="46" t="str">
        <f>IFERROR(__xludf.DUMMYFUNCTION("""COMPUTED_VALUE"""),"Slovenia")</f>
        <v>Slovenia</v>
      </c>
      <c r="C23" s="46" t="str">
        <f>IFERROR(__xludf.DUMMYFUNCTION("""COMPUTED_VALUE"""),"Baby Food")</f>
        <v>Baby Food</v>
      </c>
      <c r="D23" s="46">
        <f>IFERROR(__xludf.DUMMYFUNCTION("""COMPUTED_VALUE"""),35.0)</f>
        <v>35</v>
      </c>
      <c r="E23" s="46">
        <f>IFERROR(__xludf.DUMMYFUNCTION("""COMPUTED_VALUE"""),1.11893022E8)</f>
        <v>111893022</v>
      </c>
      <c r="F23" s="84">
        <f>IFERROR(__xludf.DUMMYFUNCTION("""COMPUTED_VALUE"""),124066.08)</f>
        <v>124066.08</v>
      </c>
      <c r="H23" s="46" t="str">
        <f>IFERROR(__xludf.DUMMYFUNCTION("""COMPUTED_VALUE"""),"Bosnia and Herzegovina")</f>
        <v>Bosnia and Herzegovina</v>
      </c>
      <c r="I23" s="87">
        <f>IFERROR(__xludf.DUMMYFUNCTION("""COMPUTED_VALUE"""),26.060606060606062)</f>
        <v>26.06060606</v>
      </c>
      <c r="J23" s="46">
        <f>IFERROR(__xludf.DUMMYFUNCTION("""COMPUTED_VALUE"""),1.0)</f>
        <v>1</v>
      </c>
      <c r="K23" s="46">
        <f>IFERROR(__xludf.DUMMYFUNCTION("""COMPUTED_VALUE"""),50.0)</f>
        <v>50</v>
      </c>
      <c r="L23" s="46">
        <f>IFERROR(__xludf.DUMMYFUNCTION("""COMPUTED_VALUE"""),33.0)</f>
        <v>33</v>
      </c>
      <c r="M23" s="46">
        <f>IFERROR(__xludf.DUMMYFUNCTION("""COMPUTED_VALUE"""),5.0117508489999995E7)</f>
        <v>50117508.49</v>
      </c>
    </row>
    <row r="24">
      <c r="A24" s="46" t="str">
        <f>IFERROR(__xludf.DUMMYFUNCTION("""COMPUTED_VALUE"""),"Europe")</f>
        <v>Europe</v>
      </c>
      <c r="B24" s="46" t="str">
        <f>IFERROR(__xludf.DUMMYFUNCTION("""COMPUTED_VALUE"""),"Lithuania")</f>
        <v>Lithuania</v>
      </c>
      <c r="C24" s="46" t="str">
        <f>IFERROR(__xludf.DUMMYFUNCTION("""COMPUTED_VALUE"""),"Office Supplies")</f>
        <v>Office Supplies</v>
      </c>
      <c r="D24" s="46">
        <f>IFERROR(__xludf.DUMMYFUNCTION("""COMPUTED_VALUE"""),27.0)</f>
        <v>27</v>
      </c>
      <c r="E24" s="46">
        <f>IFERROR(__xludf.DUMMYFUNCTION("""COMPUTED_VALUE"""),1.12330758E8)</f>
        <v>112330758</v>
      </c>
      <c r="F24" s="84">
        <f>IFERROR(__xludf.DUMMYFUNCTION("""COMPUTED_VALUE"""),14326.62)</f>
        <v>14326.62</v>
      </c>
      <c r="H24" s="46" t="str">
        <f>IFERROR(__xludf.DUMMYFUNCTION("""COMPUTED_VALUE"""),"Ukraine")</f>
        <v>Ukraine</v>
      </c>
      <c r="I24" s="87">
        <f>IFERROR(__xludf.DUMMYFUNCTION("""COMPUTED_VALUE"""),25.757575757575758)</f>
        <v>25.75757576</v>
      </c>
      <c r="J24" s="46">
        <f>IFERROR(__xludf.DUMMYFUNCTION("""COMPUTED_VALUE"""),2.0)</f>
        <v>2</v>
      </c>
      <c r="K24" s="46">
        <f>IFERROR(__xludf.DUMMYFUNCTION("""COMPUTED_VALUE"""),47.0)</f>
        <v>47</v>
      </c>
      <c r="L24" s="46">
        <f>IFERROR(__xludf.DUMMYFUNCTION("""COMPUTED_VALUE"""),33.0)</f>
        <v>33</v>
      </c>
      <c r="M24" s="46">
        <f>IFERROR(__xludf.DUMMYFUNCTION("""COMPUTED_VALUE"""),5.325231754000001E7)</f>
        <v>53252317.54</v>
      </c>
    </row>
    <row r="25">
      <c r="A25" s="46" t="str">
        <f>IFERROR(__xludf.DUMMYFUNCTION("""COMPUTED_VALUE"""),"Europe")</f>
        <v>Europe</v>
      </c>
      <c r="B25" s="46" t="str">
        <f>IFERROR(__xludf.DUMMYFUNCTION("""COMPUTED_VALUE"""),"Russia")</f>
        <v>Russia</v>
      </c>
      <c r="C25" s="46" t="str">
        <f>IFERROR(__xludf.DUMMYFUNCTION("""COMPUTED_VALUE"""),"Cosmetics")</f>
        <v>Cosmetics</v>
      </c>
      <c r="D25" s="46">
        <f>IFERROR(__xludf.DUMMYFUNCTION("""COMPUTED_VALUE"""),41.0)</f>
        <v>41</v>
      </c>
      <c r="E25" s="46">
        <f>IFERROR(__xludf.DUMMYFUNCTION("""COMPUTED_VALUE"""),1.13524663E8)</f>
        <v>113524663</v>
      </c>
      <c r="F25" s="84">
        <f>IFERROR(__xludf.DUMMYFUNCTION("""COMPUTED_VALUE"""),1453690.0)</f>
        <v>1453690</v>
      </c>
      <c r="H25" s="46" t="str">
        <f>IFERROR(__xludf.DUMMYFUNCTION("""COMPUTED_VALUE"""),"Belarus")</f>
        <v>Belarus</v>
      </c>
      <c r="I25" s="87">
        <f>IFERROR(__xludf.DUMMYFUNCTION("""COMPUTED_VALUE"""),25.25)</f>
        <v>25.25</v>
      </c>
      <c r="J25" s="46">
        <f>IFERROR(__xludf.DUMMYFUNCTION("""COMPUTED_VALUE"""),1.0)</f>
        <v>1</v>
      </c>
      <c r="K25" s="46">
        <f>IFERROR(__xludf.DUMMYFUNCTION("""COMPUTED_VALUE"""),49.0)</f>
        <v>49</v>
      </c>
      <c r="L25" s="46">
        <f>IFERROR(__xludf.DUMMYFUNCTION("""COMPUTED_VALUE"""),28.0)</f>
        <v>28</v>
      </c>
      <c r="M25" s="46">
        <f>IFERROR(__xludf.DUMMYFUNCTION("""COMPUTED_VALUE"""),3.4236260769999996E7)</f>
        <v>34236260.77</v>
      </c>
    </row>
    <row r="26">
      <c r="A26" s="46" t="str">
        <f>IFERROR(__xludf.DUMMYFUNCTION("""COMPUTED_VALUE"""),"Europe")</f>
        <v>Europe</v>
      </c>
      <c r="B26" s="46" t="str">
        <f>IFERROR(__xludf.DUMMYFUNCTION("""COMPUTED_VALUE"""),"Malta")</f>
        <v>Malta</v>
      </c>
      <c r="C26" s="46" t="str">
        <f>IFERROR(__xludf.DUMMYFUNCTION("""COMPUTED_VALUE"""),"Fruits")</f>
        <v>Fruits</v>
      </c>
      <c r="D26" s="46">
        <f>IFERROR(__xludf.DUMMYFUNCTION("""COMPUTED_VALUE"""),8.0)</f>
        <v>8</v>
      </c>
      <c r="E26" s="46">
        <f>IFERROR(__xludf.DUMMYFUNCTION("""COMPUTED_VALUE"""),1.14954173E8)</f>
        <v>114954173</v>
      </c>
      <c r="F26" s="84">
        <f>IFERROR(__xludf.DUMMYFUNCTION("""COMPUTED_VALUE"""),59236.17)</f>
        <v>59236.17</v>
      </c>
      <c r="H26" s="46" t="str">
        <f>IFERROR(__xludf.DUMMYFUNCTION("""COMPUTED_VALUE"""),"Czech Republic")</f>
        <v>Czech Republic</v>
      </c>
      <c r="I26" s="87">
        <f>IFERROR(__xludf.DUMMYFUNCTION("""COMPUTED_VALUE"""),25.225806451612904)</f>
        <v>25.22580645</v>
      </c>
      <c r="J26" s="46">
        <f>IFERROR(__xludf.DUMMYFUNCTION("""COMPUTED_VALUE"""),0.0)</f>
        <v>0</v>
      </c>
      <c r="K26" s="46">
        <f>IFERROR(__xludf.DUMMYFUNCTION("""COMPUTED_VALUE"""),50.0)</f>
        <v>50</v>
      </c>
      <c r="L26" s="46">
        <f>IFERROR(__xludf.DUMMYFUNCTION("""COMPUTED_VALUE"""),31.0)</f>
        <v>31</v>
      </c>
      <c r="M26" s="46">
        <f>IFERROR(__xludf.DUMMYFUNCTION("""COMPUTED_VALUE"""),5.354393214E7)</f>
        <v>53543932.14</v>
      </c>
    </row>
    <row r="27">
      <c r="A27" s="46" t="str">
        <f>IFERROR(__xludf.DUMMYFUNCTION("""COMPUTED_VALUE"""),"Europe")</f>
        <v>Europe</v>
      </c>
      <c r="B27" s="46" t="str">
        <f>IFERROR(__xludf.DUMMYFUNCTION("""COMPUTED_VALUE"""),"Ukraine")</f>
        <v>Ukraine</v>
      </c>
      <c r="C27" s="46" t="str">
        <f>IFERROR(__xludf.DUMMYFUNCTION("""COMPUTED_VALUE"""),"Office Supplies")</f>
        <v>Office Supplies</v>
      </c>
      <c r="D27" s="46">
        <f>IFERROR(__xludf.DUMMYFUNCTION("""COMPUTED_VALUE"""),37.0)</f>
        <v>37</v>
      </c>
      <c r="E27" s="46">
        <f>IFERROR(__xludf.DUMMYFUNCTION("""COMPUTED_VALUE"""),1.15363156E8)</f>
        <v>115363156</v>
      </c>
      <c r="F27" s="84">
        <f>IFERROR(__xludf.DUMMYFUNCTION("""COMPUTED_VALUE"""),4803324.96)</f>
        <v>4803324.96</v>
      </c>
      <c r="H27" s="46" t="str">
        <f>IFERROR(__xludf.DUMMYFUNCTION("""COMPUTED_VALUE"""),"Italy")</f>
        <v>Italy</v>
      </c>
      <c r="I27" s="87">
        <f>IFERROR(__xludf.DUMMYFUNCTION("""COMPUTED_VALUE"""),25.2)</f>
        <v>25.2</v>
      </c>
      <c r="J27" s="46">
        <f>IFERROR(__xludf.DUMMYFUNCTION("""COMPUTED_VALUE"""),1.0)</f>
        <v>1</v>
      </c>
      <c r="K27" s="46">
        <f>IFERROR(__xludf.DUMMYFUNCTION("""COMPUTED_VALUE"""),50.0)</f>
        <v>50</v>
      </c>
      <c r="L27" s="46">
        <f>IFERROR(__xludf.DUMMYFUNCTION("""COMPUTED_VALUE"""),30.0)</f>
        <v>30</v>
      </c>
      <c r="M27" s="46">
        <f>IFERROR(__xludf.DUMMYFUNCTION("""COMPUTED_VALUE"""),3.587835212E7)</f>
        <v>35878352.12</v>
      </c>
    </row>
    <row r="28">
      <c r="A28" s="46" t="str">
        <f>IFERROR(__xludf.DUMMYFUNCTION("""COMPUTED_VALUE"""),"Undefined")</f>
        <v>Undefined</v>
      </c>
      <c r="B28" s="46" t="str">
        <f>IFERROR(__xludf.DUMMYFUNCTION("""COMPUTED_VALUE"""),"Undefined")</f>
        <v>Undefined</v>
      </c>
      <c r="C28" s="46" t="str">
        <f>IFERROR(__xludf.DUMMYFUNCTION("""COMPUTED_VALUE"""),"Fruits")</f>
        <v>Fruits</v>
      </c>
      <c r="D28" s="46">
        <f>IFERROR(__xludf.DUMMYFUNCTION("""COMPUTED_VALUE"""),37.0)</f>
        <v>37</v>
      </c>
      <c r="E28" s="46">
        <f>IFERROR(__xludf.DUMMYFUNCTION("""COMPUTED_VALUE"""),1.17929494E8)</f>
        <v>117929494</v>
      </c>
      <c r="F28" s="84">
        <f>IFERROR(__xludf.DUMMYFUNCTION("""COMPUTED_VALUE"""),63565.29)</f>
        <v>63565.29</v>
      </c>
      <c r="H28" s="46" t="str">
        <f>IFERROR(__xludf.DUMMYFUNCTION("""COMPUTED_VALUE"""),"Sweden")</f>
        <v>Sweden</v>
      </c>
      <c r="I28" s="87">
        <f>IFERROR(__xludf.DUMMYFUNCTION("""COMPUTED_VALUE"""),25.137931034482758)</f>
        <v>25.13793103</v>
      </c>
      <c r="J28" s="46">
        <f>IFERROR(__xludf.DUMMYFUNCTION("""COMPUTED_VALUE"""),0.0)</f>
        <v>0</v>
      </c>
      <c r="K28" s="46">
        <f>IFERROR(__xludf.DUMMYFUNCTION("""COMPUTED_VALUE"""),48.0)</f>
        <v>48</v>
      </c>
      <c r="L28" s="46">
        <f>IFERROR(__xludf.DUMMYFUNCTION("""COMPUTED_VALUE"""),29.0)</f>
        <v>29</v>
      </c>
      <c r="M28" s="46">
        <f>IFERROR(__xludf.DUMMYFUNCTION("""COMPUTED_VALUE"""),3.5482128019999996E7)</f>
        <v>35482128.02</v>
      </c>
    </row>
    <row r="29">
      <c r="A29" s="46" t="str">
        <f>IFERROR(__xludf.DUMMYFUNCTION("""COMPUTED_VALUE"""),"Europe")</f>
        <v>Europe</v>
      </c>
      <c r="B29" s="46" t="str">
        <f>IFERROR(__xludf.DUMMYFUNCTION("""COMPUTED_VALUE"""),"Norway")</f>
        <v>Norway</v>
      </c>
      <c r="C29" s="46" t="str">
        <f>IFERROR(__xludf.DUMMYFUNCTION("""COMPUTED_VALUE"""),"Snacks")</f>
        <v>Snacks</v>
      </c>
      <c r="D29" s="46">
        <f>IFERROR(__xludf.DUMMYFUNCTION("""COMPUTED_VALUE"""),23.0)</f>
        <v>23</v>
      </c>
      <c r="E29" s="46">
        <f>IFERROR(__xludf.DUMMYFUNCTION("""COMPUTED_VALUE"""),1.18086564E8)</f>
        <v>118086564</v>
      </c>
      <c r="F29" s="84">
        <f>IFERROR(__xludf.DUMMYFUNCTION("""COMPUTED_VALUE"""),502445.94000000006)</f>
        <v>502445.94</v>
      </c>
      <c r="H29" s="46" t="str">
        <f>IFERROR(__xludf.DUMMYFUNCTION("""COMPUTED_VALUE"""),"Romania")</f>
        <v>Romania</v>
      </c>
      <c r="I29" s="87">
        <f>IFERROR(__xludf.DUMMYFUNCTION("""COMPUTED_VALUE"""),24.941176470588236)</f>
        <v>24.94117647</v>
      </c>
      <c r="J29" s="46">
        <f>IFERROR(__xludf.DUMMYFUNCTION("""COMPUTED_VALUE"""),3.0)</f>
        <v>3</v>
      </c>
      <c r="K29" s="46">
        <f>IFERROR(__xludf.DUMMYFUNCTION("""COMPUTED_VALUE"""),48.0)</f>
        <v>48</v>
      </c>
      <c r="L29" s="46">
        <f>IFERROR(__xludf.DUMMYFUNCTION("""COMPUTED_VALUE"""),34.0)</f>
        <v>34</v>
      </c>
      <c r="M29" s="46">
        <f>IFERROR(__xludf.DUMMYFUNCTION("""COMPUTED_VALUE"""),3.428615085E7)</f>
        <v>34286150.85</v>
      </c>
    </row>
    <row r="30">
      <c r="A30" s="46" t="str">
        <f>IFERROR(__xludf.DUMMYFUNCTION("""COMPUTED_VALUE"""),"Europe")</f>
        <v>Europe</v>
      </c>
      <c r="B30" s="46" t="str">
        <f>IFERROR(__xludf.DUMMYFUNCTION("""COMPUTED_VALUE"""),"Czech Republic")</f>
        <v>Czech Republic</v>
      </c>
      <c r="C30" s="46" t="str">
        <f>IFERROR(__xludf.DUMMYFUNCTION("""COMPUTED_VALUE"""),"Cereal")</f>
        <v>Cereal</v>
      </c>
      <c r="D30" s="46">
        <f>IFERROR(__xludf.DUMMYFUNCTION("""COMPUTED_VALUE"""),15.0)</f>
        <v>15</v>
      </c>
      <c r="E30" s="46">
        <f>IFERROR(__xludf.DUMMYFUNCTION("""COMPUTED_VALUE"""),1.18659913E8)</f>
        <v>118659913</v>
      </c>
      <c r="F30" s="84">
        <f>IFERROR(__xludf.DUMMYFUNCTION("""COMPUTED_VALUE"""),608872.0)</f>
        <v>608872</v>
      </c>
      <c r="H30" s="46" t="str">
        <f>IFERROR(__xludf.DUMMYFUNCTION("""COMPUTED_VALUE"""),"Portugal")</f>
        <v>Portugal</v>
      </c>
      <c r="I30" s="87">
        <f>IFERROR(__xludf.DUMMYFUNCTION("""COMPUTED_VALUE"""),24.12)</f>
        <v>24.12</v>
      </c>
      <c r="J30" s="46">
        <f>IFERROR(__xludf.DUMMYFUNCTION("""COMPUTED_VALUE"""),1.0)</f>
        <v>1</v>
      </c>
      <c r="K30" s="46">
        <f>IFERROR(__xludf.DUMMYFUNCTION("""COMPUTED_VALUE"""),50.0)</f>
        <v>50</v>
      </c>
      <c r="L30" s="46">
        <f>IFERROR(__xludf.DUMMYFUNCTION("""COMPUTED_VALUE"""),25.0)</f>
        <v>25</v>
      </c>
      <c r="M30" s="46">
        <f>IFERROR(__xludf.DUMMYFUNCTION("""COMPUTED_VALUE"""),4.717218984000001E7)</f>
        <v>47172189.84</v>
      </c>
    </row>
    <row r="31">
      <c r="A31" s="46" t="str">
        <f>IFERROR(__xludf.DUMMYFUNCTION("""COMPUTED_VALUE"""),"Undefined")</f>
        <v>Undefined</v>
      </c>
      <c r="B31" s="46" t="str">
        <f>IFERROR(__xludf.DUMMYFUNCTION("""COMPUTED_VALUE"""),"Undefined")</f>
        <v>Undefined</v>
      </c>
      <c r="C31" s="46" t="str">
        <f>IFERROR(__xludf.DUMMYFUNCTION("""COMPUTED_VALUE"""),"Snacks")</f>
        <v>Snacks</v>
      </c>
      <c r="D31" s="46">
        <f>IFERROR(__xludf.DUMMYFUNCTION("""COMPUTED_VALUE"""),29.0)</f>
        <v>29</v>
      </c>
      <c r="E31" s="46">
        <f>IFERROR(__xludf.DUMMYFUNCTION("""COMPUTED_VALUE"""),1.18859469E8)</f>
        <v>118859469</v>
      </c>
      <c r="F31" s="84">
        <f>IFERROR(__xludf.DUMMYFUNCTION("""COMPUTED_VALUE"""),307143.54000000004)</f>
        <v>307143.54</v>
      </c>
      <c r="H31" s="46" t="str">
        <f>IFERROR(__xludf.DUMMYFUNCTION("""COMPUTED_VALUE"""),"Norway")</f>
        <v>Norway</v>
      </c>
      <c r="I31" s="87">
        <f>IFERROR(__xludf.DUMMYFUNCTION("""COMPUTED_VALUE"""),24.1)</f>
        <v>24.1</v>
      </c>
      <c r="J31" s="46">
        <f>IFERROR(__xludf.DUMMYFUNCTION("""COMPUTED_VALUE"""),1.0)</f>
        <v>1</v>
      </c>
      <c r="K31" s="46">
        <f>IFERROR(__xludf.DUMMYFUNCTION("""COMPUTED_VALUE"""),50.0)</f>
        <v>50</v>
      </c>
      <c r="L31" s="46">
        <f>IFERROR(__xludf.DUMMYFUNCTION("""COMPUTED_VALUE"""),30.0)</f>
        <v>30</v>
      </c>
      <c r="M31" s="46">
        <f>IFERROR(__xludf.DUMMYFUNCTION("""COMPUTED_VALUE"""),3.15206985E7)</f>
        <v>31520698.5</v>
      </c>
    </row>
    <row r="32">
      <c r="A32" s="46" t="str">
        <f>IFERROR(__xludf.DUMMYFUNCTION("""COMPUTED_VALUE"""),"Europe")</f>
        <v>Europe</v>
      </c>
      <c r="B32" s="46" t="str">
        <f>IFERROR(__xludf.DUMMYFUNCTION("""COMPUTED_VALUE"""),"Romania")</f>
        <v>Romania</v>
      </c>
      <c r="C32" s="46" t="str">
        <f>IFERROR(__xludf.DUMMYFUNCTION("""COMPUTED_VALUE"""),"Personal Care")</f>
        <v>Personal Care</v>
      </c>
      <c r="D32" s="46">
        <f>IFERROR(__xludf.DUMMYFUNCTION("""COMPUTED_VALUE"""),13.0)</f>
        <v>13</v>
      </c>
      <c r="E32" s="46">
        <f>IFERROR(__xludf.DUMMYFUNCTION("""COMPUTED_VALUE"""),1.19935786E8)</f>
        <v>119935786</v>
      </c>
      <c r="F32" s="84">
        <f>IFERROR(__xludf.DUMMYFUNCTION("""COMPUTED_VALUE"""),42417.87)</f>
        <v>42417.87</v>
      </c>
      <c r="H32" s="46" t="str">
        <f>IFERROR(__xludf.DUMMYFUNCTION("""COMPUTED_VALUE"""),"Switzerland")</f>
        <v>Switzerland</v>
      </c>
      <c r="I32" s="87">
        <f>IFERROR(__xludf.DUMMYFUNCTION("""COMPUTED_VALUE"""),24.0)</f>
        <v>24</v>
      </c>
      <c r="J32" s="46">
        <f>IFERROR(__xludf.DUMMYFUNCTION("""COMPUTED_VALUE"""),0.0)</f>
        <v>0</v>
      </c>
      <c r="K32" s="46">
        <f>IFERROR(__xludf.DUMMYFUNCTION("""COMPUTED_VALUE"""),49.0)</f>
        <v>49</v>
      </c>
      <c r="L32" s="46">
        <f>IFERROR(__xludf.DUMMYFUNCTION("""COMPUTED_VALUE"""),28.0)</f>
        <v>28</v>
      </c>
      <c r="M32" s="46">
        <f>IFERROR(__xludf.DUMMYFUNCTION("""COMPUTED_VALUE"""),3.1875174000000004E7)</f>
        <v>31875174</v>
      </c>
    </row>
    <row r="33">
      <c r="A33" s="46" t="str">
        <f>IFERROR(__xludf.DUMMYFUNCTION("""COMPUTED_VALUE"""),"Europe")</f>
        <v>Europe</v>
      </c>
      <c r="B33" s="46" t="str">
        <f>IFERROR(__xludf.DUMMYFUNCTION("""COMPUTED_VALUE"""),"Lithuania")</f>
        <v>Lithuania</v>
      </c>
      <c r="C33" s="46" t="str">
        <f>IFERROR(__xludf.DUMMYFUNCTION("""COMPUTED_VALUE"""),"Personal Care")</f>
        <v>Personal Care</v>
      </c>
      <c r="D33" s="46">
        <f>IFERROR(__xludf.DUMMYFUNCTION("""COMPUTED_VALUE"""),44.0)</f>
        <v>44</v>
      </c>
      <c r="E33" s="46">
        <f>IFERROR(__xludf.DUMMYFUNCTION("""COMPUTED_VALUE"""),1.20419871E8)</f>
        <v>120419871</v>
      </c>
      <c r="F33" s="84">
        <f>IFERROR(__xludf.DUMMYFUNCTION("""COMPUTED_VALUE"""),308203.83)</f>
        <v>308203.83</v>
      </c>
      <c r="H33" s="46" t="str">
        <f>IFERROR(__xludf.DUMMYFUNCTION("""COMPUTED_VALUE"""),"Slovenia")</f>
        <v>Slovenia</v>
      </c>
      <c r="I33" s="87">
        <f>IFERROR(__xludf.DUMMYFUNCTION("""COMPUTED_VALUE"""),23.74074074074074)</f>
        <v>23.74074074</v>
      </c>
      <c r="J33" s="46">
        <f>IFERROR(__xludf.DUMMYFUNCTION("""COMPUTED_VALUE"""),2.0)</f>
        <v>2</v>
      </c>
      <c r="K33" s="46">
        <f>IFERROR(__xludf.DUMMYFUNCTION("""COMPUTED_VALUE"""),49.0)</f>
        <v>49</v>
      </c>
      <c r="L33" s="46">
        <f>IFERROR(__xludf.DUMMYFUNCTION("""COMPUTED_VALUE"""),27.0)</f>
        <v>27</v>
      </c>
      <c r="M33" s="46">
        <f>IFERROR(__xludf.DUMMYFUNCTION("""COMPUTED_VALUE"""),3.8892531269999996E7)</f>
        <v>38892531.27</v>
      </c>
    </row>
    <row r="34">
      <c r="A34" s="46" t="str">
        <f>IFERROR(__xludf.DUMMYFUNCTION("""COMPUTED_VALUE"""),"Asia")</f>
        <v>Asia</v>
      </c>
      <c r="B34" s="46" t="str">
        <f>IFERROR(__xludf.DUMMYFUNCTION("""COMPUTED_VALUE"""),"Armenia")</f>
        <v>Armenia</v>
      </c>
      <c r="C34" s="46" t="str">
        <f>IFERROR(__xludf.DUMMYFUNCTION("""COMPUTED_VALUE"""),"Fruits")</f>
        <v>Fruits</v>
      </c>
      <c r="D34" s="46">
        <f>IFERROR(__xludf.DUMMYFUNCTION("""COMPUTED_VALUE"""),40.0)</f>
        <v>40</v>
      </c>
      <c r="E34" s="46">
        <f>IFERROR(__xludf.DUMMYFUNCTION("""COMPUTED_VALUE"""),1.20977771E8)</f>
        <v>120977771</v>
      </c>
      <c r="F34" s="84">
        <f>IFERROR(__xludf.DUMMYFUNCTION("""COMPUTED_VALUE"""),82719.78)</f>
        <v>82719.78</v>
      </c>
      <c r="H34" s="46" t="str">
        <f>IFERROR(__xludf.DUMMYFUNCTION("""COMPUTED_VALUE"""),"Iceland")</f>
        <v>Iceland</v>
      </c>
      <c r="I34" s="87">
        <f>IFERROR(__xludf.DUMMYFUNCTION("""COMPUTED_VALUE"""),23.565217391304348)</f>
        <v>23.56521739</v>
      </c>
      <c r="J34" s="46">
        <f>IFERROR(__xludf.DUMMYFUNCTION("""COMPUTED_VALUE"""),3.0)</f>
        <v>3</v>
      </c>
      <c r="K34" s="46">
        <f>IFERROR(__xludf.DUMMYFUNCTION("""COMPUTED_VALUE"""),48.0)</f>
        <v>48</v>
      </c>
      <c r="L34" s="46">
        <f>IFERROR(__xludf.DUMMYFUNCTION("""COMPUTED_VALUE"""),23.0)</f>
        <v>23</v>
      </c>
      <c r="M34" s="46">
        <f>IFERROR(__xludf.DUMMYFUNCTION("""COMPUTED_VALUE"""),2.55702274E7)</f>
        <v>25570227.4</v>
      </c>
    </row>
    <row r="35">
      <c r="A35" s="46" t="str">
        <f>IFERROR(__xludf.DUMMYFUNCTION("""COMPUTED_VALUE"""),"Europe")</f>
        <v>Europe</v>
      </c>
      <c r="B35" s="46" t="str">
        <f>IFERROR(__xludf.DUMMYFUNCTION("""COMPUTED_VALUE"""),"Malta")</f>
        <v>Malta</v>
      </c>
      <c r="C35" s="46" t="str">
        <f>IFERROR(__xludf.DUMMYFUNCTION("""COMPUTED_VALUE"""),"Fruits")</f>
        <v>Fruits</v>
      </c>
      <c r="D35" s="46">
        <f>IFERROR(__xludf.DUMMYFUNCTION("""COMPUTED_VALUE"""),27.0)</f>
        <v>27</v>
      </c>
      <c r="E35" s="46">
        <f>IFERROR(__xludf.DUMMYFUNCTION("""COMPUTED_VALUE"""),1.21380746E8)</f>
        <v>121380746</v>
      </c>
      <c r="F35" s="84">
        <f>IFERROR(__xludf.DUMMYFUNCTION("""COMPUTED_VALUE"""),75712.95)</f>
        <v>75712.95</v>
      </c>
      <c r="H35" s="46" t="str">
        <f>IFERROR(__xludf.DUMMYFUNCTION("""COMPUTED_VALUE"""),"Ireland")</f>
        <v>Ireland</v>
      </c>
      <c r="I35" s="87">
        <f>IFERROR(__xludf.DUMMYFUNCTION("""COMPUTED_VALUE"""),23.533333333333335)</f>
        <v>23.53333333</v>
      </c>
      <c r="J35" s="46">
        <f>IFERROR(__xludf.DUMMYFUNCTION("""COMPUTED_VALUE"""),1.0)</f>
        <v>1</v>
      </c>
      <c r="K35" s="46">
        <f>IFERROR(__xludf.DUMMYFUNCTION("""COMPUTED_VALUE"""),50.0)</f>
        <v>50</v>
      </c>
      <c r="L35" s="46">
        <f>IFERROR(__xludf.DUMMYFUNCTION("""COMPUTED_VALUE"""),30.0)</f>
        <v>30</v>
      </c>
      <c r="M35" s="46">
        <f>IFERROR(__xludf.DUMMYFUNCTION("""COMPUTED_VALUE"""),3.302222331E7)</f>
        <v>33022223.31</v>
      </c>
    </row>
    <row r="36">
      <c r="A36" s="46" t="str">
        <f>IFERROR(__xludf.DUMMYFUNCTION("""COMPUTED_VALUE"""),"Europe")</f>
        <v>Europe</v>
      </c>
      <c r="B36" s="46" t="str">
        <f>IFERROR(__xludf.DUMMYFUNCTION("""COMPUTED_VALUE"""),"United Kingdom")</f>
        <v>United Kingdom</v>
      </c>
      <c r="C36" s="46" t="str">
        <f>IFERROR(__xludf.DUMMYFUNCTION("""COMPUTED_VALUE"""),"Beverages")</f>
        <v>Beverages</v>
      </c>
      <c r="D36" s="46">
        <f>IFERROR(__xludf.DUMMYFUNCTION("""COMPUTED_VALUE"""),4.0)</f>
        <v>4</v>
      </c>
      <c r="E36" s="46">
        <f>IFERROR(__xludf.DUMMYFUNCTION("""COMPUTED_VALUE"""),1.21945512E8)</f>
        <v>121945512</v>
      </c>
      <c r="F36" s="84">
        <f>IFERROR(__xludf.DUMMYFUNCTION("""COMPUTED_VALUE"""),248732.90000000002)</f>
        <v>248732.9</v>
      </c>
      <c r="H36" s="46" t="str">
        <f>IFERROR(__xludf.DUMMYFUNCTION("""COMPUTED_VALUE"""),"Undefined")</f>
        <v>Undefined</v>
      </c>
      <c r="I36" s="87">
        <f>IFERROR(__xludf.DUMMYFUNCTION("""COMPUTED_VALUE"""),23.4390243902439)</f>
        <v>23.43902439</v>
      </c>
      <c r="J36" s="46">
        <f>IFERROR(__xludf.DUMMYFUNCTION("""COMPUTED_VALUE"""),0.0)</f>
        <v>0</v>
      </c>
      <c r="K36" s="46">
        <f>IFERROR(__xludf.DUMMYFUNCTION("""COMPUTED_VALUE"""),50.0)</f>
        <v>50</v>
      </c>
      <c r="L36" s="46">
        <f>IFERROR(__xludf.DUMMYFUNCTION("""COMPUTED_VALUE"""),82.0)</f>
        <v>82</v>
      </c>
      <c r="M36" s="46">
        <f>IFERROR(__xludf.DUMMYFUNCTION("""COMPUTED_VALUE"""),1.0314564695E8)</f>
        <v>103145647</v>
      </c>
      <c r="N36" s="56" t="s">
        <v>50</v>
      </c>
    </row>
    <row r="37">
      <c r="A37" s="46" t="str">
        <f>IFERROR(__xludf.DUMMYFUNCTION("""COMPUTED_VALUE"""),"Europe")</f>
        <v>Europe</v>
      </c>
      <c r="B37" s="46" t="str">
        <f>IFERROR(__xludf.DUMMYFUNCTION("""COMPUTED_VALUE"""),"Montenegro")</f>
        <v>Montenegro</v>
      </c>
      <c r="C37" s="46" t="str">
        <f>IFERROR(__xludf.DUMMYFUNCTION("""COMPUTED_VALUE"""),"Beverages")</f>
        <v>Beverages</v>
      </c>
      <c r="D37" s="46">
        <f>IFERROR(__xludf.DUMMYFUNCTION("""COMPUTED_VALUE"""),27.0)</f>
        <v>27</v>
      </c>
      <c r="E37" s="46">
        <f>IFERROR(__xludf.DUMMYFUNCTION("""COMPUTED_VALUE"""),1.2214421E8)</f>
        <v>122144210</v>
      </c>
      <c r="F37" s="84">
        <f>IFERROR(__xludf.DUMMYFUNCTION("""COMPUTED_VALUE"""),191745.45)</f>
        <v>191745.45</v>
      </c>
      <c r="H37" s="46" t="str">
        <f>IFERROR(__xludf.DUMMYFUNCTION("""COMPUTED_VALUE"""),"Germany")</f>
        <v>Germany</v>
      </c>
      <c r="I37" s="87">
        <f>IFERROR(__xludf.DUMMYFUNCTION("""COMPUTED_VALUE"""),23.423076923076923)</f>
        <v>23.42307692</v>
      </c>
      <c r="J37" s="46">
        <f>IFERROR(__xludf.DUMMYFUNCTION("""COMPUTED_VALUE"""),0.0)</f>
        <v>0</v>
      </c>
      <c r="K37" s="46">
        <f>IFERROR(__xludf.DUMMYFUNCTION("""COMPUTED_VALUE"""),49.0)</f>
        <v>49</v>
      </c>
      <c r="L37" s="46">
        <f>IFERROR(__xludf.DUMMYFUNCTION("""COMPUTED_VALUE"""),26.0)</f>
        <v>26</v>
      </c>
      <c r="M37" s="46">
        <f>IFERROR(__xludf.DUMMYFUNCTION("""COMPUTED_VALUE"""),3.8055087559999995E7)</f>
        <v>38055087.56</v>
      </c>
    </row>
    <row r="38">
      <c r="A38" s="46" t="str">
        <f>IFERROR(__xludf.DUMMYFUNCTION("""COMPUTED_VALUE"""),"Europe")</f>
        <v>Europe</v>
      </c>
      <c r="B38" s="46" t="str">
        <f>IFERROR(__xludf.DUMMYFUNCTION("""COMPUTED_VALUE"""),"Portugal")</f>
        <v>Portugal</v>
      </c>
      <c r="C38" s="46" t="str">
        <f>IFERROR(__xludf.DUMMYFUNCTION("""COMPUTED_VALUE"""),"Beverages")</f>
        <v>Beverages</v>
      </c>
      <c r="D38" s="46">
        <f>IFERROR(__xludf.DUMMYFUNCTION("""COMPUTED_VALUE"""),3.0)</f>
        <v>3</v>
      </c>
      <c r="E38" s="46">
        <f>IFERROR(__xludf.DUMMYFUNCTION("""COMPUTED_VALUE"""),1.22372519E8)</f>
        <v>122372519</v>
      </c>
      <c r="F38" s="84">
        <f>IFERROR(__xludf.DUMMYFUNCTION("""COMPUTED_VALUE"""),76062.35)</f>
        <v>76062.35</v>
      </c>
      <c r="H38" s="46" t="str">
        <f>IFERROR(__xludf.DUMMYFUNCTION("""COMPUTED_VALUE"""),"Cyprus")</f>
        <v>Cyprus</v>
      </c>
      <c r="I38" s="87">
        <f>IFERROR(__xludf.DUMMYFUNCTION("""COMPUTED_VALUE"""),23.233333333333334)</f>
        <v>23.23333333</v>
      </c>
      <c r="J38" s="46">
        <f>IFERROR(__xludf.DUMMYFUNCTION("""COMPUTED_VALUE"""),1.0)</f>
        <v>1</v>
      </c>
      <c r="K38" s="46">
        <f>IFERROR(__xludf.DUMMYFUNCTION("""COMPUTED_VALUE"""),49.0)</f>
        <v>49</v>
      </c>
      <c r="L38" s="46">
        <f>IFERROR(__xludf.DUMMYFUNCTION("""COMPUTED_VALUE"""),30.0)</f>
        <v>30</v>
      </c>
      <c r="M38" s="46">
        <f>IFERROR(__xludf.DUMMYFUNCTION("""COMPUTED_VALUE"""),3.30088515E7)</f>
        <v>33008851.5</v>
      </c>
    </row>
    <row r="39">
      <c r="A39" s="46" t="str">
        <f>IFERROR(__xludf.DUMMYFUNCTION("""COMPUTED_VALUE"""),"Europe")</f>
        <v>Europe</v>
      </c>
      <c r="B39" s="46" t="str">
        <f>IFERROR(__xludf.DUMMYFUNCTION("""COMPUTED_VALUE"""),"Belarus")</f>
        <v>Belarus</v>
      </c>
      <c r="C39" s="46" t="str">
        <f>IFERROR(__xludf.DUMMYFUNCTION("""COMPUTED_VALUE"""),"Beverages")</f>
        <v>Beverages</v>
      </c>
      <c r="D39" s="46">
        <f>IFERROR(__xludf.DUMMYFUNCTION("""COMPUTED_VALUE"""),32.0)</f>
        <v>32</v>
      </c>
      <c r="E39" s="46">
        <f>IFERROR(__xludf.DUMMYFUNCTION("""COMPUTED_VALUE"""),1.22967326E8)</f>
        <v>122967326</v>
      </c>
      <c r="F39" s="84">
        <f>IFERROR(__xludf.DUMMYFUNCTION("""COMPUTED_VALUE"""),361521.55000000005)</f>
        <v>361521.55</v>
      </c>
      <c r="H39" s="46" t="str">
        <f>IFERROR(__xludf.DUMMYFUNCTION("""COMPUTED_VALUE"""),"Macedonia")</f>
        <v>Macedonia</v>
      </c>
      <c r="I39" s="87">
        <f>IFERROR(__xludf.DUMMYFUNCTION("""COMPUTED_VALUE"""),23.21875)</f>
        <v>23.21875</v>
      </c>
      <c r="J39" s="46">
        <f>IFERROR(__xludf.DUMMYFUNCTION("""COMPUTED_VALUE"""),2.0)</f>
        <v>2</v>
      </c>
      <c r="K39" s="46">
        <f>IFERROR(__xludf.DUMMYFUNCTION("""COMPUTED_VALUE"""),46.0)</f>
        <v>46</v>
      </c>
      <c r="L39" s="46">
        <f>IFERROR(__xludf.DUMMYFUNCTION("""COMPUTED_VALUE"""),32.0)</f>
        <v>32</v>
      </c>
      <c r="M39" s="46">
        <f>IFERROR(__xludf.DUMMYFUNCTION("""COMPUTED_VALUE"""),4.922208525000001E7)</f>
        <v>49222085.25</v>
      </c>
    </row>
    <row r="40">
      <c r="A40" s="46" t="str">
        <f>IFERROR(__xludf.DUMMYFUNCTION("""COMPUTED_VALUE"""),"Europe")</f>
        <v>Europe</v>
      </c>
      <c r="B40" s="46" t="str">
        <f>IFERROR(__xludf.DUMMYFUNCTION("""COMPUTED_VALUE"""),"Estonia")</f>
        <v>Estonia</v>
      </c>
      <c r="C40" s="46" t="str">
        <f>IFERROR(__xludf.DUMMYFUNCTION("""COMPUTED_VALUE"""),"Baby Food")</f>
        <v>Baby Food</v>
      </c>
      <c r="D40" s="46">
        <f>IFERROR(__xludf.DUMMYFUNCTION("""COMPUTED_VALUE"""),49.0)</f>
        <v>49</v>
      </c>
      <c r="E40" s="46">
        <f>IFERROR(__xludf.DUMMYFUNCTION("""COMPUTED_VALUE"""),1.23086202E8)</f>
        <v>123086202</v>
      </c>
      <c r="F40" s="84">
        <f>IFERROR(__xludf.DUMMYFUNCTION("""COMPUTED_VALUE"""),714018.16)</f>
        <v>714018.16</v>
      </c>
      <c r="H40" s="46" t="str">
        <f>IFERROR(__xludf.DUMMYFUNCTION("""COMPUTED_VALUE"""),"Greece")</f>
        <v>Greece</v>
      </c>
      <c r="I40" s="87">
        <f>IFERROR(__xludf.DUMMYFUNCTION("""COMPUTED_VALUE"""),23.0)</f>
        <v>23</v>
      </c>
      <c r="J40" s="46">
        <f>IFERROR(__xludf.DUMMYFUNCTION("""COMPUTED_VALUE"""),1.0)</f>
        <v>1</v>
      </c>
      <c r="K40" s="46">
        <f>IFERROR(__xludf.DUMMYFUNCTION("""COMPUTED_VALUE"""),48.0)</f>
        <v>48</v>
      </c>
      <c r="L40" s="46">
        <f>IFERROR(__xludf.DUMMYFUNCTION("""COMPUTED_VALUE"""),32.0)</f>
        <v>32</v>
      </c>
      <c r="M40" s="46">
        <f>IFERROR(__xludf.DUMMYFUNCTION("""COMPUTED_VALUE"""),3.8699541699999996E7)</f>
        <v>38699541.7</v>
      </c>
    </row>
    <row r="41">
      <c r="A41" s="46" t="str">
        <f>IFERROR(__xludf.DUMMYFUNCTION("""COMPUTED_VALUE"""),"Europe")</f>
        <v>Europe</v>
      </c>
      <c r="B41" s="46" t="str">
        <f>IFERROR(__xludf.DUMMYFUNCTION("""COMPUTED_VALUE"""),"Austria")</f>
        <v>Austria</v>
      </c>
      <c r="C41" s="46" t="str">
        <f>IFERROR(__xludf.DUMMYFUNCTION("""COMPUTED_VALUE"""),"Cereal")</f>
        <v>Cereal</v>
      </c>
      <c r="D41" s="46">
        <f>IFERROR(__xludf.DUMMYFUNCTION("""COMPUTED_VALUE"""),40.0)</f>
        <v>40</v>
      </c>
      <c r="E41" s="46">
        <f>IFERROR(__xludf.DUMMYFUNCTION("""COMPUTED_VALUE"""),1.23544108E8)</f>
        <v>123544108</v>
      </c>
      <c r="F41" s="84">
        <f>IFERROR(__xludf.DUMMYFUNCTION("""COMPUTED_VALUE"""),1707721.4)</f>
        <v>1707721.4</v>
      </c>
      <c r="H41" s="46" t="str">
        <f>IFERROR(__xludf.DUMMYFUNCTION("""COMPUTED_VALUE"""),"Liechtenstein")</f>
        <v>Liechtenstein</v>
      </c>
      <c r="I41" s="87">
        <f>IFERROR(__xludf.DUMMYFUNCTION("""COMPUTED_VALUE"""),22.958333333333332)</f>
        <v>22.95833333</v>
      </c>
      <c r="J41" s="46">
        <f>IFERROR(__xludf.DUMMYFUNCTION("""COMPUTED_VALUE"""),0.0)</f>
        <v>0</v>
      </c>
      <c r="K41" s="46">
        <f>IFERROR(__xludf.DUMMYFUNCTION("""COMPUTED_VALUE"""),50.0)</f>
        <v>50</v>
      </c>
      <c r="L41" s="46">
        <f>IFERROR(__xludf.DUMMYFUNCTION("""COMPUTED_VALUE"""),24.0)</f>
        <v>24</v>
      </c>
      <c r="M41" s="46">
        <f>IFERROR(__xludf.DUMMYFUNCTION("""COMPUTED_VALUE"""),2.9872564409999996E7)</f>
        <v>29872564.41</v>
      </c>
    </row>
    <row r="42">
      <c r="A42" s="46" t="str">
        <f>IFERROR(__xludf.DUMMYFUNCTION("""COMPUTED_VALUE"""),"Europe")</f>
        <v>Europe</v>
      </c>
      <c r="B42" s="46" t="str">
        <f>IFERROR(__xludf.DUMMYFUNCTION("""COMPUTED_VALUE"""),"Belarus")</f>
        <v>Belarus</v>
      </c>
      <c r="C42" s="46" t="str">
        <f>IFERROR(__xludf.DUMMYFUNCTION("""COMPUTED_VALUE"""),"Beverages")</f>
        <v>Beverages</v>
      </c>
      <c r="D42" s="46">
        <f>IFERROR(__xludf.DUMMYFUNCTION("""COMPUTED_VALUE"""),9.0)</f>
        <v>9</v>
      </c>
      <c r="E42" s="46">
        <f>IFERROR(__xludf.DUMMYFUNCTION("""COMPUTED_VALUE"""),1.2393893E8)</f>
        <v>123938930</v>
      </c>
      <c r="F42" s="84">
        <f>IFERROR(__xludf.DUMMYFUNCTION("""COMPUTED_VALUE"""),243798.1)</f>
        <v>243798.1</v>
      </c>
      <c r="H42" s="46" t="str">
        <f>IFERROR(__xludf.DUMMYFUNCTION("""COMPUTED_VALUE"""),"San Marino")</f>
        <v>San Marino</v>
      </c>
      <c r="I42" s="87">
        <f>IFERROR(__xludf.DUMMYFUNCTION("""COMPUTED_VALUE"""),21.7)</f>
        <v>21.7</v>
      </c>
      <c r="J42" s="46">
        <f>IFERROR(__xludf.DUMMYFUNCTION("""COMPUTED_VALUE"""),0.0)</f>
        <v>0</v>
      </c>
      <c r="K42" s="46">
        <f>IFERROR(__xludf.DUMMYFUNCTION("""COMPUTED_VALUE"""),49.0)</f>
        <v>49</v>
      </c>
      <c r="L42" s="46">
        <f>IFERROR(__xludf.DUMMYFUNCTION("""COMPUTED_VALUE"""),40.0)</f>
        <v>40</v>
      </c>
      <c r="M42" s="46">
        <f>IFERROR(__xludf.DUMMYFUNCTION("""COMPUTED_VALUE"""),4.7883708480000004E7)</f>
        <v>47883708.48</v>
      </c>
    </row>
    <row r="43">
      <c r="A43" s="46" t="str">
        <f>IFERROR(__xludf.DUMMYFUNCTION("""COMPUTED_VALUE"""),"Europe")</f>
        <v>Europe</v>
      </c>
      <c r="B43" s="46" t="str">
        <f>IFERROR(__xludf.DUMMYFUNCTION("""COMPUTED_VALUE"""),"Macedonia")</f>
        <v>Macedonia</v>
      </c>
      <c r="C43" s="46" t="str">
        <f>IFERROR(__xludf.DUMMYFUNCTION("""COMPUTED_VALUE"""),"Snacks")</f>
        <v>Snacks</v>
      </c>
      <c r="D43" s="46">
        <f>IFERROR(__xludf.DUMMYFUNCTION("""COMPUTED_VALUE"""),13.0)</f>
        <v>13</v>
      </c>
      <c r="E43" s="46">
        <f>IFERROR(__xludf.DUMMYFUNCTION("""COMPUTED_VALUE"""),1.25339686E8)</f>
        <v>125339686</v>
      </c>
      <c r="F43" s="84">
        <f>IFERROR(__xludf.DUMMYFUNCTION("""COMPUTED_VALUE"""),1472854.7400000002)</f>
        <v>1472854.74</v>
      </c>
      <c r="H43" s="46" t="str">
        <f>IFERROR(__xludf.DUMMYFUNCTION("""COMPUTED_VALUE"""),"Malta")</f>
        <v>Malta</v>
      </c>
      <c r="I43" s="87">
        <f>IFERROR(__xludf.DUMMYFUNCTION("""COMPUTED_VALUE"""),21.5625)</f>
        <v>21.5625</v>
      </c>
      <c r="J43" s="46">
        <f>IFERROR(__xludf.DUMMYFUNCTION("""COMPUTED_VALUE"""),0.0)</f>
        <v>0</v>
      </c>
      <c r="K43" s="46">
        <f>IFERROR(__xludf.DUMMYFUNCTION("""COMPUTED_VALUE"""),48.0)</f>
        <v>48</v>
      </c>
      <c r="L43" s="46">
        <f>IFERROR(__xludf.DUMMYFUNCTION("""COMPUTED_VALUE"""),32.0)</f>
        <v>32</v>
      </c>
      <c r="M43" s="46">
        <f>IFERROR(__xludf.DUMMYFUNCTION("""COMPUTED_VALUE"""),4.7145320809999995E7)</f>
        <v>47145320.81</v>
      </c>
    </row>
    <row r="44">
      <c r="A44" s="46" t="str">
        <f>IFERROR(__xludf.DUMMYFUNCTION("""COMPUTED_VALUE"""),"Europe")</f>
        <v>Europe</v>
      </c>
      <c r="B44" s="46" t="str">
        <f>IFERROR(__xludf.DUMMYFUNCTION("""COMPUTED_VALUE"""),"San Marino")</f>
        <v>San Marino</v>
      </c>
      <c r="C44" s="46" t="str">
        <f>IFERROR(__xludf.DUMMYFUNCTION("""COMPUTED_VALUE"""),"Cereal")</f>
        <v>Cereal</v>
      </c>
      <c r="D44" s="46">
        <f>IFERROR(__xludf.DUMMYFUNCTION("""COMPUTED_VALUE"""),19.0)</f>
        <v>19</v>
      </c>
      <c r="E44" s="46">
        <f>IFERROR(__xludf.DUMMYFUNCTION("""COMPUTED_VALUE"""),1.25349128E8)</f>
        <v>125349128</v>
      </c>
      <c r="F44" s="84">
        <f>IFERROR(__xludf.DUMMYFUNCTION("""COMPUTED_VALUE"""),503347.89999999997)</f>
        <v>503347.9</v>
      </c>
      <c r="H44" s="46" t="str">
        <f>IFERROR(__xludf.DUMMYFUNCTION("""COMPUTED_VALUE"""),"Latvia")</f>
        <v>Latvia</v>
      </c>
      <c r="I44" s="87">
        <f>IFERROR(__xludf.DUMMYFUNCTION("""COMPUTED_VALUE"""),20.88888888888889)</f>
        <v>20.88888889</v>
      </c>
      <c r="J44" s="46">
        <f>IFERROR(__xludf.DUMMYFUNCTION("""COMPUTED_VALUE"""),3.0)</f>
        <v>3</v>
      </c>
      <c r="K44" s="46">
        <f>IFERROR(__xludf.DUMMYFUNCTION("""COMPUTED_VALUE"""),45.0)</f>
        <v>45</v>
      </c>
      <c r="L44" s="46">
        <f>IFERROR(__xludf.DUMMYFUNCTION("""COMPUTED_VALUE"""),27.0)</f>
        <v>27</v>
      </c>
      <c r="M44" s="46">
        <f>IFERROR(__xludf.DUMMYFUNCTION("""COMPUTED_VALUE"""),3.8722084150000006E7)</f>
        <v>38722084.15</v>
      </c>
    </row>
    <row r="45">
      <c r="A45" s="46" t="str">
        <f>IFERROR(__xludf.DUMMYFUNCTION("""COMPUTED_VALUE"""),"Undefined")</f>
        <v>Undefined</v>
      </c>
      <c r="B45" s="46" t="str">
        <f>IFERROR(__xludf.DUMMYFUNCTION("""COMPUTED_VALUE"""),"Undefined")</f>
        <v>Undefined</v>
      </c>
      <c r="C45" s="46" t="str">
        <f>IFERROR(__xludf.DUMMYFUNCTION("""COMPUTED_VALUE"""),"Baby Food")</f>
        <v>Baby Food</v>
      </c>
      <c r="D45" s="46">
        <f>IFERROR(__xludf.DUMMYFUNCTION("""COMPUTED_VALUE"""),46.0)</f>
        <v>46</v>
      </c>
      <c r="E45" s="46">
        <f>IFERROR(__xludf.DUMMYFUNCTION("""COMPUTED_VALUE"""),1.26948583E8)</f>
        <v>126948583</v>
      </c>
      <c r="F45" s="84">
        <f>IFERROR(__xludf.DUMMYFUNCTION("""COMPUTED_VALUE"""),1470923.36)</f>
        <v>1470923.36</v>
      </c>
      <c r="H45" s="46" t="str">
        <f>IFERROR(__xludf.DUMMYFUNCTION("""COMPUTED_VALUE"""),"Serbia")</f>
        <v>Serbia</v>
      </c>
      <c r="I45" s="87">
        <f>IFERROR(__xludf.DUMMYFUNCTION("""COMPUTED_VALUE"""),20.586206896551722)</f>
        <v>20.5862069</v>
      </c>
      <c r="J45" s="46">
        <f>IFERROR(__xludf.DUMMYFUNCTION("""COMPUTED_VALUE"""),0.0)</f>
        <v>0</v>
      </c>
      <c r="K45" s="46">
        <f>IFERROR(__xludf.DUMMYFUNCTION("""COMPUTED_VALUE"""),50.0)</f>
        <v>50</v>
      </c>
      <c r="L45" s="46">
        <f>IFERROR(__xludf.DUMMYFUNCTION("""COMPUTED_VALUE"""),29.0)</f>
        <v>29</v>
      </c>
      <c r="M45" s="46">
        <f>IFERROR(__xludf.DUMMYFUNCTION("""COMPUTED_VALUE"""),4.219353774E7)</f>
        <v>42193537.74</v>
      </c>
    </row>
    <row r="46">
      <c r="A46" s="46" t="str">
        <f>IFERROR(__xludf.DUMMYFUNCTION("""COMPUTED_VALUE"""),"Europe")</f>
        <v>Europe</v>
      </c>
      <c r="B46" s="46" t="str">
        <f>IFERROR(__xludf.DUMMYFUNCTION("""COMPUTED_VALUE"""),"Estonia")</f>
        <v>Estonia</v>
      </c>
      <c r="C46" s="46" t="str">
        <f>IFERROR(__xludf.DUMMYFUNCTION("""COMPUTED_VALUE"""),"Vegetables")</f>
        <v>Vegetables</v>
      </c>
      <c r="D46" s="46">
        <f>IFERROR(__xludf.DUMMYFUNCTION("""COMPUTED_VALUE"""),20.0)</f>
        <v>20</v>
      </c>
      <c r="E46" s="46">
        <f>IFERROR(__xludf.DUMMYFUNCTION("""COMPUTED_VALUE"""),1.27694451E8)</f>
        <v>127694451</v>
      </c>
      <c r="F46" s="84">
        <f>IFERROR(__xludf.DUMMYFUNCTION("""COMPUTED_VALUE"""),998462.86)</f>
        <v>998462.86</v>
      </c>
      <c r="H46" s="46" t="str">
        <f>IFERROR(__xludf.DUMMYFUNCTION("""COMPUTED_VALUE"""),"Estonia")</f>
        <v>Estonia</v>
      </c>
      <c r="I46" s="87">
        <f>IFERROR(__xludf.DUMMYFUNCTION("""COMPUTED_VALUE"""),20.52173913043478)</f>
        <v>20.52173913</v>
      </c>
      <c r="J46" s="46">
        <f>IFERROR(__xludf.DUMMYFUNCTION("""COMPUTED_VALUE"""),3.0)</f>
        <v>3</v>
      </c>
      <c r="K46" s="46">
        <f>IFERROR(__xludf.DUMMYFUNCTION("""COMPUTED_VALUE"""),49.0)</f>
        <v>49</v>
      </c>
      <c r="L46" s="46">
        <f>IFERROR(__xludf.DUMMYFUNCTION("""COMPUTED_VALUE"""),23.0)</f>
        <v>23</v>
      </c>
      <c r="M46" s="46">
        <f>IFERROR(__xludf.DUMMYFUNCTION("""COMPUTED_VALUE"""),2.3410001790000003E7)</f>
        <v>23410001.79</v>
      </c>
    </row>
    <row r="47">
      <c r="A47" s="46" t="str">
        <f>IFERROR(__xludf.DUMMYFUNCTION("""COMPUTED_VALUE"""),"Europe")</f>
        <v>Europe</v>
      </c>
      <c r="B47" s="46" t="str">
        <f>IFERROR(__xludf.DUMMYFUNCTION("""COMPUTED_VALUE"""),"Netherlands")</f>
        <v>Netherlands</v>
      </c>
      <c r="C47" s="46" t="str">
        <f>IFERROR(__xludf.DUMMYFUNCTION("""COMPUTED_VALUE"""),"Fruits")</f>
        <v>Fruits</v>
      </c>
      <c r="D47" s="46">
        <f>IFERROR(__xludf.DUMMYFUNCTION("""COMPUTED_VALUE"""),39.0)</f>
        <v>39</v>
      </c>
      <c r="E47" s="46">
        <f>IFERROR(__xludf.DUMMYFUNCTION("""COMPUTED_VALUE"""),1.27838218E8)</f>
        <v>127838218</v>
      </c>
      <c r="F47" s="84">
        <f>IFERROR(__xludf.DUMMYFUNCTION("""COMPUTED_VALUE"""),84193.92)</f>
        <v>84193.92</v>
      </c>
      <c r="H47" s="46" t="str">
        <f>IFERROR(__xludf.DUMMYFUNCTION("""COMPUTED_VALUE"""),"Denmark")</f>
        <v>Denmark</v>
      </c>
      <c r="I47" s="87">
        <f>IFERROR(__xludf.DUMMYFUNCTION("""COMPUTED_VALUE"""),19.692307692307693)</f>
        <v>19.69230769</v>
      </c>
      <c r="J47" s="46">
        <f>IFERROR(__xludf.DUMMYFUNCTION("""COMPUTED_VALUE"""),0.0)</f>
        <v>0</v>
      </c>
      <c r="K47" s="46">
        <f>IFERROR(__xludf.DUMMYFUNCTION("""COMPUTED_VALUE"""),49.0)</f>
        <v>49</v>
      </c>
      <c r="L47" s="46">
        <f>IFERROR(__xludf.DUMMYFUNCTION("""COMPUTED_VALUE"""),26.0)</f>
        <v>26</v>
      </c>
      <c r="M47" s="46">
        <f>IFERROR(__xludf.DUMMYFUNCTION("""COMPUTED_VALUE"""),2.6968532520000003E7)</f>
        <v>26968532.52</v>
      </c>
    </row>
    <row r="48">
      <c r="A48" s="46" t="str">
        <f>IFERROR(__xludf.DUMMYFUNCTION("""COMPUTED_VALUE"""),"Europe")</f>
        <v>Europe</v>
      </c>
      <c r="B48" s="46" t="str">
        <f>IFERROR(__xludf.DUMMYFUNCTION("""COMPUTED_VALUE"""),"Switzerland")</f>
        <v>Switzerland</v>
      </c>
      <c r="C48" s="46" t="str">
        <f>IFERROR(__xludf.DUMMYFUNCTION("""COMPUTED_VALUE"""),"Baby Food")</f>
        <v>Baby Food</v>
      </c>
      <c r="D48" s="46">
        <f>IFERROR(__xludf.DUMMYFUNCTION("""COMPUTED_VALUE"""),44.0)</f>
        <v>44</v>
      </c>
      <c r="E48" s="46">
        <f>IFERROR(__xludf.DUMMYFUNCTION("""COMPUTED_VALUE"""),1.28003442E8)</f>
        <v>128003442</v>
      </c>
      <c r="F48" s="84">
        <f>IFERROR(__xludf.DUMMYFUNCTION("""COMPUTED_VALUE"""),2021307.04)</f>
        <v>2021307.04</v>
      </c>
      <c r="H48" s="46" t="str">
        <f>IFERROR(__xludf.DUMMYFUNCTION("""COMPUTED_VALUE"""),"United Kingdom")</f>
        <v>United Kingdom</v>
      </c>
      <c r="I48" s="87">
        <f>IFERROR(__xludf.DUMMYFUNCTION("""COMPUTED_VALUE"""),18.391304347826086)</f>
        <v>18.39130435</v>
      </c>
      <c r="J48" s="46">
        <f>IFERROR(__xludf.DUMMYFUNCTION("""COMPUTED_VALUE"""),4.0)</f>
        <v>4</v>
      </c>
      <c r="K48" s="46">
        <f>IFERROR(__xludf.DUMMYFUNCTION("""COMPUTED_VALUE"""),46.0)</f>
        <v>46</v>
      </c>
      <c r="L48" s="46">
        <f>IFERROR(__xludf.DUMMYFUNCTION("""COMPUTED_VALUE"""),23.0)</f>
        <v>23</v>
      </c>
      <c r="M48" s="46">
        <f>IFERROR(__xludf.DUMMYFUNCTION("""COMPUTED_VALUE"""),2.6654989470000003E7)</f>
        <v>26654989.47</v>
      </c>
    </row>
    <row r="49">
      <c r="A49" s="46" t="str">
        <f>IFERROR(__xludf.DUMMYFUNCTION("""COMPUTED_VALUE"""),"Europe")</f>
        <v>Europe</v>
      </c>
      <c r="B49" s="46" t="str">
        <f>IFERROR(__xludf.DUMMYFUNCTION("""COMPUTED_VALUE"""),"Hungary")</f>
        <v>Hungary</v>
      </c>
      <c r="C49" s="46" t="str">
        <f>IFERROR(__xludf.DUMMYFUNCTION("""COMPUTED_VALUE"""),"Baby Food")</f>
        <v>Baby Food</v>
      </c>
      <c r="D49" s="46">
        <f>IFERROR(__xludf.DUMMYFUNCTION("""COMPUTED_VALUE"""),47.0)</f>
        <v>47</v>
      </c>
      <c r="E49" s="46">
        <f>IFERROR(__xludf.DUMMYFUNCTION("""COMPUTED_VALUE"""),1.28686225E8)</f>
        <v>128686225</v>
      </c>
      <c r="F49" s="84">
        <f>IFERROR(__xludf.DUMMYFUNCTION("""COMPUTED_VALUE"""),2544631.04)</f>
        <v>2544631.04</v>
      </c>
      <c r="H49" s="46" t="str">
        <f>IFERROR(__xludf.DUMMYFUNCTION("""COMPUTED_VALUE"""),"Croatia")</f>
        <v>Croatia</v>
      </c>
      <c r="I49" s="87">
        <f>IFERROR(__xludf.DUMMYFUNCTION("""COMPUTED_VALUE"""),18.22222222222222)</f>
        <v>18.22222222</v>
      </c>
      <c r="J49" s="46">
        <f>IFERROR(__xludf.DUMMYFUNCTION("""COMPUTED_VALUE"""),2.0)</f>
        <v>2</v>
      </c>
      <c r="K49" s="46">
        <f>IFERROR(__xludf.DUMMYFUNCTION("""COMPUTED_VALUE"""),45.0)</f>
        <v>45</v>
      </c>
      <c r="L49" s="46">
        <f>IFERROR(__xludf.DUMMYFUNCTION("""COMPUTED_VALUE"""),18.0)</f>
        <v>18</v>
      </c>
      <c r="M49" s="46">
        <f>IFERROR(__xludf.DUMMYFUNCTION("""COMPUTED_VALUE"""),2.7524405580000002E7)</f>
        <v>27524405.58</v>
      </c>
    </row>
    <row r="50">
      <c r="A50" s="46" t="str">
        <f>IFERROR(__xludf.DUMMYFUNCTION("""COMPUTED_VALUE"""),"Undefined")</f>
        <v>Undefined</v>
      </c>
      <c r="B50" s="46" t="str">
        <f>IFERROR(__xludf.DUMMYFUNCTION("""COMPUTED_VALUE"""),"Undefined")</f>
        <v>Undefined</v>
      </c>
      <c r="C50" s="46" t="str">
        <f>IFERROR(__xludf.DUMMYFUNCTION("""COMPUTED_VALUE"""),"Household")</f>
        <v>Household</v>
      </c>
      <c r="D50" s="46">
        <f>IFERROR(__xludf.DUMMYFUNCTION("""COMPUTED_VALUE"""),43.0)</f>
        <v>43</v>
      </c>
      <c r="E50" s="46">
        <f>IFERROR(__xludf.DUMMYFUNCTION("""COMPUTED_VALUE"""),1.28766906E8)</f>
        <v>128766906</v>
      </c>
      <c r="F50" s="84">
        <f>IFERROR(__xludf.DUMMYFUNCTION("""COMPUTED_VALUE"""),2568829.88)</f>
        <v>2568829.88</v>
      </c>
      <c r="I50" s="87"/>
    </row>
    <row r="51">
      <c r="A51" s="46" t="str">
        <f>IFERROR(__xludf.DUMMYFUNCTION("""COMPUTED_VALUE"""),"Europe")</f>
        <v>Europe</v>
      </c>
      <c r="B51" s="46" t="str">
        <f>IFERROR(__xludf.DUMMYFUNCTION("""COMPUTED_VALUE"""),"Latvia")</f>
        <v>Latvia</v>
      </c>
      <c r="C51" s="46" t="str">
        <f>IFERROR(__xludf.DUMMYFUNCTION("""COMPUTED_VALUE"""),"Office Supplies")</f>
        <v>Office Supplies</v>
      </c>
      <c r="D51" s="46">
        <f>IFERROR(__xludf.DUMMYFUNCTION("""COMPUTED_VALUE"""),4.0)</f>
        <v>4</v>
      </c>
      <c r="E51" s="46">
        <f>IFERROR(__xludf.DUMMYFUNCTION("""COMPUTED_VALUE"""),1.29127395E8)</f>
        <v>129127395</v>
      </c>
      <c r="F51" s="84">
        <f>IFERROR(__xludf.DUMMYFUNCTION("""COMPUTED_VALUE"""),338629.2)</f>
        <v>338629.2</v>
      </c>
      <c r="I51" s="87"/>
    </row>
    <row r="52">
      <c r="A52" s="46" t="str">
        <f>IFERROR(__xludf.DUMMYFUNCTION("""COMPUTED_VALUE"""),"Undefined")</f>
        <v>Undefined</v>
      </c>
      <c r="B52" s="46" t="str">
        <f>IFERROR(__xludf.DUMMYFUNCTION("""COMPUTED_VALUE"""),"Undefined")</f>
        <v>Undefined</v>
      </c>
      <c r="C52" s="46" t="str">
        <f>IFERROR(__xludf.DUMMYFUNCTION("""COMPUTED_VALUE"""),"Beverages")</f>
        <v>Beverages</v>
      </c>
      <c r="D52" s="46">
        <f>IFERROR(__xludf.DUMMYFUNCTION("""COMPUTED_VALUE"""),40.0)</f>
        <v>40</v>
      </c>
      <c r="E52" s="46">
        <f>IFERROR(__xludf.DUMMYFUNCTION("""COMPUTED_VALUE"""),1.29169023E8)</f>
        <v>129169023</v>
      </c>
      <c r="F52" s="84">
        <f>IFERROR(__xludf.DUMMYFUNCTION("""COMPUTED_VALUE"""),134710.55000000002)</f>
        <v>134710.55</v>
      </c>
      <c r="I52" s="87"/>
    </row>
    <row r="53">
      <c r="A53" s="46" t="str">
        <f>IFERROR(__xludf.DUMMYFUNCTION("""COMPUTED_VALUE"""),"Europe")</f>
        <v>Europe</v>
      </c>
      <c r="B53" s="46" t="str">
        <f>IFERROR(__xludf.DUMMYFUNCTION("""COMPUTED_VALUE"""),"Lithuania")</f>
        <v>Lithuania</v>
      </c>
      <c r="C53" s="46" t="str">
        <f>IFERROR(__xludf.DUMMYFUNCTION("""COMPUTED_VALUE"""),"Personal Care")</f>
        <v>Personal Care</v>
      </c>
      <c r="D53" s="46">
        <f>IFERROR(__xludf.DUMMYFUNCTION("""COMPUTED_VALUE"""),7.0)</f>
        <v>7</v>
      </c>
      <c r="E53" s="46">
        <f>IFERROR(__xludf.DUMMYFUNCTION("""COMPUTED_VALUE"""),1.29875409E8)</f>
        <v>129875409</v>
      </c>
      <c r="F53" s="84">
        <f>IFERROR(__xludf.DUMMYFUNCTION("""COMPUTED_VALUE"""),153243.75)</f>
        <v>153243.75</v>
      </c>
      <c r="I53" s="87"/>
    </row>
    <row r="54">
      <c r="A54" s="46" t="str">
        <f>IFERROR(__xludf.DUMMYFUNCTION("""COMPUTED_VALUE"""),"Europe")</f>
        <v>Europe</v>
      </c>
      <c r="B54" s="46" t="str">
        <f>IFERROR(__xludf.DUMMYFUNCTION("""COMPUTED_VALUE"""),"Bulgaria")</f>
        <v>Bulgaria</v>
      </c>
      <c r="C54" s="46" t="str">
        <f>IFERROR(__xludf.DUMMYFUNCTION("""COMPUTED_VALUE"""),"Household")</f>
        <v>Household</v>
      </c>
      <c r="D54" s="46">
        <f>IFERROR(__xludf.DUMMYFUNCTION("""COMPUTED_VALUE"""),34.0)</f>
        <v>34</v>
      </c>
      <c r="E54" s="46">
        <f>IFERROR(__xludf.DUMMYFUNCTION("""COMPUTED_VALUE"""),1.29902875E8)</f>
        <v>129902875</v>
      </c>
      <c r="F54" s="84">
        <f>IFERROR(__xludf.DUMMYFUNCTION("""COMPUTED_VALUE"""),1336.54)</f>
        <v>1336.54</v>
      </c>
      <c r="I54" s="87"/>
    </row>
    <row r="55">
      <c r="A55" s="46" t="str">
        <f>IFERROR(__xludf.DUMMYFUNCTION("""COMPUTED_VALUE"""),"Europe")</f>
        <v>Europe</v>
      </c>
      <c r="B55" s="46" t="str">
        <f>IFERROR(__xludf.DUMMYFUNCTION("""COMPUTED_VALUE"""),"Switzerland")</f>
        <v>Switzerland</v>
      </c>
      <c r="C55" s="46" t="str">
        <f>IFERROR(__xludf.DUMMYFUNCTION("""COMPUTED_VALUE"""),"Vegetables")</f>
        <v>Vegetables</v>
      </c>
      <c r="D55" s="46">
        <f>IFERROR(__xludf.DUMMYFUNCTION("""COMPUTED_VALUE"""),13.0)</f>
        <v>13</v>
      </c>
      <c r="E55" s="46">
        <f>IFERROR(__xludf.DUMMYFUNCTION("""COMPUTED_VALUE"""),1.30356919E8)</f>
        <v>130356919</v>
      </c>
      <c r="F55" s="84">
        <f>IFERROR(__xludf.DUMMYFUNCTION("""COMPUTED_VALUE"""),672317.84)</f>
        <v>672317.84</v>
      </c>
      <c r="I55" s="87"/>
    </row>
    <row r="56">
      <c r="A56" s="46" t="str">
        <f>IFERROR(__xludf.DUMMYFUNCTION("""COMPUTED_VALUE"""),"Europe")</f>
        <v>Europe</v>
      </c>
      <c r="B56" s="46" t="str">
        <f>IFERROR(__xludf.DUMMYFUNCTION("""COMPUTED_VALUE"""),"France")</f>
        <v>France</v>
      </c>
      <c r="C56" s="46" t="str">
        <f>IFERROR(__xludf.DUMMYFUNCTION("""COMPUTED_VALUE"""),"Office Supplies")</f>
        <v>Office Supplies</v>
      </c>
      <c r="D56" s="46">
        <f>IFERROR(__xludf.DUMMYFUNCTION("""COMPUTED_VALUE"""),6.0)</f>
        <v>6</v>
      </c>
      <c r="E56" s="46">
        <f>IFERROR(__xludf.DUMMYFUNCTION("""COMPUTED_VALUE"""),1.30754315E8)</f>
        <v>130754315</v>
      </c>
      <c r="F56" s="84">
        <f>IFERROR(__xludf.DUMMYFUNCTION("""COMPUTED_VALUE"""),1277674.02)</f>
        <v>1277674.02</v>
      </c>
      <c r="I56" s="87"/>
    </row>
    <row r="57">
      <c r="A57" s="46" t="str">
        <f>IFERROR(__xludf.DUMMYFUNCTION("""COMPUTED_VALUE"""),"Europe")</f>
        <v>Europe</v>
      </c>
      <c r="B57" s="46" t="str">
        <f>IFERROR(__xludf.DUMMYFUNCTION("""COMPUTED_VALUE"""),"France")</f>
        <v>France</v>
      </c>
      <c r="C57" s="46" t="str">
        <f>IFERROR(__xludf.DUMMYFUNCTION("""COMPUTED_VALUE"""),"Personal Care")</f>
        <v>Personal Care</v>
      </c>
      <c r="D57" s="46">
        <f>IFERROR(__xludf.DUMMYFUNCTION("""COMPUTED_VALUE"""),31.0)</f>
        <v>31</v>
      </c>
      <c r="E57" s="46">
        <f>IFERROR(__xludf.DUMMYFUNCTION("""COMPUTED_VALUE"""),1.31585586E8)</f>
        <v>131585586</v>
      </c>
      <c r="F57" s="84">
        <f>IFERROR(__xludf.DUMMYFUNCTION("""COMPUTED_VALUE"""),650080.42)</f>
        <v>650080.42</v>
      </c>
      <c r="I57" s="87"/>
    </row>
    <row r="58">
      <c r="A58" s="46" t="str">
        <f>IFERROR(__xludf.DUMMYFUNCTION("""COMPUTED_VALUE"""),"Europe")</f>
        <v>Europe</v>
      </c>
      <c r="B58" s="46" t="str">
        <f>IFERROR(__xludf.DUMMYFUNCTION("""COMPUTED_VALUE"""),"Austria")</f>
        <v>Austria</v>
      </c>
      <c r="C58" s="46" t="str">
        <f>IFERROR(__xludf.DUMMYFUNCTION("""COMPUTED_VALUE"""),"Personal Care")</f>
        <v>Personal Care</v>
      </c>
      <c r="D58" s="46">
        <f>IFERROR(__xludf.DUMMYFUNCTION("""COMPUTED_VALUE"""),11.0)</f>
        <v>11</v>
      </c>
      <c r="E58" s="46">
        <f>IFERROR(__xludf.DUMMYFUNCTION("""COMPUTED_VALUE"""),1.32069671E8)</f>
        <v>132069671</v>
      </c>
      <c r="F58" s="84">
        <f>IFERROR(__xludf.DUMMYFUNCTION("""COMPUTED_VALUE"""),98484.65000000001)</f>
        <v>98484.65</v>
      </c>
      <c r="I58" s="87"/>
    </row>
    <row r="59">
      <c r="A59" s="46" t="str">
        <f>IFERROR(__xludf.DUMMYFUNCTION("""COMPUTED_VALUE"""),"Europe")</f>
        <v>Europe</v>
      </c>
      <c r="B59" s="46" t="str">
        <f>IFERROR(__xludf.DUMMYFUNCTION("""COMPUTED_VALUE"""),"Hungary")</f>
        <v>Hungary</v>
      </c>
      <c r="C59" s="46" t="str">
        <f>IFERROR(__xludf.DUMMYFUNCTION("""COMPUTED_VALUE"""),"Cosmetics")</f>
        <v>Cosmetics</v>
      </c>
      <c r="D59" s="46">
        <f>IFERROR(__xludf.DUMMYFUNCTION("""COMPUTED_VALUE"""),47.0)</f>
        <v>47</v>
      </c>
      <c r="E59" s="46">
        <f>IFERROR(__xludf.DUMMYFUNCTION("""COMPUTED_VALUE"""),1.32603538E8)</f>
        <v>132603538</v>
      </c>
      <c r="F59" s="84">
        <f>IFERROR(__xludf.DUMMYFUNCTION("""COMPUTED_VALUE"""),4016993.6)</f>
        <v>4016993.6</v>
      </c>
      <c r="I59" s="87"/>
    </row>
    <row r="60">
      <c r="A60" s="46" t="str">
        <f>IFERROR(__xludf.DUMMYFUNCTION("""COMPUTED_VALUE"""),"Undefined")</f>
        <v>Undefined</v>
      </c>
      <c r="B60" s="46" t="str">
        <f>IFERROR(__xludf.DUMMYFUNCTION("""COMPUTED_VALUE"""),"Undefined")</f>
        <v>Undefined</v>
      </c>
      <c r="C60" s="46" t="str">
        <f>IFERROR(__xludf.DUMMYFUNCTION("""COMPUTED_VALUE"""),"Personal Care")</f>
        <v>Personal Care</v>
      </c>
      <c r="D60" s="46">
        <f>IFERROR(__xludf.DUMMYFUNCTION("""COMPUTED_VALUE"""),48.0)</f>
        <v>48</v>
      </c>
      <c r="E60" s="46">
        <f>IFERROR(__xludf.DUMMYFUNCTION("""COMPUTED_VALUE"""),1.3327645E8)</f>
        <v>133276450</v>
      </c>
      <c r="F60" s="84">
        <f>IFERROR(__xludf.DUMMYFUNCTION("""COMPUTED_VALUE"""),679830.14)</f>
        <v>679830.14</v>
      </c>
      <c r="I60" s="87"/>
    </row>
    <row r="61">
      <c r="A61" s="46" t="str">
        <f>IFERROR(__xludf.DUMMYFUNCTION("""COMPUTED_VALUE"""),"Europe")</f>
        <v>Europe</v>
      </c>
      <c r="B61" s="46" t="str">
        <f>IFERROR(__xludf.DUMMYFUNCTION("""COMPUTED_VALUE"""),"Estonia")</f>
        <v>Estonia</v>
      </c>
      <c r="C61" s="46" t="str">
        <f>IFERROR(__xludf.DUMMYFUNCTION("""COMPUTED_VALUE"""),"Vegetables")</f>
        <v>Vegetables</v>
      </c>
      <c r="D61" s="46">
        <f>IFERROR(__xludf.DUMMYFUNCTION("""COMPUTED_VALUE"""),39.0)</f>
        <v>39</v>
      </c>
      <c r="E61" s="46">
        <f>IFERROR(__xludf.DUMMYFUNCTION("""COMPUTED_VALUE"""),1.34121024E8)</f>
        <v>134121024</v>
      </c>
      <c r="F61" s="84">
        <f>IFERROR(__xludf.DUMMYFUNCTION("""COMPUTED_VALUE"""),1270378.76)</f>
        <v>1270378.76</v>
      </c>
      <c r="I61" s="87"/>
    </row>
    <row r="62">
      <c r="A62" s="46" t="str">
        <f>IFERROR(__xludf.DUMMYFUNCTION("""COMPUTED_VALUE"""),"Europe")</f>
        <v>Europe</v>
      </c>
      <c r="B62" s="46" t="str">
        <f>IFERROR(__xludf.DUMMYFUNCTION("""COMPUTED_VALUE"""),"Italy")</f>
        <v>Italy</v>
      </c>
      <c r="C62" s="46" t="str">
        <f>IFERROR(__xludf.DUMMYFUNCTION("""COMPUTED_VALUE"""),"Clothes")</f>
        <v>Clothes</v>
      </c>
      <c r="D62" s="46">
        <f>IFERROR(__xludf.DUMMYFUNCTION("""COMPUTED_VALUE"""),24.0)</f>
        <v>24</v>
      </c>
      <c r="E62" s="46">
        <f>IFERROR(__xludf.DUMMYFUNCTION("""COMPUTED_VALUE"""),1.34790503E8)</f>
        <v>134790503</v>
      </c>
      <c r="F62" s="84">
        <f>IFERROR(__xludf.DUMMYFUNCTION("""COMPUTED_VALUE"""),695020.8)</f>
        <v>695020.8</v>
      </c>
      <c r="I62" s="87"/>
    </row>
    <row r="63">
      <c r="A63" s="46" t="str">
        <f>IFERROR(__xludf.DUMMYFUNCTION("""COMPUTED_VALUE"""),"Europe")</f>
        <v>Europe</v>
      </c>
      <c r="B63" s="46" t="str">
        <f>IFERROR(__xludf.DUMMYFUNCTION("""COMPUTED_VALUE"""),"Latvia")</f>
        <v>Latvia</v>
      </c>
      <c r="C63" s="46" t="str">
        <f>IFERROR(__xludf.DUMMYFUNCTION("""COMPUTED_VALUE"""),"Beverages")</f>
        <v>Beverages</v>
      </c>
      <c r="D63" s="46">
        <f>IFERROR(__xludf.DUMMYFUNCTION("""COMPUTED_VALUE"""),17.0)</f>
        <v>17</v>
      </c>
      <c r="E63" s="46">
        <f>IFERROR(__xludf.DUMMYFUNCTION("""COMPUTED_VALUE"""),1.36624276E8)</f>
        <v>136624276</v>
      </c>
      <c r="F63" s="84">
        <f>IFERROR(__xludf.DUMMYFUNCTION("""COMPUTED_VALUE"""),427714.30000000005)</f>
        <v>427714.3</v>
      </c>
      <c r="I63" s="87"/>
    </row>
    <row r="64">
      <c r="A64" s="46" t="str">
        <f>IFERROR(__xludf.DUMMYFUNCTION("""COMPUTED_VALUE"""),"Europe")</f>
        <v>Europe</v>
      </c>
      <c r="B64" s="46" t="str">
        <f>IFERROR(__xludf.DUMMYFUNCTION("""COMPUTED_VALUE"""),"United Kingdom")</f>
        <v>United Kingdom</v>
      </c>
      <c r="C64" s="46" t="str">
        <f>IFERROR(__xludf.DUMMYFUNCTION("""COMPUTED_VALUE"""),"Snacks")</f>
        <v>Snacks</v>
      </c>
      <c r="D64" s="46">
        <f>IFERROR(__xludf.DUMMYFUNCTION("""COMPUTED_VALUE"""),21.0)</f>
        <v>21</v>
      </c>
      <c r="E64" s="46">
        <f>IFERROR(__xludf.DUMMYFUNCTION("""COMPUTED_VALUE"""),1.38025033E8)</f>
        <v>138025033</v>
      </c>
      <c r="F64" s="84">
        <f>IFERROR(__xludf.DUMMYFUNCTION("""COMPUTED_VALUE"""),538454.8200000001)</f>
        <v>538454.82</v>
      </c>
      <c r="I64" s="87"/>
    </row>
    <row r="65">
      <c r="A65" s="46" t="str">
        <f>IFERROR(__xludf.DUMMYFUNCTION("""COMPUTED_VALUE"""),"Europe")</f>
        <v>Europe</v>
      </c>
      <c r="B65" s="46" t="str">
        <f>IFERROR(__xludf.DUMMYFUNCTION("""COMPUTED_VALUE"""),"Netherlands")</f>
        <v>Netherlands</v>
      </c>
      <c r="C65" s="46" t="str">
        <f>IFERROR(__xludf.DUMMYFUNCTION("""COMPUTED_VALUE"""),"Office Supplies")</f>
        <v>Office Supplies</v>
      </c>
      <c r="D65" s="46">
        <f>IFERROR(__xludf.DUMMYFUNCTION("""COMPUTED_VALUE"""),7.0)</f>
        <v>7</v>
      </c>
      <c r="E65" s="46">
        <f>IFERROR(__xludf.DUMMYFUNCTION("""COMPUTED_VALUE"""),1.38182103E8)</f>
        <v>138182103</v>
      </c>
      <c r="F65" s="84">
        <f>IFERROR(__xludf.DUMMYFUNCTION("""COMPUTED_VALUE"""),6512.1)</f>
        <v>6512.1</v>
      </c>
      <c r="I65" s="87"/>
    </row>
    <row r="66">
      <c r="A66" s="46" t="str">
        <f>IFERROR(__xludf.DUMMYFUNCTION("""COMPUTED_VALUE"""),"Europe")</f>
        <v>Europe</v>
      </c>
      <c r="B66" s="46" t="str">
        <f>IFERROR(__xludf.DUMMYFUNCTION("""COMPUTED_VALUE"""),"Russia")</f>
        <v>Russia</v>
      </c>
      <c r="C66" s="46" t="str">
        <f>IFERROR(__xludf.DUMMYFUNCTION("""COMPUTED_VALUE"""),"Clothes")</f>
        <v>Clothes</v>
      </c>
      <c r="D66" s="46">
        <f>IFERROR(__xludf.DUMMYFUNCTION("""COMPUTED_VALUE"""),0.0)</f>
        <v>0</v>
      </c>
      <c r="E66" s="46">
        <f>IFERROR(__xludf.DUMMYFUNCTION("""COMPUTED_VALUE"""),1.38820683E8)</f>
        <v>138820683</v>
      </c>
      <c r="F66" s="84">
        <f>IFERROR(__xludf.DUMMYFUNCTION("""COMPUTED_VALUE"""),981334.4)</f>
        <v>981334.4</v>
      </c>
      <c r="I66" s="87"/>
    </row>
    <row r="67">
      <c r="A67" s="46" t="str">
        <f>IFERROR(__xludf.DUMMYFUNCTION("""COMPUTED_VALUE"""),"Europe")</f>
        <v>Europe</v>
      </c>
      <c r="B67" s="46" t="str">
        <f>IFERROR(__xludf.DUMMYFUNCTION("""COMPUTED_VALUE"""),"Ireland")</f>
        <v>Ireland</v>
      </c>
      <c r="C67" s="46" t="str">
        <f>IFERROR(__xludf.DUMMYFUNCTION("""COMPUTED_VALUE"""),"Cosmetics")</f>
        <v>Cosmetics</v>
      </c>
      <c r="D67" s="46">
        <f>IFERROR(__xludf.DUMMYFUNCTION("""COMPUTED_VALUE"""),10.0)</f>
        <v>10</v>
      </c>
      <c r="E67" s="46">
        <f>IFERROR(__xludf.DUMMYFUNCTION("""COMPUTED_VALUE"""),1.39201343E8)</f>
        <v>139201343</v>
      </c>
      <c r="F67" s="84">
        <f>IFERROR(__xludf.DUMMYFUNCTION("""COMPUTED_VALUE"""),710450.0)</f>
        <v>710450</v>
      </c>
      <c r="I67" s="87"/>
    </row>
    <row r="68">
      <c r="A68" s="46" t="str">
        <f>IFERROR(__xludf.DUMMYFUNCTION("""COMPUTED_VALUE"""),"Undefined")</f>
        <v>Undefined</v>
      </c>
      <c r="B68" s="46" t="str">
        <f>IFERROR(__xludf.DUMMYFUNCTION("""COMPUTED_VALUE"""),"Undefined")</f>
        <v>Undefined</v>
      </c>
      <c r="C68" s="46" t="str">
        <f>IFERROR(__xludf.DUMMYFUNCTION("""COMPUTED_VALUE"""),"Vegetables")</f>
        <v>Vegetables</v>
      </c>
      <c r="D68" s="46">
        <f>IFERROR(__xludf.DUMMYFUNCTION("""COMPUTED_VALUE"""),13.0)</f>
        <v>13</v>
      </c>
      <c r="E68" s="46">
        <f>IFERROR(__xludf.DUMMYFUNCTION("""COMPUTED_VALUE"""),1.39949357E8)</f>
        <v>139949357</v>
      </c>
      <c r="F68" s="84">
        <f>IFERROR(__xludf.DUMMYFUNCTION("""COMPUTED_VALUE"""),459098.8)</f>
        <v>459098.8</v>
      </c>
      <c r="I68" s="87"/>
    </row>
    <row r="69">
      <c r="A69" s="46" t="str">
        <f>IFERROR(__xludf.DUMMYFUNCTION("""COMPUTED_VALUE"""),"Europe")</f>
        <v>Europe</v>
      </c>
      <c r="B69" s="46" t="str">
        <f>IFERROR(__xludf.DUMMYFUNCTION("""COMPUTED_VALUE"""),"Ukraine")</f>
        <v>Ukraine</v>
      </c>
      <c r="C69" s="46" t="str">
        <f>IFERROR(__xludf.DUMMYFUNCTION("""COMPUTED_VALUE"""),"Cosmetics")</f>
        <v>Cosmetics</v>
      </c>
      <c r="D69" s="46">
        <f>IFERROR(__xludf.DUMMYFUNCTION("""COMPUTED_VALUE"""),12.0)</f>
        <v>12</v>
      </c>
      <c r="E69" s="46">
        <f>IFERROR(__xludf.DUMMYFUNCTION("""COMPUTED_VALUE"""),1.40461766E8)</f>
        <v>140461766</v>
      </c>
      <c r="F69" s="84">
        <f>IFERROR(__xludf.DUMMYFUNCTION("""COMPUTED_VALUE"""),2016803.5999999999)</f>
        <v>2016803.6</v>
      </c>
      <c r="I69" s="87"/>
    </row>
    <row r="70">
      <c r="A70" s="46" t="str">
        <f>IFERROR(__xludf.DUMMYFUNCTION("""COMPUTED_VALUE"""),"Europe")</f>
        <v>Europe</v>
      </c>
      <c r="B70" s="46" t="str">
        <f>IFERROR(__xludf.DUMMYFUNCTION("""COMPUTED_VALUE"""),"Latvia")</f>
        <v>Latvia</v>
      </c>
      <c r="C70" s="46" t="str">
        <f>IFERROR(__xludf.DUMMYFUNCTION("""COMPUTED_VALUE"""),"Personal Care")</f>
        <v>Personal Care</v>
      </c>
      <c r="D70" s="46">
        <f>IFERROR(__xludf.DUMMYFUNCTION("""COMPUTED_VALUE"""),32.0)</f>
        <v>32</v>
      </c>
      <c r="E70" s="46">
        <f>IFERROR(__xludf.DUMMYFUNCTION("""COMPUTED_VALUE"""),1.40499961E8)</f>
        <v>140499961</v>
      </c>
      <c r="F70" s="84">
        <f>IFERROR(__xludf.DUMMYFUNCTION("""COMPUTED_VALUE"""),483432.95)</f>
        <v>483432.95</v>
      </c>
      <c r="I70" s="87"/>
    </row>
    <row r="71">
      <c r="A71" s="46" t="str">
        <f>IFERROR(__xludf.DUMMYFUNCTION("""COMPUTED_VALUE"""),"Europe")</f>
        <v>Europe</v>
      </c>
      <c r="B71" s="46" t="str">
        <f>IFERROR(__xludf.DUMMYFUNCTION("""COMPUTED_VALUE"""),"Andorra")</f>
        <v>Andorra</v>
      </c>
      <c r="C71" s="46" t="str">
        <f>IFERROR(__xludf.DUMMYFUNCTION("""COMPUTED_VALUE"""),"Baby Food")</f>
        <v>Baby Food</v>
      </c>
      <c r="D71" s="46">
        <f>IFERROR(__xludf.DUMMYFUNCTION("""COMPUTED_VALUE"""),45.0)</f>
        <v>45</v>
      </c>
      <c r="E71" s="46">
        <f>IFERROR(__xludf.DUMMYFUNCTION("""COMPUTED_VALUE"""),1.41764247E8)</f>
        <v>141764247</v>
      </c>
      <c r="F71" s="84">
        <f>IFERROR(__xludf.DUMMYFUNCTION("""COMPUTED_VALUE"""),11742.88)</f>
        <v>11742.88</v>
      </c>
      <c r="I71" s="87"/>
    </row>
    <row r="72">
      <c r="A72" s="46" t="str">
        <f>IFERROR(__xludf.DUMMYFUNCTION("""COMPUTED_VALUE"""),"Asia")</f>
        <v>Asia</v>
      </c>
      <c r="B72" s="46" t="str">
        <f>IFERROR(__xludf.DUMMYFUNCTION("""COMPUTED_VALUE"""),"Georgia")</f>
        <v>Georgia</v>
      </c>
      <c r="C72" s="46" t="str">
        <f>IFERROR(__xludf.DUMMYFUNCTION("""COMPUTED_VALUE"""),"Clothes")</f>
        <v>Clothes</v>
      </c>
      <c r="D72" s="46">
        <f>IFERROR(__xludf.DUMMYFUNCTION("""COMPUTED_VALUE"""),29.0)</f>
        <v>29</v>
      </c>
      <c r="E72" s="46">
        <f>IFERROR(__xludf.DUMMYFUNCTION("""COMPUTED_VALUE"""),1.41846215E8)</f>
        <v>141846215</v>
      </c>
      <c r="F72" s="84">
        <f>IFERROR(__xludf.DUMMYFUNCTION("""COMPUTED_VALUE"""),470122.56)</f>
        <v>470122.56</v>
      </c>
      <c r="I72" s="87"/>
    </row>
    <row r="73">
      <c r="A73" s="46" t="str">
        <f>IFERROR(__xludf.DUMMYFUNCTION("""COMPUTED_VALUE"""),"Europe")</f>
        <v>Europe</v>
      </c>
      <c r="B73" s="46" t="str">
        <f>IFERROR(__xludf.DUMMYFUNCTION("""COMPUTED_VALUE"""),"Poland")</f>
        <v>Poland</v>
      </c>
      <c r="C73" s="46" t="str">
        <f>IFERROR(__xludf.DUMMYFUNCTION("""COMPUTED_VALUE"""),"Household")</f>
        <v>Household</v>
      </c>
      <c r="D73" s="46">
        <f>IFERROR(__xludf.DUMMYFUNCTION("""COMPUTED_VALUE"""),34.0)</f>
        <v>34</v>
      </c>
      <c r="E73" s="46">
        <f>IFERROR(__xludf.DUMMYFUNCTION("""COMPUTED_VALUE"""),1.41875827E8)</f>
        <v>141875827</v>
      </c>
      <c r="F73" s="84">
        <f>IFERROR(__xludf.DUMMYFUNCTION("""COMPUTED_VALUE"""),2048247.55)</f>
        <v>2048247.55</v>
      </c>
      <c r="I73" s="87"/>
    </row>
    <row r="74">
      <c r="A74" s="46" t="str">
        <f>IFERROR(__xludf.DUMMYFUNCTION("""COMPUTED_VALUE"""),"Europe")</f>
        <v>Europe</v>
      </c>
      <c r="B74" s="46" t="str">
        <f>IFERROR(__xludf.DUMMYFUNCTION("""COMPUTED_VALUE"""),"Liechtenstein")</f>
        <v>Liechtenstein</v>
      </c>
      <c r="C74" s="46" t="str">
        <f>IFERROR(__xludf.DUMMYFUNCTION("""COMPUTED_VALUE"""),"Fruits")</f>
        <v>Fruits</v>
      </c>
      <c r="D74" s="46">
        <f>IFERROR(__xludf.DUMMYFUNCTION("""COMPUTED_VALUE"""),11.0)</f>
        <v>11</v>
      </c>
      <c r="E74" s="46">
        <f>IFERROR(__xludf.DUMMYFUNCTION("""COMPUTED_VALUE"""),1.42375361E8)</f>
        <v>142375361</v>
      </c>
      <c r="F74" s="84">
        <f>IFERROR(__xludf.DUMMYFUNCTION("""COMPUTED_VALUE"""),8285.04)</f>
        <v>8285.04</v>
      </c>
      <c r="I74" s="87"/>
    </row>
    <row r="75">
      <c r="A75" s="46" t="str">
        <f>IFERROR(__xludf.DUMMYFUNCTION("""COMPUTED_VALUE"""),"Europe")</f>
        <v>Europe</v>
      </c>
      <c r="B75" s="46" t="str">
        <f>IFERROR(__xludf.DUMMYFUNCTION("""COMPUTED_VALUE"""),"Netherlands")</f>
        <v>Netherlands</v>
      </c>
      <c r="C75" s="46" t="str">
        <f>IFERROR(__xludf.DUMMYFUNCTION("""COMPUTED_VALUE"""),"Household")</f>
        <v>Household</v>
      </c>
      <c r="D75" s="46">
        <f>IFERROR(__xludf.DUMMYFUNCTION("""COMPUTED_VALUE"""),14.0)</f>
        <v>14</v>
      </c>
      <c r="E75" s="46">
        <f>IFERROR(__xludf.DUMMYFUNCTION("""COMPUTED_VALUE"""),1.42987763E8)</f>
        <v>142987763</v>
      </c>
      <c r="F75" s="84">
        <f>IFERROR(__xludf.DUMMYFUNCTION("""COMPUTED_VALUE"""),1411386.24)</f>
        <v>1411386.24</v>
      </c>
      <c r="I75" s="87"/>
    </row>
    <row r="76">
      <c r="A76" s="46" t="str">
        <f>IFERROR(__xludf.DUMMYFUNCTION("""COMPUTED_VALUE"""),"Europe")</f>
        <v>Europe</v>
      </c>
      <c r="B76" s="46" t="str">
        <f>IFERROR(__xludf.DUMMYFUNCTION("""COMPUTED_VALUE"""),"Ireland")</f>
        <v>Ireland</v>
      </c>
      <c r="C76" s="46" t="str">
        <f>IFERROR(__xludf.DUMMYFUNCTION("""COMPUTED_VALUE"""),"Household")</f>
        <v>Household</v>
      </c>
      <c r="D76" s="46">
        <f>IFERROR(__xludf.DUMMYFUNCTION("""COMPUTED_VALUE"""),13.0)</f>
        <v>13</v>
      </c>
      <c r="E76" s="46">
        <f>IFERROR(__xludf.DUMMYFUNCTION("""COMPUTED_VALUE"""),1.43414771E8)</f>
        <v>143414771</v>
      </c>
      <c r="F76" s="84">
        <f>IFERROR(__xludf.DUMMYFUNCTION("""COMPUTED_VALUE"""),5662251.71)</f>
        <v>5662251.71</v>
      </c>
      <c r="I76" s="87"/>
    </row>
    <row r="77">
      <c r="A77" s="46" t="str">
        <f>IFERROR(__xludf.DUMMYFUNCTION("""COMPUTED_VALUE"""),"Europe")</f>
        <v>Europe</v>
      </c>
      <c r="B77" s="46" t="str">
        <f>IFERROR(__xludf.DUMMYFUNCTION("""COMPUTED_VALUE"""),"Finland")</f>
        <v>Finland</v>
      </c>
      <c r="C77" s="46" t="str">
        <f>IFERROR(__xludf.DUMMYFUNCTION("""COMPUTED_VALUE"""),"Cereal")</f>
        <v>Cereal</v>
      </c>
      <c r="D77" s="46">
        <f>IFERROR(__xludf.DUMMYFUNCTION("""COMPUTED_VALUE"""),19.0)</f>
        <v>19</v>
      </c>
      <c r="E77" s="46">
        <f>IFERROR(__xludf.DUMMYFUNCTION("""COMPUTED_VALUE"""),1.44282948E8)</f>
        <v>144282948</v>
      </c>
      <c r="F77" s="84">
        <f>IFERROR(__xludf.DUMMYFUNCTION("""COMPUTED_VALUE"""),1107900.2)</f>
        <v>1107900.2</v>
      </c>
      <c r="I77" s="87"/>
    </row>
    <row r="78">
      <c r="A78" s="46" t="str">
        <f>IFERROR(__xludf.DUMMYFUNCTION("""COMPUTED_VALUE"""),"Europe")</f>
        <v>Europe</v>
      </c>
      <c r="B78" s="46" t="str">
        <f>IFERROR(__xludf.DUMMYFUNCTION("""COMPUTED_VALUE"""),"Slovenia")</f>
        <v>Slovenia</v>
      </c>
      <c r="C78" s="46" t="str">
        <f>IFERROR(__xludf.DUMMYFUNCTION("""COMPUTED_VALUE"""),"Baby Food")</f>
        <v>Baby Food</v>
      </c>
      <c r="D78" s="46">
        <f>IFERROR(__xludf.DUMMYFUNCTION("""COMPUTED_VALUE"""),40.0)</f>
        <v>40</v>
      </c>
      <c r="E78" s="46">
        <f>IFERROR(__xludf.DUMMYFUNCTION("""COMPUTED_VALUE"""),1.44743001E8)</f>
        <v>144743001</v>
      </c>
      <c r="F78" s="84">
        <f>IFERROR(__xludf.DUMMYFUNCTION("""COMPUTED_VALUE"""),389302.0)</f>
        <v>389302</v>
      </c>
      <c r="I78" s="87"/>
    </row>
    <row r="79">
      <c r="A79" s="46" t="str">
        <f>IFERROR(__xludf.DUMMYFUNCTION("""COMPUTED_VALUE"""),"Europe")</f>
        <v>Europe</v>
      </c>
      <c r="B79" s="46" t="str">
        <f>IFERROR(__xludf.DUMMYFUNCTION("""COMPUTED_VALUE"""),"Ireland")</f>
        <v>Ireland</v>
      </c>
      <c r="C79" s="46" t="str">
        <f>IFERROR(__xludf.DUMMYFUNCTION("""COMPUTED_VALUE"""),"Office Supplies")</f>
        <v>Office Supplies</v>
      </c>
      <c r="D79" s="46">
        <f>IFERROR(__xludf.DUMMYFUNCTION("""COMPUTED_VALUE"""),44.0)</f>
        <v>44</v>
      </c>
      <c r="E79" s="46">
        <f>IFERROR(__xludf.DUMMYFUNCTION("""COMPUTED_VALUE"""),1.44978606E8)</f>
        <v>144978606</v>
      </c>
      <c r="F79" s="84">
        <f>IFERROR(__xludf.DUMMYFUNCTION("""COMPUTED_VALUE"""),811407.66)</f>
        <v>811407.66</v>
      </c>
      <c r="I79" s="87"/>
    </row>
    <row r="80">
      <c r="A80" s="46" t="str">
        <f>IFERROR(__xludf.DUMMYFUNCTION("""COMPUTED_VALUE"""),"Europe")</f>
        <v>Europe</v>
      </c>
      <c r="B80" s="46" t="str">
        <f>IFERROR(__xludf.DUMMYFUNCTION("""COMPUTED_VALUE"""),"Lithuania")</f>
        <v>Lithuania</v>
      </c>
      <c r="C80" s="46" t="str">
        <f>IFERROR(__xludf.DUMMYFUNCTION("""COMPUTED_VALUE"""),"Vegetables")</f>
        <v>Vegetables</v>
      </c>
      <c r="D80" s="46">
        <f>IFERROR(__xludf.DUMMYFUNCTION("""COMPUTED_VALUE"""),43.0)</f>
        <v>43</v>
      </c>
      <c r="E80" s="46">
        <f>IFERROR(__xludf.DUMMYFUNCTION("""COMPUTED_VALUE"""),1.46349751E8)</f>
        <v>146349751</v>
      </c>
      <c r="F80" s="84">
        <f>IFERROR(__xludf.DUMMYFUNCTION("""COMPUTED_VALUE"""),1078265.94)</f>
        <v>1078265.94</v>
      </c>
      <c r="I80" s="87"/>
    </row>
    <row r="81">
      <c r="A81" s="46" t="str">
        <f>IFERROR(__xludf.DUMMYFUNCTION("""COMPUTED_VALUE"""),"Europe")</f>
        <v>Europe</v>
      </c>
      <c r="B81" s="46" t="str">
        <f>IFERROR(__xludf.DUMMYFUNCTION("""COMPUTED_VALUE"""),"Slovakia")</f>
        <v>Slovakia</v>
      </c>
      <c r="C81" s="46" t="str">
        <f>IFERROR(__xludf.DUMMYFUNCTION("""COMPUTED_VALUE"""),"Cosmetics")</f>
        <v>Cosmetics</v>
      </c>
      <c r="D81" s="46">
        <f>IFERROR(__xludf.DUMMYFUNCTION("""COMPUTED_VALUE"""),41.0)</f>
        <v>41</v>
      </c>
      <c r="E81" s="46">
        <f>IFERROR(__xludf.DUMMYFUNCTION("""COMPUTED_VALUE"""),1.46545875E8)</f>
        <v>146545875</v>
      </c>
      <c r="F81" s="84">
        <f>IFERROR(__xludf.DUMMYFUNCTION("""COMPUTED_VALUE"""),2201739.1999999997)</f>
        <v>2201739.2</v>
      </c>
      <c r="I81" s="87"/>
    </row>
    <row r="82">
      <c r="A82" s="46" t="str">
        <f>IFERROR(__xludf.DUMMYFUNCTION("""COMPUTED_VALUE"""),"Europe")</f>
        <v>Europe</v>
      </c>
      <c r="B82" s="46" t="str">
        <f>IFERROR(__xludf.DUMMYFUNCTION("""COMPUTED_VALUE"""),"Belgium")</f>
        <v>Belgium</v>
      </c>
      <c r="C82" s="46" t="str">
        <f>IFERROR(__xludf.DUMMYFUNCTION("""COMPUTED_VALUE"""),"Cosmetics")</f>
        <v>Cosmetics</v>
      </c>
      <c r="D82" s="46">
        <f>IFERROR(__xludf.DUMMYFUNCTION("""COMPUTED_VALUE"""),37.0)</f>
        <v>37</v>
      </c>
      <c r="E82" s="46">
        <f>IFERROR(__xludf.DUMMYFUNCTION("""COMPUTED_VALUE"""),1.47826898E8)</f>
        <v>147826898</v>
      </c>
      <c r="F82" s="84">
        <f>IFERROR(__xludf.DUMMYFUNCTION("""COMPUTED_VALUE"""),1800826.8)</f>
        <v>1800826.8</v>
      </c>
      <c r="I82" s="87"/>
    </row>
    <row r="83">
      <c r="A83" s="46" t="str">
        <f>IFERROR(__xludf.DUMMYFUNCTION("""COMPUTED_VALUE"""),"Europe")</f>
        <v>Europe</v>
      </c>
      <c r="B83" s="46" t="str">
        <f>IFERROR(__xludf.DUMMYFUNCTION("""COMPUTED_VALUE"""),"Poland")</f>
        <v>Poland</v>
      </c>
      <c r="C83" s="46" t="str">
        <f>IFERROR(__xludf.DUMMYFUNCTION("""COMPUTED_VALUE"""),"Office Supplies")</f>
        <v>Office Supplies</v>
      </c>
      <c r="D83" s="46">
        <f>IFERROR(__xludf.DUMMYFUNCTION("""COMPUTED_VALUE"""),6.0)</f>
        <v>6</v>
      </c>
      <c r="E83" s="46">
        <f>IFERROR(__xludf.DUMMYFUNCTION("""COMPUTED_VALUE"""),1.48894631E8)</f>
        <v>148894631</v>
      </c>
      <c r="F83" s="84">
        <f>IFERROR(__xludf.DUMMYFUNCTION("""COMPUTED_VALUE"""),55352.850000000006)</f>
        <v>55352.85</v>
      </c>
      <c r="I83" s="87"/>
    </row>
    <row r="84">
      <c r="A84" s="46" t="str">
        <f>IFERROR(__xludf.DUMMYFUNCTION("""COMPUTED_VALUE"""),"Europe")</f>
        <v>Europe</v>
      </c>
      <c r="B84" s="46" t="str">
        <f>IFERROR(__xludf.DUMMYFUNCTION("""COMPUTED_VALUE"""),"Norway")</f>
        <v>Norway</v>
      </c>
      <c r="C84" s="46" t="str">
        <f>IFERROR(__xludf.DUMMYFUNCTION("""COMPUTED_VALUE"""),"Household")</f>
        <v>Household</v>
      </c>
      <c r="D84" s="46">
        <f>IFERROR(__xludf.DUMMYFUNCTION("""COMPUTED_VALUE"""),30.0)</f>
        <v>30</v>
      </c>
      <c r="E84" s="46">
        <f>IFERROR(__xludf.DUMMYFUNCTION("""COMPUTED_VALUE"""),1.49274003E8)</f>
        <v>149274003</v>
      </c>
      <c r="F84" s="84">
        <f>IFERROR(__xludf.DUMMYFUNCTION("""COMPUTED_VALUE"""),1570434.5)</f>
        <v>1570434.5</v>
      </c>
      <c r="I84" s="87"/>
    </row>
    <row r="85">
      <c r="A85" s="46" t="str">
        <f>IFERROR(__xludf.DUMMYFUNCTION("""COMPUTED_VALUE"""),"Undefined")</f>
        <v>Undefined</v>
      </c>
      <c r="B85" s="46" t="str">
        <f>IFERROR(__xludf.DUMMYFUNCTION("""COMPUTED_VALUE"""),"Undefined")</f>
        <v>Undefined</v>
      </c>
      <c r="C85" s="46" t="str">
        <f>IFERROR(__xludf.DUMMYFUNCTION("""COMPUTED_VALUE"""),"Office Supplies")</f>
        <v>Office Supplies</v>
      </c>
      <c r="D85" s="46">
        <f>IFERROR(__xludf.DUMMYFUNCTION("""COMPUTED_VALUE"""),33.0)</f>
        <v>33</v>
      </c>
      <c r="E85" s="46">
        <f>IFERROR(__xludf.DUMMYFUNCTION("""COMPUTED_VALUE"""),1.50293242E8)</f>
        <v>150293242</v>
      </c>
      <c r="F85" s="84">
        <f>IFERROR(__xludf.DUMMYFUNCTION("""COMPUTED_VALUE"""),2582047.6500000004)</f>
        <v>2582047.65</v>
      </c>
      <c r="I85" s="87"/>
    </row>
    <row r="86">
      <c r="A86" s="46" t="str">
        <f>IFERROR(__xludf.DUMMYFUNCTION("""COMPUTED_VALUE"""),"Europe")</f>
        <v>Europe</v>
      </c>
      <c r="B86" s="46" t="str">
        <f>IFERROR(__xludf.DUMMYFUNCTION("""COMPUTED_VALUE"""),"Czech Republic")</f>
        <v>Czech Republic</v>
      </c>
      <c r="C86" s="46" t="str">
        <f>IFERROR(__xludf.DUMMYFUNCTION("""COMPUTED_VALUE"""),"Cosmetics")</f>
        <v>Cosmetics</v>
      </c>
      <c r="D86" s="46">
        <f>IFERROR(__xludf.DUMMYFUNCTION("""COMPUTED_VALUE"""),36.0)</f>
        <v>36</v>
      </c>
      <c r="E86" s="46">
        <f>IFERROR(__xludf.DUMMYFUNCTION("""COMPUTED_VALUE"""),1.51312482E8)</f>
        <v>151312482</v>
      </c>
      <c r="F86" s="84">
        <f>IFERROR(__xludf.DUMMYFUNCTION("""COMPUTED_VALUE"""),2440013.1999999997)</f>
        <v>2440013.2</v>
      </c>
      <c r="I86" s="87"/>
    </row>
    <row r="87">
      <c r="A87" s="46" t="str">
        <f>IFERROR(__xludf.DUMMYFUNCTION("""COMPUTED_VALUE"""),"Europe")</f>
        <v>Europe</v>
      </c>
      <c r="B87" s="46" t="str">
        <f>IFERROR(__xludf.DUMMYFUNCTION("""COMPUTED_VALUE"""),"Albania")</f>
        <v>Albania</v>
      </c>
      <c r="C87" s="46" t="str">
        <f>IFERROR(__xludf.DUMMYFUNCTION("""COMPUTED_VALUE"""),"Baby Food")</f>
        <v>Baby Food</v>
      </c>
      <c r="D87" s="46">
        <f>IFERROR(__xludf.DUMMYFUNCTION("""COMPUTED_VALUE"""),35.0)</f>
        <v>35</v>
      </c>
      <c r="E87" s="46">
        <f>IFERROR(__xludf.DUMMYFUNCTION("""COMPUTED_VALUE"""),1.52191388E8)</f>
        <v>152191388</v>
      </c>
      <c r="F87" s="84">
        <f>IFERROR(__xludf.DUMMYFUNCTION("""COMPUTED_VALUE"""),1447182.32)</f>
        <v>1447182.32</v>
      </c>
      <c r="I87" s="87"/>
    </row>
    <row r="88">
      <c r="A88" s="46" t="str">
        <f>IFERROR(__xludf.DUMMYFUNCTION("""COMPUTED_VALUE"""),"Europe")</f>
        <v>Europe</v>
      </c>
      <c r="B88" s="46" t="str">
        <f>IFERROR(__xludf.DUMMYFUNCTION("""COMPUTED_VALUE"""),"Sweden")</f>
        <v>Sweden</v>
      </c>
      <c r="C88" s="46" t="str">
        <f>IFERROR(__xludf.DUMMYFUNCTION("""COMPUTED_VALUE"""),"Meat")</f>
        <v>Meat</v>
      </c>
      <c r="D88" s="46">
        <f>IFERROR(__xludf.DUMMYFUNCTION("""COMPUTED_VALUE"""),48.0)</f>
        <v>48</v>
      </c>
      <c r="E88" s="46">
        <f>IFERROR(__xludf.DUMMYFUNCTION("""COMPUTED_VALUE"""),1.52411115E8)</f>
        <v>152411115</v>
      </c>
      <c r="F88" s="84">
        <f>IFERROR(__xludf.DUMMYFUNCTION("""COMPUTED_VALUE"""),291525.99)</f>
        <v>291525.99</v>
      </c>
      <c r="I88" s="87"/>
    </row>
    <row r="89">
      <c r="A89" s="46" t="str">
        <f>IFERROR(__xludf.DUMMYFUNCTION("""COMPUTED_VALUE"""),"Europe")</f>
        <v>Europe</v>
      </c>
      <c r="B89" s="46" t="str">
        <f>IFERROR(__xludf.DUMMYFUNCTION("""COMPUTED_VALUE"""),"San Marino")</f>
        <v>San Marino</v>
      </c>
      <c r="C89" s="46" t="str">
        <f>IFERROR(__xludf.DUMMYFUNCTION("""COMPUTED_VALUE"""),"Clothes")</f>
        <v>Clothes</v>
      </c>
      <c r="D89" s="46">
        <f>IFERROR(__xludf.DUMMYFUNCTION("""COMPUTED_VALUE"""),12.0)</f>
        <v>12</v>
      </c>
      <c r="E89" s="46">
        <f>IFERROR(__xludf.DUMMYFUNCTION("""COMPUTED_VALUE"""),1.52505099E8)</f>
        <v>152505099</v>
      </c>
      <c r="F89" s="84">
        <f>IFERROR(__xludf.DUMMYFUNCTION("""COMPUTED_VALUE"""),929207.84)</f>
        <v>929207.84</v>
      </c>
      <c r="I89" s="87"/>
    </row>
    <row r="90">
      <c r="A90" s="46" t="str">
        <f>IFERROR(__xludf.DUMMYFUNCTION("""COMPUTED_VALUE"""),"Europe")</f>
        <v>Europe</v>
      </c>
      <c r="B90" s="46" t="str">
        <f>IFERROR(__xludf.DUMMYFUNCTION("""COMPUTED_VALUE"""),"Bosnia and Herzegovina")</f>
        <v>Bosnia and Herzegovina</v>
      </c>
      <c r="C90" s="46" t="str">
        <f>IFERROR(__xludf.DUMMYFUNCTION("""COMPUTED_VALUE"""),"Office Supplies")</f>
        <v>Office Supplies</v>
      </c>
      <c r="D90" s="46">
        <f>IFERROR(__xludf.DUMMYFUNCTION("""COMPUTED_VALUE"""),6.0)</f>
        <v>6</v>
      </c>
      <c r="E90" s="46">
        <f>IFERROR(__xludf.DUMMYFUNCTION("""COMPUTED_VALUE"""),1.52746713E8)</f>
        <v>152746713</v>
      </c>
      <c r="F90" s="84">
        <f>IFERROR(__xludf.DUMMYFUNCTION("""COMPUTED_VALUE"""),1302.42)</f>
        <v>1302.42</v>
      </c>
      <c r="I90" s="87"/>
    </row>
    <row r="91">
      <c r="A91" s="46" t="str">
        <f>IFERROR(__xludf.DUMMYFUNCTION("""COMPUTED_VALUE"""),"Europe")</f>
        <v>Europe</v>
      </c>
      <c r="B91" s="46" t="str">
        <f>IFERROR(__xludf.DUMMYFUNCTION("""COMPUTED_VALUE"""),"Sweden")</f>
        <v>Sweden</v>
      </c>
      <c r="C91" s="46" t="str">
        <f>IFERROR(__xludf.DUMMYFUNCTION("""COMPUTED_VALUE"""),"Fruits")</f>
        <v>Fruits</v>
      </c>
      <c r="D91" s="46">
        <f>IFERROR(__xludf.DUMMYFUNCTION("""COMPUTED_VALUE"""),29.0)</f>
        <v>29</v>
      </c>
      <c r="E91" s="46">
        <f>IFERROR(__xludf.DUMMYFUNCTION("""COMPUTED_VALUE"""),1.5397495E8)</f>
        <v>153974950</v>
      </c>
      <c r="F91" s="84">
        <f>IFERROR(__xludf.DUMMYFUNCTION("""COMPUTED_VALUE"""),32319.12)</f>
        <v>32319.12</v>
      </c>
      <c r="I91" s="87"/>
    </row>
    <row r="92">
      <c r="A92" s="46" t="str">
        <f>IFERROR(__xludf.DUMMYFUNCTION("""COMPUTED_VALUE"""),"Europe")</f>
        <v>Europe</v>
      </c>
      <c r="B92" s="46" t="str">
        <f>IFERROR(__xludf.DUMMYFUNCTION("""COMPUTED_VALUE"""),"Slovenia")</f>
        <v>Slovenia</v>
      </c>
      <c r="C92" s="46" t="str">
        <f>IFERROR(__xludf.DUMMYFUNCTION("""COMPUTED_VALUE"""),"Cosmetics")</f>
        <v>Cosmetics</v>
      </c>
      <c r="D92" s="46">
        <f>IFERROR(__xludf.DUMMYFUNCTION("""COMPUTED_VALUE"""),8.0)</f>
        <v>8</v>
      </c>
      <c r="E92" s="46">
        <f>IFERROR(__xludf.DUMMYFUNCTION("""COMPUTED_VALUE"""),1.55086886E8)</f>
        <v>155086886</v>
      </c>
      <c r="F92" s="84">
        <f>IFERROR(__xludf.DUMMYFUNCTION("""COMPUTED_VALUE"""),1097809.2)</f>
        <v>1097809.2</v>
      </c>
      <c r="I92" s="87"/>
    </row>
    <row r="93">
      <c r="A93" s="46" t="str">
        <f>IFERROR(__xludf.DUMMYFUNCTION("""COMPUTED_VALUE"""),"Europe")</f>
        <v>Europe</v>
      </c>
      <c r="B93" s="46" t="str">
        <f>IFERROR(__xludf.DUMMYFUNCTION("""COMPUTED_VALUE"""),"Ireland")</f>
        <v>Ireland</v>
      </c>
      <c r="C93" s="46" t="str">
        <f>IFERROR(__xludf.DUMMYFUNCTION("""COMPUTED_VALUE"""),"Fruits")</f>
        <v>Fruits</v>
      </c>
      <c r="D93" s="46">
        <f>IFERROR(__xludf.DUMMYFUNCTION("""COMPUTED_VALUE"""),17.0)</f>
        <v>17</v>
      </c>
      <c r="E93" s="46">
        <f>IFERROR(__xludf.DUMMYFUNCTION("""COMPUTED_VALUE"""),1.55914723E8)</f>
        <v>155914723</v>
      </c>
      <c r="F93" s="84">
        <f>IFERROR(__xludf.DUMMYFUNCTION("""COMPUTED_VALUE"""),69844.38)</f>
        <v>69844.38</v>
      </c>
      <c r="I93" s="87"/>
    </row>
    <row r="94">
      <c r="A94" s="46" t="str">
        <f>IFERROR(__xludf.DUMMYFUNCTION("""COMPUTED_VALUE"""),"Europe")</f>
        <v>Europe</v>
      </c>
      <c r="B94" s="46" t="str">
        <f>IFERROR(__xludf.DUMMYFUNCTION("""COMPUTED_VALUE"""),"Lithuania")</f>
        <v>Lithuania</v>
      </c>
      <c r="C94" s="46" t="str">
        <f>IFERROR(__xludf.DUMMYFUNCTION("""COMPUTED_VALUE"""),"Clothes")</f>
        <v>Clothes</v>
      </c>
      <c r="D94" s="46">
        <f>IFERROR(__xludf.DUMMYFUNCTION("""COMPUTED_VALUE"""),40.0)</f>
        <v>40</v>
      </c>
      <c r="E94" s="46">
        <f>IFERROR(__xludf.DUMMYFUNCTION("""COMPUTED_VALUE"""),1.56158483E8)</f>
        <v>156158483</v>
      </c>
      <c r="F94" s="84">
        <f>IFERROR(__xludf.DUMMYFUNCTION("""COMPUTED_VALUE"""),1051273.6)</f>
        <v>1051273.6</v>
      </c>
      <c r="I94" s="87"/>
    </row>
    <row r="95">
      <c r="A95" s="46" t="str">
        <f>IFERROR(__xludf.DUMMYFUNCTION("""COMPUTED_VALUE"""),"Europe")</f>
        <v>Europe</v>
      </c>
      <c r="B95" s="46" t="str">
        <f>IFERROR(__xludf.DUMMYFUNCTION("""COMPUTED_VALUE"""),"Russia")</f>
        <v>Russia</v>
      </c>
      <c r="C95" s="46" t="str">
        <f>IFERROR(__xludf.DUMMYFUNCTION("""COMPUTED_VALUE"""),"Baby Food")</f>
        <v>Baby Food</v>
      </c>
      <c r="D95" s="46">
        <f>IFERROR(__xludf.DUMMYFUNCTION("""COMPUTED_VALUE"""),30.0)</f>
        <v>30</v>
      </c>
      <c r="E95" s="46">
        <f>IFERROR(__xludf.DUMMYFUNCTION("""COMPUTED_VALUE"""),1.58479773E8)</f>
        <v>158479773</v>
      </c>
      <c r="F95" s="84">
        <f>IFERROR(__xludf.DUMMYFUNCTION("""COMPUTED_VALUE"""),1670041.76)</f>
        <v>1670041.76</v>
      </c>
      <c r="I95" s="87"/>
    </row>
    <row r="96">
      <c r="A96" s="46" t="str">
        <f>IFERROR(__xludf.DUMMYFUNCTION("""COMPUTED_VALUE"""),"Europe")</f>
        <v>Europe</v>
      </c>
      <c r="B96" s="46" t="str">
        <f>IFERROR(__xludf.DUMMYFUNCTION("""COMPUTED_VALUE"""),"Germany")</f>
        <v>Germany</v>
      </c>
      <c r="C96" s="46" t="str">
        <f>IFERROR(__xludf.DUMMYFUNCTION("""COMPUTED_VALUE"""),"Snacks")</f>
        <v>Snacks</v>
      </c>
      <c r="D96" s="46">
        <f>IFERROR(__xludf.DUMMYFUNCTION("""COMPUTED_VALUE"""),49.0)</f>
        <v>49</v>
      </c>
      <c r="E96" s="46">
        <f>IFERROR(__xludf.DUMMYFUNCTION("""COMPUTED_VALUE"""),1.58673751E8)</f>
        <v>158673751</v>
      </c>
      <c r="F96" s="84">
        <f>IFERROR(__xludf.DUMMYFUNCTION("""COMPUTED_VALUE"""),601775.52)</f>
        <v>601775.52</v>
      </c>
      <c r="I96" s="87"/>
    </row>
    <row r="97">
      <c r="A97" s="46" t="str">
        <f>IFERROR(__xludf.DUMMYFUNCTION("""COMPUTED_VALUE"""),"Europe")</f>
        <v>Europe</v>
      </c>
      <c r="B97" s="46" t="str">
        <f>IFERROR(__xludf.DUMMYFUNCTION("""COMPUTED_VALUE"""),"Switzerland")</f>
        <v>Switzerland</v>
      </c>
      <c r="C97" s="46" t="str">
        <f>IFERROR(__xludf.DUMMYFUNCTION("""COMPUTED_VALUE"""),"Fruits")</f>
        <v>Fruits</v>
      </c>
      <c r="D97" s="46">
        <f>IFERROR(__xludf.DUMMYFUNCTION("""COMPUTED_VALUE"""),36.0)</f>
        <v>36</v>
      </c>
      <c r="E97" s="46">
        <f>IFERROR(__xludf.DUMMYFUNCTION("""COMPUTED_VALUE"""),1.59232509E8)</f>
        <v>159232509</v>
      </c>
      <c r="F97" s="84">
        <f>IFERROR(__xludf.DUMMYFUNCTION("""COMPUTED_VALUE"""),86703.69)</f>
        <v>86703.69</v>
      </c>
      <c r="I97" s="87"/>
    </row>
    <row r="98">
      <c r="A98" s="46" t="str">
        <f>IFERROR(__xludf.DUMMYFUNCTION("""COMPUTED_VALUE"""),"Undefined")</f>
        <v>Undefined</v>
      </c>
      <c r="B98" s="46" t="str">
        <f>IFERROR(__xludf.DUMMYFUNCTION("""COMPUTED_VALUE"""),"Undefined")</f>
        <v>Undefined</v>
      </c>
      <c r="C98" s="46" t="str">
        <f>IFERROR(__xludf.DUMMYFUNCTION("""COMPUTED_VALUE"""),"Meat")</f>
        <v>Meat</v>
      </c>
      <c r="D98" s="46">
        <f>IFERROR(__xludf.DUMMYFUNCTION("""COMPUTED_VALUE"""),28.0)</f>
        <v>28</v>
      </c>
      <c r="E98" s="46">
        <f>IFERROR(__xludf.DUMMYFUNCTION("""COMPUTED_VALUE"""),1.59805858E8)</f>
        <v>159805858</v>
      </c>
      <c r="F98" s="84">
        <f>IFERROR(__xludf.DUMMYFUNCTION("""COMPUTED_VALUE"""),3779712.51)</f>
        <v>3779712.51</v>
      </c>
      <c r="I98" s="87"/>
    </row>
    <row r="99">
      <c r="A99" s="46" t="str">
        <f>IFERROR(__xludf.DUMMYFUNCTION("""COMPUTED_VALUE"""),"Europe")</f>
        <v>Europe</v>
      </c>
      <c r="B99" s="46" t="str">
        <f>IFERROR(__xludf.DUMMYFUNCTION("""COMPUTED_VALUE"""),"Romania")</f>
        <v>Romania</v>
      </c>
      <c r="C99" s="46" t="str">
        <f>IFERROR(__xludf.DUMMYFUNCTION("""COMPUTED_VALUE"""),"Office Supplies")</f>
        <v>Office Supplies</v>
      </c>
      <c r="D99" s="46">
        <f>IFERROR(__xludf.DUMMYFUNCTION("""COMPUTED_VALUE"""),33.0)</f>
        <v>33</v>
      </c>
      <c r="E99" s="46">
        <f>IFERROR(__xludf.DUMMYFUNCTION("""COMPUTED_VALUE"""),1.60578763E8)</f>
        <v>160578763</v>
      </c>
      <c r="F99" s="84">
        <f>IFERROR(__xludf.DUMMYFUNCTION("""COMPUTED_VALUE"""),5000641.59)</f>
        <v>5000641.59</v>
      </c>
      <c r="I99" s="87"/>
    </row>
    <row r="100">
      <c r="A100" s="46" t="str">
        <f>IFERROR(__xludf.DUMMYFUNCTION("""COMPUTED_VALUE"""),"Europe")</f>
        <v>Europe</v>
      </c>
      <c r="B100" s="46" t="str">
        <f>IFERROR(__xludf.DUMMYFUNCTION("""COMPUTED_VALUE"""),"Latvia")</f>
        <v>Latvia</v>
      </c>
      <c r="C100" s="46" t="str">
        <f>IFERROR(__xludf.DUMMYFUNCTION("""COMPUTED_VALUE"""),"Personal Care")</f>
        <v>Personal Care</v>
      </c>
      <c r="D100" s="46">
        <f>IFERROR(__xludf.DUMMYFUNCTION("""COMPUTED_VALUE"""),15.0)</f>
        <v>15</v>
      </c>
      <c r="E100" s="46">
        <f>IFERROR(__xludf.DUMMYFUNCTION("""COMPUTED_VALUE"""),1.60751283E8)</f>
        <v>160751283</v>
      </c>
      <c r="F100" s="84">
        <f>IFERROR(__xludf.DUMMYFUNCTION("""COMPUTED_VALUE"""),713666.36)</f>
        <v>713666.36</v>
      </c>
      <c r="I100" s="87"/>
    </row>
    <row r="101">
      <c r="A101" s="46" t="str">
        <f>IFERROR(__xludf.DUMMYFUNCTION("""COMPUTED_VALUE"""),"Europe")</f>
        <v>Europe</v>
      </c>
      <c r="B101" s="46" t="str">
        <f>IFERROR(__xludf.DUMMYFUNCTION("""COMPUTED_VALUE"""),"Slovakia")</f>
        <v>Slovakia</v>
      </c>
      <c r="C101" s="46" t="str">
        <f>IFERROR(__xludf.DUMMYFUNCTION("""COMPUTED_VALUE"""),"Cosmetics")</f>
        <v>Cosmetics</v>
      </c>
      <c r="D101" s="46">
        <f>IFERROR(__xludf.DUMMYFUNCTION("""COMPUTED_VALUE"""),14.0)</f>
        <v>14</v>
      </c>
      <c r="E101" s="46">
        <f>IFERROR(__xludf.DUMMYFUNCTION("""COMPUTED_VALUE"""),1.61399304E8)</f>
        <v>161399304</v>
      </c>
      <c r="F101" s="84">
        <f>IFERROR(__xludf.DUMMYFUNCTION("""COMPUTED_VALUE"""),216851.19999999998)</f>
        <v>216851.2</v>
      </c>
      <c r="I101" s="87"/>
    </row>
    <row r="102">
      <c r="A102" s="46" t="str">
        <f>IFERROR(__xludf.DUMMYFUNCTION("""COMPUTED_VALUE"""),"Europe")</f>
        <v>Europe</v>
      </c>
      <c r="B102" s="46" t="str">
        <f>IFERROR(__xludf.DUMMYFUNCTION("""COMPUTED_VALUE"""),"Romania")</f>
        <v>Romania</v>
      </c>
      <c r="C102" s="46" t="str">
        <f>IFERROR(__xludf.DUMMYFUNCTION("""COMPUTED_VALUE"""),"Meat")</f>
        <v>Meat</v>
      </c>
      <c r="D102" s="46">
        <f>IFERROR(__xludf.DUMMYFUNCTION("""COMPUTED_VALUE"""),42.0)</f>
        <v>42</v>
      </c>
      <c r="E102" s="46">
        <f>IFERROR(__xludf.DUMMYFUNCTION("""COMPUTED_VALUE"""),1.61607444E8)</f>
        <v>161607444</v>
      </c>
      <c r="F102" s="84">
        <f>IFERROR(__xludf.DUMMYFUNCTION("""COMPUTED_VALUE"""),881328.21)</f>
        <v>881328.21</v>
      </c>
      <c r="I102" s="87"/>
    </row>
    <row r="103">
      <c r="A103" s="46" t="str">
        <f>IFERROR(__xludf.DUMMYFUNCTION("""COMPUTED_VALUE"""),"Europe")</f>
        <v>Europe</v>
      </c>
      <c r="B103" s="46" t="str">
        <f>IFERROR(__xludf.DUMMYFUNCTION("""COMPUTED_VALUE"""),"Denmark")</f>
        <v>Denmark</v>
      </c>
      <c r="C103" s="46" t="str">
        <f>IFERROR(__xludf.DUMMYFUNCTION("""COMPUTED_VALUE"""),"Clothes")</f>
        <v>Clothes</v>
      </c>
      <c r="D103" s="46">
        <f>IFERROR(__xludf.DUMMYFUNCTION("""COMPUTED_VALUE"""),3.0)</f>
        <v>3</v>
      </c>
      <c r="E103" s="46">
        <f>IFERROR(__xludf.DUMMYFUNCTION("""COMPUTED_VALUE"""),1.6181215E8)</f>
        <v>161812150</v>
      </c>
      <c r="F103" s="84">
        <f>IFERROR(__xludf.DUMMYFUNCTION("""COMPUTED_VALUE"""),291340.48)</f>
        <v>291340.48</v>
      </c>
      <c r="I103" s="87"/>
    </row>
    <row r="104">
      <c r="A104" s="46" t="str">
        <f>IFERROR(__xludf.DUMMYFUNCTION("""COMPUTED_VALUE"""),"Europe")</f>
        <v>Europe</v>
      </c>
      <c r="B104" s="46" t="str">
        <f>IFERROR(__xludf.DUMMYFUNCTION("""COMPUTED_VALUE"""),"Russia")</f>
        <v>Russia</v>
      </c>
      <c r="C104" s="46" t="str">
        <f>IFERROR(__xludf.DUMMYFUNCTION("""COMPUTED_VALUE"""),"Beverages")</f>
        <v>Beverages</v>
      </c>
      <c r="D104" s="46">
        <f>IFERROR(__xludf.DUMMYFUNCTION("""COMPUTED_VALUE"""),50.0)</f>
        <v>50</v>
      </c>
      <c r="E104" s="46">
        <f>IFERROR(__xludf.DUMMYFUNCTION("""COMPUTED_VALUE"""),1.62791907E8)</f>
        <v>162791907</v>
      </c>
      <c r="F104" s="84">
        <f>IFERROR(__xludf.DUMMYFUNCTION("""COMPUTED_VALUE"""),123275.1)</f>
        <v>123275.1</v>
      </c>
      <c r="I104" s="87"/>
    </row>
    <row r="105">
      <c r="A105" s="46" t="str">
        <f>IFERROR(__xludf.DUMMYFUNCTION("""COMPUTED_VALUE"""),"Europe")</f>
        <v>Europe</v>
      </c>
      <c r="B105" s="46" t="str">
        <f>IFERROR(__xludf.DUMMYFUNCTION("""COMPUTED_VALUE"""),"Macedonia")</f>
        <v>Macedonia</v>
      </c>
      <c r="C105" s="46" t="str">
        <f>IFERROR(__xludf.DUMMYFUNCTION("""COMPUTED_VALUE"""),"Snacks")</f>
        <v>Snacks</v>
      </c>
      <c r="D105" s="46">
        <f>IFERROR(__xludf.DUMMYFUNCTION("""COMPUTED_VALUE"""),28.0)</f>
        <v>28</v>
      </c>
      <c r="E105" s="46">
        <f>IFERROR(__xludf.DUMMYFUNCTION("""COMPUTED_VALUE"""),1.63587558E8)</f>
        <v>163587558</v>
      </c>
      <c r="F105" s="84">
        <f>IFERROR(__xludf.DUMMYFUNCTION("""COMPUTED_VALUE"""),1227963.84)</f>
        <v>1227963.84</v>
      </c>
      <c r="I105" s="87"/>
    </row>
    <row r="106">
      <c r="A106" s="46" t="str">
        <f>IFERROR(__xludf.DUMMYFUNCTION("""COMPUTED_VALUE"""),"Europe")</f>
        <v>Europe</v>
      </c>
      <c r="B106" s="46" t="str">
        <f>IFERROR(__xludf.DUMMYFUNCTION("""COMPUTED_VALUE"""),"Finland")</f>
        <v>Finland</v>
      </c>
      <c r="C106" s="46" t="str">
        <f>IFERROR(__xludf.DUMMYFUNCTION("""COMPUTED_VALUE"""),"Office Supplies")</f>
        <v>Office Supplies</v>
      </c>
      <c r="D106" s="46">
        <f>IFERROR(__xludf.DUMMYFUNCTION("""COMPUTED_VALUE"""),14.0)</f>
        <v>14</v>
      </c>
      <c r="E106" s="46">
        <f>IFERROR(__xludf.DUMMYFUNCTION("""COMPUTED_VALUE"""),1.63744628E8)</f>
        <v>163744628</v>
      </c>
      <c r="F106" s="84">
        <f>IFERROR(__xludf.DUMMYFUNCTION("""COMPUTED_VALUE"""),2949330.0900000003)</f>
        <v>2949330.09</v>
      </c>
      <c r="I106" s="87"/>
    </row>
    <row r="107">
      <c r="A107" s="46" t="str">
        <f>IFERROR(__xludf.DUMMYFUNCTION("""COMPUTED_VALUE"""),"Europe")</f>
        <v>Europe</v>
      </c>
      <c r="B107" s="46" t="str">
        <f>IFERROR(__xludf.DUMMYFUNCTION("""COMPUTED_VALUE"""),"Belgium")</f>
        <v>Belgium</v>
      </c>
      <c r="C107" s="46" t="str">
        <f>IFERROR(__xludf.DUMMYFUNCTION("""COMPUTED_VALUE"""),"Meat")</f>
        <v>Meat</v>
      </c>
      <c r="D107" s="46">
        <f>IFERROR(__xludf.DUMMYFUNCTION("""COMPUTED_VALUE"""),38.0)</f>
        <v>38</v>
      </c>
      <c r="E107" s="46">
        <f>IFERROR(__xludf.DUMMYFUNCTION("""COMPUTED_VALUE"""),1.64259612E8)</f>
        <v>164259612</v>
      </c>
      <c r="F107" s="84">
        <f>IFERROR(__xludf.DUMMYFUNCTION("""COMPUTED_VALUE"""),2921166.36)</f>
        <v>2921166.36</v>
      </c>
      <c r="I107" s="87"/>
    </row>
    <row r="108">
      <c r="A108" s="46" t="str">
        <f>IFERROR(__xludf.DUMMYFUNCTION("""COMPUTED_VALUE"""),"Europe")</f>
        <v>Europe</v>
      </c>
      <c r="B108" s="46" t="str">
        <f>IFERROR(__xludf.DUMMYFUNCTION("""COMPUTED_VALUE"""),"Bosnia and Herzegovina")</f>
        <v>Bosnia and Herzegovina</v>
      </c>
      <c r="C108" s="46" t="str">
        <f>IFERROR(__xludf.DUMMYFUNCTION("""COMPUTED_VALUE"""),"Clothes")</f>
        <v>Clothes</v>
      </c>
      <c r="D108" s="46">
        <f>IFERROR(__xludf.DUMMYFUNCTION("""COMPUTED_VALUE"""),42.0)</f>
        <v>42</v>
      </c>
      <c r="E108" s="46">
        <f>IFERROR(__xludf.DUMMYFUNCTION("""COMPUTED_VALUE"""),1.668105E8)</f>
        <v>166810500</v>
      </c>
      <c r="F108" s="84">
        <f>IFERROR(__xludf.DUMMYFUNCTION("""COMPUTED_VALUE"""),195501.92)</f>
        <v>195501.92</v>
      </c>
      <c r="I108" s="87"/>
    </row>
    <row r="109">
      <c r="A109" s="46" t="str">
        <f>IFERROR(__xludf.DUMMYFUNCTION("""COMPUTED_VALUE"""),"Europe")</f>
        <v>Europe</v>
      </c>
      <c r="B109" s="46" t="str">
        <f>IFERROR(__xludf.DUMMYFUNCTION("""COMPUTED_VALUE"""),"Slovakia")</f>
        <v>Slovakia</v>
      </c>
      <c r="C109" s="46" t="str">
        <f>IFERROR(__xludf.DUMMYFUNCTION("""COMPUTED_VALUE"""),"Office Supplies")</f>
        <v>Office Supplies</v>
      </c>
      <c r="D109" s="46">
        <f>IFERROR(__xludf.DUMMYFUNCTION("""COMPUTED_VALUE"""),19.0)</f>
        <v>19</v>
      </c>
      <c r="E109" s="46">
        <f>IFERROR(__xludf.DUMMYFUNCTION("""COMPUTED_VALUE"""),1.68319404E8)</f>
        <v>168319404</v>
      </c>
      <c r="F109" s="84">
        <f>IFERROR(__xludf.DUMMYFUNCTION("""COMPUTED_VALUE"""),5409601.470000001)</f>
        <v>5409601.47</v>
      </c>
      <c r="I109" s="87"/>
    </row>
    <row r="110">
      <c r="A110" s="46" t="str">
        <f>IFERROR(__xludf.DUMMYFUNCTION("""COMPUTED_VALUE"""),"Undefined")</f>
        <v>Undefined</v>
      </c>
      <c r="B110" s="46" t="str">
        <f>IFERROR(__xludf.DUMMYFUNCTION("""COMPUTED_VALUE"""),"Undefined")</f>
        <v>Undefined</v>
      </c>
      <c r="C110" s="46" t="str">
        <f>IFERROR(__xludf.DUMMYFUNCTION("""COMPUTED_VALUE"""),"Office Supplies")</f>
        <v>Office Supplies</v>
      </c>
      <c r="D110" s="46">
        <f>IFERROR(__xludf.DUMMYFUNCTION("""COMPUTED_VALUE"""),49.0)</f>
        <v>49</v>
      </c>
      <c r="E110" s="46">
        <f>IFERROR(__xludf.DUMMYFUNCTION("""COMPUTED_VALUE"""),1.68487203E8)</f>
        <v>168487203</v>
      </c>
      <c r="F110" s="84">
        <f>IFERROR(__xludf.DUMMYFUNCTION("""COMPUTED_VALUE"""),5184934.0200000005)</f>
        <v>5184934.02</v>
      </c>
      <c r="I110" s="87"/>
    </row>
    <row r="111">
      <c r="A111" s="46" t="str">
        <f>IFERROR(__xludf.DUMMYFUNCTION("""COMPUTED_VALUE"""),"Asia")</f>
        <v>Asia</v>
      </c>
      <c r="B111" s="46" t="str">
        <f>IFERROR(__xludf.DUMMYFUNCTION("""COMPUTED_VALUE"""),"Georgia")</f>
        <v>Georgia</v>
      </c>
      <c r="C111" s="46" t="str">
        <f>IFERROR(__xludf.DUMMYFUNCTION("""COMPUTED_VALUE"""),"Baby Food")</f>
        <v>Baby Food</v>
      </c>
      <c r="D111" s="46">
        <f>IFERROR(__xludf.DUMMYFUNCTION("""COMPUTED_VALUE"""),36.0)</f>
        <v>36</v>
      </c>
      <c r="E111" s="46">
        <f>IFERROR(__xludf.DUMMYFUNCTION("""COMPUTED_VALUE"""),1.68960559E8)</f>
        <v>168960559</v>
      </c>
      <c r="F111" s="84">
        <f>IFERROR(__xludf.DUMMYFUNCTION("""COMPUTED_VALUE"""),2052195.92)</f>
        <v>2052195.92</v>
      </c>
      <c r="I111" s="87"/>
    </row>
    <row r="112">
      <c r="A112" s="46" t="str">
        <f>IFERROR(__xludf.DUMMYFUNCTION("""COMPUTED_VALUE"""),"Europe")</f>
        <v>Europe</v>
      </c>
      <c r="B112" s="46" t="str">
        <f>IFERROR(__xludf.DUMMYFUNCTION("""COMPUTED_VALUE"""),"San Marino")</f>
        <v>San Marino</v>
      </c>
      <c r="C112" s="46" t="str">
        <f>IFERROR(__xludf.DUMMYFUNCTION("""COMPUTED_VALUE"""),"Meat")</f>
        <v>Meat</v>
      </c>
      <c r="D112" s="46">
        <f>IFERROR(__xludf.DUMMYFUNCTION("""COMPUTED_VALUE"""),49.0)</f>
        <v>49</v>
      </c>
      <c r="E112" s="46">
        <f>IFERROR(__xludf.DUMMYFUNCTION("""COMPUTED_VALUE"""),1.68979442E8)</f>
        <v>168979442</v>
      </c>
      <c r="F112" s="84">
        <f>IFERROR(__xludf.DUMMYFUNCTION("""COMPUTED_VALUE"""),1530195.03)</f>
        <v>1530195.03</v>
      </c>
      <c r="I112" s="87"/>
    </row>
    <row r="113">
      <c r="A113" s="46" t="str">
        <f>IFERROR(__xludf.DUMMYFUNCTION("""COMPUTED_VALUE"""),"Europe")</f>
        <v>Europe</v>
      </c>
      <c r="B113" s="46" t="str">
        <f>IFERROR(__xludf.DUMMYFUNCTION("""COMPUTED_VALUE"""),"Switzerland")</f>
        <v>Switzerland</v>
      </c>
      <c r="C113" s="46" t="str">
        <f>IFERROR(__xludf.DUMMYFUNCTION("""COMPUTED_VALUE"""),"Meat")</f>
        <v>Meat</v>
      </c>
      <c r="D113" s="46">
        <f>IFERROR(__xludf.DUMMYFUNCTION("""COMPUTED_VALUE"""),20.0)</f>
        <v>20</v>
      </c>
      <c r="E113" s="46">
        <f>IFERROR(__xludf.DUMMYFUNCTION("""COMPUTED_VALUE"""),1.69378983E8)</f>
        <v>169378983</v>
      </c>
      <c r="F113" s="84">
        <f>IFERROR(__xludf.DUMMYFUNCTION("""COMPUTED_VALUE"""),784715.4)</f>
        <v>784715.4</v>
      </c>
      <c r="I113" s="87"/>
    </row>
    <row r="114">
      <c r="A114" s="46" t="str">
        <f>IFERROR(__xludf.DUMMYFUNCTION("""COMPUTED_VALUE"""),"Europe")</f>
        <v>Europe</v>
      </c>
      <c r="B114" s="46" t="str">
        <f>IFERROR(__xludf.DUMMYFUNCTION("""COMPUTED_VALUE"""),"Slovenia")</f>
        <v>Slovenia</v>
      </c>
      <c r="C114" s="46" t="str">
        <f>IFERROR(__xludf.DUMMYFUNCTION("""COMPUTED_VALUE"""),"Fruits")</f>
        <v>Fruits</v>
      </c>
      <c r="D114" s="46">
        <f>IFERROR(__xludf.DUMMYFUNCTION("""COMPUTED_VALUE"""),29.0)</f>
        <v>29</v>
      </c>
      <c r="E114" s="46">
        <f>IFERROR(__xludf.DUMMYFUNCTION("""COMPUTED_VALUE"""),1.69799983E8)</f>
        <v>169799983</v>
      </c>
      <c r="F114" s="84">
        <f>IFERROR(__xludf.DUMMYFUNCTION("""COMPUTED_VALUE"""),60113.19)</f>
        <v>60113.19</v>
      </c>
      <c r="I114" s="87"/>
    </row>
    <row r="115">
      <c r="A115" s="46" t="str">
        <f>IFERROR(__xludf.DUMMYFUNCTION("""COMPUTED_VALUE"""),"Europe")</f>
        <v>Europe</v>
      </c>
      <c r="B115" s="46" t="str">
        <f>IFERROR(__xludf.DUMMYFUNCTION("""COMPUTED_VALUE"""),"Belarus")</f>
        <v>Belarus</v>
      </c>
      <c r="C115" s="46" t="str">
        <f>IFERROR(__xludf.DUMMYFUNCTION("""COMPUTED_VALUE"""),"Clothes")</f>
        <v>Clothes</v>
      </c>
      <c r="D115" s="46">
        <f>IFERROR(__xludf.DUMMYFUNCTION("""COMPUTED_VALUE"""),47.0)</f>
        <v>47</v>
      </c>
      <c r="E115" s="46">
        <f>IFERROR(__xludf.DUMMYFUNCTION("""COMPUTED_VALUE"""),1.73122918E8)</f>
        <v>173122918</v>
      </c>
      <c r="F115" s="84">
        <f>IFERROR(__xludf.DUMMYFUNCTION("""COMPUTED_VALUE"""),1067993.44)</f>
        <v>1067993.44</v>
      </c>
      <c r="I115" s="87"/>
    </row>
    <row r="116">
      <c r="A116" s="46" t="str">
        <f>IFERROR(__xludf.DUMMYFUNCTION("""COMPUTED_VALUE"""),"Europe")</f>
        <v>Europe</v>
      </c>
      <c r="B116" s="46" t="str">
        <f>IFERROR(__xludf.DUMMYFUNCTION("""COMPUTED_VALUE"""),"Germany")</f>
        <v>Germany</v>
      </c>
      <c r="C116" s="46" t="str">
        <f>IFERROR(__xludf.DUMMYFUNCTION("""COMPUTED_VALUE"""),"Cereal")</f>
        <v>Cereal</v>
      </c>
      <c r="D116" s="46">
        <f>IFERROR(__xludf.DUMMYFUNCTION("""COMPUTED_VALUE"""),44.0)</f>
        <v>44</v>
      </c>
      <c r="E116" s="46">
        <f>IFERROR(__xludf.DUMMYFUNCTION("""COMPUTED_VALUE"""),1.74218118E8)</f>
        <v>174218118</v>
      </c>
      <c r="F116" s="84">
        <f>IFERROR(__xludf.DUMMYFUNCTION("""COMPUTED_VALUE"""),795441.8999999999)</f>
        <v>795441.9</v>
      </c>
      <c r="I116" s="87"/>
    </row>
    <row r="117">
      <c r="A117" s="46" t="str">
        <f>IFERROR(__xludf.DUMMYFUNCTION("""COMPUTED_VALUE"""),"Europe")</f>
        <v>Europe</v>
      </c>
      <c r="B117" s="46" t="str">
        <f>IFERROR(__xludf.DUMMYFUNCTION("""COMPUTED_VALUE"""),"Andorra")</f>
        <v>Andorra</v>
      </c>
      <c r="C117" s="46" t="str">
        <f>IFERROR(__xludf.DUMMYFUNCTION("""COMPUTED_VALUE"""),"Baby Food")</f>
        <v>Baby Food</v>
      </c>
      <c r="D117" s="46">
        <f>IFERROR(__xludf.DUMMYFUNCTION("""COMPUTED_VALUE"""),50.0)</f>
        <v>50</v>
      </c>
      <c r="E117" s="46">
        <f>IFERROR(__xludf.DUMMYFUNCTION("""COMPUTED_VALUE"""),1.74614226E8)</f>
        <v>174614226</v>
      </c>
      <c r="F117" s="84">
        <f>IFERROR(__xludf.DUMMYFUNCTION("""COMPUTED_VALUE"""),276978.8)</f>
        <v>276978.8</v>
      </c>
      <c r="I117" s="87"/>
    </row>
    <row r="118">
      <c r="A118" s="46" t="str">
        <f>IFERROR(__xludf.DUMMYFUNCTION("""COMPUTED_VALUE"""),"Europe")</f>
        <v>Europe</v>
      </c>
      <c r="B118" s="46" t="str">
        <f>IFERROR(__xludf.DUMMYFUNCTION("""COMPUTED_VALUE"""),"France")</f>
        <v>France</v>
      </c>
      <c r="C118" s="46" t="str">
        <f>IFERROR(__xludf.DUMMYFUNCTION("""COMPUTED_VALUE"""),"Cosmetics")</f>
        <v>Cosmetics</v>
      </c>
      <c r="D118" s="46">
        <f>IFERROR(__xludf.DUMMYFUNCTION("""COMPUTED_VALUE"""),3.0)</f>
        <v>3</v>
      </c>
      <c r="E118" s="46">
        <f>IFERROR(__xludf.DUMMYFUNCTION("""COMPUTED_VALUE"""),1.74935233E8)</f>
        <v>174935233</v>
      </c>
      <c r="F118" s="84">
        <f>IFERROR(__xludf.DUMMYFUNCTION("""COMPUTED_VALUE"""),2657301.6)</f>
        <v>2657301.6</v>
      </c>
      <c r="I118" s="87"/>
    </row>
    <row r="119">
      <c r="A119" s="46" t="str">
        <f>IFERROR(__xludf.DUMMYFUNCTION("""COMPUTED_VALUE"""),"Europe")</f>
        <v>Europe</v>
      </c>
      <c r="B119" s="46" t="str">
        <f>IFERROR(__xludf.DUMMYFUNCTION("""COMPUTED_VALUE"""),"Monaco")</f>
        <v>Monaco</v>
      </c>
      <c r="C119" s="46" t="str">
        <f>IFERROR(__xludf.DUMMYFUNCTION("""COMPUTED_VALUE"""),"Household")</f>
        <v>Household</v>
      </c>
      <c r="D119" s="46">
        <f>IFERROR(__xludf.DUMMYFUNCTION("""COMPUTED_VALUE"""),5.0)</f>
        <v>5</v>
      </c>
      <c r="E119" s="46">
        <f>IFERROR(__xludf.DUMMYFUNCTION("""COMPUTED_VALUE"""),1.75723588E8)</f>
        <v>175723588</v>
      </c>
      <c r="F119" s="84">
        <f>IFERROR(__xludf.DUMMYFUNCTION("""COMPUTED_VALUE"""),6261689.899999999)</f>
        <v>6261689.9</v>
      </c>
      <c r="I119" s="87"/>
    </row>
    <row r="120">
      <c r="A120" s="46" t="str">
        <f>IFERROR(__xludf.DUMMYFUNCTION("""COMPUTED_VALUE"""),"Europe")</f>
        <v>Europe</v>
      </c>
      <c r="B120" s="46" t="str">
        <f>IFERROR(__xludf.DUMMYFUNCTION("""COMPUTED_VALUE"""),"Poland")</f>
        <v>Poland</v>
      </c>
      <c r="C120" s="46" t="str">
        <f>IFERROR(__xludf.DUMMYFUNCTION("""COMPUTED_VALUE"""),"Cereal")</f>
        <v>Cereal</v>
      </c>
      <c r="D120" s="46">
        <f>IFERROR(__xludf.DUMMYFUNCTION("""COMPUTED_VALUE"""),50.0)</f>
        <v>50</v>
      </c>
      <c r="E120" s="46">
        <f>IFERROR(__xludf.DUMMYFUNCTION("""COMPUTED_VALUE"""),1.76050603E8)</f>
        <v>176050603</v>
      </c>
      <c r="F120" s="84">
        <f>IFERROR(__xludf.DUMMYFUNCTION("""COMPUTED_VALUE"""),1262998.0)</f>
        <v>1262998</v>
      </c>
      <c r="I120" s="87"/>
    </row>
    <row r="121">
      <c r="A121" s="46" t="str">
        <f>IFERROR(__xludf.DUMMYFUNCTION("""COMPUTED_VALUE"""),"Europe")</f>
        <v>Europe</v>
      </c>
      <c r="B121" s="46" t="str">
        <f>IFERROR(__xludf.DUMMYFUNCTION("""COMPUTED_VALUE"""),"Estonia")</f>
        <v>Estonia</v>
      </c>
      <c r="C121" s="46" t="str">
        <f>IFERROR(__xludf.DUMMYFUNCTION("""COMPUTED_VALUE"""),"Clothes")</f>
        <v>Clothes</v>
      </c>
      <c r="D121" s="46">
        <f>IFERROR(__xludf.DUMMYFUNCTION("""COMPUTED_VALUE"""),8.0)</f>
        <v>8</v>
      </c>
      <c r="E121" s="46">
        <f>IFERROR(__xludf.DUMMYFUNCTION("""COMPUTED_VALUE"""),1.76722657E8)</f>
        <v>176722657</v>
      </c>
      <c r="F121" s="84">
        <f>IFERROR(__xludf.DUMMYFUNCTION("""COMPUTED_VALUE"""),548148.48)</f>
        <v>548148.48</v>
      </c>
      <c r="I121" s="87"/>
    </row>
    <row r="122">
      <c r="A122" s="46" t="str">
        <f>IFERROR(__xludf.DUMMYFUNCTION("""COMPUTED_VALUE"""),"Europe")</f>
        <v>Europe</v>
      </c>
      <c r="B122" s="46" t="str">
        <f>IFERROR(__xludf.DUMMYFUNCTION("""COMPUTED_VALUE"""),"Monaco")</f>
        <v>Monaco</v>
      </c>
      <c r="C122" s="46" t="str">
        <f>IFERROR(__xludf.DUMMYFUNCTION("""COMPUTED_VALUE"""),"Meat")</f>
        <v>Meat</v>
      </c>
      <c r="D122" s="46">
        <f>IFERROR(__xludf.DUMMYFUNCTION("""COMPUTED_VALUE"""),33.0)</f>
        <v>33</v>
      </c>
      <c r="E122" s="46">
        <f>IFERROR(__xludf.DUMMYFUNCTION("""COMPUTED_VALUE"""),1.7714709E8)</f>
        <v>177147090</v>
      </c>
      <c r="F122" s="84">
        <f>IFERROR(__xludf.DUMMYFUNCTION("""COMPUTED_VALUE"""),259462.35)</f>
        <v>259462.35</v>
      </c>
      <c r="I122" s="87"/>
    </row>
    <row r="123">
      <c r="A123" s="46" t="str">
        <f>IFERROR(__xludf.DUMMYFUNCTION("""COMPUTED_VALUE"""),"Europe")</f>
        <v>Europe</v>
      </c>
      <c r="B123" s="46" t="str">
        <f>IFERROR(__xludf.DUMMYFUNCTION("""COMPUTED_VALUE"""),"Austria")</f>
        <v>Austria</v>
      </c>
      <c r="C123" s="46" t="str">
        <f>IFERROR(__xludf.DUMMYFUNCTION("""COMPUTED_VALUE"""),"Household")</f>
        <v>Household</v>
      </c>
      <c r="D123" s="46">
        <f>IFERROR(__xludf.DUMMYFUNCTION("""COMPUTED_VALUE"""),28.0)</f>
        <v>28</v>
      </c>
      <c r="E123" s="46">
        <f>IFERROR(__xludf.DUMMYFUNCTION("""COMPUTED_VALUE"""),1.78604066E8)</f>
        <v>178604066</v>
      </c>
      <c r="F123" s="84">
        <f>IFERROR(__xludf.DUMMYFUNCTION("""COMPUTED_VALUE"""),1180833.09)</f>
        <v>1180833.09</v>
      </c>
      <c r="I123" s="87"/>
    </row>
    <row r="124">
      <c r="A124" s="46" t="str">
        <f>IFERROR(__xludf.DUMMYFUNCTION("""COMPUTED_VALUE"""),"Europe")</f>
        <v>Europe</v>
      </c>
      <c r="B124" s="46" t="str">
        <f>IFERROR(__xludf.DUMMYFUNCTION("""COMPUTED_VALUE"""),"Bulgaria")</f>
        <v>Bulgaria</v>
      </c>
      <c r="C124" s="46" t="str">
        <f>IFERROR(__xludf.DUMMYFUNCTION("""COMPUTED_VALUE"""),"Cosmetics")</f>
        <v>Cosmetics</v>
      </c>
      <c r="D124" s="46">
        <f>IFERROR(__xludf.DUMMYFUNCTION("""COMPUTED_VALUE"""),28.0)</f>
        <v>28</v>
      </c>
      <c r="E124" s="46">
        <f>IFERROR(__xludf.DUMMYFUNCTION("""COMPUTED_VALUE"""),1.79819428E8)</f>
        <v>179819428</v>
      </c>
      <c r="F124" s="84">
        <f>IFERROR(__xludf.DUMMYFUNCTION("""COMPUTED_VALUE"""),620824.0)</f>
        <v>620824</v>
      </c>
      <c r="I124" s="87"/>
    </row>
    <row r="125">
      <c r="A125" s="46" t="str">
        <f>IFERROR(__xludf.DUMMYFUNCTION("""COMPUTED_VALUE"""),"Europe")</f>
        <v>Europe</v>
      </c>
      <c r="B125" s="46" t="str">
        <f>IFERROR(__xludf.DUMMYFUNCTION("""COMPUTED_VALUE"""),"Malta")</f>
        <v>Malta</v>
      </c>
      <c r="C125" s="46" t="str">
        <f>IFERROR(__xludf.DUMMYFUNCTION("""COMPUTED_VALUE"""),"Beverages")</f>
        <v>Beverages</v>
      </c>
      <c r="D125" s="46">
        <f>IFERROR(__xludf.DUMMYFUNCTION("""COMPUTED_VALUE"""),16.0)</f>
        <v>16</v>
      </c>
      <c r="E125" s="46">
        <f>IFERROR(__xludf.DUMMYFUNCTION("""COMPUTED_VALUE"""),1.80358016E8)</f>
        <v>180358016</v>
      </c>
      <c r="F125" s="84">
        <f>IFERROR(__xludf.DUMMYFUNCTION("""COMPUTED_VALUE"""),37960.0)</f>
        <v>37960</v>
      </c>
      <c r="I125" s="87"/>
    </row>
    <row r="126">
      <c r="A126" s="46" t="str">
        <f>IFERROR(__xludf.DUMMYFUNCTION("""COMPUTED_VALUE"""),"Europe")</f>
        <v>Europe</v>
      </c>
      <c r="B126" s="46" t="str">
        <f>IFERROR(__xludf.DUMMYFUNCTION("""COMPUTED_VALUE"""),"Belarus")</f>
        <v>Belarus</v>
      </c>
      <c r="C126" s="46" t="str">
        <f>IFERROR(__xludf.DUMMYFUNCTION("""COMPUTED_VALUE"""),"Vegetables")</f>
        <v>Vegetables</v>
      </c>
      <c r="D126" s="46">
        <f>IFERROR(__xludf.DUMMYFUNCTION("""COMPUTED_VALUE"""),7.0)</f>
        <v>7</v>
      </c>
      <c r="E126" s="46">
        <f>IFERROR(__xludf.DUMMYFUNCTION("""COMPUTED_VALUE"""),1.80479466E8)</f>
        <v>180479466</v>
      </c>
      <c r="F126" s="84">
        <f>IFERROR(__xludf.DUMMYFUNCTION("""COMPUTED_VALUE"""),1038364.4)</f>
        <v>1038364.4</v>
      </c>
      <c r="I126" s="87"/>
    </row>
    <row r="127">
      <c r="A127" s="46" t="str">
        <f>IFERROR(__xludf.DUMMYFUNCTION("""COMPUTED_VALUE"""),"Europe")</f>
        <v>Europe</v>
      </c>
      <c r="B127" s="46" t="str">
        <f>IFERROR(__xludf.DUMMYFUNCTION("""COMPUTED_VALUE"""),"Ukraine")</f>
        <v>Ukraine</v>
      </c>
      <c r="C127" s="46" t="str">
        <f>IFERROR(__xludf.DUMMYFUNCTION("""COMPUTED_VALUE"""),"Office Supplies")</f>
        <v>Office Supplies</v>
      </c>
      <c r="D127" s="46">
        <f>IFERROR(__xludf.DUMMYFUNCTION("""COMPUTED_VALUE"""),31.0)</f>
        <v>31</v>
      </c>
      <c r="E127" s="46">
        <f>IFERROR(__xludf.DUMMYFUNCTION("""COMPUTED_VALUE"""),1.81260526E8)</f>
        <v>181260526</v>
      </c>
      <c r="F127" s="84">
        <f>IFERROR(__xludf.DUMMYFUNCTION("""COMPUTED_VALUE"""),5126325.12)</f>
        <v>5126325.12</v>
      </c>
      <c r="I127" s="87"/>
    </row>
    <row r="128">
      <c r="A128" s="46" t="str">
        <f>IFERROR(__xludf.DUMMYFUNCTION("""COMPUTED_VALUE"""),"Europe")</f>
        <v>Europe</v>
      </c>
      <c r="B128" s="46" t="str">
        <f>IFERROR(__xludf.DUMMYFUNCTION("""COMPUTED_VALUE"""),"Finland")</f>
        <v>Finland</v>
      </c>
      <c r="C128" s="46" t="str">
        <f>IFERROR(__xludf.DUMMYFUNCTION("""COMPUTED_VALUE"""),"Fruits")</f>
        <v>Fruits</v>
      </c>
      <c r="D128" s="46">
        <f>IFERROR(__xludf.DUMMYFUNCTION("""COMPUTED_VALUE"""),33.0)</f>
        <v>33</v>
      </c>
      <c r="E128" s="46">
        <f>IFERROR(__xludf.DUMMYFUNCTION("""COMPUTED_VALUE"""),1.82078921E8)</f>
        <v>182078921</v>
      </c>
      <c r="F128" s="84">
        <f>IFERROR(__xludf.DUMMYFUNCTION("""COMPUTED_VALUE"""),503.82)</f>
        <v>503.82</v>
      </c>
      <c r="I128" s="87"/>
    </row>
    <row r="129">
      <c r="A129" s="46" t="str">
        <f>IFERROR(__xludf.DUMMYFUNCTION("""COMPUTED_VALUE"""),"Europe")</f>
        <v>Europe</v>
      </c>
      <c r="B129" s="46" t="str">
        <f>IFERROR(__xludf.DUMMYFUNCTION("""COMPUTED_VALUE"""),"Latvia")</f>
        <v>Latvia</v>
      </c>
      <c r="C129" s="46" t="str">
        <f>IFERROR(__xludf.DUMMYFUNCTION("""COMPUTED_VALUE"""),"Office Supplies")</f>
        <v>Office Supplies</v>
      </c>
      <c r="D129" s="46">
        <f>IFERROR(__xludf.DUMMYFUNCTION("""COMPUTED_VALUE"""),42.0)</f>
        <v>42</v>
      </c>
      <c r="E129" s="46">
        <f>IFERROR(__xludf.DUMMYFUNCTION("""COMPUTED_VALUE"""),1.82228696E8)</f>
        <v>182228696</v>
      </c>
      <c r="F129" s="84">
        <f>IFERROR(__xludf.DUMMYFUNCTION("""COMPUTED_VALUE"""),2849043.75)</f>
        <v>2849043.75</v>
      </c>
      <c r="I129" s="87"/>
    </row>
    <row r="130">
      <c r="A130" s="46" t="str">
        <f>IFERROR(__xludf.DUMMYFUNCTION("""COMPUTED_VALUE"""),"Europe")</f>
        <v>Europe</v>
      </c>
      <c r="B130" s="46" t="str">
        <f>IFERROR(__xludf.DUMMYFUNCTION("""COMPUTED_VALUE"""),"Bosnia and Herzegovina")</f>
        <v>Bosnia and Herzegovina</v>
      </c>
      <c r="C130" s="46" t="str">
        <f>IFERROR(__xludf.DUMMYFUNCTION("""COMPUTED_VALUE"""),"Snacks")</f>
        <v>Snacks</v>
      </c>
      <c r="D130" s="46">
        <f>IFERROR(__xludf.DUMMYFUNCTION("""COMPUTED_VALUE"""),14.0)</f>
        <v>14</v>
      </c>
      <c r="E130" s="46">
        <f>IFERROR(__xludf.DUMMYFUNCTION("""COMPUTED_VALUE"""),1.83778369E8)</f>
        <v>183778369</v>
      </c>
      <c r="F130" s="84">
        <f>IFERROR(__xludf.DUMMYFUNCTION("""COMPUTED_VALUE"""),451331.64)</f>
        <v>451331.64</v>
      </c>
      <c r="I130" s="87"/>
    </row>
    <row r="131">
      <c r="A131" s="46" t="str">
        <f>IFERROR(__xludf.DUMMYFUNCTION("""COMPUTED_VALUE"""),"Europe")</f>
        <v>Europe</v>
      </c>
      <c r="B131" s="46" t="str">
        <f>IFERROR(__xludf.DUMMYFUNCTION("""COMPUTED_VALUE"""),"Ukraine")</f>
        <v>Ukraine</v>
      </c>
      <c r="C131" s="46" t="str">
        <f>IFERROR(__xludf.DUMMYFUNCTION("""COMPUTED_VALUE"""),"Cosmetics")</f>
        <v>Cosmetics</v>
      </c>
      <c r="D131" s="46">
        <f>IFERROR(__xludf.DUMMYFUNCTION("""COMPUTED_VALUE"""),2.0)</f>
        <v>2</v>
      </c>
      <c r="E131" s="46">
        <f>IFERROR(__xludf.DUMMYFUNCTION("""COMPUTED_VALUE"""),1.83910119E8)</f>
        <v>183910119</v>
      </c>
      <c r="F131" s="84">
        <f>IFERROR(__xludf.DUMMYFUNCTION("""COMPUTED_VALUE"""),850791.2)</f>
        <v>850791.2</v>
      </c>
      <c r="I131" s="87"/>
    </row>
    <row r="132">
      <c r="A132" s="46" t="str">
        <f>IFERROR(__xludf.DUMMYFUNCTION("""COMPUTED_VALUE"""),"Europe")</f>
        <v>Europe</v>
      </c>
      <c r="B132" s="46" t="str">
        <f>IFERROR(__xludf.DUMMYFUNCTION("""COMPUTED_VALUE"""),"Denmark")</f>
        <v>Denmark</v>
      </c>
      <c r="C132" s="46" t="str">
        <f>IFERROR(__xludf.DUMMYFUNCTION("""COMPUTED_VALUE"""),"Clothes")</f>
        <v>Clothes</v>
      </c>
      <c r="D132" s="46">
        <f>IFERROR(__xludf.DUMMYFUNCTION("""COMPUTED_VALUE"""),4.0)</f>
        <v>4</v>
      </c>
      <c r="E132" s="46">
        <f>IFERROR(__xludf.DUMMYFUNCTION("""COMPUTED_VALUE"""),1.84120833E8)</f>
        <v>184120833</v>
      </c>
      <c r="F132" s="84">
        <f>IFERROR(__xludf.DUMMYFUNCTION("""COMPUTED_VALUE"""),470013.28)</f>
        <v>470013.28</v>
      </c>
      <c r="I132" s="87"/>
    </row>
    <row r="133">
      <c r="A133" s="46" t="str">
        <f>IFERROR(__xludf.DUMMYFUNCTION("""COMPUTED_VALUE"""),"Europe")</f>
        <v>Europe</v>
      </c>
      <c r="B133" s="46" t="str">
        <f>IFERROR(__xludf.DUMMYFUNCTION("""COMPUTED_VALUE"""),"Bosnia and Herzegovina")</f>
        <v>Bosnia and Herzegovina</v>
      </c>
      <c r="C133" s="46" t="str">
        <f>IFERROR(__xludf.DUMMYFUNCTION("""COMPUTED_VALUE"""),"Baby Food")</f>
        <v>Baby Food</v>
      </c>
      <c r="D133" s="46">
        <f>IFERROR(__xludf.DUMMYFUNCTION("""COMPUTED_VALUE"""),3.0)</f>
        <v>3</v>
      </c>
      <c r="E133" s="46">
        <f>IFERROR(__xludf.DUMMYFUNCTION("""COMPUTED_VALUE"""),1.84412229E8)</f>
        <v>184412229</v>
      </c>
      <c r="F133" s="84">
        <f>IFERROR(__xludf.DUMMYFUNCTION("""COMPUTED_VALUE"""),135553.68)</f>
        <v>135553.68</v>
      </c>
      <c r="I133" s="87"/>
    </row>
    <row r="134">
      <c r="A134" s="46" t="str">
        <f>IFERROR(__xludf.DUMMYFUNCTION("""COMPUTED_VALUE"""),"Europe")</f>
        <v>Europe</v>
      </c>
      <c r="B134" s="46" t="str">
        <f>IFERROR(__xludf.DUMMYFUNCTION("""COMPUTED_VALUE"""),"Bosnia and Herzegovina")</f>
        <v>Bosnia and Herzegovina</v>
      </c>
      <c r="C134" s="46" t="str">
        <f>IFERROR(__xludf.DUMMYFUNCTION("""COMPUTED_VALUE"""),"Vegetables")</f>
        <v>Vegetables</v>
      </c>
      <c r="D134" s="46">
        <f>IFERROR(__xludf.DUMMYFUNCTION("""COMPUTED_VALUE"""),5.0)</f>
        <v>5</v>
      </c>
      <c r="E134" s="46">
        <f>IFERROR(__xludf.DUMMYFUNCTION("""COMPUTED_VALUE"""),1.84708344E8)</f>
        <v>184708344</v>
      </c>
      <c r="F134" s="84">
        <f>IFERROR(__xludf.DUMMYFUNCTION("""COMPUTED_VALUE"""),1256975.54)</f>
        <v>1256975.54</v>
      </c>
      <c r="I134" s="87"/>
    </row>
    <row r="135">
      <c r="A135" s="46" t="str">
        <f>IFERROR(__xludf.DUMMYFUNCTION("""COMPUTED_VALUE"""),"Europe")</f>
        <v>Europe</v>
      </c>
      <c r="B135" s="46" t="str">
        <f>IFERROR(__xludf.DUMMYFUNCTION("""COMPUTED_VALUE"""),"Liechtenstein")</f>
        <v>Liechtenstein</v>
      </c>
      <c r="C135" s="46" t="str">
        <f>IFERROR(__xludf.DUMMYFUNCTION("""COMPUTED_VALUE"""),"Household")</f>
        <v>Household</v>
      </c>
      <c r="D135" s="46">
        <f>IFERROR(__xludf.DUMMYFUNCTION("""COMPUTED_VALUE"""),31.0)</f>
        <v>31</v>
      </c>
      <c r="E135" s="46">
        <f>IFERROR(__xludf.DUMMYFUNCTION("""COMPUTED_VALUE"""),1.84976994E8)</f>
        <v>184976994</v>
      </c>
      <c r="F135" s="84">
        <f>IFERROR(__xludf.DUMMYFUNCTION("""COMPUTED_VALUE"""),5117611.66)</f>
        <v>5117611.66</v>
      </c>
      <c r="I135" s="87"/>
    </row>
    <row r="136">
      <c r="A136" s="46" t="str">
        <f>IFERROR(__xludf.DUMMYFUNCTION("""COMPUTED_VALUE"""),"Europe")</f>
        <v>Europe</v>
      </c>
      <c r="B136" s="46" t="str">
        <f>IFERROR(__xludf.DUMMYFUNCTION("""COMPUTED_VALUE"""),"San Marino")</f>
        <v>San Marino</v>
      </c>
      <c r="C136" s="46" t="str">
        <f>IFERROR(__xludf.DUMMYFUNCTION("""COMPUTED_VALUE"""),"Personal Care")</f>
        <v>Personal Care</v>
      </c>
      <c r="D136" s="46">
        <f>IFERROR(__xludf.DUMMYFUNCTION("""COMPUTED_VALUE"""),21.0)</f>
        <v>21</v>
      </c>
      <c r="E136" s="46">
        <f>IFERROR(__xludf.DUMMYFUNCTION("""COMPUTED_VALUE"""),1.8594731E8)</f>
        <v>185947310</v>
      </c>
      <c r="F136" s="84">
        <f>IFERROR(__xludf.DUMMYFUNCTION("""COMPUTED_VALUE"""),391977.08)</f>
        <v>391977.08</v>
      </c>
      <c r="I136" s="87"/>
    </row>
    <row r="137">
      <c r="A137" s="46" t="str">
        <f>IFERROR(__xludf.DUMMYFUNCTION("""COMPUTED_VALUE"""),"Europe")</f>
        <v>Europe</v>
      </c>
      <c r="B137" s="46" t="str">
        <f>IFERROR(__xludf.DUMMYFUNCTION("""COMPUTED_VALUE"""),"Austria")</f>
        <v>Austria</v>
      </c>
      <c r="C137" s="46" t="str">
        <f>IFERROR(__xludf.DUMMYFUNCTION("""COMPUTED_VALUE"""),"Fruits")</f>
        <v>Fruits</v>
      </c>
      <c r="D137" s="46">
        <f>IFERROR(__xludf.DUMMYFUNCTION("""COMPUTED_VALUE"""),38.0)</f>
        <v>38</v>
      </c>
      <c r="E137" s="46">
        <f>IFERROR(__xludf.DUMMYFUNCTION("""COMPUTED_VALUE"""),1.85960614E8)</f>
        <v>185960614</v>
      </c>
      <c r="F137" s="84">
        <f>IFERROR(__xludf.DUMMYFUNCTION("""COMPUTED_VALUE"""),81478.89)</f>
        <v>81478.89</v>
      </c>
      <c r="I137" s="87"/>
    </row>
    <row r="138">
      <c r="A138" s="46" t="str">
        <f>IFERROR(__xludf.DUMMYFUNCTION("""COMPUTED_VALUE"""),"Europe")</f>
        <v>Europe</v>
      </c>
      <c r="B138" s="46" t="str">
        <f>IFERROR(__xludf.DUMMYFUNCTION("""COMPUTED_VALUE"""),"Denmark")</f>
        <v>Denmark</v>
      </c>
      <c r="C138" s="46" t="str">
        <f>IFERROR(__xludf.DUMMYFUNCTION("""COMPUTED_VALUE"""),"Vegetables")</f>
        <v>Vegetables</v>
      </c>
      <c r="D138" s="46">
        <f>IFERROR(__xludf.DUMMYFUNCTION("""COMPUTED_VALUE"""),4.0)</f>
        <v>4</v>
      </c>
      <c r="E138" s="46">
        <f>IFERROR(__xludf.DUMMYFUNCTION("""COMPUTED_VALUE"""),1.8607949E8)</f>
        <v>186079490</v>
      </c>
      <c r="F138" s="84">
        <f>IFERROR(__xludf.DUMMYFUNCTION("""COMPUTED_VALUE"""),602528.66)</f>
        <v>602528.66</v>
      </c>
      <c r="I138" s="87"/>
    </row>
    <row r="139">
      <c r="A139" s="46" t="str">
        <f>IFERROR(__xludf.DUMMYFUNCTION("""COMPUTED_VALUE"""),"Europe")</f>
        <v>Europe</v>
      </c>
      <c r="B139" s="46" t="str">
        <f>IFERROR(__xludf.DUMMYFUNCTION("""COMPUTED_VALUE"""),"Liechtenstein")</f>
        <v>Liechtenstein</v>
      </c>
      <c r="C139" s="46" t="str">
        <f>IFERROR(__xludf.DUMMYFUNCTION("""COMPUTED_VALUE"""),"Office Supplies")</f>
        <v>Office Supplies</v>
      </c>
      <c r="D139" s="46">
        <f>IFERROR(__xludf.DUMMYFUNCTION("""COMPUTED_VALUE"""),44.0)</f>
        <v>44</v>
      </c>
      <c r="E139" s="46">
        <f>IFERROR(__xludf.DUMMYFUNCTION("""COMPUTED_VALUE"""),1.86597907E8)</f>
        <v>186597907</v>
      </c>
      <c r="F139" s="84">
        <f>IFERROR(__xludf.DUMMYFUNCTION("""COMPUTED_VALUE"""),4768159.62)</f>
        <v>4768159.62</v>
      </c>
      <c r="I139" s="87"/>
    </row>
    <row r="140">
      <c r="A140" s="46" t="str">
        <f>IFERROR(__xludf.DUMMYFUNCTION("""COMPUTED_VALUE"""),"Europe")</f>
        <v>Europe</v>
      </c>
      <c r="B140" s="46" t="str">
        <f>IFERROR(__xludf.DUMMYFUNCTION("""COMPUTED_VALUE"""),"Iceland")</f>
        <v>Iceland</v>
      </c>
      <c r="C140" s="46" t="str">
        <f>IFERROR(__xludf.DUMMYFUNCTION("""COMPUTED_VALUE"""),"Cosmetics")</f>
        <v>Cosmetics</v>
      </c>
      <c r="D140" s="46">
        <f>IFERROR(__xludf.DUMMYFUNCTION("""COMPUTED_VALUE"""),7.0)</f>
        <v>7</v>
      </c>
      <c r="E140" s="46">
        <f>IFERROR(__xludf.DUMMYFUNCTION("""COMPUTED_VALUE"""),1.86847674E8)</f>
        <v>186847674</v>
      </c>
      <c r="F140" s="84">
        <f>IFERROR(__xludf.DUMMYFUNCTION("""COMPUTED_VALUE"""),539504.7999999999)</f>
        <v>539504.8</v>
      </c>
      <c r="I140" s="87"/>
    </row>
    <row r="141">
      <c r="A141" s="46" t="str">
        <f>IFERROR(__xludf.DUMMYFUNCTION("""COMPUTED_VALUE"""),"Europe")</f>
        <v>Europe</v>
      </c>
      <c r="B141" s="46" t="str">
        <f>IFERROR(__xludf.DUMMYFUNCTION("""COMPUTED_VALUE"""),"Belgium")</f>
        <v>Belgium</v>
      </c>
      <c r="C141" s="46" t="str">
        <f>IFERROR(__xludf.DUMMYFUNCTION("""COMPUTED_VALUE"""),"Fruits")</f>
        <v>Fruits</v>
      </c>
      <c r="D141" s="46">
        <f>IFERROR(__xludf.DUMMYFUNCTION("""COMPUTED_VALUE"""),10.0)</f>
        <v>10</v>
      </c>
      <c r="E141" s="46">
        <f>IFERROR(__xludf.DUMMYFUNCTION("""COMPUTED_VALUE"""),1.8710345E8)</f>
        <v>187103450</v>
      </c>
      <c r="F141" s="84">
        <f>IFERROR(__xludf.DUMMYFUNCTION("""COMPUTED_VALUE"""),64600.92)</f>
        <v>64600.92</v>
      </c>
      <c r="I141" s="87"/>
    </row>
    <row r="142">
      <c r="A142" s="46" t="str">
        <f>IFERROR(__xludf.DUMMYFUNCTION("""COMPUTED_VALUE"""),"Europe")</f>
        <v>Europe</v>
      </c>
      <c r="B142" s="46" t="str">
        <f>IFERROR(__xludf.DUMMYFUNCTION("""COMPUTED_VALUE"""),"Slovenia")</f>
        <v>Slovenia</v>
      </c>
      <c r="C142" s="46" t="str">
        <f>IFERROR(__xludf.DUMMYFUNCTION("""COMPUTED_VALUE"""),"Clothes")</f>
        <v>Clothes</v>
      </c>
      <c r="D142" s="46">
        <f>IFERROR(__xludf.DUMMYFUNCTION("""COMPUTED_VALUE"""),4.0)</f>
        <v>4</v>
      </c>
      <c r="E142" s="46">
        <f>IFERROR(__xludf.DUMMYFUNCTION("""COMPUTED_VALUE"""),1.88866841E8)</f>
        <v>188866841</v>
      </c>
      <c r="F142" s="84">
        <f>IFERROR(__xludf.DUMMYFUNCTION("""COMPUTED_VALUE"""),956200.0)</f>
        <v>956200</v>
      </c>
      <c r="I142" s="87"/>
    </row>
    <row r="143">
      <c r="A143" s="46" t="str">
        <f>IFERROR(__xludf.DUMMYFUNCTION("""COMPUTED_VALUE"""),"Europe")</f>
        <v>Europe</v>
      </c>
      <c r="B143" s="46" t="str">
        <f>IFERROR(__xludf.DUMMYFUNCTION("""COMPUTED_VALUE"""),"Czech Republic")</f>
        <v>Czech Republic</v>
      </c>
      <c r="C143" s="46" t="str">
        <f>IFERROR(__xludf.DUMMYFUNCTION("""COMPUTED_VALUE"""),"Office Supplies")</f>
        <v>Office Supplies</v>
      </c>
      <c r="D143" s="46">
        <f>IFERROR(__xludf.DUMMYFUNCTION("""COMPUTED_VALUE"""),50.0)</f>
        <v>50</v>
      </c>
      <c r="E143" s="46">
        <f>IFERROR(__xludf.DUMMYFUNCTION("""COMPUTED_VALUE"""),1.89108455E8)</f>
        <v>189108455</v>
      </c>
      <c r="F143" s="84">
        <f>IFERROR(__xludf.DUMMYFUNCTION("""COMPUTED_VALUE"""),162151.29)</f>
        <v>162151.29</v>
      </c>
      <c r="I143" s="87"/>
    </row>
    <row r="144">
      <c r="A144" s="46" t="str">
        <f>IFERROR(__xludf.DUMMYFUNCTION("""COMPUTED_VALUE"""),"Europe")</f>
        <v>Europe</v>
      </c>
      <c r="B144" s="46" t="str">
        <f>IFERROR(__xludf.DUMMYFUNCTION("""COMPUTED_VALUE"""),"Russia")</f>
        <v>Russia</v>
      </c>
      <c r="C144" s="46" t="str">
        <f>IFERROR(__xludf.DUMMYFUNCTION("""COMPUTED_VALUE"""),"Snacks")</f>
        <v>Snacks</v>
      </c>
      <c r="D144" s="46">
        <f>IFERROR(__xludf.DUMMYFUNCTION("""COMPUTED_VALUE"""),37.0)</f>
        <v>37</v>
      </c>
      <c r="E144" s="46">
        <f>IFERROR(__xludf.DUMMYFUNCTION("""COMPUTED_VALUE"""),1.89667212E8)</f>
        <v>189667212</v>
      </c>
      <c r="F144" s="84">
        <f>IFERROR(__xludf.DUMMYFUNCTION("""COMPUTED_VALUE"""),854142.8400000001)</f>
        <v>854142.84</v>
      </c>
      <c r="I144" s="87"/>
    </row>
    <row r="145">
      <c r="A145" s="46" t="str">
        <f>IFERROR(__xludf.DUMMYFUNCTION("""COMPUTED_VALUE"""),"Europe")</f>
        <v>Europe</v>
      </c>
      <c r="B145" s="46" t="str">
        <f>IFERROR(__xludf.DUMMYFUNCTION("""COMPUTED_VALUE"""),"Croatia")</f>
        <v>Croatia</v>
      </c>
      <c r="C145" s="46" t="str">
        <f>IFERROR(__xludf.DUMMYFUNCTION("""COMPUTED_VALUE"""),"Beverages")</f>
        <v>Beverages</v>
      </c>
      <c r="D145" s="46">
        <f>IFERROR(__xludf.DUMMYFUNCTION("""COMPUTED_VALUE"""),27.0)</f>
        <v>27</v>
      </c>
      <c r="E145" s="46">
        <f>IFERROR(__xludf.DUMMYFUNCTION("""COMPUTED_VALUE"""),1.89924275E8)</f>
        <v>189924275</v>
      </c>
      <c r="F145" s="84">
        <f>IFERROR(__xludf.DUMMYFUNCTION("""COMPUTED_VALUE"""),79146.6)</f>
        <v>79146.6</v>
      </c>
      <c r="I145" s="87"/>
    </row>
    <row r="146">
      <c r="A146" s="46" t="str">
        <f>IFERROR(__xludf.DUMMYFUNCTION("""COMPUTED_VALUE"""),"Europe")</f>
        <v>Europe</v>
      </c>
      <c r="B146" s="46" t="str">
        <f>IFERROR(__xludf.DUMMYFUNCTION("""COMPUTED_VALUE"""),"Andorra")</f>
        <v>Andorra</v>
      </c>
      <c r="C146" s="46" t="str">
        <f>IFERROR(__xludf.DUMMYFUNCTION("""COMPUTED_VALUE"""),"Clothes")</f>
        <v>Clothes</v>
      </c>
      <c r="D146" s="46">
        <f>IFERROR(__xludf.DUMMYFUNCTION("""COMPUTED_VALUE"""),46.0)</f>
        <v>46</v>
      </c>
      <c r="E146" s="46">
        <f>IFERROR(__xludf.DUMMYFUNCTION("""COMPUTED_VALUE"""),1.9000281E8)</f>
        <v>190002810</v>
      </c>
      <c r="F146" s="84">
        <f>IFERROR(__xludf.DUMMYFUNCTION("""COMPUTED_VALUE"""),536455.52)</f>
        <v>536455.52</v>
      </c>
      <c r="I146" s="87"/>
    </row>
    <row r="147">
      <c r="A147" s="46" t="str">
        <f>IFERROR(__xludf.DUMMYFUNCTION("""COMPUTED_VALUE"""),"Europe")</f>
        <v>Europe</v>
      </c>
      <c r="B147" s="46" t="str">
        <f>IFERROR(__xludf.DUMMYFUNCTION("""COMPUTED_VALUE"""),"Croatia")</f>
        <v>Croatia</v>
      </c>
      <c r="C147" s="46" t="str">
        <f>IFERROR(__xludf.DUMMYFUNCTION("""COMPUTED_VALUE"""),"Beverages")</f>
        <v>Beverages</v>
      </c>
      <c r="D147" s="46">
        <f>IFERROR(__xludf.DUMMYFUNCTION("""COMPUTED_VALUE"""),11.0)</f>
        <v>11</v>
      </c>
      <c r="E147" s="46">
        <f>IFERROR(__xludf.DUMMYFUNCTION("""COMPUTED_VALUE"""),1.92236125E8)</f>
        <v>192236125</v>
      </c>
      <c r="F147" s="84">
        <f>IFERROR(__xludf.DUMMYFUNCTION("""COMPUTED_VALUE"""),275020.2)</f>
        <v>275020.2</v>
      </c>
      <c r="I147" s="87"/>
    </row>
    <row r="148">
      <c r="A148" s="46" t="str">
        <f>IFERROR(__xludf.DUMMYFUNCTION("""COMPUTED_VALUE"""),"Europe")</f>
        <v>Europe</v>
      </c>
      <c r="B148" s="46" t="str">
        <f>IFERROR(__xludf.DUMMYFUNCTION("""COMPUTED_VALUE"""),"Czech Republic")</f>
        <v>Czech Republic</v>
      </c>
      <c r="C148" s="46" t="str">
        <f>IFERROR(__xludf.DUMMYFUNCTION("""COMPUTED_VALUE"""),"Fruits")</f>
        <v>Fruits</v>
      </c>
      <c r="D148" s="46">
        <f>IFERROR(__xludf.DUMMYFUNCTION("""COMPUTED_VALUE"""),45.0)</f>
        <v>45</v>
      </c>
      <c r="E148" s="46">
        <f>IFERROR(__xludf.DUMMYFUNCTION("""COMPUTED_VALUE"""),1.92589318E8)</f>
        <v>192589318</v>
      </c>
      <c r="F148" s="84">
        <f>IFERROR(__xludf.DUMMYFUNCTION("""COMPUTED_VALUE"""),2929.62)</f>
        <v>2929.62</v>
      </c>
      <c r="I148" s="87"/>
    </row>
    <row r="149">
      <c r="A149" s="46" t="str">
        <f>IFERROR(__xludf.DUMMYFUNCTION("""COMPUTED_VALUE"""),"Europe")</f>
        <v>Europe</v>
      </c>
      <c r="B149" s="46" t="str">
        <f>IFERROR(__xludf.DUMMYFUNCTION("""COMPUTED_VALUE"""),"Austria")</f>
        <v>Austria</v>
      </c>
      <c r="C149" s="46" t="str">
        <f>IFERROR(__xludf.DUMMYFUNCTION("""COMPUTED_VALUE"""),"Beverages")</f>
        <v>Beverages</v>
      </c>
      <c r="D149" s="46">
        <f>IFERROR(__xludf.DUMMYFUNCTION("""COMPUTED_VALUE"""),29.0)</f>
        <v>29</v>
      </c>
      <c r="E149" s="46">
        <f>IFERROR(__xludf.DUMMYFUNCTION("""COMPUTED_VALUE"""),1.92922341E8)</f>
        <v>192922341</v>
      </c>
      <c r="F149" s="84">
        <f>IFERROR(__xludf.DUMMYFUNCTION("""COMPUTED_VALUE"""),420549.35000000003)</f>
        <v>420549.35</v>
      </c>
      <c r="I149" s="87"/>
    </row>
    <row r="150">
      <c r="A150" s="46" t="str">
        <f>IFERROR(__xludf.DUMMYFUNCTION("""COMPUTED_VALUE"""),"Europe")</f>
        <v>Europe</v>
      </c>
      <c r="B150" s="46" t="str">
        <f>IFERROR(__xludf.DUMMYFUNCTION("""COMPUTED_VALUE"""),"Belgium")</f>
        <v>Belgium</v>
      </c>
      <c r="C150" s="46" t="str">
        <f>IFERROR(__xludf.DUMMYFUNCTION("""COMPUTED_VALUE"""),"Cosmetics")</f>
        <v>Cosmetics</v>
      </c>
      <c r="D150" s="46">
        <f>IFERROR(__xludf.DUMMYFUNCTION("""COMPUTED_VALUE"""),48.0)</f>
        <v>48</v>
      </c>
      <c r="E150" s="46">
        <f>IFERROR(__xludf.DUMMYFUNCTION("""COMPUTED_VALUE"""),1.93472945E8)</f>
        <v>193472945</v>
      </c>
      <c r="F150" s="84">
        <f>IFERROR(__xludf.DUMMYFUNCTION("""COMPUTED_VALUE"""),786522.7999999999)</f>
        <v>786522.8</v>
      </c>
      <c r="I150" s="87"/>
    </row>
    <row r="151">
      <c r="A151" s="46" t="str">
        <f>IFERROR(__xludf.DUMMYFUNCTION("""COMPUTED_VALUE"""),"Europe")</f>
        <v>Europe</v>
      </c>
      <c r="B151" s="46" t="str">
        <f>IFERROR(__xludf.DUMMYFUNCTION("""COMPUTED_VALUE"""),"Russia")</f>
        <v>Russia</v>
      </c>
      <c r="C151" s="46" t="str">
        <f>IFERROR(__xludf.DUMMYFUNCTION("""COMPUTED_VALUE"""),"Household")</f>
        <v>Household</v>
      </c>
      <c r="D151" s="46">
        <f>IFERROR(__xludf.DUMMYFUNCTION("""COMPUTED_VALUE"""),41.0)</f>
        <v>41</v>
      </c>
      <c r="E151" s="46">
        <f>IFERROR(__xludf.DUMMYFUNCTION("""COMPUTED_VALUE"""),1.94176757E8)</f>
        <v>194176757</v>
      </c>
      <c r="F151" s="84">
        <f>IFERROR(__xludf.DUMMYFUNCTION("""COMPUTED_VALUE"""),48115.44)</f>
        <v>48115.44</v>
      </c>
      <c r="I151" s="87"/>
    </row>
    <row r="152">
      <c r="A152" s="46" t="str">
        <f>IFERROR(__xludf.DUMMYFUNCTION("""COMPUTED_VALUE"""),"Europe")</f>
        <v>Europe</v>
      </c>
      <c r="B152" s="46" t="str">
        <f>IFERROR(__xludf.DUMMYFUNCTION("""COMPUTED_VALUE"""),"Liechtenstein")</f>
        <v>Liechtenstein</v>
      </c>
      <c r="C152" s="46" t="str">
        <f>IFERROR(__xludf.DUMMYFUNCTION("""COMPUTED_VALUE"""),"Cereal")</f>
        <v>Cereal</v>
      </c>
      <c r="D152" s="46">
        <f>IFERROR(__xludf.DUMMYFUNCTION("""COMPUTED_VALUE"""),28.0)</f>
        <v>28</v>
      </c>
      <c r="E152" s="46">
        <f>IFERROR(__xludf.DUMMYFUNCTION("""COMPUTED_VALUE"""),1.94785726E8)</f>
        <v>194785726</v>
      </c>
      <c r="F152" s="84">
        <f>IFERROR(__xludf.DUMMYFUNCTION("""COMPUTED_VALUE"""),57596.0)</f>
        <v>57596</v>
      </c>
      <c r="I152" s="87"/>
    </row>
    <row r="153">
      <c r="A153" s="46" t="str">
        <f>IFERROR(__xludf.DUMMYFUNCTION("""COMPUTED_VALUE"""),"Europe")</f>
        <v>Europe</v>
      </c>
      <c r="B153" s="46" t="str">
        <f>IFERROR(__xludf.DUMMYFUNCTION("""COMPUTED_VALUE"""),"Luxembourg")</f>
        <v>Luxembourg</v>
      </c>
      <c r="C153" s="46" t="str">
        <f>IFERROR(__xludf.DUMMYFUNCTION("""COMPUTED_VALUE"""),"Personal Care")</f>
        <v>Personal Care</v>
      </c>
      <c r="D153" s="46">
        <f>IFERROR(__xludf.DUMMYFUNCTION("""COMPUTED_VALUE"""),5.0)</f>
        <v>5</v>
      </c>
      <c r="E153" s="46">
        <f>IFERROR(__xludf.DUMMYFUNCTION("""COMPUTED_VALUE"""),1.94858253E8)</f>
        <v>194858253</v>
      </c>
      <c r="F153" s="84">
        <f>IFERROR(__xludf.DUMMYFUNCTION("""COMPUTED_VALUE"""),142373.66)</f>
        <v>142373.66</v>
      </c>
      <c r="I153" s="87"/>
    </row>
    <row r="154">
      <c r="A154" s="46" t="str">
        <f>IFERROR(__xludf.DUMMYFUNCTION("""COMPUTED_VALUE"""),"Asia")</f>
        <v>Asia</v>
      </c>
      <c r="B154" s="46" t="str">
        <f>IFERROR(__xludf.DUMMYFUNCTION("""COMPUTED_VALUE"""),"Armenia")</f>
        <v>Armenia</v>
      </c>
      <c r="C154" s="46" t="str">
        <f>IFERROR(__xludf.DUMMYFUNCTION("""COMPUTED_VALUE"""),"Baby Food")</f>
        <v>Baby Food</v>
      </c>
      <c r="D154" s="46">
        <f>IFERROR(__xludf.DUMMYFUNCTION("""COMPUTED_VALUE"""),15.0)</f>
        <v>15</v>
      </c>
      <c r="E154" s="46">
        <f>IFERROR(__xludf.DUMMYFUNCTION("""COMPUTED_VALUE"""),1.94922626E8)</f>
        <v>194922626</v>
      </c>
      <c r="F154" s="84">
        <f>IFERROR(__xludf.DUMMYFUNCTION("""COMPUTED_VALUE"""),201926.48)</f>
        <v>201926.48</v>
      </c>
      <c r="I154" s="87"/>
    </row>
    <row r="155">
      <c r="A155" s="46" t="str">
        <f>IFERROR(__xludf.DUMMYFUNCTION("""COMPUTED_VALUE"""),"Europe")</f>
        <v>Europe</v>
      </c>
      <c r="B155" s="46" t="str">
        <f>IFERROR(__xludf.DUMMYFUNCTION("""COMPUTED_VALUE"""),"Finland")</f>
        <v>Finland</v>
      </c>
      <c r="C155" s="46" t="str">
        <f>IFERROR(__xludf.DUMMYFUNCTION("""COMPUTED_VALUE"""),"Personal Care")</f>
        <v>Personal Care</v>
      </c>
      <c r="D155" s="46">
        <f>IFERROR(__xludf.DUMMYFUNCTION("""COMPUTED_VALUE"""),41.0)</f>
        <v>41</v>
      </c>
      <c r="E155" s="46">
        <f>IFERROR(__xludf.DUMMYFUNCTION("""COMPUTED_VALUE"""),1.95171105E8)</f>
        <v>195171105</v>
      </c>
      <c r="F155" s="84">
        <f>IFERROR(__xludf.DUMMYFUNCTION("""COMPUTED_VALUE"""),353237.06)</f>
        <v>353237.06</v>
      </c>
      <c r="I155" s="87"/>
    </row>
    <row r="156">
      <c r="A156" s="46" t="str">
        <f>IFERROR(__xludf.DUMMYFUNCTION("""COMPUTED_VALUE"""),"Europe")</f>
        <v>Europe</v>
      </c>
      <c r="B156" s="46" t="str">
        <f>IFERROR(__xludf.DUMMYFUNCTION("""COMPUTED_VALUE"""),"Estonia")</f>
        <v>Estonia</v>
      </c>
      <c r="C156" s="46" t="str">
        <f>IFERROR(__xludf.DUMMYFUNCTION("""COMPUTED_VALUE"""),"Cereal")</f>
        <v>Cereal</v>
      </c>
      <c r="D156" s="46">
        <f>IFERROR(__xludf.DUMMYFUNCTION("""COMPUTED_VALUE"""),27.0)</f>
        <v>27</v>
      </c>
      <c r="E156" s="46">
        <f>IFERROR(__xludf.DUMMYFUNCTION("""COMPUTED_VALUE"""),1.95212733E8)</f>
        <v>195212733</v>
      </c>
      <c r="F156" s="84">
        <f>IFERROR(__xludf.DUMMYFUNCTION("""COMPUTED_VALUE"""),1366053.7)</f>
        <v>1366053.7</v>
      </c>
      <c r="I156" s="87"/>
    </row>
    <row r="157">
      <c r="A157" s="46" t="str">
        <f>IFERROR(__xludf.DUMMYFUNCTION("""COMPUTED_VALUE"""),"Europe")</f>
        <v>Europe</v>
      </c>
      <c r="B157" s="46" t="str">
        <f>IFERROR(__xludf.DUMMYFUNCTION("""COMPUTED_VALUE"""),"Greece")</f>
        <v>Greece</v>
      </c>
      <c r="C157" s="46" t="str">
        <f>IFERROR(__xludf.DUMMYFUNCTION("""COMPUTED_VALUE"""),"Household")</f>
        <v>Household</v>
      </c>
      <c r="D157" s="46">
        <f>IFERROR(__xludf.DUMMYFUNCTION("""COMPUTED_VALUE"""),15.0)</f>
        <v>15</v>
      </c>
      <c r="E157" s="46">
        <f>IFERROR(__xludf.DUMMYFUNCTION("""COMPUTED_VALUE"""),1.95259082E8)</f>
        <v>195259082</v>
      </c>
      <c r="F157" s="84">
        <f>IFERROR(__xludf.DUMMYFUNCTION("""COMPUTED_VALUE"""),237904.12)</f>
        <v>237904.12</v>
      </c>
      <c r="I157" s="87"/>
    </row>
    <row r="158">
      <c r="A158" s="46" t="str">
        <f>IFERROR(__xludf.DUMMYFUNCTION("""COMPUTED_VALUE"""),"Asia")</f>
        <v>Asia</v>
      </c>
      <c r="B158" s="46" t="str">
        <f>IFERROR(__xludf.DUMMYFUNCTION("""COMPUTED_VALUE"""),"Armenia")</f>
        <v>Armenia</v>
      </c>
      <c r="C158" s="46" t="str">
        <f>IFERROR(__xludf.DUMMYFUNCTION("""COMPUTED_VALUE"""),"Snacks")</f>
        <v>Snacks</v>
      </c>
      <c r="D158" s="46">
        <f>IFERROR(__xludf.DUMMYFUNCTION("""COMPUTED_VALUE"""),43.0)</f>
        <v>43</v>
      </c>
      <c r="E158" s="46">
        <f>IFERROR(__xludf.DUMMYFUNCTION("""COMPUTED_VALUE"""),1.96346127E8)</f>
        <v>196346127</v>
      </c>
      <c r="F158" s="84">
        <f>IFERROR(__xludf.DUMMYFUNCTION("""COMPUTED_VALUE"""),310805.46)</f>
        <v>310805.46</v>
      </c>
      <c r="I158" s="87"/>
    </row>
    <row r="159">
      <c r="A159" s="46" t="str">
        <f>IFERROR(__xludf.DUMMYFUNCTION("""COMPUTED_VALUE"""),"Europe")</f>
        <v>Europe</v>
      </c>
      <c r="B159" s="46" t="str">
        <f>IFERROR(__xludf.DUMMYFUNCTION("""COMPUTED_VALUE"""),"Denmark")</f>
        <v>Denmark</v>
      </c>
      <c r="C159" s="46" t="str">
        <f>IFERROR(__xludf.DUMMYFUNCTION("""COMPUTED_VALUE"""),"Meat")</f>
        <v>Meat</v>
      </c>
      <c r="D159" s="46">
        <f>IFERROR(__xludf.DUMMYFUNCTION("""COMPUTED_VALUE"""),23.0)</f>
        <v>23</v>
      </c>
      <c r="E159" s="46">
        <f>IFERROR(__xludf.DUMMYFUNCTION("""COMPUTED_VALUE"""),1.98537814E8)</f>
        <v>198537814</v>
      </c>
      <c r="F159" s="84">
        <f>IFERROR(__xludf.DUMMYFUNCTION("""COMPUTED_VALUE"""),255665.34)</f>
        <v>255665.34</v>
      </c>
      <c r="I159" s="87"/>
    </row>
    <row r="160">
      <c r="A160" s="46" t="str">
        <f>IFERROR(__xludf.DUMMYFUNCTION("""COMPUTED_VALUE"""),"Europe")</f>
        <v>Europe</v>
      </c>
      <c r="B160" s="46" t="str">
        <f>IFERROR(__xludf.DUMMYFUNCTION("""COMPUTED_VALUE"""),"Macedonia")</f>
        <v>Macedonia</v>
      </c>
      <c r="C160" s="46" t="str">
        <f>IFERROR(__xludf.DUMMYFUNCTION("""COMPUTED_VALUE"""),"Baby Food")</f>
        <v>Baby Food</v>
      </c>
      <c r="D160" s="46">
        <f>IFERROR(__xludf.DUMMYFUNCTION("""COMPUTED_VALUE"""),33.0)</f>
        <v>33</v>
      </c>
      <c r="E160" s="46">
        <f>IFERROR(__xludf.DUMMYFUNCTION("""COMPUTED_VALUE"""),2.0035485E8)</f>
        <v>200354850</v>
      </c>
      <c r="F160" s="84">
        <f>IFERROR(__xludf.DUMMYFUNCTION("""COMPUTED_VALUE"""),2120610.96)</f>
        <v>2120610.96</v>
      </c>
      <c r="I160" s="87"/>
    </row>
    <row r="161">
      <c r="A161" s="46" t="str">
        <f>IFERROR(__xludf.DUMMYFUNCTION("""COMPUTED_VALUE"""),"Europe")</f>
        <v>Europe</v>
      </c>
      <c r="B161" s="46" t="str">
        <f>IFERROR(__xludf.DUMMYFUNCTION("""COMPUTED_VALUE"""),"Portugal")</f>
        <v>Portugal</v>
      </c>
      <c r="C161" s="46" t="str">
        <f>IFERROR(__xludf.DUMMYFUNCTION("""COMPUTED_VALUE"""),"Household")</f>
        <v>Household</v>
      </c>
      <c r="D161" s="46">
        <f>IFERROR(__xludf.DUMMYFUNCTION("""COMPUTED_VALUE"""),14.0)</f>
        <v>14</v>
      </c>
      <c r="E161" s="46">
        <f>IFERROR(__xludf.DUMMYFUNCTION("""COMPUTED_VALUE"""),2.00432097E8)</f>
        <v>200432097</v>
      </c>
      <c r="F161" s="84">
        <f>IFERROR(__xludf.DUMMYFUNCTION("""COMPUTED_VALUE"""),779871.09)</f>
        <v>779871.09</v>
      </c>
      <c r="I161" s="87"/>
    </row>
    <row r="162">
      <c r="A162" s="46" t="str">
        <f>IFERROR(__xludf.DUMMYFUNCTION("""COMPUTED_VALUE"""),"Europe")</f>
        <v>Europe</v>
      </c>
      <c r="B162" s="46" t="str">
        <f>IFERROR(__xludf.DUMMYFUNCTION("""COMPUTED_VALUE"""),"Bulgaria")</f>
        <v>Bulgaria</v>
      </c>
      <c r="C162" s="46" t="str">
        <f>IFERROR(__xludf.DUMMYFUNCTION("""COMPUTED_VALUE"""),"Office Supplies")</f>
        <v>Office Supplies</v>
      </c>
      <c r="D162" s="46">
        <f>IFERROR(__xludf.DUMMYFUNCTION("""COMPUTED_VALUE"""),16.0)</f>
        <v>16</v>
      </c>
      <c r="E162" s="46">
        <f>IFERROR(__xludf.DUMMYFUNCTION("""COMPUTED_VALUE"""),2.00507199E8)</f>
        <v>200507199</v>
      </c>
      <c r="F162" s="84">
        <f>IFERROR(__xludf.DUMMYFUNCTION("""COMPUTED_VALUE"""),2208253.1100000003)</f>
        <v>2208253.11</v>
      </c>
      <c r="I162" s="87"/>
    </row>
    <row r="163">
      <c r="A163" s="46" t="str">
        <f>IFERROR(__xludf.DUMMYFUNCTION("""COMPUTED_VALUE"""),"Europe")</f>
        <v>Europe</v>
      </c>
      <c r="B163" s="46" t="str">
        <f>IFERROR(__xludf.DUMMYFUNCTION("""COMPUTED_VALUE"""),"San Marino")</f>
        <v>San Marino</v>
      </c>
      <c r="C163" s="46" t="str">
        <f>IFERROR(__xludf.DUMMYFUNCTION("""COMPUTED_VALUE"""),"Snacks")</f>
        <v>Snacks</v>
      </c>
      <c r="D163" s="46">
        <f>IFERROR(__xludf.DUMMYFUNCTION("""COMPUTED_VALUE"""),31.0)</f>
        <v>31</v>
      </c>
      <c r="E163" s="46">
        <f>IFERROR(__xludf.DUMMYFUNCTION("""COMPUTED_VALUE"""),2.01294267E8)</f>
        <v>201294267</v>
      </c>
      <c r="F163" s="84">
        <f>IFERROR(__xludf.DUMMYFUNCTION("""COMPUTED_VALUE"""),961559.16)</f>
        <v>961559.16</v>
      </c>
      <c r="I163" s="87"/>
    </row>
    <row r="164">
      <c r="A164" s="46" t="str">
        <f>IFERROR(__xludf.DUMMYFUNCTION("""COMPUTED_VALUE"""),"Europe")</f>
        <v>Europe</v>
      </c>
      <c r="B164" s="46" t="str">
        <f>IFERROR(__xludf.DUMMYFUNCTION("""COMPUTED_VALUE"""),"Ukraine")</f>
        <v>Ukraine</v>
      </c>
      <c r="C164" s="46" t="str">
        <f>IFERROR(__xludf.DUMMYFUNCTION("""COMPUTED_VALUE"""),"Cosmetics")</f>
        <v>Cosmetics</v>
      </c>
      <c r="D164" s="46">
        <f>IFERROR(__xludf.DUMMYFUNCTION("""COMPUTED_VALUE"""),37.0)</f>
        <v>37</v>
      </c>
      <c r="E164" s="46">
        <f>IFERROR(__xludf.DUMMYFUNCTION("""COMPUTED_VALUE"""),2.02047002E8)</f>
        <v>202047002</v>
      </c>
      <c r="F164" s="84">
        <f>IFERROR(__xludf.DUMMYFUNCTION("""COMPUTED_VALUE"""),3957971.6)</f>
        <v>3957971.6</v>
      </c>
      <c r="I164" s="87"/>
    </row>
    <row r="165">
      <c r="A165" s="46" t="str">
        <f>IFERROR(__xludf.DUMMYFUNCTION("""COMPUTED_VALUE"""),"Asia")</f>
        <v>Asia</v>
      </c>
      <c r="B165" s="46" t="str">
        <f>IFERROR(__xludf.DUMMYFUNCTION("""COMPUTED_VALUE"""),"Georgia")</f>
        <v>Georgia</v>
      </c>
      <c r="C165" s="46" t="str">
        <f>IFERROR(__xludf.DUMMYFUNCTION("""COMPUTED_VALUE"""),"Baby Food")</f>
        <v>Baby Food</v>
      </c>
      <c r="D165" s="46">
        <f>IFERROR(__xludf.DUMMYFUNCTION("""COMPUTED_VALUE"""),34.0)</f>
        <v>34</v>
      </c>
      <c r="E165" s="46">
        <f>IFERROR(__xludf.DUMMYFUNCTION("""COMPUTED_VALUE"""),2.0303663E8)</f>
        <v>203036630</v>
      </c>
      <c r="F165" s="84">
        <f>IFERROR(__xludf.DUMMYFUNCTION("""COMPUTED_VALUE"""),486308.4)</f>
        <v>486308.4</v>
      </c>
      <c r="I165" s="87"/>
    </row>
    <row r="166">
      <c r="A166" s="46" t="str">
        <f>IFERROR(__xludf.DUMMYFUNCTION("""COMPUTED_VALUE"""),"Europe")</f>
        <v>Europe</v>
      </c>
      <c r="B166" s="46" t="str">
        <f>IFERROR(__xludf.DUMMYFUNCTION("""COMPUTED_VALUE"""),"Iceland")</f>
        <v>Iceland</v>
      </c>
      <c r="C166" s="46" t="str">
        <f>IFERROR(__xludf.DUMMYFUNCTION("""COMPUTED_VALUE"""),"Cereal")</f>
        <v>Cereal</v>
      </c>
      <c r="D166" s="46">
        <f>IFERROR(__xludf.DUMMYFUNCTION("""COMPUTED_VALUE"""),33.0)</f>
        <v>33</v>
      </c>
      <c r="E166" s="46">
        <f>IFERROR(__xludf.DUMMYFUNCTION("""COMPUTED_VALUE"""),2.03955876E8)</f>
        <v>203955876</v>
      </c>
      <c r="F166" s="84">
        <f>IFERROR(__xludf.DUMMYFUNCTION("""COMPUTED_VALUE"""),808606.7)</f>
        <v>808606.7</v>
      </c>
      <c r="I166" s="87"/>
    </row>
    <row r="167">
      <c r="A167" s="46" t="str">
        <f>IFERROR(__xludf.DUMMYFUNCTION("""COMPUTED_VALUE"""),"Europe")</f>
        <v>Europe</v>
      </c>
      <c r="B167" s="46" t="str">
        <f>IFERROR(__xludf.DUMMYFUNCTION("""COMPUTED_VALUE"""),"Hungary")</f>
        <v>Hungary</v>
      </c>
      <c r="C167" s="46" t="str">
        <f>IFERROR(__xludf.DUMMYFUNCTION("""COMPUTED_VALUE"""),"Office Supplies")</f>
        <v>Office Supplies</v>
      </c>
      <c r="D167" s="46">
        <f>IFERROR(__xludf.DUMMYFUNCTION("""COMPUTED_VALUE"""),37.0)</f>
        <v>37</v>
      </c>
      <c r="E167" s="46">
        <f>IFERROR(__xludf.DUMMYFUNCTION("""COMPUTED_VALUE"""),2.04392325E8)</f>
        <v>204392325</v>
      </c>
      <c r="F167" s="84">
        <f>IFERROR(__xludf.DUMMYFUNCTION("""COMPUTED_VALUE"""),2009634.06)</f>
        <v>2009634.06</v>
      </c>
      <c r="I167" s="87"/>
    </row>
    <row r="168">
      <c r="A168" s="46" t="str">
        <f>IFERROR(__xludf.DUMMYFUNCTION("""COMPUTED_VALUE"""),"Europe")</f>
        <v>Europe</v>
      </c>
      <c r="B168" s="46" t="str">
        <f>IFERROR(__xludf.DUMMYFUNCTION("""COMPUTED_VALUE"""),"Germany")</f>
        <v>Germany</v>
      </c>
      <c r="C168" s="46" t="str">
        <f>IFERROR(__xludf.DUMMYFUNCTION("""COMPUTED_VALUE"""),"Vegetables")</f>
        <v>Vegetables</v>
      </c>
      <c r="D168" s="46">
        <f>IFERROR(__xludf.DUMMYFUNCTION("""COMPUTED_VALUE"""),27.0)</f>
        <v>27</v>
      </c>
      <c r="E168" s="46">
        <f>IFERROR(__xludf.DUMMYFUNCTION("""COMPUTED_VALUE"""),2.04418504E8)</f>
        <v>204418504</v>
      </c>
      <c r="F168" s="84">
        <f>IFERROR(__xludf.DUMMYFUNCTION("""COMPUTED_VALUE"""),128331.98)</f>
        <v>128331.98</v>
      </c>
      <c r="I168" s="87"/>
    </row>
    <row r="169">
      <c r="A169" s="46" t="str">
        <f>IFERROR(__xludf.DUMMYFUNCTION("""COMPUTED_VALUE"""),"Europe")</f>
        <v>Europe</v>
      </c>
      <c r="B169" s="46" t="str">
        <f>IFERROR(__xludf.DUMMYFUNCTION("""COMPUTED_VALUE"""),"Bosnia and Herzegovina")</f>
        <v>Bosnia and Herzegovina</v>
      </c>
      <c r="C169" s="46" t="str">
        <f>IFERROR(__xludf.DUMMYFUNCTION("""COMPUTED_VALUE"""),"Cosmetics")</f>
        <v>Cosmetics</v>
      </c>
      <c r="D169" s="46">
        <f>IFERROR(__xludf.DUMMYFUNCTION("""COMPUTED_VALUE"""),8.0)</f>
        <v>8</v>
      </c>
      <c r="E169" s="46">
        <f>IFERROR(__xludf.DUMMYFUNCTION("""COMPUTED_VALUE"""),2.05354487E8)</f>
        <v>205354487</v>
      </c>
      <c r="F169" s="84">
        <f>IFERROR(__xludf.DUMMYFUNCTION("""COMPUTED_VALUE"""),3414969.1999999997)</f>
        <v>3414969.2</v>
      </c>
      <c r="I169" s="87"/>
    </row>
    <row r="170">
      <c r="A170" s="46" t="str">
        <f>IFERROR(__xludf.DUMMYFUNCTION("""COMPUTED_VALUE"""),"Europe")</f>
        <v>Europe</v>
      </c>
      <c r="B170" s="46" t="str">
        <f>IFERROR(__xludf.DUMMYFUNCTION("""COMPUTED_VALUE"""),"Albania")</f>
        <v>Albania</v>
      </c>
      <c r="C170" s="46" t="str">
        <f>IFERROR(__xludf.DUMMYFUNCTION("""COMPUTED_VALUE"""),"Cosmetics")</f>
        <v>Cosmetics</v>
      </c>
      <c r="D170" s="46">
        <f>IFERROR(__xludf.DUMMYFUNCTION("""COMPUTED_VALUE"""),47.0)</f>
        <v>47</v>
      </c>
      <c r="E170" s="46">
        <f>IFERROR(__xludf.DUMMYFUNCTION("""COMPUTED_VALUE"""),2.08238399E8)</f>
        <v>208238399</v>
      </c>
      <c r="F170" s="84">
        <f>IFERROR(__xludf.DUMMYFUNCTION("""COMPUTED_VALUE"""),535132.7999999999)</f>
        <v>535132.8</v>
      </c>
      <c r="I170" s="87"/>
    </row>
    <row r="171">
      <c r="A171" s="46" t="str">
        <f>IFERROR(__xludf.DUMMYFUNCTION("""COMPUTED_VALUE"""),"Europe")</f>
        <v>Europe</v>
      </c>
      <c r="B171" s="46" t="str">
        <f>IFERROR(__xludf.DUMMYFUNCTION("""COMPUTED_VALUE"""),"Poland")</f>
        <v>Poland</v>
      </c>
      <c r="C171" s="46" t="str">
        <f>IFERROR(__xludf.DUMMYFUNCTION("""COMPUTED_VALUE"""),"Office Supplies")</f>
        <v>Office Supplies</v>
      </c>
      <c r="D171" s="46">
        <f>IFERROR(__xludf.DUMMYFUNCTION("""COMPUTED_VALUE"""),32.0)</f>
        <v>32</v>
      </c>
      <c r="E171" s="46">
        <f>IFERROR(__xludf.DUMMYFUNCTION("""COMPUTED_VALUE"""),2.08365428E8)</f>
        <v>208365428</v>
      </c>
      <c r="F171" s="84">
        <f>IFERROR(__xludf.DUMMYFUNCTION("""COMPUTED_VALUE"""),5740416.15)</f>
        <v>5740416.15</v>
      </c>
      <c r="I171" s="87"/>
    </row>
    <row r="172">
      <c r="A172" s="46" t="str">
        <f>IFERROR(__xludf.DUMMYFUNCTION("""COMPUTED_VALUE"""),"Europe")</f>
        <v>Europe</v>
      </c>
      <c r="B172" s="46" t="str">
        <f>IFERROR(__xludf.DUMMYFUNCTION("""COMPUTED_VALUE"""),"Slovakia")</f>
        <v>Slovakia</v>
      </c>
      <c r="C172" s="46" t="str">
        <f>IFERROR(__xludf.DUMMYFUNCTION("""COMPUTED_VALUE"""),"Cereal")</f>
        <v>Cereal</v>
      </c>
      <c r="D172" s="46">
        <f>IFERROR(__xludf.DUMMYFUNCTION("""COMPUTED_VALUE"""),8.0)</f>
        <v>8</v>
      </c>
      <c r="E172" s="46">
        <f>IFERROR(__xludf.DUMMYFUNCTION("""COMPUTED_VALUE"""),2.09357202E8)</f>
        <v>209357202</v>
      </c>
      <c r="F172" s="84">
        <f>IFERROR(__xludf.DUMMYFUNCTION("""COMPUTED_VALUE"""),473727.1)</f>
        <v>473727.1</v>
      </c>
      <c r="I172" s="87"/>
    </row>
    <row r="173">
      <c r="A173" s="46" t="str">
        <f>IFERROR(__xludf.DUMMYFUNCTION("""COMPUTED_VALUE"""),"Europe")</f>
        <v>Europe</v>
      </c>
      <c r="B173" s="46" t="str">
        <f>IFERROR(__xludf.DUMMYFUNCTION("""COMPUTED_VALUE"""),"Switzerland")</f>
        <v>Switzerland</v>
      </c>
      <c r="C173" s="46" t="str">
        <f>IFERROR(__xludf.DUMMYFUNCTION("""COMPUTED_VALUE"""),"Cosmetics")</f>
        <v>Cosmetics</v>
      </c>
      <c r="D173" s="46">
        <f>IFERROR(__xludf.DUMMYFUNCTION("""COMPUTED_VALUE"""),33.0)</f>
        <v>33</v>
      </c>
      <c r="E173" s="46">
        <f>IFERROR(__xludf.DUMMYFUNCTION("""COMPUTED_VALUE"""),2.09445178E8)</f>
        <v>209445178</v>
      </c>
      <c r="F173" s="84">
        <f>IFERROR(__xludf.DUMMYFUNCTION("""COMPUTED_VALUE"""),3644936.4)</f>
        <v>3644936.4</v>
      </c>
      <c r="I173" s="87"/>
    </row>
    <row r="174">
      <c r="A174" s="46" t="str">
        <f>IFERROR(__xludf.DUMMYFUNCTION("""COMPUTED_VALUE"""),"Asia")</f>
        <v>Asia</v>
      </c>
      <c r="B174" s="46" t="str">
        <f>IFERROR(__xludf.DUMMYFUNCTION("""COMPUTED_VALUE"""),"Cyprus")</f>
        <v>Cyprus</v>
      </c>
      <c r="C174" s="46" t="str">
        <f>IFERROR(__xludf.DUMMYFUNCTION("""COMPUTED_VALUE"""),"Clothes")</f>
        <v>Clothes</v>
      </c>
      <c r="D174" s="46">
        <f>IFERROR(__xludf.DUMMYFUNCTION("""COMPUTED_VALUE"""),2.0)</f>
        <v>2</v>
      </c>
      <c r="E174" s="46">
        <f>IFERROR(__xludf.DUMMYFUNCTION("""COMPUTED_VALUE"""),2.09598815E8)</f>
        <v>209598815</v>
      </c>
      <c r="F174" s="84">
        <f>IFERROR(__xludf.DUMMYFUNCTION("""COMPUTED_VALUE"""),415482.56)</f>
        <v>415482.56</v>
      </c>
      <c r="I174" s="87"/>
    </row>
    <row r="175">
      <c r="A175" s="46" t="str">
        <f>IFERROR(__xludf.DUMMYFUNCTION("""COMPUTED_VALUE"""),"Europe")</f>
        <v>Europe</v>
      </c>
      <c r="B175" s="46" t="str">
        <f>IFERROR(__xludf.DUMMYFUNCTION("""COMPUTED_VALUE"""),"Serbia")</f>
        <v>Serbia</v>
      </c>
      <c r="C175" s="46" t="str">
        <f>IFERROR(__xludf.DUMMYFUNCTION("""COMPUTED_VALUE"""),"Office Supplies")</f>
        <v>Office Supplies</v>
      </c>
      <c r="D175" s="46">
        <f>IFERROR(__xludf.DUMMYFUNCTION("""COMPUTED_VALUE"""),31.0)</f>
        <v>31</v>
      </c>
      <c r="E175" s="46">
        <f>IFERROR(__xludf.DUMMYFUNCTION("""COMPUTED_VALUE"""),2.09736573E8)</f>
        <v>209736573</v>
      </c>
      <c r="F175" s="84">
        <f>IFERROR(__xludf.DUMMYFUNCTION("""COMPUTED_VALUE"""),2974727.2800000003)</f>
        <v>2974727.28</v>
      </c>
      <c r="I175" s="87"/>
    </row>
    <row r="176">
      <c r="A176" s="46" t="str">
        <f>IFERROR(__xludf.DUMMYFUNCTION("""COMPUTED_VALUE"""),"Europe")</f>
        <v>Europe</v>
      </c>
      <c r="B176" s="46" t="str">
        <f>IFERROR(__xludf.DUMMYFUNCTION("""COMPUTED_VALUE"""),"Bulgaria")</f>
        <v>Bulgaria</v>
      </c>
      <c r="C176" s="46" t="str">
        <f>IFERROR(__xludf.DUMMYFUNCTION("""COMPUTED_VALUE"""),"Snacks")</f>
        <v>Snacks</v>
      </c>
      <c r="D176" s="46">
        <f>IFERROR(__xludf.DUMMYFUNCTION("""COMPUTED_VALUE"""),22.0)</f>
        <v>22</v>
      </c>
      <c r="E176" s="46">
        <f>IFERROR(__xludf.DUMMYFUNCTION("""COMPUTED_VALUE"""),2.11344611E8)</f>
        <v>211344611</v>
      </c>
      <c r="F176" s="84">
        <f>IFERROR(__xludf.DUMMYFUNCTION("""COMPUTED_VALUE"""),64388.76)</f>
        <v>64388.76</v>
      </c>
      <c r="I176" s="87"/>
    </row>
    <row r="177">
      <c r="A177" s="46" t="str">
        <f>IFERROR(__xludf.DUMMYFUNCTION("""COMPUTED_VALUE"""),"Europe")</f>
        <v>Europe</v>
      </c>
      <c r="B177" s="46" t="str">
        <f>IFERROR(__xludf.DUMMYFUNCTION("""COMPUTED_VALUE"""),"Lithuania")</f>
        <v>Lithuania</v>
      </c>
      <c r="C177" s="46" t="str">
        <f>IFERROR(__xludf.DUMMYFUNCTION("""COMPUTED_VALUE"""),"Office Supplies")</f>
        <v>Office Supplies</v>
      </c>
      <c r="D177" s="46">
        <f>IFERROR(__xludf.DUMMYFUNCTION("""COMPUTED_VALUE"""),34.0)</f>
        <v>34</v>
      </c>
      <c r="E177" s="46">
        <f>IFERROR(__xludf.DUMMYFUNCTION("""COMPUTED_VALUE"""),2.12106788E8)</f>
        <v>212106788</v>
      </c>
      <c r="F177" s="84">
        <f>IFERROR(__xludf.DUMMYFUNCTION("""COMPUTED_VALUE"""),3885770.0700000003)</f>
        <v>3885770.07</v>
      </c>
      <c r="I177" s="87"/>
    </row>
    <row r="178">
      <c r="A178" s="46" t="str">
        <f>IFERROR(__xludf.DUMMYFUNCTION("""COMPUTED_VALUE"""),"Europe")</f>
        <v>Europe</v>
      </c>
      <c r="B178" s="46" t="str">
        <f>IFERROR(__xludf.DUMMYFUNCTION("""COMPUTED_VALUE"""),"Macedonia")</f>
        <v>Macedonia</v>
      </c>
      <c r="C178" s="46" t="str">
        <f>IFERROR(__xludf.DUMMYFUNCTION("""COMPUTED_VALUE"""),"Beverages")</f>
        <v>Beverages</v>
      </c>
      <c r="D178" s="46">
        <f>IFERROR(__xludf.DUMMYFUNCTION("""COMPUTED_VALUE"""),15.0)</f>
        <v>15</v>
      </c>
      <c r="E178" s="46">
        <f>IFERROR(__xludf.DUMMYFUNCTION("""COMPUTED_VALUE"""),2.12319648E8)</f>
        <v>212319648</v>
      </c>
      <c r="F178" s="84">
        <f>IFERROR(__xludf.DUMMYFUNCTION("""COMPUTED_VALUE"""),425009.65)</f>
        <v>425009.65</v>
      </c>
      <c r="I178" s="87"/>
    </row>
    <row r="179">
      <c r="A179" s="46" t="str">
        <f>IFERROR(__xludf.DUMMYFUNCTION("""COMPUTED_VALUE"""),"Europe")</f>
        <v>Europe</v>
      </c>
      <c r="B179" s="46" t="str">
        <f>IFERROR(__xludf.DUMMYFUNCTION("""COMPUTED_VALUE"""),"Andorra")</f>
        <v>Andorra</v>
      </c>
      <c r="C179" s="46" t="str">
        <f>IFERROR(__xludf.DUMMYFUNCTION("""COMPUTED_VALUE"""),"Meat")</f>
        <v>Meat</v>
      </c>
      <c r="D179" s="46">
        <f>IFERROR(__xludf.DUMMYFUNCTION("""COMPUTED_VALUE"""),0.0)</f>
        <v>0</v>
      </c>
      <c r="E179" s="46">
        <f>IFERROR(__xludf.DUMMYFUNCTION("""COMPUTED_VALUE"""),2.12903726E8)</f>
        <v>212903726</v>
      </c>
      <c r="F179" s="84">
        <f>IFERROR(__xludf.DUMMYFUNCTION("""COMPUTED_VALUE"""),758558.22)</f>
        <v>758558.22</v>
      </c>
      <c r="I179" s="87"/>
    </row>
    <row r="180">
      <c r="A180" s="46" t="str">
        <f>IFERROR(__xludf.DUMMYFUNCTION("""COMPUTED_VALUE"""),"Europe")</f>
        <v>Europe</v>
      </c>
      <c r="B180" s="46" t="str">
        <f>IFERROR(__xludf.DUMMYFUNCTION("""COMPUTED_VALUE"""),"Russia")</f>
        <v>Russia</v>
      </c>
      <c r="C180" s="46" t="str">
        <f>IFERROR(__xludf.DUMMYFUNCTION("""COMPUTED_VALUE"""),"Snacks")</f>
        <v>Snacks</v>
      </c>
      <c r="D180" s="46">
        <f>IFERROR(__xludf.DUMMYFUNCTION("""COMPUTED_VALUE"""),4.0)</f>
        <v>4</v>
      </c>
      <c r="E180" s="46">
        <f>IFERROR(__xludf.DUMMYFUNCTION("""COMPUTED_VALUE"""),2.14033257E8)</f>
        <v>214033257</v>
      </c>
      <c r="F180" s="84">
        <f>IFERROR(__xludf.DUMMYFUNCTION("""COMPUTED_VALUE"""),923414.16)</f>
        <v>923414.16</v>
      </c>
      <c r="I180" s="87"/>
    </row>
    <row r="181">
      <c r="A181" s="46" t="str">
        <f>IFERROR(__xludf.DUMMYFUNCTION("""COMPUTED_VALUE"""),"Europe")</f>
        <v>Europe</v>
      </c>
      <c r="B181" s="46" t="str">
        <f>IFERROR(__xludf.DUMMYFUNCTION("""COMPUTED_VALUE"""),"Switzerland")</f>
        <v>Switzerland</v>
      </c>
      <c r="C181" s="46" t="str">
        <f>IFERROR(__xludf.DUMMYFUNCTION("""COMPUTED_VALUE"""),"Snacks")</f>
        <v>Snacks</v>
      </c>
      <c r="D181" s="46">
        <f>IFERROR(__xludf.DUMMYFUNCTION("""COMPUTED_VALUE"""),24.0)</f>
        <v>24</v>
      </c>
      <c r="E181" s="46">
        <f>IFERROR(__xludf.DUMMYFUNCTION("""COMPUTED_VALUE"""),2.14292466E8)</f>
        <v>214292466</v>
      </c>
      <c r="F181" s="84">
        <f>IFERROR(__xludf.DUMMYFUNCTION("""COMPUTED_VALUE"""),420815.64)</f>
        <v>420815.64</v>
      </c>
      <c r="I181" s="87"/>
    </row>
    <row r="182">
      <c r="A182" s="46" t="str">
        <f>IFERROR(__xludf.DUMMYFUNCTION("""COMPUTED_VALUE"""),"Europe")</f>
        <v>Europe</v>
      </c>
      <c r="B182" s="46" t="str">
        <f>IFERROR(__xludf.DUMMYFUNCTION("""COMPUTED_VALUE"""),"Romania")</f>
        <v>Romania</v>
      </c>
      <c r="C182" s="46" t="str">
        <f>IFERROR(__xludf.DUMMYFUNCTION("""COMPUTED_VALUE"""),"Personal Care")</f>
        <v>Personal Care</v>
      </c>
      <c r="D182" s="46">
        <f>IFERROR(__xludf.DUMMYFUNCTION("""COMPUTED_VALUE"""),3.0)</f>
        <v>3</v>
      </c>
      <c r="E182" s="46">
        <f>IFERROR(__xludf.DUMMYFUNCTION("""COMPUTED_VALUE"""),2.15540015E8)</f>
        <v>215540015</v>
      </c>
      <c r="F182" s="84">
        <f>IFERROR(__xludf.DUMMYFUNCTION("""COMPUTED_VALUE"""),158147.55000000002)</f>
        <v>158147.55</v>
      </c>
      <c r="I182" s="87"/>
    </row>
    <row r="183">
      <c r="A183" s="46" t="str">
        <f>IFERROR(__xludf.DUMMYFUNCTION("""COMPUTED_VALUE"""),"Europe")</f>
        <v>Europe</v>
      </c>
      <c r="B183" s="46" t="str">
        <f>IFERROR(__xludf.DUMMYFUNCTION("""COMPUTED_VALUE"""),"Belarus")</f>
        <v>Belarus</v>
      </c>
      <c r="C183" s="46" t="str">
        <f>IFERROR(__xludf.DUMMYFUNCTION("""COMPUTED_VALUE"""),"Vegetables")</f>
        <v>Vegetables</v>
      </c>
      <c r="D183" s="46">
        <f>IFERROR(__xludf.DUMMYFUNCTION("""COMPUTED_VALUE"""),14.0)</f>
        <v>14</v>
      </c>
      <c r="E183" s="46">
        <f>IFERROR(__xludf.DUMMYFUNCTION("""COMPUTED_VALUE"""),2.15584218E8)</f>
        <v>215584218</v>
      </c>
      <c r="F183" s="84">
        <f>IFERROR(__xludf.DUMMYFUNCTION("""COMPUTED_VALUE"""),772764.96)</f>
        <v>772764.96</v>
      </c>
      <c r="I183" s="87"/>
    </row>
    <row r="184">
      <c r="A184" s="46" t="str">
        <f>IFERROR(__xludf.DUMMYFUNCTION("""COMPUTED_VALUE"""),"Europe")</f>
        <v>Europe</v>
      </c>
      <c r="B184" s="46" t="str">
        <f>IFERROR(__xludf.DUMMYFUNCTION("""COMPUTED_VALUE"""),"Luxembourg")</f>
        <v>Luxembourg</v>
      </c>
      <c r="C184" s="46" t="str">
        <f>IFERROR(__xludf.DUMMYFUNCTION("""COMPUTED_VALUE"""),"Meat")</f>
        <v>Meat</v>
      </c>
      <c r="D184" s="46">
        <f>IFERROR(__xludf.DUMMYFUNCTION("""COMPUTED_VALUE"""),0.0)</f>
        <v>0</v>
      </c>
      <c r="E184" s="46">
        <f>IFERROR(__xludf.DUMMYFUNCTION("""COMPUTED_VALUE"""),2.16278588E8)</f>
        <v>216278588</v>
      </c>
      <c r="F184" s="84">
        <f>IFERROR(__xludf.DUMMYFUNCTION("""COMPUTED_VALUE"""),208835.55)</f>
        <v>208835.55</v>
      </c>
      <c r="I184" s="87"/>
    </row>
    <row r="185">
      <c r="A185" s="46" t="str">
        <f>IFERROR(__xludf.DUMMYFUNCTION("""COMPUTED_VALUE"""),"Europe")</f>
        <v>Europe</v>
      </c>
      <c r="B185" s="46" t="str">
        <f>IFERROR(__xludf.DUMMYFUNCTION("""COMPUTED_VALUE"""),"Spain")</f>
        <v>Spain</v>
      </c>
      <c r="C185" s="46" t="str">
        <f>IFERROR(__xludf.DUMMYFUNCTION("""COMPUTED_VALUE"""),"Meat")</f>
        <v>Meat</v>
      </c>
      <c r="D185" s="46">
        <f>IFERROR(__xludf.DUMMYFUNCTION("""COMPUTED_VALUE"""),19.0)</f>
        <v>19</v>
      </c>
      <c r="E185" s="46">
        <f>IFERROR(__xludf.DUMMYFUNCTION("""COMPUTED_VALUE"""),2.17165648E8)</f>
        <v>217165648</v>
      </c>
      <c r="F185" s="84">
        <f>IFERROR(__xludf.DUMMYFUNCTION("""COMPUTED_VALUE"""),2091730.6199999999)</f>
        <v>2091730.62</v>
      </c>
      <c r="I185" s="87"/>
    </row>
    <row r="186">
      <c r="A186" s="46" t="str">
        <f>IFERROR(__xludf.DUMMYFUNCTION("""COMPUTED_VALUE"""),"Europe")</f>
        <v>Europe</v>
      </c>
      <c r="B186" s="46" t="str">
        <f>IFERROR(__xludf.DUMMYFUNCTION("""COMPUTED_VALUE"""),"Slovakia")</f>
        <v>Slovakia</v>
      </c>
      <c r="C186" s="46" t="str">
        <f>IFERROR(__xludf.DUMMYFUNCTION("""COMPUTED_VALUE"""),"Office Supplies")</f>
        <v>Office Supplies</v>
      </c>
      <c r="D186" s="46">
        <f>IFERROR(__xludf.DUMMYFUNCTION("""COMPUTED_VALUE"""),41.0)</f>
        <v>41</v>
      </c>
      <c r="E186" s="46">
        <f>IFERROR(__xludf.DUMMYFUNCTION("""COMPUTED_VALUE"""),2.17248904E8)</f>
        <v>217248904</v>
      </c>
      <c r="F186" s="84">
        <f>IFERROR(__xludf.DUMMYFUNCTION("""COMPUTED_VALUE"""),4970685.930000001)</f>
        <v>4970685.93</v>
      </c>
      <c r="I186" s="87"/>
    </row>
    <row r="187">
      <c r="A187" s="46" t="str">
        <f>IFERROR(__xludf.DUMMYFUNCTION("""COMPUTED_VALUE"""),"Europe")</f>
        <v>Europe</v>
      </c>
      <c r="B187" s="46" t="str">
        <f>IFERROR(__xludf.DUMMYFUNCTION("""COMPUTED_VALUE"""),"Estonia")</f>
        <v>Estonia</v>
      </c>
      <c r="C187" s="46" t="str">
        <f>IFERROR(__xludf.DUMMYFUNCTION("""COMPUTED_VALUE"""),"Beverages")</f>
        <v>Beverages</v>
      </c>
      <c r="D187" s="46">
        <f>IFERROR(__xludf.DUMMYFUNCTION("""COMPUTED_VALUE"""),15.0)</f>
        <v>15</v>
      </c>
      <c r="E187" s="46">
        <f>IFERROR(__xludf.DUMMYFUNCTION("""COMPUTED_VALUE"""),2.1785916E8)</f>
        <v>217859160</v>
      </c>
      <c r="F187" s="84">
        <f>IFERROR(__xludf.DUMMYFUNCTION("""COMPUTED_VALUE"""),390133.9)</f>
        <v>390133.9</v>
      </c>
      <c r="I187" s="87"/>
    </row>
    <row r="188">
      <c r="A188" s="46" t="str">
        <f>IFERROR(__xludf.DUMMYFUNCTION("""COMPUTED_VALUE"""),"Europe")</f>
        <v>Europe</v>
      </c>
      <c r="B188" s="46" t="str">
        <f>IFERROR(__xludf.DUMMYFUNCTION("""COMPUTED_VALUE"""),"Hungary")</f>
        <v>Hungary</v>
      </c>
      <c r="C188" s="46" t="str">
        <f>IFERROR(__xludf.DUMMYFUNCTION("""COMPUTED_VALUE"""),"Baby Food")</f>
        <v>Baby Food</v>
      </c>
      <c r="D188" s="46">
        <f>IFERROR(__xludf.DUMMYFUNCTION("""COMPUTED_VALUE"""),50.0)</f>
        <v>50</v>
      </c>
      <c r="E188" s="46">
        <f>IFERROR(__xludf.DUMMYFUNCTION("""COMPUTED_VALUE"""),2.17920958E8)</f>
        <v>217920958</v>
      </c>
      <c r="F188" s="84">
        <f>IFERROR(__xludf.DUMMYFUNCTION("""COMPUTED_VALUE"""),1661617.52)</f>
        <v>1661617.52</v>
      </c>
      <c r="I188" s="87"/>
    </row>
    <row r="189">
      <c r="A189" s="46" t="str">
        <f>IFERROR(__xludf.DUMMYFUNCTION("""COMPUTED_VALUE"""),"Europe")</f>
        <v>Europe</v>
      </c>
      <c r="B189" s="46" t="str">
        <f>IFERROR(__xludf.DUMMYFUNCTION("""COMPUTED_VALUE"""),"Ukraine")</f>
        <v>Ukraine</v>
      </c>
      <c r="C189" s="46" t="str">
        <f>IFERROR(__xludf.DUMMYFUNCTION("""COMPUTED_VALUE"""),"Meat")</f>
        <v>Meat</v>
      </c>
      <c r="D189" s="46">
        <f>IFERROR(__xludf.DUMMYFUNCTION("""COMPUTED_VALUE"""),14.0)</f>
        <v>14</v>
      </c>
      <c r="E189" s="46">
        <f>IFERROR(__xludf.DUMMYFUNCTION("""COMPUTED_VALUE"""),2.1945132E8)</f>
        <v>219451320</v>
      </c>
      <c r="F189" s="84">
        <f>IFERROR(__xludf.DUMMYFUNCTION("""COMPUTED_VALUE"""),3956062.53)</f>
        <v>3956062.53</v>
      </c>
      <c r="I189" s="87"/>
    </row>
    <row r="190">
      <c r="A190" s="46" t="str">
        <f>IFERROR(__xludf.DUMMYFUNCTION("""COMPUTED_VALUE"""),"Europe")</f>
        <v>Europe</v>
      </c>
      <c r="B190" s="46" t="str">
        <f>IFERROR(__xludf.DUMMYFUNCTION("""COMPUTED_VALUE"""),"Estonia")</f>
        <v>Estonia</v>
      </c>
      <c r="C190" s="46" t="str">
        <f>IFERROR(__xludf.DUMMYFUNCTION("""COMPUTED_VALUE"""),"Cereal")</f>
        <v>Cereal</v>
      </c>
      <c r="D190" s="46">
        <f>IFERROR(__xludf.DUMMYFUNCTION("""COMPUTED_VALUE"""),3.0)</f>
        <v>3</v>
      </c>
      <c r="E190" s="46">
        <f>IFERROR(__xludf.DUMMYFUNCTION("""COMPUTED_VALUE"""),2.20607459E8)</f>
        <v>220607459</v>
      </c>
      <c r="F190" s="84">
        <f>IFERROR(__xludf.DUMMYFUNCTION("""COMPUTED_VALUE"""),309372.8)</f>
        <v>309372.8</v>
      </c>
      <c r="I190" s="87"/>
    </row>
    <row r="191">
      <c r="A191" s="46" t="str">
        <f>IFERROR(__xludf.DUMMYFUNCTION("""COMPUTED_VALUE"""),"Europe")</f>
        <v>Europe</v>
      </c>
      <c r="B191" s="46" t="str">
        <f>IFERROR(__xludf.DUMMYFUNCTION("""COMPUTED_VALUE"""),"Russia")</f>
        <v>Russia</v>
      </c>
      <c r="C191" s="46" t="str">
        <f>IFERROR(__xludf.DUMMYFUNCTION("""COMPUTED_VALUE"""),"Clothes")</f>
        <v>Clothes</v>
      </c>
      <c r="D191" s="46">
        <f>IFERROR(__xludf.DUMMYFUNCTION("""COMPUTED_VALUE"""),35.0)</f>
        <v>35</v>
      </c>
      <c r="E191" s="46">
        <f>IFERROR(__xludf.DUMMYFUNCTION("""COMPUTED_VALUE"""),2.21628844E8)</f>
        <v>221628844</v>
      </c>
      <c r="F191" s="84">
        <f>IFERROR(__xludf.DUMMYFUNCTION("""COMPUTED_VALUE"""),410346.4)</f>
        <v>410346.4</v>
      </c>
      <c r="I191" s="87"/>
    </row>
    <row r="192">
      <c r="A192" s="46" t="str">
        <f>IFERROR(__xludf.DUMMYFUNCTION("""COMPUTED_VALUE"""),"Europe")</f>
        <v>Europe</v>
      </c>
      <c r="B192" s="46" t="str">
        <f>IFERROR(__xludf.DUMMYFUNCTION("""COMPUTED_VALUE"""),"Malta")</f>
        <v>Malta</v>
      </c>
      <c r="C192" s="46" t="str">
        <f>IFERROR(__xludf.DUMMYFUNCTION("""COMPUTED_VALUE"""),"Baby Food")</f>
        <v>Baby Food</v>
      </c>
      <c r="D192" s="46">
        <f>IFERROR(__xludf.DUMMYFUNCTION("""COMPUTED_VALUE"""),16.0)</f>
        <v>16</v>
      </c>
      <c r="E192" s="46">
        <f>IFERROR(__xludf.DUMMYFUNCTION("""COMPUTED_VALUE"""),2.22720611E8)</f>
        <v>222720611</v>
      </c>
      <c r="F192" s="84">
        <f>IFERROR(__xludf.DUMMYFUNCTION("""COMPUTED_VALUE"""),1744328.24)</f>
        <v>1744328.24</v>
      </c>
      <c r="I192" s="87"/>
    </row>
    <row r="193">
      <c r="A193" s="46" t="str">
        <f>IFERROR(__xludf.DUMMYFUNCTION("""COMPUTED_VALUE"""),"Europe")</f>
        <v>Europe</v>
      </c>
      <c r="B193" s="46" t="str">
        <f>IFERROR(__xludf.DUMMYFUNCTION("""COMPUTED_VALUE"""),"Denmark")</f>
        <v>Denmark</v>
      </c>
      <c r="C193" s="46" t="str">
        <f>IFERROR(__xludf.DUMMYFUNCTION("""COMPUTED_VALUE"""),"Beverages")</f>
        <v>Beverages</v>
      </c>
      <c r="D193" s="46">
        <f>IFERROR(__xludf.DUMMYFUNCTION("""COMPUTED_VALUE"""),44.0)</f>
        <v>44</v>
      </c>
      <c r="E193" s="46">
        <f>IFERROR(__xludf.DUMMYFUNCTION("""COMPUTED_VALUE"""),2.23199975E8)</f>
        <v>223199975</v>
      </c>
      <c r="F193" s="84">
        <f>IFERROR(__xludf.DUMMYFUNCTION("""COMPUTED_VALUE"""),412198.15)</f>
        <v>412198.15</v>
      </c>
      <c r="I193" s="87"/>
    </row>
    <row r="194">
      <c r="A194" s="46" t="str">
        <f>IFERROR(__xludf.DUMMYFUNCTION("""COMPUTED_VALUE"""),"Europe")</f>
        <v>Europe</v>
      </c>
      <c r="B194" s="46" t="str">
        <f>IFERROR(__xludf.DUMMYFUNCTION("""COMPUTED_VALUE"""),"Ireland")</f>
        <v>Ireland</v>
      </c>
      <c r="C194" s="46" t="str">
        <f>IFERROR(__xludf.DUMMYFUNCTION("""COMPUTED_VALUE"""),"Fruits")</f>
        <v>Fruits</v>
      </c>
      <c r="D194" s="46">
        <f>IFERROR(__xludf.DUMMYFUNCTION("""COMPUTED_VALUE"""),28.0)</f>
        <v>28</v>
      </c>
      <c r="E194" s="46">
        <f>IFERROR(__xludf.DUMMYFUNCTION("""COMPUTED_VALUE"""),2.23869454E8)</f>
        <v>223869454</v>
      </c>
      <c r="F194" s="84">
        <f>IFERROR(__xludf.DUMMYFUNCTION("""COMPUTED_VALUE"""),63453.33)</f>
        <v>63453.33</v>
      </c>
      <c r="I194" s="87"/>
    </row>
    <row r="195">
      <c r="A195" s="46" t="str">
        <f>IFERROR(__xludf.DUMMYFUNCTION("""COMPUTED_VALUE"""),"Europe")</f>
        <v>Europe</v>
      </c>
      <c r="B195" s="46" t="str">
        <f>IFERROR(__xludf.DUMMYFUNCTION("""COMPUTED_VALUE"""),"Slovakia")</f>
        <v>Slovakia</v>
      </c>
      <c r="C195" s="46" t="str">
        <f>IFERROR(__xludf.DUMMYFUNCTION("""COMPUTED_VALUE"""),"Office Supplies")</f>
        <v>Office Supplies</v>
      </c>
      <c r="D195" s="46">
        <f>IFERROR(__xludf.DUMMYFUNCTION("""COMPUTED_VALUE"""),37.0)</f>
        <v>37</v>
      </c>
      <c r="E195" s="46">
        <f>IFERROR(__xludf.DUMMYFUNCTION("""COMPUTED_VALUE"""),2.2464708E8)</f>
        <v>224647080</v>
      </c>
      <c r="F195" s="84">
        <f>IFERROR(__xludf.DUMMYFUNCTION("""COMPUTED_VALUE"""),4505070.78)</f>
        <v>4505070.78</v>
      </c>
      <c r="I195" s="87"/>
    </row>
    <row r="196">
      <c r="A196" s="46" t="str">
        <f>IFERROR(__xludf.DUMMYFUNCTION("""COMPUTED_VALUE"""),"Europe")</f>
        <v>Europe</v>
      </c>
      <c r="B196" s="46" t="str">
        <f>IFERROR(__xludf.DUMMYFUNCTION("""COMPUTED_VALUE"""),"San Marino")</f>
        <v>San Marino</v>
      </c>
      <c r="C196" s="46" t="str">
        <f>IFERROR(__xludf.DUMMYFUNCTION("""COMPUTED_VALUE"""),"Cosmetics")</f>
        <v>Cosmetics</v>
      </c>
      <c r="D196" s="46">
        <f>IFERROR(__xludf.DUMMYFUNCTION("""COMPUTED_VALUE"""),3.0)</f>
        <v>3</v>
      </c>
      <c r="E196" s="46">
        <f>IFERROR(__xludf.DUMMYFUNCTION("""COMPUTED_VALUE"""),2.282112E8)</f>
        <v>228211200</v>
      </c>
      <c r="F196" s="84">
        <f>IFERROR(__xludf.DUMMYFUNCTION("""COMPUTED_VALUE"""),708264.0)</f>
        <v>708264</v>
      </c>
      <c r="I196" s="87"/>
    </row>
    <row r="197">
      <c r="A197" s="46" t="str">
        <f>IFERROR(__xludf.DUMMYFUNCTION("""COMPUTED_VALUE"""),"Undefined")</f>
        <v>Undefined</v>
      </c>
      <c r="B197" s="46" t="str">
        <f>IFERROR(__xludf.DUMMYFUNCTION("""COMPUTED_VALUE"""),"Undefined")</f>
        <v>Undefined</v>
      </c>
      <c r="C197" s="46" t="str">
        <f>IFERROR(__xludf.DUMMYFUNCTION("""COMPUTED_VALUE"""),"Meat")</f>
        <v>Meat</v>
      </c>
      <c r="D197" s="46">
        <f>IFERROR(__xludf.DUMMYFUNCTION("""COMPUTED_VALUE"""),50.0)</f>
        <v>50</v>
      </c>
      <c r="E197" s="46">
        <f>IFERROR(__xludf.DUMMYFUNCTION("""COMPUTED_VALUE"""),2.29105556E8)</f>
        <v>229105556</v>
      </c>
      <c r="F197" s="84">
        <f>IFERROR(__xludf.DUMMYFUNCTION("""COMPUTED_VALUE"""),2649469.1999999997)</f>
        <v>2649469.2</v>
      </c>
      <c r="I197" s="87"/>
    </row>
    <row r="198">
      <c r="A198" s="46" t="str">
        <f>IFERROR(__xludf.DUMMYFUNCTION("""COMPUTED_VALUE"""),"Europe")</f>
        <v>Europe</v>
      </c>
      <c r="B198" s="46" t="str">
        <f>IFERROR(__xludf.DUMMYFUNCTION("""COMPUTED_VALUE"""),"Liechtenstein")</f>
        <v>Liechtenstein</v>
      </c>
      <c r="C198" s="46" t="str">
        <f>IFERROR(__xludf.DUMMYFUNCTION("""COMPUTED_VALUE"""),"Vegetables")</f>
        <v>Vegetables</v>
      </c>
      <c r="D198" s="46">
        <f>IFERROR(__xludf.DUMMYFUNCTION("""COMPUTED_VALUE"""),12.0)</f>
        <v>12</v>
      </c>
      <c r="E198" s="46">
        <f>IFERROR(__xludf.DUMMYFUNCTION("""COMPUTED_VALUE"""),2.29355323E8)</f>
        <v>229355323</v>
      </c>
      <c r="F198" s="84">
        <f>IFERROR(__xludf.DUMMYFUNCTION("""COMPUTED_VALUE"""),29579.52)</f>
        <v>29579.52</v>
      </c>
      <c r="I198" s="87"/>
    </row>
    <row r="199">
      <c r="A199" s="46" t="str">
        <f>IFERROR(__xludf.DUMMYFUNCTION("""COMPUTED_VALUE"""),"Europe")</f>
        <v>Europe</v>
      </c>
      <c r="B199" s="46" t="str">
        <f>IFERROR(__xludf.DUMMYFUNCTION("""COMPUTED_VALUE"""),"Liechtenstein")</f>
        <v>Liechtenstein</v>
      </c>
      <c r="C199" s="46" t="str">
        <f>IFERROR(__xludf.DUMMYFUNCTION("""COMPUTED_VALUE"""),"Cosmetics")</f>
        <v>Cosmetics</v>
      </c>
      <c r="D199" s="46">
        <f>IFERROR(__xludf.DUMMYFUNCTION("""COMPUTED_VALUE"""),0.0)</f>
        <v>0</v>
      </c>
      <c r="E199" s="46">
        <f>IFERROR(__xludf.DUMMYFUNCTION("""COMPUTED_VALUE"""),2.29693067E8)</f>
        <v>229693067</v>
      </c>
      <c r="F199" s="84">
        <f>IFERROR(__xludf.DUMMYFUNCTION("""COMPUTED_VALUE"""),60333.6)</f>
        <v>60333.6</v>
      </c>
      <c r="I199" s="87"/>
    </row>
    <row r="200">
      <c r="A200" s="46" t="str">
        <f>IFERROR(__xludf.DUMMYFUNCTION("""COMPUTED_VALUE"""),"Europe")</f>
        <v>Europe</v>
      </c>
      <c r="B200" s="46" t="str">
        <f>IFERROR(__xludf.DUMMYFUNCTION("""COMPUTED_VALUE"""),"Bosnia and Herzegovina")</f>
        <v>Bosnia and Herzegovina</v>
      </c>
      <c r="C200" s="46" t="str">
        <f>IFERROR(__xludf.DUMMYFUNCTION("""COMPUTED_VALUE"""),"Beverages")</f>
        <v>Beverages</v>
      </c>
      <c r="D200" s="46">
        <f>IFERROR(__xludf.DUMMYFUNCTION("""COMPUTED_VALUE"""),40.0)</f>
        <v>40</v>
      </c>
      <c r="E200" s="46">
        <f>IFERROR(__xludf.DUMMYFUNCTION("""COMPUTED_VALUE"""),2.31341445E8)</f>
        <v>231341445</v>
      </c>
      <c r="F200" s="84">
        <f>IFERROR(__xludf.DUMMYFUNCTION("""COMPUTED_VALUE"""),376231.05000000005)</f>
        <v>376231.05</v>
      </c>
      <c r="I200" s="87"/>
    </row>
    <row r="201">
      <c r="A201" s="46" t="str">
        <f>IFERROR(__xludf.DUMMYFUNCTION("""COMPUTED_VALUE"""),"Europe")</f>
        <v>Europe</v>
      </c>
      <c r="B201" s="46" t="str">
        <f>IFERROR(__xludf.DUMMYFUNCTION("""COMPUTED_VALUE"""),"Slovakia")</f>
        <v>Slovakia</v>
      </c>
      <c r="C201" s="46" t="str">
        <f>IFERROR(__xludf.DUMMYFUNCTION("""COMPUTED_VALUE"""),"Clothes")</f>
        <v>Clothes</v>
      </c>
      <c r="D201" s="46">
        <f>IFERROR(__xludf.DUMMYFUNCTION("""COMPUTED_VALUE"""),7.0)</f>
        <v>7</v>
      </c>
      <c r="E201" s="46">
        <f>IFERROR(__xludf.DUMMYFUNCTION("""COMPUTED_VALUE"""),2.31369769E8)</f>
        <v>231369769</v>
      </c>
      <c r="F201" s="84">
        <f>IFERROR(__xludf.DUMMYFUNCTION("""COMPUTED_VALUE"""),689666.08)</f>
        <v>689666.08</v>
      </c>
      <c r="I201" s="87"/>
    </row>
    <row r="202">
      <c r="A202" s="46" t="str">
        <f>IFERROR(__xludf.DUMMYFUNCTION("""COMPUTED_VALUE"""),"Asia")</f>
        <v>Asia</v>
      </c>
      <c r="B202" s="46" t="str">
        <f>IFERROR(__xludf.DUMMYFUNCTION("""COMPUTED_VALUE"""),"Armenia")</f>
        <v>Armenia</v>
      </c>
      <c r="C202" s="46" t="str">
        <f>IFERROR(__xludf.DUMMYFUNCTION("""COMPUTED_VALUE"""),"Clothes")</f>
        <v>Clothes</v>
      </c>
      <c r="D202" s="46">
        <f>IFERROR(__xludf.DUMMYFUNCTION("""COMPUTED_VALUE"""),50.0)</f>
        <v>50</v>
      </c>
      <c r="E202" s="46">
        <f>IFERROR(__xludf.DUMMYFUNCTION("""COMPUTED_VALUE"""),2.31450879E8)</f>
        <v>231450879</v>
      </c>
      <c r="F202" s="84">
        <f>IFERROR(__xludf.DUMMYFUNCTION("""COMPUTED_VALUE"""),34204.64)</f>
        <v>34204.64</v>
      </c>
      <c r="I202" s="87"/>
    </row>
    <row r="203">
      <c r="A203" s="46" t="str">
        <f>IFERROR(__xludf.DUMMYFUNCTION("""COMPUTED_VALUE"""),"Europe")</f>
        <v>Europe</v>
      </c>
      <c r="B203" s="46" t="str">
        <f>IFERROR(__xludf.DUMMYFUNCTION("""COMPUTED_VALUE"""),"Belarus")</f>
        <v>Belarus</v>
      </c>
      <c r="C203" s="46" t="str">
        <f>IFERROR(__xludf.DUMMYFUNCTION("""COMPUTED_VALUE"""),"Cosmetics")</f>
        <v>Cosmetics</v>
      </c>
      <c r="D203" s="46">
        <f>IFERROR(__xludf.DUMMYFUNCTION("""COMPUTED_VALUE"""),15.0)</f>
        <v>15</v>
      </c>
      <c r="E203" s="46">
        <f>IFERROR(__xludf.DUMMYFUNCTION("""COMPUTED_VALUE"""),2.3186115E8)</f>
        <v>231861150</v>
      </c>
      <c r="F203" s="84">
        <f>IFERROR(__xludf.DUMMYFUNCTION("""COMPUTED_VALUE"""),752858.4)</f>
        <v>752858.4</v>
      </c>
      <c r="I203" s="87"/>
    </row>
    <row r="204">
      <c r="A204" s="46" t="str">
        <f>IFERROR(__xludf.DUMMYFUNCTION("""COMPUTED_VALUE"""),"Europe")</f>
        <v>Europe</v>
      </c>
      <c r="B204" s="46" t="str">
        <f>IFERROR(__xludf.DUMMYFUNCTION("""COMPUTED_VALUE"""),"Poland")</f>
        <v>Poland</v>
      </c>
      <c r="C204" s="46" t="str">
        <f>IFERROR(__xludf.DUMMYFUNCTION("""COMPUTED_VALUE"""),"Household")</f>
        <v>Household</v>
      </c>
      <c r="D204" s="46">
        <f>IFERROR(__xludf.DUMMYFUNCTION("""COMPUTED_VALUE"""),28.0)</f>
        <v>28</v>
      </c>
      <c r="E204" s="46">
        <f>IFERROR(__xludf.DUMMYFUNCTION("""COMPUTED_VALUE"""),2.32196319E8)</f>
        <v>232196319</v>
      </c>
      <c r="F204" s="84">
        <f>IFERROR(__xludf.DUMMYFUNCTION("""COMPUTED_VALUE"""),604784.35)</f>
        <v>604784.35</v>
      </c>
      <c r="I204" s="87"/>
    </row>
    <row r="205">
      <c r="A205" s="46" t="str">
        <f>IFERROR(__xludf.DUMMYFUNCTION("""COMPUTED_VALUE"""),"Europe")</f>
        <v>Europe</v>
      </c>
      <c r="B205" s="46" t="str">
        <f>IFERROR(__xludf.DUMMYFUNCTION("""COMPUTED_VALUE"""),"Belgium")</f>
        <v>Belgium</v>
      </c>
      <c r="C205" s="46" t="str">
        <f>IFERROR(__xludf.DUMMYFUNCTION("""COMPUTED_VALUE"""),"Office Supplies")</f>
        <v>Office Supplies</v>
      </c>
      <c r="D205" s="46">
        <f>IFERROR(__xludf.DUMMYFUNCTION("""COMPUTED_VALUE"""),43.0)</f>
        <v>43</v>
      </c>
      <c r="E205" s="46">
        <f>IFERROR(__xludf.DUMMYFUNCTION("""COMPUTED_VALUE"""),2.33440434E8)</f>
        <v>233440434</v>
      </c>
      <c r="F205" s="84">
        <f>IFERROR(__xludf.DUMMYFUNCTION("""COMPUTED_VALUE"""),5904521.07)</f>
        <v>5904521.07</v>
      </c>
      <c r="I205" s="87"/>
    </row>
    <row r="206">
      <c r="A206" s="46" t="str">
        <f>IFERROR(__xludf.DUMMYFUNCTION("""COMPUTED_VALUE"""),"Europe")</f>
        <v>Europe</v>
      </c>
      <c r="B206" s="46" t="str">
        <f>IFERROR(__xludf.DUMMYFUNCTION("""COMPUTED_VALUE"""),"Latvia")</f>
        <v>Latvia</v>
      </c>
      <c r="C206" s="46" t="str">
        <f>IFERROR(__xludf.DUMMYFUNCTION("""COMPUTED_VALUE"""),"Clothes")</f>
        <v>Clothes</v>
      </c>
      <c r="D206" s="46">
        <f>IFERROR(__xludf.DUMMYFUNCTION("""COMPUTED_VALUE"""),18.0)</f>
        <v>18</v>
      </c>
      <c r="E206" s="46">
        <f>IFERROR(__xludf.DUMMYFUNCTION("""COMPUTED_VALUE"""),2.33709084E8)</f>
        <v>233709084</v>
      </c>
      <c r="F206" s="84">
        <f>IFERROR(__xludf.DUMMYFUNCTION("""COMPUTED_VALUE"""),936092.48)</f>
        <v>936092.48</v>
      </c>
      <c r="I206" s="87"/>
    </row>
    <row r="207">
      <c r="A207" s="46" t="str">
        <f>IFERROR(__xludf.DUMMYFUNCTION("""COMPUTED_VALUE"""),"Europe")</f>
        <v>Europe</v>
      </c>
      <c r="B207" s="46" t="str">
        <f>IFERROR(__xludf.DUMMYFUNCTION("""COMPUTED_VALUE"""),"Switzerland")</f>
        <v>Switzerland</v>
      </c>
      <c r="C207" s="46" t="str">
        <f>IFERROR(__xludf.DUMMYFUNCTION("""COMPUTED_VALUE"""),"Cosmetics")</f>
        <v>Cosmetics</v>
      </c>
      <c r="D207" s="46">
        <f>IFERROR(__xludf.DUMMYFUNCTION("""COMPUTED_VALUE"""),0.0)</f>
        <v>0</v>
      </c>
      <c r="E207" s="46">
        <f>IFERROR(__xludf.DUMMYFUNCTION("""COMPUTED_VALUE"""),2.33811223E8)</f>
        <v>233811223</v>
      </c>
      <c r="F207" s="84">
        <f>IFERROR(__xludf.DUMMYFUNCTION("""COMPUTED_VALUE"""),3843862.4)</f>
        <v>3843862.4</v>
      </c>
      <c r="I207" s="87"/>
    </row>
    <row r="208">
      <c r="A208" s="46" t="str">
        <f>IFERROR(__xludf.DUMMYFUNCTION("""COMPUTED_VALUE"""),"Europe")</f>
        <v>Europe</v>
      </c>
      <c r="B208" s="46" t="str">
        <f>IFERROR(__xludf.DUMMYFUNCTION("""COMPUTED_VALUE"""),"Montenegro")</f>
        <v>Montenegro</v>
      </c>
      <c r="C208" s="46" t="str">
        <f>IFERROR(__xludf.DUMMYFUNCTION("""COMPUTED_VALUE"""),"Clothes")</f>
        <v>Clothes</v>
      </c>
      <c r="D208" s="46">
        <f>IFERROR(__xludf.DUMMYFUNCTION("""COMPUTED_VALUE"""),0.0)</f>
        <v>0</v>
      </c>
      <c r="E208" s="46">
        <f>IFERROR(__xludf.DUMMYFUNCTION("""COMPUTED_VALUE"""),2.34082448E8)</f>
        <v>234082448</v>
      </c>
      <c r="F208" s="84">
        <f>IFERROR(__xludf.DUMMYFUNCTION("""COMPUTED_VALUE"""),989311.84)</f>
        <v>989311.84</v>
      </c>
      <c r="I208" s="87"/>
    </row>
    <row r="209">
      <c r="A209" s="46" t="str">
        <f>IFERROR(__xludf.DUMMYFUNCTION("""COMPUTED_VALUE"""),"Europe")</f>
        <v>Europe</v>
      </c>
      <c r="B209" s="46" t="str">
        <f>IFERROR(__xludf.DUMMYFUNCTION("""COMPUTED_VALUE"""),"Germany")</f>
        <v>Germany</v>
      </c>
      <c r="C209" s="46" t="str">
        <f>IFERROR(__xludf.DUMMYFUNCTION("""COMPUTED_VALUE"""),"Office Supplies")</f>
        <v>Office Supplies</v>
      </c>
      <c r="D209" s="46">
        <f>IFERROR(__xludf.DUMMYFUNCTION("""COMPUTED_VALUE"""),38.0)</f>
        <v>38</v>
      </c>
      <c r="E209" s="46">
        <f>IFERROR(__xludf.DUMMYFUNCTION("""COMPUTED_VALUE"""),2.36042392E8)</f>
        <v>236042392</v>
      </c>
      <c r="F209" s="84">
        <f>IFERROR(__xludf.DUMMYFUNCTION("""COMPUTED_VALUE"""),5889543.24)</f>
        <v>5889543.24</v>
      </c>
      <c r="I209" s="87"/>
    </row>
    <row r="210">
      <c r="A210" s="46" t="str">
        <f>IFERROR(__xludf.DUMMYFUNCTION("""COMPUTED_VALUE"""),"Europe")</f>
        <v>Europe</v>
      </c>
      <c r="B210" s="46" t="str">
        <f>IFERROR(__xludf.DUMMYFUNCTION("""COMPUTED_VALUE"""),"Norway")</f>
        <v>Norway</v>
      </c>
      <c r="C210" s="46" t="str">
        <f>IFERROR(__xludf.DUMMYFUNCTION("""COMPUTED_VALUE"""),"Beverages")</f>
        <v>Beverages</v>
      </c>
      <c r="D210" s="46">
        <f>IFERROR(__xludf.DUMMYFUNCTION("""COMPUTED_VALUE"""),47.0)</f>
        <v>47</v>
      </c>
      <c r="E210" s="46">
        <f>IFERROR(__xludf.DUMMYFUNCTION("""COMPUTED_VALUE"""),2.38170993E8)</f>
        <v>238170993</v>
      </c>
      <c r="F210" s="84">
        <f>IFERROR(__xludf.DUMMYFUNCTION("""COMPUTED_VALUE"""),424392.80000000005)</f>
        <v>424392.8</v>
      </c>
      <c r="I210" s="87"/>
    </row>
    <row r="211">
      <c r="A211" s="46" t="str">
        <f>IFERROR(__xludf.DUMMYFUNCTION("""COMPUTED_VALUE"""),"Europe")</f>
        <v>Europe</v>
      </c>
      <c r="B211" s="46" t="str">
        <f>IFERROR(__xludf.DUMMYFUNCTION("""COMPUTED_VALUE"""),"San Marino")</f>
        <v>San Marino</v>
      </c>
      <c r="C211" s="46" t="str">
        <f>IFERROR(__xludf.DUMMYFUNCTION("""COMPUTED_VALUE"""),"Personal Care")</f>
        <v>Personal Care</v>
      </c>
      <c r="D211" s="46">
        <f>IFERROR(__xludf.DUMMYFUNCTION("""COMPUTED_VALUE"""),9.0)</f>
        <v>9</v>
      </c>
      <c r="E211" s="46">
        <f>IFERROR(__xludf.DUMMYFUNCTION("""COMPUTED_VALUE"""),2.39048612E8)</f>
        <v>239048612</v>
      </c>
      <c r="F211" s="84">
        <f>IFERROR(__xludf.DUMMYFUNCTION("""COMPUTED_VALUE"""),707046.23)</f>
        <v>707046.23</v>
      </c>
      <c r="I211" s="87"/>
    </row>
    <row r="212">
      <c r="A212" s="46" t="str">
        <f>IFERROR(__xludf.DUMMYFUNCTION("""COMPUTED_VALUE"""),"Europe")</f>
        <v>Europe</v>
      </c>
      <c r="B212" s="46" t="str">
        <f>IFERROR(__xludf.DUMMYFUNCTION("""COMPUTED_VALUE"""),"San Marino")</f>
        <v>San Marino</v>
      </c>
      <c r="C212" s="46" t="str">
        <f>IFERROR(__xludf.DUMMYFUNCTION("""COMPUTED_VALUE"""),"Office Supplies")</f>
        <v>Office Supplies</v>
      </c>
      <c r="D212" s="46">
        <f>IFERROR(__xludf.DUMMYFUNCTION("""COMPUTED_VALUE"""),47.0)</f>
        <v>47</v>
      </c>
      <c r="E212" s="46">
        <f>IFERROR(__xludf.DUMMYFUNCTION("""COMPUTED_VALUE"""),2.39386355E8)</f>
        <v>239386355</v>
      </c>
      <c r="F212" s="84">
        <f>IFERROR(__xludf.DUMMYFUNCTION("""COMPUTED_VALUE"""),5598452.37)</f>
        <v>5598452.37</v>
      </c>
      <c r="I212" s="87"/>
    </row>
    <row r="213">
      <c r="A213" s="46" t="str">
        <f>IFERROR(__xludf.DUMMYFUNCTION("""COMPUTED_VALUE"""),"Europe")</f>
        <v>Europe</v>
      </c>
      <c r="B213" s="46" t="str">
        <f>IFERROR(__xludf.DUMMYFUNCTION("""COMPUTED_VALUE"""),"Iceland")</f>
        <v>Iceland</v>
      </c>
      <c r="C213" s="46" t="str">
        <f>IFERROR(__xludf.DUMMYFUNCTION("""COMPUTED_VALUE"""),"Office Supplies")</f>
        <v>Office Supplies</v>
      </c>
      <c r="D213" s="46">
        <f>IFERROR(__xludf.DUMMYFUNCTION("""COMPUTED_VALUE"""),26.0)</f>
        <v>26</v>
      </c>
      <c r="E213" s="46">
        <f>IFERROR(__xludf.DUMMYFUNCTION("""COMPUTED_VALUE"""),2.39554154E8)</f>
        <v>239554154</v>
      </c>
      <c r="F213" s="84">
        <f>IFERROR(__xludf.DUMMYFUNCTION("""COMPUTED_VALUE"""),5374436.13)</f>
        <v>5374436.13</v>
      </c>
      <c r="I213" s="87"/>
    </row>
    <row r="214">
      <c r="A214" s="46" t="str">
        <f>IFERROR(__xludf.DUMMYFUNCTION("""COMPUTED_VALUE"""),"Europe")</f>
        <v>Europe</v>
      </c>
      <c r="B214" s="46" t="str">
        <f>IFERROR(__xludf.DUMMYFUNCTION("""COMPUTED_VALUE"""),"Macedonia")</f>
        <v>Macedonia</v>
      </c>
      <c r="C214" s="46" t="str">
        <f>IFERROR(__xludf.DUMMYFUNCTION("""COMPUTED_VALUE"""),"Household")</f>
        <v>Household</v>
      </c>
      <c r="D214" s="46">
        <f>IFERROR(__xludf.DUMMYFUNCTION("""COMPUTED_VALUE"""),22.0)</f>
        <v>22</v>
      </c>
      <c r="E214" s="46">
        <f>IFERROR(__xludf.DUMMYFUNCTION("""COMPUTED_VALUE"""),2.41392648E8)</f>
        <v>241392648</v>
      </c>
      <c r="F214" s="84">
        <f>IFERROR(__xludf.DUMMYFUNCTION("""COMPUTED_VALUE"""),1539694.08)</f>
        <v>1539694.08</v>
      </c>
      <c r="I214" s="87"/>
    </row>
    <row r="215">
      <c r="A215" s="46" t="str">
        <f>IFERROR(__xludf.DUMMYFUNCTION("""COMPUTED_VALUE"""),"Europe")</f>
        <v>Europe</v>
      </c>
      <c r="B215" s="46" t="str">
        <f>IFERROR(__xludf.DUMMYFUNCTION("""COMPUTED_VALUE"""),"Czech Republic")</f>
        <v>Czech Republic</v>
      </c>
      <c r="C215" s="46" t="str">
        <f>IFERROR(__xludf.DUMMYFUNCTION("""COMPUTED_VALUE"""),"Beverages")</f>
        <v>Beverages</v>
      </c>
      <c r="D215" s="46">
        <f>IFERROR(__xludf.DUMMYFUNCTION("""COMPUTED_VALUE"""),1.0)</f>
        <v>1</v>
      </c>
      <c r="E215" s="46">
        <f>IFERROR(__xludf.DUMMYFUNCTION("""COMPUTED_VALUE"""),2.42168128E8)</f>
        <v>242168128</v>
      </c>
      <c r="F215" s="84">
        <f>IFERROR(__xludf.DUMMYFUNCTION("""COMPUTED_VALUE"""),84698.25)</f>
        <v>84698.25</v>
      </c>
      <c r="I215" s="87"/>
    </row>
    <row r="216">
      <c r="A216" s="46" t="str">
        <f>IFERROR(__xludf.DUMMYFUNCTION("""COMPUTED_VALUE"""),"Europe")</f>
        <v>Europe</v>
      </c>
      <c r="B216" s="46" t="str">
        <f>IFERROR(__xludf.DUMMYFUNCTION("""COMPUTED_VALUE"""),"Luxembourg")</f>
        <v>Luxembourg</v>
      </c>
      <c r="C216" s="46" t="str">
        <f>IFERROR(__xludf.DUMMYFUNCTION("""COMPUTED_VALUE"""),"Fruits")</f>
        <v>Fruits</v>
      </c>
      <c r="D216" s="46">
        <f>IFERROR(__xludf.DUMMYFUNCTION("""COMPUTED_VALUE"""),32.0)</f>
        <v>32</v>
      </c>
      <c r="E216" s="46">
        <f>IFERROR(__xludf.DUMMYFUNCTION("""COMPUTED_VALUE"""),2.42265546E8)</f>
        <v>242265546</v>
      </c>
      <c r="F216" s="84">
        <f>IFERROR(__xludf.DUMMYFUNCTION("""COMPUTED_VALUE"""),5728.62)</f>
        <v>5728.62</v>
      </c>
      <c r="I216" s="87"/>
    </row>
    <row r="217">
      <c r="A217" s="46" t="str">
        <f>IFERROR(__xludf.DUMMYFUNCTION("""COMPUTED_VALUE"""),"Europe")</f>
        <v>Europe</v>
      </c>
      <c r="B217" s="46" t="str">
        <f>IFERROR(__xludf.DUMMYFUNCTION("""COMPUTED_VALUE"""),"Malta")</f>
        <v>Malta</v>
      </c>
      <c r="C217" s="46" t="str">
        <f>IFERROR(__xludf.DUMMYFUNCTION("""COMPUTED_VALUE"""),"Office Supplies")</f>
        <v>Office Supplies</v>
      </c>
      <c r="D217" s="46">
        <f>IFERROR(__xludf.DUMMYFUNCTION("""COMPUTED_VALUE"""),17.0)</f>
        <v>17</v>
      </c>
      <c r="E217" s="46">
        <f>IFERROR(__xludf.DUMMYFUNCTION("""COMPUTED_VALUE"""),2.43070638E8)</f>
        <v>243070638</v>
      </c>
      <c r="F217" s="84">
        <f>IFERROR(__xludf.DUMMYFUNCTION("""COMPUTED_VALUE"""),5768418.180000001)</f>
        <v>5768418.18</v>
      </c>
      <c r="I217" s="87"/>
    </row>
    <row r="218">
      <c r="A218" s="46" t="str">
        <f>IFERROR(__xludf.DUMMYFUNCTION("""COMPUTED_VALUE"""),"Asia")</f>
        <v>Asia</v>
      </c>
      <c r="B218" s="46" t="str">
        <f>IFERROR(__xludf.DUMMYFUNCTION("""COMPUTED_VALUE"""),"Georgia")</f>
        <v>Georgia</v>
      </c>
      <c r="C218" s="46" t="str">
        <f>IFERROR(__xludf.DUMMYFUNCTION("""COMPUTED_VALUE"""),"Cereal")</f>
        <v>Cereal</v>
      </c>
      <c r="D218" s="46">
        <f>IFERROR(__xludf.DUMMYFUNCTION("""COMPUTED_VALUE"""),32.0)</f>
        <v>32</v>
      </c>
      <c r="E218" s="46">
        <f>IFERROR(__xludf.DUMMYFUNCTION("""COMPUTED_VALUE"""),2.43144452E8)</f>
        <v>243144452</v>
      </c>
      <c r="F218" s="84">
        <f>IFERROR(__xludf.DUMMYFUNCTION("""COMPUTED_VALUE"""),144195.69999999998)</f>
        <v>144195.7</v>
      </c>
      <c r="I218" s="87"/>
    </row>
    <row r="219">
      <c r="A219" s="46" t="str">
        <f>IFERROR(__xludf.DUMMYFUNCTION("""COMPUTED_VALUE"""),"Undefined")</f>
        <v>Undefined</v>
      </c>
      <c r="B219" s="46" t="str">
        <f>IFERROR(__xludf.DUMMYFUNCTION("""COMPUTED_VALUE"""),"Undefined")</f>
        <v>Undefined</v>
      </c>
      <c r="C219" s="46" t="str">
        <f>IFERROR(__xludf.DUMMYFUNCTION("""COMPUTED_VALUE"""),"Beverages")</f>
        <v>Beverages</v>
      </c>
      <c r="D219" s="46">
        <f>IFERROR(__xludf.DUMMYFUNCTION("""COMPUTED_VALUE"""),16.0)</f>
        <v>16</v>
      </c>
      <c r="E219" s="46">
        <f>IFERROR(__xludf.DUMMYFUNCTION("""COMPUTED_VALUE"""),2.4322642E8)</f>
        <v>243226420</v>
      </c>
      <c r="F219" s="84">
        <f>IFERROR(__xludf.DUMMYFUNCTION("""COMPUTED_VALUE"""),235257.1)</f>
        <v>235257.1</v>
      </c>
      <c r="I219" s="87"/>
    </row>
    <row r="220">
      <c r="A220" s="46" t="str">
        <f>IFERROR(__xludf.DUMMYFUNCTION("""COMPUTED_VALUE"""),"Europe")</f>
        <v>Europe</v>
      </c>
      <c r="B220" s="46" t="str">
        <f>IFERROR(__xludf.DUMMYFUNCTION("""COMPUTED_VALUE"""),"Montenegro")</f>
        <v>Montenegro</v>
      </c>
      <c r="C220" s="46" t="str">
        <f>IFERROR(__xludf.DUMMYFUNCTION("""COMPUTED_VALUE"""),"Beverages")</f>
        <v>Beverages</v>
      </c>
      <c r="D220" s="46">
        <f>IFERROR(__xludf.DUMMYFUNCTION("""COMPUTED_VALUE"""),29.0)</f>
        <v>29</v>
      </c>
      <c r="E220" s="46">
        <f>IFERROR(__xludf.DUMMYFUNCTION("""COMPUTED_VALUE"""),2.43340575E8)</f>
        <v>243340575</v>
      </c>
      <c r="F220" s="84">
        <f>IFERROR(__xludf.DUMMYFUNCTION("""COMPUTED_VALUE"""),414665.55000000005)</f>
        <v>414665.55</v>
      </c>
      <c r="I220" s="87"/>
    </row>
    <row r="221">
      <c r="A221" s="46" t="str">
        <f>IFERROR(__xludf.DUMMYFUNCTION("""COMPUTED_VALUE"""),"Europe")</f>
        <v>Europe</v>
      </c>
      <c r="B221" s="46" t="str">
        <f>IFERROR(__xludf.DUMMYFUNCTION("""COMPUTED_VALUE"""),"Slovenia")</f>
        <v>Slovenia</v>
      </c>
      <c r="C221" s="46" t="str">
        <f>IFERROR(__xludf.DUMMYFUNCTION("""COMPUTED_VALUE"""),"Personal Care")</f>
        <v>Personal Care</v>
      </c>
      <c r="D221" s="46">
        <f>IFERROR(__xludf.DUMMYFUNCTION("""COMPUTED_VALUE"""),21.0)</f>
        <v>21</v>
      </c>
      <c r="E221" s="46">
        <f>IFERROR(__xludf.DUMMYFUNCTION("""COMPUTED_VALUE"""),2.43391644E8)</f>
        <v>243391644</v>
      </c>
      <c r="F221" s="84">
        <f>IFERROR(__xludf.DUMMYFUNCTION("""COMPUTED_VALUE"""),314742.23000000004)</f>
        <v>314742.23</v>
      </c>
      <c r="I221" s="87"/>
    </row>
    <row r="222">
      <c r="A222" s="46" t="str">
        <f>IFERROR(__xludf.DUMMYFUNCTION("""COMPUTED_VALUE"""),"Europe")</f>
        <v>Europe</v>
      </c>
      <c r="B222" s="46" t="str">
        <f>IFERROR(__xludf.DUMMYFUNCTION("""COMPUTED_VALUE"""),"Switzerland")</f>
        <v>Switzerland</v>
      </c>
      <c r="C222" s="46" t="str">
        <f>IFERROR(__xludf.DUMMYFUNCTION("""COMPUTED_VALUE"""),"Cosmetics")</f>
        <v>Cosmetics</v>
      </c>
      <c r="D222" s="46">
        <f>IFERROR(__xludf.DUMMYFUNCTION("""COMPUTED_VALUE"""),31.0)</f>
        <v>31</v>
      </c>
      <c r="E222" s="46">
        <f>IFERROR(__xludf.DUMMYFUNCTION("""COMPUTED_VALUE"""),2.43521249E8)</f>
        <v>243521249</v>
      </c>
      <c r="F222" s="84">
        <f>IFERROR(__xludf.DUMMYFUNCTION("""COMPUTED_VALUE"""),963588.7999999999)</f>
        <v>963588.8</v>
      </c>
      <c r="I222" s="87"/>
    </row>
    <row r="223">
      <c r="A223" s="46" t="str">
        <f>IFERROR(__xludf.DUMMYFUNCTION("""COMPUTED_VALUE"""),"Europe")</f>
        <v>Europe</v>
      </c>
      <c r="B223" s="46" t="str">
        <f>IFERROR(__xludf.DUMMYFUNCTION("""COMPUTED_VALUE"""),"Ireland")</f>
        <v>Ireland</v>
      </c>
      <c r="C223" s="46" t="str">
        <f>IFERROR(__xludf.DUMMYFUNCTION("""COMPUTED_VALUE"""),"Baby Food")</f>
        <v>Baby Food</v>
      </c>
      <c r="D223" s="46">
        <f>IFERROR(__xludf.DUMMYFUNCTION("""COMPUTED_VALUE"""),7.0)</f>
        <v>7</v>
      </c>
      <c r="E223" s="46">
        <f>IFERROR(__xludf.DUMMYFUNCTION("""COMPUTED_VALUE"""),2.43684327E8)</f>
        <v>243684327</v>
      </c>
      <c r="F223" s="84">
        <f>IFERROR(__xludf.DUMMYFUNCTION("""COMPUTED_VALUE"""),117939.36)</f>
        <v>117939.36</v>
      </c>
      <c r="I223" s="87"/>
    </row>
    <row r="224">
      <c r="A224" s="46" t="str">
        <f>IFERROR(__xludf.DUMMYFUNCTION("""COMPUTED_VALUE"""),"Europe")</f>
        <v>Europe</v>
      </c>
      <c r="B224" s="46" t="str">
        <f>IFERROR(__xludf.DUMMYFUNCTION("""COMPUTED_VALUE"""),"Belgium")</f>
        <v>Belgium</v>
      </c>
      <c r="C224" s="46" t="str">
        <f>IFERROR(__xludf.DUMMYFUNCTION("""COMPUTED_VALUE"""),"Beverages")</f>
        <v>Beverages</v>
      </c>
      <c r="D224" s="46">
        <f>IFERROR(__xludf.DUMMYFUNCTION("""COMPUTED_VALUE"""),32.0)</f>
        <v>32</v>
      </c>
      <c r="E224" s="46">
        <f>IFERROR(__xludf.DUMMYFUNCTION("""COMPUTED_VALUE"""),2.44023358E8)</f>
        <v>244023358</v>
      </c>
      <c r="F224" s="84">
        <f>IFERROR(__xludf.DUMMYFUNCTION("""COMPUTED_VALUE"""),37438.05)</f>
        <v>37438.05</v>
      </c>
      <c r="I224" s="87"/>
    </row>
    <row r="225">
      <c r="A225" s="46" t="str">
        <f>IFERROR(__xludf.DUMMYFUNCTION("""COMPUTED_VALUE"""),"Europe")</f>
        <v>Europe</v>
      </c>
      <c r="B225" s="46" t="str">
        <f>IFERROR(__xludf.DUMMYFUNCTION("""COMPUTED_VALUE"""),"France")</f>
        <v>France</v>
      </c>
      <c r="C225" s="46" t="str">
        <f>IFERROR(__xludf.DUMMYFUNCTION("""COMPUTED_VALUE"""),"Meat")</f>
        <v>Meat</v>
      </c>
      <c r="D225" s="46">
        <f>IFERROR(__xludf.DUMMYFUNCTION("""COMPUTED_VALUE"""),19.0)</f>
        <v>19</v>
      </c>
      <c r="E225" s="46">
        <f>IFERROR(__xludf.DUMMYFUNCTION("""COMPUTED_VALUE"""),2.45440852E8)</f>
        <v>245440852</v>
      </c>
      <c r="F225" s="84">
        <f>IFERROR(__xludf.DUMMYFUNCTION("""COMPUTED_VALUE"""),108425.73)</f>
        <v>108425.73</v>
      </c>
      <c r="I225" s="87"/>
    </row>
    <row r="226">
      <c r="A226" s="46" t="str">
        <f>IFERROR(__xludf.DUMMYFUNCTION("""COMPUTED_VALUE"""),"Europe")</f>
        <v>Europe</v>
      </c>
      <c r="B226" s="46" t="str">
        <f>IFERROR(__xludf.DUMMYFUNCTION("""COMPUTED_VALUE"""),"Andorra")</f>
        <v>Andorra</v>
      </c>
      <c r="C226" s="46" t="str">
        <f>IFERROR(__xludf.DUMMYFUNCTION("""COMPUTED_VALUE"""),"Personal Care")</f>
        <v>Personal Care</v>
      </c>
      <c r="D226" s="46">
        <f>IFERROR(__xludf.DUMMYFUNCTION("""COMPUTED_VALUE"""),20.0)</f>
        <v>20</v>
      </c>
      <c r="E226" s="46">
        <f>IFERROR(__xludf.DUMMYFUNCTION("""COMPUTED_VALUE"""),2.45556294E8)</f>
        <v>245556294</v>
      </c>
      <c r="F226" s="84">
        <f>IFERROR(__xludf.DUMMYFUNCTION("""COMPUTED_VALUE"""),361164.87)</f>
        <v>361164.87</v>
      </c>
      <c r="I226" s="87"/>
    </row>
    <row r="227">
      <c r="A227" s="46" t="str">
        <f>IFERROR(__xludf.DUMMYFUNCTION("""COMPUTED_VALUE"""),"Europe")</f>
        <v>Europe</v>
      </c>
      <c r="B227" s="46" t="str">
        <f>IFERROR(__xludf.DUMMYFUNCTION("""COMPUTED_VALUE"""),"Latvia")</f>
        <v>Latvia</v>
      </c>
      <c r="C227" s="46" t="str">
        <f>IFERROR(__xludf.DUMMYFUNCTION("""COMPUTED_VALUE"""),"Cosmetics")</f>
        <v>Cosmetics</v>
      </c>
      <c r="D227" s="46">
        <f>IFERROR(__xludf.DUMMYFUNCTION("""COMPUTED_VALUE"""),41.0)</f>
        <v>41</v>
      </c>
      <c r="E227" s="46">
        <f>IFERROR(__xludf.DUMMYFUNCTION("""COMPUTED_VALUE"""),2.46603858E8)</f>
        <v>246603858</v>
      </c>
      <c r="F227" s="84">
        <f>IFERROR(__xludf.DUMMYFUNCTION("""COMPUTED_VALUE"""),1931112.4)</f>
        <v>1931112.4</v>
      </c>
      <c r="I227" s="87"/>
    </row>
    <row r="228">
      <c r="A228" s="46" t="str">
        <f>IFERROR(__xludf.DUMMYFUNCTION("""COMPUTED_VALUE"""),"Europe")</f>
        <v>Europe</v>
      </c>
      <c r="B228" s="46" t="str">
        <f>IFERROR(__xludf.DUMMYFUNCTION("""COMPUTED_VALUE"""),"Albania")</f>
        <v>Albania</v>
      </c>
      <c r="C228" s="46" t="str">
        <f>IFERROR(__xludf.DUMMYFUNCTION("""COMPUTED_VALUE"""),"Office Supplies")</f>
        <v>Office Supplies</v>
      </c>
      <c r="D228" s="46">
        <f>IFERROR(__xludf.DUMMYFUNCTION("""COMPUTED_VALUE"""),16.0)</f>
        <v>16</v>
      </c>
      <c r="E228" s="46">
        <f>IFERROR(__xludf.DUMMYFUNCTION("""COMPUTED_VALUE"""),2.46922719E8)</f>
        <v>246922719</v>
      </c>
      <c r="F228" s="84">
        <f>IFERROR(__xludf.DUMMYFUNCTION("""COMPUTED_VALUE"""),5714367.75)</f>
        <v>5714367.75</v>
      </c>
      <c r="I228" s="87"/>
    </row>
    <row r="229">
      <c r="A229" s="46" t="str">
        <f>IFERROR(__xludf.DUMMYFUNCTION("""COMPUTED_VALUE"""),"Europe")</f>
        <v>Europe</v>
      </c>
      <c r="B229" s="46" t="str">
        <f>IFERROR(__xludf.DUMMYFUNCTION("""COMPUTED_VALUE"""),"Russia")</f>
        <v>Russia</v>
      </c>
      <c r="C229" s="46" t="str">
        <f>IFERROR(__xludf.DUMMYFUNCTION("""COMPUTED_VALUE"""),"Vegetables")</f>
        <v>Vegetables</v>
      </c>
      <c r="D229" s="46">
        <f>IFERROR(__xludf.DUMMYFUNCTION("""COMPUTED_VALUE"""),45.0)</f>
        <v>45</v>
      </c>
      <c r="E229" s="46">
        <f>IFERROR(__xludf.DUMMYFUNCTION("""COMPUTED_VALUE"""),2.49039304E8)</f>
        <v>249039304</v>
      </c>
      <c r="F229" s="84">
        <f>IFERROR(__xludf.DUMMYFUNCTION("""COMPUTED_VALUE"""),788633.14)</f>
        <v>788633.14</v>
      </c>
      <c r="I229" s="87"/>
    </row>
    <row r="230">
      <c r="A230" s="46" t="str">
        <f>IFERROR(__xludf.DUMMYFUNCTION("""COMPUTED_VALUE"""),"Europe")</f>
        <v>Europe</v>
      </c>
      <c r="B230" s="46" t="str">
        <f>IFERROR(__xludf.DUMMYFUNCTION("""COMPUTED_VALUE"""),"Liechtenstein")</f>
        <v>Liechtenstein</v>
      </c>
      <c r="C230" s="46" t="str">
        <f>IFERROR(__xludf.DUMMYFUNCTION("""COMPUTED_VALUE"""),"Fruits")</f>
        <v>Fruits</v>
      </c>
      <c r="D230" s="46">
        <f>IFERROR(__xludf.DUMMYFUNCTION("""COMPUTED_VALUE"""),46.0)</f>
        <v>46</v>
      </c>
      <c r="E230" s="46">
        <f>IFERROR(__xludf.DUMMYFUNCTION("""COMPUTED_VALUE"""),2.49606645E8)</f>
        <v>249606645</v>
      </c>
      <c r="F230" s="84">
        <f>IFERROR(__xludf.DUMMYFUNCTION("""COMPUTED_VALUE"""),28064.64)</f>
        <v>28064.64</v>
      </c>
      <c r="I230" s="87"/>
    </row>
    <row r="231">
      <c r="A231" s="46" t="str">
        <f>IFERROR(__xludf.DUMMYFUNCTION("""COMPUTED_VALUE"""),"Europe")</f>
        <v>Europe</v>
      </c>
      <c r="B231" s="46" t="str">
        <f>IFERROR(__xludf.DUMMYFUNCTION("""COMPUTED_VALUE"""),"United Kingdom")</f>
        <v>United Kingdom</v>
      </c>
      <c r="C231" s="46" t="str">
        <f>IFERROR(__xludf.DUMMYFUNCTION("""COMPUTED_VALUE"""),"Clothes")</f>
        <v>Clothes</v>
      </c>
      <c r="D231" s="46">
        <f>IFERROR(__xludf.DUMMYFUNCTION("""COMPUTED_VALUE"""),11.0)</f>
        <v>11</v>
      </c>
      <c r="E231" s="46">
        <f>IFERROR(__xludf.DUMMYFUNCTION("""COMPUTED_VALUE"""),2.49765861E8)</f>
        <v>249765861</v>
      </c>
      <c r="F231" s="84">
        <f>IFERROR(__xludf.DUMMYFUNCTION("""COMPUTED_VALUE"""),13441.44)</f>
        <v>13441.44</v>
      </c>
      <c r="I231" s="87"/>
    </row>
    <row r="232">
      <c r="A232" s="46" t="str">
        <f>IFERROR(__xludf.DUMMYFUNCTION("""COMPUTED_VALUE"""),"Europe")</f>
        <v>Europe</v>
      </c>
      <c r="B232" s="46" t="str">
        <f>IFERROR(__xludf.DUMMYFUNCTION("""COMPUTED_VALUE"""),"Luxembourg")</f>
        <v>Luxembourg</v>
      </c>
      <c r="C232" s="46" t="str">
        <f>IFERROR(__xludf.DUMMYFUNCTION("""COMPUTED_VALUE"""),"Clothes")</f>
        <v>Clothes</v>
      </c>
      <c r="D232" s="46">
        <f>IFERROR(__xludf.DUMMYFUNCTION("""COMPUTED_VALUE"""),36.0)</f>
        <v>36</v>
      </c>
      <c r="E232" s="46">
        <f>IFERROR(__xludf.DUMMYFUNCTION("""COMPUTED_VALUE"""),2.50848186E8)</f>
        <v>250848186</v>
      </c>
      <c r="F232" s="84">
        <f>IFERROR(__xludf.DUMMYFUNCTION("""COMPUTED_VALUE"""),44476.96)</f>
        <v>44476.96</v>
      </c>
      <c r="I232" s="87"/>
    </row>
    <row r="233">
      <c r="A233" s="46" t="str">
        <f>IFERROR(__xludf.DUMMYFUNCTION("""COMPUTED_VALUE"""),"Asia")</f>
        <v>Asia</v>
      </c>
      <c r="B233" s="46" t="str">
        <f>IFERROR(__xludf.DUMMYFUNCTION("""COMPUTED_VALUE"""),"Armenia")</f>
        <v>Armenia</v>
      </c>
      <c r="C233" s="46" t="str">
        <f>IFERROR(__xludf.DUMMYFUNCTION("""COMPUTED_VALUE"""),"Meat")</f>
        <v>Meat</v>
      </c>
      <c r="D233" s="46">
        <f>IFERROR(__xludf.DUMMYFUNCTION("""COMPUTED_VALUE"""),47.0)</f>
        <v>47</v>
      </c>
      <c r="E233" s="46">
        <f>IFERROR(__xludf.DUMMYFUNCTION("""COMPUTED_VALUE"""),2.51208674E8)</f>
        <v>251208674</v>
      </c>
      <c r="F233" s="84">
        <f>IFERROR(__xludf.DUMMYFUNCTION("""COMPUTED_VALUE"""),2988668.76)</f>
        <v>2988668.76</v>
      </c>
      <c r="I233" s="87"/>
    </row>
    <row r="234">
      <c r="A234" s="46" t="str">
        <f>IFERROR(__xludf.DUMMYFUNCTION("""COMPUTED_VALUE"""),"Europe")</f>
        <v>Europe</v>
      </c>
      <c r="B234" s="46" t="str">
        <f>IFERROR(__xludf.DUMMYFUNCTION("""COMPUTED_VALUE"""),"United Kingdom")</f>
        <v>United Kingdom</v>
      </c>
      <c r="C234" s="46" t="str">
        <f>IFERROR(__xludf.DUMMYFUNCTION("""COMPUTED_VALUE"""),"Clothes")</f>
        <v>Clothes</v>
      </c>
      <c r="D234" s="46">
        <f>IFERROR(__xludf.DUMMYFUNCTION("""COMPUTED_VALUE"""),28.0)</f>
        <v>28</v>
      </c>
      <c r="E234" s="46">
        <f>IFERROR(__xludf.DUMMYFUNCTION("""COMPUTED_VALUE"""),2.51823222E8)</f>
        <v>251823222</v>
      </c>
      <c r="F234" s="84">
        <f>IFERROR(__xludf.DUMMYFUNCTION("""COMPUTED_VALUE"""),977181.76)</f>
        <v>977181.76</v>
      </c>
      <c r="I234" s="87"/>
    </row>
    <row r="235">
      <c r="A235" s="46" t="str">
        <f>IFERROR(__xludf.DUMMYFUNCTION("""COMPUTED_VALUE"""),"Undefined")</f>
        <v>Undefined</v>
      </c>
      <c r="B235" s="46" t="str">
        <f>IFERROR(__xludf.DUMMYFUNCTION("""COMPUTED_VALUE"""),"Undefined")</f>
        <v>Undefined</v>
      </c>
      <c r="C235" s="46" t="str">
        <f>IFERROR(__xludf.DUMMYFUNCTION("""COMPUTED_VALUE"""),"Snacks")</f>
        <v>Snacks</v>
      </c>
      <c r="D235" s="46">
        <f>IFERROR(__xludf.DUMMYFUNCTION("""COMPUTED_VALUE"""),37.0)</f>
        <v>37</v>
      </c>
      <c r="E235" s="46">
        <f>IFERROR(__xludf.DUMMYFUNCTION("""COMPUTED_VALUE"""),2.51907765E8)</f>
        <v>251907765</v>
      </c>
      <c r="F235" s="84">
        <f>IFERROR(__xludf.DUMMYFUNCTION("""COMPUTED_VALUE"""),604369.38)</f>
        <v>604369.38</v>
      </c>
      <c r="I235" s="87"/>
    </row>
    <row r="236">
      <c r="A236" s="46" t="str">
        <f>IFERROR(__xludf.DUMMYFUNCTION("""COMPUTED_VALUE"""),"Undefined")</f>
        <v>Undefined</v>
      </c>
      <c r="B236" s="46" t="str">
        <f>IFERROR(__xludf.DUMMYFUNCTION("""COMPUTED_VALUE"""),"Undefined")</f>
        <v>Undefined</v>
      </c>
      <c r="C236" s="46" t="str">
        <f>IFERROR(__xludf.DUMMYFUNCTION("""COMPUTED_VALUE"""),"Baby Food")</f>
        <v>Baby Food</v>
      </c>
      <c r="D236" s="46">
        <f>IFERROR(__xludf.DUMMYFUNCTION("""COMPUTED_VALUE"""),26.0)</f>
        <v>26</v>
      </c>
      <c r="E236" s="46">
        <f>IFERROR(__xludf.DUMMYFUNCTION("""COMPUTED_VALUE"""),2.52541625E8)</f>
        <v>252541625</v>
      </c>
      <c r="F236" s="84">
        <f>IFERROR(__xludf.DUMMYFUNCTION("""COMPUTED_VALUE"""),391599.52)</f>
        <v>391599.52</v>
      </c>
      <c r="I236" s="87"/>
    </row>
    <row r="237">
      <c r="A237" s="46" t="str">
        <f>IFERROR(__xludf.DUMMYFUNCTION("""COMPUTED_VALUE"""),"Europe")</f>
        <v>Europe</v>
      </c>
      <c r="B237" s="46" t="str">
        <f>IFERROR(__xludf.DUMMYFUNCTION("""COMPUTED_VALUE"""),"Romania")</f>
        <v>Romania</v>
      </c>
      <c r="C237" s="46" t="str">
        <f>IFERROR(__xludf.DUMMYFUNCTION("""COMPUTED_VALUE"""),"Beverages")</f>
        <v>Beverages</v>
      </c>
      <c r="D237" s="46">
        <f>IFERROR(__xludf.DUMMYFUNCTION("""COMPUTED_VALUE"""),12.0)</f>
        <v>12</v>
      </c>
      <c r="E237" s="46">
        <f>IFERROR(__xludf.DUMMYFUNCTION("""COMPUTED_VALUE"""),2.53055322E8)</f>
        <v>253055322</v>
      </c>
      <c r="F237" s="84">
        <f>IFERROR(__xludf.DUMMYFUNCTION("""COMPUTED_VALUE"""),168352.6)</f>
        <v>168352.6</v>
      </c>
      <c r="I237" s="87"/>
    </row>
    <row r="238">
      <c r="A238" s="46" t="str">
        <f>IFERROR(__xludf.DUMMYFUNCTION("""COMPUTED_VALUE"""),"Europe")</f>
        <v>Europe</v>
      </c>
      <c r="B238" s="46" t="str">
        <f>IFERROR(__xludf.DUMMYFUNCTION("""COMPUTED_VALUE"""),"Russia")</f>
        <v>Russia</v>
      </c>
      <c r="C238" s="46" t="str">
        <f>IFERROR(__xludf.DUMMYFUNCTION("""COMPUTED_VALUE"""),"Office Supplies")</f>
        <v>Office Supplies</v>
      </c>
      <c r="D238" s="46">
        <f>IFERROR(__xludf.DUMMYFUNCTION("""COMPUTED_VALUE"""),11.0)</f>
        <v>11</v>
      </c>
      <c r="E238" s="46">
        <f>IFERROR(__xludf.DUMMYFUNCTION("""COMPUTED_VALUE"""),2.53211104E8)</f>
        <v>253211104</v>
      </c>
      <c r="F238" s="84">
        <f>IFERROR(__xludf.DUMMYFUNCTION("""COMPUTED_VALUE"""),6282874.08)</f>
        <v>6282874.08</v>
      </c>
      <c r="I238" s="87"/>
    </row>
    <row r="239">
      <c r="A239" s="46" t="str">
        <f>IFERROR(__xludf.DUMMYFUNCTION("""COMPUTED_VALUE"""),"Asia")</f>
        <v>Asia</v>
      </c>
      <c r="B239" s="46" t="str">
        <f>IFERROR(__xludf.DUMMYFUNCTION("""COMPUTED_VALUE"""),"Cyprus")</f>
        <v>Cyprus</v>
      </c>
      <c r="C239" s="46" t="str">
        <f>IFERROR(__xludf.DUMMYFUNCTION("""COMPUTED_VALUE"""),"Snacks")</f>
        <v>Snacks</v>
      </c>
      <c r="D239" s="46">
        <f>IFERROR(__xludf.DUMMYFUNCTION("""COMPUTED_VALUE"""),29.0)</f>
        <v>29</v>
      </c>
      <c r="E239" s="46">
        <f>IFERROR(__xludf.DUMMYFUNCTION("""COMPUTED_VALUE"""),2.55047452E8)</f>
        <v>255047452</v>
      </c>
      <c r="F239" s="84">
        <f>IFERROR(__xludf.DUMMYFUNCTION("""COMPUTED_VALUE"""),467505.12000000005)</f>
        <v>467505.12</v>
      </c>
      <c r="I239" s="87"/>
    </row>
    <row r="240">
      <c r="A240" s="46" t="str">
        <f>IFERROR(__xludf.DUMMYFUNCTION("""COMPUTED_VALUE"""),"Europe")</f>
        <v>Europe</v>
      </c>
      <c r="B240" s="46" t="str">
        <f>IFERROR(__xludf.DUMMYFUNCTION("""COMPUTED_VALUE"""),"Montenegro")</f>
        <v>Montenegro</v>
      </c>
      <c r="C240" s="46" t="str">
        <f>IFERROR(__xludf.DUMMYFUNCTION("""COMPUTED_VALUE"""),"Office Supplies")</f>
        <v>Office Supplies</v>
      </c>
      <c r="D240" s="46">
        <f>IFERROR(__xludf.DUMMYFUNCTION("""COMPUTED_VALUE"""),50.0)</f>
        <v>50</v>
      </c>
      <c r="E240" s="46">
        <f>IFERROR(__xludf.DUMMYFUNCTION("""COMPUTED_VALUE"""),2.56095016E8)</f>
        <v>256095016</v>
      </c>
      <c r="F240" s="84">
        <f>IFERROR(__xludf.DUMMYFUNCTION("""COMPUTED_VALUE"""),1993353.81)</f>
        <v>1993353.81</v>
      </c>
      <c r="I240" s="87"/>
    </row>
    <row r="241">
      <c r="A241" s="46" t="str">
        <f>IFERROR(__xludf.DUMMYFUNCTION("""COMPUTED_VALUE"""),"Europe")</f>
        <v>Europe</v>
      </c>
      <c r="B241" s="46" t="str">
        <f>IFERROR(__xludf.DUMMYFUNCTION("""COMPUTED_VALUE"""),"Croatia")</f>
        <v>Croatia</v>
      </c>
      <c r="C241" s="46" t="str">
        <f>IFERROR(__xludf.DUMMYFUNCTION("""COMPUTED_VALUE"""),"Office Supplies")</f>
        <v>Office Supplies</v>
      </c>
      <c r="D241" s="46">
        <f>IFERROR(__xludf.DUMMYFUNCTION("""COMPUTED_VALUE"""),15.0)</f>
        <v>15</v>
      </c>
      <c r="E241" s="46">
        <f>IFERROR(__xludf.DUMMYFUNCTION("""COMPUTED_VALUE"""),2.59006392E8)</f>
        <v>259006392</v>
      </c>
      <c r="F241" s="84">
        <f>IFERROR(__xludf.DUMMYFUNCTION("""COMPUTED_VALUE"""),2996868.4200000004)</f>
        <v>2996868.42</v>
      </c>
      <c r="I241" s="87"/>
    </row>
    <row r="242">
      <c r="A242" s="46" t="str">
        <f>IFERROR(__xludf.DUMMYFUNCTION("""COMPUTED_VALUE"""),"Europe")</f>
        <v>Europe</v>
      </c>
      <c r="B242" s="46" t="str">
        <f>IFERROR(__xludf.DUMMYFUNCTION("""COMPUTED_VALUE"""),"Belgium")</f>
        <v>Belgium</v>
      </c>
      <c r="C242" s="46" t="str">
        <f>IFERROR(__xludf.DUMMYFUNCTION("""COMPUTED_VALUE"""),"Vegetables")</f>
        <v>Vegetables</v>
      </c>
      <c r="D242" s="46">
        <f>IFERROR(__xludf.DUMMYFUNCTION("""COMPUTED_VALUE"""),4.0)</f>
        <v>4</v>
      </c>
      <c r="E242" s="46">
        <f>IFERROR(__xludf.DUMMYFUNCTION("""COMPUTED_VALUE"""),2.59032571E8)</f>
        <v>259032571</v>
      </c>
      <c r="F242" s="84">
        <f>IFERROR(__xludf.DUMMYFUNCTION("""COMPUTED_VALUE"""),361886.94)</f>
        <v>361886.94</v>
      </c>
      <c r="I242" s="87"/>
    </row>
    <row r="243">
      <c r="A243" s="46" t="str">
        <f>IFERROR(__xludf.DUMMYFUNCTION("""COMPUTED_VALUE"""),"Undefined")</f>
        <v>Undefined</v>
      </c>
      <c r="B243" s="46" t="str">
        <f>IFERROR(__xludf.DUMMYFUNCTION("""COMPUTED_VALUE"""),"Undefined")</f>
        <v>Undefined</v>
      </c>
      <c r="C243" s="46" t="str">
        <f>IFERROR(__xludf.DUMMYFUNCTION("""COMPUTED_VALUE"""),"Cosmetics")</f>
        <v>Cosmetics</v>
      </c>
      <c r="D243" s="46">
        <f>IFERROR(__xludf.DUMMYFUNCTION("""COMPUTED_VALUE"""),44.0)</f>
        <v>44</v>
      </c>
      <c r="E243" s="46">
        <f>IFERROR(__xludf.DUMMYFUNCTION("""COMPUTED_VALUE"""),2.60630738E8)</f>
        <v>260630738</v>
      </c>
      <c r="F243" s="84">
        <f>IFERROR(__xludf.DUMMYFUNCTION("""COMPUTED_VALUE"""),2309290.4)</f>
        <v>2309290.4</v>
      </c>
      <c r="I243" s="87"/>
    </row>
    <row r="244">
      <c r="A244" s="46" t="str">
        <f>IFERROR(__xludf.DUMMYFUNCTION("""COMPUTED_VALUE"""),"Europe")</f>
        <v>Europe</v>
      </c>
      <c r="B244" s="46" t="str">
        <f>IFERROR(__xludf.DUMMYFUNCTION("""COMPUTED_VALUE"""),"Ireland")</f>
        <v>Ireland</v>
      </c>
      <c r="C244" s="46" t="str">
        <f>IFERROR(__xludf.DUMMYFUNCTION("""COMPUTED_VALUE"""),"Clothes")</f>
        <v>Clothes</v>
      </c>
      <c r="D244" s="46">
        <f>IFERROR(__xludf.DUMMYFUNCTION("""COMPUTED_VALUE"""),1.0)</f>
        <v>1</v>
      </c>
      <c r="E244" s="46">
        <f>IFERROR(__xludf.DUMMYFUNCTION("""COMPUTED_VALUE"""),2.6118735E8)</f>
        <v>261187350</v>
      </c>
      <c r="F244" s="84">
        <f>IFERROR(__xludf.DUMMYFUNCTION("""COMPUTED_VALUE"""),1092362.8800000001)</f>
        <v>1092362.88</v>
      </c>
      <c r="I244" s="87"/>
    </row>
    <row r="245">
      <c r="A245" s="46" t="str">
        <f>IFERROR(__xludf.DUMMYFUNCTION("""COMPUTED_VALUE"""),"Europe")</f>
        <v>Europe</v>
      </c>
      <c r="B245" s="46" t="str">
        <f>IFERROR(__xludf.DUMMYFUNCTION("""COMPUTED_VALUE"""),"Bosnia and Herzegovina")</f>
        <v>Bosnia and Herzegovina</v>
      </c>
      <c r="C245" s="46" t="str">
        <f>IFERROR(__xludf.DUMMYFUNCTION("""COMPUTED_VALUE"""),"Household")</f>
        <v>Household</v>
      </c>
      <c r="D245" s="46">
        <f>IFERROR(__xludf.DUMMYFUNCTION("""COMPUTED_VALUE"""),40.0)</f>
        <v>40</v>
      </c>
      <c r="E245" s="46">
        <f>IFERROR(__xludf.DUMMYFUNCTION("""COMPUTED_VALUE"""),2.61640536E8)</f>
        <v>261640536</v>
      </c>
      <c r="F245" s="84">
        <f>IFERROR(__xludf.DUMMYFUNCTION("""COMPUTED_VALUE"""),2742580.08)</f>
        <v>2742580.08</v>
      </c>
      <c r="I245" s="87"/>
    </row>
    <row r="246">
      <c r="A246" s="46" t="str">
        <f>IFERROR(__xludf.DUMMYFUNCTION("""COMPUTED_VALUE"""),"Europe")</f>
        <v>Europe</v>
      </c>
      <c r="B246" s="46" t="str">
        <f>IFERROR(__xludf.DUMMYFUNCTION("""COMPUTED_VALUE"""),"Spain")</f>
        <v>Spain</v>
      </c>
      <c r="C246" s="46" t="str">
        <f>IFERROR(__xludf.DUMMYFUNCTION("""COMPUTED_VALUE"""),"Fruits")</f>
        <v>Fruits</v>
      </c>
      <c r="D246" s="46">
        <f>IFERROR(__xludf.DUMMYFUNCTION("""COMPUTED_VALUE"""),41.0)</f>
        <v>41</v>
      </c>
      <c r="E246" s="46">
        <f>IFERROR(__xludf.DUMMYFUNCTION("""COMPUTED_VALUE"""),2.62177836E8)</f>
        <v>262177836</v>
      </c>
      <c r="F246" s="84">
        <f>IFERROR(__xludf.DUMMYFUNCTION("""COMPUTED_VALUE"""),28950.99)</f>
        <v>28950.99</v>
      </c>
      <c r="I246" s="87"/>
    </row>
    <row r="247">
      <c r="A247" s="46" t="str">
        <f>IFERROR(__xludf.DUMMYFUNCTION("""COMPUTED_VALUE"""),"Europe")</f>
        <v>Europe</v>
      </c>
      <c r="B247" s="46" t="str">
        <f>IFERROR(__xludf.DUMMYFUNCTION("""COMPUTED_VALUE"""),"Monaco")</f>
        <v>Monaco</v>
      </c>
      <c r="C247" s="46" t="str">
        <f>IFERROR(__xludf.DUMMYFUNCTION("""COMPUTED_VALUE"""),"Personal Care")</f>
        <v>Personal Care</v>
      </c>
      <c r="D247" s="46">
        <f>IFERROR(__xludf.DUMMYFUNCTION("""COMPUTED_VALUE"""),26.0)</f>
        <v>26</v>
      </c>
      <c r="E247" s="46">
        <f>IFERROR(__xludf.DUMMYFUNCTION("""COMPUTED_VALUE"""),2.63098371E8)</f>
        <v>263098371</v>
      </c>
      <c r="F247" s="84">
        <f>IFERROR(__xludf.DUMMYFUNCTION("""COMPUTED_VALUE"""),450250.57)</f>
        <v>450250.57</v>
      </c>
      <c r="I247" s="87"/>
    </row>
    <row r="248">
      <c r="A248" s="46" t="str">
        <f>IFERROR(__xludf.DUMMYFUNCTION("""COMPUTED_VALUE"""),"Europe")</f>
        <v>Europe</v>
      </c>
      <c r="B248" s="46" t="str">
        <f>IFERROR(__xludf.DUMMYFUNCTION("""COMPUTED_VALUE"""),"Austria")</f>
        <v>Austria</v>
      </c>
      <c r="C248" s="46" t="str">
        <f>IFERROR(__xludf.DUMMYFUNCTION("""COMPUTED_VALUE"""),"Fruits")</f>
        <v>Fruits</v>
      </c>
      <c r="D248" s="46">
        <f>IFERROR(__xludf.DUMMYFUNCTION("""COMPUTED_VALUE"""),45.0)</f>
        <v>45</v>
      </c>
      <c r="E248" s="46">
        <f>IFERROR(__xludf.DUMMYFUNCTION("""COMPUTED_VALUE"""),2.6342796E8)</f>
        <v>263427960</v>
      </c>
      <c r="F248" s="84">
        <f>IFERROR(__xludf.DUMMYFUNCTION("""COMPUTED_VALUE"""),28381.86)</f>
        <v>28381.86</v>
      </c>
      <c r="I248" s="87"/>
    </row>
    <row r="249">
      <c r="A249" s="46" t="str">
        <f>IFERROR(__xludf.DUMMYFUNCTION("""COMPUTED_VALUE"""),"Undefined")</f>
        <v>Undefined</v>
      </c>
      <c r="B249" s="46" t="str">
        <f>IFERROR(__xludf.DUMMYFUNCTION("""COMPUTED_VALUE"""),"Undefined")</f>
        <v>Undefined</v>
      </c>
      <c r="C249" s="46" t="str">
        <f>IFERROR(__xludf.DUMMYFUNCTION("""COMPUTED_VALUE"""),"Clothes")</f>
        <v>Clothes</v>
      </c>
      <c r="D249" s="46">
        <f>IFERROR(__xludf.DUMMYFUNCTION("""COMPUTED_VALUE"""),7.0)</f>
        <v>7</v>
      </c>
      <c r="E249" s="46">
        <f>IFERROR(__xludf.DUMMYFUNCTION("""COMPUTED_VALUE"""),2.63647687E8)</f>
        <v>263647687</v>
      </c>
      <c r="F249" s="84">
        <f>IFERROR(__xludf.DUMMYFUNCTION("""COMPUTED_VALUE"""),881233.92)</f>
        <v>881233.92</v>
      </c>
      <c r="I249" s="87"/>
    </row>
    <row r="250">
      <c r="A250" s="46" t="str">
        <f>IFERROR(__xludf.DUMMYFUNCTION("""COMPUTED_VALUE"""),"Undefined")</f>
        <v>Undefined</v>
      </c>
      <c r="B250" s="46" t="str">
        <f>IFERROR(__xludf.DUMMYFUNCTION("""COMPUTED_VALUE"""),"Undefined")</f>
        <v>Undefined</v>
      </c>
      <c r="C250" s="46" t="str">
        <f>IFERROR(__xludf.DUMMYFUNCTION("""COMPUTED_VALUE"""),"Baby Food")</f>
        <v>Baby Food</v>
      </c>
      <c r="D250" s="46">
        <f>IFERROR(__xludf.DUMMYFUNCTION("""COMPUTED_VALUE"""),19.0)</f>
        <v>19</v>
      </c>
      <c r="E250" s="46">
        <f>IFERROR(__xludf.DUMMYFUNCTION("""COMPUTED_VALUE"""),2.63852393E8)</f>
        <v>263852393</v>
      </c>
      <c r="F250" s="84">
        <f>IFERROR(__xludf.DUMMYFUNCTION("""COMPUTED_VALUE"""),2205874.48)</f>
        <v>2205874.48</v>
      </c>
      <c r="I250" s="87"/>
    </row>
    <row r="251">
      <c r="A251" s="46" t="str">
        <f>IFERROR(__xludf.DUMMYFUNCTION("""COMPUTED_VALUE"""),"Europe")</f>
        <v>Europe</v>
      </c>
      <c r="B251" s="46" t="str">
        <f>IFERROR(__xludf.DUMMYFUNCTION("""COMPUTED_VALUE"""),"Slovenia")</f>
        <v>Slovenia</v>
      </c>
      <c r="C251" s="46" t="str">
        <f>IFERROR(__xludf.DUMMYFUNCTION("""COMPUTED_VALUE"""),"Beverages")</f>
        <v>Beverages</v>
      </c>
      <c r="D251" s="46">
        <f>IFERROR(__xludf.DUMMYFUNCTION("""COMPUTED_VALUE"""),24.0)</f>
        <v>24</v>
      </c>
      <c r="E251" s="46">
        <f>IFERROR(__xludf.DUMMYFUNCTION("""COMPUTED_VALUE"""),2.63882005E8)</f>
        <v>263882005</v>
      </c>
      <c r="F251" s="84">
        <f>IFERROR(__xludf.DUMMYFUNCTION("""COMPUTED_VALUE"""),351319.80000000005)</f>
        <v>351319.8</v>
      </c>
      <c r="I251" s="87"/>
    </row>
    <row r="252">
      <c r="A252" s="46" t="str">
        <f>IFERROR(__xludf.DUMMYFUNCTION("""COMPUTED_VALUE"""),"Europe")</f>
        <v>Europe</v>
      </c>
      <c r="B252" s="46" t="str">
        <f>IFERROR(__xludf.DUMMYFUNCTION("""COMPUTED_VALUE"""),"Ireland")</f>
        <v>Ireland</v>
      </c>
      <c r="C252" s="46" t="str">
        <f>IFERROR(__xludf.DUMMYFUNCTION("""COMPUTED_VALUE"""),"Office Supplies")</f>
        <v>Office Supplies</v>
      </c>
      <c r="D252" s="46">
        <f>IFERROR(__xludf.DUMMYFUNCTION("""COMPUTED_VALUE"""),26.0)</f>
        <v>26</v>
      </c>
      <c r="E252" s="46">
        <f>IFERROR(__xludf.DUMMYFUNCTION("""COMPUTED_VALUE"""),2.63977277E8)</f>
        <v>263977277</v>
      </c>
      <c r="F252" s="84">
        <f>IFERROR(__xludf.DUMMYFUNCTION("""COMPUTED_VALUE"""),3644822.37)</f>
        <v>3644822.37</v>
      </c>
      <c r="I252" s="87"/>
    </row>
    <row r="253">
      <c r="A253" s="46" t="str">
        <f>IFERROR(__xludf.DUMMYFUNCTION("""COMPUTED_VALUE"""),"Europe")</f>
        <v>Europe</v>
      </c>
      <c r="B253" s="46" t="str">
        <f>IFERROR(__xludf.DUMMYFUNCTION("""COMPUTED_VALUE"""),"Liechtenstein")</f>
        <v>Liechtenstein</v>
      </c>
      <c r="C253" s="46" t="str">
        <f>IFERROR(__xludf.DUMMYFUNCTION("""COMPUTED_VALUE"""),"Beverages")</f>
        <v>Beverages</v>
      </c>
      <c r="D253" s="46">
        <f>IFERROR(__xludf.DUMMYFUNCTION("""COMPUTED_VALUE"""),17.0)</f>
        <v>17</v>
      </c>
      <c r="E253" s="46">
        <f>IFERROR(__xludf.DUMMYFUNCTION("""COMPUTED_VALUE"""),2.64163959E8)</f>
        <v>264163959</v>
      </c>
      <c r="F253" s="84">
        <f>IFERROR(__xludf.DUMMYFUNCTION("""COMPUTED_VALUE"""),39858.0)</f>
        <v>39858</v>
      </c>
      <c r="I253" s="87"/>
    </row>
    <row r="254">
      <c r="A254" s="46" t="str">
        <f>IFERROR(__xludf.DUMMYFUNCTION("""COMPUTED_VALUE"""),"Europe")</f>
        <v>Europe</v>
      </c>
      <c r="B254" s="46" t="str">
        <f>IFERROR(__xludf.DUMMYFUNCTION("""COMPUTED_VALUE"""),"Romania")</f>
        <v>Romania</v>
      </c>
      <c r="C254" s="46" t="str">
        <f>IFERROR(__xludf.DUMMYFUNCTION("""COMPUTED_VALUE"""),"Personal Care")</f>
        <v>Personal Care</v>
      </c>
      <c r="D254" s="46">
        <f>IFERROR(__xludf.DUMMYFUNCTION("""COMPUTED_VALUE"""),7.0)</f>
        <v>7</v>
      </c>
      <c r="E254" s="46">
        <f>IFERROR(__xludf.DUMMYFUNCTION("""COMPUTED_VALUE"""),2.64526593E8)</f>
        <v>264526593</v>
      </c>
      <c r="F254" s="84">
        <f>IFERROR(__xludf.DUMMYFUNCTION("""COMPUTED_VALUE"""),666262.9600000001)</f>
        <v>666262.96</v>
      </c>
      <c r="I254" s="87"/>
    </row>
    <row r="255">
      <c r="A255" s="46" t="str">
        <f>IFERROR(__xludf.DUMMYFUNCTION("""COMPUTED_VALUE"""),"Asia")</f>
        <v>Asia</v>
      </c>
      <c r="B255" s="46" t="str">
        <f>IFERROR(__xludf.DUMMYFUNCTION("""COMPUTED_VALUE"""),"Cyprus")</f>
        <v>Cyprus</v>
      </c>
      <c r="C255" s="46" t="str">
        <f>IFERROR(__xludf.DUMMYFUNCTION("""COMPUTED_VALUE"""),"Fruits")</f>
        <v>Fruits</v>
      </c>
      <c r="D255" s="46">
        <f>IFERROR(__xludf.DUMMYFUNCTION("""COMPUTED_VALUE"""),26.0)</f>
        <v>26</v>
      </c>
      <c r="E255" s="46">
        <f>IFERROR(__xludf.DUMMYFUNCTION("""COMPUTED_VALUE"""),2.64856183E8)</f>
        <v>264856183</v>
      </c>
      <c r="F255" s="84">
        <f>IFERROR(__xludf.DUMMYFUNCTION("""COMPUTED_VALUE"""),53041.05)</f>
        <v>53041.05</v>
      </c>
      <c r="I255" s="87"/>
    </row>
    <row r="256">
      <c r="A256" s="46" t="str">
        <f>IFERROR(__xludf.DUMMYFUNCTION("""COMPUTED_VALUE"""),"Europe")</f>
        <v>Europe</v>
      </c>
      <c r="B256" s="46" t="str">
        <f>IFERROR(__xludf.DUMMYFUNCTION("""COMPUTED_VALUE"""),"Estonia")</f>
        <v>Estonia</v>
      </c>
      <c r="C256" s="46" t="str">
        <f>IFERROR(__xludf.DUMMYFUNCTION("""COMPUTED_VALUE"""),"Clothes")</f>
        <v>Clothes</v>
      </c>
      <c r="D256" s="46">
        <f>IFERROR(__xludf.DUMMYFUNCTION("""COMPUTED_VALUE"""),3.0)</f>
        <v>3</v>
      </c>
      <c r="E256" s="46">
        <f>IFERROR(__xludf.DUMMYFUNCTION("""COMPUTED_VALUE"""),2.6492871E8)</f>
        <v>264928710</v>
      </c>
      <c r="F256" s="84">
        <f>IFERROR(__xludf.DUMMYFUNCTION("""COMPUTED_VALUE"""),781024.16)</f>
        <v>781024.16</v>
      </c>
      <c r="I256" s="87"/>
    </row>
    <row r="257">
      <c r="A257" s="46" t="str">
        <f>IFERROR(__xludf.DUMMYFUNCTION("""COMPUTED_VALUE"""),"Asia")</f>
        <v>Asia</v>
      </c>
      <c r="B257" s="46" t="str">
        <f>IFERROR(__xludf.DUMMYFUNCTION("""COMPUTED_VALUE"""),"Georgia")</f>
        <v>Georgia</v>
      </c>
      <c r="C257" s="46" t="str">
        <f>IFERROR(__xludf.DUMMYFUNCTION("""COMPUTED_VALUE"""),"Snacks")</f>
        <v>Snacks</v>
      </c>
      <c r="D257" s="46">
        <f>IFERROR(__xludf.DUMMYFUNCTION("""COMPUTED_VALUE"""),47.0)</f>
        <v>47</v>
      </c>
      <c r="E257" s="46">
        <f>IFERROR(__xludf.DUMMYFUNCTION("""COMPUTED_VALUE"""),2.64959609E8)</f>
        <v>264959609</v>
      </c>
      <c r="F257" s="84">
        <f>IFERROR(__xludf.DUMMYFUNCTION("""COMPUTED_VALUE"""),959880.78)</f>
        <v>959880.78</v>
      </c>
      <c r="I257" s="87"/>
    </row>
    <row r="258">
      <c r="A258" s="46" t="str">
        <f>IFERROR(__xludf.DUMMYFUNCTION("""COMPUTED_VALUE"""),"Europe")</f>
        <v>Europe</v>
      </c>
      <c r="B258" s="46" t="str">
        <f>IFERROR(__xludf.DUMMYFUNCTION("""COMPUTED_VALUE"""),"Serbia")</f>
        <v>Serbia</v>
      </c>
      <c r="C258" s="46" t="str">
        <f>IFERROR(__xludf.DUMMYFUNCTION("""COMPUTED_VALUE"""),"Snacks")</f>
        <v>Snacks</v>
      </c>
      <c r="D258" s="46">
        <f>IFERROR(__xludf.DUMMYFUNCTION("""COMPUTED_VALUE"""),39.0)</f>
        <v>39</v>
      </c>
      <c r="E258" s="46">
        <f>IFERROR(__xludf.DUMMYFUNCTION("""COMPUTED_VALUE"""),2.65191352E8)</f>
        <v>265191352</v>
      </c>
      <c r="F258" s="84">
        <f>IFERROR(__xludf.DUMMYFUNCTION("""COMPUTED_VALUE"""),742912.02)</f>
        <v>742912.02</v>
      </c>
      <c r="I258" s="87"/>
    </row>
    <row r="259">
      <c r="A259" s="46" t="str">
        <f>IFERROR(__xludf.DUMMYFUNCTION("""COMPUTED_VALUE"""),"Europe")</f>
        <v>Europe</v>
      </c>
      <c r="B259" s="46" t="str">
        <f>IFERROR(__xludf.DUMMYFUNCTION("""COMPUTED_VALUE"""),"Malta")</f>
        <v>Malta</v>
      </c>
      <c r="C259" s="46" t="str">
        <f>IFERROR(__xludf.DUMMYFUNCTION("""COMPUTED_VALUE"""),"Cosmetics")</f>
        <v>Cosmetics</v>
      </c>
      <c r="D259" s="46">
        <f>IFERROR(__xludf.DUMMYFUNCTION("""COMPUTED_VALUE"""),40.0)</f>
        <v>40</v>
      </c>
      <c r="E259" s="46">
        <f>IFERROR(__xludf.DUMMYFUNCTION("""COMPUTED_VALUE"""),2.65914475E8)</f>
        <v>265914475</v>
      </c>
      <c r="F259" s="84">
        <f>IFERROR(__xludf.DUMMYFUNCTION("""COMPUTED_VALUE"""),3872280.4)</f>
        <v>3872280.4</v>
      </c>
      <c r="I259" s="87"/>
    </row>
    <row r="260">
      <c r="A260" s="46" t="str">
        <f>IFERROR(__xludf.DUMMYFUNCTION("""COMPUTED_VALUE"""),"Europe")</f>
        <v>Europe</v>
      </c>
      <c r="B260" s="46" t="str">
        <f>IFERROR(__xludf.DUMMYFUNCTION("""COMPUTED_VALUE"""),"Serbia")</f>
        <v>Serbia</v>
      </c>
      <c r="C260" s="46" t="str">
        <f>IFERROR(__xludf.DUMMYFUNCTION("""COMPUTED_VALUE"""),"Household")</f>
        <v>Household</v>
      </c>
      <c r="D260" s="46">
        <f>IFERROR(__xludf.DUMMYFUNCTION("""COMPUTED_VALUE"""),17.0)</f>
        <v>17</v>
      </c>
      <c r="E260" s="46">
        <f>IFERROR(__xludf.DUMMYFUNCTION("""COMPUTED_VALUE"""),2.66614854E8)</f>
        <v>266614854</v>
      </c>
      <c r="F260" s="84">
        <f>IFERROR(__xludf.DUMMYFUNCTION("""COMPUTED_VALUE"""),4086471.05)</f>
        <v>4086471.05</v>
      </c>
      <c r="I260" s="87"/>
    </row>
    <row r="261">
      <c r="A261" s="46" t="str">
        <f>IFERROR(__xludf.DUMMYFUNCTION("""COMPUTED_VALUE"""),"Europe")</f>
        <v>Europe</v>
      </c>
      <c r="B261" s="46" t="str">
        <f>IFERROR(__xludf.DUMMYFUNCTION("""COMPUTED_VALUE"""),"Andorra")</f>
        <v>Andorra</v>
      </c>
      <c r="C261" s="46" t="str">
        <f>IFERROR(__xludf.DUMMYFUNCTION("""COMPUTED_VALUE"""),"Household")</f>
        <v>Household</v>
      </c>
      <c r="D261" s="46">
        <f>IFERROR(__xludf.DUMMYFUNCTION("""COMPUTED_VALUE"""),28.0)</f>
        <v>28</v>
      </c>
      <c r="E261" s="46">
        <f>IFERROR(__xludf.DUMMYFUNCTION("""COMPUTED_VALUE"""),2.66638886E8)</f>
        <v>266638886</v>
      </c>
      <c r="F261" s="84">
        <f>IFERROR(__xludf.DUMMYFUNCTION("""COMPUTED_VALUE"""),2156507.29)</f>
        <v>2156507.29</v>
      </c>
      <c r="I261" s="87"/>
    </row>
    <row r="262">
      <c r="A262" s="46" t="str">
        <f>IFERROR(__xludf.DUMMYFUNCTION("""COMPUTED_VALUE"""),"Europe")</f>
        <v>Europe</v>
      </c>
      <c r="B262" s="46" t="str">
        <f>IFERROR(__xludf.DUMMYFUNCTION("""COMPUTED_VALUE"""),"Austria")</f>
        <v>Austria</v>
      </c>
      <c r="C262" s="46" t="str">
        <f>IFERROR(__xludf.DUMMYFUNCTION("""COMPUTED_VALUE"""),"Office Supplies")</f>
        <v>Office Supplies</v>
      </c>
      <c r="D262" s="46">
        <f>IFERROR(__xludf.DUMMYFUNCTION("""COMPUTED_VALUE"""),3.0)</f>
        <v>3</v>
      </c>
      <c r="E262" s="46">
        <f>IFERROR(__xludf.DUMMYFUNCTION("""COMPUTED_VALUE"""),2.68373954E8)</f>
        <v>268373954</v>
      </c>
      <c r="F262" s="84">
        <f>IFERROR(__xludf.DUMMYFUNCTION("""COMPUTED_VALUE"""),4344873.12)</f>
        <v>4344873.12</v>
      </c>
      <c r="I262" s="87"/>
    </row>
    <row r="263">
      <c r="A263" s="46" t="str">
        <f>IFERROR(__xludf.DUMMYFUNCTION("""COMPUTED_VALUE"""),"Europe")</f>
        <v>Europe</v>
      </c>
      <c r="B263" s="46" t="str">
        <f>IFERROR(__xludf.DUMMYFUNCTION("""COMPUTED_VALUE"""),"Albania")</f>
        <v>Albania</v>
      </c>
      <c r="C263" s="46" t="str">
        <f>IFERROR(__xludf.DUMMYFUNCTION("""COMPUTED_VALUE"""),"Beverages")</f>
        <v>Beverages</v>
      </c>
      <c r="D263" s="46">
        <f>IFERROR(__xludf.DUMMYFUNCTION("""COMPUTED_VALUE"""),44.0)</f>
        <v>44</v>
      </c>
      <c r="E263" s="46">
        <f>IFERROR(__xludf.DUMMYFUNCTION("""COMPUTED_VALUE"""),2.70358788E8)</f>
        <v>270358788</v>
      </c>
      <c r="F263" s="84">
        <f>IFERROR(__xludf.DUMMYFUNCTION("""COMPUTED_VALUE"""),191128.6)</f>
        <v>191128.6</v>
      </c>
      <c r="I263" s="87"/>
    </row>
    <row r="264">
      <c r="A264" s="46" t="str">
        <f>IFERROR(__xludf.DUMMYFUNCTION("""COMPUTED_VALUE"""),"Europe")</f>
        <v>Europe</v>
      </c>
      <c r="B264" s="46" t="str">
        <f>IFERROR(__xludf.DUMMYFUNCTION("""COMPUTED_VALUE"""),"Portugal")</f>
        <v>Portugal</v>
      </c>
      <c r="C264" s="46" t="str">
        <f>IFERROR(__xludf.DUMMYFUNCTION("""COMPUTED_VALUE"""),"Snacks")</f>
        <v>Snacks</v>
      </c>
      <c r="D264" s="46">
        <f>IFERROR(__xludf.DUMMYFUNCTION("""COMPUTED_VALUE"""),7.0)</f>
        <v>7</v>
      </c>
      <c r="E264" s="46">
        <f>IFERROR(__xludf.DUMMYFUNCTION("""COMPUTED_VALUE"""),2.72361218E8)</f>
        <v>272361218</v>
      </c>
      <c r="F264" s="84">
        <f>IFERROR(__xludf.DUMMYFUNCTION("""COMPUTED_VALUE"""),1005807.3600000001)</f>
        <v>1005807.36</v>
      </c>
      <c r="I264" s="87"/>
    </row>
    <row r="265">
      <c r="A265" s="46" t="str">
        <f>IFERROR(__xludf.DUMMYFUNCTION("""COMPUTED_VALUE"""),"Europe")</f>
        <v>Europe</v>
      </c>
      <c r="B265" s="46" t="str">
        <f>IFERROR(__xludf.DUMMYFUNCTION("""COMPUTED_VALUE"""),"Denmark")</f>
        <v>Denmark</v>
      </c>
      <c r="C265" s="46" t="str">
        <f>IFERROR(__xludf.DUMMYFUNCTION("""COMPUTED_VALUE"""),"Fruits")</f>
        <v>Fruits</v>
      </c>
      <c r="D265" s="46">
        <f>IFERROR(__xludf.DUMMYFUNCTION("""COMPUTED_VALUE"""),17.0)</f>
        <v>17</v>
      </c>
      <c r="E265" s="46">
        <f>IFERROR(__xludf.DUMMYFUNCTION("""COMPUTED_VALUE"""),2.72425591E8)</f>
        <v>272425591</v>
      </c>
      <c r="F265" s="84">
        <f>IFERROR(__xludf.DUMMYFUNCTION("""COMPUTED_VALUE"""),52630.53)</f>
        <v>52630.53</v>
      </c>
      <c r="I265" s="87"/>
    </row>
    <row r="266">
      <c r="A266" s="46" t="str">
        <f>IFERROR(__xludf.DUMMYFUNCTION("""COMPUTED_VALUE"""),"Europe")</f>
        <v>Europe</v>
      </c>
      <c r="B266" s="46" t="str">
        <f>IFERROR(__xludf.DUMMYFUNCTION("""COMPUTED_VALUE"""),"Bulgaria")</f>
        <v>Bulgaria</v>
      </c>
      <c r="C266" s="46" t="str">
        <f>IFERROR(__xludf.DUMMYFUNCTION("""COMPUTED_VALUE"""),"Meat")</f>
        <v>Meat</v>
      </c>
      <c r="D266" s="46">
        <f>IFERROR(__xludf.DUMMYFUNCTION("""COMPUTED_VALUE"""),3.0)</f>
        <v>3</v>
      </c>
      <c r="E266" s="46">
        <f>IFERROR(__xludf.DUMMYFUNCTION("""COMPUTED_VALUE"""),2.73662412E8)</f>
        <v>273662412</v>
      </c>
      <c r="F266" s="84">
        <f>IFERROR(__xludf.DUMMYFUNCTION("""COMPUTED_VALUE"""),693587.16)</f>
        <v>693587.16</v>
      </c>
      <c r="I266" s="87"/>
    </row>
    <row r="267">
      <c r="A267" s="46" t="str">
        <f>IFERROR(__xludf.DUMMYFUNCTION("""COMPUTED_VALUE"""),"Europe")</f>
        <v>Europe</v>
      </c>
      <c r="B267" s="46" t="str">
        <f>IFERROR(__xludf.DUMMYFUNCTION("""COMPUTED_VALUE"""),"Romania")</f>
        <v>Romania</v>
      </c>
      <c r="C267" s="46" t="str">
        <f>IFERROR(__xludf.DUMMYFUNCTION("""COMPUTED_VALUE"""),"Cereal")</f>
        <v>Cereal</v>
      </c>
      <c r="D267" s="46">
        <f>IFERROR(__xludf.DUMMYFUNCTION("""COMPUTED_VALUE"""),35.0)</f>
        <v>35</v>
      </c>
      <c r="E267" s="46">
        <f>IFERROR(__xludf.DUMMYFUNCTION("""COMPUTED_VALUE"""),2.73940503E8)</f>
        <v>273940503</v>
      </c>
      <c r="F267" s="84">
        <f>IFERROR(__xludf.DUMMYFUNCTION("""COMPUTED_VALUE"""),809840.8999999999)</f>
        <v>809840.9</v>
      </c>
      <c r="I267" s="87"/>
    </row>
    <row r="268">
      <c r="A268" s="46" t="str">
        <f>IFERROR(__xludf.DUMMYFUNCTION("""COMPUTED_VALUE"""),"Europe")</f>
        <v>Europe</v>
      </c>
      <c r="B268" s="46" t="str">
        <f>IFERROR(__xludf.DUMMYFUNCTION("""COMPUTED_VALUE"""),"Malta")</f>
        <v>Malta</v>
      </c>
      <c r="C268" s="46" t="str">
        <f>IFERROR(__xludf.DUMMYFUNCTION("""COMPUTED_VALUE"""),"Personal Care")</f>
        <v>Personal Care</v>
      </c>
      <c r="D268" s="46">
        <f>IFERROR(__xludf.DUMMYFUNCTION("""COMPUTED_VALUE"""),28.0)</f>
        <v>28</v>
      </c>
      <c r="E268" s="46">
        <f>IFERROR(__xludf.DUMMYFUNCTION("""COMPUTED_VALUE"""),2.74694526E8)</f>
        <v>274694526</v>
      </c>
      <c r="F268" s="84">
        <f>IFERROR(__xludf.DUMMYFUNCTION("""COMPUTED_VALUE"""),577749.37)</f>
        <v>577749.37</v>
      </c>
      <c r="I268" s="87"/>
    </row>
    <row r="269">
      <c r="A269" s="46" t="str">
        <f>IFERROR(__xludf.DUMMYFUNCTION("""COMPUTED_VALUE"""),"Europe")</f>
        <v>Europe</v>
      </c>
      <c r="B269" s="46" t="str">
        <f>IFERROR(__xludf.DUMMYFUNCTION("""COMPUTED_VALUE"""),"Sweden")</f>
        <v>Sweden</v>
      </c>
      <c r="C269" s="46" t="str">
        <f>IFERROR(__xludf.DUMMYFUNCTION("""COMPUTED_VALUE"""),"Snacks")</f>
        <v>Snacks</v>
      </c>
      <c r="D269" s="46">
        <f>IFERROR(__xludf.DUMMYFUNCTION("""COMPUTED_VALUE"""),43.0)</f>
        <v>43</v>
      </c>
      <c r="E269" s="46">
        <f>IFERROR(__xludf.DUMMYFUNCTION("""COMPUTED_VALUE"""),2.74989354E8)</f>
        <v>274989354</v>
      </c>
      <c r="F269" s="84">
        <f>IFERROR(__xludf.DUMMYFUNCTION("""COMPUTED_VALUE"""),658535.28)</f>
        <v>658535.28</v>
      </c>
      <c r="I269" s="87"/>
    </row>
    <row r="270">
      <c r="A270" s="46" t="str">
        <f>IFERROR(__xludf.DUMMYFUNCTION("""COMPUTED_VALUE"""),"Europe")</f>
        <v>Europe</v>
      </c>
      <c r="B270" s="46" t="str">
        <f>IFERROR(__xludf.DUMMYFUNCTION("""COMPUTED_VALUE"""),"Germany")</f>
        <v>Germany</v>
      </c>
      <c r="C270" s="46" t="str">
        <f>IFERROR(__xludf.DUMMYFUNCTION("""COMPUTED_VALUE"""),"Clothes")</f>
        <v>Clothes</v>
      </c>
      <c r="D270" s="46">
        <f>IFERROR(__xludf.DUMMYFUNCTION("""COMPUTED_VALUE"""),25.0)</f>
        <v>25</v>
      </c>
      <c r="E270" s="46">
        <f>IFERROR(__xludf.DUMMYFUNCTION("""COMPUTED_VALUE"""),2.76784074E8)</f>
        <v>276784074</v>
      </c>
      <c r="F270" s="84">
        <f>IFERROR(__xludf.DUMMYFUNCTION("""COMPUTED_VALUE"""),591532.64)</f>
        <v>591532.64</v>
      </c>
      <c r="I270" s="87"/>
    </row>
    <row r="271">
      <c r="A271" s="46" t="str">
        <f>IFERROR(__xludf.DUMMYFUNCTION("""COMPUTED_VALUE"""),"Europe")</f>
        <v>Europe</v>
      </c>
      <c r="B271" s="46" t="str">
        <f>IFERROR(__xludf.DUMMYFUNCTION("""COMPUTED_VALUE"""),"Malta")</f>
        <v>Malta</v>
      </c>
      <c r="C271" s="46" t="str">
        <f>IFERROR(__xludf.DUMMYFUNCTION("""COMPUTED_VALUE"""),"Baby Food")</f>
        <v>Baby Food</v>
      </c>
      <c r="D271" s="46">
        <f>IFERROR(__xludf.DUMMYFUNCTION("""COMPUTED_VALUE"""),13.0)</f>
        <v>13</v>
      </c>
      <c r="E271" s="46">
        <f>IFERROR(__xludf.DUMMYFUNCTION("""COMPUTED_VALUE"""),2.76850593E8)</f>
        <v>276850593</v>
      </c>
      <c r="F271" s="84">
        <f>IFERROR(__xludf.DUMMYFUNCTION("""COMPUTED_VALUE"""),1301162.16)</f>
        <v>1301162.16</v>
      </c>
      <c r="I271" s="87"/>
    </row>
    <row r="272">
      <c r="A272" s="46" t="str">
        <f>IFERROR(__xludf.DUMMYFUNCTION("""COMPUTED_VALUE"""),"Europe")</f>
        <v>Europe</v>
      </c>
      <c r="B272" s="46" t="str">
        <f>IFERROR(__xludf.DUMMYFUNCTION("""COMPUTED_VALUE"""),"Macedonia")</f>
        <v>Macedonia</v>
      </c>
      <c r="C272" s="46" t="str">
        <f>IFERROR(__xludf.DUMMYFUNCTION("""COMPUTED_VALUE"""),"Fruits")</f>
        <v>Fruits</v>
      </c>
      <c r="D272" s="46">
        <f>IFERROR(__xludf.DUMMYFUNCTION("""COMPUTED_VALUE"""),11.0)</f>
        <v>11</v>
      </c>
      <c r="E272" s="46">
        <f>IFERROR(__xludf.DUMMYFUNCTION("""COMPUTED_VALUE"""),2.78513133E8)</f>
        <v>278513133</v>
      </c>
      <c r="F272" s="84">
        <f>IFERROR(__xludf.DUMMYFUNCTION("""COMPUTED_VALUE"""),66056.4)</f>
        <v>66056.4</v>
      </c>
      <c r="I272" s="87"/>
    </row>
    <row r="273">
      <c r="A273" s="46" t="str">
        <f>IFERROR(__xludf.DUMMYFUNCTION("""COMPUTED_VALUE"""),"Europe")</f>
        <v>Europe</v>
      </c>
      <c r="B273" s="46" t="str">
        <f>IFERROR(__xludf.DUMMYFUNCTION("""COMPUTED_VALUE"""),"Russia")</f>
        <v>Russia</v>
      </c>
      <c r="C273" s="46" t="str">
        <f>IFERROR(__xludf.DUMMYFUNCTION("""COMPUTED_VALUE"""),"Cereal")</f>
        <v>Cereal</v>
      </c>
      <c r="D273" s="46">
        <f>IFERROR(__xludf.DUMMYFUNCTION("""COMPUTED_VALUE"""),45.0)</f>
        <v>45</v>
      </c>
      <c r="E273" s="46">
        <f>IFERROR(__xludf.DUMMYFUNCTION("""COMPUTED_VALUE"""),2.79338395E8)</f>
        <v>279338395</v>
      </c>
      <c r="F273" s="84">
        <f>IFERROR(__xludf.DUMMYFUNCTION("""COMPUTED_VALUE"""),265970.1)</f>
        <v>265970.1</v>
      </c>
      <c r="I273" s="87"/>
    </row>
    <row r="274">
      <c r="A274" s="46" t="str">
        <f>IFERROR(__xludf.DUMMYFUNCTION("""COMPUTED_VALUE"""),"Europe")</f>
        <v>Europe</v>
      </c>
      <c r="B274" s="46" t="str">
        <f>IFERROR(__xludf.DUMMYFUNCTION("""COMPUTED_VALUE"""),"Hungary")</f>
        <v>Hungary</v>
      </c>
      <c r="C274" s="46" t="str">
        <f>IFERROR(__xludf.DUMMYFUNCTION("""COMPUTED_VALUE"""),"Baby Food")</f>
        <v>Baby Food</v>
      </c>
      <c r="D274" s="46">
        <f>IFERROR(__xludf.DUMMYFUNCTION("""COMPUTED_VALUE"""),9.0)</f>
        <v>9</v>
      </c>
      <c r="E274" s="46">
        <f>IFERROR(__xludf.DUMMYFUNCTION("""COMPUTED_VALUE"""),2.79703605E8)</f>
        <v>279703605</v>
      </c>
      <c r="F274" s="84">
        <f>IFERROR(__xludf.DUMMYFUNCTION("""COMPUTED_VALUE"""),2391207.7600000002)</f>
        <v>2391207.76</v>
      </c>
      <c r="I274" s="87"/>
    </row>
    <row r="275">
      <c r="A275" s="46" t="str">
        <f>IFERROR(__xludf.DUMMYFUNCTION("""COMPUTED_VALUE"""),"Europe")</f>
        <v>Europe</v>
      </c>
      <c r="B275" s="46" t="str">
        <f>IFERROR(__xludf.DUMMYFUNCTION("""COMPUTED_VALUE"""),"Portugal")</f>
        <v>Portugal</v>
      </c>
      <c r="C275" s="46" t="str">
        <f>IFERROR(__xludf.DUMMYFUNCTION("""COMPUTED_VALUE"""),"Snacks")</f>
        <v>Snacks</v>
      </c>
      <c r="D275" s="46">
        <f>IFERROR(__xludf.DUMMYFUNCTION("""COMPUTED_VALUE"""),36.0)</f>
        <v>36</v>
      </c>
      <c r="E275" s="46">
        <f>IFERROR(__xludf.DUMMYFUNCTION("""COMPUTED_VALUE"""),2.79816472E8)</f>
        <v>279816472</v>
      </c>
      <c r="F275" s="84">
        <f>IFERROR(__xludf.DUMMYFUNCTION("""COMPUTED_VALUE"""),422188.86000000004)</f>
        <v>422188.86</v>
      </c>
      <c r="I275" s="87"/>
    </row>
    <row r="276">
      <c r="A276" s="46" t="str">
        <f>IFERROR(__xludf.DUMMYFUNCTION("""COMPUTED_VALUE"""),"Europe")</f>
        <v>Europe</v>
      </c>
      <c r="B276" s="46" t="str">
        <f>IFERROR(__xludf.DUMMYFUNCTION("""COMPUTED_VALUE"""),"Finland")</f>
        <v>Finland</v>
      </c>
      <c r="C276" s="46" t="str">
        <f>IFERROR(__xludf.DUMMYFUNCTION("""COMPUTED_VALUE"""),"Cereal")</f>
        <v>Cereal</v>
      </c>
      <c r="D276" s="46">
        <f>IFERROR(__xludf.DUMMYFUNCTION("""COMPUTED_VALUE"""),43.0)</f>
        <v>43</v>
      </c>
      <c r="E276" s="46">
        <f>IFERROR(__xludf.DUMMYFUNCTION("""COMPUTED_VALUE"""),2.8019241E8)</f>
        <v>280192410</v>
      </c>
      <c r="F276" s="84">
        <f>IFERROR(__xludf.DUMMYFUNCTION("""COMPUTED_VALUE"""),826091.2)</f>
        <v>826091.2</v>
      </c>
      <c r="I276" s="87"/>
    </row>
    <row r="277">
      <c r="A277" s="46" t="str">
        <f>IFERROR(__xludf.DUMMYFUNCTION("""COMPUTED_VALUE"""),"Europe")</f>
        <v>Europe</v>
      </c>
      <c r="B277" s="46" t="str">
        <f>IFERROR(__xludf.DUMMYFUNCTION("""COMPUTED_VALUE"""),"Greece")</f>
        <v>Greece</v>
      </c>
      <c r="C277" s="46" t="str">
        <f>IFERROR(__xludf.DUMMYFUNCTION("""COMPUTED_VALUE"""),"Cereal")</f>
        <v>Cereal</v>
      </c>
      <c r="D277" s="46">
        <f>IFERROR(__xludf.DUMMYFUNCTION("""COMPUTED_VALUE"""),1.0)</f>
        <v>1</v>
      </c>
      <c r="E277" s="46">
        <f>IFERROR(__xludf.DUMMYFUNCTION("""COMPUTED_VALUE"""),2.80477797E8)</f>
        <v>280477797</v>
      </c>
      <c r="F277" s="84">
        <f>IFERROR(__xludf.DUMMYFUNCTION("""COMPUTED_VALUE"""),1741867.5999999999)</f>
        <v>1741867.6</v>
      </c>
      <c r="I277" s="87"/>
    </row>
    <row r="278">
      <c r="A278" s="46" t="str">
        <f>IFERROR(__xludf.DUMMYFUNCTION("""COMPUTED_VALUE"""),"Europe")</f>
        <v>Europe</v>
      </c>
      <c r="B278" s="46" t="str">
        <f>IFERROR(__xludf.DUMMYFUNCTION("""COMPUTED_VALUE"""),"Italy")</f>
        <v>Italy</v>
      </c>
      <c r="C278" s="46" t="str">
        <f>IFERROR(__xludf.DUMMYFUNCTION("""COMPUTED_VALUE"""),"Snacks")</f>
        <v>Snacks</v>
      </c>
      <c r="D278" s="46">
        <f>IFERROR(__xludf.DUMMYFUNCTION("""COMPUTED_VALUE"""),48.0)</f>
        <v>48</v>
      </c>
      <c r="E278" s="46">
        <f>IFERROR(__xludf.DUMMYFUNCTION("""COMPUTED_VALUE"""),2.81100928E8)</f>
        <v>281100928</v>
      </c>
      <c r="F278" s="84">
        <f>IFERROR(__xludf.DUMMYFUNCTION("""COMPUTED_VALUE"""),437294.28)</f>
        <v>437294.28</v>
      </c>
      <c r="I278" s="87"/>
    </row>
    <row r="279">
      <c r="A279" s="46" t="str">
        <f>IFERROR(__xludf.DUMMYFUNCTION("""COMPUTED_VALUE"""),"Europe")</f>
        <v>Europe</v>
      </c>
      <c r="B279" s="46" t="str">
        <f>IFERROR(__xludf.DUMMYFUNCTION("""COMPUTED_VALUE"""),"Russia")</f>
        <v>Russia</v>
      </c>
      <c r="C279" s="46" t="str">
        <f>IFERROR(__xludf.DUMMYFUNCTION("""COMPUTED_VALUE"""),"Office Supplies")</f>
        <v>Office Supplies</v>
      </c>
      <c r="D279" s="46">
        <f>IFERROR(__xludf.DUMMYFUNCTION("""COMPUTED_VALUE"""),7.0)</f>
        <v>7</v>
      </c>
      <c r="E279" s="46">
        <f>IFERROR(__xludf.DUMMYFUNCTION("""COMPUTED_VALUE"""),2.82917964E8)</f>
        <v>282917964</v>
      </c>
      <c r="F279" s="84">
        <f>IFERROR(__xludf.DUMMYFUNCTION("""COMPUTED_VALUE"""),369236.07)</f>
        <v>369236.07</v>
      </c>
      <c r="I279" s="87"/>
    </row>
    <row r="280">
      <c r="A280" s="46" t="str">
        <f>IFERROR(__xludf.DUMMYFUNCTION("""COMPUTED_VALUE"""),"Europe")</f>
        <v>Europe</v>
      </c>
      <c r="B280" s="46" t="str">
        <f>IFERROR(__xludf.DUMMYFUNCTION("""COMPUTED_VALUE"""),"Malta")</f>
        <v>Malta</v>
      </c>
      <c r="C280" s="46" t="str">
        <f>IFERROR(__xludf.DUMMYFUNCTION("""COMPUTED_VALUE"""),"Cosmetics")</f>
        <v>Cosmetics</v>
      </c>
      <c r="D280" s="46">
        <f>IFERROR(__xludf.DUMMYFUNCTION("""COMPUTED_VALUE"""),5.0)</f>
        <v>5</v>
      </c>
      <c r="E280" s="46">
        <f>IFERROR(__xludf.DUMMYFUNCTION("""COMPUTED_VALUE"""),2.84108436E8)</f>
        <v>284108436</v>
      </c>
      <c r="F280" s="84">
        <f>IFERROR(__xludf.DUMMYFUNCTION("""COMPUTED_VALUE"""),1247768.8)</f>
        <v>1247768.8</v>
      </c>
      <c r="I280" s="87"/>
    </row>
    <row r="281">
      <c r="A281" s="46" t="str">
        <f>IFERROR(__xludf.DUMMYFUNCTION("""COMPUTED_VALUE"""),"Europe")</f>
        <v>Europe</v>
      </c>
      <c r="B281" s="46" t="str">
        <f>IFERROR(__xludf.DUMMYFUNCTION("""COMPUTED_VALUE"""),"Poland")</f>
        <v>Poland</v>
      </c>
      <c r="C281" s="46" t="str">
        <f>IFERROR(__xludf.DUMMYFUNCTION("""COMPUTED_VALUE"""),"Cosmetics")</f>
        <v>Cosmetics</v>
      </c>
      <c r="D281" s="46">
        <f>IFERROR(__xludf.DUMMYFUNCTION("""COMPUTED_VALUE"""),44.0)</f>
        <v>44</v>
      </c>
      <c r="E281" s="46">
        <f>IFERROR(__xludf.DUMMYFUNCTION("""COMPUTED_VALUE"""),2.84310567E8)</f>
        <v>284310567</v>
      </c>
      <c r="F281" s="84">
        <f>IFERROR(__xludf.DUMMYFUNCTION("""COMPUTED_VALUE"""),1167324.0)</f>
        <v>1167324</v>
      </c>
      <c r="I281" s="87"/>
    </row>
    <row r="282">
      <c r="A282" s="46" t="str">
        <f>IFERROR(__xludf.DUMMYFUNCTION("""COMPUTED_VALUE"""),"Europe")</f>
        <v>Europe</v>
      </c>
      <c r="B282" s="46" t="str">
        <f>IFERROR(__xludf.DUMMYFUNCTION("""COMPUTED_VALUE"""),"Sweden")</f>
        <v>Sweden</v>
      </c>
      <c r="C282" s="46" t="str">
        <f>IFERROR(__xludf.DUMMYFUNCTION("""COMPUTED_VALUE"""),"Vegetables")</f>
        <v>Vegetables</v>
      </c>
      <c r="D282" s="46">
        <f>IFERROR(__xludf.DUMMYFUNCTION("""COMPUTED_VALUE"""),20.0)</f>
        <v>20</v>
      </c>
      <c r="E282" s="46">
        <f>IFERROR(__xludf.DUMMYFUNCTION("""COMPUTED_VALUE"""),2.84403264E8)</f>
        <v>284403264</v>
      </c>
      <c r="F282" s="84">
        <f>IFERROR(__xludf.DUMMYFUNCTION("""COMPUTED_VALUE"""),15560.06)</f>
        <v>15560.06</v>
      </c>
      <c r="I282" s="87"/>
    </row>
    <row r="283">
      <c r="A283" s="46" t="str">
        <f>IFERROR(__xludf.DUMMYFUNCTION("""COMPUTED_VALUE"""),"Europe")</f>
        <v>Europe</v>
      </c>
      <c r="B283" s="46" t="str">
        <f>IFERROR(__xludf.DUMMYFUNCTION("""COMPUTED_VALUE"""),"Montenegro")</f>
        <v>Montenegro</v>
      </c>
      <c r="C283" s="46" t="str">
        <f>IFERROR(__xludf.DUMMYFUNCTION("""COMPUTED_VALUE"""),"Personal Care")</f>
        <v>Personal Care</v>
      </c>
      <c r="D283" s="46">
        <f>IFERROR(__xludf.DUMMYFUNCTION("""COMPUTED_VALUE"""),0.0)</f>
        <v>0</v>
      </c>
      <c r="E283" s="46">
        <f>IFERROR(__xludf.DUMMYFUNCTION("""COMPUTED_VALUE"""),2.84435451E8)</f>
        <v>284435451</v>
      </c>
      <c r="F283" s="84">
        <f>IFERROR(__xludf.DUMMYFUNCTION("""COMPUTED_VALUE"""),786651.25)</f>
        <v>786651.25</v>
      </c>
      <c r="I283" s="87"/>
    </row>
    <row r="284">
      <c r="A284" s="46" t="str">
        <f>IFERROR(__xludf.DUMMYFUNCTION("""COMPUTED_VALUE"""),"Europe")</f>
        <v>Europe</v>
      </c>
      <c r="B284" s="46" t="str">
        <f>IFERROR(__xludf.DUMMYFUNCTION("""COMPUTED_VALUE"""),"San Marino")</f>
        <v>San Marino</v>
      </c>
      <c r="C284" s="46" t="str">
        <f>IFERROR(__xludf.DUMMYFUNCTION("""COMPUTED_VALUE"""),"Cosmetics")</f>
        <v>Cosmetics</v>
      </c>
      <c r="D284" s="46">
        <f>IFERROR(__xludf.DUMMYFUNCTION("""COMPUTED_VALUE"""),2.0)</f>
        <v>2</v>
      </c>
      <c r="E284" s="46">
        <f>IFERROR(__xludf.DUMMYFUNCTION("""COMPUTED_VALUE"""),2.84595954E8)</f>
        <v>284595954</v>
      </c>
      <c r="F284" s="84">
        <f>IFERROR(__xludf.DUMMYFUNCTION("""COMPUTED_VALUE"""),3113738.4)</f>
        <v>3113738.4</v>
      </c>
      <c r="I284" s="87"/>
    </row>
    <row r="285">
      <c r="A285" s="46" t="str">
        <f>IFERROR(__xludf.DUMMYFUNCTION("""COMPUTED_VALUE"""),"Europe")</f>
        <v>Europe</v>
      </c>
      <c r="B285" s="46" t="str">
        <f>IFERROR(__xludf.DUMMYFUNCTION("""COMPUTED_VALUE"""),"Serbia")</f>
        <v>Serbia</v>
      </c>
      <c r="C285" s="46" t="str">
        <f>IFERROR(__xludf.DUMMYFUNCTION("""COMPUTED_VALUE"""),"Vegetables")</f>
        <v>Vegetables</v>
      </c>
      <c r="D285" s="46">
        <f>IFERROR(__xludf.DUMMYFUNCTION("""COMPUTED_VALUE"""),5.0)</f>
        <v>5</v>
      </c>
      <c r="E285" s="46">
        <f>IFERROR(__xludf.DUMMYFUNCTION("""COMPUTED_VALUE"""),2.85343968E8)</f>
        <v>285343968</v>
      </c>
      <c r="F285" s="84">
        <f>IFERROR(__xludf.DUMMYFUNCTION("""COMPUTED_VALUE"""),1305812.56)</f>
        <v>1305812.56</v>
      </c>
      <c r="I285" s="87"/>
    </row>
    <row r="286">
      <c r="A286" s="46" t="str">
        <f>IFERROR(__xludf.DUMMYFUNCTION("""COMPUTED_VALUE"""),"Europe")</f>
        <v>Europe</v>
      </c>
      <c r="B286" s="46" t="str">
        <f>IFERROR(__xludf.DUMMYFUNCTION("""COMPUTED_VALUE"""),"Switzerland")</f>
        <v>Switzerland</v>
      </c>
      <c r="C286" s="46" t="str">
        <f>IFERROR(__xludf.DUMMYFUNCTION("""COMPUTED_VALUE"""),"Personal Care")</f>
        <v>Personal Care</v>
      </c>
      <c r="D286" s="46">
        <f>IFERROR(__xludf.DUMMYFUNCTION("""COMPUTED_VALUE"""),9.0)</f>
        <v>9</v>
      </c>
      <c r="E286" s="46">
        <f>IFERROR(__xludf.DUMMYFUNCTION("""COMPUTED_VALUE"""),2.87151563E8)</f>
        <v>287151563</v>
      </c>
      <c r="F286" s="84">
        <f>IFERROR(__xludf.DUMMYFUNCTION("""COMPUTED_VALUE"""),276492.59)</f>
        <v>276492.59</v>
      </c>
      <c r="I286" s="87"/>
    </row>
    <row r="287">
      <c r="A287" s="46" t="str">
        <f>IFERROR(__xludf.DUMMYFUNCTION("""COMPUTED_VALUE"""),"Europe")</f>
        <v>Europe</v>
      </c>
      <c r="B287" s="46" t="str">
        <f>IFERROR(__xludf.DUMMYFUNCTION("""COMPUTED_VALUE"""),"Germany")</f>
        <v>Germany</v>
      </c>
      <c r="C287" s="46" t="str">
        <f>IFERROR(__xludf.DUMMYFUNCTION("""COMPUTED_VALUE"""),"Personal Care")</f>
        <v>Personal Care</v>
      </c>
      <c r="D287" s="46">
        <f>IFERROR(__xludf.DUMMYFUNCTION("""COMPUTED_VALUE"""),33.0)</f>
        <v>33</v>
      </c>
      <c r="E287" s="46">
        <f>IFERROR(__xludf.DUMMYFUNCTION("""COMPUTED_VALUE"""),2.87917602E8)</f>
        <v>287917602</v>
      </c>
      <c r="F287" s="84">
        <f>IFERROR(__xludf.DUMMYFUNCTION("""COMPUTED_VALUE"""),5802.83)</f>
        <v>5802.83</v>
      </c>
      <c r="I287" s="87"/>
    </row>
    <row r="288">
      <c r="A288" s="46" t="str">
        <f>IFERROR(__xludf.DUMMYFUNCTION("""COMPUTED_VALUE"""),"Europe")</f>
        <v>Europe</v>
      </c>
      <c r="B288" s="46" t="str">
        <f>IFERROR(__xludf.DUMMYFUNCTION("""COMPUTED_VALUE"""),"Greece")</f>
        <v>Greece</v>
      </c>
      <c r="C288" s="46" t="str">
        <f>IFERROR(__xludf.DUMMYFUNCTION("""COMPUTED_VALUE"""),"Baby Food")</f>
        <v>Baby Food</v>
      </c>
      <c r="D288" s="46">
        <f>IFERROR(__xludf.DUMMYFUNCTION("""COMPUTED_VALUE"""),32.0)</f>
        <v>32</v>
      </c>
      <c r="E288" s="46">
        <f>IFERROR(__xludf.DUMMYFUNCTION("""COMPUTED_VALUE"""),2.88073384E8)</f>
        <v>288073384</v>
      </c>
      <c r="F288" s="84">
        <f>IFERROR(__xludf.DUMMYFUNCTION("""COMPUTED_VALUE"""),1575332.8800000001)</f>
        <v>1575332.88</v>
      </c>
      <c r="I288" s="87"/>
    </row>
    <row r="289">
      <c r="A289" s="46" t="str">
        <f>IFERROR(__xludf.DUMMYFUNCTION("""COMPUTED_VALUE"""),"Europe")</f>
        <v>Europe</v>
      </c>
      <c r="B289" s="46" t="str">
        <f>IFERROR(__xludf.DUMMYFUNCTION("""COMPUTED_VALUE"""),"Bosnia and Herzegovina")</f>
        <v>Bosnia and Herzegovina</v>
      </c>
      <c r="C289" s="46" t="str">
        <f>IFERROR(__xludf.DUMMYFUNCTION("""COMPUTED_VALUE"""),"Office Supplies")</f>
        <v>Office Supplies</v>
      </c>
      <c r="D289" s="46">
        <f>IFERROR(__xludf.DUMMYFUNCTION("""COMPUTED_VALUE"""),30.0)</f>
        <v>30</v>
      </c>
      <c r="E289" s="46">
        <f>IFERROR(__xludf.DUMMYFUNCTION("""COMPUTED_VALUE"""),2.88656175E8)</f>
        <v>288656175</v>
      </c>
      <c r="F289" s="84">
        <f>IFERROR(__xludf.DUMMYFUNCTION("""COMPUTED_VALUE"""),5621244.720000001)</f>
        <v>5621244.72</v>
      </c>
      <c r="I289" s="87"/>
    </row>
    <row r="290">
      <c r="A290" s="46" t="str">
        <f>IFERROR(__xludf.DUMMYFUNCTION("""COMPUTED_VALUE"""),"Europe")</f>
        <v>Europe</v>
      </c>
      <c r="B290" s="46" t="str">
        <f>IFERROR(__xludf.DUMMYFUNCTION("""COMPUTED_VALUE"""),"Italy")</f>
        <v>Italy</v>
      </c>
      <c r="C290" s="46" t="str">
        <f>IFERROR(__xludf.DUMMYFUNCTION("""COMPUTED_VALUE"""),"Meat")</f>
        <v>Meat</v>
      </c>
      <c r="D290" s="46">
        <f>IFERROR(__xludf.DUMMYFUNCTION("""COMPUTED_VALUE"""),41.0)</f>
        <v>41</v>
      </c>
      <c r="E290" s="46">
        <f>IFERROR(__xludf.DUMMYFUNCTION("""COMPUTED_VALUE"""),2.90317428E8)</f>
        <v>290317428</v>
      </c>
      <c r="F290" s="84">
        <f>IFERROR(__xludf.DUMMYFUNCTION("""COMPUTED_VALUE"""),98300.37)</f>
        <v>98300.37</v>
      </c>
      <c r="I290" s="87"/>
    </row>
    <row r="291">
      <c r="A291" s="46" t="str">
        <f>IFERROR(__xludf.DUMMYFUNCTION("""COMPUTED_VALUE"""),"Europe")</f>
        <v>Europe</v>
      </c>
      <c r="B291" s="46" t="str">
        <f>IFERROR(__xludf.DUMMYFUNCTION("""COMPUTED_VALUE"""),"Andorra")</f>
        <v>Andorra</v>
      </c>
      <c r="C291" s="46" t="str">
        <f>IFERROR(__xludf.DUMMYFUNCTION("""COMPUTED_VALUE"""),"Cosmetics")</f>
        <v>Cosmetics</v>
      </c>
      <c r="D291" s="46">
        <f>IFERROR(__xludf.DUMMYFUNCTION("""COMPUTED_VALUE"""),46.0)</f>
        <v>46</v>
      </c>
      <c r="E291" s="46">
        <f>IFERROR(__xludf.DUMMYFUNCTION("""COMPUTED_VALUE"""),2.91160714E8)</f>
        <v>291160714</v>
      </c>
      <c r="F291" s="84">
        <f>IFERROR(__xludf.DUMMYFUNCTION("""COMPUTED_VALUE"""),4275816.0)</f>
        <v>4275816</v>
      </c>
      <c r="I291" s="87"/>
    </row>
    <row r="292">
      <c r="A292" s="46" t="str">
        <f>IFERROR(__xludf.DUMMYFUNCTION("""COMPUTED_VALUE"""),"Europe")</f>
        <v>Europe</v>
      </c>
      <c r="B292" s="46" t="str">
        <f>IFERROR(__xludf.DUMMYFUNCTION("""COMPUTED_VALUE"""),"Liechtenstein")</f>
        <v>Liechtenstein</v>
      </c>
      <c r="C292" s="46" t="str">
        <f>IFERROR(__xludf.DUMMYFUNCTION("""COMPUTED_VALUE"""),"Household")</f>
        <v>Household</v>
      </c>
      <c r="D292" s="46">
        <f>IFERROR(__xludf.DUMMYFUNCTION("""COMPUTED_VALUE"""),7.0)</f>
        <v>7</v>
      </c>
      <c r="E292" s="46">
        <f>IFERROR(__xludf.DUMMYFUNCTION("""COMPUTED_VALUE"""),2.91179597E8)</f>
        <v>291179597</v>
      </c>
      <c r="F292" s="84">
        <f>IFERROR(__xludf.DUMMYFUNCTION("""COMPUTED_VALUE"""),3587273.36)</f>
        <v>3587273.36</v>
      </c>
      <c r="I292" s="87"/>
    </row>
    <row r="293">
      <c r="A293" s="46" t="str">
        <f>IFERROR(__xludf.DUMMYFUNCTION("""COMPUTED_VALUE"""),"Europe")</f>
        <v>Europe</v>
      </c>
      <c r="B293" s="46" t="str">
        <f>IFERROR(__xludf.DUMMYFUNCTION("""COMPUTED_VALUE"""),"Bosnia and Herzegovina")</f>
        <v>Bosnia and Herzegovina</v>
      </c>
      <c r="C293" s="46" t="str">
        <f>IFERROR(__xludf.DUMMYFUNCTION("""COMPUTED_VALUE"""),"Fruits")</f>
        <v>Fruits</v>
      </c>
      <c r="D293" s="46">
        <f>IFERROR(__xludf.DUMMYFUNCTION("""COMPUTED_VALUE"""),1.0)</f>
        <v>1</v>
      </c>
      <c r="E293" s="46">
        <f>IFERROR(__xludf.DUMMYFUNCTION("""COMPUTED_VALUE"""),2.91305768E8)</f>
        <v>291305768</v>
      </c>
      <c r="F293" s="84">
        <f>IFERROR(__xludf.DUMMYFUNCTION("""COMPUTED_VALUE"""),25237.65)</f>
        <v>25237.65</v>
      </c>
      <c r="I293" s="87"/>
    </row>
    <row r="294">
      <c r="A294" s="46" t="str">
        <f>IFERROR(__xludf.DUMMYFUNCTION("""COMPUTED_VALUE"""),"Europe")</f>
        <v>Europe</v>
      </c>
      <c r="B294" s="46" t="str">
        <f>IFERROR(__xludf.DUMMYFUNCTION("""COMPUTED_VALUE"""),"Slovakia")</f>
        <v>Slovakia</v>
      </c>
      <c r="C294" s="46" t="str">
        <f>IFERROR(__xludf.DUMMYFUNCTION("""COMPUTED_VALUE"""),"Beverages")</f>
        <v>Beverages</v>
      </c>
      <c r="D294" s="46">
        <f>IFERROR(__xludf.DUMMYFUNCTION("""COMPUTED_VALUE"""),3.0)</f>
        <v>3</v>
      </c>
      <c r="E294" s="46">
        <f>IFERROR(__xludf.DUMMYFUNCTION("""COMPUTED_VALUE"""),2.91531503E8)</f>
        <v>291531503</v>
      </c>
      <c r="F294" s="84">
        <f>IFERROR(__xludf.DUMMYFUNCTION("""COMPUTED_VALUE"""),451012.25)</f>
        <v>451012.25</v>
      </c>
      <c r="I294" s="87"/>
    </row>
    <row r="295">
      <c r="A295" s="46" t="str">
        <f>IFERROR(__xludf.DUMMYFUNCTION("""COMPUTED_VALUE"""),"Europe")</f>
        <v>Europe</v>
      </c>
      <c r="B295" s="46" t="str">
        <f>IFERROR(__xludf.DUMMYFUNCTION("""COMPUTED_VALUE"""),"Hungary")</f>
        <v>Hungary</v>
      </c>
      <c r="C295" s="46" t="str">
        <f>IFERROR(__xludf.DUMMYFUNCTION("""COMPUTED_VALUE"""),"Snacks")</f>
        <v>Snacks</v>
      </c>
      <c r="D295" s="46">
        <f>IFERROR(__xludf.DUMMYFUNCTION("""COMPUTED_VALUE"""),9.0)</f>
        <v>9</v>
      </c>
      <c r="E295" s="46">
        <f>IFERROR(__xludf.DUMMYFUNCTION("""COMPUTED_VALUE"""),2.91611325E8)</f>
        <v>291611325</v>
      </c>
      <c r="F295" s="84">
        <f>IFERROR(__xludf.DUMMYFUNCTION("""COMPUTED_VALUE"""),476965.08)</f>
        <v>476965.08</v>
      </c>
      <c r="I295" s="87"/>
    </row>
    <row r="296">
      <c r="A296" s="46" t="str">
        <f>IFERROR(__xludf.DUMMYFUNCTION("""COMPUTED_VALUE"""),"Undefined")</f>
        <v>Undefined</v>
      </c>
      <c r="B296" s="46" t="str">
        <f>IFERROR(__xludf.DUMMYFUNCTION("""COMPUTED_VALUE"""),"Undefined")</f>
        <v>Undefined</v>
      </c>
      <c r="C296" s="46" t="str">
        <f>IFERROR(__xludf.DUMMYFUNCTION("""COMPUTED_VALUE"""),"Fruits")</f>
        <v>Fruits</v>
      </c>
      <c r="D296" s="46">
        <f>IFERROR(__xludf.DUMMYFUNCTION("""COMPUTED_VALUE"""),35.0)</f>
        <v>35</v>
      </c>
      <c r="E296" s="46">
        <f>IFERROR(__xludf.DUMMYFUNCTION("""COMPUTED_VALUE"""),2.91995418E8)</f>
        <v>291995418</v>
      </c>
      <c r="F296" s="84">
        <f>IFERROR(__xludf.DUMMYFUNCTION("""COMPUTED_VALUE"""),63332.04)</f>
        <v>63332.04</v>
      </c>
      <c r="I296" s="87"/>
    </row>
    <row r="297">
      <c r="A297" s="46" t="str">
        <f>IFERROR(__xludf.DUMMYFUNCTION("""COMPUTED_VALUE"""),"Undefined")</f>
        <v>Undefined</v>
      </c>
      <c r="B297" s="46" t="str">
        <f>IFERROR(__xludf.DUMMYFUNCTION("""COMPUTED_VALUE"""),"Undefined")</f>
        <v>Undefined</v>
      </c>
      <c r="C297" s="46" t="str">
        <f>IFERROR(__xludf.DUMMYFUNCTION("""COMPUTED_VALUE"""),"Cosmetics")</f>
        <v>Cosmetics</v>
      </c>
      <c r="D297" s="46">
        <f>IFERROR(__xludf.DUMMYFUNCTION("""COMPUTED_VALUE"""),12.0)</f>
        <v>12</v>
      </c>
      <c r="E297" s="46">
        <f>IFERROR(__xludf.DUMMYFUNCTION("""COMPUTED_VALUE"""),2.92424571E8)</f>
        <v>292424571</v>
      </c>
      <c r="F297" s="84">
        <f>IFERROR(__xludf.DUMMYFUNCTION("""COMPUTED_VALUE"""),1654364.8)</f>
        <v>1654364.8</v>
      </c>
      <c r="I297" s="87"/>
    </row>
    <row r="298">
      <c r="A298" s="46" t="str">
        <f>IFERROR(__xludf.DUMMYFUNCTION("""COMPUTED_VALUE"""),"Europe")</f>
        <v>Europe</v>
      </c>
      <c r="B298" s="46" t="str">
        <f>IFERROR(__xludf.DUMMYFUNCTION("""COMPUTED_VALUE"""),"San Marino")</f>
        <v>San Marino</v>
      </c>
      <c r="C298" s="46" t="str">
        <f>IFERROR(__xludf.DUMMYFUNCTION("""COMPUTED_VALUE"""),"Personal Care")</f>
        <v>Personal Care</v>
      </c>
      <c r="D298" s="46">
        <f>IFERROR(__xludf.DUMMYFUNCTION("""COMPUTED_VALUE"""),5.0)</f>
        <v>5</v>
      </c>
      <c r="E298" s="46">
        <f>IFERROR(__xludf.DUMMYFUNCTION("""COMPUTED_VALUE"""),2.93178594E8)</f>
        <v>293178594</v>
      </c>
      <c r="F298" s="84">
        <f>IFERROR(__xludf.DUMMYFUNCTION("""COMPUTED_VALUE"""),565244.68)</f>
        <v>565244.68</v>
      </c>
      <c r="I298" s="87"/>
    </row>
    <row r="299">
      <c r="A299" s="46" t="str">
        <f>IFERROR(__xludf.DUMMYFUNCTION("""COMPUTED_VALUE"""),"Europe")</f>
        <v>Europe</v>
      </c>
      <c r="B299" s="46" t="str">
        <f>IFERROR(__xludf.DUMMYFUNCTION("""COMPUTED_VALUE"""),"Slovenia")</f>
        <v>Slovenia</v>
      </c>
      <c r="C299" s="46" t="str">
        <f>IFERROR(__xludf.DUMMYFUNCTION("""COMPUTED_VALUE"""),"Fruits")</f>
        <v>Fruits</v>
      </c>
      <c r="D299" s="46">
        <f>IFERROR(__xludf.DUMMYFUNCTION("""COMPUTED_VALUE"""),49.0)</f>
        <v>49</v>
      </c>
      <c r="E299" s="46">
        <f>IFERROR(__xludf.DUMMYFUNCTION("""COMPUTED_VALUE"""),2.95168149E8)</f>
        <v>295168149</v>
      </c>
      <c r="F299" s="84">
        <f>IFERROR(__xludf.DUMMYFUNCTION("""COMPUTED_VALUE"""),52891.77)</f>
        <v>52891.77</v>
      </c>
      <c r="I299" s="87"/>
    </row>
    <row r="300">
      <c r="A300" s="46" t="str">
        <f>IFERROR(__xludf.DUMMYFUNCTION("""COMPUTED_VALUE"""),"Europe")</f>
        <v>Europe</v>
      </c>
      <c r="B300" s="46" t="str">
        <f>IFERROR(__xludf.DUMMYFUNCTION("""COMPUTED_VALUE"""),"Liechtenstein")</f>
        <v>Liechtenstein</v>
      </c>
      <c r="C300" s="46" t="str">
        <f>IFERROR(__xludf.DUMMYFUNCTION("""COMPUTED_VALUE"""),"Baby Food")</f>
        <v>Baby Food</v>
      </c>
      <c r="D300" s="46">
        <f>IFERROR(__xludf.DUMMYFUNCTION("""COMPUTED_VALUE"""),29.0)</f>
        <v>29</v>
      </c>
      <c r="E300" s="46">
        <f>IFERROR(__xludf.DUMMYFUNCTION("""COMPUTED_VALUE"""),2.95787847E8)</f>
        <v>295787847</v>
      </c>
      <c r="F300" s="84">
        <f>IFERROR(__xludf.DUMMYFUNCTION("""COMPUTED_VALUE"""),2310794.56)</f>
        <v>2310794.56</v>
      </c>
      <c r="I300" s="87"/>
    </row>
    <row r="301">
      <c r="A301" s="46" t="str">
        <f>IFERROR(__xludf.DUMMYFUNCTION("""COMPUTED_VALUE"""),"Europe")</f>
        <v>Europe</v>
      </c>
      <c r="B301" s="46" t="str">
        <f>IFERROR(__xludf.DUMMYFUNCTION("""COMPUTED_VALUE"""),"Malta")</f>
        <v>Malta</v>
      </c>
      <c r="C301" s="46" t="str">
        <f>IFERROR(__xludf.DUMMYFUNCTION("""COMPUTED_VALUE"""),"Baby Food")</f>
        <v>Baby Food</v>
      </c>
      <c r="D301" s="46">
        <f>IFERROR(__xludf.DUMMYFUNCTION("""COMPUTED_VALUE"""),38.0)</f>
        <v>38</v>
      </c>
      <c r="E301" s="46">
        <f>IFERROR(__xludf.DUMMYFUNCTION("""COMPUTED_VALUE"""),2.96073234E8)</f>
        <v>296073234</v>
      </c>
      <c r="F301" s="84">
        <f>IFERROR(__xludf.DUMMYFUNCTION("""COMPUTED_VALUE"""),894501.12)</f>
        <v>894501.12</v>
      </c>
      <c r="I301" s="87"/>
    </row>
    <row r="302">
      <c r="A302" s="46" t="str">
        <f>IFERROR(__xludf.DUMMYFUNCTION("""COMPUTED_VALUE"""),"Europe")</f>
        <v>Europe</v>
      </c>
      <c r="B302" s="46" t="str">
        <f>IFERROR(__xludf.DUMMYFUNCTION("""COMPUTED_VALUE"""),"Sweden")</f>
        <v>Sweden</v>
      </c>
      <c r="C302" s="46" t="str">
        <f>IFERROR(__xludf.DUMMYFUNCTION("""COMPUTED_VALUE"""),"Vegetables")</f>
        <v>Vegetables</v>
      </c>
      <c r="D302" s="46">
        <f>IFERROR(__xludf.DUMMYFUNCTION("""COMPUTED_VALUE"""),35.0)</f>
        <v>35</v>
      </c>
      <c r="E302" s="46">
        <f>IFERROR(__xludf.DUMMYFUNCTION("""COMPUTED_VALUE"""),2.98228013E8)</f>
        <v>298228013</v>
      </c>
      <c r="F302" s="84">
        <f>IFERROR(__xludf.DUMMYFUNCTION("""COMPUTED_VALUE"""),177323.06)</f>
        <v>177323.06</v>
      </c>
      <c r="I302" s="87"/>
    </row>
    <row r="303">
      <c r="A303" s="46" t="str">
        <f>IFERROR(__xludf.DUMMYFUNCTION("""COMPUTED_VALUE"""),"Europe")</f>
        <v>Europe</v>
      </c>
      <c r="B303" s="46" t="str">
        <f>IFERROR(__xludf.DUMMYFUNCTION("""COMPUTED_VALUE"""),"France")</f>
        <v>France</v>
      </c>
      <c r="C303" s="46" t="str">
        <f>IFERROR(__xludf.DUMMYFUNCTION("""COMPUTED_VALUE"""),"Clothes")</f>
        <v>Clothes</v>
      </c>
      <c r="D303" s="46">
        <f>IFERROR(__xludf.DUMMYFUNCTION("""COMPUTED_VALUE"""),12.0)</f>
        <v>12</v>
      </c>
      <c r="E303" s="46">
        <f>IFERROR(__xludf.DUMMYFUNCTION("""COMPUTED_VALUE"""),2.98978602E8)</f>
        <v>298978602</v>
      </c>
      <c r="F303" s="84">
        <f>IFERROR(__xludf.DUMMYFUNCTION("""COMPUTED_VALUE"""),357017.76)</f>
        <v>357017.76</v>
      </c>
      <c r="I303" s="87"/>
    </row>
    <row r="304">
      <c r="A304" s="46" t="str">
        <f>IFERROR(__xludf.DUMMYFUNCTION("""COMPUTED_VALUE"""),"Europe")</f>
        <v>Europe</v>
      </c>
      <c r="B304" s="46" t="str">
        <f>IFERROR(__xludf.DUMMYFUNCTION("""COMPUTED_VALUE"""),"Romania")</f>
        <v>Romania</v>
      </c>
      <c r="C304" s="46" t="str">
        <f>IFERROR(__xludf.DUMMYFUNCTION("""COMPUTED_VALUE"""),"Cosmetics")</f>
        <v>Cosmetics</v>
      </c>
      <c r="D304" s="46">
        <f>IFERROR(__xludf.DUMMYFUNCTION("""COMPUTED_VALUE"""),12.0)</f>
        <v>12</v>
      </c>
      <c r="E304" s="46">
        <f>IFERROR(__xludf.DUMMYFUNCTION("""COMPUTED_VALUE"""),2.99335229E8)</f>
        <v>299335229</v>
      </c>
      <c r="F304" s="84">
        <f>IFERROR(__xludf.DUMMYFUNCTION("""COMPUTED_VALUE"""),3847797.1999999997)</f>
        <v>3847797.2</v>
      </c>
      <c r="I304" s="87"/>
    </row>
    <row r="305">
      <c r="A305" s="46" t="str">
        <f>IFERROR(__xludf.DUMMYFUNCTION("""COMPUTED_VALUE"""),"Undefined")</f>
        <v>Undefined</v>
      </c>
      <c r="B305" s="46" t="str">
        <f>IFERROR(__xludf.DUMMYFUNCTION("""COMPUTED_VALUE"""),"Undefined")</f>
        <v>Undefined</v>
      </c>
      <c r="C305" s="46" t="str">
        <f>IFERROR(__xludf.DUMMYFUNCTION("""COMPUTED_VALUE"""),"Fruits")</f>
        <v>Fruits</v>
      </c>
      <c r="D305" s="46">
        <f>IFERROR(__xludf.DUMMYFUNCTION("""COMPUTED_VALUE"""),38.0)</f>
        <v>38</v>
      </c>
      <c r="E305" s="46">
        <f>IFERROR(__xludf.DUMMYFUNCTION("""COMPUTED_VALUE"""),2.99739491E8)</f>
        <v>299739491</v>
      </c>
      <c r="F305" s="84">
        <f>IFERROR(__xludf.DUMMYFUNCTION("""COMPUTED_VALUE"""),78661.23)</f>
        <v>78661.23</v>
      </c>
      <c r="I305" s="87"/>
    </row>
    <row r="306">
      <c r="A306" s="46" t="str">
        <f>IFERROR(__xludf.DUMMYFUNCTION("""COMPUTED_VALUE"""),"Europe")</f>
        <v>Europe</v>
      </c>
      <c r="B306" s="46" t="str">
        <f>IFERROR(__xludf.DUMMYFUNCTION("""COMPUTED_VALUE"""),"Serbia")</f>
        <v>Serbia</v>
      </c>
      <c r="C306" s="46" t="str">
        <f>IFERROR(__xludf.DUMMYFUNCTION("""COMPUTED_VALUE"""),"Baby Food")</f>
        <v>Baby Food</v>
      </c>
      <c r="D306" s="46">
        <f>IFERROR(__xludf.DUMMYFUNCTION("""COMPUTED_VALUE"""),26.0)</f>
        <v>26</v>
      </c>
      <c r="E306" s="46">
        <f>IFERROR(__xludf.DUMMYFUNCTION("""COMPUTED_VALUE"""),3.02015721E8)</f>
        <v>302015721</v>
      </c>
      <c r="F306" s="84">
        <f>IFERROR(__xludf.DUMMYFUNCTION("""COMPUTED_VALUE"""),515155.04)</f>
        <v>515155.04</v>
      </c>
      <c r="I306" s="87"/>
    </row>
    <row r="307">
      <c r="A307" s="46" t="str">
        <f>IFERROR(__xludf.DUMMYFUNCTION("""COMPUTED_VALUE"""),"Europe")</f>
        <v>Europe</v>
      </c>
      <c r="B307" s="46" t="str">
        <f>IFERROR(__xludf.DUMMYFUNCTION("""COMPUTED_VALUE"""),"Malta")</f>
        <v>Malta</v>
      </c>
      <c r="C307" s="46" t="str">
        <f>IFERROR(__xludf.DUMMYFUNCTION("""COMPUTED_VALUE"""),"Baby Food")</f>
        <v>Baby Food</v>
      </c>
      <c r="D307" s="46">
        <f>IFERROR(__xludf.DUMMYFUNCTION("""COMPUTED_VALUE"""),25.0)</f>
        <v>25</v>
      </c>
      <c r="E307" s="46">
        <f>IFERROR(__xludf.DUMMYFUNCTION("""COMPUTED_VALUE"""),3.02442729E8)</f>
        <v>302442729</v>
      </c>
      <c r="F307" s="84">
        <f>IFERROR(__xludf.DUMMYFUNCTION("""COMPUTED_VALUE"""),2138991.12)</f>
        <v>2138991.12</v>
      </c>
      <c r="I307" s="87"/>
    </row>
    <row r="308">
      <c r="A308" s="46" t="str">
        <f>IFERROR(__xludf.DUMMYFUNCTION("""COMPUTED_VALUE"""),"Europe")</f>
        <v>Europe</v>
      </c>
      <c r="B308" s="46" t="str">
        <f>IFERROR(__xludf.DUMMYFUNCTION("""COMPUTED_VALUE"""),"Hungary")</f>
        <v>Hungary</v>
      </c>
      <c r="C308" s="46" t="str">
        <f>IFERROR(__xludf.DUMMYFUNCTION("""COMPUTED_VALUE"""),"Personal Care")</f>
        <v>Personal Care</v>
      </c>
      <c r="D308" s="46">
        <f>IFERROR(__xludf.DUMMYFUNCTION("""COMPUTED_VALUE"""),17.0)</f>
        <v>17</v>
      </c>
      <c r="E308" s="46">
        <f>IFERROR(__xludf.DUMMYFUNCTION("""COMPUTED_VALUE"""),3.02744853E8)</f>
        <v>302744853</v>
      </c>
      <c r="F308" s="84">
        <f>IFERROR(__xludf.DUMMYFUNCTION("""COMPUTED_VALUE"""),636268.05)</f>
        <v>636268.05</v>
      </c>
      <c r="I308" s="87"/>
    </row>
    <row r="309">
      <c r="A309" s="46" t="str">
        <f>IFERROR(__xludf.DUMMYFUNCTION("""COMPUTED_VALUE"""),"Europe")</f>
        <v>Europe</v>
      </c>
      <c r="B309" s="46" t="str">
        <f>IFERROR(__xludf.DUMMYFUNCTION("""COMPUTED_VALUE"""),"Iceland")</f>
        <v>Iceland</v>
      </c>
      <c r="C309" s="46" t="str">
        <f>IFERROR(__xludf.DUMMYFUNCTION("""COMPUTED_VALUE"""),"Fruits")</f>
        <v>Fruits</v>
      </c>
      <c r="D309" s="46">
        <f>IFERROR(__xludf.DUMMYFUNCTION("""COMPUTED_VALUE"""),5.0)</f>
        <v>5</v>
      </c>
      <c r="E309" s="46">
        <f>IFERROR(__xludf.DUMMYFUNCTION("""COMPUTED_VALUE"""),3.03534495E8)</f>
        <v>303534495</v>
      </c>
      <c r="F309" s="84">
        <f>IFERROR(__xludf.DUMMYFUNCTION("""COMPUTED_VALUE"""),13593.81)</f>
        <v>13593.81</v>
      </c>
      <c r="I309" s="87"/>
    </row>
    <row r="310">
      <c r="A310" s="46" t="str">
        <f>IFERROR(__xludf.DUMMYFUNCTION("""COMPUTED_VALUE"""),"Europe")</f>
        <v>Europe</v>
      </c>
      <c r="B310" s="46" t="str">
        <f>IFERROR(__xludf.DUMMYFUNCTION("""COMPUTED_VALUE"""),"Spain")</f>
        <v>Spain</v>
      </c>
      <c r="C310" s="46" t="str">
        <f>IFERROR(__xludf.DUMMYFUNCTION("""COMPUTED_VALUE"""),"Vegetables")</f>
        <v>Vegetables</v>
      </c>
      <c r="D310" s="46">
        <f>IFERROR(__xludf.DUMMYFUNCTION("""COMPUTED_VALUE"""),50.0)</f>
        <v>50</v>
      </c>
      <c r="E310" s="46">
        <f>IFERROR(__xludf.DUMMYFUNCTION("""COMPUTED_VALUE"""),3.05569112E8)</f>
        <v>305569112</v>
      </c>
      <c r="F310" s="84">
        <f>IFERROR(__xludf.DUMMYFUNCTION("""COMPUTED_VALUE"""),546142.7)</f>
        <v>546142.7</v>
      </c>
      <c r="I310" s="87"/>
    </row>
    <row r="311">
      <c r="A311" s="46" t="str">
        <f>IFERROR(__xludf.DUMMYFUNCTION("""COMPUTED_VALUE"""),"Europe")</f>
        <v>Europe</v>
      </c>
      <c r="B311" s="46" t="str">
        <f>IFERROR(__xludf.DUMMYFUNCTION("""COMPUTED_VALUE"""),"Montenegro")</f>
        <v>Montenegro</v>
      </c>
      <c r="C311" s="46" t="str">
        <f>IFERROR(__xludf.DUMMYFUNCTION("""COMPUTED_VALUE"""),"Cereal")</f>
        <v>Cereal</v>
      </c>
      <c r="D311" s="46">
        <f>IFERROR(__xludf.DUMMYFUNCTION("""COMPUTED_VALUE"""),25.0)</f>
        <v>25</v>
      </c>
      <c r="E311" s="46">
        <f>IFERROR(__xludf.DUMMYFUNCTION("""COMPUTED_VALUE"""),3.05616748E8)</f>
        <v>305616748</v>
      </c>
      <c r="F311" s="84">
        <f>IFERROR(__xludf.DUMMYFUNCTION("""COMPUTED_VALUE"""),1571959.4)</f>
        <v>1571959.4</v>
      </c>
      <c r="I311" s="87"/>
    </row>
    <row r="312">
      <c r="A312" s="46" t="str">
        <f>IFERROR(__xludf.DUMMYFUNCTION("""COMPUTED_VALUE"""),"Europe")</f>
        <v>Europe</v>
      </c>
      <c r="B312" s="46" t="str">
        <f>IFERROR(__xludf.DUMMYFUNCTION("""COMPUTED_VALUE"""),"Italy")</f>
        <v>Italy</v>
      </c>
      <c r="C312" s="46" t="str">
        <f>IFERROR(__xludf.DUMMYFUNCTION("""COMPUTED_VALUE"""),"Personal Care")</f>
        <v>Personal Care</v>
      </c>
      <c r="D312" s="46">
        <f>IFERROR(__xludf.DUMMYFUNCTION("""COMPUTED_VALUE"""),4.0)</f>
        <v>4</v>
      </c>
      <c r="E312" s="46">
        <f>IFERROR(__xludf.DUMMYFUNCTION("""COMPUTED_VALUE"""),3.06256616E8)</f>
        <v>306256616</v>
      </c>
      <c r="F312" s="84">
        <f>IFERROR(__xludf.DUMMYFUNCTION("""COMPUTED_VALUE"""),571537.89)</f>
        <v>571537.89</v>
      </c>
      <c r="I312" s="87"/>
    </row>
    <row r="313">
      <c r="A313" s="46" t="str">
        <f>IFERROR(__xludf.DUMMYFUNCTION("""COMPUTED_VALUE"""),"Europe")</f>
        <v>Europe</v>
      </c>
      <c r="B313" s="46" t="str">
        <f>IFERROR(__xludf.DUMMYFUNCTION("""COMPUTED_VALUE"""),"Denmark")</f>
        <v>Denmark</v>
      </c>
      <c r="C313" s="46" t="str">
        <f>IFERROR(__xludf.DUMMYFUNCTION("""COMPUTED_VALUE"""),"Baby Food")</f>
        <v>Baby Food</v>
      </c>
      <c r="D313" s="46">
        <f>IFERROR(__xludf.DUMMYFUNCTION("""COMPUTED_VALUE"""),2.0)</f>
        <v>2</v>
      </c>
      <c r="E313" s="46">
        <f>IFERROR(__xludf.DUMMYFUNCTION("""COMPUTED_VALUE"""),3.06839406E8)</f>
        <v>306839406</v>
      </c>
      <c r="F313" s="84">
        <f>IFERROR(__xludf.DUMMYFUNCTION("""COMPUTED_VALUE"""),2413417.12)</f>
        <v>2413417.12</v>
      </c>
      <c r="I313" s="87"/>
    </row>
    <row r="314">
      <c r="A314" s="46" t="str">
        <f>IFERROR(__xludf.DUMMYFUNCTION("""COMPUTED_VALUE"""),"Undefined")</f>
        <v>Undefined</v>
      </c>
      <c r="B314" s="46" t="str">
        <f>IFERROR(__xludf.DUMMYFUNCTION("""COMPUTED_VALUE"""),"Undefined")</f>
        <v>Undefined</v>
      </c>
      <c r="C314" s="46" t="str">
        <f>IFERROR(__xludf.DUMMYFUNCTION("""COMPUTED_VALUE"""),"Fruits")</f>
        <v>Fruits</v>
      </c>
      <c r="D314" s="46">
        <f>IFERROR(__xludf.DUMMYFUNCTION("""COMPUTED_VALUE"""),12.0)</f>
        <v>12</v>
      </c>
      <c r="E314" s="46">
        <f>IFERROR(__xludf.DUMMYFUNCTION("""COMPUTED_VALUE"""),3.07305467E8)</f>
        <v>307305467</v>
      </c>
      <c r="F314" s="84">
        <f>IFERROR(__xludf.DUMMYFUNCTION("""COMPUTED_VALUE"""),68771.43000000001)</f>
        <v>68771.43</v>
      </c>
      <c r="I314" s="87"/>
    </row>
    <row r="315">
      <c r="A315" s="46" t="str">
        <f>IFERROR(__xludf.DUMMYFUNCTION("""COMPUTED_VALUE"""),"Europe")</f>
        <v>Europe</v>
      </c>
      <c r="B315" s="46" t="str">
        <f>IFERROR(__xludf.DUMMYFUNCTION("""COMPUTED_VALUE"""),"Italy")</f>
        <v>Italy</v>
      </c>
      <c r="C315" s="46" t="str">
        <f>IFERROR(__xludf.DUMMYFUNCTION("""COMPUTED_VALUE"""),"Snacks")</f>
        <v>Snacks</v>
      </c>
      <c r="D315" s="46">
        <f>IFERROR(__xludf.DUMMYFUNCTION("""COMPUTED_VALUE"""),18.0)</f>
        <v>18</v>
      </c>
      <c r="E315" s="46">
        <f>IFERROR(__xludf.DUMMYFUNCTION("""COMPUTED_VALUE"""),3.07721745E8)</f>
        <v>307721745</v>
      </c>
      <c r="F315" s="84">
        <f>IFERROR(__xludf.DUMMYFUNCTION("""COMPUTED_VALUE"""),85139.64000000001)</f>
        <v>85139.64</v>
      </c>
      <c r="I315" s="87"/>
    </row>
    <row r="316">
      <c r="A316" s="46" t="str">
        <f>IFERROR(__xludf.DUMMYFUNCTION("""COMPUTED_VALUE"""),"Europe")</f>
        <v>Europe</v>
      </c>
      <c r="B316" s="46" t="str">
        <f>IFERROR(__xludf.DUMMYFUNCTION("""COMPUTED_VALUE"""),"Serbia")</f>
        <v>Serbia</v>
      </c>
      <c r="C316" s="46" t="str">
        <f>IFERROR(__xludf.DUMMYFUNCTION("""COMPUTED_VALUE"""),"Beverages")</f>
        <v>Beverages</v>
      </c>
      <c r="D316" s="46">
        <f>IFERROR(__xludf.DUMMYFUNCTION("""COMPUTED_VALUE"""),48.0)</f>
        <v>48</v>
      </c>
      <c r="E316" s="46">
        <f>IFERROR(__xludf.DUMMYFUNCTION("""COMPUTED_VALUE"""),3.08582627E8)</f>
        <v>308582627</v>
      </c>
      <c r="F316" s="84">
        <f>IFERROR(__xludf.DUMMYFUNCTION("""COMPUTED_VALUE"""),252054.40000000002)</f>
        <v>252054.4</v>
      </c>
      <c r="I316" s="87"/>
    </row>
    <row r="317">
      <c r="A317" s="46" t="str">
        <f>IFERROR(__xludf.DUMMYFUNCTION("""COMPUTED_VALUE"""),"Europe")</f>
        <v>Europe</v>
      </c>
      <c r="B317" s="46" t="str">
        <f>IFERROR(__xludf.DUMMYFUNCTION("""COMPUTED_VALUE"""),"Spain")</f>
        <v>Spain</v>
      </c>
      <c r="C317" s="46" t="str">
        <f>IFERROR(__xludf.DUMMYFUNCTION("""COMPUTED_VALUE"""),"Household")</f>
        <v>Household</v>
      </c>
      <c r="D317" s="46">
        <f>IFERROR(__xludf.DUMMYFUNCTION("""COMPUTED_VALUE"""),12.0)</f>
        <v>12</v>
      </c>
      <c r="E317" s="46">
        <f>IFERROR(__xludf.DUMMYFUNCTION("""COMPUTED_VALUE"""),3.09148681E8)</f>
        <v>309148681</v>
      </c>
      <c r="F317" s="84">
        <f>IFERROR(__xludf.DUMMYFUNCTION("""COMPUTED_VALUE"""),1883853.13)</f>
        <v>1883853.13</v>
      </c>
      <c r="I317" s="87"/>
    </row>
    <row r="318">
      <c r="A318" s="46" t="str">
        <f>IFERROR(__xludf.DUMMYFUNCTION("""COMPUTED_VALUE"""),"Europe")</f>
        <v>Europe</v>
      </c>
      <c r="B318" s="46" t="str">
        <f>IFERROR(__xludf.DUMMYFUNCTION("""COMPUTED_VALUE"""),"Belgium")</f>
        <v>Belgium</v>
      </c>
      <c r="C318" s="46" t="str">
        <f>IFERROR(__xludf.DUMMYFUNCTION("""COMPUTED_VALUE"""),"Fruits")</f>
        <v>Fruits</v>
      </c>
      <c r="D318" s="46">
        <f>IFERROR(__xludf.DUMMYFUNCTION("""COMPUTED_VALUE"""),19.0)</f>
        <v>19</v>
      </c>
      <c r="E318" s="46">
        <f>IFERROR(__xludf.DUMMYFUNCTION("""COMPUTED_VALUE"""),3.09188163E8)</f>
        <v>309188163</v>
      </c>
      <c r="F318" s="84">
        <f>IFERROR(__xludf.DUMMYFUNCTION("""COMPUTED_VALUE"""),42012.99)</f>
        <v>42012.99</v>
      </c>
      <c r="I318" s="87"/>
    </row>
    <row r="319">
      <c r="A319" s="46" t="str">
        <f>IFERROR(__xludf.DUMMYFUNCTION("""COMPUTED_VALUE"""),"Europe")</f>
        <v>Europe</v>
      </c>
      <c r="B319" s="46" t="str">
        <f>IFERROR(__xludf.DUMMYFUNCTION("""COMPUTED_VALUE"""),"Ireland")</f>
        <v>Ireland</v>
      </c>
      <c r="C319" s="46" t="str">
        <f>IFERROR(__xludf.DUMMYFUNCTION("""COMPUTED_VALUE"""),"Personal Care")</f>
        <v>Personal Care</v>
      </c>
      <c r="D319" s="46">
        <f>IFERROR(__xludf.DUMMYFUNCTION("""COMPUTED_VALUE"""),50.0)</f>
        <v>50</v>
      </c>
      <c r="E319" s="46">
        <f>IFERROR(__xludf.DUMMYFUNCTION("""COMPUTED_VALUE"""),3.09285581E8)</f>
        <v>309285581</v>
      </c>
      <c r="F319" s="84">
        <f>IFERROR(__xludf.DUMMYFUNCTION("""COMPUTED_VALUE"""),272242.63)</f>
        <v>272242.63</v>
      </c>
      <c r="I319" s="87"/>
    </row>
    <row r="320">
      <c r="A320" s="46" t="str">
        <f>IFERROR(__xludf.DUMMYFUNCTION("""COMPUTED_VALUE"""),"Europe")</f>
        <v>Europe</v>
      </c>
      <c r="B320" s="46" t="str">
        <f>IFERROR(__xludf.DUMMYFUNCTION("""COMPUTED_VALUE"""),"Italy")</f>
        <v>Italy</v>
      </c>
      <c r="C320" s="46" t="str">
        <f>IFERROR(__xludf.DUMMYFUNCTION("""COMPUTED_VALUE"""),"Personal Care")</f>
        <v>Personal Care</v>
      </c>
      <c r="D320" s="46">
        <f>IFERROR(__xludf.DUMMYFUNCTION("""COMPUTED_VALUE"""),31.0)</f>
        <v>31</v>
      </c>
      <c r="E320" s="46">
        <f>IFERROR(__xludf.DUMMYFUNCTION("""COMPUTED_VALUE"""),3.09342658E8)</f>
        <v>309342658</v>
      </c>
      <c r="F320" s="84">
        <f>IFERROR(__xludf.DUMMYFUNCTION("""COMPUTED_VALUE"""),18144.06)</f>
        <v>18144.06</v>
      </c>
      <c r="I320" s="87"/>
    </row>
    <row r="321">
      <c r="A321" s="46" t="str">
        <f>IFERROR(__xludf.DUMMYFUNCTION("""COMPUTED_VALUE"""),"Europe")</f>
        <v>Europe</v>
      </c>
      <c r="B321" s="46" t="str">
        <f>IFERROR(__xludf.DUMMYFUNCTION("""COMPUTED_VALUE"""),"Croatia")</f>
        <v>Croatia</v>
      </c>
      <c r="C321" s="46" t="str">
        <f>IFERROR(__xludf.DUMMYFUNCTION("""COMPUTED_VALUE"""),"Personal Care")</f>
        <v>Personal Care</v>
      </c>
      <c r="D321" s="46">
        <f>IFERROR(__xludf.DUMMYFUNCTION("""COMPUTED_VALUE"""),16.0)</f>
        <v>16</v>
      </c>
      <c r="E321" s="46">
        <f>IFERROR(__xludf.DUMMYFUNCTION("""COMPUTED_VALUE"""),3.09655511E8)</f>
        <v>309655511</v>
      </c>
      <c r="F321" s="84">
        <f>IFERROR(__xludf.DUMMYFUNCTION("""COMPUTED_VALUE"""),405217.34)</f>
        <v>405217.34</v>
      </c>
      <c r="I321" s="87"/>
    </row>
    <row r="322">
      <c r="A322" s="46" t="str">
        <f>IFERROR(__xludf.DUMMYFUNCTION("""COMPUTED_VALUE"""),"Europe")</f>
        <v>Europe</v>
      </c>
      <c r="B322" s="46" t="str">
        <f>IFERROR(__xludf.DUMMYFUNCTION("""COMPUTED_VALUE"""),"Malta")</f>
        <v>Malta</v>
      </c>
      <c r="C322" s="46" t="str">
        <f>IFERROR(__xludf.DUMMYFUNCTION("""COMPUTED_VALUE"""),"Cosmetics")</f>
        <v>Cosmetics</v>
      </c>
      <c r="D322" s="46">
        <f>IFERROR(__xludf.DUMMYFUNCTION("""COMPUTED_VALUE"""),23.0)</f>
        <v>23</v>
      </c>
      <c r="E322" s="46">
        <f>IFERROR(__xludf.DUMMYFUNCTION("""COMPUTED_VALUE"""),3.1058892E8)</f>
        <v>310588920</v>
      </c>
      <c r="F322" s="84">
        <f>IFERROR(__xludf.DUMMYFUNCTION("""COMPUTED_VALUE"""),3942669.6)</f>
        <v>3942669.6</v>
      </c>
      <c r="I322" s="87"/>
    </row>
    <row r="323">
      <c r="A323" s="46" t="str">
        <f>IFERROR(__xludf.DUMMYFUNCTION("""COMPUTED_VALUE"""),"Europe")</f>
        <v>Europe</v>
      </c>
      <c r="B323" s="46" t="str">
        <f>IFERROR(__xludf.DUMMYFUNCTION("""COMPUTED_VALUE"""),"Sweden")</f>
        <v>Sweden</v>
      </c>
      <c r="C323" s="46" t="str">
        <f>IFERROR(__xludf.DUMMYFUNCTION("""COMPUTED_VALUE"""),"Fruits")</f>
        <v>Fruits</v>
      </c>
      <c r="D323" s="46">
        <f>IFERROR(__xludf.DUMMYFUNCTION("""COMPUTED_VALUE"""),26.0)</f>
        <v>26</v>
      </c>
      <c r="E323" s="46">
        <f>IFERROR(__xludf.DUMMYFUNCTION("""COMPUTED_VALUE"""),3.11221492E8)</f>
        <v>311221492</v>
      </c>
      <c r="F323" s="84">
        <f>IFERROR(__xludf.DUMMYFUNCTION("""COMPUTED_VALUE"""),57939.3)</f>
        <v>57939.3</v>
      </c>
      <c r="I323" s="87"/>
    </row>
    <row r="324">
      <c r="A324" s="46" t="str">
        <f>IFERROR(__xludf.DUMMYFUNCTION("""COMPUTED_VALUE"""),"Europe")</f>
        <v>Europe</v>
      </c>
      <c r="B324" s="46" t="str">
        <f>IFERROR(__xludf.DUMMYFUNCTION("""COMPUTED_VALUE"""),"United Kingdom")</f>
        <v>United Kingdom</v>
      </c>
      <c r="C324" s="46" t="str">
        <f>IFERROR(__xludf.DUMMYFUNCTION("""COMPUTED_VALUE"""),"Personal Care")</f>
        <v>Personal Care</v>
      </c>
      <c r="D324" s="46">
        <f>IFERROR(__xludf.DUMMYFUNCTION("""COMPUTED_VALUE"""),23.0)</f>
        <v>23</v>
      </c>
      <c r="E324" s="46">
        <f>IFERROR(__xludf.DUMMYFUNCTION("""COMPUTED_VALUE"""),3.1168884E8)</f>
        <v>311688840</v>
      </c>
      <c r="F324" s="84">
        <f>IFERROR(__xludf.DUMMYFUNCTION("""COMPUTED_VALUE"""),368520.57)</f>
        <v>368520.57</v>
      </c>
      <c r="I324" s="87"/>
    </row>
    <row r="325">
      <c r="A325" s="46" t="str">
        <f>IFERROR(__xludf.DUMMYFUNCTION("""COMPUTED_VALUE"""),"Europe")</f>
        <v>Europe</v>
      </c>
      <c r="B325" s="46" t="str">
        <f>IFERROR(__xludf.DUMMYFUNCTION("""COMPUTED_VALUE"""),"Belarus")</f>
        <v>Belarus</v>
      </c>
      <c r="C325" s="46" t="str">
        <f>IFERROR(__xludf.DUMMYFUNCTION("""COMPUTED_VALUE"""),"Beverages")</f>
        <v>Beverages</v>
      </c>
      <c r="D325" s="46">
        <f>IFERROR(__xludf.DUMMYFUNCTION("""COMPUTED_VALUE"""),11.0)</f>
        <v>11</v>
      </c>
      <c r="E325" s="46">
        <f>IFERROR(__xludf.DUMMYFUNCTION("""COMPUTED_VALUE"""),3.11921012E8)</f>
        <v>311921012</v>
      </c>
      <c r="F325" s="84">
        <f>IFERROR(__xludf.DUMMYFUNCTION("""COMPUTED_VALUE"""),152504.30000000002)</f>
        <v>152504.3</v>
      </c>
      <c r="I325" s="87"/>
    </row>
    <row r="326">
      <c r="A326" s="46" t="str">
        <f>IFERROR(__xludf.DUMMYFUNCTION("""COMPUTED_VALUE"""),"Europe")</f>
        <v>Europe</v>
      </c>
      <c r="B326" s="46" t="str">
        <f>IFERROR(__xludf.DUMMYFUNCTION("""COMPUTED_VALUE"""),"Estonia")</f>
        <v>Estonia</v>
      </c>
      <c r="C326" s="46" t="str">
        <f>IFERROR(__xludf.DUMMYFUNCTION("""COMPUTED_VALUE"""),"Cosmetics")</f>
        <v>Cosmetics</v>
      </c>
      <c r="D326" s="46">
        <f>IFERROR(__xludf.DUMMYFUNCTION("""COMPUTED_VALUE"""),6.0)</f>
        <v>6</v>
      </c>
      <c r="E326" s="46">
        <f>IFERROR(__xludf.DUMMYFUNCTION("""COMPUTED_VALUE"""),3.11956632E8)</f>
        <v>311956632</v>
      </c>
      <c r="F326" s="84">
        <f>IFERROR(__xludf.DUMMYFUNCTION("""COMPUTED_VALUE"""),1641686.0)</f>
        <v>1641686</v>
      </c>
      <c r="I326" s="87"/>
    </row>
    <row r="327">
      <c r="A327" s="46" t="str">
        <f>IFERROR(__xludf.DUMMYFUNCTION("""COMPUTED_VALUE"""),"Europe")</f>
        <v>Europe</v>
      </c>
      <c r="B327" s="46" t="str">
        <f>IFERROR(__xludf.DUMMYFUNCTION("""COMPUTED_VALUE"""),"Bulgaria")</f>
        <v>Bulgaria</v>
      </c>
      <c r="C327" s="46" t="str">
        <f>IFERROR(__xludf.DUMMYFUNCTION("""COMPUTED_VALUE"""),"Beverages")</f>
        <v>Beverages</v>
      </c>
      <c r="D327" s="46">
        <f>IFERROR(__xludf.DUMMYFUNCTION("""COMPUTED_VALUE"""),48.0)</f>
        <v>48</v>
      </c>
      <c r="E327" s="46">
        <f>IFERROR(__xludf.DUMMYFUNCTION("""COMPUTED_VALUE"""),3.13178002E8)</f>
        <v>313178002</v>
      </c>
      <c r="F327" s="84">
        <f>IFERROR(__xludf.DUMMYFUNCTION("""COMPUTED_VALUE"""),246028.25000000003)</f>
        <v>246028.25</v>
      </c>
      <c r="I327" s="87"/>
    </row>
    <row r="328">
      <c r="A328" s="46" t="str">
        <f>IFERROR(__xludf.DUMMYFUNCTION("""COMPUTED_VALUE"""),"Europe")</f>
        <v>Europe</v>
      </c>
      <c r="B328" s="46" t="str">
        <f>IFERROR(__xludf.DUMMYFUNCTION("""COMPUTED_VALUE"""),"Montenegro")</f>
        <v>Montenegro</v>
      </c>
      <c r="C328" s="46" t="str">
        <f>IFERROR(__xludf.DUMMYFUNCTION("""COMPUTED_VALUE"""),"Fruits")</f>
        <v>Fruits</v>
      </c>
      <c r="D328" s="46">
        <f>IFERROR(__xludf.DUMMYFUNCTION("""COMPUTED_VALUE"""),42.0)</f>
        <v>42</v>
      </c>
      <c r="E328" s="46">
        <f>IFERROR(__xludf.DUMMYFUNCTION("""COMPUTED_VALUE"""),3.13705861E8)</f>
        <v>313705861</v>
      </c>
      <c r="F328" s="84">
        <f>IFERROR(__xludf.DUMMYFUNCTION("""COMPUTED_VALUE"""),12968.7)</f>
        <v>12968.7</v>
      </c>
      <c r="I328" s="87"/>
    </row>
    <row r="329">
      <c r="A329" s="46" t="str">
        <f>IFERROR(__xludf.DUMMYFUNCTION("""COMPUTED_VALUE"""),"Europe")</f>
        <v>Europe</v>
      </c>
      <c r="B329" s="46" t="str">
        <f>IFERROR(__xludf.DUMMYFUNCTION("""COMPUTED_VALUE"""),"Hungary")</f>
        <v>Hungary</v>
      </c>
      <c r="C329" s="46" t="str">
        <f>IFERROR(__xludf.DUMMYFUNCTION("""COMPUTED_VALUE"""),"Office Supplies")</f>
        <v>Office Supplies</v>
      </c>
      <c r="D329" s="46">
        <f>IFERROR(__xludf.DUMMYFUNCTION("""COMPUTED_VALUE"""),43.0)</f>
        <v>43</v>
      </c>
      <c r="E329" s="46">
        <f>IFERROR(__xludf.DUMMYFUNCTION("""COMPUTED_VALUE"""),3.13821303E8)</f>
        <v>313821303</v>
      </c>
      <c r="F329" s="84">
        <f>IFERROR(__xludf.DUMMYFUNCTION("""COMPUTED_VALUE"""),3615517.9200000004)</f>
        <v>3615517.92</v>
      </c>
      <c r="I329" s="87"/>
    </row>
    <row r="330">
      <c r="A330" s="46" t="str">
        <f>IFERROR(__xludf.DUMMYFUNCTION("""COMPUTED_VALUE"""),"Europe")</f>
        <v>Europe</v>
      </c>
      <c r="B330" s="46" t="str">
        <f>IFERROR(__xludf.DUMMYFUNCTION("""COMPUTED_VALUE"""),"Italy")</f>
        <v>Italy</v>
      </c>
      <c r="C330" s="46" t="str">
        <f>IFERROR(__xludf.DUMMYFUNCTION("""COMPUTED_VALUE"""),"Baby Food")</f>
        <v>Baby Food</v>
      </c>
      <c r="D330" s="46">
        <f>IFERROR(__xludf.DUMMYFUNCTION("""COMPUTED_VALUE"""),27.0)</f>
        <v>27</v>
      </c>
      <c r="E330" s="46">
        <f>IFERROR(__xludf.DUMMYFUNCTION("""COMPUTED_VALUE"""),3.14782178E8)</f>
        <v>314782178</v>
      </c>
      <c r="F330" s="84">
        <f>IFERROR(__xludf.DUMMYFUNCTION("""COMPUTED_VALUE"""),2526250.88)</f>
        <v>2526250.88</v>
      </c>
      <c r="I330" s="87"/>
    </row>
    <row r="331">
      <c r="A331" s="46" t="str">
        <f>IFERROR(__xludf.DUMMYFUNCTION("""COMPUTED_VALUE"""),"Europe")</f>
        <v>Europe</v>
      </c>
      <c r="B331" s="46" t="str">
        <f>IFERROR(__xludf.DUMMYFUNCTION("""COMPUTED_VALUE"""),"Slovakia")</f>
        <v>Slovakia</v>
      </c>
      <c r="C331" s="46" t="str">
        <f>IFERROR(__xludf.DUMMYFUNCTION("""COMPUTED_VALUE"""),"Snacks")</f>
        <v>Snacks</v>
      </c>
      <c r="D331" s="46">
        <f>IFERROR(__xludf.DUMMYFUNCTION("""COMPUTED_VALUE"""),49.0)</f>
        <v>49</v>
      </c>
      <c r="E331" s="46">
        <f>IFERROR(__xludf.DUMMYFUNCTION("""COMPUTED_VALUE"""),3.15066277E8)</f>
        <v>315066277</v>
      </c>
      <c r="F331" s="84">
        <f>IFERROR(__xludf.DUMMYFUNCTION("""COMPUTED_VALUE"""),605437.4400000001)</f>
        <v>605437.44</v>
      </c>
      <c r="I331" s="87"/>
    </row>
    <row r="332">
      <c r="A332" s="46" t="str">
        <f>IFERROR(__xludf.DUMMYFUNCTION("""COMPUTED_VALUE"""),"Europe")</f>
        <v>Europe</v>
      </c>
      <c r="B332" s="46" t="str">
        <f>IFERROR(__xludf.DUMMYFUNCTION("""COMPUTED_VALUE"""),"Estonia")</f>
        <v>Estonia</v>
      </c>
      <c r="C332" s="46" t="str">
        <f>IFERROR(__xludf.DUMMYFUNCTION("""COMPUTED_VALUE"""),"Baby Food")</f>
        <v>Baby Food</v>
      </c>
      <c r="D332" s="46">
        <f>IFERROR(__xludf.DUMMYFUNCTION("""COMPUTED_VALUE"""),11.0)</f>
        <v>11</v>
      </c>
      <c r="E332" s="46">
        <f>IFERROR(__xludf.DUMMYFUNCTION("""COMPUTED_VALUE"""),3.16466176E8)</f>
        <v>316466176</v>
      </c>
      <c r="F332" s="84">
        <f>IFERROR(__xludf.DUMMYFUNCTION("""COMPUTED_VALUE"""),2100699.12)</f>
        <v>2100699.12</v>
      </c>
      <c r="I332" s="87"/>
    </row>
    <row r="333">
      <c r="A333" s="46" t="str">
        <f>IFERROR(__xludf.DUMMYFUNCTION("""COMPUTED_VALUE"""),"Europe")</f>
        <v>Europe</v>
      </c>
      <c r="B333" s="46" t="str">
        <f>IFERROR(__xludf.DUMMYFUNCTION("""COMPUTED_VALUE"""),"Greece")</f>
        <v>Greece</v>
      </c>
      <c r="C333" s="46" t="str">
        <f>IFERROR(__xludf.DUMMYFUNCTION("""COMPUTED_VALUE"""),"Beverages")</f>
        <v>Beverages</v>
      </c>
      <c r="D333" s="46">
        <f>IFERROR(__xludf.DUMMYFUNCTION("""COMPUTED_VALUE"""),36.0)</f>
        <v>36</v>
      </c>
      <c r="E333" s="46">
        <f>IFERROR(__xludf.DUMMYFUNCTION("""COMPUTED_VALUE"""),3.17006051E8)</f>
        <v>317006051</v>
      </c>
      <c r="F333" s="84">
        <f>IFERROR(__xludf.DUMMYFUNCTION("""COMPUTED_VALUE"""),379125.5)</f>
        <v>379125.5</v>
      </c>
      <c r="I333" s="87"/>
    </row>
    <row r="334">
      <c r="A334" s="46" t="str">
        <f>IFERROR(__xludf.DUMMYFUNCTION("""COMPUTED_VALUE"""),"Europe")</f>
        <v>Europe</v>
      </c>
      <c r="B334" s="46" t="str">
        <f>IFERROR(__xludf.DUMMYFUNCTION("""COMPUTED_VALUE"""),"Estonia")</f>
        <v>Estonia</v>
      </c>
      <c r="C334" s="46" t="str">
        <f>IFERROR(__xludf.DUMMYFUNCTION("""COMPUTED_VALUE"""),"Cereal")</f>
        <v>Cereal</v>
      </c>
      <c r="D334" s="46">
        <f>IFERROR(__xludf.DUMMYFUNCTION("""COMPUTED_VALUE"""),29.0)</f>
        <v>29</v>
      </c>
      <c r="E334" s="46">
        <f>IFERROR(__xludf.DUMMYFUNCTION("""COMPUTED_VALUE"""),3.18523538E8)</f>
        <v>318523538</v>
      </c>
      <c r="F334" s="84">
        <f>IFERROR(__xludf.DUMMYFUNCTION("""COMPUTED_VALUE"""),1449773.5999999999)</f>
        <v>1449773.6</v>
      </c>
      <c r="I334" s="87"/>
    </row>
    <row r="335">
      <c r="A335" s="46" t="str">
        <f>IFERROR(__xludf.DUMMYFUNCTION("""COMPUTED_VALUE"""),"Europe")</f>
        <v>Europe</v>
      </c>
      <c r="B335" s="46" t="str">
        <f>IFERROR(__xludf.DUMMYFUNCTION("""COMPUTED_VALUE"""),"Andorra")</f>
        <v>Andorra</v>
      </c>
      <c r="C335" s="46" t="str">
        <f>IFERROR(__xludf.DUMMYFUNCTION("""COMPUTED_VALUE"""),"Beverages")</f>
        <v>Beverages</v>
      </c>
      <c r="D335" s="46">
        <f>IFERROR(__xludf.DUMMYFUNCTION("""COMPUTED_VALUE"""),37.0)</f>
        <v>37</v>
      </c>
      <c r="E335" s="46">
        <f>IFERROR(__xludf.DUMMYFUNCTION("""COMPUTED_VALUE"""),3.20431125E8)</f>
        <v>320431125</v>
      </c>
      <c r="F335" s="84">
        <f>IFERROR(__xludf.DUMMYFUNCTION("""COMPUTED_VALUE"""),73310.25)</f>
        <v>73310.25</v>
      </c>
      <c r="I335" s="87"/>
    </row>
    <row r="336">
      <c r="A336" s="46" t="str">
        <f>IFERROR(__xludf.DUMMYFUNCTION("""COMPUTED_VALUE"""),"Europe")</f>
        <v>Europe</v>
      </c>
      <c r="B336" s="46" t="str">
        <f>IFERROR(__xludf.DUMMYFUNCTION("""COMPUTED_VALUE"""),"Poland")</f>
        <v>Poland</v>
      </c>
      <c r="C336" s="46" t="str">
        <f>IFERROR(__xludf.DUMMYFUNCTION("""COMPUTED_VALUE"""),"Household")</f>
        <v>Household</v>
      </c>
      <c r="D336" s="46">
        <f>IFERROR(__xludf.DUMMYFUNCTION("""COMPUTED_VALUE"""),17.0)</f>
        <v>17</v>
      </c>
      <c r="E336" s="46">
        <f>IFERROR(__xludf.DUMMYFUNCTION("""COMPUTED_VALUE"""),3.21628463E8)</f>
        <v>321628463</v>
      </c>
      <c r="F336" s="84">
        <f>IFERROR(__xludf.DUMMYFUNCTION("""COMPUTED_VALUE"""),3918735.28)</f>
        <v>3918735.28</v>
      </c>
      <c r="I336" s="87"/>
    </row>
    <row r="337">
      <c r="A337" s="46" t="str">
        <f>IFERROR(__xludf.DUMMYFUNCTION("""COMPUTED_VALUE"""),"Europe")</f>
        <v>Europe</v>
      </c>
      <c r="B337" s="46" t="str">
        <f>IFERROR(__xludf.DUMMYFUNCTION("""COMPUTED_VALUE"""),"Czech Republic")</f>
        <v>Czech Republic</v>
      </c>
      <c r="C337" s="46" t="str">
        <f>IFERROR(__xludf.DUMMYFUNCTION("""COMPUTED_VALUE"""),"Cereal")</f>
        <v>Cereal</v>
      </c>
      <c r="D337" s="46">
        <f>IFERROR(__xludf.DUMMYFUNCTION("""COMPUTED_VALUE"""),0.0)</f>
        <v>0</v>
      </c>
      <c r="E337" s="46">
        <f>IFERROR(__xludf.DUMMYFUNCTION("""COMPUTED_VALUE"""),3.22524106E8)</f>
        <v>322524106</v>
      </c>
      <c r="F337" s="84">
        <f>IFERROR(__xludf.DUMMYFUNCTION("""COMPUTED_VALUE"""),186158.5)</f>
        <v>186158.5</v>
      </c>
      <c r="I337" s="87"/>
    </row>
    <row r="338">
      <c r="A338" s="46" t="str">
        <f>IFERROR(__xludf.DUMMYFUNCTION("""COMPUTED_VALUE"""),"Europe")</f>
        <v>Europe</v>
      </c>
      <c r="B338" s="46" t="str">
        <f>IFERROR(__xludf.DUMMYFUNCTION("""COMPUTED_VALUE"""),"Austria")</f>
        <v>Austria</v>
      </c>
      <c r="C338" s="46" t="str">
        <f>IFERROR(__xludf.DUMMYFUNCTION("""COMPUTED_VALUE"""),"Cereal")</f>
        <v>Cereal</v>
      </c>
      <c r="D338" s="46">
        <f>IFERROR(__xludf.DUMMYFUNCTION("""COMPUTED_VALUE"""),40.0)</f>
        <v>40</v>
      </c>
      <c r="E338" s="46">
        <f>IFERROR(__xludf.DUMMYFUNCTION("""COMPUTED_VALUE"""),3.23293578E8)</f>
        <v>323293578</v>
      </c>
      <c r="F338" s="84">
        <f>IFERROR(__xludf.DUMMYFUNCTION("""COMPUTED_VALUE"""),1770871.2999999998)</f>
        <v>1770871.3</v>
      </c>
      <c r="I338" s="87"/>
    </row>
    <row r="339">
      <c r="A339" s="46" t="str">
        <f>IFERROR(__xludf.DUMMYFUNCTION("""COMPUTED_VALUE"""),"Asia")</f>
        <v>Asia</v>
      </c>
      <c r="B339" s="46" t="str">
        <f>IFERROR(__xludf.DUMMYFUNCTION("""COMPUTED_VALUE"""),"Cyprus")</f>
        <v>Cyprus</v>
      </c>
      <c r="C339" s="46" t="str">
        <f>IFERROR(__xludf.DUMMYFUNCTION("""COMPUTED_VALUE"""),"Clothes")</f>
        <v>Clothes</v>
      </c>
      <c r="D339" s="46">
        <f>IFERROR(__xludf.DUMMYFUNCTION("""COMPUTED_VALUE"""),24.0)</f>
        <v>24</v>
      </c>
      <c r="E339" s="46">
        <f>IFERROR(__xludf.DUMMYFUNCTION("""COMPUTED_VALUE"""),3.25314033E8)</f>
        <v>325314033</v>
      </c>
      <c r="F339" s="84">
        <f>IFERROR(__xludf.DUMMYFUNCTION("""COMPUTED_VALUE"""),710975.68)</f>
        <v>710975.68</v>
      </c>
      <c r="I339" s="87"/>
    </row>
    <row r="340">
      <c r="A340" s="46" t="str">
        <f>IFERROR(__xludf.DUMMYFUNCTION("""COMPUTED_VALUE"""),"Europe")</f>
        <v>Europe</v>
      </c>
      <c r="B340" s="46" t="str">
        <f>IFERROR(__xludf.DUMMYFUNCTION("""COMPUTED_VALUE"""),"Slovakia")</f>
        <v>Slovakia</v>
      </c>
      <c r="C340" s="46" t="str">
        <f>IFERROR(__xludf.DUMMYFUNCTION("""COMPUTED_VALUE"""),"Cosmetics")</f>
        <v>Cosmetics</v>
      </c>
      <c r="D340" s="46">
        <f>IFERROR(__xludf.DUMMYFUNCTION("""COMPUTED_VALUE"""),15.0)</f>
        <v>15</v>
      </c>
      <c r="E340" s="46">
        <f>IFERROR(__xludf.DUMMYFUNCTION("""COMPUTED_VALUE"""),3.27072703E8)</f>
        <v>327072703</v>
      </c>
      <c r="F340" s="84">
        <f>IFERROR(__xludf.DUMMYFUNCTION("""COMPUTED_VALUE"""),3032419.1999999997)</f>
        <v>3032419.2</v>
      </c>
      <c r="I340" s="87"/>
    </row>
    <row r="341">
      <c r="A341" s="46" t="str">
        <f>IFERROR(__xludf.DUMMYFUNCTION("""COMPUTED_VALUE"""),"Europe")</f>
        <v>Europe</v>
      </c>
      <c r="B341" s="46" t="str">
        <f>IFERROR(__xludf.DUMMYFUNCTION("""COMPUTED_VALUE"""),"Hungary")</f>
        <v>Hungary</v>
      </c>
      <c r="C341" s="46" t="str">
        <f>IFERROR(__xludf.DUMMYFUNCTION("""COMPUTED_VALUE"""),"Beverages")</f>
        <v>Beverages</v>
      </c>
      <c r="D341" s="46">
        <f>IFERROR(__xludf.DUMMYFUNCTION("""COMPUTED_VALUE"""),22.0)</f>
        <v>22</v>
      </c>
      <c r="E341" s="46">
        <f>IFERROR(__xludf.DUMMYFUNCTION("""COMPUTED_VALUE"""),3.27604424E8)</f>
        <v>327604424</v>
      </c>
      <c r="F341" s="84">
        <f>IFERROR(__xludf.DUMMYFUNCTION("""COMPUTED_VALUE"""),203275.80000000002)</f>
        <v>203275.8</v>
      </c>
      <c r="I341" s="87"/>
    </row>
    <row r="342">
      <c r="A342" s="46" t="str">
        <f>IFERROR(__xludf.DUMMYFUNCTION("""COMPUTED_VALUE"""),"Europe")</f>
        <v>Europe</v>
      </c>
      <c r="B342" s="46" t="str">
        <f>IFERROR(__xludf.DUMMYFUNCTION("""COMPUTED_VALUE"""),"Andorra")</f>
        <v>Andorra</v>
      </c>
      <c r="C342" s="46" t="str">
        <f>IFERROR(__xludf.DUMMYFUNCTION("""COMPUTED_VALUE"""),"Cosmetics")</f>
        <v>Cosmetics</v>
      </c>
      <c r="D342" s="46">
        <f>IFERROR(__xludf.DUMMYFUNCTION("""COMPUTED_VALUE"""),19.0)</f>
        <v>19</v>
      </c>
      <c r="E342" s="46">
        <f>IFERROR(__xludf.DUMMYFUNCTION("""COMPUTED_VALUE"""),3.28322827E8)</f>
        <v>328322827</v>
      </c>
      <c r="F342" s="84">
        <f>IFERROR(__xludf.DUMMYFUNCTION("""COMPUTED_VALUE"""),3006187.1999999997)</f>
        <v>3006187.2</v>
      </c>
      <c r="I342" s="87"/>
    </row>
    <row r="343">
      <c r="A343" s="46" t="str">
        <f>IFERROR(__xludf.DUMMYFUNCTION("""COMPUTED_VALUE"""),"Undefined")</f>
        <v>Undefined</v>
      </c>
      <c r="B343" s="46" t="str">
        <f>IFERROR(__xludf.DUMMYFUNCTION("""COMPUTED_VALUE"""),"Undefined")</f>
        <v>Undefined</v>
      </c>
      <c r="C343" s="46" t="str">
        <f>IFERROR(__xludf.DUMMYFUNCTION("""COMPUTED_VALUE"""),"Baby Food")</f>
        <v>Baby Food</v>
      </c>
      <c r="D343" s="46">
        <f>IFERROR(__xludf.DUMMYFUNCTION("""COMPUTED_VALUE"""),4.0)</f>
        <v>4</v>
      </c>
      <c r="E343" s="46">
        <f>IFERROR(__xludf.DUMMYFUNCTION("""COMPUTED_VALUE"""),3.28721082E8)</f>
        <v>328721082</v>
      </c>
      <c r="F343" s="84">
        <f>IFERROR(__xludf.DUMMYFUNCTION("""COMPUTED_VALUE"""),1206963.84)</f>
        <v>1206963.84</v>
      </c>
      <c r="I343" s="87"/>
    </row>
    <row r="344">
      <c r="A344" s="46" t="str">
        <f>IFERROR(__xludf.DUMMYFUNCTION("""COMPUTED_VALUE"""),"Europe")</f>
        <v>Europe</v>
      </c>
      <c r="B344" s="46" t="str">
        <f>IFERROR(__xludf.DUMMYFUNCTION("""COMPUTED_VALUE"""),"Ukraine")</f>
        <v>Ukraine</v>
      </c>
      <c r="C344" s="46" t="str">
        <f>IFERROR(__xludf.DUMMYFUNCTION("""COMPUTED_VALUE"""),"Cosmetics")</f>
        <v>Cosmetics</v>
      </c>
      <c r="D344" s="46">
        <f>IFERROR(__xludf.DUMMYFUNCTION("""COMPUTED_VALUE"""),5.0)</f>
        <v>5</v>
      </c>
      <c r="E344" s="46">
        <f>IFERROR(__xludf.DUMMYFUNCTION("""COMPUTED_VALUE"""),3.29529607E8)</f>
        <v>329529607</v>
      </c>
      <c r="F344" s="84">
        <f>IFERROR(__xludf.DUMMYFUNCTION("""COMPUTED_VALUE"""),1743553.5999999999)</f>
        <v>1743553.6</v>
      </c>
      <c r="I344" s="87"/>
    </row>
    <row r="345">
      <c r="A345" s="46" t="str">
        <f>IFERROR(__xludf.DUMMYFUNCTION("""COMPUTED_VALUE"""),"Europe")</f>
        <v>Europe</v>
      </c>
      <c r="B345" s="46" t="str">
        <f>IFERROR(__xludf.DUMMYFUNCTION("""COMPUTED_VALUE"""),"Norway")</f>
        <v>Norway</v>
      </c>
      <c r="C345" s="46" t="str">
        <f>IFERROR(__xludf.DUMMYFUNCTION("""COMPUTED_VALUE"""),"Office Supplies")</f>
        <v>Office Supplies</v>
      </c>
      <c r="D345" s="46">
        <f>IFERROR(__xludf.DUMMYFUNCTION("""COMPUTED_VALUE"""),44.0)</f>
        <v>44</v>
      </c>
      <c r="E345" s="46">
        <f>IFERROR(__xludf.DUMMYFUNCTION("""COMPUTED_VALUE"""),3.30590474E8)</f>
        <v>330590474</v>
      </c>
      <c r="F345" s="84">
        <f>IFERROR(__xludf.DUMMYFUNCTION("""COMPUTED_VALUE"""),5159536.83)</f>
        <v>5159536.83</v>
      </c>
      <c r="I345" s="87"/>
    </row>
    <row r="346">
      <c r="A346" s="46" t="str">
        <f>IFERROR(__xludf.DUMMYFUNCTION("""COMPUTED_VALUE"""),"Europe")</f>
        <v>Europe</v>
      </c>
      <c r="B346" s="46" t="str">
        <f>IFERROR(__xludf.DUMMYFUNCTION("""COMPUTED_VALUE"""),"Poland")</f>
        <v>Poland</v>
      </c>
      <c r="C346" s="46" t="str">
        <f>IFERROR(__xludf.DUMMYFUNCTION("""COMPUTED_VALUE"""),"Cereal")</f>
        <v>Cereal</v>
      </c>
      <c r="D346" s="46">
        <f>IFERROR(__xludf.DUMMYFUNCTION("""COMPUTED_VALUE"""),38.0)</f>
        <v>38</v>
      </c>
      <c r="E346" s="46">
        <f>IFERROR(__xludf.DUMMYFUNCTION("""COMPUTED_VALUE"""),3.32268464E8)</f>
        <v>332268464</v>
      </c>
      <c r="F346" s="84">
        <f>IFERROR(__xludf.DUMMYFUNCTION("""COMPUTED_VALUE"""),920918.8999999999)</f>
        <v>920918.9</v>
      </c>
      <c r="I346" s="87"/>
    </row>
    <row r="347">
      <c r="A347" s="46" t="str">
        <f>IFERROR(__xludf.DUMMYFUNCTION("""COMPUTED_VALUE"""),"Europe")</f>
        <v>Europe</v>
      </c>
      <c r="B347" s="46" t="str">
        <f>IFERROR(__xludf.DUMMYFUNCTION("""COMPUTED_VALUE"""),"Hungary")</f>
        <v>Hungary</v>
      </c>
      <c r="C347" s="46" t="str">
        <f>IFERROR(__xludf.DUMMYFUNCTION("""COMPUTED_VALUE"""),"Cosmetics")</f>
        <v>Cosmetics</v>
      </c>
      <c r="D347" s="46">
        <f>IFERROR(__xludf.DUMMYFUNCTION("""COMPUTED_VALUE"""),47.0)</f>
        <v>47</v>
      </c>
      <c r="E347" s="46">
        <f>IFERROR(__xludf.DUMMYFUNCTION("""COMPUTED_VALUE"""),3.32353007E8)</f>
        <v>332353007</v>
      </c>
      <c r="F347" s="84">
        <f>IFERROR(__xludf.DUMMYFUNCTION("""COMPUTED_VALUE"""),4151214.0)</f>
        <v>4151214</v>
      </c>
      <c r="I347" s="87"/>
    </row>
    <row r="348">
      <c r="A348" s="46" t="str">
        <f>IFERROR(__xludf.DUMMYFUNCTION("""COMPUTED_VALUE"""),"Asia")</f>
        <v>Asia</v>
      </c>
      <c r="B348" s="46" t="str">
        <f>IFERROR(__xludf.DUMMYFUNCTION("""COMPUTED_VALUE"""),"Cyprus")</f>
        <v>Cyprus</v>
      </c>
      <c r="C348" s="46" t="str">
        <f>IFERROR(__xludf.DUMMYFUNCTION("""COMPUTED_VALUE"""),"Meat")</f>
        <v>Meat</v>
      </c>
      <c r="D348" s="46">
        <f>IFERROR(__xludf.DUMMYFUNCTION("""COMPUTED_VALUE"""),24.0)</f>
        <v>24</v>
      </c>
      <c r="E348" s="46">
        <f>IFERROR(__xludf.DUMMYFUNCTION("""COMPUTED_VALUE"""),3.3330444E8)</f>
        <v>333304440</v>
      </c>
      <c r="F348" s="84">
        <f>IFERROR(__xludf.DUMMYFUNCTION("""COMPUTED_VALUE"""),441296.94)</f>
        <v>441296.94</v>
      </c>
      <c r="I348" s="87"/>
    </row>
    <row r="349">
      <c r="A349" s="46" t="str">
        <f>IFERROR(__xludf.DUMMYFUNCTION("""COMPUTED_VALUE"""),"Europe")</f>
        <v>Europe</v>
      </c>
      <c r="B349" s="46" t="str">
        <f>IFERROR(__xludf.DUMMYFUNCTION("""COMPUTED_VALUE"""),"Italy")</f>
        <v>Italy</v>
      </c>
      <c r="C349" s="46" t="str">
        <f>IFERROR(__xludf.DUMMYFUNCTION("""COMPUTED_VALUE"""),"Clothes")</f>
        <v>Clothes</v>
      </c>
      <c r="D349" s="46">
        <f>IFERROR(__xludf.DUMMYFUNCTION("""COMPUTED_VALUE"""),23.0)</f>
        <v>23</v>
      </c>
      <c r="E349" s="46">
        <f>IFERROR(__xludf.DUMMYFUNCTION("""COMPUTED_VALUE"""),3.34539973E8)</f>
        <v>334539973</v>
      </c>
      <c r="F349" s="84">
        <f>IFERROR(__xludf.DUMMYFUNCTION("""COMPUTED_VALUE"""),728569.76)</f>
        <v>728569.76</v>
      </c>
      <c r="I349" s="87"/>
    </row>
    <row r="350">
      <c r="A350" s="46" t="str">
        <f>IFERROR(__xludf.DUMMYFUNCTION("""COMPUTED_VALUE"""),"Undefined")</f>
        <v>Undefined</v>
      </c>
      <c r="B350" s="46" t="str">
        <f>IFERROR(__xludf.DUMMYFUNCTION("""COMPUTED_VALUE"""),"Undefined")</f>
        <v>Undefined</v>
      </c>
      <c r="C350" s="46" t="str">
        <f>IFERROR(__xludf.DUMMYFUNCTION("""COMPUTED_VALUE"""),"Personal Care")</f>
        <v>Personal Care</v>
      </c>
      <c r="D350" s="46">
        <f>IFERROR(__xludf.DUMMYFUNCTION("""COMPUTED_VALUE"""),23.0)</f>
        <v>23</v>
      </c>
      <c r="E350" s="46">
        <f>IFERROR(__xludf.DUMMYFUNCTION("""COMPUTED_VALUE"""),3.36111962E8)</f>
        <v>336111962</v>
      </c>
      <c r="F350" s="84">
        <f>IFERROR(__xludf.DUMMYFUNCTION("""COMPUTED_VALUE"""),151527.42)</f>
        <v>151527.42</v>
      </c>
      <c r="I350" s="87"/>
    </row>
    <row r="351">
      <c r="A351" s="46" t="str">
        <f>IFERROR(__xludf.DUMMYFUNCTION("""COMPUTED_VALUE"""),"Europe")</f>
        <v>Europe</v>
      </c>
      <c r="B351" s="46" t="str">
        <f>IFERROR(__xludf.DUMMYFUNCTION("""COMPUTED_VALUE"""),"Sweden")</f>
        <v>Sweden</v>
      </c>
      <c r="C351" s="46" t="str">
        <f>IFERROR(__xludf.DUMMYFUNCTION("""COMPUTED_VALUE"""),"Cosmetics")</f>
        <v>Cosmetics</v>
      </c>
      <c r="D351" s="46">
        <f>IFERROR(__xludf.DUMMYFUNCTION("""COMPUTED_VALUE"""),38.0)</f>
        <v>38</v>
      </c>
      <c r="E351" s="46">
        <f>IFERROR(__xludf.DUMMYFUNCTION("""COMPUTED_VALUE"""),3.36813628E8)</f>
        <v>336813628</v>
      </c>
      <c r="F351" s="84">
        <f>IFERROR(__xludf.DUMMYFUNCTION("""COMPUTED_VALUE"""),4149902.4)</f>
        <v>4149902.4</v>
      </c>
      <c r="I351" s="87"/>
    </row>
    <row r="352">
      <c r="A352" s="46" t="str">
        <f>IFERROR(__xludf.DUMMYFUNCTION("""COMPUTED_VALUE"""),"Europe")</f>
        <v>Europe</v>
      </c>
      <c r="B352" s="46" t="str">
        <f>IFERROR(__xludf.DUMMYFUNCTION("""COMPUTED_VALUE"""),"Norway")</f>
        <v>Norway</v>
      </c>
      <c r="C352" s="46" t="str">
        <f>IFERROR(__xludf.DUMMYFUNCTION("""COMPUTED_VALUE"""),"Cosmetics")</f>
        <v>Cosmetics</v>
      </c>
      <c r="D352" s="46">
        <f>IFERROR(__xludf.DUMMYFUNCTION("""COMPUTED_VALUE"""),50.0)</f>
        <v>50</v>
      </c>
      <c r="E352" s="46">
        <f>IFERROR(__xludf.DUMMYFUNCTION("""COMPUTED_VALUE"""),3.37354791E8)</f>
        <v>337354791</v>
      </c>
      <c r="F352" s="84">
        <f>IFERROR(__xludf.DUMMYFUNCTION("""COMPUTED_VALUE"""),4211984.8)</f>
        <v>4211984.8</v>
      </c>
      <c r="I352" s="87"/>
    </row>
    <row r="353">
      <c r="A353" s="46" t="str">
        <f>IFERROR(__xludf.DUMMYFUNCTION("""COMPUTED_VALUE"""),"Europe")</f>
        <v>Europe</v>
      </c>
      <c r="B353" s="46" t="str">
        <f>IFERROR(__xludf.DUMMYFUNCTION("""COMPUTED_VALUE"""),"Luxembourg")</f>
        <v>Luxembourg</v>
      </c>
      <c r="C353" s="46" t="str">
        <f>IFERROR(__xludf.DUMMYFUNCTION("""COMPUTED_VALUE"""),"Office Supplies")</f>
        <v>Office Supplies</v>
      </c>
      <c r="D353" s="46">
        <f>IFERROR(__xludf.DUMMYFUNCTION("""COMPUTED_VALUE"""),38.0)</f>
        <v>38</v>
      </c>
      <c r="E353" s="46">
        <f>IFERROR(__xludf.DUMMYFUNCTION("""COMPUTED_VALUE"""),3.39786803E8)</f>
        <v>339786803</v>
      </c>
      <c r="F353" s="84">
        <f>IFERROR(__xludf.DUMMYFUNCTION("""COMPUTED_VALUE"""),6069928.41)</f>
        <v>6069928.41</v>
      </c>
      <c r="I353" s="87"/>
    </row>
    <row r="354">
      <c r="A354" s="46" t="str">
        <f>IFERROR(__xludf.DUMMYFUNCTION("""COMPUTED_VALUE"""),"Europe")</f>
        <v>Europe</v>
      </c>
      <c r="B354" s="46" t="str">
        <f>IFERROR(__xludf.DUMMYFUNCTION("""COMPUTED_VALUE"""),"Malta")</f>
        <v>Malta</v>
      </c>
      <c r="C354" s="46" t="str">
        <f>IFERROR(__xludf.DUMMYFUNCTION("""COMPUTED_VALUE"""),"Snacks")</f>
        <v>Snacks</v>
      </c>
      <c r="D354" s="46">
        <f>IFERROR(__xludf.DUMMYFUNCTION("""COMPUTED_VALUE"""),18.0)</f>
        <v>18</v>
      </c>
      <c r="E354" s="46">
        <f>IFERROR(__xludf.DUMMYFUNCTION("""COMPUTED_VALUE"""),3.39999663E8)</f>
        <v>339999663</v>
      </c>
      <c r="F354" s="84">
        <f>IFERROR(__xludf.DUMMYFUNCTION("""COMPUTED_VALUE"""),352612.38)</f>
        <v>352612.38</v>
      </c>
      <c r="I354" s="87"/>
    </row>
    <row r="355">
      <c r="A355" s="46" t="str">
        <f>IFERROR(__xludf.DUMMYFUNCTION("""COMPUTED_VALUE"""),"Europe")</f>
        <v>Europe</v>
      </c>
      <c r="B355" s="46" t="str">
        <f>IFERROR(__xludf.DUMMYFUNCTION("""COMPUTED_VALUE"""),"France")</f>
        <v>France</v>
      </c>
      <c r="C355" s="46" t="str">
        <f>IFERROR(__xludf.DUMMYFUNCTION("""COMPUTED_VALUE"""),"Office Supplies")</f>
        <v>Office Supplies</v>
      </c>
      <c r="D355" s="46">
        <f>IFERROR(__xludf.DUMMYFUNCTION("""COMPUTED_VALUE"""),36.0)</f>
        <v>36</v>
      </c>
      <c r="E355" s="46">
        <f>IFERROR(__xludf.DUMMYFUNCTION("""COMPUTED_VALUE"""),3.40213811E8)</f>
        <v>340213811</v>
      </c>
      <c r="F355" s="84">
        <f>IFERROR(__xludf.DUMMYFUNCTION("""COMPUTED_VALUE"""),3700175.22)</f>
        <v>3700175.22</v>
      </c>
      <c r="I355" s="87"/>
    </row>
    <row r="356">
      <c r="A356" s="46" t="str">
        <f>IFERROR(__xludf.DUMMYFUNCTION("""COMPUTED_VALUE"""),"Asia")</f>
        <v>Asia</v>
      </c>
      <c r="B356" s="46" t="str">
        <f>IFERROR(__xludf.DUMMYFUNCTION("""COMPUTED_VALUE"""),"Georgia")</f>
        <v>Georgia</v>
      </c>
      <c r="C356" s="46" t="str">
        <f>IFERROR(__xludf.DUMMYFUNCTION("""COMPUTED_VALUE"""),"Snacks")</f>
        <v>Snacks</v>
      </c>
      <c r="D356" s="46">
        <f>IFERROR(__xludf.DUMMYFUNCTION("""COMPUTED_VALUE"""),44.0)</f>
        <v>44</v>
      </c>
      <c r="E356" s="46">
        <f>IFERROR(__xludf.DUMMYFUNCTION("""COMPUTED_VALUE"""),3.41398274E8)</f>
        <v>341398274</v>
      </c>
      <c r="F356" s="84">
        <f>IFERROR(__xludf.DUMMYFUNCTION("""COMPUTED_VALUE"""),944622.78)</f>
        <v>944622.78</v>
      </c>
      <c r="I356" s="87"/>
    </row>
    <row r="357">
      <c r="A357" s="46" t="str">
        <f>IFERROR(__xludf.DUMMYFUNCTION("""COMPUTED_VALUE"""),"Europe")</f>
        <v>Europe</v>
      </c>
      <c r="B357" s="46" t="str">
        <f>IFERROR(__xludf.DUMMYFUNCTION("""COMPUTED_VALUE"""),"Estonia")</f>
        <v>Estonia</v>
      </c>
      <c r="C357" s="46" t="str">
        <f>IFERROR(__xludf.DUMMYFUNCTION("""COMPUTED_VALUE"""),"Office Supplies")</f>
        <v>Office Supplies</v>
      </c>
      <c r="D357" s="46">
        <f>IFERROR(__xludf.DUMMYFUNCTION("""COMPUTED_VALUE"""),49.0)</f>
        <v>49</v>
      </c>
      <c r="E357" s="46">
        <f>IFERROR(__xludf.DUMMYFUNCTION("""COMPUTED_VALUE"""),3.43185698E8)</f>
        <v>343185698</v>
      </c>
      <c r="F357" s="84">
        <f>IFERROR(__xludf.DUMMYFUNCTION("""COMPUTED_VALUE"""),3340056.0900000003)</f>
        <v>3340056.09</v>
      </c>
      <c r="I357" s="87"/>
    </row>
    <row r="358">
      <c r="A358" s="46" t="str">
        <f>IFERROR(__xludf.DUMMYFUNCTION("""COMPUTED_VALUE"""),"Europe")</f>
        <v>Europe</v>
      </c>
      <c r="B358" s="46" t="str">
        <f>IFERROR(__xludf.DUMMYFUNCTION("""COMPUTED_VALUE"""),"Latvia")</f>
        <v>Latvia</v>
      </c>
      <c r="C358" s="46" t="str">
        <f>IFERROR(__xludf.DUMMYFUNCTION("""COMPUTED_VALUE"""),"Office Supplies")</f>
        <v>Office Supplies</v>
      </c>
      <c r="D358" s="46">
        <f>IFERROR(__xludf.DUMMYFUNCTION("""COMPUTED_VALUE"""),27.0)</f>
        <v>27</v>
      </c>
      <c r="E358" s="46">
        <f>IFERROR(__xludf.DUMMYFUNCTION("""COMPUTED_VALUE"""),3.43730294E8)</f>
        <v>343730294</v>
      </c>
      <c r="F358" s="84">
        <f>IFERROR(__xludf.DUMMYFUNCTION("""COMPUTED_VALUE"""),4094157.27)</f>
        <v>4094157.27</v>
      </c>
      <c r="I358" s="87"/>
    </row>
    <row r="359">
      <c r="A359" s="46" t="str">
        <f>IFERROR(__xludf.DUMMYFUNCTION("""COMPUTED_VALUE"""),"Europe")</f>
        <v>Europe</v>
      </c>
      <c r="B359" s="46" t="str">
        <f>IFERROR(__xludf.DUMMYFUNCTION("""COMPUTED_VALUE"""),"Ukraine")</f>
        <v>Ukraine</v>
      </c>
      <c r="C359" s="46" t="str">
        <f>IFERROR(__xludf.DUMMYFUNCTION("""COMPUTED_VALUE"""),"Beverages")</f>
        <v>Beverages</v>
      </c>
      <c r="D359" s="46">
        <f>IFERROR(__xludf.DUMMYFUNCTION("""COMPUTED_VALUE"""),42.0)</f>
        <v>42</v>
      </c>
      <c r="E359" s="46">
        <f>IFERROR(__xludf.DUMMYFUNCTION("""COMPUTED_VALUE"""),3.4388951E8)</f>
        <v>343889510</v>
      </c>
      <c r="F359" s="84">
        <f>IFERROR(__xludf.DUMMYFUNCTION("""COMPUTED_VALUE"""),161472.35)</f>
        <v>161472.35</v>
      </c>
      <c r="I359" s="87"/>
    </row>
    <row r="360">
      <c r="A360" s="46" t="str">
        <f>IFERROR(__xludf.DUMMYFUNCTION("""COMPUTED_VALUE"""),"Europe")</f>
        <v>Europe</v>
      </c>
      <c r="B360" s="46" t="str">
        <f>IFERROR(__xludf.DUMMYFUNCTION("""COMPUTED_VALUE"""),"Netherlands")</f>
        <v>Netherlands</v>
      </c>
      <c r="C360" s="46" t="str">
        <f>IFERROR(__xludf.DUMMYFUNCTION("""COMPUTED_VALUE"""),"Meat")</f>
        <v>Meat</v>
      </c>
      <c r="D360" s="46">
        <f>IFERROR(__xludf.DUMMYFUNCTION("""COMPUTED_VALUE"""),42.0)</f>
        <v>42</v>
      </c>
      <c r="E360" s="46">
        <f>IFERROR(__xludf.DUMMYFUNCTION("""COMPUTED_VALUE"""),3.44160735E8)</f>
        <v>344160735</v>
      </c>
      <c r="F360" s="84">
        <f>IFERROR(__xludf.DUMMYFUNCTION("""COMPUTED_VALUE"""),1545804.96)</f>
        <v>1545804.96</v>
      </c>
      <c r="I360" s="87"/>
    </row>
    <row r="361">
      <c r="A361" s="46" t="str">
        <f>IFERROR(__xludf.DUMMYFUNCTION("""COMPUTED_VALUE"""),"Europe")</f>
        <v>Europe</v>
      </c>
      <c r="B361" s="46" t="str">
        <f>IFERROR(__xludf.DUMMYFUNCTION("""COMPUTED_VALUE"""),"Monaco")</f>
        <v>Monaco</v>
      </c>
      <c r="C361" s="46" t="str">
        <f>IFERROR(__xludf.DUMMYFUNCTION("""COMPUTED_VALUE"""),"Vegetables")</f>
        <v>Vegetables</v>
      </c>
      <c r="D361" s="46">
        <f>IFERROR(__xludf.DUMMYFUNCTION("""COMPUTED_VALUE"""),15.0)</f>
        <v>15</v>
      </c>
      <c r="E361" s="46">
        <f>IFERROR(__xludf.DUMMYFUNCTION("""COMPUTED_VALUE"""),3.46498763E8)</f>
        <v>346498763</v>
      </c>
      <c r="F361" s="84">
        <f>IFERROR(__xludf.DUMMYFUNCTION("""COMPUTED_VALUE"""),853338.34)</f>
        <v>853338.34</v>
      </c>
      <c r="I361" s="87"/>
    </row>
    <row r="362">
      <c r="A362" s="46" t="str">
        <f>IFERROR(__xludf.DUMMYFUNCTION("""COMPUTED_VALUE"""),"Europe")</f>
        <v>Europe</v>
      </c>
      <c r="B362" s="46" t="str">
        <f>IFERROR(__xludf.DUMMYFUNCTION("""COMPUTED_VALUE"""),"Switzerland")</f>
        <v>Switzerland</v>
      </c>
      <c r="C362" s="46" t="str">
        <f>IFERROR(__xludf.DUMMYFUNCTION("""COMPUTED_VALUE"""),"Cosmetics")</f>
        <v>Cosmetics</v>
      </c>
      <c r="D362" s="46">
        <f>IFERROR(__xludf.DUMMYFUNCTION("""COMPUTED_VALUE"""),7.0)</f>
        <v>7</v>
      </c>
      <c r="E362" s="46">
        <f>IFERROR(__xludf.DUMMYFUNCTION("""COMPUTED_VALUE"""),3.47609412E8)</f>
        <v>347609412</v>
      </c>
      <c r="F362" s="84">
        <f>IFERROR(__xludf.DUMMYFUNCTION("""COMPUTED_VALUE"""),1838426.0)</f>
        <v>1838426</v>
      </c>
      <c r="I362" s="87"/>
    </row>
    <row r="363">
      <c r="A363" s="46" t="str">
        <f>IFERROR(__xludf.DUMMYFUNCTION("""COMPUTED_VALUE"""),"Europe")</f>
        <v>Europe</v>
      </c>
      <c r="B363" s="46" t="str">
        <f>IFERROR(__xludf.DUMMYFUNCTION("""COMPUTED_VALUE"""),"Andorra")</f>
        <v>Andorra</v>
      </c>
      <c r="C363" s="46" t="str">
        <f>IFERROR(__xludf.DUMMYFUNCTION("""COMPUTED_VALUE"""),"Snacks")</f>
        <v>Snacks</v>
      </c>
      <c r="D363" s="46">
        <f>IFERROR(__xludf.DUMMYFUNCTION("""COMPUTED_VALUE"""),16.0)</f>
        <v>16</v>
      </c>
      <c r="E363" s="46">
        <f>IFERROR(__xludf.DUMMYFUNCTION("""COMPUTED_VALUE"""),3.48080623E8)</f>
        <v>348080623</v>
      </c>
      <c r="F363" s="84">
        <f>IFERROR(__xludf.DUMMYFUNCTION("""COMPUTED_VALUE"""),556306.68)</f>
        <v>556306.68</v>
      </c>
      <c r="I363" s="87"/>
    </row>
    <row r="364">
      <c r="A364" s="46" t="str">
        <f>IFERROR(__xludf.DUMMYFUNCTION("""COMPUTED_VALUE"""),"Europe")</f>
        <v>Europe</v>
      </c>
      <c r="B364" s="46" t="str">
        <f>IFERROR(__xludf.DUMMYFUNCTION("""COMPUTED_VALUE"""),"Macedonia")</f>
        <v>Macedonia</v>
      </c>
      <c r="C364" s="46" t="str">
        <f>IFERROR(__xludf.DUMMYFUNCTION("""COMPUTED_VALUE"""),"Baby Food")</f>
        <v>Baby Food</v>
      </c>
      <c r="D364" s="46">
        <f>IFERROR(__xludf.DUMMYFUNCTION("""COMPUTED_VALUE"""),12.0)</f>
        <v>12</v>
      </c>
      <c r="E364" s="46">
        <f>IFERROR(__xludf.DUMMYFUNCTION("""COMPUTED_VALUE"""),3.4906038E8)</f>
        <v>349060380</v>
      </c>
      <c r="F364" s="84">
        <f>IFERROR(__xludf.DUMMYFUNCTION("""COMPUTED_VALUE"""),913391.84)</f>
        <v>913391.84</v>
      </c>
      <c r="I364" s="87"/>
    </row>
    <row r="365">
      <c r="A365" s="46" t="str">
        <f>IFERROR(__xludf.DUMMYFUNCTION("""COMPUTED_VALUE"""),"Europe")</f>
        <v>Europe</v>
      </c>
      <c r="B365" s="46" t="str">
        <f>IFERROR(__xludf.DUMMYFUNCTION("""COMPUTED_VALUE"""),"Bulgaria")</f>
        <v>Bulgaria</v>
      </c>
      <c r="C365" s="46" t="str">
        <f>IFERROR(__xludf.DUMMYFUNCTION("""COMPUTED_VALUE"""),"Meat")</f>
        <v>Meat</v>
      </c>
      <c r="D365" s="46">
        <f>IFERROR(__xludf.DUMMYFUNCTION("""COMPUTED_VALUE"""),46.0)</f>
        <v>46</v>
      </c>
      <c r="E365" s="46">
        <f>IFERROR(__xludf.DUMMYFUNCTION("""COMPUTED_VALUE"""),3.49212729E8)</f>
        <v>349212729</v>
      </c>
      <c r="F365" s="84">
        <f>IFERROR(__xludf.DUMMYFUNCTION("""COMPUTED_VALUE"""),3654411.1799999997)</f>
        <v>3654411.18</v>
      </c>
      <c r="I365" s="87"/>
    </row>
    <row r="366">
      <c r="A366" s="46" t="str">
        <f>IFERROR(__xludf.DUMMYFUNCTION("""COMPUTED_VALUE"""),"Europe")</f>
        <v>Europe</v>
      </c>
      <c r="B366" s="46" t="str">
        <f>IFERROR(__xludf.DUMMYFUNCTION("""COMPUTED_VALUE"""),"Serbia")</f>
        <v>Serbia</v>
      </c>
      <c r="C366" s="46" t="str">
        <f>IFERROR(__xludf.DUMMYFUNCTION("""COMPUTED_VALUE"""),"Cosmetics")</f>
        <v>Cosmetics</v>
      </c>
      <c r="D366" s="46">
        <f>IFERROR(__xludf.DUMMYFUNCTION("""COMPUTED_VALUE"""),28.0)</f>
        <v>28</v>
      </c>
      <c r="E366" s="46">
        <f>IFERROR(__xludf.DUMMYFUNCTION("""COMPUTED_VALUE"""),3.50550401E8)</f>
        <v>350550401</v>
      </c>
      <c r="F366" s="84">
        <f>IFERROR(__xludf.DUMMYFUNCTION("""COMPUTED_VALUE"""),1970897.5999999999)</f>
        <v>1970897.6</v>
      </c>
      <c r="I366" s="87"/>
    </row>
    <row r="367">
      <c r="A367" s="46" t="str">
        <f>IFERROR(__xludf.DUMMYFUNCTION("""COMPUTED_VALUE"""),"Europe")</f>
        <v>Europe</v>
      </c>
      <c r="B367" s="46" t="str">
        <f>IFERROR(__xludf.DUMMYFUNCTION("""COMPUTED_VALUE"""),"Macedonia")</f>
        <v>Macedonia</v>
      </c>
      <c r="C367" s="46" t="str">
        <f>IFERROR(__xludf.DUMMYFUNCTION("""COMPUTED_VALUE"""),"Cosmetics")</f>
        <v>Cosmetics</v>
      </c>
      <c r="D367" s="46">
        <f>IFERROR(__xludf.DUMMYFUNCTION("""COMPUTED_VALUE"""),27.0)</f>
        <v>27</v>
      </c>
      <c r="E367" s="46">
        <f>IFERROR(__xludf.DUMMYFUNCTION("""COMPUTED_VALUE"""),3.50977408E8)</f>
        <v>350977408</v>
      </c>
      <c r="F367" s="84">
        <f>IFERROR(__xludf.DUMMYFUNCTION("""COMPUTED_VALUE"""),379926.8)</f>
        <v>379926.8</v>
      </c>
      <c r="I367" s="87"/>
    </row>
    <row r="368">
      <c r="A368" s="46" t="str">
        <f>IFERROR(__xludf.DUMMYFUNCTION("""COMPUTED_VALUE"""),"Europe")</f>
        <v>Europe</v>
      </c>
      <c r="B368" s="46" t="str">
        <f>IFERROR(__xludf.DUMMYFUNCTION("""COMPUTED_VALUE"""),"Monaco")</f>
        <v>Monaco</v>
      </c>
      <c r="C368" s="46" t="str">
        <f>IFERROR(__xludf.DUMMYFUNCTION("""COMPUTED_VALUE"""),"Personal Care")</f>
        <v>Personal Care</v>
      </c>
      <c r="D368" s="46">
        <f>IFERROR(__xludf.DUMMYFUNCTION("""COMPUTED_VALUE"""),40.0)</f>
        <v>40</v>
      </c>
      <c r="E368" s="46">
        <f>IFERROR(__xludf.DUMMYFUNCTION("""COMPUTED_VALUE"""),3.51247346E8)</f>
        <v>351247346</v>
      </c>
      <c r="F368" s="84">
        <f>IFERROR(__xludf.DUMMYFUNCTION("""COMPUTED_VALUE"""),61297.5)</f>
        <v>61297.5</v>
      </c>
      <c r="I368" s="87"/>
    </row>
    <row r="369">
      <c r="A369" s="46" t="str">
        <f>IFERROR(__xludf.DUMMYFUNCTION("""COMPUTED_VALUE"""),"Europe")</f>
        <v>Europe</v>
      </c>
      <c r="B369" s="46" t="str">
        <f>IFERROR(__xludf.DUMMYFUNCTION("""COMPUTED_VALUE"""),"Spain")</f>
        <v>Spain</v>
      </c>
      <c r="C369" s="46" t="str">
        <f>IFERROR(__xludf.DUMMYFUNCTION("""COMPUTED_VALUE"""),"Snacks")</f>
        <v>Snacks</v>
      </c>
      <c r="D369" s="46">
        <f>IFERROR(__xludf.DUMMYFUNCTION("""COMPUTED_VALUE"""),36.0)</f>
        <v>36</v>
      </c>
      <c r="E369" s="46">
        <f>IFERROR(__xludf.DUMMYFUNCTION("""COMPUTED_VALUE"""),3.52342545E8)</f>
        <v>352342545</v>
      </c>
      <c r="F369" s="84">
        <f>IFERROR(__xludf.DUMMYFUNCTION("""COMPUTED_VALUE"""),739097.52)</f>
        <v>739097.52</v>
      </c>
      <c r="I369" s="87"/>
    </row>
    <row r="370">
      <c r="A370" s="46" t="str">
        <f>IFERROR(__xludf.DUMMYFUNCTION("""COMPUTED_VALUE"""),"Europe")</f>
        <v>Europe</v>
      </c>
      <c r="B370" s="46" t="str">
        <f>IFERROR(__xludf.DUMMYFUNCTION("""COMPUTED_VALUE"""),"Estonia")</f>
        <v>Estonia</v>
      </c>
      <c r="C370" s="46" t="str">
        <f>IFERROR(__xludf.DUMMYFUNCTION("""COMPUTED_VALUE"""),"Clothes")</f>
        <v>Clothes</v>
      </c>
      <c r="D370" s="46">
        <f>IFERROR(__xludf.DUMMYFUNCTION("""COMPUTED_VALUE"""),31.0)</f>
        <v>31</v>
      </c>
      <c r="E370" s="46">
        <f>IFERROR(__xludf.DUMMYFUNCTION("""COMPUTED_VALUE"""),3.5319184E8)</f>
        <v>353191840</v>
      </c>
      <c r="F370" s="84">
        <f>IFERROR(__xludf.DUMMYFUNCTION("""COMPUTED_VALUE"""),674148.3200000001)</f>
        <v>674148.32</v>
      </c>
      <c r="I370" s="87"/>
    </row>
    <row r="371">
      <c r="A371" s="46" t="str">
        <f>IFERROR(__xludf.DUMMYFUNCTION("""COMPUTED_VALUE"""),"Europe")</f>
        <v>Europe</v>
      </c>
      <c r="B371" s="46" t="str">
        <f>IFERROR(__xludf.DUMMYFUNCTION("""COMPUTED_VALUE"""),"Montenegro")</f>
        <v>Montenegro</v>
      </c>
      <c r="C371" s="46" t="str">
        <f>IFERROR(__xludf.DUMMYFUNCTION("""COMPUTED_VALUE"""),"Cosmetics")</f>
        <v>Cosmetics</v>
      </c>
      <c r="D371" s="46">
        <f>IFERROR(__xludf.DUMMYFUNCTION("""COMPUTED_VALUE"""),3.0)</f>
        <v>3</v>
      </c>
      <c r="E371" s="46">
        <f>IFERROR(__xludf.DUMMYFUNCTION("""COMPUTED_VALUE"""),3.53320157E8)</f>
        <v>353320157</v>
      </c>
      <c r="F371" s="84">
        <f>IFERROR(__xludf.DUMMYFUNCTION("""COMPUTED_VALUE"""),1810445.2)</f>
        <v>1810445.2</v>
      </c>
      <c r="I371" s="87"/>
    </row>
    <row r="372">
      <c r="A372" s="46" t="str">
        <f>IFERROR(__xludf.DUMMYFUNCTION("""COMPUTED_VALUE"""),"Undefined")</f>
        <v>Undefined</v>
      </c>
      <c r="B372" s="46" t="str">
        <f>IFERROR(__xludf.DUMMYFUNCTION("""COMPUTED_VALUE"""),"Undefined")</f>
        <v>Undefined</v>
      </c>
      <c r="C372" s="46" t="str">
        <f>IFERROR(__xludf.DUMMYFUNCTION("""COMPUTED_VALUE"""),"Office Supplies")</f>
        <v>Office Supplies</v>
      </c>
      <c r="D372" s="46">
        <f>IFERROR(__xludf.DUMMYFUNCTION("""COMPUTED_VALUE"""),25.0)</f>
        <v>25</v>
      </c>
      <c r="E372" s="46">
        <f>IFERROR(__xludf.DUMMYFUNCTION("""COMPUTED_VALUE"""),3.53383243E8)</f>
        <v>353383243</v>
      </c>
      <c r="F372" s="84">
        <f>IFERROR(__xludf.DUMMYFUNCTION("""COMPUTED_VALUE"""),1829248.8900000001)</f>
        <v>1829248.89</v>
      </c>
      <c r="I372" s="87"/>
    </row>
    <row r="373">
      <c r="A373" s="46" t="str">
        <f>IFERROR(__xludf.DUMMYFUNCTION("""COMPUTED_VALUE"""),"Europe")</f>
        <v>Europe</v>
      </c>
      <c r="B373" s="46" t="str">
        <f>IFERROR(__xludf.DUMMYFUNCTION("""COMPUTED_VALUE"""),"Czech Republic")</f>
        <v>Czech Republic</v>
      </c>
      <c r="C373" s="46" t="str">
        <f>IFERROR(__xludf.DUMMYFUNCTION("""COMPUTED_VALUE"""),"Personal Care")</f>
        <v>Personal Care</v>
      </c>
      <c r="D373" s="46">
        <f>IFERROR(__xludf.DUMMYFUNCTION("""COMPUTED_VALUE"""),4.0)</f>
        <v>4</v>
      </c>
      <c r="E373" s="46">
        <f>IFERROR(__xludf.DUMMYFUNCTION("""COMPUTED_VALUE"""),3.53415429E8)</f>
        <v>353415429</v>
      </c>
      <c r="F373" s="84">
        <f>IFERROR(__xludf.DUMMYFUNCTION("""COMPUTED_VALUE"""),190757.82)</f>
        <v>190757.82</v>
      </c>
      <c r="I373" s="87"/>
    </row>
    <row r="374">
      <c r="A374" s="46" t="str">
        <f>IFERROR(__xludf.DUMMYFUNCTION("""COMPUTED_VALUE"""),"Europe")</f>
        <v>Europe</v>
      </c>
      <c r="B374" s="46" t="str">
        <f>IFERROR(__xludf.DUMMYFUNCTION("""COMPUTED_VALUE"""),"Netherlands")</f>
        <v>Netherlands</v>
      </c>
      <c r="C374" s="46" t="str">
        <f>IFERROR(__xludf.DUMMYFUNCTION("""COMPUTED_VALUE"""),"Personal Care")</f>
        <v>Personal Care</v>
      </c>
      <c r="D374" s="46">
        <f>IFERROR(__xludf.DUMMYFUNCTION("""COMPUTED_VALUE"""),2.0)</f>
        <v>2</v>
      </c>
      <c r="E374" s="46">
        <f>IFERROR(__xludf.DUMMYFUNCTION("""COMPUTED_VALUE"""),3.5347594E8)</f>
        <v>353475940</v>
      </c>
      <c r="F374" s="84">
        <f>IFERROR(__xludf.DUMMYFUNCTION("""COMPUTED_VALUE"""),19615.2)</f>
        <v>19615.2</v>
      </c>
      <c r="I374" s="87"/>
    </row>
    <row r="375">
      <c r="A375" s="46" t="str">
        <f>IFERROR(__xludf.DUMMYFUNCTION("""COMPUTED_VALUE"""),"Europe")</f>
        <v>Europe</v>
      </c>
      <c r="B375" s="46" t="str">
        <f>IFERROR(__xludf.DUMMYFUNCTION("""COMPUTED_VALUE"""),"Hungary")</f>
        <v>Hungary</v>
      </c>
      <c r="C375" s="46" t="str">
        <f>IFERROR(__xludf.DUMMYFUNCTION("""COMPUTED_VALUE"""),"Fruits")</f>
        <v>Fruits</v>
      </c>
      <c r="D375" s="46">
        <f>IFERROR(__xludf.DUMMYFUNCTION("""COMPUTED_VALUE"""),36.0)</f>
        <v>36</v>
      </c>
      <c r="E375" s="46">
        <f>IFERROR(__xludf.DUMMYFUNCTION("""COMPUTED_VALUE"""),3.53492677E8)</f>
        <v>353492677</v>
      </c>
      <c r="F375" s="84">
        <f>IFERROR(__xludf.DUMMYFUNCTION("""COMPUTED_VALUE"""),48450.69)</f>
        <v>48450.69</v>
      </c>
      <c r="I375" s="87"/>
    </row>
    <row r="376">
      <c r="A376" s="46" t="str">
        <f>IFERROR(__xludf.DUMMYFUNCTION("""COMPUTED_VALUE"""),"Europe")</f>
        <v>Europe</v>
      </c>
      <c r="B376" s="46" t="str">
        <f>IFERROR(__xludf.DUMMYFUNCTION("""COMPUTED_VALUE"""),"San Marino")</f>
        <v>San Marino</v>
      </c>
      <c r="C376" s="46" t="str">
        <f>IFERROR(__xludf.DUMMYFUNCTION("""COMPUTED_VALUE"""),"Vegetables")</f>
        <v>Vegetables</v>
      </c>
      <c r="D376" s="46">
        <f>IFERROR(__xludf.DUMMYFUNCTION("""COMPUTED_VALUE"""),44.0)</f>
        <v>44</v>
      </c>
      <c r="E376" s="46">
        <f>IFERROR(__xludf.DUMMYFUNCTION("""COMPUTED_VALUE"""),3.54270303E8)</f>
        <v>354270303</v>
      </c>
      <c r="F376" s="84">
        <f>IFERROR(__xludf.DUMMYFUNCTION("""COMPUTED_VALUE"""),818058.6)</f>
        <v>818058.6</v>
      </c>
      <c r="I376" s="87"/>
    </row>
    <row r="377">
      <c r="A377" s="46" t="str">
        <f>IFERROR(__xludf.DUMMYFUNCTION("""COMPUTED_VALUE"""),"Europe")</f>
        <v>Europe</v>
      </c>
      <c r="B377" s="46" t="str">
        <f>IFERROR(__xludf.DUMMYFUNCTION("""COMPUTED_VALUE"""),"Macedonia")</f>
        <v>Macedonia</v>
      </c>
      <c r="C377" s="46" t="str">
        <f>IFERROR(__xludf.DUMMYFUNCTION("""COMPUTED_VALUE"""),"Beverages")</f>
        <v>Beverages</v>
      </c>
      <c r="D377" s="46">
        <f>IFERROR(__xludf.DUMMYFUNCTION("""COMPUTED_VALUE"""),7.0)</f>
        <v>7</v>
      </c>
      <c r="E377" s="46">
        <f>IFERROR(__xludf.DUMMYFUNCTION("""COMPUTED_VALUE"""),3.54655683E8)</f>
        <v>354655683</v>
      </c>
      <c r="F377" s="84">
        <f>IFERROR(__xludf.DUMMYFUNCTION("""COMPUTED_VALUE"""),443799.85000000003)</f>
        <v>443799.85</v>
      </c>
      <c r="I377" s="87"/>
    </row>
    <row r="378">
      <c r="A378" s="46" t="str">
        <f>IFERROR(__xludf.DUMMYFUNCTION("""COMPUTED_VALUE"""),"Europe")</f>
        <v>Europe</v>
      </c>
      <c r="B378" s="46" t="str">
        <f>IFERROR(__xludf.DUMMYFUNCTION("""COMPUTED_VALUE"""),"Croatia")</f>
        <v>Croatia</v>
      </c>
      <c r="C378" s="46" t="str">
        <f>IFERROR(__xludf.DUMMYFUNCTION("""COMPUTED_VALUE"""),"Office Supplies")</f>
        <v>Office Supplies</v>
      </c>
      <c r="D378" s="46">
        <f>IFERROR(__xludf.DUMMYFUNCTION("""COMPUTED_VALUE"""),38.0)</f>
        <v>38</v>
      </c>
      <c r="E378" s="46">
        <f>IFERROR(__xludf.DUMMYFUNCTION("""COMPUTED_VALUE"""),3.54667699E8)</f>
        <v>354667699</v>
      </c>
      <c r="F378" s="84">
        <f>IFERROR(__xludf.DUMMYFUNCTION("""COMPUTED_VALUE"""),1893718.6800000002)</f>
        <v>1893718.68</v>
      </c>
      <c r="I378" s="87"/>
    </row>
    <row r="379">
      <c r="A379" s="46" t="str">
        <f>IFERROR(__xludf.DUMMYFUNCTION("""COMPUTED_VALUE"""),"Europe")</f>
        <v>Europe</v>
      </c>
      <c r="B379" s="46" t="str">
        <f>IFERROR(__xludf.DUMMYFUNCTION("""COMPUTED_VALUE"""),"Ireland")</f>
        <v>Ireland</v>
      </c>
      <c r="C379" s="46" t="str">
        <f>IFERROR(__xludf.DUMMYFUNCTION("""COMPUTED_VALUE"""),"Personal Care")</f>
        <v>Personal Care</v>
      </c>
      <c r="D379" s="46">
        <f>IFERROR(__xludf.DUMMYFUNCTION("""COMPUTED_VALUE"""),9.0)</f>
        <v>9</v>
      </c>
      <c r="E379" s="46">
        <f>IFERROR(__xludf.DUMMYFUNCTION("""COMPUTED_VALUE"""),3.54931628E8)</f>
        <v>354931628</v>
      </c>
      <c r="F379" s="84">
        <f>IFERROR(__xludf.DUMMYFUNCTION("""COMPUTED_VALUE"""),82629.03)</f>
        <v>82629.03</v>
      </c>
      <c r="I379" s="87"/>
    </row>
    <row r="380">
      <c r="A380" s="46" t="str">
        <f>IFERROR(__xludf.DUMMYFUNCTION("""COMPUTED_VALUE"""),"Europe")</f>
        <v>Europe</v>
      </c>
      <c r="B380" s="46" t="str">
        <f>IFERROR(__xludf.DUMMYFUNCTION("""COMPUTED_VALUE"""),"Greece")</f>
        <v>Greece</v>
      </c>
      <c r="C380" s="46" t="str">
        <f>IFERROR(__xludf.DUMMYFUNCTION("""COMPUTED_VALUE"""),"Clothes")</f>
        <v>Clothes</v>
      </c>
      <c r="D380" s="46">
        <f>IFERROR(__xludf.DUMMYFUNCTION("""COMPUTED_VALUE"""),6.0)</f>
        <v>6</v>
      </c>
      <c r="E380" s="46">
        <f>IFERROR(__xludf.DUMMYFUNCTION("""COMPUTED_VALUE"""),3.55534589E8)</f>
        <v>355534589</v>
      </c>
      <c r="F380" s="84">
        <f>IFERROR(__xludf.DUMMYFUNCTION("""COMPUTED_VALUE"""),1031603.2)</f>
        <v>1031603.2</v>
      </c>
      <c r="I380" s="87"/>
    </row>
    <row r="381">
      <c r="A381" s="46" t="str">
        <f>IFERROR(__xludf.DUMMYFUNCTION("""COMPUTED_VALUE"""),"Europe")</f>
        <v>Europe</v>
      </c>
      <c r="B381" s="46" t="str">
        <f>IFERROR(__xludf.DUMMYFUNCTION("""COMPUTED_VALUE"""),"Bosnia and Herzegovina")</f>
        <v>Bosnia and Herzegovina</v>
      </c>
      <c r="C381" s="46" t="str">
        <f>IFERROR(__xludf.DUMMYFUNCTION("""COMPUTED_VALUE"""),"Personal Care")</f>
        <v>Personal Care</v>
      </c>
      <c r="D381" s="46">
        <f>IFERROR(__xludf.DUMMYFUNCTION("""COMPUTED_VALUE"""),6.0)</f>
        <v>6</v>
      </c>
      <c r="E381" s="46">
        <f>IFERROR(__xludf.DUMMYFUNCTION("""COMPUTED_VALUE"""),3.56413495E8)</f>
        <v>356413495</v>
      </c>
      <c r="F381" s="84">
        <f>IFERROR(__xludf.DUMMYFUNCTION("""COMPUTED_VALUE"""),778723.4400000001)</f>
        <v>778723.44</v>
      </c>
      <c r="I381" s="87"/>
    </row>
    <row r="382">
      <c r="A382" s="46" t="str">
        <f>IFERROR(__xludf.DUMMYFUNCTION("""COMPUTED_VALUE"""),"Europe")</f>
        <v>Europe</v>
      </c>
      <c r="B382" s="46" t="str">
        <f>IFERROR(__xludf.DUMMYFUNCTION("""COMPUTED_VALUE"""),"Montenegro")</f>
        <v>Montenegro</v>
      </c>
      <c r="C382" s="46" t="str">
        <f>IFERROR(__xludf.DUMMYFUNCTION("""COMPUTED_VALUE"""),"Cosmetics")</f>
        <v>Cosmetics</v>
      </c>
      <c r="D382" s="46">
        <f>IFERROR(__xludf.DUMMYFUNCTION("""COMPUTED_VALUE"""),38.0)</f>
        <v>38</v>
      </c>
      <c r="E382" s="46">
        <f>IFERROR(__xludf.DUMMYFUNCTION("""COMPUTED_VALUE"""),3.5743488E8)</f>
        <v>357434880</v>
      </c>
      <c r="F382" s="84">
        <f>IFERROR(__xludf.DUMMYFUNCTION("""COMPUTED_VALUE"""),777778.7999999999)</f>
        <v>777778.8</v>
      </c>
      <c r="I382" s="87"/>
    </row>
    <row r="383">
      <c r="A383" s="46" t="str">
        <f>IFERROR(__xludf.DUMMYFUNCTION("""COMPUTED_VALUE"""),"Europe")</f>
        <v>Europe</v>
      </c>
      <c r="B383" s="46" t="str">
        <f>IFERROR(__xludf.DUMMYFUNCTION("""COMPUTED_VALUE"""),"Ireland")</f>
        <v>Ireland</v>
      </c>
      <c r="C383" s="46" t="str">
        <f>IFERROR(__xludf.DUMMYFUNCTION("""COMPUTED_VALUE"""),"Beverages")</f>
        <v>Beverages</v>
      </c>
      <c r="D383" s="46">
        <f>IFERROR(__xludf.DUMMYFUNCTION("""COMPUTED_VALUE"""),14.0)</f>
        <v>14</v>
      </c>
      <c r="E383" s="46">
        <f>IFERROR(__xludf.DUMMYFUNCTION("""COMPUTED_VALUE"""),3.57482516E8)</f>
        <v>357482516</v>
      </c>
      <c r="F383" s="84">
        <f>IFERROR(__xludf.DUMMYFUNCTION("""COMPUTED_VALUE"""),278768.75)</f>
        <v>278768.75</v>
      </c>
      <c r="I383" s="87"/>
    </row>
    <row r="384">
      <c r="A384" s="46" t="str">
        <f>IFERROR(__xludf.DUMMYFUNCTION("""COMPUTED_VALUE"""),"Europe")</f>
        <v>Europe</v>
      </c>
      <c r="B384" s="46" t="str">
        <f>IFERROR(__xludf.DUMMYFUNCTION("""COMPUTED_VALUE"""),"Albania")</f>
        <v>Albania</v>
      </c>
      <c r="C384" s="46" t="str">
        <f>IFERROR(__xludf.DUMMYFUNCTION("""COMPUTED_VALUE"""),"Clothes")</f>
        <v>Clothes</v>
      </c>
      <c r="D384" s="46">
        <f>IFERROR(__xludf.DUMMYFUNCTION("""COMPUTED_VALUE"""),49.0)</f>
        <v>49</v>
      </c>
      <c r="E384" s="46">
        <f>IFERROR(__xludf.DUMMYFUNCTION("""COMPUTED_VALUE"""),3.57930982E8)</f>
        <v>357930982</v>
      </c>
      <c r="F384" s="84">
        <f>IFERROR(__xludf.DUMMYFUNCTION("""COMPUTED_VALUE"""),938278.08)</f>
        <v>938278.08</v>
      </c>
      <c r="I384" s="87"/>
    </row>
    <row r="385">
      <c r="A385" s="46" t="str">
        <f>IFERROR(__xludf.DUMMYFUNCTION("""COMPUTED_VALUE"""),"Europe")</f>
        <v>Europe</v>
      </c>
      <c r="B385" s="46" t="str">
        <f>IFERROR(__xludf.DUMMYFUNCTION("""COMPUTED_VALUE"""),"Norway")</f>
        <v>Norway</v>
      </c>
      <c r="C385" s="46" t="str">
        <f>IFERROR(__xludf.DUMMYFUNCTION("""COMPUTED_VALUE"""),"Baby Food")</f>
        <v>Baby Food</v>
      </c>
      <c r="D385" s="46">
        <f>IFERROR(__xludf.DUMMYFUNCTION("""COMPUTED_VALUE"""),21.0)</f>
        <v>21</v>
      </c>
      <c r="E385" s="46">
        <f>IFERROR(__xludf.DUMMYFUNCTION("""COMPUTED_VALUE"""),3.57943856E8)</f>
        <v>357943856</v>
      </c>
      <c r="F385" s="84">
        <f>IFERROR(__xludf.DUMMYFUNCTION("""COMPUTED_VALUE"""),611650.88)</f>
        <v>611650.88</v>
      </c>
      <c r="I385" s="87"/>
    </row>
    <row r="386">
      <c r="A386" s="46" t="str">
        <f>IFERROR(__xludf.DUMMYFUNCTION("""COMPUTED_VALUE"""),"Europe")</f>
        <v>Europe</v>
      </c>
      <c r="B386" s="46" t="str">
        <f>IFERROR(__xludf.DUMMYFUNCTION("""COMPUTED_VALUE"""),"Iceland")</f>
        <v>Iceland</v>
      </c>
      <c r="C386" s="46" t="str">
        <f>IFERROR(__xludf.DUMMYFUNCTION("""COMPUTED_VALUE"""),"Snacks")</f>
        <v>Snacks</v>
      </c>
      <c r="D386" s="46">
        <f>IFERROR(__xludf.DUMMYFUNCTION("""COMPUTED_VALUE"""),44.0)</f>
        <v>44</v>
      </c>
      <c r="E386" s="46">
        <f>IFERROR(__xludf.DUMMYFUNCTION("""COMPUTED_VALUE"""),3.58594453E8)</f>
        <v>358594453</v>
      </c>
      <c r="F386" s="84">
        <f>IFERROR(__xludf.DUMMYFUNCTION("""COMPUTED_VALUE"""),750998.76)</f>
        <v>750998.76</v>
      </c>
      <c r="I386" s="87"/>
    </row>
    <row r="387">
      <c r="A387" s="46" t="str">
        <f>IFERROR(__xludf.DUMMYFUNCTION("""COMPUTED_VALUE"""),"Europe")</f>
        <v>Europe</v>
      </c>
      <c r="B387" s="46" t="str">
        <f>IFERROR(__xludf.DUMMYFUNCTION("""COMPUTED_VALUE"""),"Russia")</f>
        <v>Russia</v>
      </c>
      <c r="C387" s="46" t="str">
        <f>IFERROR(__xludf.DUMMYFUNCTION("""COMPUTED_VALUE"""),"Clothes")</f>
        <v>Clothes</v>
      </c>
      <c r="D387" s="46">
        <f>IFERROR(__xludf.DUMMYFUNCTION("""COMPUTED_VALUE"""),49.0)</f>
        <v>49</v>
      </c>
      <c r="E387" s="46">
        <f>IFERROR(__xludf.DUMMYFUNCTION("""COMPUTED_VALUE"""),3.58624064E8)</f>
        <v>358624064</v>
      </c>
      <c r="F387" s="84">
        <f>IFERROR(__xludf.DUMMYFUNCTION("""COMPUTED_VALUE"""),402696.8)</f>
        <v>402696.8</v>
      </c>
      <c r="I387" s="87"/>
    </row>
    <row r="388">
      <c r="A388" s="46" t="str">
        <f>IFERROR(__xludf.DUMMYFUNCTION("""COMPUTED_VALUE"""),"Asia")</f>
        <v>Asia</v>
      </c>
      <c r="B388" s="46" t="str">
        <f>IFERROR(__xludf.DUMMYFUNCTION("""COMPUTED_VALUE"""),"Georgia")</f>
        <v>Georgia</v>
      </c>
      <c r="C388" s="46" t="str">
        <f>IFERROR(__xludf.DUMMYFUNCTION("""COMPUTED_VALUE"""),"Baby Food")</f>
        <v>Baby Food</v>
      </c>
      <c r="D388" s="46">
        <f>IFERROR(__xludf.DUMMYFUNCTION("""COMPUTED_VALUE"""),41.0)</f>
        <v>41</v>
      </c>
      <c r="E388" s="46">
        <f>IFERROR(__xludf.DUMMYFUNCTION("""COMPUTED_VALUE"""),3.59197413E8)</f>
        <v>359197413</v>
      </c>
      <c r="F388" s="84">
        <f>IFERROR(__xludf.DUMMYFUNCTION("""COMPUTED_VALUE"""),855698.56)</f>
        <v>855698.56</v>
      </c>
      <c r="I388" s="87"/>
    </row>
    <row r="389">
      <c r="A389" s="46" t="str">
        <f>IFERROR(__xludf.DUMMYFUNCTION("""COMPUTED_VALUE"""),"Europe")</f>
        <v>Europe</v>
      </c>
      <c r="B389" s="46" t="str">
        <f>IFERROR(__xludf.DUMMYFUNCTION("""COMPUTED_VALUE"""),"Italy")</f>
        <v>Italy</v>
      </c>
      <c r="C389" s="46" t="str">
        <f>IFERROR(__xludf.DUMMYFUNCTION("""COMPUTED_VALUE"""),"Vegetables")</f>
        <v>Vegetables</v>
      </c>
      <c r="D389" s="46">
        <f>IFERROR(__xludf.DUMMYFUNCTION("""COMPUTED_VALUE"""),15.0)</f>
        <v>15</v>
      </c>
      <c r="E389" s="46">
        <f>IFERROR(__xludf.DUMMYFUNCTION("""COMPUTED_VALUE"""),3.59893071E8)</f>
        <v>359893071</v>
      </c>
      <c r="F389" s="84">
        <f>IFERROR(__xludf.DUMMYFUNCTION("""COMPUTED_VALUE"""),1419200.72)</f>
        <v>1419200.72</v>
      </c>
      <c r="I389" s="87"/>
    </row>
    <row r="390">
      <c r="A390" s="46" t="str">
        <f>IFERROR(__xludf.DUMMYFUNCTION("""COMPUTED_VALUE"""),"Europe")</f>
        <v>Europe</v>
      </c>
      <c r="B390" s="46" t="str">
        <f>IFERROR(__xludf.DUMMYFUNCTION("""COMPUTED_VALUE"""),"Germany")</f>
        <v>Germany</v>
      </c>
      <c r="C390" s="46" t="str">
        <f>IFERROR(__xludf.DUMMYFUNCTION("""COMPUTED_VALUE"""),"Baby Food")</f>
        <v>Baby Food</v>
      </c>
      <c r="D390" s="46">
        <f>IFERROR(__xludf.DUMMYFUNCTION("""COMPUTED_VALUE"""),40.0)</f>
        <v>40</v>
      </c>
      <c r="E390" s="46">
        <f>IFERROR(__xludf.DUMMYFUNCTION("""COMPUTED_VALUE"""),3.61311852E8)</f>
        <v>361311852</v>
      </c>
      <c r="F390" s="84">
        <f>IFERROR(__xludf.DUMMYFUNCTION("""COMPUTED_VALUE"""),2313092.08)</f>
        <v>2313092.08</v>
      </c>
      <c r="I390" s="87"/>
    </row>
    <row r="391">
      <c r="A391" s="46" t="str">
        <f>IFERROR(__xludf.DUMMYFUNCTION("""COMPUTED_VALUE"""),"Europe")</f>
        <v>Europe</v>
      </c>
      <c r="B391" s="46" t="str">
        <f>IFERROR(__xludf.DUMMYFUNCTION("""COMPUTED_VALUE"""),"Luxembourg")</f>
        <v>Luxembourg</v>
      </c>
      <c r="C391" s="46" t="str">
        <f>IFERROR(__xludf.DUMMYFUNCTION("""COMPUTED_VALUE"""),"Cereal")</f>
        <v>Cereal</v>
      </c>
      <c r="D391" s="46">
        <f>IFERROR(__xludf.DUMMYFUNCTION("""COMPUTED_VALUE"""),34.0)</f>
        <v>34</v>
      </c>
      <c r="E391" s="46">
        <f>IFERROR(__xludf.DUMMYFUNCTION("""COMPUTED_VALUE"""),3.61659038E8)</f>
        <v>361659038</v>
      </c>
      <c r="F391" s="84">
        <f>IFERROR(__xludf.DUMMYFUNCTION("""COMPUTED_VALUE"""),370465.69999999995)</f>
        <v>370465.7</v>
      </c>
      <c r="I391" s="87"/>
    </row>
    <row r="392">
      <c r="A392" s="46" t="str">
        <f>IFERROR(__xludf.DUMMYFUNCTION("""COMPUTED_VALUE"""),"Europe")</f>
        <v>Europe</v>
      </c>
      <c r="B392" s="46" t="str">
        <f>IFERROR(__xludf.DUMMYFUNCTION("""COMPUTED_VALUE"""),"San Marino")</f>
        <v>San Marino</v>
      </c>
      <c r="C392" s="46" t="str">
        <f>IFERROR(__xludf.DUMMYFUNCTION("""COMPUTED_VALUE"""),"Vegetables")</f>
        <v>Vegetables</v>
      </c>
      <c r="D392" s="46">
        <f>IFERROR(__xludf.DUMMYFUNCTION("""COMPUTED_VALUE"""),21.0)</f>
        <v>21</v>
      </c>
      <c r="E392" s="46">
        <f>IFERROR(__xludf.DUMMYFUNCTION("""COMPUTED_VALUE"""),3.61725556E8)</f>
        <v>361725556</v>
      </c>
      <c r="F392" s="84">
        <f>IFERROR(__xludf.DUMMYFUNCTION("""COMPUTED_VALUE"""),228779.1)</f>
        <v>228779.1</v>
      </c>
      <c r="I392" s="87"/>
    </row>
    <row r="393">
      <c r="A393" s="46" t="str">
        <f>IFERROR(__xludf.DUMMYFUNCTION("""COMPUTED_VALUE"""),"Asia")</f>
        <v>Asia</v>
      </c>
      <c r="B393" s="46" t="str">
        <f>IFERROR(__xludf.DUMMYFUNCTION("""COMPUTED_VALUE"""),"Armenia")</f>
        <v>Armenia</v>
      </c>
      <c r="C393" s="46" t="str">
        <f>IFERROR(__xludf.DUMMYFUNCTION("""COMPUTED_VALUE"""),"Fruits")</f>
        <v>Fruits</v>
      </c>
      <c r="D393" s="46">
        <f>IFERROR(__xludf.DUMMYFUNCTION("""COMPUTED_VALUE"""),15.0)</f>
        <v>15</v>
      </c>
      <c r="E393" s="46">
        <f>IFERROR(__xludf.DUMMYFUNCTION("""COMPUTED_VALUE"""),3.62258565E8)</f>
        <v>362258565</v>
      </c>
      <c r="F393" s="84">
        <f>IFERROR(__xludf.DUMMYFUNCTION("""COMPUTED_VALUE"""),85966.62)</f>
        <v>85966.62</v>
      </c>
      <c r="I393" s="87"/>
    </row>
    <row r="394">
      <c r="A394" s="46" t="str">
        <f>IFERROR(__xludf.DUMMYFUNCTION("""COMPUTED_VALUE"""),"Europe")</f>
        <v>Europe</v>
      </c>
      <c r="B394" s="46" t="str">
        <f>IFERROR(__xludf.DUMMYFUNCTION("""COMPUTED_VALUE"""),"Croatia")</f>
        <v>Croatia</v>
      </c>
      <c r="C394" s="46" t="str">
        <f>IFERROR(__xludf.DUMMYFUNCTION("""COMPUTED_VALUE"""),"Cosmetics")</f>
        <v>Cosmetics</v>
      </c>
      <c r="D394" s="46">
        <f>IFERROR(__xludf.DUMMYFUNCTION("""COMPUTED_VALUE"""),4.0)</f>
        <v>4</v>
      </c>
      <c r="E394" s="46">
        <f>IFERROR(__xludf.DUMMYFUNCTION("""COMPUTED_VALUE"""),3.64715468E8)</f>
        <v>364715468</v>
      </c>
      <c r="F394" s="84">
        <f>IFERROR(__xludf.DUMMYFUNCTION("""COMPUTED_VALUE"""),2739932.4)</f>
        <v>2739932.4</v>
      </c>
      <c r="I394" s="87"/>
    </row>
    <row r="395">
      <c r="A395" s="46" t="str">
        <f>IFERROR(__xludf.DUMMYFUNCTION("""COMPUTED_VALUE"""),"Undefined")</f>
        <v>Undefined</v>
      </c>
      <c r="B395" s="46" t="str">
        <f>IFERROR(__xludf.DUMMYFUNCTION("""COMPUTED_VALUE"""),"Undefined")</f>
        <v>Undefined</v>
      </c>
      <c r="C395" s="46" t="str">
        <f>IFERROR(__xludf.DUMMYFUNCTION("""COMPUTED_VALUE"""),"Baby Food")</f>
        <v>Baby Food</v>
      </c>
      <c r="D395" s="46">
        <f>IFERROR(__xludf.DUMMYFUNCTION("""COMPUTED_VALUE"""),20.0)</f>
        <v>20</v>
      </c>
      <c r="E395" s="46">
        <f>IFERROR(__xludf.DUMMYFUNCTION("""COMPUTED_VALUE"""),3.64854514E8)</f>
        <v>364854514</v>
      </c>
      <c r="F395" s="84">
        <f>IFERROR(__xludf.DUMMYFUNCTION("""COMPUTED_VALUE"""),1892390.64)</f>
        <v>1892390.64</v>
      </c>
      <c r="I395" s="87"/>
    </row>
    <row r="396">
      <c r="A396" s="46" t="str">
        <f>IFERROR(__xludf.DUMMYFUNCTION("""COMPUTED_VALUE"""),"Europe")</f>
        <v>Europe</v>
      </c>
      <c r="B396" s="46" t="str">
        <f>IFERROR(__xludf.DUMMYFUNCTION("""COMPUTED_VALUE"""),"France")</f>
        <v>France</v>
      </c>
      <c r="C396" s="46" t="str">
        <f>IFERROR(__xludf.DUMMYFUNCTION("""COMPUTED_VALUE"""),"Household")</f>
        <v>Household</v>
      </c>
      <c r="D396" s="46">
        <f>IFERROR(__xludf.DUMMYFUNCTION("""COMPUTED_VALUE"""),44.0)</f>
        <v>44</v>
      </c>
      <c r="E396" s="46">
        <f>IFERROR(__xludf.DUMMYFUNCTION("""COMPUTED_VALUE"""),3.67328155E8)</f>
        <v>367328155</v>
      </c>
      <c r="F396" s="84">
        <f>IFERROR(__xludf.DUMMYFUNCTION("""COMPUTED_VALUE"""),6294435.13)</f>
        <v>6294435.13</v>
      </c>
      <c r="I396" s="87"/>
    </row>
    <row r="397">
      <c r="A397" s="46" t="str">
        <f>IFERROR(__xludf.DUMMYFUNCTION("""COMPUTED_VALUE"""),"Europe")</f>
        <v>Europe</v>
      </c>
      <c r="B397" s="46" t="str">
        <f>IFERROR(__xludf.DUMMYFUNCTION("""COMPUTED_VALUE"""),"Germany")</f>
        <v>Germany</v>
      </c>
      <c r="C397" s="46" t="str">
        <f>IFERROR(__xludf.DUMMYFUNCTION("""COMPUTED_VALUE"""),"Office Supplies")</f>
        <v>Office Supplies</v>
      </c>
      <c r="D397" s="46">
        <f>IFERROR(__xludf.DUMMYFUNCTION("""COMPUTED_VALUE"""),35.0)</f>
        <v>35</v>
      </c>
      <c r="E397" s="46">
        <f>IFERROR(__xludf.DUMMYFUNCTION("""COMPUTED_VALUE"""),3.68865811E8)</f>
        <v>368865811</v>
      </c>
      <c r="F397" s="84">
        <f>IFERROR(__xludf.DUMMYFUNCTION("""COMPUTED_VALUE"""),2894628.45)</f>
        <v>2894628.45</v>
      </c>
      <c r="I397" s="87"/>
    </row>
    <row r="398">
      <c r="A398" s="46" t="str">
        <f>IFERROR(__xludf.DUMMYFUNCTION("""COMPUTED_VALUE"""),"Europe")</f>
        <v>Europe</v>
      </c>
      <c r="B398" s="46" t="str">
        <f>IFERROR(__xludf.DUMMYFUNCTION("""COMPUTED_VALUE"""),"Sweden")</f>
        <v>Sweden</v>
      </c>
      <c r="C398" s="46" t="str">
        <f>IFERROR(__xludf.DUMMYFUNCTION("""COMPUTED_VALUE"""),"Baby Food")</f>
        <v>Baby Food</v>
      </c>
      <c r="D398" s="46">
        <f>IFERROR(__xludf.DUMMYFUNCTION("""COMPUTED_VALUE"""),5.0)</f>
        <v>5</v>
      </c>
      <c r="E398" s="46">
        <f>IFERROR(__xludf.DUMMYFUNCTION("""COMPUTED_VALUE"""),3.69170081E8)</f>
        <v>369170081</v>
      </c>
      <c r="F398" s="84">
        <f>IFERROR(__xludf.DUMMYFUNCTION("""COMPUTED_VALUE"""),1145186.08)</f>
        <v>1145186.08</v>
      </c>
      <c r="I398" s="87"/>
    </row>
    <row r="399">
      <c r="A399" s="46" t="str">
        <f>IFERROR(__xludf.DUMMYFUNCTION("""COMPUTED_VALUE"""),"Undefined")</f>
        <v>Undefined</v>
      </c>
      <c r="B399" s="46" t="str">
        <f>IFERROR(__xludf.DUMMYFUNCTION("""COMPUTED_VALUE"""),"Undefined")</f>
        <v>Undefined</v>
      </c>
      <c r="C399" s="46" t="str">
        <f>IFERROR(__xludf.DUMMYFUNCTION("""COMPUTED_VALUE"""),"Beverages")</f>
        <v>Beverages</v>
      </c>
      <c r="D399" s="46">
        <f>IFERROR(__xludf.DUMMYFUNCTION("""COMPUTED_VALUE"""),23.0)</f>
        <v>23</v>
      </c>
      <c r="E399" s="46">
        <f>IFERROR(__xludf.DUMMYFUNCTION("""COMPUTED_VALUE"""),3.70484149E8)</f>
        <v>370484149</v>
      </c>
      <c r="F399" s="84">
        <f>IFERROR(__xludf.DUMMYFUNCTION("""COMPUTED_VALUE"""),158862.6)</f>
        <v>158862.6</v>
      </c>
      <c r="I399" s="87"/>
    </row>
    <row r="400">
      <c r="A400" s="46" t="str">
        <f>IFERROR(__xludf.DUMMYFUNCTION("""COMPUTED_VALUE"""),"Europe")</f>
        <v>Europe</v>
      </c>
      <c r="B400" s="46" t="str">
        <f>IFERROR(__xludf.DUMMYFUNCTION("""COMPUTED_VALUE"""),"Russia")</f>
        <v>Russia</v>
      </c>
      <c r="C400" s="46" t="str">
        <f>IFERROR(__xludf.DUMMYFUNCTION("""COMPUTED_VALUE"""),"Personal Care")</f>
        <v>Personal Care</v>
      </c>
      <c r="D400" s="46">
        <f>IFERROR(__xludf.DUMMYFUNCTION("""COMPUTED_VALUE"""),24.0)</f>
        <v>24</v>
      </c>
      <c r="E400" s="46">
        <f>IFERROR(__xludf.DUMMYFUNCTION("""COMPUTED_VALUE"""),3.71814954E8)</f>
        <v>371814954</v>
      </c>
      <c r="F400" s="84">
        <f>IFERROR(__xludf.DUMMYFUNCTION("""COMPUTED_VALUE"""),585350.26)</f>
        <v>585350.26</v>
      </c>
      <c r="I400" s="87"/>
    </row>
    <row r="401">
      <c r="A401" s="46" t="str">
        <f>IFERROR(__xludf.DUMMYFUNCTION("""COMPUTED_VALUE"""),"Undefined")</f>
        <v>Undefined</v>
      </c>
      <c r="B401" s="46" t="str">
        <f>IFERROR(__xludf.DUMMYFUNCTION("""COMPUTED_VALUE"""),"Undefined")</f>
        <v>Undefined</v>
      </c>
      <c r="C401" s="46" t="str">
        <f>IFERROR(__xludf.DUMMYFUNCTION("""COMPUTED_VALUE"""),"Office Supplies")</f>
        <v>Office Supplies</v>
      </c>
      <c r="D401" s="46">
        <f>IFERROR(__xludf.DUMMYFUNCTION("""COMPUTED_VALUE"""),17.0)</f>
        <v>17</v>
      </c>
      <c r="E401" s="46">
        <f>IFERROR(__xludf.DUMMYFUNCTION("""COMPUTED_VALUE"""),3.74663245E8)</f>
        <v>374663245</v>
      </c>
      <c r="F401" s="84">
        <f>IFERROR(__xludf.DUMMYFUNCTION("""COMPUTED_VALUE"""),22792.350000000002)</f>
        <v>22792.35</v>
      </c>
      <c r="I401" s="87"/>
    </row>
    <row r="402">
      <c r="A402" s="46" t="str">
        <f>IFERROR(__xludf.DUMMYFUNCTION("""COMPUTED_VALUE"""),"Europe")</f>
        <v>Europe</v>
      </c>
      <c r="B402" s="46" t="str">
        <f>IFERROR(__xludf.DUMMYFUNCTION("""COMPUTED_VALUE"""),"Spain")</f>
        <v>Spain</v>
      </c>
      <c r="C402" s="46" t="str">
        <f>IFERROR(__xludf.DUMMYFUNCTION("""COMPUTED_VALUE"""),"Clothes")</f>
        <v>Clothes</v>
      </c>
      <c r="D402" s="46">
        <f>IFERROR(__xludf.DUMMYFUNCTION("""COMPUTED_VALUE"""),21.0)</f>
        <v>21</v>
      </c>
      <c r="E402" s="46">
        <f>IFERROR(__xludf.DUMMYFUNCTION("""COMPUTED_VALUE"""),3.74848639E8)</f>
        <v>374848639</v>
      </c>
      <c r="F402" s="84">
        <f>IFERROR(__xludf.DUMMYFUNCTION("""COMPUTED_VALUE"""),535144.16)</f>
        <v>535144.16</v>
      </c>
      <c r="I402" s="87"/>
    </row>
    <row r="403">
      <c r="A403" s="46" t="str">
        <f>IFERROR(__xludf.DUMMYFUNCTION("""COMPUTED_VALUE"""),"Europe")</f>
        <v>Europe</v>
      </c>
      <c r="B403" s="46" t="str">
        <f>IFERROR(__xludf.DUMMYFUNCTION("""COMPUTED_VALUE"""),"Lithuania")</f>
        <v>Lithuania</v>
      </c>
      <c r="C403" s="46" t="str">
        <f>IFERROR(__xludf.DUMMYFUNCTION("""COMPUTED_VALUE"""),"Clothes")</f>
        <v>Clothes</v>
      </c>
      <c r="D403" s="46">
        <f>IFERROR(__xludf.DUMMYFUNCTION("""COMPUTED_VALUE"""),41.0)</f>
        <v>41</v>
      </c>
      <c r="E403" s="46">
        <f>IFERROR(__xludf.DUMMYFUNCTION("""COMPUTED_VALUE"""),3.78216636E8)</f>
        <v>378216636</v>
      </c>
      <c r="F403" s="84">
        <f>IFERROR(__xludf.DUMMYFUNCTION("""COMPUTED_VALUE"""),170695.36000000002)</f>
        <v>170695.36</v>
      </c>
      <c r="I403" s="87"/>
    </row>
    <row r="404">
      <c r="A404" s="46" t="str">
        <f>IFERROR(__xludf.DUMMYFUNCTION("""COMPUTED_VALUE"""),"Europe")</f>
        <v>Europe</v>
      </c>
      <c r="B404" s="46" t="str">
        <f>IFERROR(__xludf.DUMMYFUNCTION("""COMPUTED_VALUE"""),"Montenegro")</f>
        <v>Montenegro</v>
      </c>
      <c r="C404" s="46" t="str">
        <f>IFERROR(__xludf.DUMMYFUNCTION("""COMPUTED_VALUE"""),"Cosmetics")</f>
        <v>Cosmetics</v>
      </c>
      <c r="D404" s="46">
        <f>IFERROR(__xludf.DUMMYFUNCTION("""COMPUTED_VALUE"""),30.0)</f>
        <v>30</v>
      </c>
      <c r="E404" s="46">
        <f>IFERROR(__xludf.DUMMYFUNCTION("""COMPUTED_VALUE"""),3.78714883E8)</f>
        <v>378714883</v>
      </c>
      <c r="F404" s="84">
        <f>IFERROR(__xludf.DUMMYFUNCTION("""COMPUTED_VALUE"""),3936986.0)</f>
        <v>3936986</v>
      </c>
      <c r="I404" s="87"/>
    </row>
    <row r="405">
      <c r="A405" s="46" t="str">
        <f>IFERROR(__xludf.DUMMYFUNCTION("""COMPUTED_VALUE"""),"Europe")</f>
        <v>Europe</v>
      </c>
      <c r="B405" s="46" t="str">
        <f>IFERROR(__xludf.DUMMYFUNCTION("""COMPUTED_VALUE"""),"Andorra")</f>
        <v>Andorra</v>
      </c>
      <c r="C405" s="46" t="str">
        <f>IFERROR(__xludf.DUMMYFUNCTION("""COMPUTED_VALUE"""),"Beverages")</f>
        <v>Beverages</v>
      </c>
      <c r="D405" s="46">
        <f>IFERROR(__xludf.DUMMYFUNCTION("""COMPUTED_VALUE"""),3.0)</f>
        <v>3</v>
      </c>
      <c r="E405" s="46">
        <f>IFERROR(__xludf.DUMMYFUNCTION("""COMPUTED_VALUE"""),3.7887324E8)</f>
        <v>378873240</v>
      </c>
      <c r="F405" s="84">
        <f>IFERROR(__xludf.DUMMYFUNCTION("""COMPUTED_VALUE"""),278341.7)</f>
        <v>278341.7</v>
      </c>
      <c r="I405" s="87"/>
    </row>
    <row r="406">
      <c r="A406" s="46" t="str">
        <f>IFERROR(__xludf.DUMMYFUNCTION("""COMPUTED_VALUE"""),"Europe")</f>
        <v>Europe</v>
      </c>
      <c r="B406" s="46" t="str">
        <f>IFERROR(__xludf.DUMMYFUNCTION("""COMPUTED_VALUE"""),"Germany")</f>
        <v>Germany</v>
      </c>
      <c r="C406" s="46" t="str">
        <f>IFERROR(__xludf.DUMMYFUNCTION("""COMPUTED_VALUE"""),"Clothes")</f>
        <v>Clothes</v>
      </c>
      <c r="D406" s="46">
        <f>IFERROR(__xludf.DUMMYFUNCTION("""COMPUTED_VALUE"""),25.0)</f>
        <v>25</v>
      </c>
      <c r="E406" s="46">
        <f>IFERROR(__xludf.DUMMYFUNCTION("""COMPUTED_VALUE"""),3.79900634E8)</f>
        <v>379900634</v>
      </c>
      <c r="F406" s="84">
        <f>IFERROR(__xludf.DUMMYFUNCTION("""COMPUTED_VALUE"""),1081325.6)</f>
        <v>1081325.6</v>
      </c>
      <c r="I406" s="87"/>
    </row>
    <row r="407">
      <c r="A407" s="46" t="str">
        <f>IFERROR(__xludf.DUMMYFUNCTION("""COMPUTED_VALUE"""),"Europe")</f>
        <v>Europe</v>
      </c>
      <c r="B407" s="46" t="str">
        <f>IFERROR(__xludf.DUMMYFUNCTION("""COMPUTED_VALUE"""),"Albania")</f>
        <v>Albania</v>
      </c>
      <c r="C407" s="46" t="str">
        <f>IFERROR(__xludf.DUMMYFUNCTION("""COMPUTED_VALUE"""),"Household")</f>
        <v>Household</v>
      </c>
      <c r="D407" s="46">
        <f>IFERROR(__xludf.DUMMYFUNCTION("""COMPUTED_VALUE"""),2.0)</f>
        <v>2</v>
      </c>
      <c r="E407" s="46">
        <f>IFERROR(__xludf.DUMMYFUNCTION("""COMPUTED_VALUE"""),3.80379998E8)</f>
        <v>380379998</v>
      </c>
      <c r="F407" s="84">
        <f>IFERROR(__xludf.DUMMYFUNCTION("""COMPUTED_VALUE"""),1168804.23)</f>
        <v>1168804.23</v>
      </c>
      <c r="I407" s="87"/>
    </row>
    <row r="408">
      <c r="A408" s="46" t="str">
        <f>IFERROR(__xludf.DUMMYFUNCTION("""COMPUTED_VALUE"""),"Europe")</f>
        <v>Europe</v>
      </c>
      <c r="B408" s="46" t="str">
        <f>IFERROR(__xludf.DUMMYFUNCTION("""COMPUTED_VALUE"""),"Bulgaria")</f>
        <v>Bulgaria</v>
      </c>
      <c r="C408" s="46" t="str">
        <f>IFERROR(__xludf.DUMMYFUNCTION("""COMPUTED_VALUE"""),"Clothes")</f>
        <v>Clothes</v>
      </c>
      <c r="D408" s="46">
        <f>IFERROR(__xludf.DUMMYFUNCTION("""COMPUTED_VALUE"""),19.0)</f>
        <v>19</v>
      </c>
      <c r="E408" s="46">
        <f>IFERROR(__xludf.DUMMYFUNCTION("""COMPUTED_VALUE"""),3.80498874E8)</f>
        <v>380498874</v>
      </c>
      <c r="F408" s="84">
        <f>IFERROR(__xludf.DUMMYFUNCTION("""COMPUTED_VALUE"""),756982.56)</f>
        <v>756982.56</v>
      </c>
      <c r="I408" s="87"/>
    </row>
    <row r="409">
      <c r="A409" s="46" t="str">
        <f>IFERROR(__xludf.DUMMYFUNCTION("""COMPUTED_VALUE"""),"Europe")</f>
        <v>Europe</v>
      </c>
      <c r="B409" s="46" t="str">
        <f>IFERROR(__xludf.DUMMYFUNCTION("""COMPUTED_VALUE"""),"Serbia")</f>
        <v>Serbia</v>
      </c>
      <c r="C409" s="46" t="str">
        <f>IFERROR(__xludf.DUMMYFUNCTION("""COMPUTED_VALUE"""),"Meat")</f>
        <v>Meat</v>
      </c>
      <c r="D409" s="46">
        <f>IFERROR(__xludf.DUMMYFUNCTION("""COMPUTED_VALUE"""),8.0)</f>
        <v>8</v>
      </c>
      <c r="E409" s="46">
        <f>IFERROR(__xludf.DUMMYFUNCTION("""COMPUTED_VALUE"""),3.80610454E8)</f>
        <v>380610454</v>
      </c>
      <c r="F409" s="84">
        <f>IFERROR(__xludf.DUMMYFUNCTION("""COMPUTED_VALUE"""),4196117.9399999995)</f>
        <v>4196117.94</v>
      </c>
      <c r="I409" s="87"/>
    </row>
    <row r="410">
      <c r="A410" s="46" t="str">
        <f>IFERROR(__xludf.DUMMYFUNCTION("""COMPUTED_VALUE"""),"Europe")</f>
        <v>Europe</v>
      </c>
      <c r="B410" s="46" t="str">
        <f>IFERROR(__xludf.DUMMYFUNCTION("""COMPUTED_VALUE"""),"Luxembourg")</f>
        <v>Luxembourg</v>
      </c>
      <c r="C410" s="46" t="str">
        <f>IFERROR(__xludf.DUMMYFUNCTION("""COMPUTED_VALUE"""),"Cosmetics")</f>
        <v>Cosmetics</v>
      </c>
      <c r="D410" s="46">
        <f>IFERROR(__xludf.DUMMYFUNCTION("""COMPUTED_VALUE"""),24.0)</f>
        <v>24</v>
      </c>
      <c r="E410" s="46">
        <f>IFERROR(__xludf.DUMMYFUNCTION("""COMPUTED_VALUE"""),3.80684268E8)</f>
        <v>380684268</v>
      </c>
      <c r="F410" s="84">
        <f>IFERROR(__xludf.DUMMYFUNCTION("""COMPUTED_VALUE"""),782150.7999999999)</f>
        <v>782150.8</v>
      </c>
      <c r="I410" s="87"/>
    </row>
    <row r="411">
      <c r="A411" s="46" t="str">
        <f>IFERROR(__xludf.DUMMYFUNCTION("""COMPUTED_VALUE"""),"Europe")</f>
        <v>Europe</v>
      </c>
      <c r="B411" s="46" t="str">
        <f>IFERROR(__xludf.DUMMYFUNCTION("""COMPUTED_VALUE"""),"Andorra")</f>
        <v>Andorra</v>
      </c>
      <c r="C411" s="46" t="str">
        <f>IFERROR(__xludf.DUMMYFUNCTION("""COMPUTED_VALUE"""),"Baby Food")</f>
        <v>Baby Food</v>
      </c>
      <c r="D411" s="46">
        <f>IFERROR(__xludf.DUMMYFUNCTION("""COMPUTED_VALUE"""),37.0)</f>
        <v>37</v>
      </c>
      <c r="E411" s="46">
        <f>IFERROR(__xludf.DUMMYFUNCTION("""COMPUTED_VALUE"""),3.80733191E8)</f>
        <v>380733191</v>
      </c>
      <c r="F411" s="84">
        <f>IFERROR(__xludf.DUMMYFUNCTION("""COMPUTED_VALUE"""),1599839.76)</f>
        <v>1599839.76</v>
      </c>
      <c r="I411" s="87"/>
    </row>
    <row r="412">
      <c r="A412" s="46" t="str">
        <f>IFERROR(__xludf.DUMMYFUNCTION("""COMPUTED_VALUE"""),"Europe")</f>
        <v>Europe</v>
      </c>
      <c r="B412" s="46" t="str">
        <f>IFERROR(__xludf.DUMMYFUNCTION("""COMPUTED_VALUE"""),"Montenegro")</f>
        <v>Montenegro</v>
      </c>
      <c r="C412" s="46" t="str">
        <f>IFERROR(__xludf.DUMMYFUNCTION("""COMPUTED_VALUE"""),"Clothes")</f>
        <v>Clothes</v>
      </c>
      <c r="D412" s="46">
        <f>IFERROR(__xludf.DUMMYFUNCTION("""COMPUTED_VALUE"""),21.0)</f>
        <v>21</v>
      </c>
      <c r="E412" s="46">
        <f>IFERROR(__xludf.DUMMYFUNCTION("""COMPUTED_VALUE"""),3.81759297E8)</f>
        <v>381759297</v>
      </c>
      <c r="F412" s="84">
        <f>IFERROR(__xludf.DUMMYFUNCTION("""COMPUTED_VALUE"""),1083401.92)</f>
        <v>1083401.92</v>
      </c>
      <c r="I412" s="87"/>
    </row>
    <row r="413">
      <c r="A413" s="46" t="str">
        <f>IFERROR(__xludf.DUMMYFUNCTION("""COMPUTED_VALUE"""),"Europe")</f>
        <v>Europe</v>
      </c>
      <c r="B413" s="46" t="str">
        <f>IFERROR(__xludf.DUMMYFUNCTION("""COMPUTED_VALUE"""),"Norway")</f>
        <v>Norway</v>
      </c>
      <c r="C413" s="46" t="str">
        <f>IFERROR(__xludf.DUMMYFUNCTION("""COMPUTED_VALUE"""),"Fruits")</f>
        <v>Fruits</v>
      </c>
      <c r="D413" s="46">
        <f>IFERROR(__xludf.DUMMYFUNCTION("""COMPUTED_VALUE"""),17.0)</f>
        <v>17</v>
      </c>
      <c r="E413" s="46">
        <f>IFERROR(__xludf.DUMMYFUNCTION("""COMPUTED_VALUE"""),3.81774747E8)</f>
        <v>381774747</v>
      </c>
      <c r="F413" s="84">
        <f>IFERROR(__xludf.DUMMYFUNCTION("""COMPUTED_VALUE"""),41854.38)</f>
        <v>41854.38</v>
      </c>
      <c r="I413" s="87"/>
    </row>
    <row r="414">
      <c r="A414" s="46" t="str">
        <f>IFERROR(__xludf.DUMMYFUNCTION("""COMPUTED_VALUE"""),"Europe")</f>
        <v>Europe</v>
      </c>
      <c r="B414" s="46" t="str">
        <f>IFERROR(__xludf.DUMMYFUNCTION("""COMPUTED_VALUE"""),"Ireland")</f>
        <v>Ireland</v>
      </c>
      <c r="C414" s="46" t="str">
        <f>IFERROR(__xludf.DUMMYFUNCTION("""COMPUTED_VALUE"""),"Personal Care")</f>
        <v>Personal Care</v>
      </c>
      <c r="D414" s="46">
        <f>IFERROR(__xludf.DUMMYFUNCTION("""COMPUTED_VALUE"""),39.0)</f>
        <v>39</v>
      </c>
      <c r="E414" s="46">
        <f>IFERROR(__xludf.DUMMYFUNCTION("""COMPUTED_VALUE"""),3.82581126E8)</f>
        <v>382581126</v>
      </c>
      <c r="F414" s="84">
        <f>IFERROR(__xludf.DUMMYFUNCTION("""COMPUTED_VALUE"""),254343.76)</f>
        <v>254343.76</v>
      </c>
      <c r="I414" s="87"/>
    </row>
    <row r="415">
      <c r="A415" s="46" t="str">
        <f>IFERROR(__xludf.DUMMYFUNCTION("""COMPUTED_VALUE"""),"Europe")</f>
        <v>Europe</v>
      </c>
      <c r="B415" s="46" t="str">
        <f>IFERROR(__xludf.DUMMYFUNCTION("""COMPUTED_VALUE"""),"Belarus")</f>
        <v>Belarus</v>
      </c>
      <c r="C415" s="46" t="str">
        <f>IFERROR(__xludf.DUMMYFUNCTION("""COMPUTED_VALUE"""),"Clothes")</f>
        <v>Clothes</v>
      </c>
      <c r="D415" s="46">
        <f>IFERROR(__xludf.DUMMYFUNCTION("""COMPUTED_VALUE"""),35.0)</f>
        <v>35</v>
      </c>
      <c r="E415" s="46">
        <f>IFERROR(__xludf.DUMMYFUNCTION("""COMPUTED_VALUE"""),3.83611094E8)</f>
        <v>383611094</v>
      </c>
      <c r="F415" s="84">
        <f>IFERROR(__xludf.DUMMYFUNCTION("""COMPUTED_VALUE"""),863530.56)</f>
        <v>863530.56</v>
      </c>
      <c r="I415" s="87"/>
    </row>
    <row r="416">
      <c r="A416" s="46" t="str">
        <f>IFERROR(__xludf.DUMMYFUNCTION("""COMPUTED_VALUE"""),"Europe")</f>
        <v>Europe</v>
      </c>
      <c r="B416" s="46" t="str">
        <f>IFERROR(__xludf.DUMMYFUNCTION("""COMPUTED_VALUE"""),"Norway")</f>
        <v>Norway</v>
      </c>
      <c r="C416" s="46" t="str">
        <f>IFERROR(__xludf.DUMMYFUNCTION("""COMPUTED_VALUE"""),"Household")</f>
        <v>Household</v>
      </c>
      <c r="D416" s="46">
        <f>IFERROR(__xludf.DUMMYFUNCTION("""COMPUTED_VALUE"""),37.0)</f>
        <v>37</v>
      </c>
      <c r="E416" s="46">
        <f>IFERROR(__xludf.DUMMYFUNCTION("""COMPUTED_VALUE"""),3.84128224E8)</f>
        <v>384128224</v>
      </c>
      <c r="F416" s="84">
        <f>IFERROR(__xludf.DUMMYFUNCTION("""COMPUTED_VALUE"""),623495.91)</f>
        <v>623495.91</v>
      </c>
      <c r="I416" s="87"/>
    </row>
    <row r="417">
      <c r="A417" s="46" t="str">
        <f>IFERROR(__xludf.DUMMYFUNCTION("""COMPUTED_VALUE"""),"Europe")</f>
        <v>Europe</v>
      </c>
      <c r="B417" s="46" t="str">
        <f>IFERROR(__xludf.DUMMYFUNCTION("""COMPUTED_VALUE"""),"Austria")</f>
        <v>Austria</v>
      </c>
      <c r="C417" s="46" t="str">
        <f>IFERROR(__xludf.DUMMYFUNCTION("""COMPUTED_VALUE"""),"Vegetables")</f>
        <v>Vegetables</v>
      </c>
      <c r="D417" s="46">
        <f>IFERROR(__xludf.DUMMYFUNCTION("""COMPUTED_VALUE"""),45.0)</f>
        <v>45</v>
      </c>
      <c r="E417" s="46">
        <f>IFERROR(__xludf.DUMMYFUNCTION("""COMPUTED_VALUE"""),3.84483993E8)</f>
        <v>384483993</v>
      </c>
      <c r="F417" s="84">
        <f>IFERROR(__xludf.DUMMYFUNCTION("""COMPUTED_VALUE"""),957020.72)</f>
        <v>957020.72</v>
      </c>
      <c r="I417" s="87"/>
    </row>
    <row r="418">
      <c r="A418" s="46" t="str">
        <f>IFERROR(__xludf.DUMMYFUNCTION("""COMPUTED_VALUE"""),"Europe")</f>
        <v>Europe</v>
      </c>
      <c r="B418" s="46" t="str">
        <f>IFERROR(__xludf.DUMMYFUNCTION("""COMPUTED_VALUE"""),"Luxembourg")</f>
        <v>Luxembourg</v>
      </c>
      <c r="C418" s="46" t="str">
        <f>IFERROR(__xludf.DUMMYFUNCTION("""COMPUTED_VALUE"""),"Fruits")</f>
        <v>Fruits</v>
      </c>
      <c r="D418" s="46">
        <f>IFERROR(__xludf.DUMMYFUNCTION("""COMPUTED_VALUE"""),24.0)</f>
        <v>24</v>
      </c>
      <c r="E418" s="46">
        <f>IFERROR(__xludf.DUMMYFUNCTION("""COMPUTED_VALUE"""),3.84601581E8)</f>
        <v>384601581</v>
      </c>
      <c r="F418" s="84">
        <f>IFERROR(__xludf.DUMMYFUNCTION("""COMPUTED_VALUE"""),9413.97)</f>
        <v>9413.97</v>
      </c>
      <c r="I418" s="87"/>
    </row>
    <row r="419">
      <c r="A419" s="46" t="str">
        <f>IFERROR(__xludf.DUMMYFUNCTION("""COMPUTED_VALUE"""),"Europe")</f>
        <v>Europe</v>
      </c>
      <c r="B419" s="46" t="str">
        <f>IFERROR(__xludf.DUMMYFUNCTION("""COMPUTED_VALUE"""),"Iceland")</f>
        <v>Iceland</v>
      </c>
      <c r="C419" s="46" t="str">
        <f>IFERROR(__xludf.DUMMYFUNCTION("""COMPUTED_VALUE"""),"Office Supplies")</f>
        <v>Office Supplies</v>
      </c>
      <c r="D419" s="46">
        <f>IFERROR(__xludf.DUMMYFUNCTION("""COMPUTED_VALUE"""),44.0)</f>
        <v>44</v>
      </c>
      <c r="E419" s="46">
        <f>IFERROR(__xludf.DUMMYFUNCTION("""COMPUTED_VALUE"""),3.84976232E8)</f>
        <v>384976232</v>
      </c>
      <c r="F419" s="84">
        <f>IFERROR(__xludf.DUMMYFUNCTION("""COMPUTED_VALUE"""),1222321.1700000002)</f>
        <v>1222321.17</v>
      </c>
      <c r="I419" s="87"/>
    </row>
    <row r="420">
      <c r="A420" s="46" t="str">
        <f>IFERROR(__xludf.DUMMYFUNCTION("""COMPUTED_VALUE"""),"Asia")</f>
        <v>Asia</v>
      </c>
      <c r="B420" s="46" t="str">
        <f>IFERROR(__xludf.DUMMYFUNCTION("""COMPUTED_VALUE"""),"Cyprus")</f>
        <v>Cyprus</v>
      </c>
      <c r="C420" s="46" t="str">
        <f>IFERROR(__xludf.DUMMYFUNCTION("""COMPUTED_VALUE"""),"Cosmetics")</f>
        <v>Cosmetics</v>
      </c>
      <c r="D420" s="46">
        <f>IFERROR(__xludf.DUMMYFUNCTION("""COMPUTED_VALUE"""),1.0)</f>
        <v>1</v>
      </c>
      <c r="E420" s="46">
        <f>IFERROR(__xludf.DUMMYFUNCTION("""COMPUTED_VALUE"""),3.85080945E8)</f>
        <v>385080945</v>
      </c>
      <c r="F420" s="84">
        <f>IFERROR(__xludf.DUMMYFUNCTION("""COMPUTED_VALUE"""),1252140.8)</f>
        <v>1252140.8</v>
      </c>
      <c r="I420" s="87"/>
    </row>
    <row r="421">
      <c r="A421" s="46" t="str">
        <f>IFERROR(__xludf.DUMMYFUNCTION("""COMPUTED_VALUE"""),"Europe")</f>
        <v>Europe</v>
      </c>
      <c r="B421" s="46" t="str">
        <f>IFERROR(__xludf.DUMMYFUNCTION("""COMPUTED_VALUE"""),"Germany")</f>
        <v>Germany</v>
      </c>
      <c r="C421" s="46" t="str">
        <f>IFERROR(__xludf.DUMMYFUNCTION("""COMPUTED_VALUE"""),"Cosmetics")</f>
        <v>Cosmetics</v>
      </c>
      <c r="D421" s="46">
        <f>IFERROR(__xludf.DUMMYFUNCTION("""COMPUTED_VALUE"""),21.0)</f>
        <v>21</v>
      </c>
      <c r="E421" s="46">
        <f>IFERROR(__xludf.DUMMYFUNCTION("""COMPUTED_VALUE"""),3.85340154E8)</f>
        <v>385340154</v>
      </c>
      <c r="F421" s="84">
        <f>IFERROR(__xludf.DUMMYFUNCTION("""COMPUTED_VALUE"""),4183566.8)</f>
        <v>4183566.8</v>
      </c>
      <c r="I421" s="87"/>
    </row>
    <row r="422">
      <c r="A422" s="46" t="str">
        <f>IFERROR(__xludf.DUMMYFUNCTION("""COMPUTED_VALUE"""),"Europe")</f>
        <v>Europe</v>
      </c>
      <c r="B422" s="46" t="str">
        <f>IFERROR(__xludf.DUMMYFUNCTION("""COMPUTED_VALUE"""),"Lithuania")</f>
        <v>Lithuania</v>
      </c>
      <c r="C422" s="46" t="str">
        <f>IFERROR(__xludf.DUMMYFUNCTION("""COMPUTED_VALUE"""),"Personal Care")</f>
        <v>Personal Care</v>
      </c>
      <c r="D422" s="46">
        <f>IFERROR(__xludf.DUMMYFUNCTION("""COMPUTED_VALUE"""),5.0)</f>
        <v>5</v>
      </c>
      <c r="E422" s="46">
        <f>IFERROR(__xludf.DUMMYFUNCTION("""COMPUTED_VALUE"""),3.86009633E8)</f>
        <v>386009633</v>
      </c>
      <c r="F422" s="84">
        <f>IFERROR(__xludf.DUMMYFUNCTION("""COMPUTED_VALUE"""),627931.5900000001)</f>
        <v>627931.59</v>
      </c>
      <c r="I422" s="87"/>
    </row>
    <row r="423">
      <c r="A423" s="46" t="str">
        <f>IFERROR(__xludf.DUMMYFUNCTION("""COMPUTED_VALUE"""),"Europe")</f>
        <v>Europe</v>
      </c>
      <c r="B423" s="46" t="str">
        <f>IFERROR(__xludf.DUMMYFUNCTION("""COMPUTED_VALUE"""),"Spain")</f>
        <v>Spain</v>
      </c>
      <c r="C423" s="46" t="str">
        <f>IFERROR(__xludf.DUMMYFUNCTION("""COMPUTED_VALUE"""),"Vegetables")</f>
        <v>Vegetables</v>
      </c>
      <c r="D423" s="46">
        <f>IFERROR(__xludf.DUMMYFUNCTION("""COMPUTED_VALUE"""),17.0)</f>
        <v>17</v>
      </c>
      <c r="E423" s="46">
        <f>IFERROR(__xludf.DUMMYFUNCTION("""COMPUTED_VALUE"""),3.86319911E8)</f>
        <v>386319911</v>
      </c>
      <c r="F423" s="84">
        <f>IFERROR(__xludf.DUMMYFUNCTION("""COMPUTED_VALUE"""),1463724.06)</f>
        <v>1463724.06</v>
      </c>
      <c r="I423" s="87"/>
    </row>
    <row r="424">
      <c r="A424" s="46" t="str">
        <f>IFERROR(__xludf.DUMMYFUNCTION("""COMPUTED_VALUE"""),"Europe")</f>
        <v>Europe</v>
      </c>
      <c r="B424" s="46" t="str">
        <f>IFERROR(__xludf.DUMMYFUNCTION("""COMPUTED_VALUE"""),"Poland")</f>
        <v>Poland</v>
      </c>
      <c r="C424" s="46" t="str">
        <f>IFERROR(__xludf.DUMMYFUNCTION("""COMPUTED_VALUE"""),"Personal Care")</f>
        <v>Personal Care</v>
      </c>
      <c r="D424" s="46">
        <f>IFERROR(__xludf.DUMMYFUNCTION("""COMPUTED_VALUE"""),20.0)</f>
        <v>20</v>
      </c>
      <c r="E424" s="46">
        <f>IFERROR(__xludf.DUMMYFUNCTION("""COMPUTED_VALUE"""),3.86440074E8)</f>
        <v>386440074</v>
      </c>
      <c r="F424" s="84">
        <f>IFERROR(__xludf.DUMMYFUNCTION("""COMPUTED_VALUE"""),413553.80000000005)</f>
        <v>413553.8</v>
      </c>
      <c r="I424" s="87"/>
    </row>
    <row r="425">
      <c r="A425" s="46" t="str">
        <f>IFERROR(__xludf.DUMMYFUNCTION("""COMPUTED_VALUE"""),"Europe")</f>
        <v>Europe</v>
      </c>
      <c r="B425" s="46" t="str">
        <f>IFERROR(__xludf.DUMMYFUNCTION("""COMPUTED_VALUE"""),"Lithuania")</f>
        <v>Lithuania</v>
      </c>
      <c r="C425" s="46" t="str">
        <f>IFERROR(__xludf.DUMMYFUNCTION("""COMPUTED_VALUE"""),"Vegetables")</f>
        <v>Vegetables</v>
      </c>
      <c r="D425" s="46">
        <f>IFERROR(__xludf.DUMMYFUNCTION("""COMPUTED_VALUE"""),9.0)</f>
        <v>9</v>
      </c>
      <c r="E425" s="46">
        <f>IFERROR(__xludf.DUMMYFUNCTION("""COMPUTED_VALUE"""),3.86601865E8)</f>
        <v>386601865</v>
      </c>
      <c r="F425" s="84">
        <f>IFERROR(__xludf.DUMMYFUNCTION("""COMPUTED_VALUE"""),452628.28)</f>
        <v>452628.28</v>
      </c>
      <c r="I425" s="87"/>
    </row>
    <row r="426">
      <c r="A426" s="46" t="str">
        <f>IFERROR(__xludf.DUMMYFUNCTION("""COMPUTED_VALUE"""),"Europe")</f>
        <v>Europe</v>
      </c>
      <c r="B426" s="46" t="str">
        <f>IFERROR(__xludf.DUMMYFUNCTION("""COMPUTED_VALUE"""),"United Kingdom")</f>
        <v>United Kingdom</v>
      </c>
      <c r="C426" s="46" t="str">
        <f>IFERROR(__xludf.DUMMYFUNCTION("""COMPUTED_VALUE"""),"Personal Care")</f>
        <v>Personal Care</v>
      </c>
      <c r="D426" s="46">
        <f>IFERROR(__xludf.DUMMYFUNCTION("""COMPUTED_VALUE"""),12.0)</f>
        <v>12</v>
      </c>
      <c r="E426" s="46">
        <f>IFERROR(__xludf.DUMMYFUNCTION("""COMPUTED_VALUE"""),3.87098824E8)</f>
        <v>387098824</v>
      </c>
      <c r="F426" s="84">
        <f>IFERROR(__xludf.DUMMYFUNCTION("""COMPUTED_VALUE"""),817218.27)</f>
        <v>817218.27</v>
      </c>
      <c r="I426" s="87"/>
    </row>
    <row r="427">
      <c r="A427" s="46" t="str">
        <f>IFERROR(__xludf.DUMMYFUNCTION("""COMPUTED_VALUE"""),"Europe")</f>
        <v>Europe</v>
      </c>
      <c r="B427" s="46" t="str">
        <f>IFERROR(__xludf.DUMMYFUNCTION("""COMPUTED_VALUE"""),"Bosnia and Herzegovina")</f>
        <v>Bosnia and Herzegovina</v>
      </c>
      <c r="C427" s="46" t="str">
        <f>IFERROR(__xludf.DUMMYFUNCTION("""COMPUTED_VALUE"""),"Snacks")</f>
        <v>Snacks</v>
      </c>
      <c r="D427" s="46">
        <f>IFERROR(__xludf.DUMMYFUNCTION("""COMPUTED_VALUE"""),40.0)</f>
        <v>40</v>
      </c>
      <c r="E427" s="46">
        <f>IFERROR(__xludf.DUMMYFUNCTION("""COMPUTED_VALUE"""),3.8872832E8)</f>
        <v>388728320</v>
      </c>
      <c r="F427" s="84">
        <f>IFERROR(__xludf.DUMMYFUNCTION("""COMPUTED_VALUE"""),336133.74000000005)</f>
        <v>336133.74</v>
      </c>
      <c r="I427" s="87"/>
    </row>
    <row r="428">
      <c r="A428" s="46" t="str">
        <f>IFERROR(__xludf.DUMMYFUNCTION("""COMPUTED_VALUE"""),"Europe")</f>
        <v>Europe</v>
      </c>
      <c r="B428" s="46" t="str">
        <f>IFERROR(__xludf.DUMMYFUNCTION("""COMPUTED_VALUE"""),"Spain")</f>
        <v>Spain</v>
      </c>
      <c r="C428" s="46" t="str">
        <f>IFERROR(__xludf.DUMMYFUNCTION("""COMPUTED_VALUE"""),"Cosmetics")</f>
        <v>Cosmetics</v>
      </c>
      <c r="D428" s="46">
        <f>IFERROR(__xludf.DUMMYFUNCTION("""COMPUTED_VALUE"""),5.0)</f>
        <v>5</v>
      </c>
      <c r="E428" s="46">
        <f>IFERROR(__xludf.DUMMYFUNCTION("""COMPUTED_VALUE"""),3.91026866E8)</f>
        <v>391026866</v>
      </c>
      <c r="F428" s="84">
        <f>IFERROR(__xludf.DUMMYFUNCTION("""COMPUTED_VALUE"""),1046656.7999999999)</f>
        <v>1046656.8</v>
      </c>
      <c r="I428" s="87"/>
    </row>
    <row r="429">
      <c r="A429" s="46" t="str">
        <f>IFERROR(__xludf.DUMMYFUNCTION("""COMPUTED_VALUE"""),"Europe")</f>
        <v>Europe</v>
      </c>
      <c r="B429" s="46" t="str">
        <f>IFERROR(__xludf.DUMMYFUNCTION("""COMPUTED_VALUE"""),"France")</f>
        <v>France</v>
      </c>
      <c r="C429" s="46" t="str">
        <f>IFERROR(__xludf.DUMMYFUNCTION("""COMPUTED_VALUE"""),"Office Supplies")</f>
        <v>Office Supplies</v>
      </c>
      <c r="D429" s="46">
        <f>IFERROR(__xludf.DUMMYFUNCTION("""COMPUTED_VALUE"""),25.0)</f>
        <v>25</v>
      </c>
      <c r="E429" s="46">
        <f>IFERROR(__xludf.DUMMYFUNCTION("""COMPUTED_VALUE"""),3.91200673E8)</f>
        <v>391200673</v>
      </c>
      <c r="F429" s="84">
        <f>IFERROR(__xludf.DUMMYFUNCTION("""COMPUTED_VALUE"""),2492180.67)</f>
        <v>2492180.67</v>
      </c>
      <c r="I429" s="87"/>
    </row>
    <row r="430">
      <c r="A430" s="46" t="str">
        <f>IFERROR(__xludf.DUMMYFUNCTION("""COMPUTED_VALUE"""),"Asia")</f>
        <v>Asia</v>
      </c>
      <c r="B430" s="46" t="str">
        <f>IFERROR(__xludf.DUMMYFUNCTION("""COMPUTED_VALUE"""),"Georgia")</f>
        <v>Georgia</v>
      </c>
      <c r="C430" s="46" t="str">
        <f>IFERROR(__xludf.DUMMYFUNCTION("""COMPUTED_VALUE"""),"Cereal")</f>
        <v>Cereal</v>
      </c>
      <c r="D430" s="46">
        <f>IFERROR(__xludf.DUMMYFUNCTION("""COMPUTED_VALUE"""),11.0)</f>
        <v>11</v>
      </c>
      <c r="E430" s="46">
        <f>IFERROR(__xludf.DUMMYFUNCTION("""COMPUTED_VALUE"""),3.91849982E8)</f>
        <v>391849982</v>
      </c>
      <c r="F430" s="84">
        <f>IFERROR(__xludf.DUMMYFUNCTION("""COMPUTED_VALUE"""),1228440.4)</f>
        <v>1228440.4</v>
      </c>
      <c r="I430" s="87"/>
    </row>
    <row r="431">
      <c r="A431" s="46" t="str">
        <f>IFERROR(__xludf.DUMMYFUNCTION("""COMPUTED_VALUE"""),"Europe")</f>
        <v>Europe</v>
      </c>
      <c r="B431" s="46" t="str">
        <f>IFERROR(__xludf.DUMMYFUNCTION("""COMPUTED_VALUE"""),"Norway")</f>
        <v>Norway</v>
      </c>
      <c r="C431" s="46" t="str">
        <f>IFERROR(__xludf.DUMMYFUNCTION("""COMPUTED_VALUE"""),"Snacks")</f>
        <v>Snacks</v>
      </c>
      <c r="D431" s="46">
        <f>IFERROR(__xludf.DUMMYFUNCTION("""COMPUTED_VALUE"""),3.0)</f>
        <v>3</v>
      </c>
      <c r="E431" s="46">
        <f>IFERROR(__xludf.DUMMYFUNCTION("""COMPUTED_VALUE"""),3.92217338E8)</f>
        <v>392217338</v>
      </c>
      <c r="F431" s="84">
        <f>IFERROR(__xludf.DUMMYFUNCTION("""COMPUTED_VALUE"""),714226.9800000001)</f>
        <v>714226.98</v>
      </c>
      <c r="I431" s="87"/>
    </row>
    <row r="432">
      <c r="A432" s="46" t="str">
        <f>IFERROR(__xludf.DUMMYFUNCTION("""COMPUTED_VALUE"""),"Europe")</f>
        <v>Europe</v>
      </c>
      <c r="B432" s="46" t="str">
        <f>IFERROR(__xludf.DUMMYFUNCTION("""COMPUTED_VALUE"""),"Spain")</f>
        <v>Spain</v>
      </c>
      <c r="C432" s="46" t="str">
        <f>IFERROR(__xludf.DUMMYFUNCTION("""COMPUTED_VALUE"""),"Cereal")</f>
        <v>Cereal</v>
      </c>
      <c r="D432" s="46">
        <f>IFERROR(__xludf.DUMMYFUNCTION("""COMPUTED_VALUE"""),49.0)</f>
        <v>49</v>
      </c>
      <c r="E432" s="46">
        <f>IFERROR(__xludf.DUMMYFUNCTION("""COMPUTED_VALUE"""),3.92252957E8)</f>
        <v>392252957</v>
      </c>
      <c r="F432" s="84">
        <f>IFERROR(__xludf.DUMMYFUNCTION("""COMPUTED_VALUE"""),1074165.4)</f>
        <v>1074165.4</v>
      </c>
      <c r="I432" s="87"/>
    </row>
    <row r="433">
      <c r="A433" s="46" t="str">
        <f>IFERROR(__xludf.DUMMYFUNCTION("""COMPUTED_VALUE"""),"Europe")</f>
        <v>Europe</v>
      </c>
      <c r="B433" s="46" t="str">
        <f>IFERROR(__xludf.DUMMYFUNCTION("""COMPUTED_VALUE"""),"Serbia")</f>
        <v>Serbia</v>
      </c>
      <c r="C433" s="46" t="str">
        <f>IFERROR(__xludf.DUMMYFUNCTION("""COMPUTED_VALUE"""),"Vegetables")</f>
        <v>Vegetables</v>
      </c>
      <c r="D433" s="46">
        <f>IFERROR(__xludf.DUMMYFUNCTION("""COMPUTED_VALUE"""),8.0)</f>
        <v>8</v>
      </c>
      <c r="E433" s="46">
        <f>IFERROR(__xludf.DUMMYFUNCTION("""COMPUTED_VALUE"""),3.92518174E8)</f>
        <v>392518174</v>
      </c>
      <c r="F433" s="84">
        <f>IFERROR(__xludf.DUMMYFUNCTION("""COMPUTED_VALUE"""),570792.3)</f>
        <v>570792.3</v>
      </c>
      <c r="I433" s="87"/>
    </row>
    <row r="434">
      <c r="A434" s="46" t="str">
        <f>IFERROR(__xludf.DUMMYFUNCTION("""COMPUTED_VALUE"""),"Asia")</f>
        <v>Asia</v>
      </c>
      <c r="B434" s="46" t="str">
        <f>IFERROR(__xludf.DUMMYFUNCTION("""COMPUTED_VALUE"""),"Cyprus")</f>
        <v>Cyprus</v>
      </c>
      <c r="C434" s="46" t="str">
        <f>IFERROR(__xludf.DUMMYFUNCTION("""COMPUTED_VALUE"""),"Cereal")</f>
        <v>Cereal</v>
      </c>
      <c r="D434" s="46">
        <f>IFERROR(__xludf.DUMMYFUNCTION("""COMPUTED_VALUE"""),32.0)</f>
        <v>32</v>
      </c>
      <c r="E434" s="46">
        <f>IFERROR(__xludf.DUMMYFUNCTION("""COMPUTED_VALUE"""),3.92676532E8)</f>
        <v>392676532</v>
      </c>
      <c r="F434" s="84">
        <f>IFERROR(__xludf.DUMMYFUNCTION("""COMPUTED_VALUE"""),116631.9)</f>
        <v>116631.9</v>
      </c>
      <c r="I434" s="87"/>
    </row>
    <row r="435">
      <c r="A435" s="46" t="str">
        <f>IFERROR(__xludf.DUMMYFUNCTION("""COMPUTED_VALUE"""),"Europe")</f>
        <v>Europe</v>
      </c>
      <c r="B435" s="46" t="str">
        <f>IFERROR(__xludf.DUMMYFUNCTION("""COMPUTED_VALUE"""),"Netherlands")</f>
        <v>Netherlands</v>
      </c>
      <c r="C435" s="46" t="str">
        <f>IFERROR(__xludf.DUMMYFUNCTION("""COMPUTED_VALUE"""),"Personal Care")</f>
        <v>Personal Care</v>
      </c>
      <c r="D435" s="46">
        <f>IFERROR(__xludf.DUMMYFUNCTION("""COMPUTED_VALUE"""),26.0)</f>
        <v>26</v>
      </c>
      <c r="E435" s="46">
        <f>IFERROR(__xludf.DUMMYFUNCTION("""COMPUTED_VALUE"""),3.92752492E8)</f>
        <v>392752492</v>
      </c>
      <c r="F435" s="84">
        <f>IFERROR(__xludf.DUMMYFUNCTION("""COMPUTED_VALUE"""),248867.85)</f>
        <v>248867.85</v>
      </c>
      <c r="I435" s="87"/>
    </row>
    <row r="436">
      <c r="A436" s="46" t="str">
        <f>IFERROR(__xludf.DUMMYFUNCTION("""COMPUTED_VALUE"""),"Europe")</f>
        <v>Europe</v>
      </c>
      <c r="B436" s="46" t="str">
        <f>IFERROR(__xludf.DUMMYFUNCTION("""COMPUTED_VALUE"""),"France")</f>
        <v>France</v>
      </c>
      <c r="C436" s="46" t="str">
        <f>IFERROR(__xludf.DUMMYFUNCTION("""COMPUTED_VALUE"""),"Fruits")</f>
        <v>Fruits</v>
      </c>
      <c r="D436" s="46">
        <f>IFERROR(__xludf.DUMMYFUNCTION("""COMPUTED_VALUE"""),44.0)</f>
        <v>44</v>
      </c>
      <c r="E436" s="46">
        <f>IFERROR(__xludf.DUMMYFUNCTION("""COMPUTED_VALUE"""),3.93709933E8)</f>
        <v>393709933</v>
      </c>
      <c r="F436" s="84">
        <f>IFERROR(__xludf.DUMMYFUNCTION("""COMPUTED_VALUE"""),59460.090000000004)</f>
        <v>59460.09</v>
      </c>
      <c r="I436" s="87"/>
    </row>
    <row r="437">
      <c r="A437" s="46" t="str">
        <f>IFERROR(__xludf.DUMMYFUNCTION("""COMPUTED_VALUE"""),"Europe")</f>
        <v>Europe</v>
      </c>
      <c r="B437" s="46" t="str">
        <f>IFERROR(__xludf.DUMMYFUNCTION("""COMPUTED_VALUE"""),"Serbia")</f>
        <v>Serbia</v>
      </c>
      <c r="C437" s="46" t="str">
        <f>IFERROR(__xludf.DUMMYFUNCTION("""COMPUTED_VALUE"""),"Clothes")</f>
        <v>Clothes</v>
      </c>
      <c r="D437" s="46">
        <f>IFERROR(__xludf.DUMMYFUNCTION("""COMPUTED_VALUE"""),19.0)</f>
        <v>19</v>
      </c>
      <c r="E437" s="46">
        <f>IFERROR(__xludf.DUMMYFUNCTION("""COMPUTED_VALUE"""),3.93842971E8)</f>
        <v>393842971</v>
      </c>
      <c r="F437" s="84">
        <f>IFERROR(__xludf.DUMMYFUNCTION("""COMPUTED_VALUE"""),627485.76)</f>
        <v>627485.76</v>
      </c>
      <c r="I437" s="87"/>
    </row>
    <row r="438">
      <c r="A438" s="46" t="str">
        <f>IFERROR(__xludf.DUMMYFUNCTION("""COMPUTED_VALUE"""),"Europe")</f>
        <v>Europe</v>
      </c>
      <c r="B438" s="46" t="str">
        <f>IFERROR(__xludf.DUMMYFUNCTION("""COMPUTED_VALUE"""),"Slovakia")</f>
        <v>Slovakia</v>
      </c>
      <c r="C438" s="46" t="str">
        <f>IFERROR(__xludf.DUMMYFUNCTION("""COMPUTED_VALUE"""),"Fruits")</f>
        <v>Fruits</v>
      </c>
      <c r="D438" s="46">
        <f>IFERROR(__xludf.DUMMYFUNCTION("""COMPUTED_VALUE"""),15.0)</f>
        <v>15</v>
      </c>
      <c r="E438" s="46">
        <f>IFERROR(__xludf.DUMMYFUNCTION("""COMPUTED_VALUE"""),3.9385842E8)</f>
        <v>393858420</v>
      </c>
      <c r="F438" s="84">
        <f>IFERROR(__xludf.DUMMYFUNCTION("""COMPUTED_VALUE"""),2929.62)</f>
        <v>2929.62</v>
      </c>
      <c r="I438" s="87"/>
    </row>
    <row r="439">
      <c r="A439" s="46" t="str">
        <f>IFERROR(__xludf.DUMMYFUNCTION("""COMPUTED_VALUE"""),"Europe")</f>
        <v>Europe</v>
      </c>
      <c r="B439" s="46" t="str">
        <f>IFERROR(__xludf.DUMMYFUNCTION("""COMPUTED_VALUE"""),"Belgium")</f>
        <v>Belgium</v>
      </c>
      <c r="C439" s="46" t="str">
        <f>IFERROR(__xludf.DUMMYFUNCTION("""COMPUTED_VALUE"""),"Vegetables")</f>
        <v>Vegetables</v>
      </c>
      <c r="D439" s="46">
        <f>IFERROR(__xludf.DUMMYFUNCTION("""COMPUTED_VALUE"""),3.0)</f>
        <v>3</v>
      </c>
      <c r="E439" s="46">
        <f>IFERROR(__xludf.DUMMYFUNCTION("""COMPUTED_VALUE"""),3.94110763E8)</f>
        <v>394110763</v>
      </c>
      <c r="F439" s="84">
        <f>IFERROR(__xludf.DUMMYFUNCTION("""COMPUTED_VALUE"""),768451.28)</f>
        <v>768451.28</v>
      </c>
      <c r="I439" s="87"/>
    </row>
    <row r="440">
      <c r="A440" s="46" t="str">
        <f>IFERROR(__xludf.DUMMYFUNCTION("""COMPUTED_VALUE"""),"Europe")</f>
        <v>Europe</v>
      </c>
      <c r="B440" s="46" t="str">
        <f>IFERROR(__xludf.DUMMYFUNCTION("""COMPUTED_VALUE"""),"United Kingdom")</f>
        <v>United Kingdom</v>
      </c>
      <c r="C440" s="46" t="str">
        <f>IFERROR(__xludf.DUMMYFUNCTION("""COMPUTED_VALUE"""),"Household")</f>
        <v>Household</v>
      </c>
      <c r="D440" s="46">
        <f>IFERROR(__xludf.DUMMYFUNCTION("""COMPUTED_VALUE"""),5.0)</f>
        <v>5</v>
      </c>
      <c r="E440" s="46">
        <f>IFERROR(__xludf.DUMMYFUNCTION("""COMPUTED_VALUE"""),3.94356667E8)</f>
        <v>394356667</v>
      </c>
      <c r="F440" s="84">
        <f>IFERROR(__xludf.DUMMYFUNCTION("""COMPUTED_VALUE"""),5183102.12)</f>
        <v>5183102.12</v>
      </c>
      <c r="I440" s="87"/>
    </row>
    <row r="441">
      <c r="A441" s="46" t="str">
        <f>IFERROR(__xludf.DUMMYFUNCTION("""COMPUTED_VALUE"""),"Europe")</f>
        <v>Europe</v>
      </c>
      <c r="B441" s="46" t="str">
        <f>IFERROR(__xludf.DUMMYFUNCTION("""COMPUTED_VALUE"""),"Montenegro")</f>
        <v>Montenegro</v>
      </c>
      <c r="C441" s="46" t="str">
        <f>IFERROR(__xludf.DUMMYFUNCTION("""COMPUTED_VALUE"""),"Fruits")</f>
        <v>Fruits</v>
      </c>
      <c r="D441" s="46">
        <f>IFERROR(__xludf.DUMMYFUNCTION("""COMPUTED_VALUE"""),9.0)</f>
        <v>9</v>
      </c>
      <c r="E441" s="46">
        <f>IFERROR(__xludf.DUMMYFUNCTION("""COMPUTED_VALUE"""),3.9445666E8)</f>
        <v>394456660</v>
      </c>
      <c r="F441" s="84">
        <f>IFERROR(__xludf.DUMMYFUNCTION("""COMPUTED_VALUE"""),68538.18000000001)</f>
        <v>68538.18</v>
      </c>
      <c r="I441" s="87"/>
    </row>
    <row r="442">
      <c r="A442" s="46" t="str">
        <f>IFERROR(__xludf.DUMMYFUNCTION("""COMPUTED_VALUE"""),"Europe")</f>
        <v>Europe</v>
      </c>
      <c r="B442" s="46" t="str">
        <f>IFERROR(__xludf.DUMMYFUNCTION("""COMPUTED_VALUE"""),"Serbia")</f>
        <v>Serbia</v>
      </c>
      <c r="C442" s="46" t="str">
        <f>IFERROR(__xludf.DUMMYFUNCTION("""COMPUTED_VALUE"""),"Beverages")</f>
        <v>Beverages</v>
      </c>
      <c r="D442" s="46">
        <f>IFERROR(__xludf.DUMMYFUNCTION("""COMPUTED_VALUE"""),50.0)</f>
        <v>50</v>
      </c>
      <c r="E442" s="46">
        <f>IFERROR(__xludf.DUMMYFUNCTION("""COMPUTED_VALUE"""),3.95562589E8)</f>
        <v>395562589</v>
      </c>
      <c r="F442" s="84">
        <f>IFERROR(__xludf.DUMMYFUNCTION("""COMPUTED_VALUE"""),218981.75)</f>
        <v>218981.75</v>
      </c>
      <c r="I442" s="87"/>
    </row>
    <row r="443">
      <c r="A443" s="46" t="str">
        <f>IFERROR(__xludf.DUMMYFUNCTION("""COMPUTED_VALUE"""),"Europe")</f>
        <v>Europe</v>
      </c>
      <c r="B443" s="46" t="str">
        <f>IFERROR(__xludf.DUMMYFUNCTION("""COMPUTED_VALUE"""),"Ireland")</f>
        <v>Ireland</v>
      </c>
      <c r="C443" s="46" t="str">
        <f>IFERROR(__xludf.DUMMYFUNCTION("""COMPUTED_VALUE"""),"Personal Care")</f>
        <v>Personal Care</v>
      </c>
      <c r="D443" s="46">
        <f>IFERROR(__xludf.DUMMYFUNCTION("""COMPUTED_VALUE"""),36.0)</f>
        <v>36</v>
      </c>
      <c r="E443" s="46">
        <f>IFERROR(__xludf.DUMMYFUNCTION("""COMPUTED_VALUE"""),3.96462953E8)</f>
        <v>396462953</v>
      </c>
      <c r="F443" s="84">
        <f>IFERROR(__xludf.DUMMYFUNCTION("""COMPUTED_VALUE"""),86061.69)</f>
        <v>86061.69</v>
      </c>
      <c r="I443" s="87"/>
    </row>
    <row r="444">
      <c r="A444" s="46" t="str">
        <f>IFERROR(__xludf.DUMMYFUNCTION("""COMPUTED_VALUE"""),"Asia")</f>
        <v>Asia</v>
      </c>
      <c r="B444" s="46" t="str">
        <f>IFERROR(__xludf.DUMMYFUNCTION("""COMPUTED_VALUE"""),"Cyprus")</f>
        <v>Cyprus</v>
      </c>
      <c r="C444" s="46" t="str">
        <f>IFERROR(__xludf.DUMMYFUNCTION("""COMPUTED_VALUE"""),"Clothes")</f>
        <v>Clothes</v>
      </c>
      <c r="D444" s="46">
        <f>IFERROR(__xludf.DUMMYFUNCTION("""COMPUTED_VALUE"""),47.0)</f>
        <v>47</v>
      </c>
      <c r="E444" s="46">
        <f>IFERROR(__xludf.DUMMYFUNCTION("""COMPUTED_VALUE"""),3.96552217E8)</f>
        <v>396552217</v>
      </c>
      <c r="F444" s="84">
        <f>IFERROR(__xludf.DUMMYFUNCTION("""COMPUTED_VALUE"""),816103.04)</f>
        <v>816103.04</v>
      </c>
      <c r="I444" s="87"/>
    </row>
    <row r="445">
      <c r="A445" s="46" t="str">
        <f>IFERROR(__xludf.DUMMYFUNCTION("""COMPUTED_VALUE"""),"Europe")</f>
        <v>Europe</v>
      </c>
      <c r="B445" s="46" t="str">
        <f>IFERROR(__xludf.DUMMYFUNCTION("""COMPUTED_VALUE"""),"Bosnia and Herzegovina")</f>
        <v>Bosnia and Herzegovina</v>
      </c>
      <c r="C445" s="46" t="str">
        <f>IFERROR(__xludf.DUMMYFUNCTION("""COMPUTED_VALUE"""),"Personal Care")</f>
        <v>Personal Care</v>
      </c>
      <c r="D445" s="46">
        <f>IFERROR(__xludf.DUMMYFUNCTION("""COMPUTED_VALUE"""),39.0)</f>
        <v>39</v>
      </c>
      <c r="E445" s="46">
        <f>IFERROR(__xludf.DUMMYFUNCTION("""COMPUTED_VALUE"""),3.96718728E8)</f>
        <v>396718728</v>
      </c>
      <c r="F445" s="84">
        <f>IFERROR(__xludf.DUMMYFUNCTION("""COMPUTED_VALUE"""),551023.66)</f>
        <v>551023.66</v>
      </c>
      <c r="I445" s="87"/>
    </row>
    <row r="446">
      <c r="A446" s="46" t="str">
        <f>IFERROR(__xludf.DUMMYFUNCTION("""COMPUTED_VALUE"""),"Europe")</f>
        <v>Europe</v>
      </c>
      <c r="B446" s="46" t="str">
        <f>IFERROR(__xludf.DUMMYFUNCTION("""COMPUTED_VALUE"""),"Croatia")</f>
        <v>Croatia</v>
      </c>
      <c r="C446" s="46" t="str">
        <f>IFERROR(__xludf.DUMMYFUNCTION("""COMPUTED_VALUE"""),"Personal Care")</f>
        <v>Personal Care</v>
      </c>
      <c r="D446" s="46">
        <f>IFERROR(__xludf.DUMMYFUNCTION("""COMPUTED_VALUE"""),2.0)</f>
        <v>2</v>
      </c>
      <c r="E446" s="46">
        <f>IFERROR(__xludf.DUMMYFUNCTION("""COMPUTED_VALUE"""),3.96832883E8)</f>
        <v>396832883</v>
      </c>
      <c r="F446" s="84">
        <f>IFERROR(__xludf.DUMMYFUNCTION("""COMPUTED_VALUE"""),42744.79)</f>
        <v>42744.79</v>
      </c>
      <c r="I446" s="87"/>
    </row>
    <row r="447">
      <c r="A447" s="46" t="str">
        <f>IFERROR(__xludf.DUMMYFUNCTION("""COMPUTED_VALUE"""),"Europe")</f>
        <v>Europe</v>
      </c>
      <c r="B447" s="46" t="str">
        <f>IFERROR(__xludf.DUMMYFUNCTION("""COMPUTED_VALUE"""),"Slovakia")</f>
        <v>Slovakia</v>
      </c>
      <c r="C447" s="46" t="str">
        <f>IFERROR(__xludf.DUMMYFUNCTION("""COMPUTED_VALUE"""),"Beverages")</f>
        <v>Beverages</v>
      </c>
      <c r="D447" s="46">
        <f>IFERROR(__xludf.DUMMYFUNCTION("""COMPUTED_VALUE"""),33.0)</f>
        <v>33</v>
      </c>
      <c r="E447" s="46">
        <f>IFERROR(__xludf.DUMMYFUNCTION("""COMPUTED_VALUE"""),3.97874438E8)</f>
        <v>397874438</v>
      </c>
      <c r="F447" s="84">
        <f>IFERROR(__xludf.DUMMYFUNCTION("""COMPUTED_VALUE"""),414855.35000000003)</f>
        <v>414855.35</v>
      </c>
      <c r="I447" s="87"/>
    </row>
    <row r="448">
      <c r="A448" s="46" t="str">
        <f>IFERROR(__xludf.DUMMYFUNCTION("""COMPUTED_VALUE"""),"Europe")</f>
        <v>Europe</v>
      </c>
      <c r="B448" s="46" t="str">
        <f>IFERROR(__xludf.DUMMYFUNCTION("""COMPUTED_VALUE"""),"Malta")</f>
        <v>Malta</v>
      </c>
      <c r="C448" s="46" t="str">
        <f>IFERROR(__xludf.DUMMYFUNCTION("""COMPUTED_VALUE"""),"Baby Food")</f>
        <v>Baby Food</v>
      </c>
      <c r="D448" s="46">
        <f>IFERROR(__xludf.DUMMYFUNCTION("""COMPUTED_VALUE"""),48.0)</f>
        <v>48</v>
      </c>
      <c r="E448" s="46">
        <f>IFERROR(__xludf.DUMMYFUNCTION("""COMPUTED_VALUE"""),3.98104035E8)</f>
        <v>398104035</v>
      </c>
      <c r="F448" s="84">
        <f>IFERROR(__xludf.DUMMYFUNCTION("""COMPUTED_VALUE"""),1706802.08)</f>
        <v>1706802.08</v>
      </c>
      <c r="I448" s="87"/>
    </row>
    <row r="449">
      <c r="A449" s="46" t="str">
        <f>IFERROR(__xludf.DUMMYFUNCTION("""COMPUTED_VALUE"""),"Europe")</f>
        <v>Europe</v>
      </c>
      <c r="B449" s="46" t="str">
        <f>IFERROR(__xludf.DUMMYFUNCTION("""COMPUTED_VALUE"""),"Germany")</f>
        <v>Germany</v>
      </c>
      <c r="C449" s="46" t="str">
        <f>IFERROR(__xludf.DUMMYFUNCTION("""COMPUTED_VALUE"""),"Cereal")</f>
        <v>Cereal</v>
      </c>
      <c r="D449" s="46">
        <f>IFERROR(__xludf.DUMMYFUNCTION("""COMPUTED_VALUE"""),11.0)</f>
        <v>11</v>
      </c>
      <c r="E449" s="46">
        <f>IFERROR(__xludf.DUMMYFUNCTION("""COMPUTED_VALUE"""),3.98333632E8)</f>
        <v>398333632</v>
      </c>
      <c r="F449" s="84">
        <f>IFERROR(__xludf.DUMMYFUNCTION("""COMPUTED_VALUE"""),952185.2999999999)</f>
        <v>952185.3</v>
      </c>
      <c r="I449" s="87"/>
    </row>
    <row r="450">
      <c r="A450" s="46" t="str">
        <f>IFERROR(__xludf.DUMMYFUNCTION("""COMPUTED_VALUE"""),"Europe")</f>
        <v>Europe</v>
      </c>
      <c r="B450" s="46" t="str">
        <f>IFERROR(__xludf.DUMMYFUNCTION("""COMPUTED_VALUE"""),"Hungary")</f>
        <v>Hungary</v>
      </c>
      <c r="C450" s="46" t="str">
        <f>IFERROR(__xludf.DUMMYFUNCTION("""COMPUTED_VALUE"""),"Baby Food")</f>
        <v>Baby Food</v>
      </c>
      <c r="D450" s="46">
        <f>IFERROR(__xludf.DUMMYFUNCTION("""COMPUTED_VALUE"""),9.0)</f>
        <v>9</v>
      </c>
      <c r="E450" s="46">
        <f>IFERROR(__xludf.DUMMYFUNCTION("""COMPUTED_VALUE"""),3.98645198E8)</f>
        <v>398645198</v>
      </c>
      <c r="F450" s="84">
        <f>IFERROR(__xludf.DUMMYFUNCTION("""COMPUTED_VALUE"""),1743051.84)</f>
        <v>1743051.84</v>
      </c>
      <c r="I450" s="87"/>
    </row>
    <row r="451">
      <c r="A451" s="46" t="str">
        <f>IFERROR(__xludf.DUMMYFUNCTION("""COMPUTED_VALUE"""),"Europe")</f>
        <v>Europe</v>
      </c>
      <c r="B451" s="46" t="str">
        <f>IFERROR(__xludf.DUMMYFUNCTION("""COMPUTED_VALUE"""),"Spain")</f>
        <v>Spain</v>
      </c>
      <c r="C451" s="46" t="str">
        <f>IFERROR(__xludf.DUMMYFUNCTION("""COMPUTED_VALUE"""),"Vegetables")</f>
        <v>Vegetables</v>
      </c>
      <c r="D451" s="46">
        <f>IFERROR(__xludf.DUMMYFUNCTION("""COMPUTED_VALUE"""),23.0)</f>
        <v>23</v>
      </c>
      <c r="E451" s="46">
        <f>IFERROR(__xludf.DUMMYFUNCTION("""COMPUTED_VALUE"""),3.99115979E8)</f>
        <v>399115979</v>
      </c>
      <c r="F451" s="84">
        <f>IFERROR(__xludf.DUMMYFUNCTION("""COMPUTED_VALUE"""),946236.52)</f>
        <v>946236.52</v>
      </c>
      <c r="I451" s="87"/>
    </row>
    <row r="452">
      <c r="A452" s="46" t="str">
        <f>IFERROR(__xludf.DUMMYFUNCTION("""COMPUTED_VALUE"""),"Europe")</f>
        <v>Europe</v>
      </c>
      <c r="B452" s="46" t="str">
        <f>IFERROR(__xludf.DUMMYFUNCTION("""COMPUTED_VALUE"""),"Slovenia")</f>
        <v>Slovenia</v>
      </c>
      <c r="C452" s="46" t="str">
        <f>IFERROR(__xludf.DUMMYFUNCTION("""COMPUTED_VALUE"""),"Fruits")</f>
        <v>Fruits</v>
      </c>
      <c r="D452" s="46">
        <f>IFERROR(__xludf.DUMMYFUNCTION("""COMPUTED_VALUE"""),25.0)</f>
        <v>25</v>
      </c>
      <c r="E452" s="46">
        <f>IFERROR(__xludf.DUMMYFUNCTION("""COMPUTED_VALUE"""),3.99256312E8)</f>
        <v>399256312</v>
      </c>
      <c r="F452" s="84">
        <f>IFERROR(__xludf.DUMMYFUNCTION("""COMPUTED_VALUE"""),71561.1)</f>
        <v>71561.1</v>
      </c>
      <c r="I452" s="87"/>
    </row>
    <row r="453">
      <c r="A453" s="46" t="str">
        <f>IFERROR(__xludf.DUMMYFUNCTION("""COMPUTED_VALUE"""),"Europe")</f>
        <v>Europe</v>
      </c>
      <c r="B453" s="46" t="str">
        <f>IFERROR(__xludf.DUMMYFUNCTION("""COMPUTED_VALUE"""),"Austria")</f>
        <v>Austria</v>
      </c>
      <c r="C453" s="46" t="str">
        <f>IFERROR(__xludf.DUMMYFUNCTION("""COMPUTED_VALUE"""),"Snacks")</f>
        <v>Snacks</v>
      </c>
      <c r="D453" s="46">
        <f>IFERROR(__xludf.DUMMYFUNCTION("""COMPUTED_VALUE"""),9.0)</f>
        <v>9</v>
      </c>
      <c r="E453" s="46">
        <f>IFERROR(__xludf.DUMMYFUNCTION("""COMPUTED_VALUE"""),4.00267398E8)</f>
        <v>400267398</v>
      </c>
      <c r="F453" s="84">
        <f>IFERROR(__xludf.DUMMYFUNCTION("""COMPUTED_VALUE"""),1048682.34)</f>
        <v>1048682.34</v>
      </c>
      <c r="I453" s="87"/>
    </row>
    <row r="454">
      <c r="A454" s="46" t="str">
        <f>IFERROR(__xludf.DUMMYFUNCTION("""COMPUTED_VALUE"""),"Europe")</f>
        <v>Europe</v>
      </c>
      <c r="B454" s="46" t="str">
        <f>IFERROR(__xludf.DUMMYFUNCTION("""COMPUTED_VALUE"""),"Latvia")</f>
        <v>Latvia</v>
      </c>
      <c r="C454" s="46" t="str">
        <f>IFERROR(__xludf.DUMMYFUNCTION("""COMPUTED_VALUE"""),"Cereal")</f>
        <v>Cereal</v>
      </c>
      <c r="D454" s="46">
        <f>IFERROR(__xludf.DUMMYFUNCTION("""COMPUTED_VALUE"""),14.0)</f>
        <v>14</v>
      </c>
      <c r="E454" s="46">
        <f>IFERROR(__xludf.DUMMYFUNCTION("""COMPUTED_VALUE"""),4.00904691E8)</f>
        <v>400904691</v>
      </c>
      <c r="F454" s="84">
        <f>IFERROR(__xludf.DUMMYFUNCTION("""COMPUTED_VALUE"""),1123533.4)</f>
        <v>1123533.4</v>
      </c>
      <c r="I454" s="87"/>
    </row>
    <row r="455">
      <c r="A455" s="46" t="str">
        <f>IFERROR(__xludf.DUMMYFUNCTION("""COMPUTED_VALUE"""),"Europe")</f>
        <v>Europe</v>
      </c>
      <c r="B455" s="46" t="str">
        <f>IFERROR(__xludf.DUMMYFUNCTION("""COMPUTED_VALUE"""),"Ukraine")</f>
        <v>Ukraine</v>
      </c>
      <c r="C455" s="46" t="str">
        <f>IFERROR(__xludf.DUMMYFUNCTION("""COMPUTED_VALUE"""),"Cereal")</f>
        <v>Cereal</v>
      </c>
      <c r="D455" s="46">
        <f>IFERROR(__xludf.DUMMYFUNCTION("""COMPUTED_VALUE"""),21.0)</f>
        <v>21</v>
      </c>
      <c r="E455" s="46">
        <f>IFERROR(__xludf.DUMMYFUNCTION("""COMPUTED_VALUE"""),4.01993882E8)</f>
        <v>401993882</v>
      </c>
      <c r="F455" s="84">
        <f>IFERROR(__xludf.DUMMYFUNCTION("""COMPUTED_VALUE"""),1599934.5999999999)</f>
        <v>1599934.6</v>
      </c>
      <c r="I455" s="87"/>
    </row>
    <row r="456">
      <c r="A456" s="46" t="str">
        <f>IFERROR(__xludf.DUMMYFUNCTION("""COMPUTED_VALUE"""),"Europe")</f>
        <v>Europe</v>
      </c>
      <c r="B456" s="46" t="str">
        <f>IFERROR(__xludf.DUMMYFUNCTION("""COMPUTED_VALUE"""),"Andorra")</f>
        <v>Andorra</v>
      </c>
      <c r="C456" s="46" t="str">
        <f>IFERROR(__xludf.DUMMYFUNCTION("""COMPUTED_VALUE"""),"Vegetables")</f>
        <v>Vegetables</v>
      </c>
      <c r="D456" s="46">
        <f>IFERROR(__xludf.DUMMYFUNCTION("""COMPUTED_VALUE"""),40.0)</f>
        <v>40</v>
      </c>
      <c r="E456" s="46">
        <f>IFERROR(__xludf.DUMMYFUNCTION("""COMPUTED_VALUE"""),4.03337991E8)</f>
        <v>403337991</v>
      </c>
      <c r="F456" s="84">
        <f>IFERROR(__xludf.DUMMYFUNCTION("""COMPUTED_VALUE"""),851797.74)</f>
        <v>851797.74</v>
      </c>
      <c r="I456" s="87"/>
    </row>
    <row r="457">
      <c r="A457" s="46" t="str">
        <f>IFERROR(__xludf.DUMMYFUNCTION("""COMPUTED_VALUE"""),"Europe")</f>
        <v>Europe</v>
      </c>
      <c r="B457" s="46" t="str">
        <f>IFERROR(__xludf.DUMMYFUNCTION("""COMPUTED_VALUE"""),"Belarus")</f>
        <v>Belarus</v>
      </c>
      <c r="C457" s="46" t="str">
        <f>IFERROR(__xludf.DUMMYFUNCTION("""COMPUTED_VALUE"""),"Snacks")</f>
        <v>Snacks</v>
      </c>
      <c r="D457" s="46">
        <f>IFERROR(__xludf.DUMMYFUNCTION("""COMPUTED_VALUE"""),34.0)</f>
        <v>34</v>
      </c>
      <c r="E457" s="46">
        <f>IFERROR(__xludf.DUMMYFUNCTION("""COMPUTED_VALUE"""),4.03665006E8)</f>
        <v>403665006</v>
      </c>
      <c r="F457" s="84">
        <f>IFERROR(__xludf.DUMMYFUNCTION("""COMPUTED_VALUE"""),350934.0)</f>
        <v>350934</v>
      </c>
      <c r="I457" s="87"/>
    </row>
    <row r="458">
      <c r="A458" s="46" t="str">
        <f>IFERROR(__xludf.DUMMYFUNCTION("""COMPUTED_VALUE"""),"Europe")</f>
        <v>Europe</v>
      </c>
      <c r="B458" s="46" t="str">
        <f>IFERROR(__xludf.DUMMYFUNCTION("""COMPUTED_VALUE"""),"Portugal")</f>
        <v>Portugal</v>
      </c>
      <c r="C458" s="46" t="str">
        <f>IFERROR(__xludf.DUMMYFUNCTION("""COMPUTED_VALUE"""),"Baby Food")</f>
        <v>Baby Food</v>
      </c>
      <c r="D458" s="46">
        <f>IFERROR(__xludf.DUMMYFUNCTION("""COMPUTED_VALUE"""),36.0)</f>
        <v>36</v>
      </c>
      <c r="E458" s="46">
        <f>IFERROR(__xludf.DUMMYFUNCTION("""COMPUTED_VALUE"""),4.04789817E8)</f>
        <v>404789817</v>
      </c>
      <c r="F458" s="84">
        <f>IFERROR(__xludf.DUMMYFUNCTION("""COMPUTED_VALUE"""),1316478.96)</f>
        <v>1316478.96</v>
      </c>
      <c r="I458" s="87"/>
    </row>
    <row r="459">
      <c r="A459" s="46" t="str">
        <f>IFERROR(__xludf.DUMMYFUNCTION("""COMPUTED_VALUE"""),"Europe")</f>
        <v>Europe</v>
      </c>
      <c r="B459" s="46" t="str">
        <f>IFERROR(__xludf.DUMMYFUNCTION("""COMPUTED_VALUE"""),"Germany")</f>
        <v>Germany</v>
      </c>
      <c r="C459" s="46" t="str">
        <f>IFERROR(__xludf.DUMMYFUNCTION("""COMPUTED_VALUE"""),"Baby Food")</f>
        <v>Baby Food</v>
      </c>
      <c r="D459" s="46">
        <f>IFERROR(__xludf.DUMMYFUNCTION("""COMPUTED_VALUE"""),24.0)</f>
        <v>24</v>
      </c>
      <c r="E459" s="46">
        <f>IFERROR(__xludf.DUMMYFUNCTION("""COMPUTED_VALUE"""),4.05986297E8)</f>
        <v>405986297</v>
      </c>
      <c r="F459" s="84">
        <f>IFERROR(__xludf.DUMMYFUNCTION("""COMPUTED_VALUE"""),2354192.16)</f>
        <v>2354192.16</v>
      </c>
      <c r="I459" s="87"/>
    </row>
    <row r="460">
      <c r="A460" s="46" t="str">
        <f>IFERROR(__xludf.DUMMYFUNCTION("""COMPUTED_VALUE"""),"Europe")</f>
        <v>Europe</v>
      </c>
      <c r="B460" s="46" t="str">
        <f>IFERROR(__xludf.DUMMYFUNCTION("""COMPUTED_VALUE"""),"Romania")</f>
        <v>Romania</v>
      </c>
      <c r="C460" s="46" t="str">
        <f>IFERROR(__xludf.DUMMYFUNCTION("""COMPUTED_VALUE"""),"Snacks")</f>
        <v>Snacks</v>
      </c>
      <c r="D460" s="46">
        <f>IFERROR(__xludf.DUMMYFUNCTION("""COMPUTED_VALUE"""),46.0)</f>
        <v>46</v>
      </c>
      <c r="E460" s="46">
        <f>IFERROR(__xludf.DUMMYFUNCTION("""COMPUTED_VALUE"""),4.06270396E8)</f>
        <v>406270396</v>
      </c>
      <c r="F460" s="84">
        <f>IFERROR(__xludf.DUMMYFUNCTION("""COMPUTED_VALUE"""),502445.94000000006)</f>
        <v>502445.94</v>
      </c>
      <c r="I460" s="87"/>
    </row>
    <row r="461">
      <c r="A461" s="46" t="str">
        <f>IFERROR(__xludf.DUMMYFUNCTION("""COMPUTED_VALUE"""),"Europe")</f>
        <v>Europe</v>
      </c>
      <c r="B461" s="46" t="str">
        <f>IFERROR(__xludf.DUMMYFUNCTION("""COMPUTED_VALUE"""),"Albania")</f>
        <v>Albania</v>
      </c>
      <c r="C461" s="46" t="str">
        <f>IFERROR(__xludf.DUMMYFUNCTION("""COMPUTED_VALUE"""),"Vegetables")</f>
        <v>Vegetables</v>
      </c>
      <c r="D461" s="46">
        <f>IFERROR(__xludf.DUMMYFUNCTION("""COMPUTED_VALUE"""),18.0)</f>
        <v>18</v>
      </c>
      <c r="E461" s="46">
        <f>IFERROR(__xludf.DUMMYFUNCTION("""COMPUTED_VALUE"""),4.06564366E8)</f>
        <v>406564366</v>
      </c>
      <c r="F461" s="84">
        <f>IFERROR(__xludf.DUMMYFUNCTION("""COMPUTED_VALUE"""),44061.16)</f>
        <v>44061.16</v>
      </c>
      <c r="I461" s="87"/>
    </row>
    <row r="462">
      <c r="A462" s="46" t="str">
        <f>IFERROR(__xludf.DUMMYFUNCTION("""COMPUTED_VALUE"""),"Europe")</f>
        <v>Europe</v>
      </c>
      <c r="B462" s="46" t="str">
        <f>IFERROR(__xludf.DUMMYFUNCTION("""COMPUTED_VALUE"""),"Sweden")</f>
        <v>Sweden</v>
      </c>
      <c r="C462" s="46" t="str">
        <f>IFERROR(__xludf.DUMMYFUNCTION("""COMPUTED_VALUE"""),"Cereal")</f>
        <v>Cereal</v>
      </c>
      <c r="D462" s="46">
        <f>IFERROR(__xludf.DUMMYFUNCTION("""COMPUTED_VALUE"""),36.0)</f>
        <v>36</v>
      </c>
      <c r="E462" s="46">
        <f>IFERROR(__xludf.DUMMYFUNCTION("""COMPUTED_VALUE"""),4.07220542E8)</f>
        <v>407220542</v>
      </c>
      <c r="F462" s="84">
        <f>IFERROR(__xludf.DUMMYFUNCTION("""COMPUTED_VALUE"""),918039.1)</f>
        <v>918039.1</v>
      </c>
      <c r="I462" s="87"/>
    </row>
    <row r="463">
      <c r="A463" s="46" t="str">
        <f>IFERROR(__xludf.DUMMYFUNCTION("""COMPUTED_VALUE"""),"Europe")</f>
        <v>Europe</v>
      </c>
      <c r="B463" s="46" t="str">
        <f>IFERROR(__xludf.DUMMYFUNCTION("""COMPUTED_VALUE"""),"San Marino")</f>
        <v>San Marino</v>
      </c>
      <c r="C463" s="46" t="str">
        <f>IFERROR(__xludf.DUMMYFUNCTION("""COMPUTED_VALUE"""),"Vegetables")</f>
        <v>Vegetables</v>
      </c>
      <c r="D463" s="46">
        <f>IFERROR(__xludf.DUMMYFUNCTION("""COMPUTED_VALUE"""),44.0)</f>
        <v>44</v>
      </c>
      <c r="E463" s="46">
        <f>IFERROR(__xludf.DUMMYFUNCTION("""COMPUTED_VALUE"""),4.08540618E8)</f>
        <v>408540618</v>
      </c>
      <c r="F463" s="84">
        <f>IFERROR(__xludf.DUMMYFUNCTION("""COMPUTED_VALUE"""),786014.12)</f>
        <v>786014.12</v>
      </c>
      <c r="I463" s="87"/>
    </row>
    <row r="464">
      <c r="A464" s="46" t="str">
        <f>IFERROR(__xludf.DUMMYFUNCTION("""COMPUTED_VALUE"""),"Europe")</f>
        <v>Europe</v>
      </c>
      <c r="B464" s="46" t="str">
        <f>IFERROR(__xludf.DUMMYFUNCTION("""COMPUTED_VALUE"""),"Montenegro")</f>
        <v>Montenegro</v>
      </c>
      <c r="C464" s="46" t="str">
        <f>IFERROR(__xludf.DUMMYFUNCTION("""COMPUTED_VALUE"""),"Vegetables")</f>
        <v>Vegetables</v>
      </c>
      <c r="D464" s="46">
        <f>IFERROR(__xludf.DUMMYFUNCTION("""COMPUTED_VALUE"""),49.0)</f>
        <v>49</v>
      </c>
      <c r="E464" s="46">
        <f>IFERROR(__xludf.DUMMYFUNCTION("""COMPUTED_VALUE"""),4.09112679E8)</f>
        <v>409112679</v>
      </c>
      <c r="F464" s="84">
        <f>IFERROR(__xludf.DUMMYFUNCTION("""COMPUTED_VALUE"""),676015.28)</f>
        <v>676015.28</v>
      </c>
      <c r="I464" s="87"/>
    </row>
    <row r="465">
      <c r="A465" s="46" t="str">
        <f>IFERROR(__xludf.DUMMYFUNCTION("""COMPUTED_VALUE"""),"Europe")</f>
        <v>Europe</v>
      </c>
      <c r="B465" s="46" t="str">
        <f>IFERROR(__xludf.DUMMYFUNCTION("""COMPUTED_VALUE"""),"Bosnia and Herzegovina")</f>
        <v>Bosnia and Herzegovina</v>
      </c>
      <c r="C465" s="46" t="str">
        <f>IFERROR(__xludf.DUMMYFUNCTION("""COMPUTED_VALUE"""),"Personal Care")</f>
        <v>Personal Care</v>
      </c>
      <c r="D465" s="46">
        <f>IFERROR(__xludf.DUMMYFUNCTION("""COMPUTED_VALUE"""),45.0)</f>
        <v>45</v>
      </c>
      <c r="E465" s="46">
        <f>IFERROR(__xludf.DUMMYFUNCTION("""COMPUTED_VALUE"""),4.09514796E8)</f>
        <v>409514796</v>
      </c>
      <c r="F465" s="84">
        <f>IFERROR(__xludf.DUMMYFUNCTION("""COMPUTED_VALUE"""),276492.59)</f>
        <v>276492.59</v>
      </c>
      <c r="I465" s="87"/>
    </row>
    <row r="466">
      <c r="A466" s="46" t="str">
        <f>IFERROR(__xludf.DUMMYFUNCTION("""COMPUTED_VALUE"""),"Europe")</f>
        <v>Europe</v>
      </c>
      <c r="B466" s="46" t="str">
        <f>IFERROR(__xludf.DUMMYFUNCTION("""COMPUTED_VALUE"""),"Portugal")</f>
        <v>Portugal</v>
      </c>
      <c r="C466" s="46" t="str">
        <f>IFERROR(__xludf.DUMMYFUNCTION("""COMPUTED_VALUE"""),"Office Supplies")</f>
        <v>Office Supplies</v>
      </c>
      <c r="D466" s="46">
        <f>IFERROR(__xludf.DUMMYFUNCTION("""COMPUTED_VALUE"""),31.0)</f>
        <v>31</v>
      </c>
      <c r="E466" s="46">
        <f>IFERROR(__xludf.DUMMYFUNCTION("""COMPUTED_VALUE"""),4.10229337E8)</f>
        <v>410229337</v>
      </c>
      <c r="F466" s="84">
        <f>IFERROR(__xludf.DUMMYFUNCTION("""COMPUTED_VALUE"""),3146646.72)</f>
        <v>3146646.72</v>
      </c>
      <c r="I466" s="87"/>
    </row>
    <row r="467">
      <c r="A467" s="46" t="str">
        <f>IFERROR(__xludf.DUMMYFUNCTION("""COMPUTED_VALUE"""),"Europe")</f>
        <v>Europe</v>
      </c>
      <c r="B467" s="46" t="str">
        <f>IFERROR(__xludf.DUMMYFUNCTION("""COMPUTED_VALUE"""),"Slovenia")</f>
        <v>Slovenia</v>
      </c>
      <c r="C467" s="46" t="str">
        <f>IFERROR(__xludf.DUMMYFUNCTION("""COMPUTED_VALUE"""),"Personal Care")</f>
        <v>Personal Care</v>
      </c>
      <c r="D467" s="46">
        <f>IFERROR(__xludf.DUMMYFUNCTION("""COMPUTED_VALUE"""),16.0)</f>
        <v>16</v>
      </c>
      <c r="E467" s="46">
        <f>IFERROR(__xludf.DUMMYFUNCTION("""COMPUTED_VALUE"""),4.10291135E8)</f>
        <v>410291135</v>
      </c>
      <c r="F467" s="84">
        <f>IFERROR(__xludf.DUMMYFUNCTION("""COMPUTED_VALUE"""),254915.87000000002)</f>
        <v>254915.87</v>
      </c>
      <c r="I467" s="87"/>
    </row>
    <row r="468">
      <c r="A468" s="46" t="str">
        <f>IFERROR(__xludf.DUMMYFUNCTION("""COMPUTED_VALUE"""),"Europe")</f>
        <v>Europe</v>
      </c>
      <c r="B468" s="46" t="str">
        <f>IFERROR(__xludf.DUMMYFUNCTION("""COMPUTED_VALUE"""),"Serbia")</f>
        <v>Serbia</v>
      </c>
      <c r="C468" s="46" t="str">
        <f>IFERROR(__xludf.DUMMYFUNCTION("""COMPUTED_VALUE"""),"Office Supplies")</f>
        <v>Office Supplies</v>
      </c>
      <c r="D468" s="46">
        <f>IFERROR(__xludf.DUMMYFUNCTION("""COMPUTED_VALUE"""),40.0)</f>
        <v>40</v>
      </c>
      <c r="E468" s="46">
        <f>IFERROR(__xludf.DUMMYFUNCTION("""COMPUTED_VALUE"""),4.10514724E8)</f>
        <v>410514724</v>
      </c>
      <c r="F468" s="84">
        <f>IFERROR(__xludf.DUMMYFUNCTION("""COMPUTED_VALUE"""),6045833.640000001)</f>
        <v>6045833.64</v>
      </c>
      <c r="I468" s="87"/>
    </row>
    <row r="469">
      <c r="A469" s="46" t="str">
        <f>IFERROR(__xludf.DUMMYFUNCTION("""COMPUTED_VALUE"""),"Europe")</f>
        <v>Europe</v>
      </c>
      <c r="B469" s="46" t="str">
        <f>IFERROR(__xludf.DUMMYFUNCTION("""COMPUTED_VALUE"""),"Bosnia and Herzegovina")</f>
        <v>Bosnia and Herzegovina</v>
      </c>
      <c r="C469" s="46" t="str">
        <f>IFERROR(__xludf.DUMMYFUNCTION("""COMPUTED_VALUE"""),"Meat")</f>
        <v>Meat</v>
      </c>
      <c r="D469" s="46">
        <f>IFERROR(__xludf.DUMMYFUNCTION("""COMPUTED_VALUE"""),39.0)</f>
        <v>39</v>
      </c>
      <c r="E469" s="46">
        <f>IFERROR(__xludf.DUMMYFUNCTION("""COMPUTED_VALUE"""),4.10740888E8)</f>
        <v>410740888</v>
      </c>
      <c r="F469" s="84">
        <f>IFERROR(__xludf.DUMMYFUNCTION("""COMPUTED_VALUE"""),2620358.79)</f>
        <v>2620358.79</v>
      </c>
      <c r="I469" s="87"/>
    </row>
    <row r="470">
      <c r="A470" s="46" t="str">
        <f>IFERROR(__xludf.DUMMYFUNCTION("""COMPUTED_VALUE"""),"Europe")</f>
        <v>Europe</v>
      </c>
      <c r="B470" s="46" t="str">
        <f>IFERROR(__xludf.DUMMYFUNCTION("""COMPUTED_VALUE"""),"Greece")</f>
        <v>Greece</v>
      </c>
      <c r="C470" s="46" t="str">
        <f>IFERROR(__xludf.DUMMYFUNCTION("""COMPUTED_VALUE"""),"Cereal")</f>
        <v>Cereal</v>
      </c>
      <c r="D470" s="46">
        <f>IFERROR(__xludf.DUMMYFUNCTION("""COMPUTED_VALUE"""),7.0)</f>
        <v>7</v>
      </c>
      <c r="E470" s="46">
        <f>IFERROR(__xludf.DUMMYFUNCTION("""COMPUTED_VALUE"""),4.12215459E8)</f>
        <v>412215459</v>
      </c>
      <c r="F470" s="84">
        <f>IFERROR(__xludf.DUMMYFUNCTION("""COMPUTED_VALUE"""),528443.2999999999)</f>
        <v>528443.3</v>
      </c>
      <c r="I470" s="87"/>
    </row>
    <row r="471">
      <c r="A471" s="46" t="str">
        <f>IFERROR(__xludf.DUMMYFUNCTION("""COMPUTED_VALUE"""),"Europe")</f>
        <v>Europe</v>
      </c>
      <c r="B471" s="46" t="str">
        <f>IFERROR(__xludf.DUMMYFUNCTION("""COMPUTED_VALUE"""),"San Marino")</f>
        <v>San Marino</v>
      </c>
      <c r="C471" s="46" t="str">
        <f>IFERROR(__xludf.DUMMYFUNCTION("""COMPUTED_VALUE"""),"Baby Food")</f>
        <v>Baby Food</v>
      </c>
      <c r="D471" s="46">
        <f>IFERROR(__xludf.DUMMYFUNCTION("""COMPUTED_VALUE"""),8.0)</f>
        <v>8</v>
      </c>
      <c r="E471" s="46">
        <f>IFERROR(__xludf.DUMMYFUNCTION("""COMPUTED_VALUE"""),4.12416303E8)</f>
        <v>412416303</v>
      </c>
      <c r="F471" s="84">
        <f>IFERROR(__xludf.DUMMYFUNCTION("""COMPUTED_VALUE"""),511581.12)</f>
        <v>511581.12</v>
      </c>
      <c r="I471" s="87"/>
    </row>
    <row r="472">
      <c r="A472" s="46" t="str">
        <f>IFERROR(__xludf.DUMMYFUNCTION("""COMPUTED_VALUE"""),"Europe")</f>
        <v>Europe</v>
      </c>
      <c r="B472" s="46" t="str">
        <f>IFERROR(__xludf.DUMMYFUNCTION("""COMPUTED_VALUE"""),"Belarus")</f>
        <v>Belarus</v>
      </c>
      <c r="C472" s="46" t="str">
        <f>IFERROR(__xludf.DUMMYFUNCTION("""COMPUTED_VALUE"""),"Vegetables")</f>
        <v>Vegetables</v>
      </c>
      <c r="D472" s="46">
        <f>IFERROR(__xludf.DUMMYFUNCTION("""COMPUTED_VALUE"""),11.0)</f>
        <v>11</v>
      </c>
      <c r="E472" s="46">
        <f>IFERROR(__xludf.DUMMYFUNCTION("""COMPUTED_VALUE"""),4.13078916E8)</f>
        <v>413078916</v>
      </c>
      <c r="F472" s="84">
        <f>IFERROR(__xludf.DUMMYFUNCTION("""COMPUTED_VALUE"""),1245729.16)</f>
        <v>1245729.16</v>
      </c>
      <c r="I472" s="87"/>
    </row>
    <row r="473">
      <c r="A473" s="46" t="str">
        <f>IFERROR(__xludf.DUMMYFUNCTION("""COMPUTED_VALUE"""),"Europe")</f>
        <v>Europe</v>
      </c>
      <c r="B473" s="46" t="str">
        <f>IFERROR(__xludf.DUMMYFUNCTION("""COMPUTED_VALUE"""),"Andorra")</f>
        <v>Andorra</v>
      </c>
      <c r="C473" s="46" t="str">
        <f>IFERROR(__xludf.DUMMYFUNCTION("""COMPUTED_VALUE"""),"Fruits")</f>
        <v>Fruits</v>
      </c>
      <c r="D473" s="46">
        <f>IFERROR(__xludf.DUMMYFUNCTION("""COMPUTED_VALUE"""),3.0)</f>
        <v>3</v>
      </c>
      <c r="E473" s="46">
        <f>IFERROR(__xludf.DUMMYFUNCTION("""COMPUTED_VALUE"""),4.13245427E8)</f>
        <v>413245427</v>
      </c>
      <c r="F473" s="84">
        <f>IFERROR(__xludf.DUMMYFUNCTION("""COMPUTED_VALUE"""),68668.8)</f>
        <v>68668.8</v>
      </c>
      <c r="I473" s="87"/>
    </row>
    <row r="474">
      <c r="A474" s="46" t="str">
        <f>IFERROR(__xludf.DUMMYFUNCTION("""COMPUTED_VALUE"""),"Europe")</f>
        <v>Europe</v>
      </c>
      <c r="B474" s="46" t="str">
        <f>IFERROR(__xludf.DUMMYFUNCTION("""COMPUTED_VALUE"""),"Austria")</f>
        <v>Austria</v>
      </c>
      <c r="C474" s="46" t="str">
        <f>IFERROR(__xludf.DUMMYFUNCTION("""COMPUTED_VALUE"""),"Beverages")</f>
        <v>Beverages</v>
      </c>
      <c r="D474" s="46">
        <f>IFERROR(__xludf.DUMMYFUNCTION("""COMPUTED_VALUE"""),21.0)</f>
        <v>21</v>
      </c>
      <c r="E474" s="46">
        <f>IFERROR(__xludf.DUMMYFUNCTION("""COMPUTED_VALUE"""),4.13951814E8)</f>
        <v>413951814</v>
      </c>
      <c r="F474" s="84">
        <f>IFERROR(__xludf.DUMMYFUNCTION("""COMPUTED_VALUE"""),303442.75)</f>
        <v>303442.75</v>
      </c>
      <c r="I474" s="87"/>
    </row>
    <row r="475">
      <c r="A475" s="46" t="str">
        <f>IFERROR(__xludf.DUMMYFUNCTION("""COMPUTED_VALUE"""),"Europe")</f>
        <v>Europe</v>
      </c>
      <c r="B475" s="46" t="str">
        <f>IFERROR(__xludf.DUMMYFUNCTION("""COMPUTED_VALUE"""),"Romania")</f>
        <v>Romania</v>
      </c>
      <c r="C475" s="46" t="str">
        <f>IFERROR(__xludf.DUMMYFUNCTION("""COMPUTED_VALUE"""),"Baby Food")</f>
        <v>Baby Food</v>
      </c>
      <c r="D475" s="46">
        <f>IFERROR(__xludf.DUMMYFUNCTION("""COMPUTED_VALUE"""),12.0)</f>
        <v>12</v>
      </c>
      <c r="E475" s="46">
        <f>IFERROR(__xludf.DUMMYFUNCTION("""COMPUTED_VALUE"""),4.14359509E8)</f>
        <v>414359509</v>
      </c>
      <c r="F475" s="84">
        <f>IFERROR(__xludf.DUMMYFUNCTION("""COMPUTED_VALUE"""),1797681.76)</f>
        <v>1797681.76</v>
      </c>
      <c r="I475" s="87"/>
    </row>
    <row r="476">
      <c r="A476" s="46" t="str">
        <f>IFERROR(__xludf.DUMMYFUNCTION("""COMPUTED_VALUE"""),"Europe")</f>
        <v>Europe</v>
      </c>
      <c r="B476" s="46" t="str">
        <f>IFERROR(__xludf.DUMMYFUNCTION("""COMPUTED_VALUE"""),"Finland")</f>
        <v>Finland</v>
      </c>
      <c r="C476" s="46" t="str">
        <f>IFERROR(__xludf.DUMMYFUNCTION("""COMPUTED_VALUE"""),"Snacks")</f>
        <v>Snacks</v>
      </c>
      <c r="D476" s="46">
        <f>IFERROR(__xludf.DUMMYFUNCTION("""COMPUTED_VALUE"""),20.0)</f>
        <v>20</v>
      </c>
      <c r="E476" s="46">
        <f>IFERROR(__xludf.DUMMYFUNCTION("""COMPUTED_VALUE"""),4.14579665E8)</f>
        <v>414579665</v>
      </c>
      <c r="F476" s="84">
        <f>IFERROR(__xludf.DUMMYFUNCTION("""COMPUTED_VALUE"""),334302.78)</f>
        <v>334302.78</v>
      </c>
      <c r="I476" s="87"/>
    </row>
    <row r="477">
      <c r="A477" s="46" t="str">
        <f>IFERROR(__xludf.DUMMYFUNCTION("""COMPUTED_VALUE"""),"Europe")</f>
        <v>Europe</v>
      </c>
      <c r="B477" s="46" t="str">
        <f>IFERROR(__xludf.DUMMYFUNCTION("""COMPUTED_VALUE"""),"Andorra")</f>
        <v>Andorra</v>
      </c>
      <c r="C477" s="46" t="str">
        <f>IFERROR(__xludf.DUMMYFUNCTION("""COMPUTED_VALUE"""),"Baby Food")</f>
        <v>Baby Food</v>
      </c>
      <c r="D477" s="46">
        <f>IFERROR(__xludf.DUMMYFUNCTION("""COMPUTED_VALUE"""),44.0)</f>
        <v>44</v>
      </c>
      <c r="E477" s="46">
        <f>IFERROR(__xludf.DUMMYFUNCTION("""COMPUTED_VALUE"""),4.15837943E8)</f>
        <v>415837943</v>
      </c>
      <c r="F477" s="84">
        <f>IFERROR(__xludf.DUMMYFUNCTION("""COMPUTED_VALUE"""),1159737.04)</f>
        <v>1159737.04</v>
      </c>
      <c r="I477" s="87"/>
    </row>
    <row r="478">
      <c r="A478" s="46" t="str">
        <f>IFERROR(__xludf.DUMMYFUNCTION("""COMPUTED_VALUE"""),"Europe")</f>
        <v>Europe</v>
      </c>
      <c r="B478" s="46" t="str">
        <f>IFERROR(__xludf.DUMMYFUNCTION("""COMPUTED_VALUE"""),"Norway")</f>
        <v>Norway</v>
      </c>
      <c r="C478" s="46" t="str">
        <f>IFERROR(__xludf.DUMMYFUNCTION("""COMPUTED_VALUE"""),"Vegetables")</f>
        <v>Vegetables</v>
      </c>
      <c r="D478" s="46">
        <f>IFERROR(__xludf.DUMMYFUNCTION("""COMPUTED_VALUE"""),40.0)</f>
        <v>40</v>
      </c>
      <c r="E478" s="46">
        <f>IFERROR(__xludf.DUMMYFUNCTION("""COMPUTED_VALUE"""),4.16682088E8)</f>
        <v>416682088</v>
      </c>
      <c r="F478" s="84">
        <f>IFERROR(__xludf.DUMMYFUNCTION("""COMPUTED_VALUE"""),669236.64)</f>
        <v>669236.64</v>
      </c>
      <c r="I478" s="87"/>
    </row>
    <row r="479">
      <c r="A479" s="46" t="str">
        <f>IFERROR(__xludf.DUMMYFUNCTION("""COMPUTED_VALUE"""),"Europe")</f>
        <v>Europe</v>
      </c>
      <c r="B479" s="46" t="str">
        <f>IFERROR(__xludf.DUMMYFUNCTION("""COMPUTED_VALUE"""),"Ireland")</f>
        <v>Ireland</v>
      </c>
      <c r="C479" s="46" t="str">
        <f>IFERROR(__xludf.DUMMYFUNCTION("""COMPUTED_VALUE"""),"Beverages")</f>
        <v>Beverages</v>
      </c>
      <c r="D479" s="46">
        <f>IFERROR(__xludf.DUMMYFUNCTION("""COMPUTED_VALUE"""),39.0)</f>
        <v>39</v>
      </c>
      <c r="E479" s="46">
        <f>IFERROR(__xludf.DUMMYFUNCTION("""COMPUTED_VALUE"""),4.16953313E8)</f>
        <v>416953313</v>
      </c>
      <c r="F479" s="84">
        <f>IFERROR(__xludf.DUMMYFUNCTION("""COMPUTED_VALUE"""),218554.7)</f>
        <v>218554.7</v>
      </c>
      <c r="I479" s="87"/>
    </row>
    <row r="480">
      <c r="A480" s="46" t="str">
        <f>IFERROR(__xludf.DUMMYFUNCTION("""COMPUTED_VALUE"""),"Asia")</f>
        <v>Asia</v>
      </c>
      <c r="B480" s="46" t="str">
        <f>IFERROR(__xludf.DUMMYFUNCTION("""COMPUTED_VALUE"""),"Armenia")</f>
        <v>Armenia</v>
      </c>
      <c r="C480" s="46" t="str">
        <f>IFERROR(__xludf.DUMMYFUNCTION("""COMPUTED_VALUE"""),"Snacks")</f>
        <v>Snacks</v>
      </c>
      <c r="D480" s="46">
        <f>IFERROR(__xludf.DUMMYFUNCTION("""COMPUTED_VALUE"""),44.0)</f>
        <v>44</v>
      </c>
      <c r="E480" s="46">
        <f>IFERROR(__xludf.DUMMYFUNCTION("""COMPUTED_VALUE"""),4.18404281E8)</f>
        <v>418404281</v>
      </c>
      <c r="F480" s="84">
        <f>IFERROR(__xludf.DUMMYFUNCTION("""COMPUTED_VALUE"""),607115.8200000001)</f>
        <v>607115.82</v>
      </c>
      <c r="I480" s="87"/>
    </row>
    <row r="481">
      <c r="A481" s="46" t="str">
        <f>IFERROR(__xludf.DUMMYFUNCTION("""COMPUTED_VALUE"""),"Europe")</f>
        <v>Europe</v>
      </c>
      <c r="B481" s="46" t="str">
        <f>IFERROR(__xludf.DUMMYFUNCTION("""COMPUTED_VALUE"""),"Lithuania")</f>
        <v>Lithuania</v>
      </c>
      <c r="C481" s="46" t="str">
        <f>IFERROR(__xludf.DUMMYFUNCTION("""COMPUTED_VALUE"""),"Cosmetics")</f>
        <v>Cosmetics</v>
      </c>
      <c r="D481" s="46">
        <f>IFERROR(__xludf.DUMMYFUNCTION("""COMPUTED_VALUE"""),43.0)</f>
        <v>43</v>
      </c>
      <c r="E481" s="46">
        <f>IFERROR(__xludf.DUMMYFUNCTION("""COMPUTED_VALUE"""),4.20875346E8)</f>
        <v>420875346</v>
      </c>
      <c r="F481" s="84">
        <f>IFERROR(__xludf.DUMMYFUNCTION("""COMPUTED_VALUE"""),2283495.6)</f>
        <v>2283495.6</v>
      </c>
      <c r="I481" s="87"/>
    </row>
    <row r="482">
      <c r="A482" s="46" t="str">
        <f>IFERROR(__xludf.DUMMYFUNCTION("""COMPUTED_VALUE"""),"Undefined")</f>
        <v>Undefined</v>
      </c>
      <c r="B482" s="46" t="str">
        <f>IFERROR(__xludf.DUMMYFUNCTION("""COMPUTED_VALUE"""),"Undefined")</f>
        <v>Undefined</v>
      </c>
      <c r="C482" s="46" t="str">
        <f>IFERROR(__xludf.DUMMYFUNCTION("""COMPUTED_VALUE"""),"Meat")</f>
        <v>Meat</v>
      </c>
      <c r="D482" s="46">
        <f>IFERROR(__xludf.DUMMYFUNCTION("""COMPUTED_VALUE"""),3.0)</f>
        <v>3</v>
      </c>
      <c r="E482" s="46">
        <f>IFERROR(__xludf.DUMMYFUNCTION("""COMPUTED_VALUE"""),4.21456849E8)</f>
        <v>421456849</v>
      </c>
      <c r="F482" s="84">
        <f>IFERROR(__xludf.DUMMYFUNCTION("""COMPUTED_VALUE"""),3080640.78)</f>
        <v>3080640.78</v>
      </c>
      <c r="I482" s="87"/>
    </row>
    <row r="483">
      <c r="A483" s="46" t="str">
        <f>IFERROR(__xludf.DUMMYFUNCTION("""COMPUTED_VALUE"""),"Europe")</f>
        <v>Europe</v>
      </c>
      <c r="B483" s="46" t="str">
        <f>IFERROR(__xludf.DUMMYFUNCTION("""COMPUTED_VALUE"""),"Ireland")</f>
        <v>Ireland</v>
      </c>
      <c r="C483" s="46" t="str">
        <f>IFERROR(__xludf.DUMMYFUNCTION("""COMPUTED_VALUE"""),"Household")</f>
        <v>Household</v>
      </c>
      <c r="D483" s="46">
        <f>IFERROR(__xludf.DUMMYFUNCTION("""COMPUTED_VALUE"""),28.0)</f>
        <v>28</v>
      </c>
      <c r="E483" s="46">
        <f>IFERROR(__xludf.DUMMYFUNCTION("""COMPUTED_VALUE"""),4.21660268E8)</f>
        <v>421660268</v>
      </c>
      <c r="F483" s="84">
        <f>IFERROR(__xludf.DUMMYFUNCTION("""COMPUTED_VALUE"""),5010688.46)</f>
        <v>5010688.46</v>
      </c>
      <c r="I483" s="87"/>
    </row>
    <row r="484">
      <c r="A484" s="46" t="str">
        <f>IFERROR(__xludf.DUMMYFUNCTION("""COMPUTED_VALUE"""),"Europe")</f>
        <v>Europe</v>
      </c>
      <c r="B484" s="46" t="str">
        <f>IFERROR(__xludf.DUMMYFUNCTION("""COMPUTED_VALUE"""),"Malta")</f>
        <v>Malta</v>
      </c>
      <c r="C484" s="46" t="str">
        <f>IFERROR(__xludf.DUMMYFUNCTION("""COMPUTED_VALUE"""),"Meat")</f>
        <v>Meat</v>
      </c>
      <c r="D484" s="46">
        <f>IFERROR(__xludf.DUMMYFUNCTION("""COMPUTED_VALUE"""),33.0)</f>
        <v>33</v>
      </c>
      <c r="E484" s="46">
        <f>IFERROR(__xludf.DUMMYFUNCTION("""COMPUTED_VALUE"""),4.22568786E8)</f>
        <v>422568786</v>
      </c>
      <c r="F484" s="84">
        <f>IFERROR(__xludf.DUMMYFUNCTION("""COMPUTED_VALUE"""),2678579.61)</f>
        <v>2678579.61</v>
      </c>
      <c r="I484" s="87"/>
    </row>
    <row r="485">
      <c r="A485" s="46" t="str">
        <f>IFERROR(__xludf.DUMMYFUNCTION("""COMPUTED_VALUE"""),"Asia")</f>
        <v>Asia</v>
      </c>
      <c r="B485" s="46" t="str">
        <f>IFERROR(__xludf.DUMMYFUNCTION("""COMPUTED_VALUE"""),"Armenia")</f>
        <v>Armenia</v>
      </c>
      <c r="C485" s="46" t="str">
        <f>IFERROR(__xludf.DUMMYFUNCTION("""COMPUTED_VALUE"""),"Cereal")</f>
        <v>Cereal</v>
      </c>
      <c r="D485" s="46">
        <f>IFERROR(__xludf.DUMMYFUNCTION("""COMPUTED_VALUE"""),27.0)</f>
        <v>27</v>
      </c>
      <c r="E485" s="46">
        <f>IFERROR(__xludf.DUMMYFUNCTION("""COMPUTED_VALUE"""),4.24181544E8)</f>
        <v>424181544</v>
      </c>
      <c r="F485" s="84">
        <f>IFERROR(__xludf.DUMMYFUNCTION("""COMPUTED_VALUE"""),740520.0)</f>
        <v>740520</v>
      </c>
      <c r="I485" s="87"/>
    </row>
    <row r="486">
      <c r="A486" s="46" t="str">
        <f>IFERROR(__xludf.DUMMYFUNCTION("""COMPUTED_VALUE"""),"Europe")</f>
        <v>Europe</v>
      </c>
      <c r="B486" s="46" t="str">
        <f>IFERROR(__xludf.DUMMYFUNCTION("""COMPUTED_VALUE"""),"Serbia")</f>
        <v>Serbia</v>
      </c>
      <c r="C486" s="46" t="str">
        <f>IFERROR(__xludf.DUMMYFUNCTION("""COMPUTED_VALUE"""),"Beverages")</f>
        <v>Beverages</v>
      </c>
      <c r="D486" s="46">
        <f>IFERROR(__xludf.DUMMYFUNCTION("""COMPUTED_VALUE"""),19.0)</f>
        <v>19</v>
      </c>
      <c r="E486" s="46">
        <f>IFERROR(__xludf.DUMMYFUNCTION("""COMPUTED_VALUE"""),4.24297845E8)</f>
        <v>424297845</v>
      </c>
      <c r="F486" s="84">
        <f>IFERROR(__xludf.DUMMYFUNCTION("""COMPUTED_VALUE"""),380359.2)</f>
        <v>380359.2</v>
      </c>
      <c r="I486" s="87"/>
    </row>
    <row r="487">
      <c r="A487" s="46" t="str">
        <f>IFERROR(__xludf.DUMMYFUNCTION("""COMPUTED_VALUE"""),"Europe")</f>
        <v>Europe</v>
      </c>
      <c r="B487" s="46" t="str">
        <f>IFERROR(__xludf.DUMMYFUNCTION("""COMPUTED_VALUE"""),"Switzerland")</f>
        <v>Switzerland</v>
      </c>
      <c r="C487" s="46" t="str">
        <f>IFERROR(__xludf.DUMMYFUNCTION("""COMPUTED_VALUE"""),"Office Supplies")</f>
        <v>Office Supplies</v>
      </c>
      <c r="D487" s="46">
        <f>IFERROR(__xludf.DUMMYFUNCTION("""COMPUTED_VALUE"""),42.0)</f>
        <v>42</v>
      </c>
      <c r="E487" s="46">
        <f>IFERROR(__xludf.DUMMYFUNCTION("""COMPUTED_VALUE"""),4.24541604E8)</f>
        <v>424541604</v>
      </c>
      <c r="F487" s="84">
        <f>IFERROR(__xludf.DUMMYFUNCTION("""COMPUTED_VALUE"""),97681.5)</f>
        <v>97681.5</v>
      </c>
      <c r="I487" s="87"/>
    </row>
    <row r="488">
      <c r="A488" s="46" t="str">
        <f>IFERROR(__xludf.DUMMYFUNCTION("""COMPUTED_VALUE"""),"Europe")</f>
        <v>Europe</v>
      </c>
      <c r="B488" s="46" t="str">
        <f>IFERROR(__xludf.DUMMYFUNCTION("""COMPUTED_VALUE"""),"Andorra")</f>
        <v>Andorra</v>
      </c>
      <c r="C488" s="46" t="str">
        <f>IFERROR(__xludf.DUMMYFUNCTION("""COMPUTED_VALUE"""),"Beverages")</f>
        <v>Beverages</v>
      </c>
      <c r="D488" s="46">
        <f>IFERROR(__xludf.DUMMYFUNCTION("""COMPUTED_VALUE"""),23.0)</f>
        <v>23</v>
      </c>
      <c r="E488" s="46">
        <f>IFERROR(__xludf.DUMMYFUNCTION("""COMPUTED_VALUE"""),4.25547969E8)</f>
        <v>425547969</v>
      </c>
      <c r="F488" s="84">
        <f>IFERROR(__xludf.DUMMYFUNCTION("""COMPUTED_VALUE"""),377464.75)</f>
        <v>377464.75</v>
      </c>
      <c r="I488" s="87"/>
    </row>
    <row r="489">
      <c r="A489" s="46" t="str">
        <f>IFERROR(__xludf.DUMMYFUNCTION("""COMPUTED_VALUE"""),"Europe")</f>
        <v>Europe</v>
      </c>
      <c r="B489" s="46" t="str">
        <f>IFERROR(__xludf.DUMMYFUNCTION("""COMPUTED_VALUE"""),"Finland")</f>
        <v>Finland</v>
      </c>
      <c r="C489" s="46" t="str">
        <f>IFERROR(__xludf.DUMMYFUNCTION("""COMPUTED_VALUE"""),"Snacks")</f>
        <v>Snacks</v>
      </c>
      <c r="D489" s="46">
        <f>IFERROR(__xludf.DUMMYFUNCTION("""COMPUTED_VALUE"""),8.0)</f>
        <v>8</v>
      </c>
      <c r="E489" s="46">
        <f>IFERROR(__xludf.DUMMYFUNCTION("""COMPUTED_VALUE"""),4.27432811E8)</f>
        <v>427432811</v>
      </c>
      <c r="F489" s="84">
        <f>IFERROR(__xludf.DUMMYFUNCTION("""COMPUTED_VALUE"""),873062.7600000001)</f>
        <v>873062.76</v>
      </c>
      <c r="I489" s="87"/>
    </row>
    <row r="490">
      <c r="A490" s="46" t="str">
        <f>IFERROR(__xludf.DUMMYFUNCTION("""COMPUTED_VALUE"""),"Europe")</f>
        <v>Europe</v>
      </c>
      <c r="B490" s="46" t="str">
        <f>IFERROR(__xludf.DUMMYFUNCTION("""COMPUTED_VALUE"""),"France")</f>
        <v>France</v>
      </c>
      <c r="C490" s="46" t="str">
        <f>IFERROR(__xludf.DUMMYFUNCTION("""COMPUTED_VALUE"""),"Office Supplies")</f>
        <v>Office Supplies</v>
      </c>
      <c r="D490" s="46">
        <f>IFERROR(__xludf.DUMMYFUNCTION("""COMPUTED_VALUE"""),31.0)</f>
        <v>31</v>
      </c>
      <c r="E490" s="46">
        <f>IFERROR(__xludf.DUMMYFUNCTION("""COMPUTED_VALUE"""),4.28419864E8)</f>
        <v>428419864</v>
      </c>
      <c r="F490" s="84">
        <f>IFERROR(__xludf.DUMMYFUNCTION("""COMPUTED_VALUE"""),5087903.73)</f>
        <v>5087903.73</v>
      </c>
      <c r="I490" s="87"/>
    </row>
    <row r="491">
      <c r="A491" s="46" t="str">
        <f>IFERROR(__xludf.DUMMYFUNCTION("""COMPUTED_VALUE"""),"Undefined")</f>
        <v>Undefined</v>
      </c>
      <c r="B491" s="46" t="str">
        <f>IFERROR(__xludf.DUMMYFUNCTION("""COMPUTED_VALUE"""),"Undefined")</f>
        <v>Undefined</v>
      </c>
      <c r="C491" s="46" t="str">
        <f>IFERROR(__xludf.DUMMYFUNCTION("""COMPUTED_VALUE"""),"Snacks")</f>
        <v>Snacks</v>
      </c>
      <c r="D491" s="46">
        <f>IFERROR(__xludf.DUMMYFUNCTION("""COMPUTED_VALUE"""),24.0)</f>
        <v>24</v>
      </c>
      <c r="E491" s="46">
        <f>IFERROR(__xludf.DUMMYFUNCTION("""COMPUTED_VALUE"""),4.29123675E8)</f>
        <v>429123675</v>
      </c>
      <c r="F491" s="84">
        <f>IFERROR(__xludf.DUMMYFUNCTION("""COMPUTED_VALUE"""),928601.8800000001)</f>
        <v>928601.88</v>
      </c>
      <c r="I491" s="87"/>
    </row>
    <row r="492">
      <c r="A492" s="46" t="str">
        <f>IFERROR(__xludf.DUMMYFUNCTION("""COMPUTED_VALUE"""),"Europe")</f>
        <v>Europe</v>
      </c>
      <c r="B492" s="46" t="str">
        <f>IFERROR(__xludf.DUMMYFUNCTION("""COMPUTED_VALUE"""),"United Kingdom")</f>
        <v>United Kingdom</v>
      </c>
      <c r="C492" s="46" t="str">
        <f>IFERROR(__xludf.DUMMYFUNCTION("""COMPUTED_VALUE"""),"Personal Care")</f>
        <v>Personal Care</v>
      </c>
      <c r="D492" s="46">
        <f>IFERROR(__xludf.DUMMYFUNCTION("""COMPUTED_VALUE"""),5.0)</f>
        <v>5</v>
      </c>
      <c r="E492" s="46">
        <f>IFERROR(__xludf.DUMMYFUNCTION("""COMPUTED_VALUE"""),4.3068751E8)</f>
        <v>430687510</v>
      </c>
      <c r="F492" s="84">
        <f>IFERROR(__xludf.DUMMYFUNCTION("""COMPUTED_VALUE"""),724127.8)</f>
        <v>724127.8</v>
      </c>
      <c r="I492" s="87"/>
    </row>
    <row r="493">
      <c r="A493" s="46" t="str">
        <f>IFERROR(__xludf.DUMMYFUNCTION("""COMPUTED_VALUE"""),"Europe")</f>
        <v>Europe</v>
      </c>
      <c r="B493" s="46" t="str">
        <f>IFERROR(__xludf.DUMMYFUNCTION("""COMPUTED_VALUE"""),"Greece")</f>
        <v>Greece</v>
      </c>
      <c r="C493" s="46" t="str">
        <f>IFERROR(__xludf.DUMMYFUNCTION("""COMPUTED_VALUE"""),"Cereal")</f>
        <v>Cereal</v>
      </c>
      <c r="D493" s="46">
        <f>IFERROR(__xludf.DUMMYFUNCTION("""COMPUTED_VALUE"""),48.0)</f>
        <v>48</v>
      </c>
      <c r="E493" s="46">
        <f>IFERROR(__xludf.DUMMYFUNCTION("""COMPUTED_VALUE"""),4.31240689E8)</f>
        <v>431240689</v>
      </c>
      <c r="F493" s="84">
        <f>IFERROR(__xludf.DUMMYFUNCTION("""COMPUTED_VALUE"""),526180.6)</f>
        <v>526180.6</v>
      </c>
      <c r="I493" s="87"/>
    </row>
    <row r="494">
      <c r="A494" s="46" t="str">
        <f>IFERROR(__xludf.DUMMYFUNCTION("""COMPUTED_VALUE"""),"Europe")</f>
        <v>Europe</v>
      </c>
      <c r="B494" s="46" t="str">
        <f>IFERROR(__xludf.DUMMYFUNCTION("""COMPUTED_VALUE"""),"Macedonia")</f>
        <v>Macedonia</v>
      </c>
      <c r="C494" s="46" t="str">
        <f>IFERROR(__xludf.DUMMYFUNCTION("""COMPUTED_VALUE"""),"Clothes")</f>
        <v>Clothes</v>
      </c>
      <c r="D494" s="46">
        <f>IFERROR(__xludf.DUMMYFUNCTION("""COMPUTED_VALUE"""),43.0)</f>
        <v>43</v>
      </c>
      <c r="E494" s="46">
        <f>IFERROR(__xludf.DUMMYFUNCTION("""COMPUTED_VALUE"""),4.31432092E8)</f>
        <v>431432092</v>
      </c>
      <c r="F494" s="84">
        <f>IFERROR(__xludf.DUMMYFUNCTION("""COMPUTED_VALUE"""),1005157.4400000001)</f>
        <v>1005157.44</v>
      </c>
      <c r="I494" s="87"/>
    </row>
    <row r="495">
      <c r="A495" s="46" t="str">
        <f>IFERROR(__xludf.DUMMYFUNCTION("""COMPUTED_VALUE"""),"Europe")</f>
        <v>Europe</v>
      </c>
      <c r="B495" s="46" t="str">
        <f>IFERROR(__xludf.DUMMYFUNCTION("""COMPUTED_VALUE"""),"Slovakia")</f>
        <v>Slovakia</v>
      </c>
      <c r="C495" s="46" t="str">
        <f>IFERROR(__xludf.DUMMYFUNCTION("""COMPUTED_VALUE"""),"Beverages")</f>
        <v>Beverages</v>
      </c>
      <c r="D495" s="46">
        <f>IFERROR(__xludf.DUMMYFUNCTION("""COMPUTED_VALUE"""),47.0)</f>
        <v>47</v>
      </c>
      <c r="E495" s="46">
        <f>IFERROR(__xludf.DUMMYFUNCTION("""COMPUTED_VALUE"""),4.31753098E8)</f>
        <v>431753098</v>
      </c>
      <c r="F495" s="84">
        <f>IFERROR(__xludf.DUMMYFUNCTION("""COMPUTED_VALUE"""),198862.95)</f>
        <v>198862.95</v>
      </c>
      <c r="I495" s="87"/>
    </row>
    <row r="496">
      <c r="A496" s="46" t="str">
        <f>IFERROR(__xludf.DUMMYFUNCTION("""COMPUTED_VALUE"""),"Asia")</f>
        <v>Asia</v>
      </c>
      <c r="B496" s="46" t="str">
        <f>IFERROR(__xludf.DUMMYFUNCTION("""COMPUTED_VALUE"""),"Armenia")</f>
        <v>Armenia</v>
      </c>
      <c r="C496" s="46" t="str">
        <f>IFERROR(__xludf.DUMMYFUNCTION("""COMPUTED_VALUE"""),"Beverages")</f>
        <v>Beverages</v>
      </c>
      <c r="D496" s="46">
        <f>IFERROR(__xludf.DUMMYFUNCTION("""COMPUTED_VALUE"""),24.0)</f>
        <v>24</v>
      </c>
      <c r="E496" s="46">
        <f>IFERROR(__xludf.DUMMYFUNCTION("""COMPUTED_VALUE"""),4.32031619E8)</f>
        <v>432031619</v>
      </c>
      <c r="F496" s="84">
        <f>IFERROR(__xludf.DUMMYFUNCTION("""COMPUTED_VALUE"""),313739.4)</f>
        <v>313739.4</v>
      </c>
      <c r="I496" s="87"/>
    </row>
    <row r="497">
      <c r="A497" s="46" t="str">
        <f>IFERROR(__xludf.DUMMYFUNCTION("""COMPUTED_VALUE"""),"Europe")</f>
        <v>Europe</v>
      </c>
      <c r="B497" s="46" t="str">
        <f>IFERROR(__xludf.DUMMYFUNCTION("""COMPUTED_VALUE"""),"Lithuania")</f>
        <v>Lithuania</v>
      </c>
      <c r="C497" s="46" t="str">
        <f>IFERROR(__xludf.DUMMYFUNCTION("""COMPUTED_VALUE"""),"Office Supplies")</f>
        <v>Office Supplies</v>
      </c>
      <c r="D497" s="46">
        <f>IFERROR(__xludf.DUMMYFUNCTION("""COMPUTED_VALUE"""),45.0)</f>
        <v>45</v>
      </c>
      <c r="E497" s="46">
        <f>IFERROR(__xludf.DUMMYFUNCTION("""COMPUTED_VALUE"""),4.33079183E8)</f>
        <v>433079183</v>
      </c>
      <c r="F497" s="84">
        <f>IFERROR(__xludf.DUMMYFUNCTION("""COMPUTED_VALUE"""),4303846.890000001)</f>
        <v>4303846.89</v>
      </c>
      <c r="I497" s="87"/>
    </row>
    <row r="498">
      <c r="A498" s="46" t="str">
        <f>IFERROR(__xludf.DUMMYFUNCTION("""COMPUTED_VALUE"""),"Europe")</f>
        <v>Europe</v>
      </c>
      <c r="B498" s="46" t="str">
        <f>IFERROR(__xludf.DUMMYFUNCTION("""COMPUTED_VALUE"""),"Germany")</f>
        <v>Germany</v>
      </c>
      <c r="C498" s="46" t="str">
        <f>IFERROR(__xludf.DUMMYFUNCTION("""COMPUTED_VALUE"""),"Office Supplies")</f>
        <v>Office Supplies</v>
      </c>
      <c r="D498" s="46">
        <f>IFERROR(__xludf.DUMMYFUNCTION("""COMPUTED_VALUE"""),20.0)</f>
        <v>20</v>
      </c>
      <c r="E498" s="46">
        <f>IFERROR(__xludf.DUMMYFUNCTION("""COMPUTED_VALUE"""),4.337345E8)</f>
        <v>433734500</v>
      </c>
      <c r="F498" s="84">
        <f>IFERROR(__xludf.DUMMYFUNCTION("""COMPUTED_VALUE"""),346443.72000000003)</f>
        <v>346443.72</v>
      </c>
      <c r="I498" s="87"/>
    </row>
    <row r="499">
      <c r="A499" s="46" t="str">
        <f>IFERROR(__xludf.DUMMYFUNCTION("""COMPUTED_VALUE"""),"Europe")</f>
        <v>Europe</v>
      </c>
      <c r="B499" s="46" t="str">
        <f>IFERROR(__xludf.DUMMYFUNCTION("""COMPUTED_VALUE"""),"Monaco")</f>
        <v>Monaco</v>
      </c>
      <c r="C499" s="46" t="str">
        <f>IFERROR(__xludf.DUMMYFUNCTION("""COMPUTED_VALUE"""),"Cosmetics")</f>
        <v>Cosmetics</v>
      </c>
      <c r="D499" s="46">
        <f>IFERROR(__xludf.DUMMYFUNCTION("""COMPUTED_VALUE"""),39.0)</f>
        <v>39</v>
      </c>
      <c r="E499" s="46">
        <f>IFERROR(__xludf.DUMMYFUNCTION("""COMPUTED_VALUE"""),4.34013879E8)</f>
        <v>434013879</v>
      </c>
      <c r="F499" s="84">
        <f>IFERROR(__xludf.DUMMYFUNCTION("""COMPUTED_VALUE"""),1401663.2)</f>
        <v>1401663.2</v>
      </c>
      <c r="I499" s="87"/>
    </row>
    <row r="500">
      <c r="A500" s="46" t="str">
        <f>IFERROR(__xludf.DUMMYFUNCTION("""COMPUTED_VALUE"""),"Europe")</f>
        <v>Europe</v>
      </c>
      <c r="B500" s="46" t="str">
        <f>IFERROR(__xludf.DUMMYFUNCTION("""COMPUTED_VALUE"""),"Bosnia and Herzegovina")</f>
        <v>Bosnia and Herzegovina</v>
      </c>
      <c r="C500" s="46" t="str">
        <f>IFERROR(__xludf.DUMMYFUNCTION("""COMPUTED_VALUE"""),"Office Supplies")</f>
        <v>Office Supplies</v>
      </c>
      <c r="D500" s="46">
        <f>IFERROR(__xludf.DUMMYFUNCTION("""COMPUTED_VALUE"""),33.0)</f>
        <v>33</v>
      </c>
      <c r="E500" s="46">
        <f>IFERROR(__xludf.DUMMYFUNCTION("""COMPUTED_VALUE"""),4.34275662E8)</f>
        <v>434275662</v>
      </c>
      <c r="F500" s="84">
        <f>IFERROR(__xludf.DUMMYFUNCTION("""COMPUTED_VALUE"""),438915.54000000004)</f>
        <v>438915.54</v>
      </c>
      <c r="I500" s="87"/>
    </row>
    <row r="501">
      <c r="A501" s="46" t="str">
        <f>IFERROR(__xludf.DUMMYFUNCTION("""COMPUTED_VALUE"""),"Europe")</f>
        <v>Europe</v>
      </c>
      <c r="B501" s="46" t="str">
        <f>IFERROR(__xludf.DUMMYFUNCTION("""COMPUTED_VALUE"""),"San Marino")</f>
        <v>San Marino</v>
      </c>
      <c r="C501" s="46" t="str">
        <f>IFERROR(__xludf.DUMMYFUNCTION("""COMPUTED_VALUE"""),"Personal Care")</f>
        <v>Personal Care</v>
      </c>
      <c r="D501" s="46">
        <f>IFERROR(__xludf.DUMMYFUNCTION("""COMPUTED_VALUE"""),39.0)</f>
        <v>39</v>
      </c>
      <c r="E501" s="46">
        <f>IFERROR(__xludf.DUMMYFUNCTION("""COMPUTED_VALUE"""),4.34485948E8)</f>
        <v>434485948</v>
      </c>
      <c r="F501" s="84">
        <f>IFERROR(__xludf.DUMMYFUNCTION("""COMPUTED_VALUE"""),237180.46000000002)</f>
        <v>237180.46</v>
      </c>
      <c r="I501" s="87"/>
    </row>
    <row r="502">
      <c r="A502" s="46" t="str">
        <f>IFERROR(__xludf.DUMMYFUNCTION("""COMPUTED_VALUE"""),"Europe")</f>
        <v>Europe</v>
      </c>
      <c r="B502" s="46" t="str">
        <f>IFERROR(__xludf.DUMMYFUNCTION("""COMPUTED_VALUE"""),"Malta")</f>
        <v>Malta</v>
      </c>
      <c r="C502" s="46" t="str">
        <f>IFERROR(__xludf.DUMMYFUNCTION("""COMPUTED_VALUE"""),"Beverages")</f>
        <v>Beverages</v>
      </c>
      <c r="D502" s="46">
        <f>IFERROR(__xludf.DUMMYFUNCTION("""COMPUTED_VALUE"""),6.0)</f>
        <v>6</v>
      </c>
      <c r="E502" s="46">
        <f>IFERROR(__xludf.DUMMYFUNCTION("""COMPUTED_VALUE"""),4.35463559E8)</f>
        <v>435463559</v>
      </c>
      <c r="F502" s="84">
        <f>IFERROR(__xludf.DUMMYFUNCTION("""COMPUTED_VALUE"""),104342.55)</f>
        <v>104342.55</v>
      </c>
      <c r="I502" s="87"/>
    </row>
    <row r="503">
      <c r="A503" s="46" t="str">
        <f>IFERROR(__xludf.DUMMYFUNCTION("""COMPUTED_VALUE"""),"Undefined")</f>
        <v>Undefined</v>
      </c>
      <c r="B503" s="46" t="str">
        <f>IFERROR(__xludf.DUMMYFUNCTION("""COMPUTED_VALUE"""),"Undefined")</f>
        <v>Undefined</v>
      </c>
      <c r="C503" s="46" t="str">
        <f>IFERROR(__xludf.DUMMYFUNCTION("""COMPUTED_VALUE"""),"Beverages")</f>
        <v>Beverages</v>
      </c>
      <c r="D503" s="46">
        <f>IFERROR(__xludf.DUMMYFUNCTION("""COMPUTED_VALUE"""),29.0)</f>
        <v>29</v>
      </c>
      <c r="E503" s="46">
        <f>IFERROR(__xludf.DUMMYFUNCTION("""COMPUTED_VALUE"""),4.36606395E8)</f>
        <v>436606395</v>
      </c>
      <c r="F503" s="84">
        <f>IFERROR(__xludf.DUMMYFUNCTION("""COMPUTED_VALUE"""),18458.050000000003)</f>
        <v>18458.05</v>
      </c>
      <c r="I503" s="87"/>
    </row>
    <row r="504">
      <c r="A504" s="46" t="str">
        <f>IFERROR(__xludf.DUMMYFUNCTION("""COMPUTED_VALUE"""),"Europe")</f>
        <v>Europe</v>
      </c>
      <c r="B504" s="46" t="str">
        <f>IFERROR(__xludf.DUMMYFUNCTION("""COMPUTED_VALUE"""),"Spain")</f>
        <v>Spain</v>
      </c>
      <c r="C504" s="46" t="str">
        <f>IFERROR(__xludf.DUMMYFUNCTION("""COMPUTED_VALUE"""),"Meat")</f>
        <v>Meat</v>
      </c>
      <c r="D504" s="46">
        <f>IFERROR(__xludf.DUMMYFUNCTION("""COMPUTED_VALUE"""),18.0)</f>
        <v>18</v>
      </c>
      <c r="E504" s="46">
        <f>IFERROR(__xludf.DUMMYFUNCTION("""COMPUTED_VALUE"""),4.36969029E8)</f>
        <v>436969029</v>
      </c>
      <c r="F504" s="84">
        <f>IFERROR(__xludf.DUMMYFUNCTION("""COMPUTED_VALUE"""),3248974.8899999997)</f>
        <v>3248974.89</v>
      </c>
      <c r="I504" s="87"/>
    </row>
    <row r="505">
      <c r="A505" s="46" t="str">
        <f>IFERROR(__xludf.DUMMYFUNCTION("""COMPUTED_VALUE"""),"Europe")</f>
        <v>Europe</v>
      </c>
      <c r="B505" s="46" t="str">
        <f>IFERROR(__xludf.DUMMYFUNCTION("""COMPUTED_VALUE"""),"Sweden")</f>
        <v>Sweden</v>
      </c>
      <c r="C505" s="46" t="str">
        <f>IFERROR(__xludf.DUMMYFUNCTION("""COMPUTED_VALUE"""),"Meat")</f>
        <v>Meat</v>
      </c>
      <c r="D505" s="46">
        <f>IFERROR(__xludf.DUMMYFUNCTION("""COMPUTED_VALUE"""),32.0)</f>
        <v>32</v>
      </c>
      <c r="E505" s="46">
        <f>IFERROR(__xludf.DUMMYFUNCTION("""COMPUTED_VALUE"""),4.37083184E8)</f>
        <v>437083184</v>
      </c>
      <c r="F505" s="84">
        <f>IFERROR(__xludf.DUMMYFUNCTION("""COMPUTED_VALUE"""),625240.98)</f>
        <v>625240.98</v>
      </c>
      <c r="I505" s="87"/>
    </row>
    <row r="506">
      <c r="A506" s="46" t="str">
        <f>IFERROR(__xludf.DUMMYFUNCTION("""COMPUTED_VALUE"""),"Europe")</f>
        <v>Europe</v>
      </c>
      <c r="B506" s="46" t="str">
        <f>IFERROR(__xludf.DUMMYFUNCTION("""COMPUTED_VALUE"""),"Luxembourg")</f>
        <v>Luxembourg</v>
      </c>
      <c r="C506" s="46" t="str">
        <f>IFERROR(__xludf.DUMMYFUNCTION("""COMPUTED_VALUE"""),"Snacks")</f>
        <v>Snacks</v>
      </c>
      <c r="D506" s="46">
        <f>IFERROR(__xludf.DUMMYFUNCTION("""COMPUTED_VALUE"""),45.0)</f>
        <v>45</v>
      </c>
      <c r="E506" s="46">
        <f>IFERROR(__xludf.DUMMYFUNCTION("""COMPUTED_VALUE"""),4.37604176E8)</f>
        <v>437604176</v>
      </c>
      <c r="F506" s="84">
        <f>IFERROR(__xludf.DUMMYFUNCTION("""COMPUTED_VALUE"""),862839.9)</f>
        <v>862839.9</v>
      </c>
      <c r="I506" s="87"/>
    </row>
    <row r="507">
      <c r="A507" s="46" t="str">
        <f>IFERROR(__xludf.DUMMYFUNCTION("""COMPUTED_VALUE"""),"Europe")</f>
        <v>Europe</v>
      </c>
      <c r="B507" s="46" t="str">
        <f>IFERROR(__xludf.DUMMYFUNCTION("""COMPUTED_VALUE"""),"Romania")</f>
        <v>Romania</v>
      </c>
      <c r="C507" s="46" t="str">
        <f>IFERROR(__xludf.DUMMYFUNCTION("""COMPUTED_VALUE"""),"Personal Care")</f>
        <v>Personal Care</v>
      </c>
      <c r="D507" s="46">
        <f>IFERROR(__xludf.DUMMYFUNCTION("""COMPUTED_VALUE"""),46.0)</f>
        <v>46</v>
      </c>
      <c r="E507" s="46">
        <f>IFERROR(__xludf.DUMMYFUNCTION("""COMPUTED_VALUE"""),4.38683927E8)</f>
        <v>438683927</v>
      </c>
      <c r="F507" s="84">
        <f>IFERROR(__xludf.DUMMYFUNCTION("""COMPUTED_VALUE"""),423116.21)</f>
        <v>423116.21</v>
      </c>
      <c r="I507" s="87"/>
    </row>
    <row r="508">
      <c r="A508" s="46" t="str">
        <f>IFERROR(__xludf.DUMMYFUNCTION("""COMPUTED_VALUE"""),"Europe")</f>
        <v>Europe</v>
      </c>
      <c r="B508" s="46" t="str">
        <f>IFERROR(__xludf.DUMMYFUNCTION("""COMPUTED_VALUE"""),"United Kingdom")</f>
        <v>United Kingdom</v>
      </c>
      <c r="C508" s="46" t="str">
        <f>IFERROR(__xludf.DUMMYFUNCTION("""COMPUTED_VALUE"""),"Personal Care")</f>
        <v>Personal Care</v>
      </c>
      <c r="D508" s="46">
        <f>IFERROR(__xludf.DUMMYFUNCTION("""COMPUTED_VALUE"""),9.0)</f>
        <v>9</v>
      </c>
      <c r="E508" s="46">
        <f>IFERROR(__xludf.DUMMYFUNCTION("""COMPUTED_VALUE"""),4.39114367E8)</f>
        <v>439114367</v>
      </c>
      <c r="F508" s="84">
        <f>IFERROR(__xludf.DUMMYFUNCTION("""COMPUTED_VALUE"""),208738.42)</f>
        <v>208738.42</v>
      </c>
      <c r="I508" s="87"/>
    </row>
    <row r="509">
      <c r="A509" s="46" t="str">
        <f>IFERROR(__xludf.DUMMYFUNCTION("""COMPUTED_VALUE"""),"Europe")</f>
        <v>Europe</v>
      </c>
      <c r="B509" s="46" t="str">
        <f>IFERROR(__xludf.DUMMYFUNCTION("""COMPUTED_VALUE"""),"Iceland")</f>
        <v>Iceland</v>
      </c>
      <c r="C509" s="46" t="str">
        <f>IFERROR(__xludf.DUMMYFUNCTION("""COMPUTED_VALUE"""),"Beverages")</f>
        <v>Beverages</v>
      </c>
      <c r="D509" s="46">
        <f>IFERROR(__xludf.DUMMYFUNCTION("""COMPUTED_VALUE"""),8.0)</f>
        <v>8</v>
      </c>
      <c r="E509" s="46">
        <f>IFERROR(__xludf.DUMMYFUNCTION("""COMPUTED_VALUE"""),4.39204919E8)</f>
        <v>439204919</v>
      </c>
      <c r="F509" s="84">
        <f>IFERROR(__xludf.DUMMYFUNCTION("""COMPUTED_VALUE"""),443657.5)</f>
        <v>443657.5</v>
      </c>
      <c r="I509" s="87"/>
    </row>
    <row r="510">
      <c r="A510" s="46" t="str">
        <f>IFERROR(__xludf.DUMMYFUNCTION("""COMPUTED_VALUE"""),"Europe")</f>
        <v>Europe</v>
      </c>
      <c r="B510" s="46" t="str">
        <f>IFERROR(__xludf.DUMMYFUNCTION("""COMPUTED_VALUE"""),"Poland")</f>
        <v>Poland</v>
      </c>
      <c r="C510" s="46" t="str">
        <f>IFERROR(__xludf.DUMMYFUNCTION("""COMPUTED_VALUE"""),"Cereal")</f>
        <v>Cereal</v>
      </c>
      <c r="D510" s="46">
        <f>IFERROR(__xludf.DUMMYFUNCTION("""COMPUTED_VALUE"""),26.0)</f>
        <v>26</v>
      </c>
      <c r="E510" s="46">
        <f>IFERROR(__xludf.DUMMYFUNCTION("""COMPUTED_VALUE"""),4.3964008E8)</f>
        <v>439640080</v>
      </c>
      <c r="F510" s="84">
        <f>IFERROR(__xludf.DUMMYFUNCTION("""COMPUTED_VALUE"""),1671106.7999999998)</f>
        <v>1671106.8</v>
      </c>
      <c r="I510" s="87"/>
    </row>
    <row r="511">
      <c r="A511" s="46" t="str">
        <f>IFERROR(__xludf.DUMMYFUNCTION("""COMPUTED_VALUE"""),"Asia")</f>
        <v>Asia</v>
      </c>
      <c r="B511" s="46" t="str">
        <f>IFERROR(__xludf.DUMMYFUNCTION("""COMPUTED_VALUE"""),"Armenia")</f>
        <v>Armenia</v>
      </c>
      <c r="C511" s="46" t="str">
        <f>IFERROR(__xludf.DUMMYFUNCTION("""COMPUTED_VALUE"""),"Fruits")</f>
        <v>Fruits</v>
      </c>
      <c r="D511" s="46">
        <f>IFERROR(__xludf.DUMMYFUNCTION("""COMPUTED_VALUE"""),21.0)</f>
        <v>21</v>
      </c>
      <c r="E511" s="46">
        <f>IFERROR(__xludf.DUMMYFUNCTION("""COMPUTED_VALUE"""),4.39725911E8)</f>
        <v>439725911</v>
      </c>
      <c r="F511" s="84">
        <f>IFERROR(__xludf.DUMMYFUNCTION("""COMPUTED_VALUE"""),32878.92)</f>
        <v>32878.92</v>
      </c>
      <c r="I511" s="87"/>
    </row>
    <row r="512">
      <c r="A512" s="46" t="str">
        <f>IFERROR(__xludf.DUMMYFUNCTION("""COMPUTED_VALUE"""),"Europe")</f>
        <v>Europe</v>
      </c>
      <c r="B512" s="46" t="str">
        <f>IFERROR(__xludf.DUMMYFUNCTION("""COMPUTED_VALUE"""),"Andorra")</f>
        <v>Andorra</v>
      </c>
      <c r="C512" s="46" t="str">
        <f>IFERROR(__xludf.DUMMYFUNCTION("""COMPUTED_VALUE"""),"Baby Food")</f>
        <v>Baby Food</v>
      </c>
      <c r="D512" s="46">
        <f>IFERROR(__xludf.DUMMYFUNCTION("""COMPUTED_VALUE"""),11.0)</f>
        <v>11</v>
      </c>
      <c r="E512" s="46">
        <f>IFERROR(__xludf.DUMMYFUNCTION("""COMPUTED_VALUE"""),4.42318427E8)</f>
        <v>442318427</v>
      </c>
      <c r="F512" s="84">
        <f>IFERROR(__xludf.DUMMYFUNCTION("""COMPUTED_VALUE"""),180482.96)</f>
        <v>180482.96</v>
      </c>
      <c r="I512" s="87"/>
    </row>
    <row r="513">
      <c r="A513" s="46" t="str">
        <f>IFERROR(__xludf.DUMMYFUNCTION("""COMPUTED_VALUE"""),"Europe")</f>
        <v>Europe</v>
      </c>
      <c r="B513" s="46" t="str">
        <f>IFERROR(__xludf.DUMMYFUNCTION("""COMPUTED_VALUE"""),"Serbia")</f>
        <v>Serbia</v>
      </c>
      <c r="C513" s="46" t="str">
        <f>IFERROR(__xludf.DUMMYFUNCTION("""COMPUTED_VALUE"""),"Cereal")</f>
        <v>Cereal</v>
      </c>
      <c r="D513" s="46">
        <f>IFERROR(__xludf.DUMMYFUNCTION("""COMPUTED_VALUE"""),24.0)</f>
        <v>24</v>
      </c>
      <c r="E513" s="46">
        <f>IFERROR(__xludf.DUMMYFUNCTION("""COMPUTED_VALUE"""),4.43125665E8)</f>
        <v>443125665</v>
      </c>
      <c r="F513" s="84">
        <f>IFERROR(__xludf.DUMMYFUNCTION("""COMPUTED_VALUE"""),1971840.2)</f>
        <v>1971840.2</v>
      </c>
      <c r="I513" s="87"/>
    </row>
    <row r="514">
      <c r="A514" s="46" t="str">
        <f>IFERROR(__xludf.DUMMYFUNCTION("""COMPUTED_VALUE"""),"Europe")</f>
        <v>Europe</v>
      </c>
      <c r="B514" s="46" t="str">
        <f>IFERROR(__xludf.DUMMYFUNCTION("""COMPUTED_VALUE"""),"Andorra")</f>
        <v>Andorra</v>
      </c>
      <c r="C514" s="46" t="str">
        <f>IFERROR(__xludf.DUMMYFUNCTION("""COMPUTED_VALUE"""),"Cereal")</f>
        <v>Cereal</v>
      </c>
      <c r="D514" s="46">
        <f>IFERROR(__xludf.DUMMYFUNCTION("""COMPUTED_VALUE"""),20.0)</f>
        <v>20</v>
      </c>
      <c r="E514" s="46">
        <f>IFERROR(__xludf.DUMMYFUNCTION("""COMPUTED_VALUE"""),4.43347108E8)</f>
        <v>443347108</v>
      </c>
      <c r="F514" s="84">
        <f>IFERROR(__xludf.DUMMYFUNCTION("""COMPUTED_VALUE"""),1052361.2)</f>
        <v>1052361.2</v>
      </c>
      <c r="I514" s="87"/>
    </row>
    <row r="515">
      <c r="A515" s="46" t="str">
        <f>IFERROR(__xludf.DUMMYFUNCTION("""COMPUTED_VALUE"""),"Europe")</f>
        <v>Europe</v>
      </c>
      <c r="B515" s="46" t="str">
        <f>IFERROR(__xludf.DUMMYFUNCTION("""COMPUTED_VALUE"""),"Andorra")</f>
        <v>Andorra</v>
      </c>
      <c r="C515" s="46" t="str">
        <f>IFERROR(__xludf.DUMMYFUNCTION("""COMPUTED_VALUE"""),"Beverages")</f>
        <v>Beverages</v>
      </c>
      <c r="D515" s="46">
        <f>IFERROR(__xludf.DUMMYFUNCTION("""COMPUTED_VALUE"""),4.0)</f>
        <v>4</v>
      </c>
      <c r="E515" s="46">
        <f>IFERROR(__xludf.DUMMYFUNCTION("""COMPUTED_VALUE"""),4.43544518E8)</f>
        <v>443544518</v>
      </c>
      <c r="F515" s="84">
        <f>IFERROR(__xludf.DUMMYFUNCTION("""COMPUTED_VALUE"""),167688.30000000002)</f>
        <v>167688.3</v>
      </c>
      <c r="I515" s="87"/>
    </row>
    <row r="516">
      <c r="A516" s="46" t="str">
        <f>IFERROR(__xludf.DUMMYFUNCTION("""COMPUTED_VALUE"""),"Europe")</f>
        <v>Europe</v>
      </c>
      <c r="B516" s="46" t="str">
        <f>IFERROR(__xludf.DUMMYFUNCTION("""COMPUTED_VALUE"""),"Sweden")</f>
        <v>Sweden</v>
      </c>
      <c r="C516" s="46" t="str">
        <f>IFERROR(__xludf.DUMMYFUNCTION("""COMPUTED_VALUE"""),"Baby Food")</f>
        <v>Baby Food</v>
      </c>
      <c r="D516" s="46">
        <f>IFERROR(__xludf.DUMMYFUNCTION("""COMPUTED_VALUE"""),36.0)</f>
        <v>36</v>
      </c>
      <c r="E516" s="46">
        <f>IFERROR(__xludf.DUMMYFUNCTION("""COMPUTED_VALUE"""),4.43551385E8)</f>
        <v>443551385</v>
      </c>
      <c r="F516" s="84">
        <f>IFERROR(__xludf.DUMMYFUNCTION("""COMPUTED_VALUE"""),1420888.48)</f>
        <v>1420888.48</v>
      </c>
      <c r="I516" s="87"/>
    </row>
    <row r="517">
      <c r="A517" s="46" t="str">
        <f>IFERROR(__xludf.DUMMYFUNCTION("""COMPUTED_VALUE"""),"Europe")</f>
        <v>Europe</v>
      </c>
      <c r="B517" s="46" t="str">
        <f>IFERROR(__xludf.DUMMYFUNCTION("""COMPUTED_VALUE"""),"Greece")</f>
        <v>Greece</v>
      </c>
      <c r="C517" s="46" t="str">
        <f>IFERROR(__xludf.DUMMYFUNCTION("""COMPUTED_VALUE"""),"Baby Food")</f>
        <v>Baby Food</v>
      </c>
      <c r="D517" s="46">
        <f>IFERROR(__xludf.DUMMYFUNCTION("""COMPUTED_VALUE"""),39.0)</f>
        <v>39</v>
      </c>
      <c r="E517" s="46">
        <f>IFERROR(__xludf.DUMMYFUNCTION("""COMPUTED_VALUE"""),4.44234168E8)</f>
        <v>444234168</v>
      </c>
      <c r="F517" s="84">
        <f>IFERROR(__xludf.DUMMYFUNCTION("""COMPUTED_VALUE"""),1944467.76)</f>
        <v>1944467.76</v>
      </c>
      <c r="I517" s="87"/>
    </row>
    <row r="518">
      <c r="A518" s="46" t="str">
        <f>IFERROR(__xludf.DUMMYFUNCTION("""COMPUTED_VALUE"""),"Europe")</f>
        <v>Europe</v>
      </c>
      <c r="B518" s="46" t="str">
        <f>IFERROR(__xludf.DUMMYFUNCTION("""COMPUTED_VALUE"""),"Portugal")</f>
        <v>Portugal</v>
      </c>
      <c r="C518" s="46" t="str">
        <f>IFERROR(__xludf.DUMMYFUNCTION("""COMPUTED_VALUE"""),"Household")</f>
        <v>Household</v>
      </c>
      <c r="D518" s="46">
        <f>IFERROR(__xludf.DUMMYFUNCTION("""COMPUTED_VALUE"""),16.0)</f>
        <v>16</v>
      </c>
      <c r="E518" s="46">
        <f>IFERROR(__xludf.DUMMYFUNCTION("""COMPUTED_VALUE"""),4.44798934E8)</f>
        <v>444798934</v>
      </c>
      <c r="F518" s="84">
        <f>IFERROR(__xludf.DUMMYFUNCTION("""COMPUTED_VALUE"""),3170272.88)</f>
        <v>3170272.88</v>
      </c>
      <c r="I518" s="87"/>
    </row>
    <row r="519">
      <c r="A519" s="46" t="str">
        <f>IFERROR(__xludf.DUMMYFUNCTION("""COMPUTED_VALUE"""),"Europe")</f>
        <v>Europe</v>
      </c>
      <c r="B519" s="46" t="str">
        <f>IFERROR(__xludf.DUMMYFUNCTION("""COMPUTED_VALUE"""),"Czech Republic")</f>
        <v>Czech Republic</v>
      </c>
      <c r="C519" s="46" t="str">
        <f>IFERROR(__xludf.DUMMYFUNCTION("""COMPUTED_VALUE"""),"Cereal")</f>
        <v>Cereal</v>
      </c>
      <c r="D519" s="46">
        <f>IFERROR(__xludf.DUMMYFUNCTION("""COMPUTED_VALUE"""),44.0)</f>
        <v>44</v>
      </c>
      <c r="E519" s="46">
        <f>IFERROR(__xludf.DUMMYFUNCTION("""COMPUTED_VALUE"""),4.4480623E8)</f>
        <v>444806230</v>
      </c>
      <c r="F519" s="84">
        <f>IFERROR(__xludf.DUMMYFUNCTION("""COMPUTED_VALUE"""),1419947.0999999999)</f>
        <v>1419947.1</v>
      </c>
      <c r="I519" s="87"/>
    </row>
    <row r="520">
      <c r="A520" s="46" t="str">
        <f>IFERROR(__xludf.DUMMYFUNCTION("""COMPUTED_VALUE"""),"Europe")</f>
        <v>Europe</v>
      </c>
      <c r="B520" s="46" t="str">
        <f>IFERROR(__xludf.DUMMYFUNCTION("""COMPUTED_VALUE"""),"Finland")</f>
        <v>Finland</v>
      </c>
      <c r="C520" s="46" t="str">
        <f>IFERROR(__xludf.DUMMYFUNCTION("""COMPUTED_VALUE"""),"Office Supplies")</f>
        <v>Office Supplies</v>
      </c>
      <c r="D520" s="46">
        <f>IFERROR(__xludf.DUMMYFUNCTION("""COMPUTED_VALUE"""),41.0)</f>
        <v>41</v>
      </c>
      <c r="E520" s="46">
        <f>IFERROR(__xludf.DUMMYFUNCTION("""COMPUTED_VALUE"""),4.45273578E8)</f>
        <v>445273578</v>
      </c>
      <c r="F520" s="84">
        <f>IFERROR(__xludf.DUMMYFUNCTION("""COMPUTED_VALUE"""),3386943.21)</f>
        <v>3386943.21</v>
      </c>
      <c r="I520" s="87"/>
    </row>
    <row r="521">
      <c r="A521" s="46" t="str">
        <f>IFERROR(__xludf.DUMMYFUNCTION("""COMPUTED_VALUE"""),"Europe")</f>
        <v>Europe</v>
      </c>
      <c r="B521" s="46" t="str">
        <f>IFERROR(__xludf.DUMMYFUNCTION("""COMPUTED_VALUE"""),"Malta")</f>
        <v>Malta</v>
      </c>
      <c r="C521" s="46" t="str">
        <f>IFERROR(__xludf.DUMMYFUNCTION("""COMPUTED_VALUE"""),"Personal Care")</f>
        <v>Personal Care</v>
      </c>
      <c r="D521" s="46">
        <f>IFERROR(__xludf.DUMMYFUNCTION("""COMPUTED_VALUE"""),8.0)</f>
        <v>8</v>
      </c>
      <c r="E521" s="46">
        <f>IFERROR(__xludf.DUMMYFUNCTION("""COMPUTED_VALUE"""),4.45708739E8)</f>
        <v>445708739</v>
      </c>
      <c r="F521" s="84">
        <f>IFERROR(__xludf.DUMMYFUNCTION("""COMPUTED_VALUE"""),324876.75)</f>
        <v>324876.75</v>
      </c>
      <c r="I521" s="87"/>
    </row>
    <row r="522">
      <c r="A522" s="46" t="str">
        <f>IFERROR(__xludf.DUMMYFUNCTION("""COMPUTED_VALUE"""),"Europe")</f>
        <v>Europe</v>
      </c>
      <c r="B522" s="46" t="str">
        <f>IFERROR(__xludf.DUMMYFUNCTION("""COMPUTED_VALUE"""),"Norway")</f>
        <v>Norway</v>
      </c>
      <c r="C522" s="46" t="str">
        <f>IFERROR(__xludf.DUMMYFUNCTION("""COMPUTED_VALUE"""),"Cereal")</f>
        <v>Cereal</v>
      </c>
      <c r="D522" s="46">
        <f>IFERROR(__xludf.DUMMYFUNCTION("""COMPUTED_VALUE"""),31.0)</f>
        <v>31</v>
      </c>
      <c r="E522" s="46">
        <f>IFERROR(__xludf.DUMMYFUNCTION("""COMPUTED_VALUE"""),4.45952498E8)</f>
        <v>445952498</v>
      </c>
      <c r="F522" s="84">
        <f>IFERROR(__xludf.DUMMYFUNCTION("""COMPUTED_VALUE"""),1256621.3)</f>
        <v>1256621.3</v>
      </c>
      <c r="I522" s="87"/>
    </row>
    <row r="523">
      <c r="A523" s="46" t="str">
        <f>IFERROR(__xludf.DUMMYFUNCTION("""COMPUTED_VALUE"""),"Europe")</f>
        <v>Europe</v>
      </c>
      <c r="B523" s="46" t="str">
        <f>IFERROR(__xludf.DUMMYFUNCTION("""COMPUTED_VALUE"""),"Ukraine")</f>
        <v>Ukraine</v>
      </c>
      <c r="C523" s="46" t="str">
        <f>IFERROR(__xludf.DUMMYFUNCTION("""COMPUTED_VALUE"""),"Vegetables")</f>
        <v>Vegetables</v>
      </c>
      <c r="D523" s="46">
        <f>IFERROR(__xludf.DUMMYFUNCTION("""COMPUTED_VALUE"""),19.0)</f>
        <v>19</v>
      </c>
      <c r="E523" s="46">
        <f>IFERROR(__xludf.DUMMYFUNCTION("""COMPUTED_VALUE"""),4.46019017E8)</f>
        <v>446019017</v>
      </c>
      <c r="F523" s="84">
        <f>IFERROR(__xludf.DUMMYFUNCTION("""COMPUTED_VALUE"""),892623.64)</f>
        <v>892623.64</v>
      </c>
      <c r="I523" s="87"/>
    </row>
    <row r="524">
      <c r="A524" s="46" t="str">
        <f>IFERROR(__xludf.DUMMYFUNCTION("""COMPUTED_VALUE"""),"Europe")</f>
        <v>Europe</v>
      </c>
      <c r="B524" s="46" t="str">
        <f>IFERROR(__xludf.DUMMYFUNCTION("""COMPUTED_VALUE"""),"Spain")</f>
        <v>Spain</v>
      </c>
      <c r="C524" s="46" t="str">
        <f>IFERROR(__xludf.DUMMYFUNCTION("""COMPUTED_VALUE"""),"Fruits")</f>
        <v>Fruits</v>
      </c>
      <c r="D524" s="46">
        <f>IFERROR(__xludf.DUMMYFUNCTION("""COMPUTED_VALUE"""),8.0)</f>
        <v>8</v>
      </c>
      <c r="E524" s="46">
        <f>IFERROR(__xludf.DUMMYFUNCTION("""COMPUTED_VALUE"""),4.46045196E8)</f>
        <v>446045196</v>
      </c>
      <c r="F524" s="84">
        <f>IFERROR(__xludf.DUMMYFUNCTION("""COMPUTED_VALUE"""),33028.2)</f>
        <v>33028.2</v>
      </c>
      <c r="I524" s="87"/>
    </row>
    <row r="525">
      <c r="A525" s="46" t="str">
        <f>IFERROR(__xludf.DUMMYFUNCTION("""COMPUTED_VALUE"""),"Europe")</f>
        <v>Europe</v>
      </c>
      <c r="B525" s="46" t="str">
        <f>IFERROR(__xludf.DUMMYFUNCTION("""COMPUTED_VALUE"""),"San Marino")</f>
        <v>San Marino</v>
      </c>
      <c r="C525" s="46" t="str">
        <f>IFERROR(__xludf.DUMMYFUNCTION("""COMPUTED_VALUE"""),"Cosmetics")</f>
        <v>Cosmetics</v>
      </c>
      <c r="D525" s="46">
        <f>IFERROR(__xludf.DUMMYFUNCTION("""COMPUTED_VALUE"""),28.0)</f>
        <v>28</v>
      </c>
      <c r="E525" s="46">
        <f>IFERROR(__xludf.DUMMYFUNCTION("""COMPUTED_VALUE"""),4.4718331E8)</f>
        <v>447183310</v>
      </c>
      <c r="F525" s="84">
        <f>IFERROR(__xludf.DUMMYFUNCTION("""COMPUTED_VALUE"""),146024.8)</f>
        <v>146024.8</v>
      </c>
      <c r="I525" s="87"/>
    </row>
    <row r="526">
      <c r="A526" s="46" t="str">
        <f>IFERROR(__xludf.DUMMYFUNCTION("""COMPUTED_VALUE"""),"Europe")</f>
        <v>Europe</v>
      </c>
      <c r="B526" s="46" t="str">
        <f>IFERROR(__xludf.DUMMYFUNCTION("""COMPUTED_VALUE"""),"Serbia")</f>
        <v>Serbia</v>
      </c>
      <c r="C526" s="46" t="str">
        <f>IFERROR(__xludf.DUMMYFUNCTION("""COMPUTED_VALUE"""),"Meat")</f>
        <v>Meat</v>
      </c>
      <c r="D526" s="46">
        <f>IFERROR(__xludf.DUMMYFUNCTION("""COMPUTED_VALUE"""),11.0)</f>
        <v>11</v>
      </c>
      <c r="E526" s="46">
        <f>IFERROR(__xludf.DUMMYFUNCTION("""COMPUTED_VALUE"""),4.47536504E8)</f>
        <v>447536504</v>
      </c>
      <c r="F526" s="84">
        <f>IFERROR(__xludf.DUMMYFUNCTION("""COMPUTED_VALUE"""),2047010.28)</f>
        <v>2047010.28</v>
      </c>
      <c r="I526" s="87"/>
    </row>
    <row r="527">
      <c r="A527" s="46" t="str">
        <f>IFERROR(__xludf.DUMMYFUNCTION("""COMPUTED_VALUE"""),"Europe")</f>
        <v>Europe</v>
      </c>
      <c r="B527" s="46" t="str">
        <f>IFERROR(__xludf.DUMMYFUNCTION("""COMPUTED_VALUE"""),"France")</f>
        <v>France</v>
      </c>
      <c r="C527" s="46" t="str">
        <f>IFERROR(__xludf.DUMMYFUNCTION("""COMPUTED_VALUE"""),"Snacks")</f>
        <v>Snacks</v>
      </c>
      <c r="D527" s="46">
        <f>IFERROR(__xludf.DUMMYFUNCTION("""COMPUTED_VALUE"""),42.0)</f>
        <v>42</v>
      </c>
      <c r="E527" s="46">
        <f>IFERROR(__xludf.DUMMYFUNCTION("""COMPUTED_VALUE"""),4.47684133E8)</f>
        <v>447684133</v>
      </c>
      <c r="F527" s="84">
        <f>IFERROR(__xludf.DUMMYFUNCTION("""COMPUTED_VALUE"""),1302728.04)</f>
        <v>1302728.04</v>
      </c>
      <c r="I527" s="87"/>
    </row>
    <row r="528">
      <c r="A528" s="46" t="str">
        <f>IFERROR(__xludf.DUMMYFUNCTION("""COMPUTED_VALUE"""),"Europe")</f>
        <v>Europe</v>
      </c>
      <c r="B528" s="46" t="str">
        <f>IFERROR(__xludf.DUMMYFUNCTION("""COMPUTED_VALUE"""),"France")</f>
        <v>France</v>
      </c>
      <c r="C528" s="46" t="str">
        <f>IFERROR(__xludf.DUMMYFUNCTION("""COMPUTED_VALUE"""),"Cereal")</f>
        <v>Cereal</v>
      </c>
      <c r="D528" s="46">
        <f>IFERROR(__xludf.DUMMYFUNCTION("""COMPUTED_VALUE"""),37.0)</f>
        <v>37</v>
      </c>
      <c r="E528" s="46">
        <f>IFERROR(__xludf.DUMMYFUNCTION("""COMPUTED_VALUE"""),4.4920634E8)</f>
        <v>449206340</v>
      </c>
      <c r="F528" s="84">
        <f>IFERROR(__xludf.DUMMYFUNCTION("""COMPUTED_VALUE"""),1849860.0999999999)</f>
        <v>1849860.1</v>
      </c>
      <c r="I528" s="87"/>
    </row>
    <row r="529">
      <c r="A529" s="46" t="str">
        <f>IFERROR(__xludf.DUMMYFUNCTION("""COMPUTED_VALUE"""),"Europe")</f>
        <v>Europe</v>
      </c>
      <c r="B529" s="46" t="str">
        <f>IFERROR(__xludf.DUMMYFUNCTION("""COMPUTED_VALUE"""),"Portugal")</f>
        <v>Portugal</v>
      </c>
      <c r="C529" s="46" t="str">
        <f>IFERROR(__xludf.DUMMYFUNCTION("""COMPUTED_VALUE"""),"Cosmetics")</f>
        <v>Cosmetics</v>
      </c>
      <c r="D529" s="46">
        <f>IFERROR(__xludf.DUMMYFUNCTION("""COMPUTED_VALUE"""),27.0)</f>
        <v>27</v>
      </c>
      <c r="E529" s="46">
        <f>IFERROR(__xludf.DUMMYFUNCTION("""COMPUTED_VALUE"""),4.50041043E8)</f>
        <v>450041043</v>
      </c>
      <c r="F529" s="84">
        <f>IFERROR(__xludf.DUMMYFUNCTION("""COMPUTED_VALUE"""),2623200.0)</f>
        <v>2623200</v>
      </c>
      <c r="I529" s="87"/>
    </row>
    <row r="530">
      <c r="A530" s="46" t="str">
        <f>IFERROR(__xludf.DUMMYFUNCTION("""COMPUTED_VALUE"""),"Europe")</f>
        <v>Europe</v>
      </c>
      <c r="B530" s="46" t="str">
        <f>IFERROR(__xludf.DUMMYFUNCTION("""COMPUTED_VALUE"""),"Russia")</f>
        <v>Russia</v>
      </c>
      <c r="C530" s="46" t="str">
        <f>IFERROR(__xludf.DUMMYFUNCTION("""COMPUTED_VALUE"""),"Baby Food")</f>
        <v>Baby Food</v>
      </c>
      <c r="D530" s="46">
        <f>IFERROR(__xludf.DUMMYFUNCTION("""COMPUTED_VALUE"""),9.0)</f>
        <v>9</v>
      </c>
      <c r="E530" s="46">
        <f>IFERROR(__xludf.DUMMYFUNCTION("""COMPUTED_VALUE"""),4.50550019E8)</f>
        <v>450550019</v>
      </c>
      <c r="F530" s="84">
        <f>IFERROR(__xludf.DUMMYFUNCTION("""COMPUTED_VALUE"""),1689443.04)</f>
        <v>1689443.04</v>
      </c>
      <c r="I530" s="87"/>
    </row>
    <row r="531">
      <c r="A531" s="46" t="str">
        <f>IFERROR(__xludf.DUMMYFUNCTION("""COMPUTED_VALUE"""),"Europe")</f>
        <v>Europe</v>
      </c>
      <c r="B531" s="46" t="str">
        <f>IFERROR(__xludf.DUMMYFUNCTION("""COMPUTED_VALUE"""),"Sweden")</f>
        <v>Sweden</v>
      </c>
      <c r="C531" s="46" t="str">
        <f>IFERROR(__xludf.DUMMYFUNCTION("""COMPUTED_VALUE"""),"Fruits")</f>
        <v>Fruits</v>
      </c>
      <c r="D531" s="46">
        <f>IFERROR(__xludf.DUMMYFUNCTION("""COMPUTED_VALUE"""),27.0)</f>
        <v>27</v>
      </c>
      <c r="E531" s="46">
        <f>IFERROR(__xludf.DUMMYFUNCTION("""COMPUTED_VALUE"""),4.52471768E8)</f>
        <v>452471768</v>
      </c>
      <c r="F531" s="84">
        <f>IFERROR(__xludf.DUMMYFUNCTION("""COMPUTED_VALUE"""),49504.98)</f>
        <v>49504.98</v>
      </c>
      <c r="I531" s="87"/>
    </row>
    <row r="532">
      <c r="A532" s="46" t="str">
        <f>IFERROR(__xludf.DUMMYFUNCTION("""COMPUTED_VALUE"""),"Undefined")</f>
        <v>Undefined</v>
      </c>
      <c r="B532" s="46" t="str">
        <f>IFERROR(__xludf.DUMMYFUNCTION("""COMPUTED_VALUE"""),"Undefined")</f>
        <v>Undefined</v>
      </c>
      <c r="C532" s="46" t="str">
        <f>IFERROR(__xludf.DUMMYFUNCTION("""COMPUTED_VALUE"""),"Vegetables")</f>
        <v>Vegetables</v>
      </c>
      <c r="D532" s="46">
        <f>IFERROR(__xludf.DUMMYFUNCTION("""COMPUTED_VALUE"""),1.0)</f>
        <v>1</v>
      </c>
      <c r="E532" s="46">
        <f>IFERROR(__xludf.DUMMYFUNCTION("""COMPUTED_VALUE"""),4.52559745E8)</f>
        <v>452559745</v>
      </c>
      <c r="F532" s="84">
        <f>IFERROR(__xludf.DUMMYFUNCTION("""COMPUTED_VALUE"""),206440.4)</f>
        <v>206440.4</v>
      </c>
      <c r="I532" s="87"/>
    </row>
    <row r="533">
      <c r="A533" s="46" t="str">
        <f>IFERROR(__xludf.DUMMYFUNCTION("""COMPUTED_VALUE"""),"Europe")</f>
        <v>Europe</v>
      </c>
      <c r="B533" s="46" t="str">
        <f>IFERROR(__xludf.DUMMYFUNCTION("""COMPUTED_VALUE"""),"Poland")</f>
        <v>Poland</v>
      </c>
      <c r="C533" s="46" t="str">
        <f>IFERROR(__xludf.DUMMYFUNCTION("""COMPUTED_VALUE"""),"Cereal")</f>
        <v>Cereal</v>
      </c>
      <c r="D533" s="46">
        <f>IFERROR(__xludf.DUMMYFUNCTION("""COMPUTED_VALUE"""),31.0)</f>
        <v>31</v>
      </c>
      <c r="E533" s="46">
        <f>IFERROR(__xludf.DUMMYFUNCTION("""COMPUTED_VALUE"""),4.54550588E8)</f>
        <v>454550588</v>
      </c>
      <c r="F533" s="84">
        <f>IFERROR(__xludf.DUMMYFUNCTION("""COMPUTED_VALUE"""),97707.5)</f>
        <v>97707.5</v>
      </c>
      <c r="I533" s="87"/>
    </row>
    <row r="534">
      <c r="A534" s="46" t="str">
        <f>IFERROR(__xludf.DUMMYFUNCTION("""COMPUTED_VALUE"""),"Europe")</f>
        <v>Europe</v>
      </c>
      <c r="B534" s="46" t="str">
        <f>IFERROR(__xludf.DUMMYFUNCTION("""COMPUTED_VALUE"""),"France")</f>
        <v>France</v>
      </c>
      <c r="C534" s="46" t="str">
        <f>IFERROR(__xludf.DUMMYFUNCTION("""COMPUTED_VALUE"""),"Vegetables")</f>
        <v>Vegetables</v>
      </c>
      <c r="D534" s="46">
        <f>IFERROR(__xludf.DUMMYFUNCTION("""COMPUTED_VALUE"""),1.0)</f>
        <v>1</v>
      </c>
      <c r="E534" s="46">
        <f>IFERROR(__xludf.DUMMYFUNCTION("""COMPUTED_VALUE"""),4.55040681E8)</f>
        <v>455040681</v>
      </c>
      <c r="F534" s="84">
        <f>IFERROR(__xludf.DUMMYFUNCTION("""COMPUTED_VALUE"""),847946.24)</f>
        <v>847946.24</v>
      </c>
      <c r="I534" s="87"/>
    </row>
    <row r="535">
      <c r="A535" s="46" t="str">
        <f>IFERROR(__xludf.DUMMYFUNCTION("""COMPUTED_VALUE"""),"Europe")</f>
        <v>Europe</v>
      </c>
      <c r="B535" s="46" t="str">
        <f>IFERROR(__xludf.DUMMYFUNCTION("""COMPUTED_VALUE"""),"Macedonia")</f>
        <v>Macedonia</v>
      </c>
      <c r="C535" s="46" t="str">
        <f>IFERROR(__xludf.DUMMYFUNCTION("""COMPUTED_VALUE"""),"Personal Care")</f>
        <v>Personal Care</v>
      </c>
      <c r="D535" s="46">
        <f>IFERROR(__xludf.DUMMYFUNCTION("""COMPUTED_VALUE"""),30.0)</f>
        <v>30</v>
      </c>
      <c r="E535" s="46">
        <f>IFERROR(__xludf.DUMMYFUNCTION("""COMPUTED_VALUE"""),4.56192958E8)</f>
        <v>456192958</v>
      </c>
      <c r="F535" s="84">
        <f>IFERROR(__xludf.DUMMYFUNCTION("""COMPUTED_VALUE"""),530345.97)</f>
        <v>530345.97</v>
      </c>
      <c r="I535" s="87"/>
    </row>
    <row r="536">
      <c r="A536" s="46" t="str">
        <f>IFERROR(__xludf.DUMMYFUNCTION("""COMPUTED_VALUE"""),"Europe")</f>
        <v>Europe</v>
      </c>
      <c r="B536" s="46" t="str">
        <f>IFERROR(__xludf.DUMMYFUNCTION("""COMPUTED_VALUE"""),"Belgium")</f>
        <v>Belgium</v>
      </c>
      <c r="C536" s="46" t="str">
        <f>IFERROR(__xludf.DUMMYFUNCTION("""COMPUTED_VALUE"""),"Office Supplies")</f>
        <v>Office Supplies</v>
      </c>
      <c r="D536" s="46">
        <f>IFERROR(__xludf.DUMMYFUNCTION("""COMPUTED_VALUE"""),1.0)</f>
        <v>1</v>
      </c>
      <c r="E536" s="46">
        <f>IFERROR(__xludf.DUMMYFUNCTION("""COMPUTED_VALUE"""),4.56527268E8)</f>
        <v>456527268</v>
      </c>
      <c r="F536" s="84">
        <f>IFERROR(__xludf.DUMMYFUNCTION("""COMPUTED_VALUE"""),3528906.99)</f>
        <v>3528906.99</v>
      </c>
      <c r="I536" s="87"/>
    </row>
    <row r="537">
      <c r="A537" s="46" t="str">
        <f>IFERROR(__xludf.DUMMYFUNCTION("""COMPUTED_VALUE"""),"Europe")</f>
        <v>Europe</v>
      </c>
      <c r="B537" s="46" t="str">
        <f>IFERROR(__xludf.DUMMYFUNCTION("""COMPUTED_VALUE"""),"San Marino")</f>
        <v>San Marino</v>
      </c>
      <c r="C537" s="46" t="str">
        <f>IFERROR(__xludf.DUMMYFUNCTION("""COMPUTED_VALUE"""),"Meat")</f>
        <v>Meat</v>
      </c>
      <c r="D537" s="46">
        <f>IFERROR(__xludf.DUMMYFUNCTION("""COMPUTED_VALUE"""),43.0)</f>
        <v>43</v>
      </c>
      <c r="E537" s="46">
        <f>IFERROR(__xludf.DUMMYFUNCTION("""COMPUTED_VALUE"""),4.56934964E8)</f>
        <v>456934964</v>
      </c>
      <c r="F537" s="84">
        <f>IFERROR(__xludf.DUMMYFUNCTION("""COMPUTED_VALUE"""),2558762.85)</f>
        <v>2558762.85</v>
      </c>
      <c r="I537" s="87"/>
    </row>
    <row r="538">
      <c r="A538" s="46" t="str">
        <f>IFERROR(__xludf.DUMMYFUNCTION("""COMPUTED_VALUE"""),"Undefined")</f>
        <v>Undefined</v>
      </c>
      <c r="B538" s="46" t="str">
        <f>IFERROR(__xludf.DUMMYFUNCTION("""COMPUTED_VALUE"""),"Undefined")</f>
        <v>Undefined</v>
      </c>
      <c r="C538" s="46" t="str">
        <f>IFERROR(__xludf.DUMMYFUNCTION("""COMPUTED_VALUE"""),"Office Supplies")</f>
        <v>Office Supplies</v>
      </c>
      <c r="D538" s="46">
        <f>IFERROR(__xludf.DUMMYFUNCTION("""COMPUTED_VALUE"""),12.0)</f>
        <v>12</v>
      </c>
      <c r="E538" s="46">
        <f>IFERROR(__xludf.DUMMYFUNCTION("""COMPUTED_VALUE"""),4.58816373E8)</f>
        <v>458816373</v>
      </c>
      <c r="F538" s="84">
        <f>IFERROR(__xludf.DUMMYFUNCTION("""COMPUTED_VALUE"""),1833156.1500000001)</f>
        <v>1833156.15</v>
      </c>
      <c r="I538" s="87"/>
    </row>
    <row r="539">
      <c r="A539" s="46" t="str">
        <f>IFERROR(__xludf.DUMMYFUNCTION("""COMPUTED_VALUE"""),"Europe")</f>
        <v>Europe</v>
      </c>
      <c r="B539" s="46" t="str">
        <f>IFERROR(__xludf.DUMMYFUNCTION("""COMPUTED_VALUE"""),"Spain")</f>
        <v>Spain</v>
      </c>
      <c r="C539" s="46" t="str">
        <f>IFERROR(__xludf.DUMMYFUNCTION("""COMPUTED_VALUE"""),"Meat")</f>
        <v>Meat</v>
      </c>
      <c r="D539" s="46">
        <f>IFERROR(__xludf.DUMMYFUNCTION("""COMPUTED_VALUE"""),19.0)</f>
        <v>19</v>
      </c>
      <c r="E539" s="46">
        <f>IFERROR(__xludf.DUMMYFUNCTION("""COMPUTED_VALUE"""),4.59277713E8)</f>
        <v>459277713</v>
      </c>
      <c r="F539" s="84">
        <f>IFERROR(__xludf.DUMMYFUNCTION("""COMPUTED_VALUE"""),3938765.04)</f>
        <v>3938765.04</v>
      </c>
      <c r="I539" s="87"/>
    </row>
    <row r="540">
      <c r="A540" s="46" t="str">
        <f>IFERROR(__xludf.DUMMYFUNCTION("""COMPUTED_VALUE"""),"Europe")</f>
        <v>Europe</v>
      </c>
      <c r="B540" s="46" t="str">
        <f>IFERROR(__xludf.DUMMYFUNCTION("""COMPUTED_VALUE"""),"Italy")</f>
        <v>Italy</v>
      </c>
      <c r="C540" s="46" t="str">
        <f>IFERROR(__xludf.DUMMYFUNCTION("""COMPUTED_VALUE"""),"Baby Food")</f>
        <v>Baby Food</v>
      </c>
      <c r="D540" s="46">
        <f>IFERROR(__xludf.DUMMYFUNCTION("""COMPUTED_VALUE"""),21.0)</f>
        <v>21</v>
      </c>
      <c r="E540" s="46">
        <f>IFERROR(__xludf.DUMMYFUNCTION("""COMPUTED_VALUE"""),4.59372985E8)</f>
        <v>459372985</v>
      </c>
      <c r="F540" s="84">
        <f>IFERROR(__xludf.DUMMYFUNCTION("""COMPUTED_VALUE"""),1922003.12)</f>
        <v>1922003.12</v>
      </c>
      <c r="I540" s="87"/>
    </row>
    <row r="541">
      <c r="A541" s="46" t="str">
        <f>IFERROR(__xludf.DUMMYFUNCTION("""COMPUTED_VALUE"""),"Asia")</f>
        <v>Asia</v>
      </c>
      <c r="B541" s="46" t="str">
        <f>IFERROR(__xludf.DUMMYFUNCTION("""COMPUTED_VALUE"""),"Georgia")</f>
        <v>Georgia</v>
      </c>
      <c r="C541" s="46" t="str">
        <f>IFERROR(__xludf.DUMMYFUNCTION("""COMPUTED_VALUE"""),"Fruits")</f>
        <v>Fruits</v>
      </c>
      <c r="D541" s="46">
        <f>IFERROR(__xludf.DUMMYFUNCTION("""COMPUTED_VALUE"""),28.0)</f>
        <v>28</v>
      </c>
      <c r="E541" s="46">
        <f>IFERROR(__xludf.DUMMYFUNCTION("""COMPUTED_VALUE"""),4.60693061E8)</f>
        <v>460693061</v>
      </c>
      <c r="F541" s="84">
        <f>IFERROR(__xludf.DUMMYFUNCTION("""COMPUTED_VALUE"""),76216.77)</f>
        <v>76216.77</v>
      </c>
      <c r="I541" s="87"/>
    </row>
    <row r="542">
      <c r="A542" s="46" t="str">
        <f>IFERROR(__xludf.DUMMYFUNCTION("""COMPUTED_VALUE"""),"Undefined")</f>
        <v>Undefined</v>
      </c>
      <c r="B542" s="46" t="str">
        <f>IFERROR(__xludf.DUMMYFUNCTION("""COMPUTED_VALUE"""),"Undefined")</f>
        <v>Undefined</v>
      </c>
      <c r="C542" s="46" t="str">
        <f>IFERROR(__xludf.DUMMYFUNCTION("""COMPUTED_VALUE"""),"Personal Care")</f>
        <v>Personal Care</v>
      </c>
      <c r="D542" s="46">
        <f>IFERROR(__xludf.DUMMYFUNCTION("""COMPUTED_VALUE"""),34.0)</f>
        <v>34</v>
      </c>
      <c r="E542" s="46">
        <f>IFERROR(__xludf.DUMMYFUNCTION("""COMPUTED_VALUE"""),4.61445796E8)</f>
        <v>461445796</v>
      </c>
      <c r="F542" s="84">
        <f>IFERROR(__xludf.DUMMYFUNCTION("""COMPUTED_VALUE"""),75191.6)</f>
        <v>75191.6</v>
      </c>
      <c r="I542" s="87"/>
    </row>
    <row r="543">
      <c r="A543" s="46" t="str">
        <f>IFERROR(__xludf.DUMMYFUNCTION("""COMPUTED_VALUE"""),"Europe")</f>
        <v>Europe</v>
      </c>
      <c r="B543" s="46" t="str">
        <f>IFERROR(__xludf.DUMMYFUNCTION("""COMPUTED_VALUE"""),"Montenegro")</f>
        <v>Montenegro</v>
      </c>
      <c r="C543" s="46" t="str">
        <f>IFERROR(__xludf.DUMMYFUNCTION("""COMPUTED_VALUE"""),"Baby Food")</f>
        <v>Baby Food</v>
      </c>
      <c r="D543" s="46">
        <f>IFERROR(__xludf.DUMMYFUNCTION("""COMPUTED_VALUE"""),35.0)</f>
        <v>35</v>
      </c>
      <c r="E543" s="46">
        <f>IFERROR(__xludf.DUMMYFUNCTION("""COMPUTED_VALUE"""),4.61917865E8)</f>
        <v>461917865</v>
      </c>
      <c r="F543" s="84">
        <f>IFERROR(__xludf.DUMMYFUNCTION("""COMPUTED_VALUE"""),157252.48)</f>
        <v>157252.48</v>
      </c>
      <c r="I543" s="87"/>
    </row>
    <row r="544">
      <c r="A544" s="46" t="str">
        <f>IFERROR(__xludf.DUMMYFUNCTION("""COMPUTED_VALUE"""),"Europe")</f>
        <v>Europe</v>
      </c>
      <c r="B544" s="46" t="str">
        <f>IFERROR(__xludf.DUMMYFUNCTION("""COMPUTED_VALUE"""),"Spain")</f>
        <v>Spain</v>
      </c>
      <c r="C544" s="46" t="str">
        <f>IFERROR(__xludf.DUMMYFUNCTION("""COMPUTED_VALUE"""),"Meat")</f>
        <v>Meat</v>
      </c>
      <c r="D544" s="46">
        <f>IFERROR(__xludf.DUMMYFUNCTION("""COMPUTED_VALUE"""),30.0)</f>
        <v>30</v>
      </c>
      <c r="E544" s="46">
        <f>IFERROR(__xludf.DUMMYFUNCTION("""COMPUTED_VALUE"""),4.62561166E8)</f>
        <v>462561166</v>
      </c>
      <c r="F544" s="84">
        <f>IFERROR(__xludf.DUMMYFUNCTION("""COMPUTED_VALUE"""),414717.87)</f>
        <v>414717.87</v>
      </c>
      <c r="I544" s="87"/>
    </row>
    <row r="545">
      <c r="A545" s="46" t="str">
        <f>IFERROR(__xludf.DUMMYFUNCTION("""COMPUTED_VALUE"""),"Europe")</f>
        <v>Europe</v>
      </c>
      <c r="B545" s="46" t="str">
        <f>IFERROR(__xludf.DUMMYFUNCTION("""COMPUTED_VALUE"""),"Luxembourg")</f>
        <v>Luxembourg</v>
      </c>
      <c r="C545" s="46" t="str">
        <f>IFERROR(__xludf.DUMMYFUNCTION("""COMPUTED_VALUE"""),"Household")</f>
        <v>Household</v>
      </c>
      <c r="D545" s="46">
        <f>IFERROR(__xludf.DUMMYFUNCTION("""COMPUTED_VALUE"""),26.0)</f>
        <v>26</v>
      </c>
      <c r="E545" s="46">
        <f>IFERROR(__xludf.DUMMYFUNCTION("""COMPUTED_VALUE"""),4.63591134E8)</f>
        <v>463591134</v>
      </c>
      <c r="F545" s="84">
        <f>IFERROR(__xludf.DUMMYFUNCTION("""COMPUTED_VALUE"""),3857922.71)</f>
        <v>3857922.71</v>
      </c>
      <c r="I545" s="87"/>
    </row>
    <row r="546">
      <c r="A546" s="46" t="str">
        <f>IFERROR(__xludf.DUMMYFUNCTION("""COMPUTED_VALUE"""),"Europe")</f>
        <v>Europe</v>
      </c>
      <c r="B546" s="46" t="str">
        <f>IFERROR(__xludf.DUMMYFUNCTION("""COMPUTED_VALUE"""),"Italy")</f>
        <v>Italy</v>
      </c>
      <c r="C546" s="46" t="str">
        <f>IFERROR(__xludf.DUMMYFUNCTION("""COMPUTED_VALUE"""),"Snacks")</f>
        <v>Snacks</v>
      </c>
      <c r="D546" s="46">
        <f>IFERROR(__xludf.DUMMYFUNCTION("""COMPUTED_VALUE"""),34.0)</f>
        <v>34</v>
      </c>
      <c r="E546" s="46">
        <f>IFERROR(__xludf.DUMMYFUNCTION("""COMPUTED_VALUE"""),4.6491121E8)</f>
        <v>464911210</v>
      </c>
      <c r="F546" s="84">
        <f>IFERROR(__xludf.DUMMYFUNCTION("""COMPUTED_VALUE"""),978495.54)</f>
        <v>978495.54</v>
      </c>
      <c r="I546" s="87"/>
    </row>
    <row r="547">
      <c r="A547" s="46" t="str">
        <f>IFERROR(__xludf.DUMMYFUNCTION("""COMPUTED_VALUE"""),"Europe")</f>
        <v>Europe</v>
      </c>
      <c r="B547" s="46" t="str">
        <f>IFERROR(__xludf.DUMMYFUNCTION("""COMPUTED_VALUE"""),"Germany")</f>
        <v>Germany</v>
      </c>
      <c r="C547" s="46" t="str">
        <f>IFERROR(__xludf.DUMMYFUNCTION("""COMPUTED_VALUE"""),"Vegetables")</f>
        <v>Vegetables</v>
      </c>
      <c r="D547" s="46">
        <f>IFERROR(__xludf.DUMMYFUNCTION("""COMPUTED_VALUE"""),0.0)</f>
        <v>0</v>
      </c>
      <c r="E547" s="46">
        <f>IFERROR(__xludf.DUMMYFUNCTION("""COMPUTED_VALUE"""),4.65753209E8)</f>
        <v>465753209</v>
      </c>
      <c r="F547" s="84">
        <f>IFERROR(__xludf.DUMMYFUNCTION("""COMPUTED_VALUE"""),859500.74)</f>
        <v>859500.74</v>
      </c>
      <c r="I547" s="87"/>
    </row>
    <row r="548">
      <c r="A548" s="46" t="str">
        <f>IFERROR(__xludf.DUMMYFUNCTION("""COMPUTED_VALUE"""),"Europe")</f>
        <v>Europe</v>
      </c>
      <c r="B548" s="46" t="str">
        <f>IFERROR(__xludf.DUMMYFUNCTION("""COMPUTED_VALUE"""),"Belarus")</f>
        <v>Belarus</v>
      </c>
      <c r="C548" s="46" t="str">
        <f>IFERROR(__xludf.DUMMYFUNCTION("""COMPUTED_VALUE"""),"Fruits")</f>
        <v>Fruits</v>
      </c>
      <c r="D548" s="46">
        <f>IFERROR(__xludf.DUMMYFUNCTION("""COMPUTED_VALUE"""),37.0)</f>
        <v>37</v>
      </c>
      <c r="E548" s="46">
        <f>IFERROR(__xludf.DUMMYFUNCTION("""COMPUTED_VALUE"""),4.66517961E8)</f>
        <v>466517961</v>
      </c>
      <c r="F548" s="84">
        <f>IFERROR(__xludf.DUMMYFUNCTION("""COMPUTED_VALUE"""),17596.38)</f>
        <v>17596.38</v>
      </c>
      <c r="I548" s="87"/>
    </row>
    <row r="549">
      <c r="A549" s="46" t="str">
        <f>IFERROR(__xludf.DUMMYFUNCTION("""COMPUTED_VALUE"""),"Europe")</f>
        <v>Europe</v>
      </c>
      <c r="B549" s="46" t="str">
        <f>IFERROR(__xludf.DUMMYFUNCTION("""COMPUTED_VALUE"""),"Malta")</f>
        <v>Malta</v>
      </c>
      <c r="C549" s="46" t="str">
        <f>IFERROR(__xludf.DUMMYFUNCTION("""COMPUTED_VALUE"""),"Personal Care")</f>
        <v>Personal Care</v>
      </c>
      <c r="D549" s="46">
        <f>IFERROR(__xludf.DUMMYFUNCTION("""COMPUTED_VALUE"""),0.0)</f>
        <v>0</v>
      </c>
      <c r="E549" s="46">
        <f>IFERROR(__xludf.DUMMYFUNCTION("""COMPUTED_VALUE"""),4.66988742E8)</f>
        <v>466988742</v>
      </c>
      <c r="F549" s="84">
        <f>IFERROR(__xludf.DUMMYFUNCTION("""COMPUTED_VALUE"""),98157.73000000001)</f>
        <v>98157.73</v>
      </c>
      <c r="I549" s="87"/>
    </row>
    <row r="550">
      <c r="A550" s="46" t="str">
        <f>IFERROR(__xludf.DUMMYFUNCTION("""COMPUTED_VALUE"""),"Undefined")</f>
        <v>Undefined</v>
      </c>
      <c r="B550" s="46" t="str">
        <f>IFERROR(__xludf.DUMMYFUNCTION("""COMPUTED_VALUE"""),"Undefined")</f>
        <v>Undefined</v>
      </c>
      <c r="C550" s="46" t="str">
        <f>IFERROR(__xludf.DUMMYFUNCTION("""COMPUTED_VALUE"""),"Personal Care")</f>
        <v>Personal Care</v>
      </c>
      <c r="D550" s="46">
        <f>IFERROR(__xludf.DUMMYFUNCTION("""COMPUTED_VALUE"""),32.0)</f>
        <v>32</v>
      </c>
      <c r="E550" s="46">
        <f>IFERROR(__xludf.DUMMYFUNCTION("""COMPUTED_VALUE"""),4.67045819E8)</f>
        <v>467045819</v>
      </c>
      <c r="F550" s="84">
        <f>IFERROR(__xludf.DUMMYFUNCTION("""COMPUTED_VALUE"""),661359.16)</f>
        <v>661359.16</v>
      </c>
      <c r="I550" s="87"/>
    </row>
    <row r="551">
      <c r="A551" s="46" t="str">
        <f>IFERROR(__xludf.DUMMYFUNCTION("""COMPUTED_VALUE"""),"Europe")</f>
        <v>Europe</v>
      </c>
      <c r="B551" s="46" t="str">
        <f>IFERROR(__xludf.DUMMYFUNCTION("""COMPUTED_VALUE"""),"San Marino")</f>
        <v>San Marino</v>
      </c>
      <c r="C551" s="46" t="str">
        <f>IFERROR(__xludf.DUMMYFUNCTION("""COMPUTED_VALUE"""),"Clothes")</f>
        <v>Clothes</v>
      </c>
      <c r="D551" s="46">
        <f>IFERROR(__xludf.DUMMYFUNCTION("""COMPUTED_VALUE"""),9.0)</f>
        <v>9</v>
      </c>
      <c r="E551" s="46">
        <f>IFERROR(__xludf.DUMMYFUNCTION("""COMPUTED_VALUE"""),4.67138516E8)</f>
        <v>467138516</v>
      </c>
      <c r="F551" s="84">
        <f>IFERROR(__xludf.DUMMYFUNCTION("""COMPUTED_VALUE"""),603553.4400000001)</f>
        <v>603553.44</v>
      </c>
      <c r="I551" s="87"/>
    </row>
    <row r="552">
      <c r="A552" s="46" t="str">
        <f>IFERROR(__xludf.DUMMYFUNCTION("""COMPUTED_VALUE"""),"Europe")</f>
        <v>Europe</v>
      </c>
      <c r="B552" s="46" t="str">
        <f>IFERROR(__xludf.DUMMYFUNCTION("""COMPUTED_VALUE"""),"Czech Republic")</f>
        <v>Czech Republic</v>
      </c>
      <c r="C552" s="46" t="str">
        <f>IFERROR(__xludf.DUMMYFUNCTION("""COMPUTED_VALUE"""),"Baby Food")</f>
        <v>Baby Food</v>
      </c>
      <c r="D552" s="46">
        <f>IFERROR(__xludf.DUMMYFUNCTION("""COMPUTED_VALUE"""),29.0)</f>
        <v>29</v>
      </c>
      <c r="E552" s="46">
        <f>IFERROR(__xludf.DUMMYFUNCTION("""COMPUTED_VALUE"""),4.67312324E8)</f>
        <v>467312324</v>
      </c>
      <c r="F552" s="84">
        <f>IFERROR(__xludf.DUMMYFUNCTION("""COMPUTED_VALUE"""),1775727.68)</f>
        <v>1775727.68</v>
      </c>
      <c r="I552" s="87"/>
    </row>
    <row r="553">
      <c r="A553" s="46" t="str">
        <f>IFERROR(__xludf.DUMMYFUNCTION("""COMPUTED_VALUE"""),"Europe")</f>
        <v>Europe</v>
      </c>
      <c r="B553" s="46" t="str">
        <f>IFERROR(__xludf.DUMMYFUNCTION("""COMPUTED_VALUE"""),"Hungary")</f>
        <v>Hungary</v>
      </c>
      <c r="C553" s="46" t="str">
        <f>IFERROR(__xludf.DUMMYFUNCTION("""COMPUTED_VALUE"""),"Office Supplies")</f>
        <v>Office Supplies</v>
      </c>
      <c r="D553" s="46">
        <f>IFERROR(__xludf.DUMMYFUNCTION("""COMPUTED_VALUE"""),32.0)</f>
        <v>32</v>
      </c>
      <c r="E553" s="46">
        <f>IFERROR(__xludf.DUMMYFUNCTION("""COMPUTED_VALUE"""),4.67924726E8)</f>
        <v>467924726</v>
      </c>
      <c r="F553" s="84">
        <f>IFERROR(__xludf.DUMMYFUNCTION("""COMPUTED_VALUE"""),5326246.59)</f>
        <v>5326246.59</v>
      </c>
      <c r="I553" s="87"/>
    </row>
    <row r="554">
      <c r="A554" s="46" t="str">
        <f>IFERROR(__xludf.DUMMYFUNCTION("""COMPUTED_VALUE"""),"Europe")</f>
        <v>Europe</v>
      </c>
      <c r="B554" s="46" t="str">
        <f>IFERROR(__xludf.DUMMYFUNCTION("""COMPUTED_VALUE"""),"Austria")</f>
        <v>Austria</v>
      </c>
      <c r="C554" s="46" t="str">
        <f>IFERROR(__xludf.DUMMYFUNCTION("""COMPUTED_VALUE"""),"Vegetables")</f>
        <v>Vegetables</v>
      </c>
      <c r="D554" s="46">
        <f>IFERROR(__xludf.DUMMYFUNCTION("""COMPUTED_VALUE"""),39.0)</f>
        <v>39</v>
      </c>
      <c r="E554" s="46">
        <f>IFERROR(__xludf.DUMMYFUNCTION("""COMPUTED_VALUE"""),4.68320834E8)</f>
        <v>468320834</v>
      </c>
      <c r="F554" s="84">
        <f>IFERROR(__xludf.DUMMYFUNCTION("""COMPUTED_VALUE"""),831461.8200000001)</f>
        <v>831461.82</v>
      </c>
      <c r="I554" s="87"/>
    </row>
    <row r="555">
      <c r="A555" s="46" t="str">
        <f>IFERROR(__xludf.DUMMYFUNCTION("""COMPUTED_VALUE"""),"Europe")</f>
        <v>Europe</v>
      </c>
      <c r="B555" s="46" t="str">
        <f>IFERROR(__xludf.DUMMYFUNCTION("""COMPUTED_VALUE"""),"Bulgaria")</f>
        <v>Bulgaria</v>
      </c>
      <c r="C555" s="46" t="str">
        <f>IFERROR(__xludf.DUMMYFUNCTION("""COMPUTED_VALUE"""),"Fruits")</f>
        <v>Fruits</v>
      </c>
      <c r="D555" s="46">
        <f>IFERROR(__xludf.DUMMYFUNCTION("""COMPUTED_VALUE"""),32.0)</f>
        <v>32</v>
      </c>
      <c r="E555" s="46">
        <f>IFERROR(__xludf.DUMMYFUNCTION("""COMPUTED_VALUE"""),4.68803632E8)</f>
        <v>468803632</v>
      </c>
      <c r="F555" s="84">
        <f>IFERROR(__xludf.DUMMYFUNCTION("""COMPUTED_VALUE"""),77131.11)</f>
        <v>77131.11</v>
      </c>
      <c r="I555" s="87"/>
    </row>
    <row r="556">
      <c r="A556" s="46" t="str">
        <f>IFERROR(__xludf.DUMMYFUNCTION("""COMPUTED_VALUE"""),"Europe")</f>
        <v>Europe</v>
      </c>
      <c r="B556" s="46" t="str">
        <f>IFERROR(__xludf.DUMMYFUNCTION("""COMPUTED_VALUE"""),"Luxembourg")</f>
        <v>Luxembourg</v>
      </c>
      <c r="C556" s="46" t="str">
        <f>IFERROR(__xludf.DUMMYFUNCTION("""COMPUTED_VALUE"""),"Meat")</f>
        <v>Meat</v>
      </c>
      <c r="D556" s="46">
        <f>IFERROR(__xludf.DUMMYFUNCTION("""COMPUTED_VALUE"""),39.0)</f>
        <v>39</v>
      </c>
      <c r="E556" s="46">
        <f>IFERROR(__xludf.DUMMYFUNCTION("""COMPUTED_VALUE"""),4.69129359E8)</f>
        <v>469129359</v>
      </c>
      <c r="F556" s="84">
        <f>IFERROR(__xludf.DUMMYFUNCTION("""COMPUTED_VALUE"""),1964741.73)</f>
        <v>1964741.73</v>
      </c>
      <c r="I556" s="87"/>
    </row>
    <row r="557">
      <c r="A557" s="46" t="str">
        <f>IFERROR(__xludf.DUMMYFUNCTION("""COMPUTED_VALUE"""),"Europe")</f>
        <v>Europe</v>
      </c>
      <c r="B557" s="46" t="str">
        <f>IFERROR(__xludf.DUMMYFUNCTION("""COMPUTED_VALUE"""),"Malta")</f>
        <v>Malta</v>
      </c>
      <c r="C557" s="46" t="str">
        <f>IFERROR(__xludf.DUMMYFUNCTION("""COMPUTED_VALUE"""),"Cereal")</f>
        <v>Cereal</v>
      </c>
      <c r="D557" s="46">
        <f>IFERROR(__xludf.DUMMYFUNCTION("""COMPUTED_VALUE"""),35.0)</f>
        <v>35</v>
      </c>
      <c r="E557" s="46">
        <f>IFERROR(__xludf.DUMMYFUNCTION("""COMPUTED_VALUE"""),4.69144809E8)</f>
        <v>469144809</v>
      </c>
      <c r="F557" s="84">
        <f>IFERROR(__xludf.DUMMYFUNCTION("""COMPUTED_VALUE"""),1898405.2999999998)</f>
        <v>1898405.3</v>
      </c>
      <c r="I557" s="87"/>
    </row>
    <row r="558">
      <c r="A558" s="46" t="str">
        <f>IFERROR(__xludf.DUMMYFUNCTION("""COMPUTED_VALUE"""),"Europe")</f>
        <v>Europe</v>
      </c>
      <c r="B558" s="46" t="str">
        <f>IFERROR(__xludf.DUMMYFUNCTION("""COMPUTED_VALUE"""),"Latvia")</f>
        <v>Latvia</v>
      </c>
      <c r="C558" s="46" t="str">
        <f>IFERROR(__xludf.DUMMYFUNCTION("""COMPUTED_VALUE"""),"Beverages")</f>
        <v>Beverages</v>
      </c>
      <c r="D558" s="46">
        <f>IFERROR(__xludf.DUMMYFUNCTION("""COMPUTED_VALUE"""),14.0)</f>
        <v>14</v>
      </c>
      <c r="E558" s="46">
        <f>IFERROR(__xludf.DUMMYFUNCTION("""COMPUTED_VALUE"""),4.69197165E8)</f>
        <v>469197165</v>
      </c>
      <c r="F558" s="84">
        <f>IFERROR(__xludf.DUMMYFUNCTION("""COMPUTED_VALUE"""),224106.35)</f>
        <v>224106.35</v>
      </c>
      <c r="I558" s="87"/>
    </row>
    <row r="559">
      <c r="A559" s="46" t="str">
        <f>IFERROR(__xludf.DUMMYFUNCTION("""COMPUTED_VALUE"""),"Europe")</f>
        <v>Europe</v>
      </c>
      <c r="B559" s="46" t="str">
        <f>IFERROR(__xludf.DUMMYFUNCTION("""COMPUTED_VALUE"""),"Poland")</f>
        <v>Poland</v>
      </c>
      <c r="C559" s="46" t="str">
        <f>IFERROR(__xludf.DUMMYFUNCTION("""COMPUTED_VALUE"""),"Vegetables")</f>
        <v>Vegetables</v>
      </c>
      <c r="D559" s="46">
        <f>IFERROR(__xludf.DUMMYFUNCTION("""COMPUTED_VALUE"""),9.0)</f>
        <v>9</v>
      </c>
      <c r="E559" s="46">
        <f>IFERROR(__xludf.DUMMYFUNCTION("""COMPUTED_VALUE"""),4.69840466E8)</f>
        <v>469840466</v>
      </c>
      <c r="F559" s="84">
        <f>IFERROR(__xludf.DUMMYFUNCTION("""COMPUTED_VALUE"""),784165.4)</f>
        <v>784165.4</v>
      </c>
      <c r="I559" s="87"/>
    </row>
    <row r="560">
      <c r="A560" s="46" t="str">
        <f>IFERROR(__xludf.DUMMYFUNCTION("""COMPUTED_VALUE"""),"Europe")</f>
        <v>Europe</v>
      </c>
      <c r="B560" s="46" t="str">
        <f>IFERROR(__xludf.DUMMYFUNCTION("""COMPUTED_VALUE"""),"Sweden")</f>
        <v>Sweden</v>
      </c>
      <c r="C560" s="46" t="str">
        <f>IFERROR(__xludf.DUMMYFUNCTION("""COMPUTED_VALUE"""),"Baby Food")</f>
        <v>Baby Food</v>
      </c>
      <c r="D560" s="46">
        <f>IFERROR(__xludf.DUMMYFUNCTION("""COMPUTED_VALUE"""),22.0)</f>
        <v>22</v>
      </c>
      <c r="E560" s="46">
        <f>IFERROR(__xludf.DUMMYFUNCTION("""COMPUTED_VALUE"""),4.69974792E8)</f>
        <v>469974792</v>
      </c>
      <c r="F560" s="84">
        <f>IFERROR(__xludf.DUMMYFUNCTION("""COMPUTED_VALUE"""),1235555.2)</f>
        <v>1235555.2</v>
      </c>
      <c r="I560" s="87"/>
    </row>
    <row r="561">
      <c r="A561" s="46" t="str">
        <f>IFERROR(__xludf.DUMMYFUNCTION("""COMPUTED_VALUE"""),"Europe")</f>
        <v>Europe</v>
      </c>
      <c r="B561" s="46" t="str">
        <f>IFERROR(__xludf.DUMMYFUNCTION("""COMPUTED_VALUE"""),"Albania")</f>
        <v>Albania</v>
      </c>
      <c r="C561" s="46" t="str">
        <f>IFERROR(__xludf.DUMMYFUNCTION("""COMPUTED_VALUE"""),"Clothes")</f>
        <v>Clothes</v>
      </c>
      <c r="D561" s="46">
        <f>IFERROR(__xludf.DUMMYFUNCTION("""COMPUTED_VALUE"""),12.0)</f>
        <v>12</v>
      </c>
      <c r="E561" s="46">
        <f>IFERROR(__xludf.DUMMYFUNCTION("""COMPUTED_VALUE"""),4.70503079E8)</f>
        <v>470503079</v>
      </c>
      <c r="F561" s="84">
        <f>IFERROR(__xludf.DUMMYFUNCTION("""COMPUTED_VALUE"""),128076.16)</f>
        <v>128076.16</v>
      </c>
      <c r="I561" s="87"/>
    </row>
    <row r="562">
      <c r="A562" s="46" t="str">
        <f>IFERROR(__xludf.DUMMYFUNCTION("""COMPUTED_VALUE"""),"Europe")</f>
        <v>Europe</v>
      </c>
      <c r="B562" s="46" t="str">
        <f>IFERROR(__xludf.DUMMYFUNCTION("""COMPUTED_VALUE"""),"Greece")</f>
        <v>Greece</v>
      </c>
      <c r="C562" s="46" t="str">
        <f>IFERROR(__xludf.DUMMYFUNCTION("""COMPUTED_VALUE"""),"Fruits")</f>
        <v>Fruits</v>
      </c>
      <c r="D562" s="46">
        <f>IFERROR(__xludf.DUMMYFUNCTION("""COMPUTED_VALUE"""),46.0)</f>
        <v>46</v>
      </c>
      <c r="E562" s="46">
        <f>IFERROR(__xludf.DUMMYFUNCTION("""COMPUTED_VALUE"""),4.71348512E8)</f>
        <v>471348512</v>
      </c>
      <c r="F562" s="84">
        <f>IFERROR(__xludf.DUMMYFUNCTION("""COMPUTED_VALUE"""),12632.82)</f>
        <v>12632.82</v>
      </c>
      <c r="I562" s="87"/>
    </row>
    <row r="563">
      <c r="A563" s="46" t="str">
        <f>IFERROR(__xludf.DUMMYFUNCTION("""COMPUTED_VALUE"""),"Europe")</f>
        <v>Europe</v>
      </c>
      <c r="B563" s="46" t="str">
        <f>IFERROR(__xludf.DUMMYFUNCTION("""COMPUTED_VALUE"""),"Denmark")</f>
        <v>Denmark</v>
      </c>
      <c r="C563" s="46" t="str">
        <f>IFERROR(__xludf.DUMMYFUNCTION("""COMPUTED_VALUE"""),"Baby Food")</f>
        <v>Baby Food</v>
      </c>
      <c r="D563" s="46">
        <f>IFERROR(__xludf.DUMMYFUNCTION("""COMPUTED_VALUE"""),46.0)</f>
        <v>46</v>
      </c>
      <c r="E563" s="46">
        <f>IFERROR(__xludf.DUMMYFUNCTION("""COMPUTED_VALUE"""),4.71484124E8)</f>
        <v>471484124</v>
      </c>
      <c r="F563" s="84">
        <f>IFERROR(__xludf.DUMMYFUNCTION("""COMPUTED_VALUE"""),379090.8)</f>
        <v>379090.8</v>
      </c>
      <c r="I563" s="87"/>
    </row>
    <row r="564">
      <c r="A564" s="46" t="str">
        <f>IFERROR(__xludf.DUMMYFUNCTION("""COMPUTED_VALUE"""),"Europe")</f>
        <v>Europe</v>
      </c>
      <c r="B564" s="46" t="str">
        <f>IFERROR(__xludf.DUMMYFUNCTION("""COMPUTED_VALUE"""),"Russia")</f>
        <v>Russia</v>
      </c>
      <c r="C564" s="46" t="str">
        <f>IFERROR(__xludf.DUMMYFUNCTION("""COMPUTED_VALUE"""),"Personal Care")</f>
        <v>Personal Care</v>
      </c>
      <c r="D564" s="46">
        <f>IFERROR(__xludf.DUMMYFUNCTION("""COMPUTED_VALUE"""),34.0)</f>
        <v>34</v>
      </c>
      <c r="E564" s="46">
        <f>IFERROR(__xludf.DUMMYFUNCTION("""COMPUTED_VALUE"""),4.73845756E8)</f>
        <v>473845756</v>
      </c>
      <c r="F564" s="84">
        <f>IFERROR(__xludf.DUMMYFUNCTION("""COMPUTED_VALUE"""),28115.120000000003)</f>
        <v>28115.12</v>
      </c>
      <c r="I564" s="87"/>
    </row>
    <row r="565">
      <c r="A565" s="46" t="str">
        <f>IFERROR(__xludf.DUMMYFUNCTION("""COMPUTED_VALUE"""),"Europe")</f>
        <v>Europe</v>
      </c>
      <c r="B565" s="46" t="str">
        <f>IFERROR(__xludf.DUMMYFUNCTION("""COMPUTED_VALUE"""),"Malta")</f>
        <v>Malta</v>
      </c>
      <c r="C565" s="46" t="str">
        <f>IFERROR(__xludf.DUMMYFUNCTION("""COMPUTED_VALUE"""),"Fruits")</f>
        <v>Fruits</v>
      </c>
      <c r="D565" s="46">
        <f>IFERROR(__xludf.DUMMYFUNCTION("""COMPUTED_VALUE"""),35.0)</f>
        <v>35</v>
      </c>
      <c r="E565" s="46">
        <f>IFERROR(__xludf.DUMMYFUNCTION("""COMPUTED_VALUE"""),4.7517656E8)</f>
        <v>475176560</v>
      </c>
      <c r="F565" s="84">
        <f>IFERROR(__xludf.DUMMYFUNCTION("""COMPUTED_VALUE"""),38803.47)</f>
        <v>38803.47</v>
      </c>
      <c r="I565" s="87"/>
    </row>
    <row r="566">
      <c r="A566" s="46" t="str">
        <f>IFERROR(__xludf.DUMMYFUNCTION("""COMPUTED_VALUE"""),"Europe")</f>
        <v>Europe</v>
      </c>
      <c r="B566" s="46" t="str">
        <f>IFERROR(__xludf.DUMMYFUNCTION("""COMPUTED_VALUE"""),"Luxembourg")</f>
        <v>Luxembourg</v>
      </c>
      <c r="C566" s="46" t="str">
        <f>IFERROR(__xludf.DUMMYFUNCTION("""COMPUTED_VALUE"""),"Clothes")</f>
        <v>Clothes</v>
      </c>
      <c r="D566" s="46">
        <f>IFERROR(__xludf.DUMMYFUNCTION("""COMPUTED_VALUE"""),12.0)</f>
        <v>12</v>
      </c>
      <c r="E566" s="46">
        <f>IFERROR(__xludf.DUMMYFUNCTION("""COMPUTED_VALUE"""),4.75992381E8)</f>
        <v>475992381</v>
      </c>
      <c r="F566" s="84">
        <f>IFERROR(__xludf.DUMMYFUNCTION("""COMPUTED_VALUE"""),609563.84)</f>
        <v>609563.84</v>
      </c>
      <c r="I566" s="87"/>
    </row>
    <row r="567">
      <c r="A567" s="46" t="str">
        <f>IFERROR(__xludf.DUMMYFUNCTION("""COMPUTED_VALUE"""),"Europe")</f>
        <v>Europe</v>
      </c>
      <c r="B567" s="46" t="str">
        <f>IFERROR(__xludf.DUMMYFUNCTION("""COMPUTED_VALUE"""),"San Marino")</f>
        <v>San Marino</v>
      </c>
      <c r="C567" s="46" t="str">
        <f>IFERROR(__xludf.DUMMYFUNCTION("""COMPUTED_VALUE"""),"Snacks")</f>
        <v>Snacks</v>
      </c>
      <c r="D567" s="46">
        <f>IFERROR(__xludf.DUMMYFUNCTION("""COMPUTED_VALUE"""),19.0)</f>
        <v>19</v>
      </c>
      <c r="E567" s="46">
        <f>IFERROR(__xludf.DUMMYFUNCTION("""COMPUTED_VALUE"""),4.76453721E8)</f>
        <v>476453721</v>
      </c>
      <c r="F567" s="84">
        <f>IFERROR(__xludf.DUMMYFUNCTION("""COMPUTED_VALUE"""),320265.42000000004)</f>
        <v>320265.42</v>
      </c>
      <c r="I567" s="87"/>
    </row>
    <row r="568">
      <c r="A568" s="46" t="str">
        <f>IFERROR(__xludf.DUMMYFUNCTION("""COMPUTED_VALUE"""),"Europe")</f>
        <v>Europe</v>
      </c>
      <c r="B568" s="46" t="str">
        <f>IFERROR(__xludf.DUMMYFUNCTION("""COMPUTED_VALUE"""),"Albania")</f>
        <v>Albania</v>
      </c>
      <c r="C568" s="46" t="str">
        <f>IFERROR(__xludf.DUMMYFUNCTION("""COMPUTED_VALUE"""),"Vegetables")</f>
        <v>Vegetables</v>
      </c>
      <c r="D568" s="46">
        <f>IFERROR(__xludf.DUMMYFUNCTION("""COMPUTED_VALUE"""),29.0)</f>
        <v>29</v>
      </c>
      <c r="E568" s="46">
        <f>IFERROR(__xludf.DUMMYFUNCTION("""COMPUTED_VALUE"""),4.76633536E8)</f>
        <v>476633536</v>
      </c>
      <c r="F568" s="84">
        <f>IFERROR(__xludf.DUMMYFUNCTION("""COMPUTED_VALUE"""),818058.6)</f>
        <v>818058.6</v>
      </c>
      <c r="I568" s="87"/>
    </row>
    <row r="569">
      <c r="A569" s="46" t="str">
        <f>IFERROR(__xludf.DUMMYFUNCTION("""COMPUTED_VALUE"""),"Europe")</f>
        <v>Europe</v>
      </c>
      <c r="B569" s="46" t="str">
        <f>IFERROR(__xludf.DUMMYFUNCTION("""COMPUTED_VALUE"""),"Bulgaria")</f>
        <v>Bulgaria</v>
      </c>
      <c r="C569" s="46" t="str">
        <f>IFERROR(__xludf.DUMMYFUNCTION("""COMPUTED_VALUE"""),"Beverages")</f>
        <v>Beverages</v>
      </c>
      <c r="D569" s="46">
        <f>IFERROR(__xludf.DUMMYFUNCTION("""COMPUTED_VALUE"""),32.0)</f>
        <v>32</v>
      </c>
      <c r="E569" s="46">
        <f>IFERROR(__xludf.DUMMYFUNCTION("""COMPUTED_VALUE"""),4.7679404E8)</f>
        <v>476794040</v>
      </c>
      <c r="F569" s="84">
        <f>IFERROR(__xludf.DUMMYFUNCTION("""COMPUTED_VALUE"""),133192.15)</f>
        <v>133192.15</v>
      </c>
      <c r="I569" s="87"/>
    </row>
    <row r="570">
      <c r="A570" s="46" t="str">
        <f>IFERROR(__xludf.DUMMYFUNCTION("""COMPUTED_VALUE"""),"Europe")</f>
        <v>Europe</v>
      </c>
      <c r="B570" s="46" t="str">
        <f>IFERROR(__xludf.DUMMYFUNCTION("""COMPUTED_VALUE"""),"Bulgaria")</f>
        <v>Bulgaria</v>
      </c>
      <c r="C570" s="46" t="str">
        <f>IFERROR(__xludf.DUMMYFUNCTION("""COMPUTED_VALUE"""),"Snacks")</f>
        <v>Snacks</v>
      </c>
      <c r="D570" s="46">
        <f>IFERROR(__xludf.DUMMYFUNCTION("""COMPUTED_VALUE"""),16.0)</f>
        <v>16</v>
      </c>
      <c r="E570" s="46">
        <f>IFERROR(__xludf.DUMMYFUNCTION("""COMPUTED_VALUE"""),4.7699145E8)</f>
        <v>476991450</v>
      </c>
      <c r="F570" s="84">
        <f>IFERROR(__xludf.DUMMYFUNCTION("""COMPUTED_VALUE"""),186910.50000000003)</f>
        <v>186910.5</v>
      </c>
      <c r="I570" s="87"/>
    </row>
    <row r="571">
      <c r="A571" s="46" t="str">
        <f>IFERROR(__xludf.DUMMYFUNCTION("""COMPUTED_VALUE"""),"Asia")</f>
        <v>Asia</v>
      </c>
      <c r="B571" s="46" t="str">
        <f>IFERROR(__xludf.DUMMYFUNCTION("""COMPUTED_VALUE"""),"Armenia")</f>
        <v>Armenia</v>
      </c>
      <c r="C571" s="46" t="str">
        <f>IFERROR(__xludf.DUMMYFUNCTION("""COMPUTED_VALUE"""),"Cereal")</f>
        <v>Cereal</v>
      </c>
      <c r="D571" s="46">
        <f>IFERROR(__xludf.DUMMYFUNCTION("""COMPUTED_VALUE"""),15.0)</f>
        <v>15</v>
      </c>
      <c r="E571" s="46">
        <f>IFERROR(__xludf.DUMMYFUNCTION("""COMPUTED_VALUE"""),4.77282845E8)</f>
        <v>477282845</v>
      </c>
      <c r="F571" s="84">
        <f>IFERROR(__xludf.DUMMYFUNCTION("""COMPUTED_VALUE"""),1533493.5)</f>
        <v>1533493.5</v>
      </c>
      <c r="I571" s="87"/>
    </row>
    <row r="572">
      <c r="A572" s="46" t="str">
        <f>IFERROR(__xludf.DUMMYFUNCTION("""COMPUTED_VALUE"""),"Europe")</f>
        <v>Europe</v>
      </c>
      <c r="B572" s="46" t="str">
        <f>IFERROR(__xludf.DUMMYFUNCTION("""COMPUTED_VALUE"""),"Norway")</f>
        <v>Norway</v>
      </c>
      <c r="C572" s="46" t="str">
        <f>IFERROR(__xludf.DUMMYFUNCTION("""COMPUTED_VALUE"""),"Cosmetics")</f>
        <v>Cosmetics</v>
      </c>
      <c r="D572" s="46">
        <f>IFERROR(__xludf.DUMMYFUNCTION("""COMPUTED_VALUE"""),24.0)</f>
        <v>24</v>
      </c>
      <c r="E572" s="46">
        <f>IFERROR(__xludf.DUMMYFUNCTION("""COMPUTED_VALUE"""),4.77633464E8)</f>
        <v>477633464</v>
      </c>
      <c r="F572" s="84">
        <f>IFERROR(__xludf.DUMMYFUNCTION("""COMPUTED_VALUE"""),529449.2)</f>
        <v>529449.2</v>
      </c>
      <c r="I572" s="87"/>
    </row>
    <row r="573">
      <c r="A573" s="46" t="str">
        <f>IFERROR(__xludf.DUMMYFUNCTION("""COMPUTED_VALUE"""),"Europe")</f>
        <v>Europe</v>
      </c>
      <c r="B573" s="46" t="str">
        <f>IFERROR(__xludf.DUMMYFUNCTION("""COMPUTED_VALUE"""),"Czech Republic")</f>
        <v>Czech Republic</v>
      </c>
      <c r="C573" s="46" t="str">
        <f>IFERROR(__xludf.DUMMYFUNCTION("""COMPUTED_VALUE"""),"Beverages")</f>
        <v>Beverages</v>
      </c>
      <c r="D573" s="46">
        <f>IFERROR(__xludf.DUMMYFUNCTION("""COMPUTED_VALUE"""),17.0)</f>
        <v>17</v>
      </c>
      <c r="E573" s="46">
        <f>IFERROR(__xludf.DUMMYFUNCTION("""COMPUTED_VALUE"""),4.7805103E8)</f>
        <v>478051030</v>
      </c>
      <c r="F573" s="84">
        <f>IFERROR(__xludf.DUMMYFUNCTION("""COMPUTED_VALUE"""),226716.1)</f>
        <v>226716.1</v>
      </c>
      <c r="I573" s="87"/>
    </row>
    <row r="574">
      <c r="A574" s="46" t="str">
        <f>IFERROR(__xludf.DUMMYFUNCTION("""COMPUTED_VALUE"""),"Europe")</f>
        <v>Europe</v>
      </c>
      <c r="B574" s="46" t="str">
        <f>IFERROR(__xludf.DUMMYFUNCTION("""COMPUTED_VALUE"""),"Denmark")</f>
        <v>Denmark</v>
      </c>
      <c r="C574" s="46" t="str">
        <f>IFERROR(__xludf.DUMMYFUNCTION("""COMPUTED_VALUE"""),"Personal Care")</f>
        <v>Personal Care</v>
      </c>
      <c r="D574" s="46">
        <f>IFERROR(__xludf.DUMMYFUNCTION("""COMPUTED_VALUE"""),5.0)</f>
        <v>5</v>
      </c>
      <c r="E574" s="46">
        <f>IFERROR(__xludf.DUMMYFUNCTION("""COMPUTED_VALUE"""),4.78840672E8)</f>
        <v>478840672</v>
      </c>
      <c r="F574" s="84">
        <f>IFERROR(__xludf.DUMMYFUNCTION("""COMPUTED_VALUE"""),690700.23)</f>
        <v>690700.23</v>
      </c>
      <c r="I574" s="87"/>
    </row>
    <row r="575">
      <c r="A575" s="46" t="str">
        <f>IFERROR(__xludf.DUMMYFUNCTION("""COMPUTED_VALUE"""),"Europe")</f>
        <v>Europe</v>
      </c>
      <c r="B575" s="46" t="str">
        <f>IFERROR(__xludf.DUMMYFUNCTION("""COMPUTED_VALUE"""),"Portugal")</f>
        <v>Portugal</v>
      </c>
      <c r="C575" s="46" t="str">
        <f>IFERROR(__xludf.DUMMYFUNCTION("""COMPUTED_VALUE"""),"Baby Food")</f>
        <v>Baby Food</v>
      </c>
      <c r="D575" s="46">
        <f>IFERROR(__xludf.DUMMYFUNCTION("""COMPUTED_VALUE"""),16.0)</f>
        <v>16</v>
      </c>
      <c r="E575" s="46">
        <f>IFERROR(__xludf.DUMMYFUNCTION("""COMPUTED_VALUE"""),4.79171121E8)</f>
        <v>479171121</v>
      </c>
      <c r="F575" s="84">
        <f>IFERROR(__xludf.DUMMYFUNCTION("""COMPUTED_VALUE"""),1592436.64)</f>
        <v>1592436.64</v>
      </c>
      <c r="I575" s="87"/>
    </row>
    <row r="576">
      <c r="A576" s="46" t="str">
        <f>IFERROR(__xludf.DUMMYFUNCTION("""COMPUTED_VALUE"""),"Europe")</f>
        <v>Europe</v>
      </c>
      <c r="B576" s="46" t="str">
        <f>IFERROR(__xludf.DUMMYFUNCTION("""COMPUTED_VALUE"""),"Luxembourg")</f>
        <v>Luxembourg</v>
      </c>
      <c r="C576" s="46" t="str">
        <f>IFERROR(__xludf.DUMMYFUNCTION("""COMPUTED_VALUE"""),"Fruits")</f>
        <v>Fruits</v>
      </c>
      <c r="D576" s="46">
        <f>IFERROR(__xludf.DUMMYFUNCTION("""COMPUTED_VALUE"""),38.0)</f>
        <v>38</v>
      </c>
      <c r="E576" s="46">
        <f>IFERROR(__xludf.DUMMYFUNCTION("""COMPUTED_VALUE"""),4.79234206E8)</f>
        <v>479234206</v>
      </c>
      <c r="F576" s="84">
        <f>IFERROR(__xludf.DUMMYFUNCTION("""COMPUTED_VALUE"""),45772.98)</f>
        <v>45772.98</v>
      </c>
      <c r="I576" s="87"/>
    </row>
    <row r="577">
      <c r="A577" s="46" t="str">
        <f>IFERROR(__xludf.DUMMYFUNCTION("""COMPUTED_VALUE"""),"Europe")</f>
        <v>Europe</v>
      </c>
      <c r="B577" s="46" t="str">
        <f>IFERROR(__xludf.DUMMYFUNCTION("""COMPUTED_VALUE"""),"Italy")</f>
        <v>Italy</v>
      </c>
      <c r="C577" s="46" t="str">
        <f>IFERROR(__xludf.DUMMYFUNCTION("""COMPUTED_VALUE"""),"Baby Food")</f>
        <v>Baby Food</v>
      </c>
      <c r="D577" s="46">
        <f>IFERROR(__xludf.DUMMYFUNCTION("""COMPUTED_VALUE"""),13.0)</f>
        <v>13</v>
      </c>
      <c r="E577" s="46">
        <f>IFERROR(__xludf.DUMMYFUNCTION("""COMPUTED_VALUE"""),4.80652987E8)</f>
        <v>480652987</v>
      </c>
      <c r="F577" s="84">
        <f>IFERROR(__xludf.DUMMYFUNCTION("""COMPUTED_VALUE"""),1213856.4)</f>
        <v>1213856.4</v>
      </c>
      <c r="I577" s="87"/>
    </row>
    <row r="578">
      <c r="A578" s="46" t="str">
        <f>IFERROR(__xludf.DUMMYFUNCTION("""COMPUTED_VALUE"""),"Europe")</f>
        <v>Europe</v>
      </c>
      <c r="B578" s="46" t="str">
        <f>IFERROR(__xludf.DUMMYFUNCTION("""COMPUTED_VALUE"""),"Andorra")</f>
        <v>Andorra</v>
      </c>
      <c r="C578" s="46" t="str">
        <f>IFERROR(__xludf.DUMMYFUNCTION("""COMPUTED_VALUE"""),"Snacks")</f>
        <v>Snacks</v>
      </c>
      <c r="D578" s="46">
        <f>IFERROR(__xludf.DUMMYFUNCTION("""COMPUTED_VALUE"""),13.0)</f>
        <v>13</v>
      </c>
      <c r="E578" s="46">
        <f>IFERROR(__xludf.DUMMYFUNCTION("""COMPUTED_VALUE"""),4.80904042E8)</f>
        <v>480904042</v>
      </c>
      <c r="F578" s="84">
        <f>IFERROR(__xludf.DUMMYFUNCTION("""COMPUTED_VALUE"""),1380543.84)</f>
        <v>1380543.84</v>
      </c>
      <c r="I578" s="87"/>
    </row>
    <row r="579">
      <c r="A579" s="46" t="str">
        <f>IFERROR(__xludf.DUMMYFUNCTION("""COMPUTED_VALUE"""),"Europe")</f>
        <v>Europe</v>
      </c>
      <c r="B579" s="46" t="str">
        <f>IFERROR(__xludf.DUMMYFUNCTION("""COMPUTED_VALUE"""),"Norway")</f>
        <v>Norway</v>
      </c>
      <c r="C579" s="46" t="str">
        <f>IFERROR(__xludf.DUMMYFUNCTION("""COMPUTED_VALUE"""),"Cereal")</f>
        <v>Cereal</v>
      </c>
      <c r="D579" s="46">
        <f>IFERROR(__xludf.DUMMYFUNCTION("""COMPUTED_VALUE"""),20.0)</f>
        <v>20</v>
      </c>
      <c r="E579" s="46">
        <f>IFERROR(__xludf.DUMMYFUNCTION("""COMPUTED_VALUE"""),4.81114327E8)</f>
        <v>481114327</v>
      </c>
      <c r="F579" s="84">
        <f>IFERROR(__xludf.DUMMYFUNCTION("""COMPUTED_VALUE"""),262473.2)</f>
        <v>262473.2</v>
      </c>
      <c r="I579" s="87"/>
    </row>
    <row r="580">
      <c r="A580" s="46" t="str">
        <f>IFERROR(__xludf.DUMMYFUNCTION("""COMPUTED_VALUE"""),"Europe")</f>
        <v>Europe</v>
      </c>
      <c r="B580" s="46" t="str">
        <f>IFERROR(__xludf.DUMMYFUNCTION("""COMPUTED_VALUE"""),"Finland")</f>
        <v>Finland</v>
      </c>
      <c r="C580" s="46" t="str">
        <f>IFERROR(__xludf.DUMMYFUNCTION("""COMPUTED_VALUE"""),"Baby Food")</f>
        <v>Baby Food</v>
      </c>
      <c r="D580" s="46">
        <f>IFERROR(__xludf.DUMMYFUNCTION("""COMPUTED_VALUE"""),39.0)</f>
        <v>39</v>
      </c>
      <c r="E580" s="46">
        <f>IFERROR(__xludf.DUMMYFUNCTION("""COMPUTED_VALUE"""),4.81308305E8)</f>
        <v>481308305</v>
      </c>
      <c r="F580" s="84">
        <f>IFERROR(__xludf.DUMMYFUNCTION("""COMPUTED_VALUE"""),2215319.84)</f>
        <v>2215319.84</v>
      </c>
      <c r="I580" s="87"/>
    </row>
    <row r="581">
      <c r="A581" s="46" t="str">
        <f>IFERROR(__xludf.DUMMYFUNCTION("""COMPUTED_VALUE"""),"Europe")</f>
        <v>Europe</v>
      </c>
      <c r="B581" s="46" t="str">
        <f>IFERROR(__xludf.DUMMYFUNCTION("""COMPUTED_VALUE"""),"Romania")</f>
        <v>Romania</v>
      </c>
      <c r="C581" s="46" t="str">
        <f>IFERROR(__xludf.DUMMYFUNCTION("""COMPUTED_VALUE"""),"Fruits")</f>
        <v>Fruits</v>
      </c>
      <c r="D581" s="46">
        <f>IFERROR(__xludf.DUMMYFUNCTION("""COMPUTED_VALUE"""),37.0)</f>
        <v>37</v>
      </c>
      <c r="E581" s="46">
        <f>IFERROR(__xludf.DUMMYFUNCTION("""COMPUTED_VALUE"""),4.81976497E8)</f>
        <v>481976497</v>
      </c>
      <c r="F581" s="84">
        <f>IFERROR(__xludf.DUMMYFUNCTION("""COMPUTED_VALUE"""),59814.63)</f>
        <v>59814.63</v>
      </c>
      <c r="I581" s="87"/>
    </row>
    <row r="582">
      <c r="A582" s="46" t="str">
        <f>IFERROR(__xludf.DUMMYFUNCTION("""COMPUTED_VALUE"""),"Asia")</f>
        <v>Asia</v>
      </c>
      <c r="B582" s="46" t="str">
        <f>IFERROR(__xludf.DUMMYFUNCTION("""COMPUTED_VALUE"""),"Georgia")</f>
        <v>Georgia</v>
      </c>
      <c r="C582" s="46" t="str">
        <f>IFERROR(__xludf.DUMMYFUNCTION("""COMPUTED_VALUE"""),"Meat")</f>
        <v>Meat</v>
      </c>
      <c r="D582" s="46">
        <f>IFERROR(__xludf.DUMMYFUNCTION("""COMPUTED_VALUE"""),34.0)</f>
        <v>34</v>
      </c>
      <c r="E582" s="46">
        <f>IFERROR(__xludf.DUMMYFUNCTION("""COMPUTED_VALUE"""),4.83438193E8)</f>
        <v>483438193</v>
      </c>
      <c r="F582" s="84">
        <f>IFERROR(__xludf.DUMMYFUNCTION("""COMPUTED_VALUE"""),3779712.51)</f>
        <v>3779712.51</v>
      </c>
      <c r="I582" s="87"/>
    </row>
    <row r="583">
      <c r="A583" s="46" t="str">
        <f>IFERROR(__xludf.DUMMYFUNCTION("""COMPUTED_VALUE"""),"Undefined")</f>
        <v>Undefined</v>
      </c>
      <c r="B583" s="46" t="str">
        <f>IFERROR(__xludf.DUMMYFUNCTION("""COMPUTED_VALUE"""),"Undefined")</f>
        <v>Undefined</v>
      </c>
      <c r="C583" s="46" t="str">
        <f>IFERROR(__xludf.DUMMYFUNCTION("""COMPUTED_VALUE"""),"Cereal")</f>
        <v>Cereal</v>
      </c>
      <c r="D583" s="46">
        <f>IFERROR(__xludf.DUMMYFUNCTION("""COMPUTED_VALUE"""),18.0)</f>
        <v>18</v>
      </c>
      <c r="E583" s="46">
        <f>IFERROR(__xludf.DUMMYFUNCTION("""COMPUTED_VALUE"""),4.83655774E8)</f>
        <v>483655774</v>
      </c>
      <c r="F583" s="84">
        <f>IFERROR(__xludf.DUMMYFUNCTION("""COMPUTED_VALUE"""),688272.2)</f>
        <v>688272.2</v>
      </c>
      <c r="I583" s="87"/>
    </row>
    <row r="584">
      <c r="A584" s="46" t="str">
        <f>IFERROR(__xludf.DUMMYFUNCTION("""COMPUTED_VALUE"""),"Europe")</f>
        <v>Europe</v>
      </c>
      <c r="B584" s="46" t="str">
        <f>IFERROR(__xludf.DUMMYFUNCTION("""COMPUTED_VALUE"""),"Slovenia")</f>
        <v>Slovenia</v>
      </c>
      <c r="C584" s="46" t="str">
        <f>IFERROR(__xludf.DUMMYFUNCTION("""COMPUTED_VALUE"""),"Office Supplies")</f>
        <v>Office Supplies</v>
      </c>
      <c r="D584" s="46">
        <f>IFERROR(__xludf.DUMMYFUNCTION("""COMPUTED_VALUE"""),25.0)</f>
        <v>25</v>
      </c>
      <c r="E584" s="46">
        <f>IFERROR(__xludf.DUMMYFUNCTION("""COMPUTED_VALUE"""),4.83981502E8)</f>
        <v>483981502</v>
      </c>
      <c r="F584" s="84">
        <f>IFERROR(__xludf.DUMMYFUNCTION("""COMPUTED_VALUE"""),6340180.5600000005)</f>
        <v>6340180.56</v>
      </c>
      <c r="I584" s="87"/>
    </row>
    <row r="585">
      <c r="A585" s="46" t="str">
        <f>IFERROR(__xludf.DUMMYFUNCTION("""COMPUTED_VALUE"""),"Europe")</f>
        <v>Europe</v>
      </c>
      <c r="B585" s="46" t="str">
        <f>IFERROR(__xludf.DUMMYFUNCTION("""COMPUTED_VALUE"""),"Spain")</f>
        <v>Spain</v>
      </c>
      <c r="C585" s="46" t="str">
        <f>IFERROR(__xludf.DUMMYFUNCTION("""COMPUTED_VALUE"""),"Snacks")</f>
        <v>Snacks</v>
      </c>
      <c r="D585" s="46">
        <f>IFERROR(__xludf.DUMMYFUNCTION("""COMPUTED_VALUE"""),33.0)</f>
        <v>33</v>
      </c>
      <c r="E585" s="46">
        <f>IFERROR(__xludf.DUMMYFUNCTION("""COMPUTED_VALUE"""),4.85165965E8)</f>
        <v>485165965</v>
      </c>
      <c r="F585" s="84">
        <f>IFERROR(__xludf.DUMMYFUNCTION("""COMPUTED_VALUE"""),37382.100000000006)</f>
        <v>37382.1</v>
      </c>
      <c r="I585" s="87"/>
    </row>
    <row r="586">
      <c r="A586" s="46" t="str">
        <f>IFERROR(__xludf.DUMMYFUNCTION("""COMPUTED_VALUE"""),"Europe")</f>
        <v>Europe</v>
      </c>
      <c r="B586" s="46" t="str">
        <f>IFERROR(__xludf.DUMMYFUNCTION("""COMPUTED_VALUE"""),"Ukraine")</f>
        <v>Ukraine</v>
      </c>
      <c r="C586" s="46" t="str">
        <f>IFERROR(__xludf.DUMMYFUNCTION("""COMPUTED_VALUE"""),"Personal Care")</f>
        <v>Personal Care</v>
      </c>
      <c r="D586" s="46">
        <f>IFERROR(__xludf.DUMMYFUNCTION("""COMPUTED_VALUE"""),32.0)</f>
        <v>32</v>
      </c>
      <c r="E586" s="46">
        <f>IFERROR(__xludf.DUMMYFUNCTION("""COMPUTED_VALUE"""),4.85929429E8)</f>
        <v>485929429</v>
      </c>
      <c r="F586" s="84">
        <f>IFERROR(__xludf.DUMMYFUNCTION("""COMPUTED_VALUE"""),504355.83)</f>
        <v>504355.83</v>
      </c>
      <c r="I586" s="87"/>
    </row>
    <row r="587">
      <c r="A587" s="46" t="str">
        <f>IFERROR(__xludf.DUMMYFUNCTION("""COMPUTED_VALUE"""),"Europe")</f>
        <v>Europe</v>
      </c>
      <c r="B587" s="46" t="str">
        <f>IFERROR(__xludf.DUMMYFUNCTION("""COMPUTED_VALUE"""),"Russia")</f>
        <v>Russia</v>
      </c>
      <c r="C587" s="46" t="str">
        <f>IFERROR(__xludf.DUMMYFUNCTION("""COMPUTED_VALUE"""),"Cosmetics")</f>
        <v>Cosmetics</v>
      </c>
      <c r="D587" s="46">
        <f>IFERROR(__xludf.DUMMYFUNCTION("""COMPUTED_VALUE"""),38.0)</f>
        <v>38</v>
      </c>
      <c r="E587" s="46">
        <f>IFERROR(__xludf.DUMMYFUNCTION("""COMPUTED_VALUE"""),4.86345708E8)</f>
        <v>486345708</v>
      </c>
      <c r="F587" s="84">
        <f>IFERROR(__xludf.DUMMYFUNCTION("""COMPUTED_VALUE"""),4090880.4)</f>
        <v>4090880.4</v>
      </c>
      <c r="I587" s="87"/>
    </row>
    <row r="588">
      <c r="A588" s="46" t="str">
        <f>IFERROR(__xludf.DUMMYFUNCTION("""COMPUTED_VALUE"""),"Europe")</f>
        <v>Europe</v>
      </c>
      <c r="B588" s="46" t="str">
        <f>IFERROR(__xludf.DUMMYFUNCTION("""COMPUTED_VALUE"""),"Latvia")</f>
        <v>Latvia</v>
      </c>
      <c r="C588" s="46" t="str">
        <f>IFERROR(__xludf.DUMMYFUNCTION("""COMPUTED_VALUE"""),"Vegetables")</f>
        <v>Vegetables</v>
      </c>
      <c r="D588" s="46">
        <f>IFERROR(__xludf.DUMMYFUNCTION("""COMPUTED_VALUE"""),39.0)</f>
        <v>39</v>
      </c>
      <c r="E588" s="46">
        <f>IFERROR(__xludf.DUMMYFUNCTION("""COMPUTED_VALUE"""),4.8646115E8)</f>
        <v>486461150</v>
      </c>
      <c r="F588" s="84">
        <f>IFERROR(__xludf.DUMMYFUNCTION("""COMPUTED_VALUE"""),542137.14)</f>
        <v>542137.14</v>
      </c>
      <c r="I588" s="87"/>
    </row>
    <row r="589">
      <c r="A589" s="46" t="str">
        <f>IFERROR(__xludf.DUMMYFUNCTION("""COMPUTED_VALUE"""),"Europe")</f>
        <v>Europe</v>
      </c>
      <c r="B589" s="46" t="str">
        <f>IFERROR(__xludf.DUMMYFUNCTION("""COMPUTED_VALUE"""),"Greece")</f>
        <v>Greece</v>
      </c>
      <c r="C589" s="46" t="str">
        <f>IFERROR(__xludf.DUMMYFUNCTION("""COMPUTED_VALUE"""),"Fruits")</f>
        <v>Fruits</v>
      </c>
      <c r="D589" s="46">
        <f>IFERROR(__xludf.DUMMYFUNCTION("""COMPUTED_VALUE"""),18.0)</f>
        <v>18</v>
      </c>
      <c r="E589" s="46">
        <f>IFERROR(__xludf.DUMMYFUNCTION("""COMPUTED_VALUE"""),4.8831638E8)</f>
        <v>488316380</v>
      </c>
      <c r="F589" s="84">
        <f>IFERROR(__xludf.DUMMYFUNCTION("""COMPUTED_VALUE"""),23539.59)</f>
        <v>23539.59</v>
      </c>
      <c r="I589" s="87"/>
    </row>
    <row r="590">
      <c r="A590" s="46" t="str">
        <f>IFERROR(__xludf.DUMMYFUNCTION("""COMPUTED_VALUE"""),"Europe")</f>
        <v>Europe</v>
      </c>
      <c r="B590" s="46" t="str">
        <f>IFERROR(__xludf.DUMMYFUNCTION("""COMPUTED_VALUE"""),"Croatia")</f>
        <v>Croatia</v>
      </c>
      <c r="C590" s="46" t="str">
        <f>IFERROR(__xludf.DUMMYFUNCTION("""COMPUTED_VALUE"""),"Snacks")</f>
        <v>Snacks</v>
      </c>
      <c r="D590" s="46">
        <f>IFERROR(__xludf.DUMMYFUNCTION("""COMPUTED_VALUE"""),45.0)</f>
        <v>45</v>
      </c>
      <c r="E590" s="46">
        <f>IFERROR(__xludf.DUMMYFUNCTION("""COMPUTED_VALUE"""),4.88815915E8)</f>
        <v>488815915</v>
      </c>
      <c r="F590" s="84">
        <f>IFERROR(__xludf.DUMMYFUNCTION("""COMPUTED_VALUE"""),52945.26)</f>
        <v>52945.26</v>
      </c>
      <c r="I590" s="87"/>
    </row>
    <row r="591">
      <c r="A591" s="46" t="str">
        <f>IFERROR(__xludf.DUMMYFUNCTION("""COMPUTED_VALUE"""),"Europe")</f>
        <v>Europe</v>
      </c>
      <c r="B591" s="46" t="str">
        <f>IFERROR(__xludf.DUMMYFUNCTION("""COMPUTED_VALUE"""),"Austria")</f>
        <v>Austria</v>
      </c>
      <c r="C591" s="46" t="str">
        <f>IFERROR(__xludf.DUMMYFUNCTION("""COMPUTED_VALUE"""),"Vegetables")</f>
        <v>Vegetables</v>
      </c>
      <c r="D591" s="46">
        <f>IFERROR(__xludf.DUMMYFUNCTION("""COMPUTED_VALUE"""),31.0)</f>
        <v>31</v>
      </c>
      <c r="E591" s="46">
        <f>IFERROR(__xludf.DUMMYFUNCTION("""COMPUTED_VALUE"""),4.89600837E8)</f>
        <v>489600837</v>
      </c>
      <c r="F591" s="84">
        <f>IFERROR(__xludf.DUMMYFUNCTION("""COMPUTED_VALUE"""),403945.32)</f>
        <v>403945.32</v>
      </c>
      <c r="I591" s="87"/>
    </row>
    <row r="592">
      <c r="A592" s="46" t="str">
        <f>IFERROR(__xludf.DUMMYFUNCTION("""COMPUTED_VALUE"""),"Undefined")</f>
        <v>Undefined</v>
      </c>
      <c r="B592" s="46" t="str">
        <f>IFERROR(__xludf.DUMMYFUNCTION("""COMPUTED_VALUE"""),"Undefined")</f>
        <v>Undefined</v>
      </c>
      <c r="C592" s="46" t="str">
        <f>IFERROR(__xludf.DUMMYFUNCTION("""COMPUTED_VALUE"""),"Snacks")</f>
        <v>Snacks</v>
      </c>
      <c r="D592" s="46">
        <f>IFERROR(__xludf.DUMMYFUNCTION("""COMPUTED_VALUE"""),19.0)</f>
        <v>19</v>
      </c>
      <c r="E592" s="46">
        <f>IFERROR(__xludf.DUMMYFUNCTION("""COMPUTED_VALUE"""),4.89848029E8)</f>
        <v>489848029</v>
      </c>
      <c r="F592" s="84">
        <f>IFERROR(__xludf.DUMMYFUNCTION("""COMPUTED_VALUE"""),880691.7600000001)</f>
        <v>880691.76</v>
      </c>
      <c r="I592" s="87"/>
    </row>
    <row r="593">
      <c r="A593" s="46" t="str">
        <f>IFERROR(__xludf.DUMMYFUNCTION("""COMPUTED_VALUE"""),"Undefined")</f>
        <v>Undefined</v>
      </c>
      <c r="B593" s="46" t="str">
        <f>IFERROR(__xludf.DUMMYFUNCTION("""COMPUTED_VALUE"""),"Undefined")</f>
        <v>Undefined</v>
      </c>
      <c r="C593" s="46" t="str">
        <f>IFERROR(__xludf.DUMMYFUNCTION("""COMPUTED_VALUE"""),"Vegetables")</f>
        <v>Vegetables</v>
      </c>
      <c r="D593" s="46">
        <f>IFERROR(__xludf.DUMMYFUNCTION("""COMPUTED_VALUE"""),0.0)</f>
        <v>0</v>
      </c>
      <c r="E593" s="46">
        <f>IFERROR(__xludf.DUMMYFUNCTION("""COMPUTED_VALUE"""),4.91547477E8)</f>
        <v>491547477</v>
      </c>
      <c r="F593" s="84">
        <f>IFERROR(__xludf.DUMMYFUNCTION("""COMPUTED_VALUE"""),1336624.56)</f>
        <v>1336624.56</v>
      </c>
      <c r="I593" s="87"/>
    </row>
    <row r="594">
      <c r="A594" s="46" t="str">
        <f>IFERROR(__xludf.DUMMYFUNCTION("""COMPUTED_VALUE"""),"Asia")</f>
        <v>Asia</v>
      </c>
      <c r="B594" s="46" t="str">
        <f>IFERROR(__xludf.DUMMYFUNCTION("""COMPUTED_VALUE"""),"Cyprus")</f>
        <v>Cyprus</v>
      </c>
      <c r="C594" s="46" t="str">
        <f>IFERROR(__xludf.DUMMYFUNCTION("""COMPUTED_VALUE"""),"Household")</f>
        <v>Household</v>
      </c>
      <c r="D594" s="46">
        <f>IFERROR(__xludf.DUMMYFUNCTION("""COMPUTED_VALUE"""),22.0)</f>
        <v>22</v>
      </c>
      <c r="E594" s="46">
        <f>IFERROR(__xludf.DUMMYFUNCTION("""COMPUTED_VALUE"""),4.92353856E8)</f>
        <v>492353856</v>
      </c>
      <c r="F594" s="84">
        <f>IFERROR(__xludf.DUMMYFUNCTION("""COMPUTED_VALUE"""),4879707.54)</f>
        <v>4879707.54</v>
      </c>
      <c r="I594" s="87"/>
    </row>
    <row r="595">
      <c r="A595" s="46" t="str">
        <f>IFERROR(__xludf.DUMMYFUNCTION("""COMPUTED_VALUE"""),"Europe")</f>
        <v>Europe</v>
      </c>
      <c r="B595" s="46" t="str">
        <f>IFERROR(__xludf.DUMMYFUNCTION("""COMPUTED_VALUE"""),"Belgium")</f>
        <v>Belgium</v>
      </c>
      <c r="C595" s="46" t="str">
        <f>IFERROR(__xludf.DUMMYFUNCTION("""COMPUTED_VALUE"""),"Cereal")</f>
        <v>Cereal</v>
      </c>
      <c r="D595" s="46">
        <f>IFERROR(__xludf.DUMMYFUNCTION("""COMPUTED_VALUE"""),42.0)</f>
        <v>42</v>
      </c>
      <c r="E595" s="46">
        <f>IFERROR(__xludf.DUMMYFUNCTION("""COMPUTED_VALUE"""),4.95450627E8)</f>
        <v>495450627</v>
      </c>
      <c r="F595" s="84">
        <f>IFERROR(__xludf.DUMMYFUNCTION("""COMPUTED_VALUE"""),762118.5)</f>
        <v>762118.5</v>
      </c>
      <c r="I595" s="87"/>
    </row>
    <row r="596">
      <c r="A596" s="46" t="str">
        <f>IFERROR(__xludf.DUMMYFUNCTION("""COMPUTED_VALUE"""),"Europe")</f>
        <v>Europe</v>
      </c>
      <c r="B596" s="46" t="str">
        <f>IFERROR(__xludf.DUMMYFUNCTION("""COMPUTED_VALUE"""),"Slovakia")</f>
        <v>Slovakia</v>
      </c>
      <c r="C596" s="46" t="str">
        <f>IFERROR(__xludf.DUMMYFUNCTION("""COMPUTED_VALUE"""),"Beverages")</f>
        <v>Beverages</v>
      </c>
      <c r="D596" s="46">
        <f>IFERROR(__xludf.DUMMYFUNCTION("""COMPUTED_VALUE"""),23.0)</f>
        <v>23</v>
      </c>
      <c r="E596" s="46">
        <f>IFERROR(__xludf.DUMMYFUNCTION("""COMPUTED_VALUE"""),4.95593106E8)</f>
        <v>495593106</v>
      </c>
      <c r="F596" s="84">
        <f>IFERROR(__xludf.DUMMYFUNCTION("""COMPUTED_VALUE"""),278436.60000000003)</f>
        <v>278436.6</v>
      </c>
      <c r="I596" s="87"/>
    </row>
    <row r="597">
      <c r="A597" s="46" t="str">
        <f>IFERROR(__xludf.DUMMYFUNCTION("""COMPUTED_VALUE"""),"Europe")</f>
        <v>Europe</v>
      </c>
      <c r="B597" s="46" t="str">
        <f>IFERROR(__xludf.DUMMYFUNCTION("""COMPUTED_VALUE"""),"Hungary")</f>
        <v>Hungary</v>
      </c>
      <c r="C597" s="46" t="str">
        <f>IFERROR(__xludf.DUMMYFUNCTION("""COMPUTED_VALUE"""),"Vegetables")</f>
        <v>Vegetables</v>
      </c>
      <c r="D597" s="46">
        <f>IFERROR(__xludf.DUMMYFUNCTION("""COMPUTED_VALUE"""),43.0)</f>
        <v>43</v>
      </c>
      <c r="E597" s="46">
        <f>IFERROR(__xludf.DUMMYFUNCTION("""COMPUTED_VALUE"""),4.95631301E8)</f>
        <v>495631301</v>
      </c>
      <c r="F597" s="84">
        <f>IFERROR(__xludf.DUMMYFUNCTION("""COMPUTED_VALUE"""),1104764.26)</f>
        <v>1104764.26</v>
      </c>
      <c r="I597" s="87"/>
    </row>
    <row r="598">
      <c r="A598" s="46" t="str">
        <f>IFERROR(__xludf.DUMMYFUNCTION("""COMPUTED_VALUE"""),"Asia")</f>
        <v>Asia</v>
      </c>
      <c r="B598" s="46" t="str">
        <f>IFERROR(__xludf.DUMMYFUNCTION("""COMPUTED_VALUE"""),"Georgia")</f>
        <v>Georgia</v>
      </c>
      <c r="C598" s="46" t="str">
        <f>IFERROR(__xludf.DUMMYFUNCTION("""COMPUTED_VALUE"""),"Fruits")</f>
        <v>Fruits</v>
      </c>
      <c r="D598" s="46">
        <f>IFERROR(__xludf.DUMMYFUNCTION("""COMPUTED_VALUE"""),44.0)</f>
        <v>44</v>
      </c>
      <c r="E598" s="46">
        <f>IFERROR(__xludf.DUMMYFUNCTION("""COMPUTED_VALUE"""),4.96826493E8)</f>
        <v>496826493</v>
      </c>
      <c r="F598" s="84">
        <f>IFERROR(__xludf.DUMMYFUNCTION("""COMPUTED_VALUE"""),7977.15)</f>
        <v>7977.15</v>
      </c>
      <c r="I598" s="87"/>
    </row>
    <row r="599">
      <c r="A599" s="46" t="str">
        <f>IFERROR(__xludf.DUMMYFUNCTION("""COMPUTED_VALUE"""),"Europe")</f>
        <v>Europe</v>
      </c>
      <c r="B599" s="46" t="str">
        <f>IFERROR(__xludf.DUMMYFUNCTION("""COMPUTED_VALUE"""),"Belgium")</f>
        <v>Belgium</v>
      </c>
      <c r="C599" s="46" t="str">
        <f>IFERROR(__xludf.DUMMYFUNCTION("""COMPUTED_VALUE"""),"Household")</f>
        <v>Household</v>
      </c>
      <c r="D599" s="46">
        <f>IFERROR(__xludf.DUMMYFUNCTION("""COMPUTED_VALUE"""),23.0)</f>
        <v>23</v>
      </c>
      <c r="E599" s="46">
        <f>IFERROR(__xludf.DUMMYFUNCTION("""COMPUTED_VALUE"""),4.97466361E8)</f>
        <v>497466361</v>
      </c>
      <c r="F599" s="84">
        <f>IFERROR(__xludf.DUMMYFUNCTION("""COMPUTED_VALUE"""),137663.62)</f>
        <v>137663.62</v>
      </c>
      <c r="I599" s="87"/>
    </row>
    <row r="600">
      <c r="A600" s="46" t="str">
        <f>IFERROR(__xludf.DUMMYFUNCTION("""COMPUTED_VALUE"""),"Europe")</f>
        <v>Europe</v>
      </c>
      <c r="B600" s="46" t="str">
        <f>IFERROR(__xludf.DUMMYFUNCTION("""COMPUTED_VALUE"""),"Ireland")</f>
        <v>Ireland</v>
      </c>
      <c r="C600" s="46" t="str">
        <f>IFERROR(__xludf.DUMMYFUNCTION("""COMPUTED_VALUE"""),"Baby Food")</f>
        <v>Baby Food</v>
      </c>
      <c r="D600" s="46">
        <f>IFERROR(__xludf.DUMMYFUNCTION("""COMPUTED_VALUE"""),22.0)</f>
        <v>22</v>
      </c>
      <c r="E600" s="46">
        <f>IFERROR(__xludf.DUMMYFUNCTION("""COMPUTED_VALUE"""),4.97506701E8)</f>
        <v>497506701</v>
      </c>
      <c r="F600" s="84">
        <f>IFERROR(__xludf.DUMMYFUNCTION("""COMPUTED_VALUE"""),547320.32)</f>
        <v>547320.32</v>
      </c>
      <c r="I600" s="87"/>
    </row>
    <row r="601">
      <c r="A601" s="46" t="str">
        <f>IFERROR(__xludf.DUMMYFUNCTION("""COMPUTED_VALUE"""),"Asia")</f>
        <v>Asia</v>
      </c>
      <c r="B601" s="46" t="str">
        <f>IFERROR(__xludf.DUMMYFUNCTION("""COMPUTED_VALUE"""),"Cyprus")</f>
        <v>Cyprus</v>
      </c>
      <c r="C601" s="46" t="str">
        <f>IFERROR(__xludf.DUMMYFUNCTION("""COMPUTED_VALUE"""),"Clothes")</f>
        <v>Clothes</v>
      </c>
      <c r="D601" s="46">
        <f>IFERROR(__xludf.DUMMYFUNCTION("""COMPUTED_VALUE"""),48.0)</f>
        <v>48</v>
      </c>
      <c r="E601" s="46">
        <f>IFERROR(__xludf.DUMMYFUNCTION("""COMPUTED_VALUE"""),4.97554337E8)</f>
        <v>497554337</v>
      </c>
      <c r="F601" s="84">
        <f>IFERROR(__xludf.DUMMYFUNCTION("""COMPUTED_VALUE"""),681907.2)</f>
        <v>681907.2</v>
      </c>
      <c r="I601" s="87"/>
    </row>
    <row r="602">
      <c r="A602" s="46" t="str">
        <f>IFERROR(__xludf.DUMMYFUNCTION("""COMPUTED_VALUE"""),"Asia")</f>
        <v>Asia</v>
      </c>
      <c r="B602" s="46" t="str">
        <f>IFERROR(__xludf.DUMMYFUNCTION("""COMPUTED_VALUE"""),"Cyprus")</f>
        <v>Cyprus</v>
      </c>
      <c r="C602" s="46" t="str">
        <f>IFERROR(__xludf.DUMMYFUNCTION("""COMPUTED_VALUE"""),"Meat")</f>
        <v>Meat</v>
      </c>
      <c r="D602" s="46">
        <f>IFERROR(__xludf.DUMMYFUNCTION("""COMPUTED_VALUE"""),20.0)</f>
        <v>20</v>
      </c>
      <c r="E602" s="46">
        <f>IFERROR(__xludf.DUMMYFUNCTION("""COMPUTED_VALUE"""),4.98089492E8)</f>
        <v>498089492</v>
      </c>
      <c r="F602" s="84">
        <f>IFERROR(__xludf.DUMMYFUNCTION("""COMPUTED_VALUE"""),1942381.5599999998)</f>
        <v>1942381.56</v>
      </c>
      <c r="I602" s="87"/>
    </row>
    <row r="603">
      <c r="A603" s="46" t="str">
        <f>IFERROR(__xludf.DUMMYFUNCTION("""COMPUTED_VALUE"""),"Europe")</f>
        <v>Europe</v>
      </c>
      <c r="B603" s="46" t="str">
        <f>IFERROR(__xludf.DUMMYFUNCTION("""COMPUTED_VALUE"""),"Slovenia")</f>
        <v>Slovenia</v>
      </c>
      <c r="C603" s="46" t="str">
        <f>IFERROR(__xludf.DUMMYFUNCTION("""COMPUTED_VALUE"""),"Cosmetics")</f>
        <v>Cosmetics</v>
      </c>
      <c r="D603" s="46">
        <f>IFERROR(__xludf.DUMMYFUNCTION("""COMPUTED_VALUE"""),9.0)</f>
        <v>9</v>
      </c>
      <c r="E603" s="46">
        <f>IFERROR(__xludf.DUMMYFUNCTION("""COMPUTED_VALUE"""),4.98201072E8)</f>
        <v>498201072</v>
      </c>
      <c r="F603" s="84">
        <f>IFERROR(__xludf.DUMMYFUNCTION("""COMPUTED_VALUE"""),3332775.6)</f>
        <v>3332775.6</v>
      </c>
      <c r="I603" s="87"/>
    </row>
    <row r="604">
      <c r="A604" s="46" t="str">
        <f>IFERROR(__xludf.DUMMYFUNCTION("""COMPUTED_VALUE"""),"Europe")</f>
        <v>Europe</v>
      </c>
      <c r="B604" s="46" t="str">
        <f>IFERROR(__xludf.DUMMYFUNCTION("""COMPUTED_VALUE"""),"Bosnia and Herzegovina")</f>
        <v>Bosnia and Herzegovina</v>
      </c>
      <c r="C604" s="46" t="str">
        <f>IFERROR(__xludf.DUMMYFUNCTION("""COMPUTED_VALUE"""),"Meat")</f>
        <v>Meat</v>
      </c>
      <c r="D604" s="46">
        <f>IFERROR(__xludf.DUMMYFUNCTION("""COMPUTED_VALUE"""),33.0)</f>
        <v>33</v>
      </c>
      <c r="E604" s="46">
        <f>IFERROR(__xludf.DUMMYFUNCTION("""COMPUTED_VALUE"""),4.9894694E8)</f>
        <v>498946940</v>
      </c>
      <c r="F604" s="84">
        <f>IFERROR(__xludf.DUMMYFUNCTION("""COMPUTED_VALUE"""),3519406.38)</f>
        <v>3519406.38</v>
      </c>
      <c r="I604" s="87"/>
    </row>
    <row r="605">
      <c r="A605" s="46" t="str">
        <f>IFERROR(__xludf.DUMMYFUNCTION("""COMPUTED_VALUE"""),"Undefined")</f>
        <v>Undefined</v>
      </c>
      <c r="B605" s="46" t="str">
        <f>IFERROR(__xludf.DUMMYFUNCTION("""COMPUTED_VALUE"""),"Undefined")</f>
        <v>Undefined</v>
      </c>
      <c r="C605" s="46" t="str">
        <f>IFERROR(__xludf.DUMMYFUNCTION("""COMPUTED_VALUE"""),"Snacks")</f>
        <v>Snacks</v>
      </c>
      <c r="D605" s="46">
        <f>IFERROR(__xludf.DUMMYFUNCTION("""COMPUTED_VALUE"""),46.0)</f>
        <v>46</v>
      </c>
      <c r="E605" s="46">
        <f>IFERROR(__xludf.DUMMYFUNCTION("""COMPUTED_VALUE"""),4.99101436E8)</f>
        <v>499101436</v>
      </c>
      <c r="F605" s="84">
        <f>IFERROR(__xludf.DUMMYFUNCTION("""COMPUTED_VALUE"""),619627.38)</f>
        <v>619627.38</v>
      </c>
      <c r="I605" s="87"/>
    </row>
    <row r="606">
      <c r="A606" s="46" t="str">
        <f>IFERROR(__xludf.DUMMYFUNCTION("""COMPUTED_VALUE"""),"Europe")</f>
        <v>Europe</v>
      </c>
      <c r="B606" s="46" t="str">
        <f>IFERROR(__xludf.DUMMYFUNCTION("""COMPUTED_VALUE"""),"Ukraine")</f>
        <v>Ukraine</v>
      </c>
      <c r="C606" s="46" t="str">
        <f>IFERROR(__xludf.DUMMYFUNCTION("""COMPUTED_VALUE"""),"Cereal")</f>
        <v>Cereal</v>
      </c>
      <c r="D606" s="46">
        <f>IFERROR(__xludf.DUMMYFUNCTION("""COMPUTED_VALUE"""),31.0)</f>
        <v>31</v>
      </c>
      <c r="E606" s="46">
        <f>IFERROR(__xludf.DUMMYFUNCTION("""COMPUTED_VALUE"""),5.04024684E8)</f>
        <v>504024684</v>
      </c>
      <c r="F606" s="84">
        <f>IFERROR(__xludf.DUMMYFUNCTION("""COMPUTED_VALUE"""),197266.3)</f>
        <v>197266.3</v>
      </c>
      <c r="I606" s="87"/>
    </row>
    <row r="607">
      <c r="A607" s="46" t="str">
        <f>IFERROR(__xludf.DUMMYFUNCTION("""COMPUTED_VALUE"""),"Europe")</f>
        <v>Europe</v>
      </c>
      <c r="B607" s="46" t="str">
        <f>IFERROR(__xludf.DUMMYFUNCTION("""COMPUTED_VALUE"""),"Andorra")</f>
        <v>Andorra</v>
      </c>
      <c r="C607" s="46" t="str">
        <f>IFERROR(__xludf.DUMMYFUNCTION("""COMPUTED_VALUE"""),"Meat")</f>
        <v>Meat</v>
      </c>
      <c r="D607" s="46">
        <f>IFERROR(__xludf.DUMMYFUNCTION("""COMPUTED_VALUE"""),30.0)</f>
        <v>30</v>
      </c>
      <c r="E607" s="46">
        <f>IFERROR(__xludf.DUMMYFUNCTION("""COMPUTED_VALUE"""),5.04973971E8)</f>
        <v>504973971</v>
      </c>
      <c r="F607" s="84">
        <f>IFERROR(__xludf.DUMMYFUNCTION("""COMPUTED_VALUE"""),791043.75)</f>
        <v>791043.75</v>
      </c>
      <c r="I607" s="87"/>
    </row>
    <row r="608">
      <c r="A608" s="46" t="str">
        <f>IFERROR(__xludf.DUMMYFUNCTION("""COMPUTED_VALUE"""),"Europe")</f>
        <v>Europe</v>
      </c>
      <c r="B608" s="46" t="str">
        <f>IFERROR(__xludf.DUMMYFUNCTION("""COMPUTED_VALUE"""),"Bulgaria")</f>
        <v>Bulgaria</v>
      </c>
      <c r="C608" s="46" t="str">
        <f>IFERROR(__xludf.DUMMYFUNCTION("""COMPUTED_VALUE"""),"Clothes")</f>
        <v>Clothes</v>
      </c>
      <c r="D608" s="46">
        <f>IFERROR(__xludf.DUMMYFUNCTION("""COMPUTED_VALUE"""),39.0)</f>
        <v>39</v>
      </c>
      <c r="E608" s="46">
        <f>IFERROR(__xludf.DUMMYFUNCTION("""COMPUTED_VALUE"""),5.0586704E8)</f>
        <v>505867040</v>
      </c>
      <c r="F608" s="84">
        <f>IFERROR(__xludf.DUMMYFUNCTION("""COMPUTED_VALUE"""),672399.84)</f>
        <v>672399.84</v>
      </c>
      <c r="I608" s="87"/>
    </row>
    <row r="609">
      <c r="A609" s="46" t="str">
        <f>IFERROR(__xludf.DUMMYFUNCTION("""COMPUTED_VALUE"""),"Europe")</f>
        <v>Europe</v>
      </c>
      <c r="B609" s="46" t="str">
        <f>IFERROR(__xludf.DUMMYFUNCTION("""COMPUTED_VALUE"""),"Estonia")</f>
        <v>Estonia</v>
      </c>
      <c r="C609" s="46" t="str">
        <f>IFERROR(__xludf.DUMMYFUNCTION("""COMPUTED_VALUE"""),"Snacks")</f>
        <v>Snacks</v>
      </c>
      <c r="D609" s="46">
        <f>IFERROR(__xludf.DUMMYFUNCTION("""COMPUTED_VALUE"""),3.0)</f>
        <v>3</v>
      </c>
      <c r="E609" s="46">
        <f>IFERROR(__xludf.DUMMYFUNCTION("""COMPUTED_VALUE"""),5.07040774E8)</f>
        <v>507040774</v>
      </c>
      <c r="F609" s="84">
        <f>IFERROR(__xludf.DUMMYFUNCTION("""COMPUTED_VALUE"""),532199.04)</f>
        <v>532199.04</v>
      </c>
      <c r="I609" s="87"/>
    </row>
    <row r="610">
      <c r="A610" s="46" t="str">
        <f>IFERROR(__xludf.DUMMYFUNCTION("""COMPUTED_VALUE"""),"Europe")</f>
        <v>Europe</v>
      </c>
      <c r="B610" s="46" t="str">
        <f>IFERROR(__xludf.DUMMYFUNCTION("""COMPUTED_VALUE"""),"Sweden")</f>
        <v>Sweden</v>
      </c>
      <c r="C610" s="46" t="str">
        <f>IFERROR(__xludf.DUMMYFUNCTION("""COMPUTED_VALUE"""),"Snacks")</f>
        <v>Snacks</v>
      </c>
      <c r="D610" s="46">
        <f>IFERROR(__xludf.DUMMYFUNCTION("""COMPUTED_VALUE"""),15.0)</f>
        <v>15</v>
      </c>
      <c r="E610" s="46">
        <f>IFERROR(__xludf.DUMMYFUNCTION("""COMPUTED_VALUE"""),5.07531726E8)</f>
        <v>507531726</v>
      </c>
      <c r="F610" s="84">
        <f>IFERROR(__xludf.DUMMYFUNCTION("""COMPUTED_VALUE"""),1338279.1800000002)</f>
        <v>1338279.18</v>
      </c>
      <c r="I610" s="87"/>
    </row>
    <row r="611">
      <c r="A611" s="46" t="str">
        <f>IFERROR(__xludf.DUMMYFUNCTION("""COMPUTED_VALUE"""),"Undefined")</f>
        <v>Undefined</v>
      </c>
      <c r="B611" s="46" t="str">
        <f>IFERROR(__xludf.DUMMYFUNCTION("""COMPUTED_VALUE"""),"Undefined")</f>
        <v>Undefined</v>
      </c>
      <c r="C611" s="46" t="str">
        <f>IFERROR(__xludf.DUMMYFUNCTION("""COMPUTED_VALUE"""),"Clothes")</f>
        <v>Clothes</v>
      </c>
      <c r="D611" s="46">
        <f>IFERROR(__xludf.DUMMYFUNCTION("""COMPUTED_VALUE"""),9.0)</f>
        <v>9</v>
      </c>
      <c r="E611" s="46">
        <f>IFERROR(__xludf.DUMMYFUNCTION("""COMPUTED_VALUE"""),5.08014523E8)</f>
        <v>508014523</v>
      </c>
      <c r="F611" s="84">
        <f>IFERROR(__xludf.DUMMYFUNCTION("""COMPUTED_VALUE"""),179437.76)</f>
        <v>179437.76</v>
      </c>
      <c r="I611" s="87"/>
    </row>
    <row r="612">
      <c r="A612" s="46" t="str">
        <f>IFERROR(__xludf.DUMMYFUNCTION("""COMPUTED_VALUE"""),"Europe")</f>
        <v>Europe</v>
      </c>
      <c r="B612" s="46" t="str">
        <f>IFERROR(__xludf.DUMMYFUNCTION("""COMPUTED_VALUE"""),"Norway")</f>
        <v>Norway</v>
      </c>
      <c r="C612" s="46" t="str">
        <f>IFERROR(__xludf.DUMMYFUNCTION("""COMPUTED_VALUE"""),"Clothes")</f>
        <v>Clothes</v>
      </c>
      <c r="D612" s="46">
        <f>IFERROR(__xludf.DUMMYFUNCTION("""COMPUTED_VALUE"""),3.0)</f>
        <v>3</v>
      </c>
      <c r="E612" s="46">
        <f>IFERROR(__xludf.DUMMYFUNCTION("""COMPUTED_VALUE"""),5.09356057E8)</f>
        <v>509356057</v>
      </c>
      <c r="F612" s="84">
        <f>IFERROR(__xludf.DUMMYFUNCTION("""COMPUTED_VALUE"""),943195.68)</f>
        <v>943195.68</v>
      </c>
      <c r="I612" s="87"/>
    </row>
    <row r="613">
      <c r="A613" s="46" t="str">
        <f>IFERROR(__xludf.DUMMYFUNCTION("""COMPUTED_VALUE"""),"Europe")</f>
        <v>Europe</v>
      </c>
      <c r="B613" s="46" t="str">
        <f>IFERROR(__xludf.DUMMYFUNCTION("""COMPUTED_VALUE"""),"United Kingdom")</f>
        <v>United Kingdom</v>
      </c>
      <c r="C613" s="46" t="str">
        <f>IFERROR(__xludf.DUMMYFUNCTION("""COMPUTED_VALUE"""),"Personal Care")</f>
        <v>Personal Care</v>
      </c>
      <c r="D613" s="46">
        <f>IFERROR(__xludf.DUMMYFUNCTION("""COMPUTED_VALUE"""),5.0)</f>
        <v>5</v>
      </c>
      <c r="E613" s="46">
        <f>IFERROR(__xludf.DUMMYFUNCTION("""COMPUTED_VALUE"""),5.09380948E8)</f>
        <v>509380948</v>
      </c>
      <c r="F613" s="84">
        <f>IFERROR(__xludf.DUMMYFUNCTION("""COMPUTED_VALUE"""),490134.81)</f>
        <v>490134.81</v>
      </c>
      <c r="I613" s="87"/>
    </row>
    <row r="614">
      <c r="A614" s="46" t="str">
        <f>IFERROR(__xludf.DUMMYFUNCTION("""COMPUTED_VALUE"""),"Undefined")</f>
        <v>Undefined</v>
      </c>
      <c r="B614" s="46" t="str">
        <f>IFERROR(__xludf.DUMMYFUNCTION("""COMPUTED_VALUE"""),"Undefined")</f>
        <v>Undefined</v>
      </c>
      <c r="C614" s="46" t="str">
        <f>IFERROR(__xludf.DUMMYFUNCTION("""COMPUTED_VALUE"""),"Beverages")</f>
        <v>Beverages</v>
      </c>
      <c r="D614" s="46">
        <f>IFERROR(__xludf.DUMMYFUNCTION("""COMPUTED_VALUE"""),48.0)</f>
        <v>48</v>
      </c>
      <c r="E614" s="46">
        <f>IFERROR(__xludf.DUMMYFUNCTION("""COMPUTED_VALUE"""),5.10762822E8)</f>
        <v>510762822</v>
      </c>
      <c r="F614" s="84">
        <f>IFERROR(__xludf.DUMMYFUNCTION("""COMPUTED_VALUE"""),233643.80000000002)</f>
        <v>233643.8</v>
      </c>
      <c r="I614" s="87"/>
    </row>
    <row r="615">
      <c r="A615" s="46" t="str">
        <f>IFERROR(__xludf.DUMMYFUNCTION("""COMPUTED_VALUE"""),"Europe")</f>
        <v>Europe</v>
      </c>
      <c r="B615" s="46" t="str">
        <f>IFERROR(__xludf.DUMMYFUNCTION("""COMPUTED_VALUE"""),"Luxembourg")</f>
        <v>Luxembourg</v>
      </c>
      <c r="C615" s="46" t="str">
        <f>IFERROR(__xludf.DUMMYFUNCTION("""COMPUTED_VALUE"""),"Snacks")</f>
        <v>Snacks</v>
      </c>
      <c r="D615" s="46">
        <f>IFERROR(__xludf.DUMMYFUNCTION("""COMPUTED_VALUE"""),16.0)</f>
        <v>16</v>
      </c>
      <c r="E615" s="46">
        <f>IFERROR(__xludf.DUMMYFUNCTION("""COMPUTED_VALUE"""),5.10956799E8)</f>
        <v>510956799</v>
      </c>
      <c r="F615" s="84">
        <f>IFERROR(__xludf.DUMMYFUNCTION("""COMPUTED_VALUE"""),354901.08)</f>
        <v>354901.08</v>
      </c>
      <c r="I615" s="87"/>
    </row>
    <row r="616">
      <c r="A616" s="46" t="str">
        <f>IFERROR(__xludf.DUMMYFUNCTION("""COMPUTED_VALUE"""),"Europe")</f>
        <v>Europe</v>
      </c>
      <c r="B616" s="46" t="str">
        <f>IFERROR(__xludf.DUMMYFUNCTION("""COMPUTED_VALUE"""),"Denmark")</f>
        <v>Denmark</v>
      </c>
      <c r="C616" s="46" t="str">
        <f>IFERROR(__xludf.DUMMYFUNCTION("""COMPUTED_VALUE"""),"Beverages")</f>
        <v>Beverages</v>
      </c>
      <c r="D616" s="46">
        <f>IFERROR(__xludf.DUMMYFUNCTION("""COMPUTED_VALUE"""),39.0)</f>
        <v>39</v>
      </c>
      <c r="E616" s="46">
        <f>IFERROR(__xludf.DUMMYFUNCTION("""COMPUTED_VALUE"""),5.11155498E8)</f>
        <v>511155498</v>
      </c>
      <c r="F616" s="84">
        <f>IFERROR(__xludf.DUMMYFUNCTION("""COMPUTED_VALUE"""),53428.700000000004)</f>
        <v>53428.7</v>
      </c>
      <c r="I616" s="87"/>
    </row>
    <row r="617">
      <c r="A617" s="46" t="str">
        <f>IFERROR(__xludf.DUMMYFUNCTION("""COMPUTED_VALUE"""),"Europe")</f>
        <v>Europe</v>
      </c>
      <c r="B617" s="46" t="str">
        <f>IFERROR(__xludf.DUMMYFUNCTION("""COMPUTED_VALUE"""),"Austria")</f>
        <v>Austria</v>
      </c>
      <c r="C617" s="46" t="str">
        <f>IFERROR(__xludf.DUMMYFUNCTION("""COMPUTED_VALUE"""),"Office Supplies")</f>
        <v>Office Supplies</v>
      </c>
      <c r="D617" s="46">
        <f>IFERROR(__xludf.DUMMYFUNCTION("""COMPUTED_VALUE"""),47.0)</f>
        <v>47</v>
      </c>
      <c r="E617" s="46">
        <f>IFERROR(__xludf.DUMMYFUNCTION("""COMPUTED_VALUE"""),5.1171211E8)</f>
        <v>511712110</v>
      </c>
      <c r="F617" s="84">
        <f>IFERROR(__xludf.DUMMYFUNCTION("""COMPUTED_VALUE"""),3802415.1900000004)</f>
        <v>3802415.19</v>
      </c>
      <c r="I617" s="87"/>
    </row>
    <row r="618">
      <c r="A618" s="46" t="str">
        <f>IFERROR(__xludf.DUMMYFUNCTION("""COMPUTED_VALUE"""),"Europe")</f>
        <v>Europe</v>
      </c>
      <c r="B618" s="46" t="str">
        <f>IFERROR(__xludf.DUMMYFUNCTION("""COMPUTED_VALUE"""),"Czech Republic")</f>
        <v>Czech Republic</v>
      </c>
      <c r="C618" s="46" t="str">
        <f>IFERROR(__xludf.DUMMYFUNCTION("""COMPUTED_VALUE"""),"Household")</f>
        <v>Household</v>
      </c>
      <c r="D618" s="46">
        <f>IFERROR(__xludf.DUMMYFUNCTION("""COMPUTED_VALUE"""),38.0)</f>
        <v>38</v>
      </c>
      <c r="E618" s="46">
        <f>IFERROR(__xludf.DUMMYFUNCTION("""COMPUTED_VALUE"""),5.12662255E8)</f>
        <v>512662255</v>
      </c>
      <c r="F618" s="84">
        <f>IFERROR(__xludf.DUMMYFUNCTION("""COMPUTED_VALUE"""),4683904.43)</f>
        <v>4683904.43</v>
      </c>
      <c r="I618" s="87"/>
    </row>
    <row r="619">
      <c r="A619" s="46" t="str">
        <f>IFERROR(__xludf.DUMMYFUNCTION("""COMPUTED_VALUE"""),"Europe")</f>
        <v>Europe</v>
      </c>
      <c r="B619" s="46" t="str">
        <f>IFERROR(__xludf.DUMMYFUNCTION("""COMPUTED_VALUE"""),"Belgium")</f>
        <v>Belgium</v>
      </c>
      <c r="C619" s="46" t="str">
        <f>IFERROR(__xludf.DUMMYFUNCTION("""COMPUTED_VALUE"""),"Meat")</f>
        <v>Meat</v>
      </c>
      <c r="D619" s="46">
        <f>IFERROR(__xludf.DUMMYFUNCTION("""COMPUTED_VALUE"""),16.0)</f>
        <v>16</v>
      </c>
      <c r="E619" s="46">
        <f>IFERROR(__xludf.DUMMYFUNCTION("""COMPUTED_VALUE"""),5.12714612E8)</f>
        <v>512714612</v>
      </c>
      <c r="F619" s="84">
        <f>IFERROR(__xludf.DUMMYFUNCTION("""COMPUTED_VALUE"""),1055568.78)</f>
        <v>1055568.78</v>
      </c>
      <c r="I619" s="87"/>
    </row>
    <row r="620">
      <c r="A620" s="46" t="str">
        <f>IFERROR(__xludf.DUMMYFUNCTION("""COMPUTED_VALUE"""),"Europe")</f>
        <v>Europe</v>
      </c>
      <c r="B620" s="46" t="str">
        <f>IFERROR(__xludf.DUMMYFUNCTION("""COMPUTED_VALUE"""),"Bulgaria")</f>
        <v>Bulgaria</v>
      </c>
      <c r="C620" s="46" t="str">
        <f>IFERROR(__xludf.DUMMYFUNCTION("""COMPUTED_VALUE"""),"Office Supplies")</f>
        <v>Office Supplies</v>
      </c>
      <c r="D620" s="46">
        <f>IFERROR(__xludf.DUMMYFUNCTION("""COMPUTED_VALUE"""),14.0)</f>
        <v>14</v>
      </c>
      <c r="E620" s="46">
        <f>IFERROR(__xludf.DUMMYFUNCTION("""COMPUTED_VALUE"""),5.13026177E8)</f>
        <v>513026177</v>
      </c>
      <c r="F620" s="84">
        <f>IFERROR(__xludf.DUMMYFUNCTION("""COMPUTED_VALUE"""),3061338.21)</f>
        <v>3061338.21</v>
      </c>
      <c r="I620" s="87"/>
    </row>
    <row r="621">
      <c r="A621" s="46" t="str">
        <f>IFERROR(__xludf.DUMMYFUNCTION("""COMPUTED_VALUE"""),"Europe")</f>
        <v>Europe</v>
      </c>
      <c r="B621" s="46" t="str">
        <f>IFERROR(__xludf.DUMMYFUNCTION("""COMPUTED_VALUE"""),"Netherlands")</f>
        <v>Netherlands</v>
      </c>
      <c r="C621" s="46" t="str">
        <f>IFERROR(__xludf.DUMMYFUNCTION("""COMPUTED_VALUE"""),"Clothes")</f>
        <v>Clothes</v>
      </c>
      <c r="D621" s="46">
        <f>IFERROR(__xludf.DUMMYFUNCTION("""COMPUTED_VALUE"""),41.0)</f>
        <v>41</v>
      </c>
      <c r="E621" s="46">
        <f>IFERROR(__xludf.DUMMYFUNCTION("""COMPUTED_VALUE"""),5.13611114E8)</f>
        <v>513611114</v>
      </c>
      <c r="F621" s="84">
        <f>IFERROR(__xludf.DUMMYFUNCTION("""COMPUTED_VALUE"""),852056.16)</f>
        <v>852056.16</v>
      </c>
      <c r="I621" s="87"/>
    </row>
    <row r="622">
      <c r="A622" s="46" t="str">
        <f>IFERROR(__xludf.DUMMYFUNCTION("""COMPUTED_VALUE"""),"Europe")</f>
        <v>Europe</v>
      </c>
      <c r="B622" s="46" t="str">
        <f>IFERROR(__xludf.DUMMYFUNCTION("""COMPUTED_VALUE"""),"Spain")</f>
        <v>Spain</v>
      </c>
      <c r="C622" s="46" t="str">
        <f>IFERROR(__xludf.DUMMYFUNCTION("""COMPUTED_VALUE"""),"Office Supplies")</f>
        <v>Office Supplies</v>
      </c>
      <c r="D622" s="46">
        <f>IFERROR(__xludf.DUMMYFUNCTION("""COMPUTED_VALUE"""),36.0)</f>
        <v>36</v>
      </c>
      <c r="E622" s="46">
        <f>IFERROR(__xludf.DUMMYFUNCTION("""COMPUTED_VALUE"""),5.13802516E8)</f>
        <v>513802516</v>
      </c>
      <c r="F622" s="84">
        <f>IFERROR(__xludf.DUMMYFUNCTION("""COMPUTED_VALUE"""),2889418.77)</f>
        <v>2889418.77</v>
      </c>
      <c r="I622" s="87"/>
    </row>
    <row r="623">
      <c r="A623" s="46" t="str">
        <f>IFERROR(__xludf.DUMMYFUNCTION("""COMPUTED_VALUE"""),"Europe")</f>
        <v>Europe</v>
      </c>
      <c r="B623" s="46" t="str">
        <f>IFERROR(__xludf.DUMMYFUNCTION("""COMPUTED_VALUE"""),"San Marino")</f>
        <v>San Marino</v>
      </c>
      <c r="C623" s="46" t="str">
        <f>IFERROR(__xludf.DUMMYFUNCTION("""COMPUTED_VALUE"""),"Vegetables")</f>
        <v>Vegetables</v>
      </c>
      <c r="D623" s="46">
        <f>IFERROR(__xludf.DUMMYFUNCTION("""COMPUTED_VALUE"""),29.0)</f>
        <v>29</v>
      </c>
      <c r="E623" s="46">
        <f>IFERROR(__xludf.DUMMYFUNCTION("""COMPUTED_VALUE"""),5.15771901E8)</f>
        <v>515771901</v>
      </c>
      <c r="F623" s="84">
        <f>IFERROR(__xludf.DUMMYFUNCTION("""COMPUTED_VALUE"""),1112621.32)</f>
        <v>1112621.32</v>
      </c>
      <c r="I623" s="87"/>
    </row>
    <row r="624">
      <c r="A624" s="46" t="str">
        <f>IFERROR(__xludf.DUMMYFUNCTION("""COMPUTED_VALUE"""),"Undefined")</f>
        <v>Undefined</v>
      </c>
      <c r="B624" s="46" t="str">
        <f>IFERROR(__xludf.DUMMYFUNCTION("""COMPUTED_VALUE"""),"Undefined")</f>
        <v>Undefined</v>
      </c>
      <c r="C624" s="46" t="str">
        <f>IFERROR(__xludf.DUMMYFUNCTION("""COMPUTED_VALUE"""),"Meat")</f>
        <v>Meat</v>
      </c>
      <c r="D624" s="46">
        <f>IFERROR(__xludf.DUMMYFUNCTION("""COMPUTED_VALUE"""),16.0)</f>
        <v>16</v>
      </c>
      <c r="E624" s="46">
        <f>IFERROR(__xludf.DUMMYFUNCTION("""COMPUTED_VALUE"""),5.15773189E8)</f>
        <v>515773189</v>
      </c>
      <c r="F624" s="84">
        <f>IFERROR(__xludf.DUMMYFUNCTION("""COMPUTED_VALUE"""),3207629.67)</f>
        <v>3207629.67</v>
      </c>
      <c r="I624" s="87"/>
    </row>
    <row r="625">
      <c r="A625" s="46" t="str">
        <f>IFERROR(__xludf.DUMMYFUNCTION("""COMPUTED_VALUE"""),"Europe")</f>
        <v>Europe</v>
      </c>
      <c r="B625" s="46" t="str">
        <f>IFERROR(__xludf.DUMMYFUNCTION("""COMPUTED_VALUE"""),"Austria")</f>
        <v>Austria</v>
      </c>
      <c r="C625" s="46" t="str">
        <f>IFERROR(__xludf.DUMMYFUNCTION("""COMPUTED_VALUE"""),"Snacks")</f>
        <v>Snacks</v>
      </c>
      <c r="D625" s="46">
        <f>IFERROR(__xludf.DUMMYFUNCTION("""COMPUTED_VALUE"""),34.0)</f>
        <v>34</v>
      </c>
      <c r="E625" s="46">
        <f>IFERROR(__xludf.DUMMYFUNCTION("""COMPUTED_VALUE"""),5.16122949E8)</f>
        <v>516122949</v>
      </c>
      <c r="F625" s="84">
        <f>IFERROR(__xludf.DUMMYFUNCTION("""COMPUTED_VALUE"""),168600.90000000002)</f>
        <v>168600.9</v>
      </c>
      <c r="I625" s="87"/>
    </row>
    <row r="626">
      <c r="A626" s="46" t="str">
        <f>IFERROR(__xludf.DUMMYFUNCTION("""COMPUTED_VALUE"""),"Asia")</f>
        <v>Asia</v>
      </c>
      <c r="B626" s="46" t="str">
        <f>IFERROR(__xludf.DUMMYFUNCTION("""COMPUTED_VALUE"""),"Armenia")</f>
        <v>Armenia</v>
      </c>
      <c r="C626" s="46" t="str">
        <f>IFERROR(__xludf.DUMMYFUNCTION("""COMPUTED_VALUE"""),"Household")</f>
        <v>Household</v>
      </c>
      <c r="D626" s="46">
        <f>IFERROR(__xludf.DUMMYFUNCTION("""COMPUTED_VALUE"""),21.0)</f>
        <v>21</v>
      </c>
      <c r="E626" s="46">
        <f>IFERROR(__xludf.DUMMYFUNCTION("""COMPUTED_VALUE"""),5.16460692E8)</f>
        <v>516460692</v>
      </c>
      <c r="F626" s="84">
        <f>IFERROR(__xludf.DUMMYFUNCTION("""COMPUTED_VALUE"""),702351.77)</f>
        <v>702351.77</v>
      </c>
      <c r="I626" s="87"/>
    </row>
    <row r="627">
      <c r="A627" s="46" t="str">
        <f>IFERROR(__xludf.DUMMYFUNCTION("""COMPUTED_VALUE"""),"Asia")</f>
        <v>Asia</v>
      </c>
      <c r="B627" s="46" t="str">
        <f>IFERROR(__xludf.DUMMYFUNCTION("""COMPUTED_VALUE"""),"Georgia")</f>
        <v>Georgia</v>
      </c>
      <c r="C627" s="46" t="str">
        <f>IFERROR(__xludf.DUMMYFUNCTION("""COMPUTED_VALUE"""),"Meat")</f>
        <v>Meat</v>
      </c>
      <c r="D627" s="46">
        <f>IFERROR(__xludf.DUMMYFUNCTION("""COMPUTED_VALUE"""),23.0)</f>
        <v>23</v>
      </c>
      <c r="E627" s="46">
        <f>IFERROR(__xludf.DUMMYFUNCTION("""COMPUTED_VALUE"""),5.16485583E8)</f>
        <v>516485583</v>
      </c>
      <c r="F627" s="84">
        <f>IFERROR(__xludf.DUMMYFUNCTION("""COMPUTED_VALUE"""),3550626.2399999998)</f>
        <v>3550626.24</v>
      </c>
      <c r="I627" s="87"/>
    </row>
    <row r="628">
      <c r="A628" s="46" t="str">
        <f>IFERROR(__xludf.DUMMYFUNCTION("""COMPUTED_VALUE"""),"Europe")</f>
        <v>Europe</v>
      </c>
      <c r="B628" s="46" t="str">
        <f>IFERROR(__xludf.DUMMYFUNCTION("""COMPUTED_VALUE"""),"Greece")</f>
        <v>Greece</v>
      </c>
      <c r="C628" s="46" t="str">
        <f>IFERROR(__xludf.DUMMYFUNCTION("""COMPUTED_VALUE"""),"Office Supplies")</f>
        <v>Office Supplies</v>
      </c>
      <c r="D628" s="46">
        <f>IFERROR(__xludf.DUMMYFUNCTION("""COMPUTED_VALUE"""),37.0)</f>
        <v>37</v>
      </c>
      <c r="E628" s="46">
        <f>IFERROR(__xludf.DUMMYFUNCTION("""COMPUTED_VALUE"""),5.16599738E8)</f>
        <v>516599738</v>
      </c>
      <c r="F628" s="84">
        <f>IFERROR(__xludf.DUMMYFUNCTION("""COMPUTED_VALUE"""),1430708.37)</f>
        <v>1430708.37</v>
      </c>
      <c r="I628" s="87"/>
    </row>
    <row r="629">
      <c r="A629" s="46" t="str">
        <f>IFERROR(__xludf.DUMMYFUNCTION("""COMPUTED_VALUE"""),"Europe")</f>
        <v>Europe</v>
      </c>
      <c r="B629" s="46" t="str">
        <f>IFERROR(__xludf.DUMMYFUNCTION("""COMPUTED_VALUE"""),"Lithuania")</f>
        <v>Lithuania</v>
      </c>
      <c r="C629" s="46" t="str">
        <f>IFERROR(__xludf.DUMMYFUNCTION("""COMPUTED_VALUE"""),"Household")</f>
        <v>Household</v>
      </c>
      <c r="D629" s="46">
        <f>IFERROR(__xludf.DUMMYFUNCTION("""COMPUTED_VALUE"""),32.0)</f>
        <v>32</v>
      </c>
      <c r="E629" s="46">
        <f>IFERROR(__xludf.DUMMYFUNCTION("""COMPUTED_VALUE"""),5.16635358E8)</f>
        <v>516635358</v>
      </c>
      <c r="F629" s="84">
        <f>IFERROR(__xludf.DUMMYFUNCTION("""COMPUTED_VALUE"""),1829723.26)</f>
        <v>1829723.26</v>
      </c>
      <c r="I629" s="87"/>
    </row>
    <row r="630">
      <c r="A630" s="46" t="str">
        <f>IFERROR(__xludf.DUMMYFUNCTION("""COMPUTED_VALUE"""),"Europe")</f>
        <v>Europe</v>
      </c>
      <c r="B630" s="46" t="str">
        <f>IFERROR(__xludf.DUMMYFUNCTION("""COMPUTED_VALUE"""),"Greece")</f>
        <v>Greece</v>
      </c>
      <c r="C630" s="46" t="str">
        <f>IFERROR(__xludf.DUMMYFUNCTION("""COMPUTED_VALUE"""),"Fruits")</f>
        <v>Fruits</v>
      </c>
      <c r="D630" s="46">
        <f>IFERROR(__xludf.DUMMYFUNCTION("""COMPUTED_VALUE"""),6.0)</f>
        <v>6</v>
      </c>
      <c r="E630" s="46">
        <f>IFERROR(__xludf.DUMMYFUNCTION("""COMPUTED_VALUE"""),5.16994559E8)</f>
        <v>516994559</v>
      </c>
      <c r="F630" s="84">
        <f>IFERROR(__xludf.DUMMYFUNCTION("""COMPUTED_VALUE"""),84287.22)</f>
        <v>84287.22</v>
      </c>
      <c r="I630" s="87"/>
    </row>
    <row r="631">
      <c r="A631" s="46" t="str">
        <f>IFERROR(__xludf.DUMMYFUNCTION("""COMPUTED_VALUE"""),"Europe")</f>
        <v>Europe</v>
      </c>
      <c r="B631" s="46" t="str">
        <f>IFERROR(__xludf.DUMMYFUNCTION("""COMPUTED_VALUE"""),"Latvia")</f>
        <v>Latvia</v>
      </c>
      <c r="C631" s="46" t="str">
        <f>IFERROR(__xludf.DUMMYFUNCTION("""COMPUTED_VALUE"""),"Snacks")</f>
        <v>Snacks</v>
      </c>
      <c r="D631" s="46">
        <f>IFERROR(__xludf.DUMMYFUNCTION("""COMPUTED_VALUE"""),27.0)</f>
        <v>27</v>
      </c>
      <c r="E631" s="46">
        <f>IFERROR(__xludf.DUMMYFUNCTION("""COMPUTED_VALUE"""),5.17097985E8)</f>
        <v>517097985</v>
      </c>
      <c r="F631" s="84">
        <f>IFERROR(__xludf.DUMMYFUNCTION("""COMPUTED_VALUE"""),1470871.2000000002)</f>
        <v>1470871.2</v>
      </c>
      <c r="I631" s="87"/>
    </row>
    <row r="632">
      <c r="A632" s="46" t="str">
        <f>IFERROR(__xludf.DUMMYFUNCTION("""COMPUTED_VALUE"""),"Asia")</f>
        <v>Asia</v>
      </c>
      <c r="B632" s="46" t="str">
        <f>IFERROR(__xludf.DUMMYFUNCTION("""COMPUTED_VALUE"""),"Georgia")</f>
        <v>Georgia</v>
      </c>
      <c r="C632" s="46" t="str">
        <f>IFERROR(__xludf.DUMMYFUNCTION("""COMPUTED_VALUE"""),"Meat")</f>
        <v>Meat</v>
      </c>
      <c r="D632" s="46">
        <f>IFERROR(__xludf.DUMMYFUNCTION("""COMPUTED_VALUE"""),32.0)</f>
        <v>32</v>
      </c>
      <c r="E632" s="46">
        <f>IFERROR(__xludf.DUMMYFUNCTION("""COMPUTED_VALUE"""),5.17514264E8)</f>
        <v>517514264</v>
      </c>
      <c r="F632" s="84">
        <f>IFERROR(__xludf.DUMMYFUNCTION("""COMPUTED_VALUE"""),1192261.14)</f>
        <v>1192261.14</v>
      </c>
      <c r="I632" s="87"/>
    </row>
    <row r="633">
      <c r="A633" s="46" t="str">
        <f>IFERROR(__xludf.DUMMYFUNCTION("""COMPUTED_VALUE"""),"Europe")</f>
        <v>Europe</v>
      </c>
      <c r="B633" s="46" t="str">
        <f>IFERROR(__xludf.DUMMYFUNCTION("""COMPUTED_VALUE"""),"San Marino")</f>
        <v>San Marino</v>
      </c>
      <c r="C633" s="46" t="str">
        <f>IFERROR(__xludf.DUMMYFUNCTION("""COMPUTED_VALUE"""),"Cereal")</f>
        <v>Cereal</v>
      </c>
      <c r="D633" s="46">
        <f>IFERROR(__xludf.DUMMYFUNCTION("""COMPUTED_VALUE"""),0.0)</f>
        <v>0</v>
      </c>
      <c r="E633" s="46">
        <f>IFERROR(__xludf.DUMMYFUNCTION("""COMPUTED_VALUE"""),5.18421494E8)</f>
        <v>518421494</v>
      </c>
      <c r="F633" s="84">
        <f>IFERROR(__xludf.DUMMYFUNCTION("""COMPUTED_VALUE"""),266587.2)</f>
        <v>266587.2</v>
      </c>
      <c r="I633" s="87"/>
    </row>
    <row r="634">
      <c r="A634" s="46" t="str">
        <f>IFERROR(__xludf.DUMMYFUNCTION("""COMPUTED_VALUE"""),"Europe")</f>
        <v>Europe</v>
      </c>
      <c r="B634" s="46" t="str">
        <f>IFERROR(__xludf.DUMMYFUNCTION("""COMPUTED_VALUE"""),"Belgium")</f>
        <v>Belgium</v>
      </c>
      <c r="C634" s="46" t="str">
        <f>IFERROR(__xludf.DUMMYFUNCTION("""COMPUTED_VALUE"""),"Snacks")</f>
        <v>Snacks</v>
      </c>
      <c r="D634" s="46">
        <f>IFERROR(__xludf.DUMMYFUNCTION("""COMPUTED_VALUE"""),5.0)</f>
        <v>5</v>
      </c>
      <c r="E634" s="46">
        <f>IFERROR(__xludf.DUMMYFUNCTION("""COMPUTED_VALUE"""),5.19380223E8)</f>
        <v>519380223</v>
      </c>
      <c r="F634" s="84">
        <f>IFERROR(__xludf.DUMMYFUNCTION("""COMPUTED_VALUE"""),763662.9)</f>
        <v>763662.9</v>
      </c>
      <c r="I634" s="87"/>
    </row>
    <row r="635">
      <c r="A635" s="46" t="str">
        <f>IFERROR(__xludf.DUMMYFUNCTION("""COMPUTED_VALUE"""),"Europe")</f>
        <v>Europe</v>
      </c>
      <c r="B635" s="46" t="str">
        <f>IFERROR(__xludf.DUMMYFUNCTION("""COMPUTED_VALUE"""),"Poland")</f>
        <v>Poland</v>
      </c>
      <c r="C635" s="46" t="str">
        <f>IFERROR(__xludf.DUMMYFUNCTION("""COMPUTED_VALUE"""),"Cereal")</f>
        <v>Cereal</v>
      </c>
      <c r="D635" s="46">
        <f>IFERROR(__xludf.DUMMYFUNCTION("""COMPUTED_VALUE"""),44.0)</f>
        <v>44</v>
      </c>
      <c r="E635" s="46">
        <f>IFERROR(__xludf.DUMMYFUNCTION("""COMPUTED_VALUE"""),5.2039088E8)</f>
        <v>520390880</v>
      </c>
      <c r="F635" s="84">
        <f>IFERROR(__xludf.DUMMYFUNCTION("""COMPUTED_VALUE"""),839256.0)</f>
        <v>839256</v>
      </c>
      <c r="I635" s="87"/>
    </row>
    <row r="636">
      <c r="A636" s="46" t="str">
        <f>IFERROR(__xludf.DUMMYFUNCTION("""COMPUTED_VALUE"""),"Europe")</f>
        <v>Europe</v>
      </c>
      <c r="B636" s="46" t="str">
        <f>IFERROR(__xludf.DUMMYFUNCTION("""COMPUTED_VALUE"""),"Bulgaria")</f>
        <v>Bulgaria</v>
      </c>
      <c r="C636" s="46" t="str">
        <f>IFERROR(__xludf.DUMMYFUNCTION("""COMPUTED_VALUE"""),"Clothes")</f>
        <v>Clothes</v>
      </c>
      <c r="D636" s="46">
        <f>IFERROR(__xludf.DUMMYFUNCTION("""COMPUTED_VALUE"""),44.0)</f>
        <v>44</v>
      </c>
      <c r="E636" s="46">
        <f>IFERROR(__xludf.DUMMYFUNCTION("""COMPUTED_VALUE"""),5.20777547E8)</f>
        <v>520777547</v>
      </c>
      <c r="F636" s="84">
        <f>IFERROR(__xludf.DUMMYFUNCTION("""COMPUTED_VALUE"""),929317.12)</f>
        <v>929317.12</v>
      </c>
      <c r="I636" s="87"/>
    </row>
    <row r="637">
      <c r="A637" s="46" t="str">
        <f>IFERROR(__xludf.DUMMYFUNCTION("""COMPUTED_VALUE"""),"Europe")</f>
        <v>Europe</v>
      </c>
      <c r="B637" s="46" t="str">
        <f>IFERROR(__xludf.DUMMYFUNCTION("""COMPUTED_VALUE"""),"Russia")</f>
        <v>Russia</v>
      </c>
      <c r="C637" s="46" t="str">
        <f>IFERROR(__xludf.DUMMYFUNCTION("""COMPUTED_VALUE"""),"Office Supplies")</f>
        <v>Office Supplies</v>
      </c>
      <c r="D637" s="46">
        <f>IFERROR(__xludf.DUMMYFUNCTION("""COMPUTED_VALUE"""),22.0)</f>
        <v>22</v>
      </c>
      <c r="E637" s="46">
        <f>IFERROR(__xludf.DUMMYFUNCTION("""COMPUTED_VALUE"""),5.20915305E8)</f>
        <v>520915305</v>
      </c>
      <c r="F637" s="84">
        <f>IFERROR(__xludf.DUMMYFUNCTION("""COMPUTED_VALUE"""),6036716.7)</f>
        <v>6036716.7</v>
      </c>
      <c r="I637" s="87"/>
    </row>
    <row r="638">
      <c r="A638" s="46" t="str">
        <f>IFERROR(__xludf.DUMMYFUNCTION("""COMPUTED_VALUE"""),"Europe")</f>
        <v>Europe</v>
      </c>
      <c r="B638" s="46" t="str">
        <f>IFERROR(__xludf.DUMMYFUNCTION("""COMPUTED_VALUE"""),"Czech Republic")</f>
        <v>Czech Republic</v>
      </c>
      <c r="C638" s="46" t="str">
        <f>IFERROR(__xludf.DUMMYFUNCTION("""COMPUTED_VALUE"""),"Office Supplies")</f>
        <v>Office Supplies</v>
      </c>
      <c r="D638" s="46">
        <f>IFERROR(__xludf.DUMMYFUNCTION("""COMPUTED_VALUE"""),46.0)</f>
        <v>46</v>
      </c>
      <c r="E638" s="46">
        <f>IFERROR(__xludf.DUMMYFUNCTION("""COMPUTED_VALUE"""),5.21681344E8)</f>
        <v>521681344</v>
      </c>
      <c r="F638" s="84">
        <f>IFERROR(__xludf.DUMMYFUNCTION("""COMPUTED_VALUE"""),3879257.97)</f>
        <v>3879257.97</v>
      </c>
      <c r="I638" s="87"/>
    </row>
    <row r="639">
      <c r="A639" s="46" t="str">
        <f>IFERROR(__xludf.DUMMYFUNCTION("""COMPUTED_VALUE"""),"Europe")</f>
        <v>Europe</v>
      </c>
      <c r="B639" s="46" t="str">
        <f>IFERROR(__xludf.DUMMYFUNCTION("""COMPUTED_VALUE"""),"Belarus")</f>
        <v>Belarus</v>
      </c>
      <c r="C639" s="46" t="str">
        <f>IFERROR(__xludf.DUMMYFUNCTION("""COMPUTED_VALUE"""),"Cosmetics")</f>
        <v>Cosmetics</v>
      </c>
      <c r="D639" s="46">
        <f>IFERROR(__xludf.DUMMYFUNCTION("""COMPUTED_VALUE"""),28.0)</f>
        <v>28</v>
      </c>
      <c r="E639" s="46">
        <f>IFERROR(__xludf.DUMMYFUNCTION("""COMPUTED_VALUE"""),5.21874034E8)</f>
        <v>521874034</v>
      </c>
      <c r="F639" s="84">
        <f>IFERROR(__xludf.DUMMYFUNCTION("""COMPUTED_VALUE"""),1302418.8)</f>
        <v>1302418.8</v>
      </c>
      <c r="I639" s="87"/>
    </row>
    <row r="640">
      <c r="A640" s="46" t="str">
        <f>IFERROR(__xludf.DUMMYFUNCTION("""COMPUTED_VALUE"""),"Europe")</f>
        <v>Europe</v>
      </c>
      <c r="B640" s="46" t="str">
        <f>IFERROR(__xludf.DUMMYFUNCTION("""COMPUTED_VALUE"""),"Romania")</f>
        <v>Romania</v>
      </c>
      <c r="C640" s="46" t="str">
        <f>IFERROR(__xludf.DUMMYFUNCTION("""COMPUTED_VALUE"""),"Clothes")</f>
        <v>Clothes</v>
      </c>
      <c r="D640" s="46">
        <f>IFERROR(__xludf.DUMMYFUNCTION("""COMPUTED_VALUE"""),4.0)</f>
        <v>4</v>
      </c>
      <c r="E640" s="46">
        <f>IFERROR(__xludf.DUMMYFUNCTION("""COMPUTED_VALUE"""),5.22323358E8)</f>
        <v>522323358</v>
      </c>
      <c r="F640" s="84">
        <f>IFERROR(__xludf.DUMMYFUNCTION("""COMPUTED_VALUE"""),649560.32)</f>
        <v>649560.32</v>
      </c>
      <c r="I640" s="87"/>
    </row>
    <row r="641">
      <c r="A641" s="46" t="str">
        <f>IFERROR(__xludf.DUMMYFUNCTION("""COMPUTED_VALUE"""),"Europe")</f>
        <v>Europe</v>
      </c>
      <c r="B641" s="46" t="str">
        <f>IFERROR(__xludf.DUMMYFUNCTION("""COMPUTED_VALUE"""),"Serbia")</f>
        <v>Serbia</v>
      </c>
      <c r="C641" s="46" t="str">
        <f>IFERROR(__xludf.DUMMYFUNCTION("""COMPUTED_VALUE"""),"Clothes")</f>
        <v>Clothes</v>
      </c>
      <c r="D641" s="46">
        <f>IFERROR(__xludf.DUMMYFUNCTION("""COMPUTED_VALUE"""),40.0)</f>
        <v>40</v>
      </c>
      <c r="E641" s="46">
        <f>IFERROR(__xludf.DUMMYFUNCTION("""COMPUTED_VALUE"""),5.23580348E8)</f>
        <v>523580348</v>
      </c>
      <c r="F641" s="84">
        <f>IFERROR(__xludf.DUMMYFUNCTION("""COMPUTED_VALUE"""),864951.2)</f>
        <v>864951.2</v>
      </c>
      <c r="I641" s="87"/>
    </row>
    <row r="642">
      <c r="A642" s="46" t="str">
        <f>IFERROR(__xludf.DUMMYFUNCTION("""COMPUTED_VALUE"""),"Europe")</f>
        <v>Europe</v>
      </c>
      <c r="B642" s="46" t="str">
        <f>IFERROR(__xludf.DUMMYFUNCTION("""COMPUTED_VALUE"""),"Bosnia and Herzegovina")</f>
        <v>Bosnia and Herzegovina</v>
      </c>
      <c r="C642" s="46" t="str">
        <f>IFERROR(__xludf.DUMMYFUNCTION("""COMPUTED_VALUE"""),"Vegetables")</f>
        <v>Vegetables</v>
      </c>
      <c r="D642" s="46">
        <f>IFERROR(__xludf.DUMMYFUNCTION("""COMPUTED_VALUE"""),21.0)</f>
        <v>21</v>
      </c>
      <c r="E642" s="46">
        <f>IFERROR(__xludf.DUMMYFUNCTION("""COMPUTED_VALUE"""),5.23707807E8)</f>
        <v>523707807</v>
      </c>
      <c r="F642" s="84">
        <f>IFERROR(__xludf.DUMMYFUNCTION("""COMPUTED_VALUE"""),867819.98)</f>
        <v>867819.98</v>
      </c>
      <c r="I642" s="87"/>
    </row>
    <row r="643">
      <c r="A643" s="46" t="str">
        <f>IFERROR(__xludf.DUMMYFUNCTION("""COMPUTED_VALUE"""),"Europe")</f>
        <v>Europe</v>
      </c>
      <c r="B643" s="46" t="str">
        <f>IFERROR(__xludf.DUMMYFUNCTION("""COMPUTED_VALUE"""),"Lithuania")</f>
        <v>Lithuania</v>
      </c>
      <c r="C643" s="46" t="str">
        <f>IFERROR(__xludf.DUMMYFUNCTION("""COMPUTED_VALUE"""),"Clothes")</f>
        <v>Clothes</v>
      </c>
      <c r="D643" s="46">
        <f>IFERROR(__xludf.DUMMYFUNCTION("""COMPUTED_VALUE"""),44.0)</f>
        <v>44</v>
      </c>
      <c r="E643" s="46">
        <f>IFERROR(__xludf.DUMMYFUNCTION("""COMPUTED_VALUE"""),5.23836123E8)</f>
        <v>523836123</v>
      </c>
      <c r="F643" s="84">
        <f>IFERROR(__xludf.DUMMYFUNCTION("""COMPUTED_VALUE"""),393954.4)</f>
        <v>393954.4</v>
      </c>
      <c r="I643" s="87"/>
    </row>
    <row r="644">
      <c r="A644" s="46" t="str">
        <f>IFERROR(__xludf.DUMMYFUNCTION("""COMPUTED_VALUE"""),"Europe")</f>
        <v>Europe</v>
      </c>
      <c r="B644" s="46" t="str">
        <f>IFERROR(__xludf.DUMMYFUNCTION("""COMPUTED_VALUE"""),"Germany")</f>
        <v>Germany</v>
      </c>
      <c r="C644" s="46" t="str">
        <f>IFERROR(__xludf.DUMMYFUNCTION("""COMPUTED_VALUE"""),"Baby Food")</f>
        <v>Baby Food</v>
      </c>
      <c r="D644" s="46">
        <f>IFERROR(__xludf.DUMMYFUNCTION("""COMPUTED_VALUE"""),15.0)</f>
        <v>15</v>
      </c>
      <c r="E644" s="46">
        <f>IFERROR(__xludf.DUMMYFUNCTION("""COMPUTED_VALUE"""),5.23899209E8)</f>
        <v>523899209</v>
      </c>
      <c r="F644" s="84">
        <f>IFERROR(__xludf.DUMMYFUNCTION("""COMPUTED_VALUE"""),580251.4400000001)</f>
        <v>580251.44</v>
      </c>
      <c r="I644" s="87"/>
    </row>
    <row r="645">
      <c r="A645" s="46" t="str">
        <f>IFERROR(__xludf.DUMMYFUNCTION("""COMPUTED_VALUE"""),"Europe")</f>
        <v>Europe</v>
      </c>
      <c r="B645" s="46" t="str">
        <f>IFERROR(__xludf.DUMMYFUNCTION("""COMPUTED_VALUE"""),"Greece")</f>
        <v>Greece</v>
      </c>
      <c r="C645" s="46" t="str">
        <f>IFERROR(__xludf.DUMMYFUNCTION("""COMPUTED_VALUE"""),"Cereal")</f>
        <v>Cereal</v>
      </c>
      <c r="D645" s="46">
        <f>IFERROR(__xludf.DUMMYFUNCTION("""COMPUTED_VALUE"""),3.0)</f>
        <v>3</v>
      </c>
      <c r="E645" s="46">
        <f>IFERROR(__xludf.DUMMYFUNCTION("""COMPUTED_VALUE"""),5.24844634E8)</f>
        <v>524844634</v>
      </c>
      <c r="F645" s="84">
        <f>IFERROR(__xludf.DUMMYFUNCTION("""COMPUTED_VALUE"""),420656.5)</f>
        <v>420656.5</v>
      </c>
      <c r="I645" s="87"/>
    </row>
    <row r="646">
      <c r="A646" s="46" t="str">
        <f>IFERROR(__xludf.DUMMYFUNCTION("""COMPUTED_VALUE"""),"Europe")</f>
        <v>Europe</v>
      </c>
      <c r="B646" s="46" t="str">
        <f>IFERROR(__xludf.DUMMYFUNCTION("""COMPUTED_VALUE"""),"Romania")</f>
        <v>Romania</v>
      </c>
      <c r="C646" s="46" t="str">
        <f>IFERROR(__xludf.DUMMYFUNCTION("""COMPUTED_VALUE"""),"Meat")</f>
        <v>Meat</v>
      </c>
      <c r="D646" s="46">
        <f>IFERROR(__xludf.DUMMYFUNCTION("""COMPUTED_VALUE"""),26.0)</f>
        <v>26</v>
      </c>
      <c r="E646" s="46">
        <f>IFERROR(__xludf.DUMMYFUNCTION("""COMPUTED_VALUE"""),5.24972951E8)</f>
        <v>524972951</v>
      </c>
      <c r="F646" s="84">
        <f>IFERROR(__xludf.DUMMYFUNCTION("""COMPUTED_VALUE"""),7172.13)</f>
        <v>7172.13</v>
      </c>
      <c r="I646" s="87"/>
    </row>
    <row r="647">
      <c r="A647" s="46" t="str">
        <f>IFERROR(__xludf.DUMMYFUNCTION("""COMPUTED_VALUE"""),"Europe")</f>
        <v>Europe</v>
      </c>
      <c r="B647" s="46" t="str">
        <f>IFERROR(__xludf.DUMMYFUNCTION("""COMPUTED_VALUE"""),"Montenegro")</f>
        <v>Montenegro</v>
      </c>
      <c r="C647" s="46" t="str">
        <f>IFERROR(__xludf.DUMMYFUNCTION("""COMPUTED_VALUE"""),"Household")</f>
        <v>Household</v>
      </c>
      <c r="D647" s="46">
        <f>IFERROR(__xludf.DUMMYFUNCTION("""COMPUTED_VALUE"""),6.0)</f>
        <v>6</v>
      </c>
      <c r="E647" s="46">
        <f>IFERROR(__xludf.DUMMYFUNCTION("""COMPUTED_VALUE"""),5.25321424E8)</f>
        <v>525321424</v>
      </c>
      <c r="F647" s="84">
        <f>IFERROR(__xludf.DUMMYFUNCTION("""COMPUTED_VALUE"""),2097031.26)</f>
        <v>2097031.26</v>
      </c>
      <c r="I647" s="87"/>
    </row>
    <row r="648">
      <c r="A648" s="46" t="str">
        <f>IFERROR(__xludf.DUMMYFUNCTION("""COMPUTED_VALUE"""),"Europe")</f>
        <v>Europe</v>
      </c>
      <c r="B648" s="46" t="str">
        <f>IFERROR(__xludf.DUMMYFUNCTION("""COMPUTED_VALUE"""),"Macedonia")</f>
        <v>Macedonia</v>
      </c>
      <c r="C648" s="46" t="str">
        <f>IFERROR(__xludf.DUMMYFUNCTION("""COMPUTED_VALUE"""),"Baby Food")</f>
        <v>Baby Food</v>
      </c>
      <c r="D648" s="46">
        <f>IFERROR(__xludf.DUMMYFUNCTION("""COMPUTED_VALUE"""),2.0)</f>
        <v>2</v>
      </c>
      <c r="E648" s="46">
        <f>IFERROR(__xludf.DUMMYFUNCTION("""COMPUTED_VALUE"""),5.25472486E8)</f>
        <v>525472486</v>
      </c>
      <c r="F648" s="84">
        <f>IFERROR(__xludf.DUMMYFUNCTION("""COMPUTED_VALUE"""),2001395.2)</f>
        <v>2001395.2</v>
      </c>
      <c r="I648" s="87"/>
    </row>
    <row r="649">
      <c r="A649" s="46" t="str">
        <f>IFERROR(__xludf.DUMMYFUNCTION("""COMPUTED_VALUE"""),"Europe")</f>
        <v>Europe</v>
      </c>
      <c r="B649" s="46" t="str">
        <f>IFERROR(__xludf.DUMMYFUNCTION("""COMPUTED_VALUE"""),"Belarus")</f>
        <v>Belarus</v>
      </c>
      <c r="C649" s="46" t="str">
        <f>IFERROR(__xludf.DUMMYFUNCTION("""COMPUTED_VALUE"""),"Snacks")</f>
        <v>Snacks</v>
      </c>
      <c r="D649" s="46">
        <f>IFERROR(__xludf.DUMMYFUNCTION("""COMPUTED_VALUE"""),43.0)</f>
        <v>43</v>
      </c>
      <c r="E649" s="46">
        <f>IFERROR(__xludf.DUMMYFUNCTION("""COMPUTED_VALUE"""),5.25749719E8)</f>
        <v>525749719</v>
      </c>
      <c r="F649" s="84">
        <f>IFERROR(__xludf.DUMMYFUNCTION("""COMPUTED_VALUE"""),1507490.4000000001)</f>
        <v>1507490.4</v>
      </c>
      <c r="I649" s="87"/>
    </row>
    <row r="650">
      <c r="A650" s="46" t="str">
        <f>IFERROR(__xludf.DUMMYFUNCTION("""COMPUTED_VALUE"""),"Undefined")</f>
        <v>Undefined</v>
      </c>
      <c r="B650" s="46" t="str">
        <f>IFERROR(__xludf.DUMMYFUNCTION("""COMPUTED_VALUE"""),"Undefined")</f>
        <v>Undefined</v>
      </c>
      <c r="C650" s="46" t="str">
        <f>IFERROR(__xludf.DUMMYFUNCTION("""COMPUTED_VALUE"""),"Cosmetics")</f>
        <v>Cosmetics</v>
      </c>
      <c r="D650" s="46">
        <f>IFERROR(__xludf.DUMMYFUNCTION("""COMPUTED_VALUE"""),18.0)</f>
        <v>18</v>
      </c>
      <c r="E650" s="46">
        <f>IFERROR(__xludf.DUMMYFUNCTION("""COMPUTED_VALUE"""),5.26018369E8)</f>
        <v>526018369</v>
      </c>
      <c r="F650" s="84">
        <f>IFERROR(__xludf.DUMMYFUNCTION("""COMPUTED_VALUE"""),4100498.8)</f>
        <v>4100498.8</v>
      </c>
      <c r="I650" s="87"/>
    </row>
    <row r="651">
      <c r="A651" s="46" t="str">
        <f>IFERROR(__xludf.DUMMYFUNCTION("""COMPUTED_VALUE"""),"Europe")</f>
        <v>Europe</v>
      </c>
      <c r="B651" s="46" t="str">
        <f>IFERROR(__xludf.DUMMYFUNCTION("""COMPUTED_VALUE"""),"Montenegro")</f>
        <v>Montenegro</v>
      </c>
      <c r="C651" s="46" t="str">
        <f>IFERROR(__xludf.DUMMYFUNCTION("""COMPUTED_VALUE"""),"Clothes")</f>
        <v>Clothes</v>
      </c>
      <c r="D651" s="46">
        <f>IFERROR(__xludf.DUMMYFUNCTION("""COMPUTED_VALUE"""),15.0)</f>
        <v>15</v>
      </c>
      <c r="E651" s="46">
        <f>IFERROR(__xludf.DUMMYFUNCTION("""COMPUTED_VALUE"""),5.26350104E8)</f>
        <v>526350104</v>
      </c>
      <c r="F651" s="84">
        <f>IFERROR(__xludf.DUMMYFUNCTION("""COMPUTED_VALUE"""),824736.16)</f>
        <v>824736.16</v>
      </c>
      <c r="I651" s="87"/>
    </row>
    <row r="652">
      <c r="A652" s="46" t="str">
        <f>IFERROR(__xludf.DUMMYFUNCTION("""COMPUTED_VALUE"""),"Asia")</f>
        <v>Asia</v>
      </c>
      <c r="B652" s="46" t="str">
        <f>IFERROR(__xludf.DUMMYFUNCTION("""COMPUTED_VALUE"""),"Georgia")</f>
        <v>Georgia</v>
      </c>
      <c r="C652" s="46" t="str">
        <f>IFERROR(__xludf.DUMMYFUNCTION("""COMPUTED_VALUE"""),"Fruits")</f>
        <v>Fruits</v>
      </c>
      <c r="D652" s="46">
        <f>IFERROR(__xludf.DUMMYFUNCTION("""COMPUTED_VALUE"""),41.0)</f>
        <v>41</v>
      </c>
      <c r="E652" s="46">
        <f>IFERROR(__xludf.DUMMYFUNCTION("""COMPUTED_VALUE"""),5.26533353E8)</f>
        <v>526533353</v>
      </c>
      <c r="F652" s="84">
        <f>IFERROR(__xludf.DUMMYFUNCTION("""COMPUTED_VALUE"""),16560.75)</f>
        <v>16560.75</v>
      </c>
      <c r="I652" s="87"/>
    </row>
    <row r="653">
      <c r="A653" s="46" t="str">
        <f>IFERROR(__xludf.DUMMYFUNCTION("""COMPUTED_VALUE"""),"Europe")</f>
        <v>Europe</v>
      </c>
      <c r="B653" s="46" t="str">
        <f>IFERROR(__xludf.DUMMYFUNCTION("""COMPUTED_VALUE"""),"Czech Republic")</f>
        <v>Czech Republic</v>
      </c>
      <c r="C653" s="46" t="str">
        <f>IFERROR(__xludf.DUMMYFUNCTION("""COMPUTED_VALUE"""),"Vegetables")</f>
        <v>Vegetables</v>
      </c>
      <c r="D653" s="46">
        <f>IFERROR(__xludf.DUMMYFUNCTION("""COMPUTED_VALUE"""),6.0)</f>
        <v>6</v>
      </c>
      <c r="E653" s="46">
        <f>IFERROR(__xludf.DUMMYFUNCTION("""COMPUTED_VALUE"""),5.27079236E8)</f>
        <v>527079236</v>
      </c>
      <c r="F653" s="84">
        <f>IFERROR(__xludf.DUMMYFUNCTION("""COMPUTED_VALUE"""),510554.84)</f>
        <v>510554.84</v>
      </c>
      <c r="I653" s="87"/>
    </row>
    <row r="654">
      <c r="A654" s="46" t="str">
        <f>IFERROR(__xludf.DUMMYFUNCTION("""COMPUTED_VALUE"""),"Europe")</f>
        <v>Europe</v>
      </c>
      <c r="B654" s="46" t="str">
        <f>IFERROR(__xludf.DUMMYFUNCTION("""COMPUTED_VALUE"""),"Liechtenstein")</f>
        <v>Liechtenstein</v>
      </c>
      <c r="C654" s="46" t="str">
        <f>IFERROR(__xludf.DUMMYFUNCTION("""COMPUTED_VALUE"""),"Personal Care")</f>
        <v>Personal Care</v>
      </c>
      <c r="D654" s="46">
        <f>IFERROR(__xludf.DUMMYFUNCTION("""COMPUTED_VALUE"""),7.0)</f>
        <v>7</v>
      </c>
      <c r="E654" s="46">
        <f>IFERROR(__xludf.DUMMYFUNCTION("""COMPUTED_VALUE"""),5.2725991E8)</f>
        <v>527259910</v>
      </c>
      <c r="F654" s="84">
        <f>IFERROR(__xludf.DUMMYFUNCTION("""COMPUTED_VALUE"""),554047.67)</f>
        <v>554047.67</v>
      </c>
      <c r="I654" s="87"/>
    </row>
    <row r="655">
      <c r="A655" s="46" t="str">
        <f>IFERROR(__xludf.DUMMYFUNCTION("""COMPUTED_VALUE"""),"Europe")</f>
        <v>Europe</v>
      </c>
      <c r="B655" s="46" t="str">
        <f>IFERROR(__xludf.DUMMYFUNCTION("""COMPUTED_VALUE"""),"Iceland")</f>
        <v>Iceland</v>
      </c>
      <c r="C655" s="46" t="str">
        <f>IFERROR(__xludf.DUMMYFUNCTION("""COMPUTED_VALUE"""),"Office Supplies")</f>
        <v>Office Supplies</v>
      </c>
      <c r="D655" s="46">
        <f>IFERROR(__xludf.DUMMYFUNCTION("""COMPUTED_VALUE"""),21.0)</f>
        <v>21</v>
      </c>
      <c r="E655" s="46">
        <f>IFERROR(__xludf.DUMMYFUNCTION("""COMPUTED_VALUE"""),5.27509677E8)</f>
        <v>527509677</v>
      </c>
      <c r="F655" s="84">
        <f>IFERROR(__xludf.DUMMYFUNCTION("""COMPUTED_VALUE"""),449986.11000000004)</f>
        <v>449986.11</v>
      </c>
      <c r="I655" s="87"/>
    </row>
    <row r="656">
      <c r="A656" s="46" t="str">
        <f>IFERROR(__xludf.DUMMYFUNCTION("""COMPUTED_VALUE"""),"Europe")</f>
        <v>Europe</v>
      </c>
      <c r="B656" s="46" t="str">
        <f>IFERROR(__xludf.DUMMYFUNCTION("""COMPUTED_VALUE"""),"Lithuania")</f>
        <v>Lithuania</v>
      </c>
      <c r="C656" s="46" t="str">
        <f>IFERROR(__xludf.DUMMYFUNCTION("""COMPUTED_VALUE"""),"Clothes")</f>
        <v>Clothes</v>
      </c>
      <c r="D656" s="46">
        <f>IFERROR(__xludf.DUMMYFUNCTION("""COMPUTED_VALUE"""),12.0)</f>
        <v>12</v>
      </c>
      <c r="E656" s="46">
        <f>IFERROR(__xludf.DUMMYFUNCTION("""COMPUTED_VALUE"""),5.30262696E8)</f>
        <v>530262696</v>
      </c>
      <c r="F656" s="84">
        <f>IFERROR(__xludf.DUMMYFUNCTION("""COMPUTED_VALUE"""),586833.6)</f>
        <v>586833.6</v>
      </c>
      <c r="I656" s="87"/>
    </row>
    <row r="657">
      <c r="A657" s="46" t="str">
        <f>IFERROR(__xludf.DUMMYFUNCTION("""COMPUTED_VALUE"""),"Europe")</f>
        <v>Europe</v>
      </c>
      <c r="B657" s="46" t="str">
        <f>IFERROR(__xludf.DUMMYFUNCTION("""COMPUTED_VALUE"""),"United Kingdom")</f>
        <v>United Kingdom</v>
      </c>
      <c r="C657" s="46" t="str">
        <f>IFERROR(__xludf.DUMMYFUNCTION("""COMPUTED_VALUE"""),"Baby Food")</f>
        <v>Baby Food</v>
      </c>
      <c r="D657" s="46">
        <f>IFERROR(__xludf.DUMMYFUNCTION("""COMPUTED_VALUE"""),33.0)</f>
        <v>33</v>
      </c>
      <c r="E657" s="46">
        <f>IFERROR(__xludf.DUMMYFUNCTION("""COMPUTED_VALUE"""),5.30702579E8)</f>
        <v>530702579</v>
      </c>
      <c r="F657" s="84">
        <f>IFERROR(__xludf.DUMMYFUNCTION("""COMPUTED_VALUE"""),1414506.48)</f>
        <v>1414506.48</v>
      </c>
      <c r="I657" s="87"/>
    </row>
    <row r="658">
      <c r="A658" s="46" t="str">
        <f>IFERROR(__xludf.DUMMYFUNCTION("""COMPUTED_VALUE"""),"Europe")</f>
        <v>Europe</v>
      </c>
      <c r="B658" s="46" t="str">
        <f>IFERROR(__xludf.DUMMYFUNCTION("""COMPUTED_VALUE"""),"Croatia")</f>
        <v>Croatia</v>
      </c>
      <c r="C658" s="46" t="str">
        <f>IFERROR(__xludf.DUMMYFUNCTION("""COMPUTED_VALUE"""),"Meat")</f>
        <v>Meat</v>
      </c>
      <c r="D658" s="46">
        <f>IFERROR(__xludf.DUMMYFUNCTION("""COMPUTED_VALUE"""),43.0)</f>
        <v>43</v>
      </c>
      <c r="E658" s="46">
        <f>IFERROR(__xludf.DUMMYFUNCTION("""COMPUTED_VALUE"""),5.30882394E8)</f>
        <v>530882394</v>
      </c>
      <c r="F658" s="84">
        <f>IFERROR(__xludf.DUMMYFUNCTION("""COMPUTED_VALUE"""),3692803.17)</f>
        <v>3692803.17</v>
      </c>
      <c r="I658" s="87"/>
    </row>
    <row r="659">
      <c r="A659" s="46" t="str">
        <f>IFERROR(__xludf.DUMMYFUNCTION("""COMPUTED_VALUE"""),"Europe")</f>
        <v>Europe</v>
      </c>
      <c r="B659" s="46" t="str">
        <f>IFERROR(__xludf.DUMMYFUNCTION("""COMPUTED_VALUE"""),"France")</f>
        <v>France</v>
      </c>
      <c r="C659" s="46" t="str">
        <f>IFERROR(__xludf.DUMMYFUNCTION("""COMPUTED_VALUE"""),"Meat")</f>
        <v>Meat</v>
      </c>
      <c r="D659" s="46">
        <f>IFERROR(__xludf.DUMMYFUNCTION("""COMPUTED_VALUE"""),15.0)</f>
        <v>15</v>
      </c>
      <c r="E659" s="46">
        <f>IFERROR(__xludf.DUMMYFUNCTION("""COMPUTED_VALUE"""),5.31281936E8)</f>
        <v>531281936</v>
      </c>
      <c r="F659" s="84">
        <f>IFERROR(__xludf.DUMMYFUNCTION("""COMPUTED_VALUE"""),2947323.54)</f>
        <v>2947323.54</v>
      </c>
      <c r="I659" s="87"/>
    </row>
    <row r="660">
      <c r="A660" s="46" t="str">
        <f>IFERROR(__xludf.DUMMYFUNCTION("""COMPUTED_VALUE"""),"Europe")</f>
        <v>Europe</v>
      </c>
      <c r="B660" s="46" t="str">
        <f>IFERROR(__xludf.DUMMYFUNCTION("""COMPUTED_VALUE"""),"Andorra")</f>
        <v>Andorra</v>
      </c>
      <c r="C660" s="46" t="str">
        <f>IFERROR(__xludf.DUMMYFUNCTION("""COMPUTED_VALUE"""),"Household")</f>
        <v>Household</v>
      </c>
      <c r="D660" s="46">
        <f>IFERROR(__xludf.DUMMYFUNCTION("""COMPUTED_VALUE"""),30.0)</f>
        <v>30</v>
      </c>
      <c r="E660" s="46">
        <f>IFERROR(__xludf.DUMMYFUNCTION("""COMPUTED_VALUE"""),5.33314406E8)</f>
        <v>533314406</v>
      </c>
      <c r="F660" s="84">
        <f>IFERROR(__xludf.DUMMYFUNCTION("""COMPUTED_VALUE"""),5639530.53)</f>
        <v>5639530.53</v>
      </c>
      <c r="I660" s="87"/>
    </row>
    <row r="661">
      <c r="A661" s="46" t="str">
        <f>IFERROR(__xludf.DUMMYFUNCTION("""COMPUTED_VALUE"""),"Europe")</f>
        <v>Europe</v>
      </c>
      <c r="B661" s="46" t="str">
        <f>IFERROR(__xludf.DUMMYFUNCTION("""COMPUTED_VALUE"""),"Portugal")</f>
        <v>Portugal</v>
      </c>
      <c r="C661" s="46" t="str">
        <f>IFERROR(__xludf.DUMMYFUNCTION("""COMPUTED_VALUE"""),"Office Supplies")</f>
        <v>Office Supplies</v>
      </c>
      <c r="D661" s="46">
        <f>IFERROR(__xludf.DUMMYFUNCTION("""COMPUTED_VALUE"""),15.0)</f>
        <v>15</v>
      </c>
      <c r="E661" s="46">
        <f>IFERROR(__xludf.DUMMYFUNCTION("""COMPUTED_VALUE"""),5.33597218E8)</f>
        <v>533597218</v>
      </c>
      <c r="F661" s="84">
        <f>IFERROR(__xludf.DUMMYFUNCTION("""COMPUTED_VALUE"""),1387077.3)</f>
        <v>1387077.3</v>
      </c>
      <c r="I661" s="87"/>
    </row>
    <row r="662">
      <c r="A662" s="46" t="str">
        <f>IFERROR(__xludf.DUMMYFUNCTION("""COMPUTED_VALUE"""),"Europe")</f>
        <v>Europe</v>
      </c>
      <c r="B662" s="46" t="str">
        <f>IFERROR(__xludf.DUMMYFUNCTION("""COMPUTED_VALUE"""),"Russia")</f>
        <v>Russia</v>
      </c>
      <c r="C662" s="46" t="str">
        <f>IFERROR(__xludf.DUMMYFUNCTION("""COMPUTED_VALUE"""),"Beverages")</f>
        <v>Beverages</v>
      </c>
      <c r="D662" s="46">
        <f>IFERROR(__xludf.DUMMYFUNCTION("""COMPUTED_VALUE"""),20.0)</f>
        <v>20</v>
      </c>
      <c r="E662" s="46">
        <f>IFERROR(__xludf.DUMMYFUNCTION("""COMPUTED_VALUE"""),5.34641349E8)</f>
        <v>534641349</v>
      </c>
      <c r="F662" s="84">
        <f>IFERROR(__xludf.DUMMYFUNCTION("""COMPUTED_VALUE"""),52716.950000000004)</f>
        <v>52716.95</v>
      </c>
      <c r="I662" s="87"/>
    </row>
    <row r="663">
      <c r="A663" s="46" t="str">
        <f>IFERROR(__xludf.DUMMYFUNCTION("""COMPUTED_VALUE"""),"Europe")</f>
        <v>Europe</v>
      </c>
      <c r="B663" s="46" t="str">
        <f>IFERROR(__xludf.DUMMYFUNCTION("""COMPUTED_VALUE"""),"Poland")</f>
        <v>Poland</v>
      </c>
      <c r="C663" s="46" t="str">
        <f>IFERROR(__xludf.DUMMYFUNCTION("""COMPUTED_VALUE"""),"Vegetables")</f>
        <v>Vegetables</v>
      </c>
      <c r="D663" s="46">
        <f>IFERROR(__xludf.DUMMYFUNCTION("""COMPUTED_VALUE"""),45.0)</f>
        <v>45</v>
      </c>
      <c r="E663" s="46">
        <f>IFERROR(__xludf.DUMMYFUNCTION("""COMPUTED_VALUE"""),5.34709155E8)</f>
        <v>534709155</v>
      </c>
      <c r="F663" s="84">
        <f>IFERROR(__xludf.DUMMYFUNCTION("""COMPUTED_VALUE"""),181174.56)</f>
        <v>181174.56</v>
      </c>
      <c r="I663" s="87"/>
    </row>
    <row r="664">
      <c r="A664" s="46" t="str">
        <f>IFERROR(__xludf.DUMMYFUNCTION("""COMPUTED_VALUE"""),"Europe")</f>
        <v>Europe</v>
      </c>
      <c r="B664" s="46" t="str">
        <f>IFERROR(__xludf.DUMMYFUNCTION("""COMPUTED_VALUE"""),"Austria")</f>
        <v>Austria</v>
      </c>
      <c r="C664" s="46" t="str">
        <f>IFERROR(__xludf.DUMMYFUNCTION("""COMPUTED_VALUE"""),"Personal Care")</f>
        <v>Personal Care</v>
      </c>
      <c r="D664" s="46">
        <f>IFERROR(__xludf.DUMMYFUNCTION("""COMPUTED_VALUE"""),28.0)</f>
        <v>28</v>
      </c>
      <c r="E664" s="46">
        <f>IFERROR(__xludf.DUMMYFUNCTION("""COMPUTED_VALUE"""),5.35740411E8)</f>
        <v>535740411</v>
      </c>
      <c r="F664" s="84">
        <f>IFERROR(__xludf.DUMMYFUNCTION("""COMPUTED_VALUE"""),518822.04000000004)</f>
        <v>518822.04</v>
      </c>
      <c r="I664" s="87"/>
    </row>
    <row r="665">
      <c r="A665" s="46" t="str">
        <f>IFERROR(__xludf.DUMMYFUNCTION("""COMPUTED_VALUE"""),"Europe")</f>
        <v>Europe</v>
      </c>
      <c r="B665" s="46" t="str">
        <f>IFERROR(__xludf.DUMMYFUNCTION("""COMPUTED_VALUE"""),"Slovakia")</f>
        <v>Slovakia</v>
      </c>
      <c r="C665" s="46" t="str">
        <f>IFERROR(__xludf.DUMMYFUNCTION("""COMPUTED_VALUE"""),"Snacks")</f>
        <v>Snacks</v>
      </c>
      <c r="D665" s="46">
        <f>IFERROR(__xludf.DUMMYFUNCTION("""COMPUTED_VALUE"""),40.0)</f>
        <v>40</v>
      </c>
      <c r="E665" s="46">
        <f>IFERROR(__xludf.DUMMYFUNCTION("""COMPUTED_VALUE"""),5.3609575E8)</f>
        <v>536095750</v>
      </c>
      <c r="F665" s="84">
        <f>IFERROR(__xludf.DUMMYFUNCTION("""COMPUTED_VALUE"""),228870.00000000003)</f>
        <v>228870</v>
      </c>
      <c r="I665" s="87"/>
    </row>
    <row r="666">
      <c r="A666" s="46" t="str">
        <f>IFERROR(__xludf.DUMMYFUNCTION("""COMPUTED_VALUE"""),"Europe")</f>
        <v>Europe</v>
      </c>
      <c r="B666" s="46" t="str">
        <f>IFERROR(__xludf.DUMMYFUNCTION("""COMPUTED_VALUE"""),"Hungary")</f>
        <v>Hungary</v>
      </c>
      <c r="C666" s="46" t="str">
        <f>IFERROR(__xludf.DUMMYFUNCTION("""COMPUTED_VALUE"""),"Clothes")</f>
        <v>Clothes</v>
      </c>
      <c r="D666" s="46">
        <f>IFERROR(__xludf.DUMMYFUNCTION("""COMPUTED_VALUE"""),48.0)</f>
        <v>48</v>
      </c>
      <c r="E666" s="46">
        <f>IFERROR(__xludf.DUMMYFUNCTION("""COMPUTED_VALUE"""),5.38430345E8)</f>
        <v>538430345</v>
      </c>
      <c r="F666" s="84">
        <f>IFERROR(__xludf.DUMMYFUNCTION("""COMPUTED_VALUE"""),257791.52)</f>
        <v>257791.52</v>
      </c>
      <c r="I666" s="87"/>
    </row>
    <row r="667">
      <c r="A667" s="46" t="str">
        <f>IFERROR(__xludf.DUMMYFUNCTION("""COMPUTED_VALUE"""),"Europe")</f>
        <v>Europe</v>
      </c>
      <c r="B667" s="46" t="str">
        <f>IFERROR(__xludf.DUMMYFUNCTION("""COMPUTED_VALUE"""),"Denmark")</f>
        <v>Denmark</v>
      </c>
      <c r="C667" s="46" t="str">
        <f>IFERROR(__xludf.DUMMYFUNCTION("""COMPUTED_VALUE"""),"Clothes")</f>
        <v>Clothes</v>
      </c>
      <c r="D667" s="46">
        <f>IFERROR(__xludf.DUMMYFUNCTION("""COMPUTED_VALUE"""),2.0)</f>
        <v>2</v>
      </c>
      <c r="E667" s="46">
        <f>IFERROR(__xludf.DUMMYFUNCTION("""COMPUTED_VALUE"""),5.39002406E8)</f>
        <v>539002406</v>
      </c>
      <c r="F667" s="84">
        <f>IFERROR(__xludf.DUMMYFUNCTION("""COMPUTED_VALUE"""),179765.6)</f>
        <v>179765.6</v>
      </c>
      <c r="I667" s="87"/>
    </row>
    <row r="668">
      <c r="A668" s="46" t="str">
        <f>IFERROR(__xludf.DUMMYFUNCTION("""COMPUTED_VALUE"""),"Europe")</f>
        <v>Europe</v>
      </c>
      <c r="B668" s="46" t="str">
        <f>IFERROR(__xludf.DUMMYFUNCTION("""COMPUTED_VALUE"""),"Austria")</f>
        <v>Austria</v>
      </c>
      <c r="C668" s="46" t="str">
        <f>IFERROR(__xludf.DUMMYFUNCTION("""COMPUTED_VALUE"""),"Cosmetics")</f>
        <v>Cosmetics</v>
      </c>
      <c r="D668" s="46">
        <f>IFERROR(__xludf.DUMMYFUNCTION("""COMPUTED_VALUE"""),39.0)</f>
        <v>39</v>
      </c>
      <c r="E668" s="46">
        <f>IFERROR(__xludf.DUMMYFUNCTION("""COMPUTED_VALUE"""),5.4098252E8)</f>
        <v>540982520</v>
      </c>
      <c r="F668" s="84">
        <f>IFERROR(__xludf.DUMMYFUNCTION("""COMPUTED_VALUE"""),3324468.8)</f>
        <v>3324468.8</v>
      </c>
      <c r="I668" s="87"/>
    </row>
    <row r="669">
      <c r="A669" s="46" t="str">
        <f>IFERROR(__xludf.DUMMYFUNCTION("""COMPUTED_VALUE"""),"Europe")</f>
        <v>Europe</v>
      </c>
      <c r="B669" s="46" t="str">
        <f>IFERROR(__xludf.DUMMYFUNCTION("""COMPUTED_VALUE"""),"Russia")</f>
        <v>Russia</v>
      </c>
      <c r="C669" s="46" t="str">
        <f>IFERROR(__xludf.DUMMYFUNCTION("""COMPUTED_VALUE"""),"Beverages")</f>
        <v>Beverages</v>
      </c>
      <c r="D669" s="46">
        <f>IFERROR(__xludf.DUMMYFUNCTION("""COMPUTED_VALUE"""),41.0)</f>
        <v>41</v>
      </c>
      <c r="E669" s="46">
        <f>IFERROR(__xludf.DUMMYFUNCTION("""COMPUTED_VALUE"""),5.43322694E8)</f>
        <v>543322694</v>
      </c>
      <c r="F669" s="84">
        <f>IFERROR(__xludf.DUMMYFUNCTION("""COMPUTED_VALUE"""),5409.3)</f>
        <v>5409.3</v>
      </c>
      <c r="I669" s="87"/>
    </row>
    <row r="670">
      <c r="A670" s="46" t="str">
        <f>IFERROR(__xludf.DUMMYFUNCTION("""COMPUTED_VALUE"""),"Europe")</f>
        <v>Europe</v>
      </c>
      <c r="B670" s="46" t="str">
        <f>IFERROR(__xludf.DUMMYFUNCTION("""COMPUTED_VALUE"""),"Liechtenstein")</f>
        <v>Liechtenstein</v>
      </c>
      <c r="C670" s="46" t="str">
        <f>IFERROR(__xludf.DUMMYFUNCTION("""COMPUTED_VALUE"""),"Meat")</f>
        <v>Meat</v>
      </c>
      <c r="D670" s="46">
        <f>IFERROR(__xludf.DUMMYFUNCTION("""COMPUTED_VALUE"""),5.0)</f>
        <v>5</v>
      </c>
      <c r="E670" s="46">
        <f>IFERROR(__xludf.DUMMYFUNCTION("""COMPUTED_VALUE"""),5.43396508E8)</f>
        <v>543396508</v>
      </c>
      <c r="F670" s="84">
        <f>IFERROR(__xludf.DUMMYFUNCTION("""COMPUTED_VALUE"""),825638.73)</f>
        <v>825638.73</v>
      </c>
      <c r="I670" s="87"/>
    </row>
    <row r="671">
      <c r="A671" s="46" t="str">
        <f>IFERROR(__xludf.DUMMYFUNCTION("""COMPUTED_VALUE"""),"Europe")</f>
        <v>Europe</v>
      </c>
      <c r="B671" s="46" t="str">
        <f>IFERROR(__xludf.DUMMYFUNCTION("""COMPUTED_VALUE"""),"Lithuania")</f>
        <v>Lithuania</v>
      </c>
      <c r="C671" s="46" t="str">
        <f>IFERROR(__xludf.DUMMYFUNCTION("""COMPUTED_VALUE"""),"Household")</f>
        <v>Household</v>
      </c>
      <c r="D671" s="46">
        <f>IFERROR(__xludf.DUMMYFUNCTION("""COMPUTED_VALUE"""),11.0)</f>
        <v>11</v>
      </c>
      <c r="E671" s="46">
        <f>IFERROR(__xludf.DUMMYFUNCTION("""COMPUTED_VALUE"""),5.44284856E8)</f>
        <v>544284856</v>
      </c>
      <c r="F671" s="84">
        <f>IFERROR(__xludf.DUMMYFUNCTION("""COMPUTED_VALUE"""),3233758.53)</f>
        <v>3233758.53</v>
      </c>
      <c r="I671" s="87"/>
    </row>
    <row r="672">
      <c r="A672" s="46" t="str">
        <f>IFERROR(__xludf.DUMMYFUNCTION("""COMPUTED_VALUE"""),"Europe")</f>
        <v>Europe</v>
      </c>
      <c r="B672" s="46" t="str">
        <f>IFERROR(__xludf.DUMMYFUNCTION("""COMPUTED_VALUE"""),"Netherlands")</f>
        <v>Netherlands</v>
      </c>
      <c r="C672" s="46" t="str">
        <f>IFERROR(__xludf.DUMMYFUNCTION("""COMPUTED_VALUE"""),"Personal Care")</f>
        <v>Personal Care</v>
      </c>
      <c r="D672" s="46">
        <f>IFERROR(__xludf.DUMMYFUNCTION("""COMPUTED_VALUE"""),15.0)</f>
        <v>15</v>
      </c>
      <c r="E672" s="46">
        <f>IFERROR(__xludf.DUMMYFUNCTION("""COMPUTED_VALUE"""),5.44741475E8)</f>
        <v>544741475</v>
      </c>
      <c r="F672" s="84">
        <f>IFERROR(__xludf.DUMMYFUNCTION("""COMPUTED_VALUE"""),814275.99)</f>
        <v>814275.99</v>
      </c>
      <c r="I672" s="87"/>
    </row>
    <row r="673">
      <c r="A673" s="46" t="str">
        <f>IFERROR(__xludf.DUMMYFUNCTION("""COMPUTED_VALUE"""),"Europe")</f>
        <v>Europe</v>
      </c>
      <c r="B673" s="46" t="str">
        <f>IFERROR(__xludf.DUMMYFUNCTION("""COMPUTED_VALUE"""),"Liechtenstein")</f>
        <v>Liechtenstein</v>
      </c>
      <c r="C673" s="46" t="str">
        <f>IFERROR(__xludf.DUMMYFUNCTION("""COMPUTED_VALUE"""),"Clothes")</f>
        <v>Clothes</v>
      </c>
      <c r="D673" s="46">
        <f>IFERROR(__xludf.DUMMYFUNCTION("""COMPUTED_VALUE"""),4.0)</f>
        <v>4</v>
      </c>
      <c r="E673" s="46">
        <f>IFERROR(__xludf.DUMMYFUNCTION("""COMPUTED_VALUE"""),5.45059049E8)</f>
        <v>545059049</v>
      </c>
      <c r="F673" s="84">
        <f>IFERROR(__xludf.DUMMYFUNCTION("""COMPUTED_VALUE"""),430563.2)</f>
        <v>430563.2</v>
      </c>
      <c r="I673" s="87"/>
    </row>
    <row r="674">
      <c r="A674" s="46" t="str">
        <f>IFERROR(__xludf.DUMMYFUNCTION("""COMPUTED_VALUE"""),"Europe")</f>
        <v>Europe</v>
      </c>
      <c r="B674" s="46" t="str">
        <f>IFERROR(__xludf.DUMMYFUNCTION("""COMPUTED_VALUE"""),"Poland")</f>
        <v>Poland</v>
      </c>
      <c r="C674" s="46" t="str">
        <f>IFERROR(__xludf.DUMMYFUNCTION("""COMPUTED_VALUE"""),"Meat")</f>
        <v>Meat</v>
      </c>
      <c r="D674" s="46">
        <f>IFERROR(__xludf.DUMMYFUNCTION("""COMPUTED_VALUE"""),22.0)</f>
        <v>22</v>
      </c>
      <c r="E674" s="46">
        <f>IFERROR(__xludf.DUMMYFUNCTION("""COMPUTED_VALUE"""),5.46081721E8)</f>
        <v>546081721</v>
      </c>
      <c r="F674" s="84">
        <f>IFERROR(__xludf.DUMMYFUNCTION("""COMPUTED_VALUE"""),2772239.19)</f>
        <v>2772239.19</v>
      </c>
      <c r="I674" s="87"/>
    </row>
    <row r="675">
      <c r="A675" s="46" t="str">
        <f>IFERROR(__xludf.DUMMYFUNCTION("""COMPUTED_VALUE"""),"Europe")</f>
        <v>Europe</v>
      </c>
      <c r="B675" s="46" t="str">
        <f>IFERROR(__xludf.DUMMYFUNCTION("""COMPUTED_VALUE"""),"Iceland")</f>
        <v>Iceland</v>
      </c>
      <c r="C675" s="46" t="str">
        <f>IFERROR(__xludf.DUMMYFUNCTION("""COMPUTED_VALUE"""),"Personal Care")</f>
        <v>Personal Care</v>
      </c>
      <c r="D675" s="46">
        <f>IFERROR(__xludf.DUMMYFUNCTION("""COMPUTED_VALUE"""),42.0)</f>
        <v>42</v>
      </c>
      <c r="E675" s="46">
        <f>IFERROR(__xludf.DUMMYFUNCTION("""COMPUTED_VALUE"""),5.46140086E8)</f>
        <v>546140086</v>
      </c>
      <c r="F675" s="84">
        <f>IFERROR(__xludf.DUMMYFUNCTION("""COMPUTED_VALUE"""),314088.39)</f>
        <v>314088.39</v>
      </c>
      <c r="I675" s="87"/>
    </row>
    <row r="676">
      <c r="A676" s="46" t="str">
        <f>IFERROR(__xludf.DUMMYFUNCTION("""COMPUTED_VALUE"""),"Europe")</f>
        <v>Europe</v>
      </c>
      <c r="B676" s="46" t="str">
        <f>IFERROR(__xludf.DUMMYFUNCTION("""COMPUTED_VALUE"""),"Montenegro")</f>
        <v>Montenegro</v>
      </c>
      <c r="C676" s="46" t="str">
        <f>IFERROR(__xludf.DUMMYFUNCTION("""COMPUTED_VALUE"""),"Household")</f>
        <v>Household</v>
      </c>
      <c r="D676" s="46">
        <f>IFERROR(__xludf.DUMMYFUNCTION("""COMPUTED_VALUE"""),17.0)</f>
        <v>17</v>
      </c>
      <c r="E676" s="46">
        <f>IFERROR(__xludf.DUMMYFUNCTION("""COMPUTED_VALUE"""),5.46544349E8)</f>
        <v>546544349</v>
      </c>
      <c r="F676" s="84">
        <f>IFERROR(__xludf.DUMMYFUNCTION("""COMPUTED_VALUE"""),2320901.71)</f>
        <v>2320901.71</v>
      </c>
      <c r="I676" s="87"/>
    </row>
    <row r="677">
      <c r="A677" s="46" t="str">
        <f>IFERROR(__xludf.DUMMYFUNCTION("""COMPUTED_VALUE"""),"Europe")</f>
        <v>Europe</v>
      </c>
      <c r="B677" s="46" t="str">
        <f>IFERROR(__xludf.DUMMYFUNCTION("""COMPUTED_VALUE"""),"Ireland")</f>
        <v>Ireland</v>
      </c>
      <c r="C677" s="46" t="str">
        <f>IFERROR(__xludf.DUMMYFUNCTION("""COMPUTED_VALUE"""),"Personal Care")</f>
        <v>Personal Care</v>
      </c>
      <c r="D677" s="46">
        <f>IFERROR(__xludf.DUMMYFUNCTION("""COMPUTED_VALUE"""),32.0)</f>
        <v>32</v>
      </c>
      <c r="E677" s="46">
        <f>IFERROR(__xludf.DUMMYFUNCTION("""COMPUTED_VALUE"""),5.47225844E8)</f>
        <v>547225844</v>
      </c>
      <c r="F677" s="84">
        <f>IFERROR(__xludf.DUMMYFUNCTION("""COMPUTED_VALUE"""),420337.39)</f>
        <v>420337.39</v>
      </c>
      <c r="I677" s="87"/>
    </row>
    <row r="678">
      <c r="A678" s="46" t="str">
        <f>IFERROR(__xludf.DUMMYFUNCTION("""COMPUTED_VALUE"""),"Undefined")</f>
        <v>Undefined</v>
      </c>
      <c r="B678" s="46" t="str">
        <f>IFERROR(__xludf.DUMMYFUNCTION("""COMPUTED_VALUE"""),"Undefined")</f>
        <v>Undefined</v>
      </c>
      <c r="C678" s="46" t="str">
        <f>IFERROR(__xludf.DUMMYFUNCTION("""COMPUTED_VALUE"""),"Cereal")</f>
        <v>Cereal</v>
      </c>
      <c r="D678" s="46">
        <f>IFERROR(__xludf.DUMMYFUNCTION("""COMPUTED_VALUE"""),35.0)</f>
        <v>35</v>
      </c>
      <c r="E678" s="46">
        <f>IFERROR(__xludf.DUMMYFUNCTION("""COMPUTED_VALUE"""),5.47587192E8)</f>
        <v>547587192</v>
      </c>
      <c r="F678" s="84">
        <f>IFERROR(__xludf.DUMMYFUNCTION("""COMPUTED_VALUE"""),426416.1)</f>
        <v>426416.1</v>
      </c>
      <c r="I678" s="87"/>
    </row>
    <row r="679">
      <c r="A679" s="46" t="str">
        <f>IFERROR(__xludf.DUMMYFUNCTION("""COMPUTED_VALUE"""),"Europe")</f>
        <v>Europe</v>
      </c>
      <c r="B679" s="46" t="str">
        <f>IFERROR(__xludf.DUMMYFUNCTION("""COMPUTED_VALUE"""),"Luxembourg")</f>
        <v>Luxembourg</v>
      </c>
      <c r="C679" s="46" t="str">
        <f>IFERROR(__xludf.DUMMYFUNCTION("""COMPUTED_VALUE"""),"Personal Care")</f>
        <v>Personal Care</v>
      </c>
      <c r="D679" s="46">
        <f>IFERROR(__xludf.DUMMYFUNCTION("""COMPUTED_VALUE"""),4.0)</f>
        <v>4</v>
      </c>
      <c r="E679" s="46">
        <f>IFERROR(__xludf.DUMMYFUNCTION("""COMPUTED_VALUE"""),5.47625386E8)</f>
        <v>547625386</v>
      </c>
      <c r="F679" s="84">
        <f>IFERROR(__xludf.DUMMYFUNCTION("""COMPUTED_VALUE"""),275920.48000000004)</f>
        <v>275920.48</v>
      </c>
      <c r="I679" s="87"/>
    </row>
    <row r="680">
      <c r="A680" s="46" t="str">
        <f>IFERROR(__xludf.DUMMYFUNCTION("""COMPUTED_VALUE"""),"Europe")</f>
        <v>Europe</v>
      </c>
      <c r="B680" s="46" t="str">
        <f>IFERROR(__xludf.DUMMYFUNCTION("""COMPUTED_VALUE"""),"Ireland")</f>
        <v>Ireland</v>
      </c>
      <c r="C680" s="46" t="str">
        <f>IFERROR(__xludf.DUMMYFUNCTION("""COMPUTED_VALUE"""),"Fruits")</f>
        <v>Fruits</v>
      </c>
      <c r="D680" s="46">
        <f>IFERROR(__xludf.DUMMYFUNCTION("""COMPUTED_VALUE"""),20.0)</f>
        <v>20</v>
      </c>
      <c r="E680" s="46">
        <f>IFERROR(__xludf.DUMMYFUNCTION("""COMPUTED_VALUE"""),5.48015487E8)</f>
        <v>548015487</v>
      </c>
      <c r="F680" s="84">
        <f>IFERROR(__xludf.DUMMYFUNCTION("""COMPUTED_VALUE"""),82243.95)</f>
        <v>82243.95</v>
      </c>
      <c r="I680" s="87"/>
    </row>
    <row r="681">
      <c r="A681" s="46" t="str">
        <f>IFERROR(__xludf.DUMMYFUNCTION("""COMPUTED_VALUE"""),"Asia")</f>
        <v>Asia</v>
      </c>
      <c r="B681" s="46" t="str">
        <f>IFERROR(__xludf.DUMMYFUNCTION("""COMPUTED_VALUE"""),"Cyprus")</f>
        <v>Cyprus</v>
      </c>
      <c r="C681" s="46" t="str">
        <f>IFERROR(__xludf.DUMMYFUNCTION("""COMPUTED_VALUE"""),"Snacks")</f>
        <v>Snacks</v>
      </c>
      <c r="D681" s="46">
        <f>IFERROR(__xludf.DUMMYFUNCTION("""COMPUTED_VALUE"""),2.0)</f>
        <v>2</v>
      </c>
      <c r="E681" s="46">
        <f>IFERROR(__xludf.DUMMYFUNCTION("""COMPUTED_VALUE"""),5.48343789E8)</f>
        <v>548343789</v>
      </c>
      <c r="F681" s="84">
        <f>IFERROR(__xludf.DUMMYFUNCTION("""COMPUTED_VALUE"""),910444.8600000001)</f>
        <v>910444.86</v>
      </c>
      <c r="I681" s="87"/>
    </row>
    <row r="682">
      <c r="A682" s="46" t="str">
        <f>IFERROR(__xludf.DUMMYFUNCTION("""COMPUTED_VALUE"""),"Europe")</f>
        <v>Europe</v>
      </c>
      <c r="B682" s="46" t="str">
        <f>IFERROR(__xludf.DUMMYFUNCTION("""COMPUTED_VALUE"""),"United Kingdom")</f>
        <v>United Kingdom</v>
      </c>
      <c r="C682" s="46" t="str">
        <f>IFERROR(__xludf.DUMMYFUNCTION("""COMPUTED_VALUE"""),"Household")</f>
        <v>Household</v>
      </c>
      <c r="D682" s="46">
        <f>IFERROR(__xludf.DUMMYFUNCTION("""COMPUTED_VALUE"""),12.0)</f>
        <v>12</v>
      </c>
      <c r="E682" s="46">
        <f>IFERROR(__xludf.DUMMYFUNCTION("""COMPUTED_VALUE"""),5.48403012E8)</f>
        <v>548403012</v>
      </c>
      <c r="F682" s="84">
        <f>IFERROR(__xludf.DUMMYFUNCTION("""COMPUTED_VALUE"""),2334267.11)</f>
        <v>2334267.11</v>
      </c>
      <c r="I682" s="87"/>
    </row>
    <row r="683">
      <c r="A683" s="46" t="str">
        <f>IFERROR(__xludf.DUMMYFUNCTION("""COMPUTED_VALUE"""),"Europe")</f>
        <v>Europe</v>
      </c>
      <c r="B683" s="46" t="str">
        <f>IFERROR(__xludf.DUMMYFUNCTION("""COMPUTED_VALUE"""),"Luxembourg")</f>
        <v>Luxembourg</v>
      </c>
      <c r="C683" s="46" t="str">
        <f>IFERROR(__xludf.DUMMYFUNCTION("""COMPUTED_VALUE"""),"Office Supplies")</f>
        <v>Office Supplies</v>
      </c>
      <c r="D683" s="46">
        <f>IFERROR(__xludf.DUMMYFUNCTION("""COMPUTED_VALUE"""),32.0)</f>
        <v>32</v>
      </c>
      <c r="E683" s="46">
        <f>IFERROR(__xludf.DUMMYFUNCTION("""COMPUTED_VALUE"""),5.49048888E8)</f>
        <v>549048888</v>
      </c>
      <c r="F683" s="84">
        <f>IFERROR(__xludf.DUMMYFUNCTION("""COMPUTED_VALUE"""),3009892.62)</f>
        <v>3009892.62</v>
      </c>
      <c r="I683" s="87"/>
    </row>
    <row r="684">
      <c r="A684" s="46" t="str">
        <f>IFERROR(__xludf.DUMMYFUNCTION("""COMPUTED_VALUE"""),"Europe")</f>
        <v>Europe</v>
      </c>
      <c r="B684" s="46" t="str">
        <f>IFERROR(__xludf.DUMMYFUNCTION("""COMPUTED_VALUE"""),"Russia")</f>
        <v>Russia</v>
      </c>
      <c r="C684" s="46" t="str">
        <f>IFERROR(__xludf.DUMMYFUNCTION("""COMPUTED_VALUE"""),"Household")</f>
        <v>Household</v>
      </c>
      <c r="D684" s="46">
        <f>IFERROR(__xludf.DUMMYFUNCTION("""COMPUTED_VALUE"""),38.0)</f>
        <v>38</v>
      </c>
      <c r="E684" s="46">
        <f>IFERROR(__xludf.DUMMYFUNCTION("""COMPUTED_VALUE"""),5.4905833E8)</f>
        <v>549058330</v>
      </c>
      <c r="F684" s="84">
        <f>IFERROR(__xludf.DUMMYFUNCTION("""COMPUTED_VALUE"""),4955890.32)</f>
        <v>4955890.32</v>
      </c>
      <c r="I684" s="87"/>
    </row>
    <row r="685">
      <c r="A685" s="46" t="str">
        <f>IFERROR(__xludf.DUMMYFUNCTION("""COMPUTED_VALUE"""),"Europe")</f>
        <v>Europe</v>
      </c>
      <c r="B685" s="46" t="str">
        <f>IFERROR(__xludf.DUMMYFUNCTION("""COMPUTED_VALUE"""),"Slovakia")</f>
        <v>Slovakia</v>
      </c>
      <c r="C685" s="46" t="str">
        <f>IFERROR(__xludf.DUMMYFUNCTION("""COMPUTED_VALUE"""),"Cosmetics")</f>
        <v>Cosmetics</v>
      </c>
      <c r="D685" s="46">
        <f>IFERROR(__xludf.DUMMYFUNCTION("""COMPUTED_VALUE"""),48.0)</f>
        <v>48</v>
      </c>
      <c r="E685" s="46">
        <f>IFERROR(__xludf.DUMMYFUNCTION("""COMPUTED_VALUE"""),5.49187934E8)</f>
        <v>549187934</v>
      </c>
      <c r="F685" s="84">
        <f>IFERROR(__xludf.DUMMYFUNCTION("""COMPUTED_VALUE"""),2522206.8)</f>
        <v>2522206.8</v>
      </c>
      <c r="I685" s="87"/>
    </row>
    <row r="686">
      <c r="A686" s="46" t="str">
        <f>IFERROR(__xludf.DUMMYFUNCTION("""COMPUTED_VALUE"""),"Europe")</f>
        <v>Europe</v>
      </c>
      <c r="B686" s="46" t="str">
        <f>IFERROR(__xludf.DUMMYFUNCTION("""COMPUTED_VALUE"""),"Bosnia and Herzegovina")</f>
        <v>Bosnia and Herzegovina</v>
      </c>
      <c r="C686" s="46" t="str">
        <f>IFERROR(__xludf.DUMMYFUNCTION("""COMPUTED_VALUE"""),"Baby Food")</f>
        <v>Baby Food</v>
      </c>
      <c r="D686" s="46">
        <f>IFERROR(__xludf.DUMMYFUNCTION("""COMPUTED_VALUE"""),30.0)</f>
        <v>30</v>
      </c>
      <c r="E686" s="46">
        <f>IFERROR(__xludf.DUMMYFUNCTION("""COMPUTED_VALUE"""),5.51118266E8)</f>
        <v>551118266</v>
      </c>
      <c r="F686" s="84">
        <f>IFERROR(__xludf.DUMMYFUNCTION("""COMPUTED_VALUE"""),1786194.16)</f>
        <v>1786194.16</v>
      </c>
      <c r="I686" s="87"/>
    </row>
    <row r="687">
      <c r="A687" s="46" t="str">
        <f>IFERROR(__xludf.DUMMYFUNCTION("""COMPUTED_VALUE"""),"Europe")</f>
        <v>Europe</v>
      </c>
      <c r="B687" s="46" t="str">
        <f>IFERROR(__xludf.DUMMYFUNCTION("""COMPUTED_VALUE"""),"Czech Republic")</f>
        <v>Czech Republic</v>
      </c>
      <c r="C687" s="46" t="str">
        <f>IFERROR(__xludf.DUMMYFUNCTION("""COMPUTED_VALUE"""),"Cereal")</f>
        <v>Cereal</v>
      </c>
      <c r="D687" s="46">
        <f>IFERROR(__xludf.DUMMYFUNCTION("""COMPUTED_VALUE"""),28.0)</f>
        <v>28</v>
      </c>
      <c r="E687" s="46">
        <f>IFERROR(__xludf.DUMMYFUNCTION("""COMPUTED_VALUE"""),5.52037513E8)</f>
        <v>552037513</v>
      </c>
      <c r="F687" s="84">
        <f>IFERROR(__xludf.DUMMYFUNCTION("""COMPUTED_VALUE"""),1855825.4)</f>
        <v>1855825.4</v>
      </c>
      <c r="I687" s="87"/>
    </row>
    <row r="688">
      <c r="A688" s="46" t="str">
        <f>IFERROR(__xludf.DUMMYFUNCTION("""COMPUTED_VALUE"""),"Europe")</f>
        <v>Europe</v>
      </c>
      <c r="B688" s="46" t="str">
        <f>IFERROR(__xludf.DUMMYFUNCTION("""COMPUTED_VALUE"""),"Czech Republic")</f>
        <v>Czech Republic</v>
      </c>
      <c r="C688" s="46" t="str">
        <f>IFERROR(__xludf.DUMMYFUNCTION("""COMPUTED_VALUE"""),"Meat")</f>
        <v>Meat</v>
      </c>
      <c r="D688" s="46">
        <f>IFERROR(__xludf.DUMMYFUNCTION("""COMPUTED_VALUE"""),49.0)</f>
        <v>49</v>
      </c>
      <c r="E688" s="46">
        <f>IFERROR(__xludf.DUMMYFUNCTION("""COMPUTED_VALUE"""),5.52276551E8)</f>
        <v>552276551</v>
      </c>
      <c r="F688" s="84">
        <f>IFERROR(__xludf.DUMMYFUNCTION("""COMPUTED_VALUE"""),4117224.51)</f>
        <v>4117224.51</v>
      </c>
      <c r="I688" s="87"/>
    </row>
    <row r="689">
      <c r="A689" s="46" t="str">
        <f>IFERROR(__xludf.DUMMYFUNCTION("""COMPUTED_VALUE"""),"Europe")</f>
        <v>Europe</v>
      </c>
      <c r="B689" s="46" t="str">
        <f>IFERROR(__xludf.DUMMYFUNCTION("""COMPUTED_VALUE"""),"Andorra")</f>
        <v>Andorra</v>
      </c>
      <c r="C689" s="46" t="str">
        <f>IFERROR(__xludf.DUMMYFUNCTION("""COMPUTED_VALUE"""),"Meat")</f>
        <v>Meat</v>
      </c>
      <c r="D689" s="46">
        <f>IFERROR(__xludf.DUMMYFUNCTION("""COMPUTED_VALUE"""),24.0)</f>
        <v>24</v>
      </c>
      <c r="E689" s="46">
        <f>IFERROR(__xludf.DUMMYFUNCTION("""COMPUTED_VALUE"""),5.52931869E8)</f>
        <v>552931869</v>
      </c>
      <c r="F689" s="84">
        <f>IFERROR(__xludf.DUMMYFUNCTION("""COMPUTED_VALUE"""),1553398.98)</f>
        <v>1553398.98</v>
      </c>
      <c r="I689" s="87"/>
    </row>
    <row r="690">
      <c r="A690" s="46" t="str">
        <f>IFERROR(__xludf.DUMMYFUNCTION("""COMPUTED_VALUE"""),"Asia")</f>
        <v>Asia</v>
      </c>
      <c r="B690" s="46" t="str">
        <f>IFERROR(__xludf.DUMMYFUNCTION("""COMPUTED_VALUE"""),"Cyprus")</f>
        <v>Cyprus</v>
      </c>
      <c r="C690" s="46" t="str">
        <f>IFERROR(__xludf.DUMMYFUNCTION("""COMPUTED_VALUE"""),"Personal Care")</f>
        <v>Personal Care</v>
      </c>
      <c r="D690" s="46">
        <f>IFERROR(__xludf.DUMMYFUNCTION("""COMPUTED_VALUE"""),23.0)</f>
        <v>23</v>
      </c>
      <c r="E690" s="46">
        <f>IFERROR(__xludf.DUMMYFUNCTION("""COMPUTED_VALUE"""),5.53107821E8)</f>
        <v>553107821</v>
      </c>
      <c r="F690" s="84">
        <f>IFERROR(__xludf.DUMMYFUNCTION("""COMPUTED_VALUE"""),470029.23000000004)</f>
        <v>470029.23</v>
      </c>
      <c r="I690" s="87"/>
    </row>
    <row r="691">
      <c r="A691" s="46" t="str">
        <f>IFERROR(__xludf.DUMMYFUNCTION("""COMPUTED_VALUE"""),"Europe")</f>
        <v>Europe</v>
      </c>
      <c r="B691" s="46" t="str">
        <f>IFERROR(__xludf.DUMMYFUNCTION("""COMPUTED_VALUE"""),"San Marino")</f>
        <v>San Marino</v>
      </c>
      <c r="C691" s="46" t="str">
        <f>IFERROR(__xludf.DUMMYFUNCTION("""COMPUTED_VALUE"""),"Cereal")</f>
        <v>Cereal</v>
      </c>
      <c r="D691" s="46">
        <f>IFERROR(__xludf.DUMMYFUNCTION("""COMPUTED_VALUE"""),15.0)</f>
        <v>15</v>
      </c>
      <c r="E691" s="46">
        <f>IFERROR(__xludf.DUMMYFUNCTION("""COMPUTED_VALUE"""),5.54554927E8)</f>
        <v>554554927</v>
      </c>
      <c r="F691" s="84">
        <f>IFERROR(__xludf.DUMMYFUNCTION("""COMPUTED_VALUE"""),818891.7)</f>
        <v>818891.7</v>
      </c>
      <c r="I691" s="87"/>
    </row>
    <row r="692">
      <c r="A692" s="46" t="str">
        <f>IFERROR(__xludf.DUMMYFUNCTION("""COMPUTED_VALUE"""),"Europe")</f>
        <v>Europe</v>
      </c>
      <c r="B692" s="46" t="str">
        <f>IFERROR(__xludf.DUMMYFUNCTION("""COMPUTED_VALUE"""),"Portugal")</f>
        <v>Portugal</v>
      </c>
      <c r="C692" s="46" t="str">
        <f>IFERROR(__xludf.DUMMYFUNCTION("""COMPUTED_VALUE"""),"Beverages")</f>
        <v>Beverages</v>
      </c>
      <c r="D692" s="46">
        <f>IFERROR(__xludf.DUMMYFUNCTION("""COMPUTED_VALUE"""),8.0)</f>
        <v>8</v>
      </c>
      <c r="E692" s="46">
        <f>IFERROR(__xludf.DUMMYFUNCTION("""COMPUTED_VALUE"""),5.54721438E8)</f>
        <v>554721438</v>
      </c>
      <c r="F692" s="84">
        <f>IFERROR(__xludf.DUMMYFUNCTION("""COMPUTED_VALUE"""),154497.2)</f>
        <v>154497.2</v>
      </c>
      <c r="I692" s="87"/>
    </row>
    <row r="693">
      <c r="A693" s="46" t="str">
        <f>IFERROR(__xludf.DUMMYFUNCTION("""COMPUTED_VALUE"""),"Europe")</f>
        <v>Europe</v>
      </c>
      <c r="B693" s="46" t="str">
        <f>IFERROR(__xludf.DUMMYFUNCTION("""COMPUTED_VALUE"""),"Spain")</f>
        <v>Spain</v>
      </c>
      <c r="C693" s="46" t="str">
        <f>IFERROR(__xludf.DUMMYFUNCTION("""COMPUTED_VALUE"""),"Beverages")</f>
        <v>Beverages</v>
      </c>
      <c r="D693" s="46">
        <f>IFERROR(__xludf.DUMMYFUNCTION("""COMPUTED_VALUE"""),2.0)</f>
        <v>2</v>
      </c>
      <c r="E693" s="46">
        <f>IFERROR(__xludf.DUMMYFUNCTION("""COMPUTED_VALUE"""),5.56263816E8)</f>
        <v>556263816</v>
      </c>
      <c r="F693" s="84">
        <f>IFERROR(__xludf.DUMMYFUNCTION("""COMPUTED_VALUE"""),459268.55000000005)</f>
        <v>459268.55</v>
      </c>
      <c r="I693" s="87"/>
    </row>
    <row r="694">
      <c r="A694" s="46" t="str">
        <f>IFERROR(__xludf.DUMMYFUNCTION("""COMPUTED_VALUE"""),"Europe")</f>
        <v>Europe</v>
      </c>
      <c r="B694" s="46" t="str">
        <f>IFERROR(__xludf.DUMMYFUNCTION("""COMPUTED_VALUE"""),"United Kingdom")</f>
        <v>United Kingdom</v>
      </c>
      <c r="C694" s="46" t="str">
        <f>IFERROR(__xludf.DUMMYFUNCTION("""COMPUTED_VALUE"""),"Vegetables")</f>
        <v>Vegetables</v>
      </c>
      <c r="D694" s="46">
        <f>IFERROR(__xludf.DUMMYFUNCTION("""COMPUTED_VALUE"""),29.0)</f>
        <v>29</v>
      </c>
      <c r="E694" s="46">
        <f>IFERROR(__xludf.DUMMYFUNCTION("""COMPUTED_VALUE"""),5.56647908E8)</f>
        <v>556647908</v>
      </c>
      <c r="F694" s="84">
        <f>IFERROR(__xludf.DUMMYFUNCTION("""COMPUTED_VALUE"""),514714.46)</f>
        <v>514714.46</v>
      </c>
      <c r="I694" s="87"/>
    </row>
    <row r="695">
      <c r="A695" s="46" t="str">
        <f>IFERROR(__xludf.DUMMYFUNCTION("""COMPUTED_VALUE"""),"Europe")</f>
        <v>Europe</v>
      </c>
      <c r="B695" s="46" t="str">
        <f>IFERROR(__xludf.DUMMYFUNCTION("""COMPUTED_VALUE"""),"Andorra")</f>
        <v>Andorra</v>
      </c>
      <c r="C695" s="46" t="str">
        <f>IFERROR(__xludf.DUMMYFUNCTION("""COMPUTED_VALUE"""),"Cereal")</f>
        <v>Cereal</v>
      </c>
      <c r="D695" s="46">
        <f>IFERROR(__xludf.DUMMYFUNCTION("""COMPUTED_VALUE"""),42.0)</f>
        <v>42</v>
      </c>
      <c r="E695" s="46">
        <f>IFERROR(__xludf.DUMMYFUNCTION("""COMPUTED_VALUE"""),5.56947886E8)</f>
        <v>556947886</v>
      </c>
      <c r="F695" s="84">
        <f>IFERROR(__xludf.DUMMYFUNCTION("""COMPUTED_VALUE"""),434232.69999999995)</f>
        <v>434232.7</v>
      </c>
      <c r="I695" s="87"/>
    </row>
    <row r="696">
      <c r="A696" s="46" t="str">
        <f>IFERROR(__xludf.DUMMYFUNCTION("""COMPUTED_VALUE"""),"Europe")</f>
        <v>Europe</v>
      </c>
      <c r="B696" s="46" t="str">
        <f>IFERROR(__xludf.DUMMYFUNCTION("""COMPUTED_VALUE"""),"Ukraine")</f>
        <v>Ukraine</v>
      </c>
      <c r="C696" s="46" t="str">
        <f>IFERROR(__xludf.DUMMYFUNCTION("""COMPUTED_VALUE"""),"Cereal")</f>
        <v>Cereal</v>
      </c>
      <c r="D696" s="46">
        <f>IFERROR(__xludf.DUMMYFUNCTION("""COMPUTED_VALUE"""),37.0)</f>
        <v>37</v>
      </c>
      <c r="E696" s="46">
        <f>IFERROR(__xludf.DUMMYFUNCTION("""COMPUTED_VALUE"""),5.59183347E8)</f>
        <v>559183347</v>
      </c>
      <c r="F696" s="84">
        <f>IFERROR(__xludf.DUMMYFUNCTION("""COMPUTED_VALUE"""),747308.1)</f>
        <v>747308.1</v>
      </c>
      <c r="I696" s="87"/>
    </row>
    <row r="697">
      <c r="A697" s="46" t="str">
        <f>IFERROR(__xludf.DUMMYFUNCTION("""COMPUTED_VALUE"""),"Europe")</f>
        <v>Europe</v>
      </c>
      <c r="B697" s="46" t="str">
        <f>IFERROR(__xludf.DUMMYFUNCTION("""COMPUTED_VALUE"""),"Serbia")</f>
        <v>Serbia</v>
      </c>
      <c r="C697" s="46" t="str">
        <f>IFERROR(__xludf.DUMMYFUNCTION("""COMPUTED_VALUE"""),"Vegetables")</f>
        <v>Vegetables</v>
      </c>
      <c r="D697" s="46">
        <f>IFERROR(__xludf.DUMMYFUNCTION("""COMPUTED_VALUE"""),3.0)</f>
        <v>3</v>
      </c>
      <c r="E697" s="46">
        <f>IFERROR(__xludf.DUMMYFUNCTION("""COMPUTED_VALUE"""),5.59417665E8)</f>
        <v>559417665</v>
      </c>
      <c r="F697" s="84">
        <f>IFERROR(__xludf.DUMMYFUNCTION("""COMPUTED_VALUE"""),458020.38)</f>
        <v>458020.38</v>
      </c>
      <c r="I697" s="87"/>
    </row>
    <row r="698">
      <c r="A698" s="46" t="str">
        <f>IFERROR(__xludf.DUMMYFUNCTION("""COMPUTED_VALUE"""),"Europe")</f>
        <v>Europe</v>
      </c>
      <c r="B698" s="46" t="str">
        <f>IFERROR(__xludf.DUMMYFUNCTION("""COMPUTED_VALUE"""),"San Marino")</f>
        <v>San Marino</v>
      </c>
      <c r="C698" s="46" t="str">
        <f>IFERROR(__xludf.DUMMYFUNCTION("""COMPUTED_VALUE"""),"Vegetables")</f>
        <v>Vegetables</v>
      </c>
      <c r="D698" s="46">
        <f>IFERROR(__xludf.DUMMYFUNCTION("""COMPUTED_VALUE"""),31.0)</f>
        <v>31</v>
      </c>
      <c r="E698" s="46">
        <f>IFERROR(__xludf.DUMMYFUNCTION("""COMPUTED_VALUE"""),5.60389268E8)</f>
        <v>560389268</v>
      </c>
      <c r="F698" s="84">
        <f>IFERROR(__xludf.DUMMYFUNCTION("""COMPUTED_VALUE"""),75797.52)</f>
        <v>75797.52</v>
      </c>
      <c r="I698" s="87"/>
    </row>
    <row r="699">
      <c r="A699" s="46" t="str">
        <f>IFERROR(__xludf.DUMMYFUNCTION("""COMPUTED_VALUE"""),"Europe")</f>
        <v>Europe</v>
      </c>
      <c r="B699" s="46" t="str">
        <f>IFERROR(__xludf.DUMMYFUNCTION("""COMPUTED_VALUE"""),"United Kingdom")</f>
        <v>United Kingdom</v>
      </c>
      <c r="C699" s="46" t="str">
        <f>IFERROR(__xludf.DUMMYFUNCTION("""COMPUTED_VALUE"""),"Office Supplies")</f>
        <v>Office Supplies</v>
      </c>
      <c r="D699" s="46">
        <f>IFERROR(__xludf.DUMMYFUNCTION("""COMPUTED_VALUE"""),13.0)</f>
        <v>13</v>
      </c>
      <c r="E699" s="46">
        <f>IFERROR(__xludf.DUMMYFUNCTION("""COMPUTED_VALUE"""),5.60762631E8)</f>
        <v>560762631</v>
      </c>
      <c r="F699" s="84">
        <f>IFERROR(__xludf.DUMMYFUNCTION("""COMPUTED_VALUE"""),637534.5900000001)</f>
        <v>637534.59</v>
      </c>
      <c r="I699" s="87"/>
    </row>
    <row r="700">
      <c r="A700" s="46" t="str">
        <f>IFERROR(__xludf.DUMMYFUNCTION("""COMPUTED_VALUE"""),"Asia")</f>
        <v>Asia</v>
      </c>
      <c r="B700" s="46" t="str">
        <f>IFERROR(__xludf.DUMMYFUNCTION("""COMPUTED_VALUE"""),"Cyprus")</f>
        <v>Cyprus</v>
      </c>
      <c r="C700" s="46" t="str">
        <f>IFERROR(__xludf.DUMMYFUNCTION("""COMPUTED_VALUE"""),"Personal Care")</f>
        <v>Personal Care</v>
      </c>
      <c r="D700" s="46">
        <f>IFERROR(__xludf.DUMMYFUNCTION("""COMPUTED_VALUE"""),27.0)</f>
        <v>27</v>
      </c>
      <c r="E700" s="46">
        <f>IFERROR(__xludf.DUMMYFUNCTION("""COMPUTED_VALUE"""),5.61534678E8)</f>
        <v>561534678</v>
      </c>
      <c r="F700" s="84">
        <f>IFERROR(__xludf.DUMMYFUNCTION("""COMPUTED_VALUE"""),771939.8500000001)</f>
        <v>771939.85</v>
      </c>
      <c r="I700" s="87"/>
    </row>
    <row r="701">
      <c r="A701" s="46" t="str">
        <f>IFERROR(__xludf.DUMMYFUNCTION("""COMPUTED_VALUE"""),"Europe")</f>
        <v>Europe</v>
      </c>
      <c r="B701" s="46" t="str">
        <f>IFERROR(__xludf.DUMMYFUNCTION("""COMPUTED_VALUE"""),"Iceland")</f>
        <v>Iceland</v>
      </c>
      <c r="C701" s="46" t="str">
        <f>IFERROR(__xludf.DUMMYFUNCTION("""COMPUTED_VALUE"""),"Clothes")</f>
        <v>Clothes</v>
      </c>
      <c r="D701" s="46">
        <f>IFERROR(__xludf.DUMMYFUNCTION("""COMPUTED_VALUE"""),38.0)</f>
        <v>38</v>
      </c>
      <c r="E701" s="46">
        <f>IFERROR(__xludf.DUMMYFUNCTION("""COMPUTED_VALUE"""),5.63939225E8)</f>
        <v>563939225</v>
      </c>
      <c r="F701" s="84">
        <f>IFERROR(__xludf.DUMMYFUNCTION("""COMPUTED_VALUE"""),109717.12)</f>
        <v>109717.12</v>
      </c>
      <c r="I701" s="87"/>
    </row>
    <row r="702">
      <c r="A702" s="46" t="str">
        <f>IFERROR(__xludf.DUMMYFUNCTION("""COMPUTED_VALUE"""),"Europe")</f>
        <v>Europe</v>
      </c>
      <c r="B702" s="46" t="str">
        <f>IFERROR(__xludf.DUMMYFUNCTION("""COMPUTED_VALUE"""),"Finland")</f>
        <v>Finland</v>
      </c>
      <c r="C702" s="46" t="str">
        <f>IFERROR(__xludf.DUMMYFUNCTION("""COMPUTED_VALUE"""),"Baby Food")</f>
        <v>Baby Food</v>
      </c>
      <c r="D702" s="46">
        <f>IFERROR(__xludf.DUMMYFUNCTION("""COMPUTED_VALUE"""),5.0)</f>
        <v>5</v>
      </c>
      <c r="E702" s="46">
        <f>IFERROR(__xludf.DUMMYFUNCTION("""COMPUTED_VALUE"""),5.64173543E8)</f>
        <v>564173543</v>
      </c>
      <c r="F702" s="84">
        <f>IFERROR(__xludf.DUMMYFUNCTION("""COMPUTED_VALUE"""),87561.04)</f>
        <v>87561.04</v>
      </c>
      <c r="I702" s="87"/>
    </row>
    <row r="703">
      <c r="A703" s="46" t="str">
        <f>IFERROR(__xludf.DUMMYFUNCTION("""COMPUTED_VALUE"""),"Europe")</f>
        <v>Europe</v>
      </c>
      <c r="B703" s="46" t="str">
        <f>IFERROR(__xludf.DUMMYFUNCTION("""COMPUTED_VALUE"""),"Finland")</f>
        <v>Finland</v>
      </c>
      <c r="C703" s="46" t="str">
        <f>IFERROR(__xludf.DUMMYFUNCTION("""COMPUTED_VALUE"""),"Beverages")</f>
        <v>Beverages</v>
      </c>
      <c r="D703" s="46">
        <f>IFERROR(__xludf.DUMMYFUNCTION("""COMPUTED_VALUE"""),7.0)</f>
        <v>7</v>
      </c>
      <c r="E703" s="46">
        <f>IFERROR(__xludf.DUMMYFUNCTION("""COMPUTED_VALUE"""),5.66428315E8)</f>
        <v>566428315</v>
      </c>
      <c r="F703" s="84">
        <f>IFERROR(__xludf.DUMMYFUNCTION("""COMPUTED_VALUE"""),359718.45)</f>
        <v>359718.45</v>
      </c>
      <c r="I703" s="87"/>
    </row>
    <row r="704">
      <c r="A704" s="46" t="str">
        <f>IFERROR(__xludf.DUMMYFUNCTION("""COMPUTED_VALUE"""),"Europe")</f>
        <v>Europe</v>
      </c>
      <c r="B704" s="46" t="str">
        <f>IFERROR(__xludf.DUMMYFUNCTION("""COMPUTED_VALUE"""),"Switzerland")</f>
        <v>Switzerland</v>
      </c>
      <c r="C704" s="46" t="str">
        <f>IFERROR(__xludf.DUMMYFUNCTION("""COMPUTED_VALUE"""),"Fruits")</f>
        <v>Fruits</v>
      </c>
      <c r="D704" s="46">
        <f>IFERROR(__xludf.DUMMYFUNCTION("""COMPUTED_VALUE"""),6.0)</f>
        <v>6</v>
      </c>
      <c r="E704" s="46">
        <f>IFERROR(__xludf.DUMMYFUNCTION("""COMPUTED_VALUE"""),5.67412793E8)</f>
        <v>567412793</v>
      </c>
      <c r="F704" s="84">
        <f>IFERROR(__xludf.DUMMYFUNCTION("""COMPUTED_VALUE"""),83130.3)</f>
        <v>83130.3</v>
      </c>
      <c r="I704" s="87"/>
    </row>
    <row r="705">
      <c r="A705" s="46" t="str">
        <f>IFERROR(__xludf.DUMMYFUNCTION("""COMPUTED_VALUE"""),"Europe")</f>
        <v>Europe</v>
      </c>
      <c r="B705" s="46" t="str">
        <f>IFERROR(__xludf.DUMMYFUNCTION("""COMPUTED_VALUE"""),"Malta")</f>
        <v>Malta</v>
      </c>
      <c r="C705" s="46" t="str">
        <f>IFERROR(__xludf.DUMMYFUNCTION("""COMPUTED_VALUE"""),"Cosmetics")</f>
        <v>Cosmetics</v>
      </c>
      <c r="D705" s="46">
        <f>IFERROR(__xludf.DUMMYFUNCTION("""COMPUTED_VALUE"""),31.0)</f>
        <v>31</v>
      </c>
      <c r="E705" s="46">
        <f>IFERROR(__xludf.DUMMYFUNCTION("""COMPUTED_VALUE"""),5.67751824E8)</f>
        <v>567751824</v>
      </c>
      <c r="F705" s="84">
        <f>IFERROR(__xludf.DUMMYFUNCTION("""COMPUTED_VALUE"""),4037979.1999999997)</f>
        <v>4037979.2</v>
      </c>
      <c r="I705" s="87"/>
    </row>
    <row r="706">
      <c r="A706" s="46" t="str">
        <f>IFERROR(__xludf.DUMMYFUNCTION("""COMPUTED_VALUE"""),"Europe")</f>
        <v>Europe</v>
      </c>
      <c r="B706" s="46" t="str">
        <f>IFERROR(__xludf.DUMMYFUNCTION("""COMPUTED_VALUE"""),"Latvia")</f>
        <v>Latvia</v>
      </c>
      <c r="C706" s="46" t="str">
        <f>IFERROR(__xludf.DUMMYFUNCTION("""COMPUTED_VALUE"""),"Snacks")</f>
        <v>Snacks</v>
      </c>
      <c r="D706" s="46">
        <f>IFERROR(__xludf.DUMMYFUNCTION("""COMPUTED_VALUE"""),6.0)</f>
        <v>6</v>
      </c>
      <c r="E706" s="46">
        <f>IFERROR(__xludf.DUMMYFUNCTION("""COMPUTED_VALUE"""),5.69170606E8)</f>
        <v>569170606</v>
      </c>
      <c r="F706" s="84">
        <f>IFERROR(__xludf.DUMMYFUNCTION("""COMPUTED_VALUE"""),1386189.3)</f>
        <v>1386189.3</v>
      </c>
      <c r="I706" s="87"/>
    </row>
    <row r="707">
      <c r="A707" s="46" t="str">
        <f>IFERROR(__xludf.DUMMYFUNCTION("""COMPUTED_VALUE"""),"Europe")</f>
        <v>Europe</v>
      </c>
      <c r="B707" s="46" t="str">
        <f>IFERROR(__xludf.DUMMYFUNCTION("""COMPUTED_VALUE"""),"Switzerland")</f>
        <v>Switzerland</v>
      </c>
      <c r="C707" s="46" t="str">
        <f>IFERROR(__xludf.DUMMYFUNCTION("""COMPUTED_VALUE"""),"Cereal")</f>
        <v>Cereal</v>
      </c>
      <c r="D707" s="46">
        <f>IFERROR(__xludf.DUMMYFUNCTION("""COMPUTED_VALUE"""),43.0)</f>
        <v>43</v>
      </c>
      <c r="E707" s="46">
        <f>IFERROR(__xludf.DUMMYFUNCTION("""COMPUTED_VALUE"""),5.69864976E8)</f>
        <v>569864976</v>
      </c>
      <c r="F707" s="84">
        <f>IFERROR(__xludf.DUMMYFUNCTION("""COMPUTED_VALUE"""),939020.5)</f>
        <v>939020.5</v>
      </c>
      <c r="I707" s="87"/>
    </row>
    <row r="708">
      <c r="A708" s="46" t="str">
        <f>IFERROR(__xludf.DUMMYFUNCTION("""COMPUTED_VALUE"""),"Europe")</f>
        <v>Europe</v>
      </c>
      <c r="B708" s="46" t="str">
        <f>IFERROR(__xludf.DUMMYFUNCTION("""COMPUTED_VALUE"""),"Andorra")</f>
        <v>Andorra</v>
      </c>
      <c r="C708" s="46" t="str">
        <f>IFERROR(__xludf.DUMMYFUNCTION("""COMPUTED_VALUE"""),"Baby Food")</f>
        <v>Baby Food</v>
      </c>
      <c r="D708" s="46">
        <f>IFERROR(__xludf.DUMMYFUNCTION("""COMPUTED_VALUE"""),33.0)</f>
        <v>33</v>
      </c>
      <c r="E708" s="46">
        <f>IFERROR(__xludf.DUMMYFUNCTION("""COMPUTED_VALUE"""),5.69941365E8)</f>
        <v>569941365</v>
      </c>
      <c r="F708" s="84">
        <f>IFERROR(__xludf.DUMMYFUNCTION("""COMPUTED_VALUE"""),1830357.6)</f>
        <v>1830357.6</v>
      </c>
      <c r="I708" s="87"/>
    </row>
    <row r="709">
      <c r="A709" s="46" t="str">
        <f>IFERROR(__xludf.DUMMYFUNCTION("""COMPUTED_VALUE"""),"Europe")</f>
        <v>Europe</v>
      </c>
      <c r="B709" s="46" t="str">
        <f>IFERROR(__xludf.DUMMYFUNCTION("""COMPUTED_VALUE"""),"Albania")</f>
        <v>Albania</v>
      </c>
      <c r="C709" s="46" t="str">
        <f>IFERROR(__xludf.DUMMYFUNCTION("""COMPUTED_VALUE"""),"Household")</f>
        <v>Household</v>
      </c>
      <c r="D709" s="46">
        <f>IFERROR(__xludf.DUMMYFUNCTION("""COMPUTED_VALUE"""),4.0)</f>
        <v>4</v>
      </c>
      <c r="E709" s="46">
        <f>IFERROR(__xludf.DUMMYFUNCTION("""COMPUTED_VALUE"""),5.7047652E8)</f>
        <v>570476520</v>
      </c>
      <c r="F709" s="84">
        <f>IFERROR(__xludf.DUMMYFUNCTION("""COMPUTED_VALUE"""),3698206.1799999997)</f>
        <v>3698206.18</v>
      </c>
      <c r="I709" s="87"/>
    </row>
    <row r="710">
      <c r="A710" s="46" t="str">
        <f>IFERROR(__xludf.DUMMYFUNCTION("""COMPUTED_VALUE"""),"Europe")</f>
        <v>Europe</v>
      </c>
      <c r="B710" s="46" t="str">
        <f>IFERROR(__xludf.DUMMYFUNCTION("""COMPUTED_VALUE"""),"Iceland")</f>
        <v>Iceland</v>
      </c>
      <c r="C710" s="46" t="str">
        <f>IFERROR(__xludf.DUMMYFUNCTION("""COMPUTED_VALUE"""),"Personal Care")</f>
        <v>Personal Care</v>
      </c>
      <c r="D710" s="46">
        <f>IFERROR(__xludf.DUMMYFUNCTION("""COMPUTED_VALUE"""),45.0)</f>
        <v>45</v>
      </c>
      <c r="E710" s="46">
        <f>IFERROR(__xludf.DUMMYFUNCTION("""COMPUTED_VALUE"""),5.70703542E8)</f>
        <v>570703542</v>
      </c>
      <c r="F710" s="84">
        <f>IFERROR(__xludf.DUMMYFUNCTION("""COMPUTED_VALUE"""),221896.95)</f>
        <v>221896.95</v>
      </c>
      <c r="I710" s="87"/>
    </row>
    <row r="711">
      <c r="A711" s="46" t="str">
        <f>IFERROR(__xludf.DUMMYFUNCTION("""COMPUTED_VALUE"""),"Europe")</f>
        <v>Europe</v>
      </c>
      <c r="B711" s="46" t="str">
        <f>IFERROR(__xludf.DUMMYFUNCTION("""COMPUTED_VALUE"""),"Czech Republic")</f>
        <v>Czech Republic</v>
      </c>
      <c r="C711" s="46" t="str">
        <f>IFERROR(__xludf.DUMMYFUNCTION("""COMPUTED_VALUE"""),"Household")</f>
        <v>Household</v>
      </c>
      <c r="D711" s="46">
        <f>IFERROR(__xludf.DUMMYFUNCTION("""COMPUTED_VALUE"""),36.0)</f>
        <v>36</v>
      </c>
      <c r="E711" s="46">
        <f>IFERROR(__xludf.DUMMYFUNCTION("""COMPUTED_VALUE"""),5.71161448E8)</f>
        <v>571161448</v>
      </c>
      <c r="F711" s="84">
        <f>IFERROR(__xludf.DUMMYFUNCTION("""COMPUTED_VALUE"""),5493179.399999999)</f>
        <v>5493179.4</v>
      </c>
      <c r="I711" s="87"/>
    </row>
    <row r="712">
      <c r="A712" s="46" t="str">
        <f>IFERROR(__xludf.DUMMYFUNCTION("""COMPUTED_VALUE"""),"Asia")</f>
        <v>Asia</v>
      </c>
      <c r="B712" s="46" t="str">
        <f>IFERROR(__xludf.DUMMYFUNCTION("""COMPUTED_VALUE"""),"Armenia")</f>
        <v>Armenia</v>
      </c>
      <c r="C712" s="46" t="str">
        <f>IFERROR(__xludf.DUMMYFUNCTION("""COMPUTED_VALUE"""),"Vegetables")</f>
        <v>Vegetables</v>
      </c>
      <c r="D712" s="46">
        <f>IFERROR(__xludf.DUMMYFUNCTION("""COMPUTED_VALUE"""),25.0)</f>
        <v>25</v>
      </c>
      <c r="E712" s="46">
        <f>IFERROR(__xludf.DUMMYFUNCTION("""COMPUTED_VALUE"""),5.71323239E8)</f>
        <v>571323239</v>
      </c>
      <c r="F712" s="84">
        <f>IFERROR(__xludf.DUMMYFUNCTION("""COMPUTED_VALUE"""),939303.8200000001)</f>
        <v>939303.82</v>
      </c>
      <c r="I712" s="87"/>
    </row>
    <row r="713">
      <c r="A713" s="46" t="str">
        <f>IFERROR(__xludf.DUMMYFUNCTION("""COMPUTED_VALUE"""),"Europe")</f>
        <v>Europe</v>
      </c>
      <c r="B713" s="46" t="str">
        <f>IFERROR(__xludf.DUMMYFUNCTION("""COMPUTED_VALUE"""),"Romania")</f>
        <v>Romania</v>
      </c>
      <c r="C713" s="46" t="str">
        <f>IFERROR(__xludf.DUMMYFUNCTION("""COMPUTED_VALUE"""),"Cereal")</f>
        <v>Cereal</v>
      </c>
      <c r="D713" s="46">
        <f>IFERROR(__xludf.DUMMYFUNCTION("""COMPUTED_VALUE"""),18.0)</f>
        <v>18</v>
      </c>
      <c r="E713" s="46">
        <f>IFERROR(__xludf.DUMMYFUNCTION("""COMPUTED_VALUE"""),5.72634732E8)</f>
        <v>572634732</v>
      </c>
      <c r="F713" s="84">
        <f>IFERROR(__xludf.DUMMYFUNCTION("""COMPUTED_VALUE"""),863322.8999999999)</f>
        <v>863322.9</v>
      </c>
      <c r="I713" s="87"/>
    </row>
    <row r="714">
      <c r="A714" s="46" t="str">
        <f>IFERROR(__xludf.DUMMYFUNCTION("""COMPUTED_VALUE"""),"Europe")</f>
        <v>Europe</v>
      </c>
      <c r="B714" s="46" t="str">
        <f>IFERROR(__xludf.DUMMYFUNCTION("""COMPUTED_VALUE"""),"Czech Republic")</f>
        <v>Czech Republic</v>
      </c>
      <c r="C714" s="46" t="str">
        <f>IFERROR(__xludf.DUMMYFUNCTION("""COMPUTED_VALUE"""),"Household")</f>
        <v>Household</v>
      </c>
      <c r="D714" s="46">
        <f>IFERROR(__xludf.DUMMYFUNCTION("""COMPUTED_VALUE"""),12.0)</f>
        <v>12</v>
      </c>
      <c r="E714" s="46">
        <f>IFERROR(__xludf.DUMMYFUNCTION("""COMPUTED_VALUE"""),5.74247491E8)</f>
        <v>574247491</v>
      </c>
      <c r="F714" s="84">
        <f>IFERROR(__xludf.DUMMYFUNCTION("""COMPUTED_VALUE"""),967654.96)</f>
        <v>967654.96</v>
      </c>
      <c r="I714" s="87"/>
    </row>
    <row r="715">
      <c r="A715" s="46" t="str">
        <f>IFERROR(__xludf.DUMMYFUNCTION("""COMPUTED_VALUE"""),"Europe")</f>
        <v>Europe</v>
      </c>
      <c r="B715" s="46" t="str">
        <f>IFERROR(__xludf.DUMMYFUNCTION("""COMPUTED_VALUE"""),"Ukraine")</f>
        <v>Ukraine</v>
      </c>
      <c r="C715" s="46" t="str">
        <f>IFERROR(__xludf.DUMMYFUNCTION("""COMPUTED_VALUE"""),"Cosmetics")</f>
        <v>Cosmetics</v>
      </c>
      <c r="D715" s="46">
        <f>IFERROR(__xludf.DUMMYFUNCTION("""COMPUTED_VALUE"""),15.0)</f>
        <v>15</v>
      </c>
      <c r="E715" s="46">
        <f>IFERROR(__xludf.DUMMYFUNCTION("""COMPUTED_VALUE"""),5.74925124E8)</f>
        <v>574925124</v>
      </c>
      <c r="F715" s="84">
        <f>IFERROR(__xludf.DUMMYFUNCTION("""COMPUTED_VALUE"""),863470.0)</f>
        <v>863470</v>
      </c>
      <c r="I715" s="87"/>
    </row>
    <row r="716">
      <c r="A716" s="46" t="str">
        <f>IFERROR(__xludf.DUMMYFUNCTION("""COMPUTED_VALUE"""),"Europe")</f>
        <v>Europe</v>
      </c>
      <c r="B716" s="46" t="str">
        <f>IFERROR(__xludf.DUMMYFUNCTION("""COMPUTED_VALUE"""),"Andorra")</f>
        <v>Andorra</v>
      </c>
      <c r="C716" s="46" t="str">
        <f>IFERROR(__xludf.DUMMYFUNCTION("""COMPUTED_VALUE"""),"Snacks")</f>
        <v>Snacks</v>
      </c>
      <c r="D716" s="46">
        <f>IFERROR(__xludf.DUMMYFUNCTION("""COMPUTED_VALUE"""),46.0)</f>
        <v>46</v>
      </c>
      <c r="E716" s="46">
        <f>IFERROR(__xludf.DUMMYFUNCTION("""COMPUTED_VALUE"""),5.7547959E8)</f>
        <v>575479590</v>
      </c>
      <c r="F716" s="84">
        <f>IFERROR(__xludf.DUMMYFUNCTION("""COMPUTED_VALUE"""),923719.3200000001)</f>
        <v>923719.32</v>
      </c>
      <c r="I716" s="87"/>
    </row>
    <row r="717">
      <c r="A717" s="46" t="str">
        <f>IFERROR(__xludf.DUMMYFUNCTION("""COMPUTED_VALUE"""),"Europe")</f>
        <v>Europe</v>
      </c>
      <c r="B717" s="46" t="str">
        <f>IFERROR(__xludf.DUMMYFUNCTION("""COMPUTED_VALUE"""),"Austria")</f>
        <v>Austria</v>
      </c>
      <c r="C717" s="46" t="str">
        <f>IFERROR(__xludf.DUMMYFUNCTION("""COMPUTED_VALUE"""),"Office Supplies")</f>
        <v>Office Supplies</v>
      </c>
      <c r="D717" s="46">
        <f>IFERROR(__xludf.DUMMYFUNCTION("""COMPUTED_VALUE"""),23.0)</f>
        <v>23</v>
      </c>
      <c r="E717" s="46">
        <f>IFERROR(__xludf.DUMMYFUNCTION("""COMPUTED_VALUE"""),5.75552117E8)</f>
        <v>575552117</v>
      </c>
      <c r="F717" s="84">
        <f>IFERROR(__xludf.DUMMYFUNCTION("""COMPUTED_VALUE"""),4894494.36)</f>
        <v>4894494.36</v>
      </c>
      <c r="I717" s="87"/>
    </row>
    <row r="718">
      <c r="A718" s="46" t="str">
        <f>IFERROR(__xludf.DUMMYFUNCTION("""COMPUTED_VALUE"""),"Europe")</f>
        <v>Europe</v>
      </c>
      <c r="B718" s="46" t="str">
        <f>IFERROR(__xludf.DUMMYFUNCTION("""COMPUTED_VALUE"""),"Bosnia and Herzegovina")</f>
        <v>Bosnia and Herzegovina</v>
      </c>
      <c r="C718" s="46" t="str">
        <f>IFERROR(__xludf.DUMMYFUNCTION("""COMPUTED_VALUE"""),"Office Supplies")</f>
        <v>Office Supplies</v>
      </c>
      <c r="D718" s="46">
        <f>IFERROR(__xludf.DUMMYFUNCTION("""COMPUTED_VALUE"""),16.0)</f>
        <v>16</v>
      </c>
      <c r="E718" s="46">
        <f>IFERROR(__xludf.DUMMYFUNCTION("""COMPUTED_VALUE"""),5.75583016E8)</f>
        <v>575583016</v>
      </c>
      <c r="F718" s="84">
        <f>IFERROR(__xludf.DUMMYFUNCTION("""COMPUTED_VALUE"""),4337058.600000001)</f>
        <v>4337058.6</v>
      </c>
      <c r="I718" s="87"/>
    </row>
    <row r="719">
      <c r="A719" s="46" t="str">
        <f>IFERROR(__xludf.DUMMYFUNCTION("""COMPUTED_VALUE"""),"Europe")</f>
        <v>Europe</v>
      </c>
      <c r="B719" s="46" t="str">
        <f>IFERROR(__xludf.DUMMYFUNCTION("""COMPUTED_VALUE"""),"France")</f>
        <v>France</v>
      </c>
      <c r="C719" s="46" t="str">
        <f>IFERROR(__xludf.DUMMYFUNCTION("""COMPUTED_VALUE"""),"Personal Care")</f>
        <v>Personal Care</v>
      </c>
      <c r="D719" s="46">
        <f>IFERROR(__xludf.DUMMYFUNCTION("""COMPUTED_VALUE"""),14.0)</f>
        <v>14</v>
      </c>
      <c r="E719" s="46">
        <f>IFERROR(__xludf.DUMMYFUNCTION("""COMPUTED_VALUE"""),5.75758969E8)</f>
        <v>575758969</v>
      </c>
      <c r="F719" s="84">
        <f>IFERROR(__xludf.DUMMYFUNCTION("""COMPUTED_VALUE"""),713421.17)</f>
        <v>713421.17</v>
      </c>
      <c r="I719" s="87"/>
    </row>
    <row r="720">
      <c r="A720" s="46" t="str">
        <f>IFERROR(__xludf.DUMMYFUNCTION("""COMPUTED_VALUE"""),"Europe")</f>
        <v>Europe</v>
      </c>
      <c r="B720" s="46" t="str">
        <f>IFERROR(__xludf.DUMMYFUNCTION("""COMPUTED_VALUE"""),"Albania")</f>
        <v>Albania</v>
      </c>
      <c r="C720" s="46" t="str">
        <f>IFERROR(__xludf.DUMMYFUNCTION("""COMPUTED_VALUE"""),"Cosmetics")</f>
        <v>Cosmetics</v>
      </c>
      <c r="D720" s="46">
        <f>IFERROR(__xludf.DUMMYFUNCTION("""COMPUTED_VALUE"""),9.0)</f>
        <v>9</v>
      </c>
      <c r="E720" s="46">
        <f>IFERROR(__xludf.DUMMYFUNCTION("""COMPUTED_VALUE"""),5.7694472E8)</f>
        <v>576944720</v>
      </c>
      <c r="F720" s="84">
        <f>IFERROR(__xludf.DUMMYFUNCTION("""COMPUTED_VALUE"""),4205426.8)</f>
        <v>4205426.8</v>
      </c>
      <c r="I720" s="87"/>
    </row>
    <row r="721">
      <c r="A721" s="46" t="str">
        <f>IFERROR(__xludf.DUMMYFUNCTION("""COMPUTED_VALUE"""),"Europe")</f>
        <v>Europe</v>
      </c>
      <c r="B721" s="46" t="str">
        <f>IFERROR(__xludf.DUMMYFUNCTION("""COMPUTED_VALUE"""),"Czech Republic")</f>
        <v>Czech Republic</v>
      </c>
      <c r="C721" s="46" t="str">
        <f>IFERROR(__xludf.DUMMYFUNCTION("""COMPUTED_VALUE"""),"Personal Care")</f>
        <v>Personal Care</v>
      </c>
      <c r="D721" s="46">
        <f>IFERROR(__xludf.DUMMYFUNCTION("""COMPUTED_VALUE"""),23.0)</f>
        <v>23</v>
      </c>
      <c r="E721" s="46">
        <f>IFERROR(__xludf.DUMMYFUNCTION("""COMPUTED_VALUE"""),5.77530944E8)</f>
        <v>577530944</v>
      </c>
      <c r="F721" s="84">
        <f>IFERROR(__xludf.DUMMYFUNCTION("""COMPUTED_VALUE"""),252954.35)</f>
        <v>252954.35</v>
      </c>
      <c r="I721" s="87"/>
    </row>
    <row r="722">
      <c r="A722" s="46" t="str">
        <f>IFERROR(__xludf.DUMMYFUNCTION("""COMPUTED_VALUE"""),"Europe")</f>
        <v>Europe</v>
      </c>
      <c r="B722" s="46" t="str">
        <f>IFERROR(__xludf.DUMMYFUNCTION("""COMPUTED_VALUE"""),"Iceland")</f>
        <v>Iceland</v>
      </c>
      <c r="C722" s="46" t="str">
        <f>IFERROR(__xludf.DUMMYFUNCTION("""COMPUTED_VALUE"""),"Meat")</f>
        <v>Meat</v>
      </c>
      <c r="D722" s="46">
        <f>IFERROR(__xludf.DUMMYFUNCTION("""COMPUTED_VALUE"""),6.0)</f>
        <v>6</v>
      </c>
      <c r="E722" s="46">
        <f>IFERROR(__xludf.DUMMYFUNCTION("""COMPUTED_VALUE"""),5.78356206E8)</f>
        <v>578356206</v>
      </c>
      <c r="F722" s="84">
        <f>IFERROR(__xludf.DUMMYFUNCTION("""COMPUTED_VALUE"""),3083594.01)</f>
        <v>3083594.01</v>
      </c>
      <c r="I722" s="87"/>
    </row>
    <row r="723">
      <c r="A723" s="46" t="str">
        <f>IFERROR(__xludf.DUMMYFUNCTION("""COMPUTED_VALUE"""),"Europe")</f>
        <v>Europe</v>
      </c>
      <c r="B723" s="46" t="str">
        <f>IFERROR(__xludf.DUMMYFUNCTION("""COMPUTED_VALUE"""),"Russia")</f>
        <v>Russia</v>
      </c>
      <c r="C723" s="46" t="str">
        <f>IFERROR(__xludf.DUMMYFUNCTION("""COMPUTED_VALUE"""),"Fruits")</f>
        <v>Fruits</v>
      </c>
      <c r="D723" s="46">
        <f>IFERROR(__xludf.DUMMYFUNCTION("""COMPUTED_VALUE"""),18.0)</f>
        <v>18</v>
      </c>
      <c r="E723" s="46">
        <f>IFERROR(__xludf.DUMMYFUNCTION("""COMPUTED_VALUE"""),5.78666484E8)</f>
        <v>578666484</v>
      </c>
      <c r="F723" s="84">
        <f>IFERROR(__xludf.DUMMYFUNCTION("""COMPUTED_VALUE"""),85154.91)</f>
        <v>85154.91</v>
      </c>
      <c r="I723" s="87"/>
    </row>
    <row r="724">
      <c r="A724" s="46" t="str">
        <f>IFERROR(__xludf.DUMMYFUNCTION("""COMPUTED_VALUE"""),"Asia")</f>
        <v>Asia</v>
      </c>
      <c r="B724" s="46" t="str">
        <f>IFERROR(__xludf.DUMMYFUNCTION("""COMPUTED_VALUE"""),"Cyprus")</f>
        <v>Cyprus</v>
      </c>
      <c r="C724" s="46" t="str">
        <f>IFERROR(__xludf.DUMMYFUNCTION("""COMPUTED_VALUE"""),"Vegetables")</f>
        <v>Vegetables</v>
      </c>
      <c r="D724" s="46">
        <f>IFERROR(__xludf.DUMMYFUNCTION("""COMPUTED_VALUE"""),3.0)</f>
        <v>3</v>
      </c>
      <c r="E724" s="46">
        <f>IFERROR(__xludf.DUMMYFUNCTION("""COMPUTED_VALUE"""),5.79094779E8)</f>
        <v>579094779</v>
      </c>
      <c r="F724" s="84">
        <f>IFERROR(__xludf.DUMMYFUNCTION("""COMPUTED_VALUE"""),904178.14)</f>
        <v>904178.14</v>
      </c>
      <c r="I724" s="87"/>
    </row>
    <row r="725">
      <c r="A725" s="46" t="str">
        <f>IFERROR(__xludf.DUMMYFUNCTION("""COMPUTED_VALUE"""),"Europe")</f>
        <v>Europe</v>
      </c>
      <c r="B725" s="46" t="str">
        <f>IFERROR(__xludf.DUMMYFUNCTION("""COMPUTED_VALUE"""),"Estonia")</f>
        <v>Estonia</v>
      </c>
      <c r="C725" s="46" t="str">
        <f>IFERROR(__xludf.DUMMYFUNCTION("""COMPUTED_VALUE"""),"Fruits")</f>
        <v>Fruits</v>
      </c>
      <c r="D725" s="46">
        <f>IFERROR(__xludf.DUMMYFUNCTION("""COMPUTED_VALUE"""),34.0)</f>
        <v>34</v>
      </c>
      <c r="E725" s="46">
        <f>IFERROR(__xludf.DUMMYFUNCTION("""COMPUTED_VALUE"""),5.79463422E8)</f>
        <v>579463422</v>
      </c>
      <c r="F725" s="84">
        <f>IFERROR(__xludf.DUMMYFUNCTION("""COMPUTED_VALUE"""),46258.14)</f>
        <v>46258.14</v>
      </c>
      <c r="I725" s="87"/>
    </row>
    <row r="726">
      <c r="A726" s="46" t="str">
        <f>IFERROR(__xludf.DUMMYFUNCTION("""COMPUTED_VALUE"""),"Europe")</f>
        <v>Europe</v>
      </c>
      <c r="B726" s="46" t="str">
        <f>IFERROR(__xludf.DUMMYFUNCTION("""COMPUTED_VALUE"""),"Iceland")</f>
        <v>Iceland</v>
      </c>
      <c r="C726" s="46" t="str">
        <f>IFERROR(__xludf.DUMMYFUNCTION("""COMPUTED_VALUE"""),"Baby Food")</f>
        <v>Baby Food</v>
      </c>
      <c r="D726" s="46">
        <f>IFERROR(__xludf.DUMMYFUNCTION("""COMPUTED_VALUE"""),6.0)</f>
        <v>6</v>
      </c>
      <c r="E726" s="46">
        <f>IFERROR(__xludf.DUMMYFUNCTION("""COMPUTED_VALUE"""),5.80314862E8)</f>
        <v>580314862</v>
      </c>
      <c r="F726" s="84">
        <f>IFERROR(__xludf.DUMMYFUNCTION("""COMPUTED_VALUE"""),1766027.04)</f>
        <v>1766027.04</v>
      </c>
      <c r="I726" s="87"/>
    </row>
    <row r="727">
      <c r="A727" s="46" t="str">
        <f>IFERROR(__xludf.DUMMYFUNCTION("""COMPUTED_VALUE"""),"Asia")</f>
        <v>Asia</v>
      </c>
      <c r="B727" s="46" t="str">
        <f>IFERROR(__xludf.DUMMYFUNCTION("""COMPUTED_VALUE"""),"Armenia")</f>
        <v>Armenia</v>
      </c>
      <c r="C727" s="46" t="str">
        <f>IFERROR(__xludf.DUMMYFUNCTION("""COMPUTED_VALUE"""),"Cereal")</f>
        <v>Cereal</v>
      </c>
      <c r="D727" s="46">
        <f>IFERROR(__xludf.DUMMYFUNCTION("""COMPUTED_VALUE"""),34.0)</f>
        <v>34</v>
      </c>
      <c r="E727" s="46">
        <f>IFERROR(__xludf.DUMMYFUNCTION("""COMPUTED_VALUE"""),5.80342328E8)</f>
        <v>580342328</v>
      </c>
      <c r="F727" s="84">
        <f>IFERROR(__xludf.DUMMYFUNCTION("""COMPUTED_VALUE"""),1037962.2)</f>
        <v>1037962.2</v>
      </c>
      <c r="I727" s="87"/>
    </row>
    <row r="728">
      <c r="A728" s="46" t="str">
        <f>IFERROR(__xludf.DUMMYFUNCTION("""COMPUTED_VALUE"""),"Europe")</f>
        <v>Europe</v>
      </c>
      <c r="B728" s="46" t="str">
        <f>IFERROR(__xludf.DUMMYFUNCTION("""COMPUTED_VALUE"""),"Ukraine")</f>
        <v>Ukraine</v>
      </c>
      <c r="C728" s="46" t="str">
        <f>IFERROR(__xludf.DUMMYFUNCTION("""COMPUTED_VALUE"""),"Cereal")</f>
        <v>Cereal</v>
      </c>
      <c r="D728" s="46">
        <f>IFERROR(__xludf.DUMMYFUNCTION("""COMPUTED_VALUE"""),29.0)</f>
        <v>29</v>
      </c>
      <c r="E728" s="46">
        <f>IFERROR(__xludf.DUMMYFUNCTION("""COMPUTED_VALUE"""),5.80463349E8)</f>
        <v>580463349</v>
      </c>
      <c r="F728" s="84">
        <f>IFERROR(__xludf.DUMMYFUNCTION("""COMPUTED_VALUE"""),176696.3)</f>
        <v>176696.3</v>
      </c>
      <c r="I728" s="87"/>
    </row>
    <row r="729">
      <c r="A729" s="46" t="str">
        <f>IFERROR(__xludf.DUMMYFUNCTION("""COMPUTED_VALUE"""),"Europe")</f>
        <v>Europe</v>
      </c>
      <c r="B729" s="46" t="str">
        <f>IFERROR(__xludf.DUMMYFUNCTION("""COMPUTED_VALUE"""),"Ireland")</f>
        <v>Ireland</v>
      </c>
      <c r="C729" s="46" t="str">
        <f>IFERROR(__xludf.DUMMYFUNCTION("""COMPUTED_VALUE"""),"Beverages")</f>
        <v>Beverages</v>
      </c>
      <c r="D729" s="46">
        <f>IFERROR(__xludf.DUMMYFUNCTION("""COMPUTED_VALUE"""),23.0)</f>
        <v>23</v>
      </c>
      <c r="E729" s="46">
        <f>IFERROR(__xludf.DUMMYFUNCTION("""COMPUTED_VALUE"""),5.8056935E8)</f>
        <v>580569350</v>
      </c>
      <c r="F729" s="84">
        <f>IFERROR(__xludf.DUMMYFUNCTION("""COMPUTED_VALUE"""),105671.15000000001)</f>
        <v>105671.15</v>
      </c>
      <c r="I729" s="87"/>
    </row>
    <row r="730">
      <c r="A730" s="46" t="str">
        <f>IFERROR(__xludf.DUMMYFUNCTION("""COMPUTED_VALUE"""),"Undefined")</f>
        <v>Undefined</v>
      </c>
      <c r="B730" s="46" t="str">
        <f>IFERROR(__xludf.DUMMYFUNCTION("""COMPUTED_VALUE"""),"Undefined")</f>
        <v>Undefined</v>
      </c>
      <c r="C730" s="46" t="str">
        <f>IFERROR(__xludf.DUMMYFUNCTION("""COMPUTED_VALUE"""),"Office Supplies")</f>
        <v>Office Supplies</v>
      </c>
      <c r="D730" s="46">
        <f>IFERROR(__xludf.DUMMYFUNCTION("""COMPUTED_VALUE"""),4.0)</f>
        <v>4</v>
      </c>
      <c r="E730" s="46">
        <f>IFERROR(__xludf.DUMMYFUNCTION("""COMPUTED_VALUE"""),5.8078221E8)</f>
        <v>580782210</v>
      </c>
      <c r="F730" s="84">
        <f>IFERROR(__xludf.DUMMYFUNCTION("""COMPUTED_VALUE"""),3397362.5700000003)</f>
        <v>3397362.57</v>
      </c>
      <c r="I730" s="87"/>
    </row>
    <row r="731">
      <c r="A731" s="46" t="str">
        <f>IFERROR(__xludf.DUMMYFUNCTION("""COMPUTED_VALUE"""),"Asia")</f>
        <v>Asia</v>
      </c>
      <c r="B731" s="46" t="str">
        <f>IFERROR(__xludf.DUMMYFUNCTION("""COMPUTED_VALUE"""),"Cyprus")</f>
        <v>Cyprus</v>
      </c>
      <c r="C731" s="46" t="str">
        <f>IFERROR(__xludf.DUMMYFUNCTION("""COMPUTED_VALUE"""),"Snacks")</f>
        <v>Snacks</v>
      </c>
      <c r="D731" s="46">
        <f>IFERROR(__xludf.DUMMYFUNCTION("""COMPUTED_VALUE"""),6.0)</f>
        <v>6</v>
      </c>
      <c r="E731" s="46">
        <f>IFERROR(__xludf.DUMMYFUNCTION("""COMPUTED_VALUE"""),5.81193768E8)</f>
        <v>581193768</v>
      </c>
      <c r="F731" s="84">
        <f>IFERROR(__xludf.DUMMYFUNCTION("""COMPUTED_VALUE"""),1068975.48)</f>
        <v>1068975.48</v>
      </c>
      <c r="I731" s="87"/>
    </row>
    <row r="732">
      <c r="A732" s="46" t="str">
        <f>IFERROR(__xludf.DUMMYFUNCTION("""COMPUTED_VALUE"""),"Europe")</f>
        <v>Europe</v>
      </c>
      <c r="B732" s="46" t="str">
        <f>IFERROR(__xludf.DUMMYFUNCTION("""COMPUTED_VALUE"""),"Croatia")</f>
        <v>Croatia</v>
      </c>
      <c r="C732" s="46" t="str">
        <f>IFERROR(__xludf.DUMMYFUNCTION("""COMPUTED_VALUE"""),"Household")</f>
        <v>Household</v>
      </c>
      <c r="D732" s="46">
        <f>IFERROR(__xludf.DUMMYFUNCTION("""COMPUTED_VALUE"""),3.0)</f>
        <v>3</v>
      </c>
      <c r="E732" s="46">
        <f>IFERROR(__xludf.DUMMYFUNCTION("""COMPUTED_VALUE"""),5.82560193E8)</f>
        <v>582560193</v>
      </c>
      <c r="F732" s="84">
        <f>IFERROR(__xludf.DUMMYFUNCTION("""COMPUTED_VALUE"""),910183.74)</f>
        <v>910183.74</v>
      </c>
      <c r="I732" s="87"/>
    </row>
    <row r="733">
      <c r="A733" s="46" t="str">
        <f>IFERROR(__xludf.DUMMYFUNCTION("""COMPUTED_VALUE"""),"Undefined")</f>
        <v>Undefined</v>
      </c>
      <c r="B733" s="46" t="str">
        <f>IFERROR(__xludf.DUMMYFUNCTION("""COMPUTED_VALUE"""),"Undefined")</f>
        <v>Undefined</v>
      </c>
      <c r="C733" s="46" t="str">
        <f>IFERROR(__xludf.DUMMYFUNCTION("""COMPUTED_VALUE"""),"Household")</f>
        <v>Household</v>
      </c>
      <c r="D733" s="46">
        <f>IFERROR(__xludf.DUMMYFUNCTION("""COMPUTED_VALUE"""),19.0)</f>
        <v>19</v>
      </c>
      <c r="E733" s="46">
        <f>IFERROR(__xludf.DUMMYFUNCTION("""COMPUTED_VALUE"""),5.82563626E8)</f>
        <v>582563626</v>
      </c>
      <c r="F733" s="84">
        <f>IFERROR(__xludf.DUMMYFUNCTION("""COMPUTED_VALUE"""),1589146.06)</f>
        <v>1589146.06</v>
      </c>
      <c r="I733" s="87"/>
    </row>
    <row r="734">
      <c r="A734" s="46" t="str">
        <f>IFERROR(__xludf.DUMMYFUNCTION("""COMPUTED_VALUE"""),"Europe")</f>
        <v>Europe</v>
      </c>
      <c r="B734" s="46" t="str">
        <f>IFERROR(__xludf.DUMMYFUNCTION("""COMPUTED_VALUE"""),"Andorra")</f>
        <v>Andorra</v>
      </c>
      <c r="C734" s="46" t="str">
        <f>IFERROR(__xludf.DUMMYFUNCTION("""COMPUTED_VALUE"""),"Office Supplies")</f>
        <v>Office Supplies</v>
      </c>
      <c r="D734" s="46">
        <f>IFERROR(__xludf.DUMMYFUNCTION("""COMPUTED_VALUE"""),5.0)</f>
        <v>5</v>
      </c>
      <c r="E734" s="46">
        <f>IFERROR(__xludf.DUMMYFUNCTION("""COMPUTED_VALUE"""),5.82836139E8)</f>
        <v>582836139</v>
      </c>
      <c r="F734" s="84">
        <f>IFERROR(__xludf.DUMMYFUNCTION("""COMPUTED_VALUE"""),1966654.2000000002)</f>
        <v>1966654.2</v>
      </c>
      <c r="I734" s="87"/>
    </row>
    <row r="735">
      <c r="A735" s="46" t="str">
        <f>IFERROR(__xludf.DUMMYFUNCTION("""COMPUTED_VALUE"""),"Europe")</f>
        <v>Europe</v>
      </c>
      <c r="B735" s="46" t="str">
        <f>IFERROR(__xludf.DUMMYFUNCTION("""COMPUTED_VALUE"""),"Greece")</f>
        <v>Greece</v>
      </c>
      <c r="C735" s="46" t="str">
        <f>IFERROR(__xludf.DUMMYFUNCTION("""COMPUTED_VALUE"""),"Cosmetics")</f>
        <v>Cosmetics</v>
      </c>
      <c r="D735" s="46">
        <f>IFERROR(__xludf.DUMMYFUNCTION("""COMPUTED_VALUE"""),35.0)</f>
        <v>35</v>
      </c>
      <c r="E735" s="46">
        <f>IFERROR(__xludf.DUMMYFUNCTION("""COMPUTED_VALUE"""),5.83089339E8)</f>
        <v>583089339</v>
      </c>
      <c r="F735" s="84">
        <f>IFERROR(__xludf.DUMMYFUNCTION("""COMPUTED_VALUE"""),3474865.6)</f>
        <v>3474865.6</v>
      </c>
      <c r="I735" s="87"/>
    </row>
    <row r="736">
      <c r="A736" s="46" t="str">
        <f>IFERROR(__xludf.DUMMYFUNCTION("""COMPUTED_VALUE"""),"Undefined")</f>
        <v>Undefined</v>
      </c>
      <c r="B736" s="46" t="str">
        <f>IFERROR(__xludf.DUMMYFUNCTION("""COMPUTED_VALUE"""),"Undefined")</f>
        <v>Undefined</v>
      </c>
      <c r="C736" s="46" t="str">
        <f>IFERROR(__xludf.DUMMYFUNCTION("""COMPUTED_VALUE"""),"Snacks")</f>
        <v>Snacks</v>
      </c>
      <c r="D736" s="46">
        <f>IFERROR(__xludf.DUMMYFUNCTION("""COMPUTED_VALUE"""),25.0)</f>
        <v>25</v>
      </c>
      <c r="E736" s="46">
        <f>IFERROR(__xludf.DUMMYFUNCTION("""COMPUTED_VALUE"""),5.83451974E8)</f>
        <v>583451974</v>
      </c>
      <c r="F736" s="84">
        <f>IFERROR(__xludf.DUMMYFUNCTION("""COMPUTED_VALUE"""),802570.8)</f>
        <v>802570.8</v>
      </c>
      <c r="I736" s="87"/>
    </row>
    <row r="737">
      <c r="A737" s="46" t="str">
        <f>IFERROR(__xludf.DUMMYFUNCTION("""COMPUTED_VALUE"""),"Europe")</f>
        <v>Europe</v>
      </c>
      <c r="B737" s="46" t="str">
        <f>IFERROR(__xludf.DUMMYFUNCTION("""COMPUTED_VALUE"""),"Portugal")</f>
        <v>Portugal</v>
      </c>
      <c r="C737" s="46" t="str">
        <f>IFERROR(__xludf.DUMMYFUNCTION("""COMPUTED_VALUE"""),"Snacks")</f>
        <v>Snacks</v>
      </c>
      <c r="D737" s="46">
        <f>IFERROR(__xludf.DUMMYFUNCTION("""COMPUTED_VALUE"""),12.0)</f>
        <v>12</v>
      </c>
      <c r="E737" s="46">
        <f>IFERROR(__xludf.DUMMYFUNCTION("""COMPUTED_VALUE"""),5.83654105E8)</f>
        <v>583654105</v>
      </c>
      <c r="F737" s="84">
        <f>IFERROR(__xludf.DUMMYFUNCTION("""COMPUTED_VALUE"""),774343.5000000001)</f>
        <v>774343.5</v>
      </c>
      <c r="I737" s="87"/>
    </row>
    <row r="738">
      <c r="A738" s="46" t="str">
        <f>IFERROR(__xludf.DUMMYFUNCTION("""COMPUTED_VALUE"""),"Europe")</f>
        <v>Europe</v>
      </c>
      <c r="B738" s="46" t="str">
        <f>IFERROR(__xludf.DUMMYFUNCTION("""COMPUTED_VALUE"""),"Slovakia")</f>
        <v>Slovakia</v>
      </c>
      <c r="C738" s="46" t="str">
        <f>IFERROR(__xludf.DUMMYFUNCTION("""COMPUTED_VALUE"""),"Household")</f>
        <v>Household</v>
      </c>
      <c r="D738" s="46">
        <f>IFERROR(__xludf.DUMMYFUNCTION("""COMPUTED_VALUE"""),50.0)</f>
        <v>50</v>
      </c>
      <c r="E738" s="46">
        <f>IFERROR(__xludf.DUMMYFUNCTION("""COMPUTED_VALUE"""),5.85362994E8)</f>
        <v>585362994</v>
      </c>
      <c r="F738" s="84">
        <f>IFERROR(__xludf.DUMMYFUNCTION("""COMPUTED_VALUE"""),516572.70999999996)</f>
        <v>516572.71</v>
      </c>
      <c r="I738" s="87"/>
    </row>
    <row r="739">
      <c r="A739" s="46" t="str">
        <f>IFERROR(__xludf.DUMMYFUNCTION("""COMPUTED_VALUE"""),"Europe")</f>
        <v>Europe</v>
      </c>
      <c r="B739" s="46" t="str">
        <f>IFERROR(__xludf.DUMMYFUNCTION("""COMPUTED_VALUE"""),"Denmark")</f>
        <v>Denmark</v>
      </c>
      <c r="C739" s="46" t="str">
        <f>IFERROR(__xludf.DUMMYFUNCTION("""COMPUTED_VALUE"""),"Snacks")</f>
        <v>Snacks</v>
      </c>
      <c r="D739" s="46">
        <f>IFERROR(__xludf.DUMMYFUNCTION("""COMPUTED_VALUE"""),21.0)</f>
        <v>21</v>
      </c>
      <c r="E739" s="46">
        <f>IFERROR(__xludf.DUMMYFUNCTION("""COMPUTED_VALUE"""),5.85677134E8)</f>
        <v>585677134</v>
      </c>
      <c r="F739" s="84">
        <f>IFERROR(__xludf.DUMMYFUNCTION("""COMPUTED_VALUE"""),569733.7200000001)</f>
        <v>569733.72</v>
      </c>
      <c r="I739" s="87"/>
    </row>
    <row r="740">
      <c r="A740" s="46" t="str">
        <f>IFERROR(__xludf.DUMMYFUNCTION("""COMPUTED_VALUE"""),"Europe")</f>
        <v>Europe</v>
      </c>
      <c r="B740" s="46" t="str">
        <f>IFERROR(__xludf.DUMMYFUNCTION("""COMPUTED_VALUE"""),"Russia")</f>
        <v>Russia</v>
      </c>
      <c r="C740" s="46" t="str">
        <f>IFERROR(__xludf.DUMMYFUNCTION("""COMPUTED_VALUE"""),"Office Supplies")</f>
        <v>Office Supplies</v>
      </c>
      <c r="D740" s="46">
        <f>IFERROR(__xludf.DUMMYFUNCTION("""COMPUTED_VALUE"""),16.0)</f>
        <v>16</v>
      </c>
      <c r="E740" s="46">
        <f>IFERROR(__xludf.DUMMYFUNCTION("""COMPUTED_VALUE"""),5.86812674E8)</f>
        <v>586812674</v>
      </c>
      <c r="F740" s="84">
        <f>IFERROR(__xludf.DUMMYFUNCTION("""COMPUTED_VALUE"""),6359716.86)</f>
        <v>6359716.86</v>
      </c>
      <c r="I740" s="87"/>
    </row>
    <row r="741">
      <c r="A741" s="46" t="str">
        <f>IFERROR(__xludf.DUMMYFUNCTION("""COMPUTED_VALUE"""),"Europe")</f>
        <v>Europe</v>
      </c>
      <c r="B741" s="46" t="str">
        <f>IFERROR(__xludf.DUMMYFUNCTION("""COMPUTED_VALUE"""),"Greece")</f>
        <v>Greece</v>
      </c>
      <c r="C741" s="46" t="str">
        <f>IFERROR(__xludf.DUMMYFUNCTION("""COMPUTED_VALUE"""),"Cereal")</f>
        <v>Cereal</v>
      </c>
      <c r="D741" s="46">
        <f>IFERROR(__xludf.DUMMYFUNCTION("""COMPUTED_VALUE"""),39.0)</f>
        <v>39</v>
      </c>
      <c r="E741" s="46">
        <f>IFERROR(__xludf.DUMMYFUNCTION("""COMPUTED_VALUE"""),5.87598884E8)</f>
        <v>587598884</v>
      </c>
      <c r="F741" s="84">
        <f>IFERROR(__xludf.DUMMYFUNCTION("""COMPUTED_VALUE"""),498205.39999999997)</f>
        <v>498205.4</v>
      </c>
      <c r="I741" s="87"/>
    </row>
    <row r="742">
      <c r="A742" s="46" t="str">
        <f>IFERROR(__xludf.DUMMYFUNCTION("""COMPUTED_VALUE"""),"Europe")</f>
        <v>Europe</v>
      </c>
      <c r="B742" s="46" t="str">
        <f>IFERROR(__xludf.DUMMYFUNCTION("""COMPUTED_VALUE"""),"San Marino")</f>
        <v>San Marino</v>
      </c>
      <c r="C742" s="46" t="str">
        <f>IFERROR(__xludf.DUMMYFUNCTION("""COMPUTED_VALUE"""),"Baby Food")</f>
        <v>Baby Food</v>
      </c>
      <c r="D742" s="46">
        <f>IFERROR(__xludf.DUMMYFUNCTION("""COMPUTED_VALUE"""),40.0)</f>
        <v>40</v>
      </c>
      <c r="E742" s="46">
        <f>IFERROR(__xludf.DUMMYFUNCTION("""COMPUTED_VALUE"""),5.87799727E8)</f>
        <v>587799727</v>
      </c>
      <c r="F742" s="84">
        <f>IFERROR(__xludf.DUMMYFUNCTION("""COMPUTED_VALUE"""),473799.68)</f>
        <v>473799.68</v>
      </c>
      <c r="I742" s="87"/>
    </row>
    <row r="743">
      <c r="A743" s="46" t="str">
        <f>IFERROR(__xludf.DUMMYFUNCTION("""COMPUTED_VALUE"""),"Europe")</f>
        <v>Europe</v>
      </c>
      <c r="B743" s="46" t="str">
        <f>IFERROR(__xludf.DUMMYFUNCTION("""COMPUTED_VALUE"""),"Sweden")</f>
        <v>Sweden</v>
      </c>
      <c r="C743" s="46" t="str">
        <f>IFERROR(__xludf.DUMMYFUNCTION("""COMPUTED_VALUE"""),"Personal Care")</f>
        <v>Personal Care</v>
      </c>
      <c r="D743" s="46">
        <f>IFERROR(__xludf.DUMMYFUNCTION("""COMPUTED_VALUE"""),28.0)</f>
        <v>28</v>
      </c>
      <c r="E743" s="46">
        <f>IFERROR(__xludf.DUMMYFUNCTION("""COMPUTED_VALUE"""),5.87846076E8)</f>
        <v>587846076</v>
      </c>
      <c r="F743" s="84">
        <f>IFERROR(__xludf.DUMMYFUNCTION("""COMPUTED_VALUE"""),455399.56)</f>
        <v>455399.56</v>
      </c>
      <c r="I743" s="87"/>
    </row>
    <row r="744">
      <c r="A744" s="46" t="str">
        <f>IFERROR(__xludf.DUMMYFUNCTION("""COMPUTED_VALUE"""),"Europe")</f>
        <v>Europe</v>
      </c>
      <c r="B744" s="46" t="str">
        <f>IFERROR(__xludf.DUMMYFUNCTION("""COMPUTED_VALUE"""),"Greece")</f>
        <v>Greece</v>
      </c>
      <c r="C744" s="46" t="str">
        <f>IFERROR(__xludf.DUMMYFUNCTION("""COMPUTED_VALUE"""),"Personal Care")</f>
        <v>Personal Care</v>
      </c>
      <c r="D744" s="46">
        <f>IFERROR(__xludf.DUMMYFUNCTION("""COMPUTED_VALUE"""),31.0)</f>
        <v>31</v>
      </c>
      <c r="E744" s="46">
        <f>IFERROR(__xludf.DUMMYFUNCTION("""COMPUTED_VALUE"""),5.88528859E8)</f>
        <v>588528859</v>
      </c>
      <c r="F744" s="84">
        <f>IFERROR(__xludf.DUMMYFUNCTION("""COMPUTED_VALUE"""),623027.79)</f>
        <v>623027.79</v>
      </c>
      <c r="I744" s="87"/>
    </row>
    <row r="745">
      <c r="A745" s="46" t="str">
        <f>IFERROR(__xludf.DUMMYFUNCTION("""COMPUTED_VALUE"""),"Europe")</f>
        <v>Europe</v>
      </c>
      <c r="B745" s="46" t="str">
        <f>IFERROR(__xludf.DUMMYFUNCTION("""COMPUTED_VALUE"""),"Italy")</f>
        <v>Italy</v>
      </c>
      <c r="C745" s="46" t="str">
        <f>IFERROR(__xludf.DUMMYFUNCTION("""COMPUTED_VALUE"""),"Personal Care")</f>
        <v>Personal Care</v>
      </c>
      <c r="D745" s="46">
        <f>IFERROR(__xludf.DUMMYFUNCTION("""COMPUTED_VALUE"""),49.0)</f>
        <v>49</v>
      </c>
      <c r="E745" s="46">
        <f>IFERROR(__xludf.DUMMYFUNCTION("""COMPUTED_VALUE"""),5.89842927E8)</f>
        <v>589842927</v>
      </c>
      <c r="F745" s="84">
        <f>IFERROR(__xludf.DUMMYFUNCTION("""COMPUTED_VALUE"""),530019.05)</f>
        <v>530019.05</v>
      </c>
      <c r="I745" s="87"/>
    </row>
    <row r="746">
      <c r="A746" s="46" t="str">
        <f>IFERROR(__xludf.DUMMYFUNCTION("""COMPUTED_VALUE"""),"Europe")</f>
        <v>Europe</v>
      </c>
      <c r="B746" s="46" t="str">
        <f>IFERROR(__xludf.DUMMYFUNCTION("""COMPUTED_VALUE"""),"Finland")</f>
        <v>Finland</v>
      </c>
      <c r="C746" s="46" t="str">
        <f>IFERROR(__xludf.DUMMYFUNCTION("""COMPUTED_VALUE"""),"Fruits")</f>
        <v>Fruits</v>
      </c>
      <c r="D746" s="46">
        <f>IFERROR(__xludf.DUMMYFUNCTION("""COMPUTED_VALUE"""),12.0)</f>
        <v>12</v>
      </c>
      <c r="E746" s="46">
        <f>IFERROR(__xludf.DUMMYFUNCTION("""COMPUTED_VALUE"""),5.91287887E8)</f>
        <v>591287887</v>
      </c>
      <c r="F746" s="84">
        <f>IFERROR(__xludf.DUMMYFUNCTION("""COMPUTED_VALUE"""),38066.4)</f>
        <v>38066.4</v>
      </c>
      <c r="I746" s="87"/>
    </row>
    <row r="747">
      <c r="A747" s="46" t="str">
        <f>IFERROR(__xludf.DUMMYFUNCTION("""COMPUTED_VALUE"""),"Europe")</f>
        <v>Europe</v>
      </c>
      <c r="B747" s="46" t="str">
        <f>IFERROR(__xludf.DUMMYFUNCTION("""COMPUTED_VALUE"""),"San Marino")</f>
        <v>San Marino</v>
      </c>
      <c r="C747" s="46" t="str">
        <f>IFERROR(__xludf.DUMMYFUNCTION("""COMPUTED_VALUE"""),"Cereal")</f>
        <v>Cereal</v>
      </c>
      <c r="D747" s="46">
        <f>IFERROR(__xludf.DUMMYFUNCTION("""COMPUTED_VALUE"""),22.0)</f>
        <v>22</v>
      </c>
      <c r="E747" s="46">
        <f>IFERROR(__xludf.DUMMYFUNCTION("""COMPUTED_VALUE"""),5.91774117E8)</f>
        <v>591774117</v>
      </c>
      <c r="F747" s="84">
        <f>IFERROR(__xludf.DUMMYFUNCTION("""COMPUTED_VALUE"""),1638811.9)</f>
        <v>1638811.9</v>
      </c>
      <c r="I747" s="87"/>
    </row>
    <row r="748">
      <c r="A748" s="46" t="str">
        <f>IFERROR(__xludf.DUMMYFUNCTION("""COMPUTED_VALUE"""),"Asia")</f>
        <v>Asia</v>
      </c>
      <c r="B748" s="46" t="str">
        <f>IFERROR(__xludf.DUMMYFUNCTION("""COMPUTED_VALUE"""),"Cyprus")</f>
        <v>Cyprus</v>
      </c>
      <c r="C748" s="46" t="str">
        <f>IFERROR(__xludf.DUMMYFUNCTION("""COMPUTED_VALUE"""),"Snacks")</f>
        <v>Snacks</v>
      </c>
      <c r="D748" s="46">
        <f>IFERROR(__xludf.DUMMYFUNCTION("""COMPUTED_VALUE"""),36.0)</f>
        <v>36</v>
      </c>
      <c r="E748" s="46">
        <f>IFERROR(__xludf.DUMMYFUNCTION("""COMPUTED_VALUE"""),5.93018233E8)</f>
        <v>593018233</v>
      </c>
      <c r="F748" s="84">
        <f>IFERROR(__xludf.DUMMYFUNCTION("""COMPUTED_VALUE"""),935010.2400000001)</f>
        <v>935010.24</v>
      </c>
      <c r="I748" s="87"/>
    </row>
    <row r="749">
      <c r="A749" s="46" t="str">
        <f>IFERROR(__xludf.DUMMYFUNCTION("""COMPUTED_VALUE"""),"Asia")</f>
        <v>Asia</v>
      </c>
      <c r="B749" s="46" t="str">
        <f>IFERROR(__xludf.DUMMYFUNCTION("""COMPUTED_VALUE"""),"Cyprus")</f>
        <v>Cyprus</v>
      </c>
      <c r="C749" s="46" t="str">
        <f>IFERROR(__xludf.DUMMYFUNCTION("""COMPUTED_VALUE"""),"Clothes")</f>
        <v>Clothes</v>
      </c>
      <c r="D749" s="46">
        <f>IFERROR(__xludf.DUMMYFUNCTION("""COMPUTED_VALUE"""),39.0)</f>
        <v>39</v>
      </c>
      <c r="E749" s="46">
        <f>IFERROR(__xludf.DUMMYFUNCTION("""COMPUTED_VALUE"""),5.93158566E8)</f>
        <v>593158566</v>
      </c>
      <c r="F749" s="84">
        <f>IFERROR(__xludf.DUMMYFUNCTION("""COMPUTED_VALUE"""),836647.68)</f>
        <v>836647.68</v>
      </c>
      <c r="I749" s="87"/>
    </row>
    <row r="750">
      <c r="A750" s="46" t="str">
        <f>IFERROR(__xludf.DUMMYFUNCTION("""COMPUTED_VALUE"""),"Europe")</f>
        <v>Europe</v>
      </c>
      <c r="B750" s="46" t="str">
        <f>IFERROR(__xludf.DUMMYFUNCTION("""COMPUTED_VALUE"""),"Montenegro")</f>
        <v>Montenegro</v>
      </c>
      <c r="C750" s="46" t="str">
        <f>IFERROR(__xludf.DUMMYFUNCTION("""COMPUTED_VALUE"""),"Personal Care")</f>
        <v>Personal Care</v>
      </c>
      <c r="D750" s="46">
        <f>IFERROR(__xludf.DUMMYFUNCTION("""COMPUTED_VALUE"""),46.0)</f>
        <v>46</v>
      </c>
      <c r="E750" s="46">
        <f>IFERROR(__xludf.DUMMYFUNCTION("""COMPUTED_VALUE"""),5.94699656E8)</f>
        <v>594699656</v>
      </c>
      <c r="F750" s="84">
        <f>IFERROR(__xludf.DUMMYFUNCTION("""COMPUTED_VALUE"""),302319.27)</f>
        <v>302319.27</v>
      </c>
      <c r="I750" s="87"/>
    </row>
    <row r="751">
      <c r="A751" s="46" t="str">
        <f>IFERROR(__xludf.DUMMYFUNCTION("""COMPUTED_VALUE"""),"Europe")</f>
        <v>Europe</v>
      </c>
      <c r="B751" s="46" t="str">
        <f>IFERROR(__xludf.DUMMYFUNCTION("""COMPUTED_VALUE"""),"Norway")</f>
        <v>Norway</v>
      </c>
      <c r="C751" s="46" t="str">
        <f>IFERROR(__xludf.DUMMYFUNCTION("""COMPUTED_VALUE"""),"Personal Care")</f>
        <v>Personal Care</v>
      </c>
      <c r="D751" s="46">
        <f>IFERROR(__xludf.DUMMYFUNCTION("""COMPUTED_VALUE"""),9.0)</f>
        <v>9</v>
      </c>
      <c r="E751" s="46">
        <f>IFERROR(__xludf.DUMMYFUNCTION("""COMPUTED_VALUE"""),5.94813811E8)</f>
        <v>594813811</v>
      </c>
      <c r="F751" s="84">
        <f>IFERROR(__xludf.DUMMYFUNCTION("""COMPUTED_VALUE"""),611340.4)</f>
        <v>611340.4</v>
      </c>
      <c r="I751" s="87"/>
    </row>
    <row r="752">
      <c r="A752" s="46" t="str">
        <f>IFERROR(__xludf.DUMMYFUNCTION("""COMPUTED_VALUE"""),"Europe")</f>
        <v>Europe</v>
      </c>
      <c r="B752" s="46" t="str">
        <f>IFERROR(__xludf.DUMMYFUNCTION("""COMPUTED_VALUE"""),"Luxembourg")</f>
        <v>Luxembourg</v>
      </c>
      <c r="C752" s="46" t="str">
        <f>IFERROR(__xludf.DUMMYFUNCTION("""COMPUTED_VALUE"""),"Snacks")</f>
        <v>Snacks</v>
      </c>
      <c r="D752" s="46">
        <f>IFERROR(__xludf.DUMMYFUNCTION("""COMPUTED_VALUE"""),45.0)</f>
        <v>45</v>
      </c>
      <c r="E752" s="46">
        <f>IFERROR(__xludf.DUMMYFUNCTION("""COMPUTED_VALUE"""),5.94991052E8)</f>
        <v>594991052</v>
      </c>
      <c r="F752" s="84">
        <f>IFERROR(__xludf.DUMMYFUNCTION("""COMPUTED_VALUE"""),1514966.82)</f>
        <v>1514966.82</v>
      </c>
      <c r="I752" s="87"/>
    </row>
    <row r="753">
      <c r="A753" s="46" t="str">
        <f>IFERROR(__xludf.DUMMYFUNCTION("""COMPUTED_VALUE"""),"Europe")</f>
        <v>Europe</v>
      </c>
      <c r="B753" s="46" t="str">
        <f>IFERROR(__xludf.DUMMYFUNCTION("""COMPUTED_VALUE"""),"Luxembourg")</f>
        <v>Luxembourg</v>
      </c>
      <c r="C753" s="46" t="str">
        <f>IFERROR(__xludf.DUMMYFUNCTION("""COMPUTED_VALUE"""),"Personal Care")</f>
        <v>Personal Care</v>
      </c>
      <c r="D753" s="46">
        <f>IFERROR(__xludf.DUMMYFUNCTION("""COMPUTED_VALUE"""),14.0)</f>
        <v>14</v>
      </c>
      <c r="E753" s="46">
        <f>IFERROR(__xludf.DUMMYFUNCTION("""COMPUTED_VALUE"""),5.95385873E8)</f>
        <v>595385873</v>
      </c>
      <c r="F753" s="84">
        <f>IFERROR(__xludf.DUMMYFUNCTION("""COMPUTED_VALUE"""),552903.4500000001)</f>
        <v>552903.45</v>
      </c>
      <c r="I753" s="87"/>
    </row>
    <row r="754">
      <c r="A754" s="46" t="str">
        <f>IFERROR(__xludf.DUMMYFUNCTION("""COMPUTED_VALUE"""),"Europe")</f>
        <v>Europe</v>
      </c>
      <c r="B754" s="46" t="str">
        <f>IFERROR(__xludf.DUMMYFUNCTION("""COMPUTED_VALUE"""),"San Marino")</f>
        <v>San Marino</v>
      </c>
      <c r="C754" s="46" t="str">
        <f>IFERROR(__xludf.DUMMYFUNCTION("""COMPUTED_VALUE"""),"Beverages")</f>
        <v>Beverages</v>
      </c>
      <c r="D754" s="46">
        <f>IFERROR(__xludf.DUMMYFUNCTION("""COMPUTED_VALUE"""),20.0)</f>
        <v>20</v>
      </c>
      <c r="E754" s="46">
        <f>IFERROR(__xludf.DUMMYFUNCTION("""COMPUTED_VALUE"""),5.95395314E8)</f>
        <v>595395314</v>
      </c>
      <c r="F754" s="84">
        <f>IFERROR(__xludf.DUMMYFUNCTION("""COMPUTED_VALUE"""),453574.55000000005)</f>
        <v>453574.55</v>
      </c>
      <c r="I754" s="87"/>
    </row>
    <row r="755">
      <c r="A755" s="46" t="str">
        <f>IFERROR(__xludf.DUMMYFUNCTION("""COMPUTED_VALUE"""),"Europe")</f>
        <v>Europe</v>
      </c>
      <c r="B755" s="46" t="str">
        <f>IFERROR(__xludf.DUMMYFUNCTION("""COMPUTED_VALUE"""),"Bulgaria")</f>
        <v>Bulgaria</v>
      </c>
      <c r="C755" s="46" t="str">
        <f>IFERROR(__xludf.DUMMYFUNCTION("""COMPUTED_VALUE"""),"Personal Care")</f>
        <v>Personal Care</v>
      </c>
      <c r="D755" s="46">
        <f>IFERROR(__xludf.DUMMYFUNCTION("""COMPUTED_VALUE"""),11.0)</f>
        <v>11</v>
      </c>
      <c r="E755" s="46">
        <f>IFERROR(__xludf.DUMMYFUNCTION("""COMPUTED_VALUE"""),5.95496594E8)</f>
        <v>595496594</v>
      </c>
      <c r="F755" s="84">
        <f>IFERROR(__xludf.DUMMYFUNCTION("""COMPUTED_VALUE"""),778886.9)</f>
        <v>778886.9</v>
      </c>
      <c r="I755" s="87"/>
    </row>
    <row r="756">
      <c r="A756" s="46" t="str">
        <f>IFERROR(__xludf.DUMMYFUNCTION("""COMPUTED_VALUE"""),"Europe")</f>
        <v>Europe</v>
      </c>
      <c r="B756" s="46" t="str">
        <f>IFERROR(__xludf.DUMMYFUNCTION("""COMPUTED_VALUE"""),"Denmark")</f>
        <v>Denmark</v>
      </c>
      <c r="C756" s="46" t="str">
        <f>IFERROR(__xludf.DUMMYFUNCTION("""COMPUTED_VALUE"""),"Meat")</f>
        <v>Meat</v>
      </c>
      <c r="D756" s="46">
        <f>IFERROR(__xludf.DUMMYFUNCTION("""COMPUTED_VALUE"""),23.0)</f>
        <v>23</v>
      </c>
      <c r="E756" s="46">
        <f>IFERROR(__xludf.DUMMYFUNCTION("""COMPUTED_VALUE"""),5.95922315E8)</f>
        <v>595922315</v>
      </c>
      <c r="F756" s="84">
        <f>IFERROR(__xludf.DUMMYFUNCTION("""COMPUTED_VALUE"""),2324613.9)</f>
        <v>2324613.9</v>
      </c>
      <c r="I756" s="87"/>
    </row>
    <row r="757">
      <c r="A757" s="46" t="str">
        <f>IFERROR(__xludf.DUMMYFUNCTION("""COMPUTED_VALUE"""),"Europe")</f>
        <v>Europe</v>
      </c>
      <c r="B757" s="46" t="str">
        <f>IFERROR(__xludf.DUMMYFUNCTION("""COMPUTED_VALUE"""),"Germany")</f>
        <v>Germany</v>
      </c>
      <c r="C757" s="46" t="str">
        <f>IFERROR(__xludf.DUMMYFUNCTION("""COMPUTED_VALUE"""),"Baby Food")</f>
        <v>Baby Food</v>
      </c>
      <c r="D757" s="46">
        <f>IFERROR(__xludf.DUMMYFUNCTION("""COMPUTED_VALUE"""),47.0)</f>
        <v>47</v>
      </c>
      <c r="E757" s="46">
        <f>IFERROR(__xludf.DUMMYFUNCTION("""COMPUTED_VALUE"""),5.96166074E8)</f>
        <v>596166074</v>
      </c>
      <c r="F757" s="84">
        <f>IFERROR(__xludf.DUMMYFUNCTION("""COMPUTED_VALUE"""),1951360.32)</f>
        <v>1951360.32</v>
      </c>
      <c r="I757" s="87"/>
    </row>
    <row r="758">
      <c r="A758" s="46" t="str">
        <f>IFERROR(__xludf.DUMMYFUNCTION("""COMPUTED_VALUE"""),"Europe")</f>
        <v>Europe</v>
      </c>
      <c r="B758" s="46" t="str">
        <f>IFERROR(__xludf.DUMMYFUNCTION("""COMPUTED_VALUE"""),"Macedonia")</f>
        <v>Macedonia</v>
      </c>
      <c r="C758" s="46" t="str">
        <f>IFERROR(__xludf.DUMMYFUNCTION("""COMPUTED_VALUE"""),"Snacks")</f>
        <v>Snacks</v>
      </c>
      <c r="D758" s="46">
        <f>IFERROR(__xludf.DUMMYFUNCTION("""COMPUTED_VALUE"""),44.0)</f>
        <v>44</v>
      </c>
      <c r="E758" s="46">
        <f>IFERROR(__xludf.DUMMYFUNCTION("""COMPUTED_VALUE"""),5.97105491E8)</f>
        <v>597105491</v>
      </c>
      <c r="F758" s="84">
        <f>IFERROR(__xludf.DUMMYFUNCTION("""COMPUTED_VALUE"""),860398.6200000001)</f>
        <v>860398.62</v>
      </c>
      <c r="I758" s="87"/>
    </row>
    <row r="759">
      <c r="A759" s="46" t="str">
        <f>IFERROR(__xludf.DUMMYFUNCTION("""COMPUTED_VALUE"""),"Europe")</f>
        <v>Europe</v>
      </c>
      <c r="B759" s="46" t="str">
        <f>IFERROR(__xludf.DUMMYFUNCTION("""COMPUTED_VALUE"""),"Denmark")</f>
        <v>Denmark</v>
      </c>
      <c r="C759" s="46" t="str">
        <f>IFERROR(__xludf.DUMMYFUNCTION("""COMPUTED_VALUE"""),"Personal Care")</f>
        <v>Personal Care</v>
      </c>
      <c r="D759" s="46">
        <f>IFERROR(__xludf.DUMMYFUNCTION("""COMPUTED_VALUE"""),38.0)</f>
        <v>38</v>
      </c>
      <c r="E759" s="46">
        <f>IFERROR(__xludf.DUMMYFUNCTION("""COMPUTED_VALUE"""),5.97839343E8)</f>
        <v>597839343</v>
      </c>
      <c r="F759" s="84">
        <f>IFERROR(__xludf.DUMMYFUNCTION("""COMPUTED_VALUE"""),229007.46000000002)</f>
        <v>229007.46</v>
      </c>
      <c r="I759" s="87"/>
    </row>
    <row r="760">
      <c r="A760" s="46" t="str">
        <f>IFERROR(__xludf.DUMMYFUNCTION("""COMPUTED_VALUE"""),"Undefined")</f>
        <v>Undefined</v>
      </c>
      <c r="B760" s="46" t="str">
        <f>IFERROR(__xludf.DUMMYFUNCTION("""COMPUTED_VALUE"""),"Undefined")</f>
        <v>Undefined</v>
      </c>
      <c r="C760" s="46" t="str">
        <f>IFERROR(__xludf.DUMMYFUNCTION("""COMPUTED_VALUE"""),"Fruits")</f>
        <v>Fruits</v>
      </c>
      <c r="D760" s="46">
        <f>IFERROR(__xludf.DUMMYFUNCTION("""COMPUTED_VALUE"""),15.0)</f>
        <v>15</v>
      </c>
      <c r="E760" s="46">
        <f>IFERROR(__xludf.DUMMYFUNCTION("""COMPUTED_VALUE"""),5.98404109E8)</f>
        <v>598404109</v>
      </c>
      <c r="F760" s="84">
        <f>IFERROR(__xludf.DUMMYFUNCTION("""COMPUTED_VALUE"""),92637.57)</f>
        <v>92637.57</v>
      </c>
      <c r="I760" s="87"/>
    </row>
    <row r="761">
      <c r="A761" s="46" t="str">
        <f>IFERROR(__xludf.DUMMYFUNCTION("""COMPUTED_VALUE"""),"Europe")</f>
        <v>Europe</v>
      </c>
      <c r="B761" s="46" t="str">
        <f>IFERROR(__xludf.DUMMYFUNCTION("""COMPUTED_VALUE"""),"Serbia")</f>
        <v>Serbia</v>
      </c>
      <c r="C761" s="46" t="str">
        <f>IFERROR(__xludf.DUMMYFUNCTION("""COMPUTED_VALUE"""),"Beverages")</f>
        <v>Beverages</v>
      </c>
      <c r="D761" s="46">
        <f>IFERROR(__xludf.DUMMYFUNCTION("""COMPUTED_VALUE"""),18.0)</f>
        <v>18</v>
      </c>
      <c r="E761" s="46">
        <f>IFERROR(__xludf.DUMMYFUNCTION("""COMPUTED_VALUE"""),5.99624192E8)</f>
        <v>599624192</v>
      </c>
      <c r="F761" s="84">
        <f>IFERROR(__xludf.DUMMYFUNCTION("""COMPUTED_VALUE"""),46406.100000000006)</f>
        <v>46406.1</v>
      </c>
      <c r="I761" s="87"/>
    </row>
    <row r="762">
      <c r="A762" s="46" t="str">
        <f>IFERROR(__xludf.DUMMYFUNCTION("""COMPUTED_VALUE"""),"Undefined")</f>
        <v>Undefined</v>
      </c>
      <c r="B762" s="46" t="str">
        <f>IFERROR(__xludf.DUMMYFUNCTION("""COMPUTED_VALUE"""),"Undefined")</f>
        <v>Undefined</v>
      </c>
      <c r="C762" s="46" t="str">
        <f>IFERROR(__xludf.DUMMYFUNCTION("""COMPUTED_VALUE"""),"Beverages")</f>
        <v>Beverages</v>
      </c>
      <c r="D762" s="46">
        <f>IFERROR(__xludf.DUMMYFUNCTION("""COMPUTED_VALUE"""),1.0)</f>
        <v>1</v>
      </c>
      <c r="E762" s="46">
        <f>IFERROR(__xludf.DUMMYFUNCTION("""COMPUTED_VALUE"""),5.99997556E8)</f>
        <v>599997556</v>
      </c>
      <c r="F762" s="84">
        <f>IFERROR(__xludf.DUMMYFUNCTION("""COMPUTED_VALUE"""),69514.25)</f>
        <v>69514.25</v>
      </c>
      <c r="I762" s="87"/>
    </row>
    <row r="763">
      <c r="A763" s="46" t="str">
        <f>IFERROR(__xludf.DUMMYFUNCTION("""COMPUTED_VALUE"""),"Asia")</f>
        <v>Asia</v>
      </c>
      <c r="B763" s="46" t="str">
        <f>IFERROR(__xludf.DUMMYFUNCTION("""COMPUTED_VALUE"""),"Cyprus")</f>
        <v>Cyprus</v>
      </c>
      <c r="C763" s="46" t="str">
        <f>IFERROR(__xludf.DUMMYFUNCTION("""COMPUTED_VALUE"""),"Fruits")</f>
        <v>Fruits</v>
      </c>
      <c r="D763" s="46">
        <f>IFERROR(__xludf.DUMMYFUNCTION("""COMPUTED_VALUE"""),49.0)</f>
        <v>49</v>
      </c>
      <c r="E763" s="46">
        <f>IFERROR(__xludf.DUMMYFUNCTION("""COMPUTED_VALUE"""),6.00515115E8)</f>
        <v>600515115</v>
      </c>
      <c r="F763" s="84">
        <f>IFERROR(__xludf.DUMMYFUNCTION("""COMPUTED_VALUE"""),43123.26)</f>
        <v>43123.26</v>
      </c>
      <c r="I763" s="87"/>
    </row>
    <row r="764">
      <c r="A764" s="46" t="str">
        <f>IFERROR(__xludf.DUMMYFUNCTION("""COMPUTED_VALUE"""),"Europe")</f>
        <v>Europe</v>
      </c>
      <c r="B764" s="46" t="str">
        <f>IFERROR(__xludf.DUMMYFUNCTION("""COMPUTED_VALUE"""),"Netherlands")</f>
        <v>Netherlands</v>
      </c>
      <c r="C764" s="46" t="str">
        <f>IFERROR(__xludf.DUMMYFUNCTION("""COMPUTED_VALUE"""),"Beverages")</f>
        <v>Beverages</v>
      </c>
      <c r="D764" s="46">
        <f>IFERROR(__xludf.DUMMYFUNCTION("""COMPUTED_VALUE"""),16.0)</f>
        <v>16</v>
      </c>
      <c r="E764" s="46">
        <f>IFERROR(__xludf.DUMMYFUNCTION("""COMPUTED_VALUE"""),6.01422345E8)</f>
        <v>601422345</v>
      </c>
      <c r="F764" s="84">
        <f>IFERROR(__xludf.DUMMYFUNCTION("""COMPUTED_VALUE"""),146715.40000000002)</f>
        <v>146715.4</v>
      </c>
      <c r="I764" s="87"/>
    </row>
    <row r="765">
      <c r="A765" s="46" t="str">
        <f>IFERROR(__xludf.DUMMYFUNCTION("""COMPUTED_VALUE"""),"Undefined")</f>
        <v>Undefined</v>
      </c>
      <c r="B765" s="46" t="str">
        <f>IFERROR(__xludf.DUMMYFUNCTION("""COMPUTED_VALUE"""),"Undefined")</f>
        <v>Undefined</v>
      </c>
      <c r="C765" s="46" t="str">
        <f>IFERROR(__xludf.DUMMYFUNCTION("""COMPUTED_VALUE"""),"Clothes")</f>
        <v>Clothes</v>
      </c>
      <c r="D765" s="46">
        <f>IFERROR(__xludf.DUMMYFUNCTION("""COMPUTED_VALUE"""),9.0)</f>
        <v>9</v>
      </c>
      <c r="E765" s="46">
        <f>IFERROR(__xludf.DUMMYFUNCTION("""COMPUTED_VALUE"""),6.01588857E8)</f>
        <v>601588857</v>
      </c>
      <c r="F765" s="84">
        <f>IFERROR(__xludf.DUMMYFUNCTION("""COMPUTED_VALUE"""),258556.48)</f>
        <v>258556.48</v>
      </c>
      <c r="I765" s="87"/>
    </row>
    <row r="766">
      <c r="A766" s="46" t="str">
        <f>IFERROR(__xludf.DUMMYFUNCTION("""COMPUTED_VALUE"""),"Europe")</f>
        <v>Europe</v>
      </c>
      <c r="B766" s="46" t="str">
        <f>IFERROR(__xludf.DUMMYFUNCTION("""COMPUTED_VALUE"""),"France")</f>
        <v>France</v>
      </c>
      <c r="C766" s="46" t="str">
        <f>IFERROR(__xludf.DUMMYFUNCTION("""COMPUTED_VALUE"""),"Fruits")</f>
        <v>Fruits</v>
      </c>
      <c r="D766" s="46">
        <f>IFERROR(__xludf.DUMMYFUNCTION("""COMPUTED_VALUE"""),48.0)</f>
        <v>48</v>
      </c>
      <c r="E766" s="46">
        <f>IFERROR(__xludf.DUMMYFUNCTION("""COMPUTED_VALUE"""),6.0188626E8)</f>
        <v>601886260</v>
      </c>
      <c r="F766" s="84">
        <f>IFERROR(__xludf.DUMMYFUNCTION("""COMPUTED_VALUE"""),3489.42)</f>
        <v>3489.42</v>
      </c>
      <c r="I766" s="87"/>
    </row>
    <row r="767">
      <c r="A767" s="46" t="str">
        <f>IFERROR(__xludf.DUMMYFUNCTION("""COMPUTED_VALUE"""),"Europe")</f>
        <v>Europe</v>
      </c>
      <c r="B767" s="46" t="str">
        <f>IFERROR(__xludf.DUMMYFUNCTION("""COMPUTED_VALUE"""),"Slovakia")</f>
        <v>Slovakia</v>
      </c>
      <c r="C767" s="46" t="str">
        <f>IFERROR(__xludf.DUMMYFUNCTION("""COMPUTED_VALUE"""),"Office Supplies")</f>
        <v>Office Supplies</v>
      </c>
      <c r="D767" s="46">
        <f>IFERROR(__xludf.DUMMYFUNCTION("""COMPUTED_VALUE"""),17.0)</f>
        <v>17</v>
      </c>
      <c r="E767" s="46">
        <f>IFERROR(__xludf.DUMMYFUNCTION("""COMPUTED_VALUE"""),6.01894414E8)</f>
        <v>601894414</v>
      </c>
      <c r="F767" s="84">
        <f>IFERROR(__xludf.DUMMYFUNCTION("""COMPUTED_VALUE"""),1814922.27)</f>
        <v>1814922.27</v>
      </c>
      <c r="I767" s="87"/>
    </row>
    <row r="768">
      <c r="A768" s="46" t="str">
        <f>IFERROR(__xludf.DUMMYFUNCTION("""COMPUTED_VALUE"""),"Europe")</f>
        <v>Europe</v>
      </c>
      <c r="B768" s="46" t="str">
        <f>IFERROR(__xludf.DUMMYFUNCTION("""COMPUTED_VALUE"""),"Malta")</f>
        <v>Malta</v>
      </c>
      <c r="C768" s="46" t="str">
        <f>IFERROR(__xludf.DUMMYFUNCTION("""COMPUTED_VALUE"""),"Office Supplies")</f>
        <v>Office Supplies</v>
      </c>
      <c r="D768" s="46">
        <f>IFERROR(__xludf.DUMMYFUNCTION("""COMPUTED_VALUE"""),34.0)</f>
        <v>34</v>
      </c>
      <c r="E768" s="46">
        <f>IFERROR(__xludf.DUMMYFUNCTION("""COMPUTED_VALUE"""),6.02264344E8)</f>
        <v>602264344</v>
      </c>
      <c r="F768" s="84">
        <f>IFERROR(__xludf.DUMMYFUNCTION("""COMPUTED_VALUE"""),1470432.1800000002)</f>
        <v>1470432.18</v>
      </c>
      <c r="I768" s="87"/>
    </row>
    <row r="769">
      <c r="A769" s="46" t="str">
        <f>IFERROR(__xludf.DUMMYFUNCTION("""COMPUTED_VALUE"""),"Europe")</f>
        <v>Europe</v>
      </c>
      <c r="B769" s="46" t="str">
        <f>IFERROR(__xludf.DUMMYFUNCTION("""COMPUTED_VALUE"""),"Italy")</f>
        <v>Italy</v>
      </c>
      <c r="C769" s="46" t="str">
        <f>IFERROR(__xludf.DUMMYFUNCTION("""COMPUTED_VALUE"""),"Clothes")</f>
        <v>Clothes</v>
      </c>
      <c r="D769" s="46">
        <f>IFERROR(__xludf.DUMMYFUNCTION("""COMPUTED_VALUE"""),16.0)</f>
        <v>16</v>
      </c>
      <c r="E769" s="46">
        <f>IFERROR(__xludf.DUMMYFUNCTION("""COMPUTED_VALUE"""),6.02301251E8)</f>
        <v>602301251</v>
      </c>
      <c r="F769" s="84">
        <f>IFERROR(__xludf.DUMMYFUNCTION("""COMPUTED_VALUE"""),347510.4)</f>
        <v>347510.4</v>
      </c>
      <c r="I769" s="87"/>
    </row>
    <row r="770">
      <c r="A770" s="46" t="str">
        <f>IFERROR(__xludf.DUMMYFUNCTION("""COMPUTED_VALUE"""),"Europe")</f>
        <v>Europe</v>
      </c>
      <c r="B770" s="46" t="str">
        <f>IFERROR(__xludf.DUMMYFUNCTION("""COMPUTED_VALUE"""),"Russia")</f>
        <v>Russia</v>
      </c>
      <c r="C770" s="46" t="str">
        <f>IFERROR(__xludf.DUMMYFUNCTION("""COMPUTED_VALUE"""),"Personal Care")</f>
        <v>Personal Care</v>
      </c>
      <c r="D770" s="46">
        <f>IFERROR(__xludf.DUMMYFUNCTION("""COMPUTED_VALUE"""),11.0)</f>
        <v>11</v>
      </c>
      <c r="E770" s="46">
        <f>IFERROR(__xludf.DUMMYFUNCTION("""COMPUTED_VALUE"""),6.02357041E8)</f>
        <v>602357041</v>
      </c>
      <c r="F770" s="84">
        <f>IFERROR(__xludf.DUMMYFUNCTION("""COMPUTED_VALUE"""),791881.9700000001)</f>
        <v>791881.97</v>
      </c>
      <c r="I770" s="87"/>
    </row>
    <row r="771">
      <c r="A771" s="46" t="str">
        <f>IFERROR(__xludf.DUMMYFUNCTION("""COMPUTED_VALUE"""),"Europe")</f>
        <v>Europe</v>
      </c>
      <c r="B771" s="46" t="str">
        <f>IFERROR(__xludf.DUMMYFUNCTION("""COMPUTED_VALUE"""),"Macedonia")</f>
        <v>Macedonia</v>
      </c>
      <c r="C771" s="46" t="str">
        <f>IFERROR(__xludf.DUMMYFUNCTION("""COMPUTED_VALUE"""),"Meat")</f>
        <v>Meat</v>
      </c>
      <c r="D771" s="46">
        <f>IFERROR(__xludf.DUMMYFUNCTION("""COMPUTED_VALUE"""),17.0)</f>
        <v>17</v>
      </c>
      <c r="E771" s="46">
        <f>IFERROR(__xludf.DUMMYFUNCTION("""COMPUTED_VALUE"""),6.04124295E8)</f>
        <v>604124295</v>
      </c>
      <c r="F771" s="84">
        <f>IFERROR(__xludf.DUMMYFUNCTION("""COMPUTED_VALUE"""),1121805.51)</f>
        <v>1121805.51</v>
      </c>
      <c r="I771" s="87"/>
    </row>
    <row r="772">
      <c r="A772" s="46" t="str">
        <f>IFERROR(__xludf.DUMMYFUNCTION("""COMPUTED_VALUE"""),"Asia")</f>
        <v>Asia</v>
      </c>
      <c r="B772" s="46" t="str">
        <f>IFERROR(__xludf.DUMMYFUNCTION("""COMPUTED_VALUE"""),"Georgia")</f>
        <v>Georgia</v>
      </c>
      <c r="C772" s="46" t="str">
        <f>IFERROR(__xludf.DUMMYFUNCTION("""COMPUTED_VALUE"""),"Personal Care")</f>
        <v>Personal Care</v>
      </c>
      <c r="D772" s="46">
        <f>IFERROR(__xludf.DUMMYFUNCTION("""COMPUTED_VALUE"""),34.0)</f>
        <v>34</v>
      </c>
      <c r="E772" s="46">
        <f>IFERROR(__xludf.DUMMYFUNCTION("""COMPUTED_VALUE"""),6.04494225E8)</f>
        <v>604494225</v>
      </c>
      <c r="F772" s="84">
        <f>IFERROR(__xludf.DUMMYFUNCTION("""COMPUTED_VALUE"""),174003.17)</f>
        <v>174003.17</v>
      </c>
      <c r="I772" s="87"/>
    </row>
    <row r="773">
      <c r="A773" s="46" t="str">
        <f>IFERROR(__xludf.DUMMYFUNCTION("""COMPUTED_VALUE"""),"Europe")</f>
        <v>Europe</v>
      </c>
      <c r="B773" s="46" t="str">
        <f>IFERROR(__xludf.DUMMYFUNCTION("""COMPUTED_VALUE"""),"France")</f>
        <v>France</v>
      </c>
      <c r="C773" s="46" t="str">
        <f>IFERROR(__xludf.DUMMYFUNCTION("""COMPUTED_VALUE"""),"Fruits")</f>
        <v>Fruits</v>
      </c>
      <c r="D773" s="46">
        <f>IFERROR(__xludf.DUMMYFUNCTION("""COMPUTED_VALUE"""),6.0)</f>
        <v>6</v>
      </c>
      <c r="E773" s="46">
        <f>IFERROR(__xludf.DUMMYFUNCTION("""COMPUTED_VALUE"""),6.0502938E8)</f>
        <v>605029380</v>
      </c>
      <c r="F773" s="84">
        <f>IFERROR(__xludf.DUMMYFUNCTION("""COMPUTED_VALUE"""),4599.69)</f>
        <v>4599.69</v>
      </c>
      <c r="I773" s="87"/>
    </row>
    <row r="774">
      <c r="A774" s="46" t="str">
        <f>IFERROR(__xludf.DUMMYFUNCTION("""COMPUTED_VALUE"""),"Europe")</f>
        <v>Europe</v>
      </c>
      <c r="B774" s="46" t="str">
        <f>IFERROR(__xludf.DUMMYFUNCTION("""COMPUTED_VALUE"""),"Romania")</f>
        <v>Romania</v>
      </c>
      <c r="C774" s="46" t="str">
        <f>IFERROR(__xludf.DUMMYFUNCTION("""COMPUTED_VALUE"""),"Vegetables")</f>
        <v>Vegetables</v>
      </c>
      <c r="D774" s="46">
        <f>IFERROR(__xludf.DUMMYFUNCTION("""COMPUTED_VALUE"""),12.0)</f>
        <v>12</v>
      </c>
      <c r="E774" s="46">
        <f>IFERROR(__xludf.DUMMYFUNCTION("""COMPUTED_VALUE"""),6.06118571E8)</f>
        <v>606118571</v>
      </c>
      <c r="F774" s="84">
        <f>IFERROR(__xludf.DUMMYFUNCTION("""COMPUTED_VALUE"""),432754.54)</f>
        <v>432754.54</v>
      </c>
      <c r="I774" s="87"/>
    </row>
    <row r="775">
      <c r="A775" s="46" t="str">
        <f>IFERROR(__xludf.DUMMYFUNCTION("""COMPUTED_VALUE"""),"Europe")</f>
        <v>Europe</v>
      </c>
      <c r="B775" s="46" t="str">
        <f>IFERROR(__xludf.DUMMYFUNCTION("""COMPUTED_VALUE"""),"Denmark")</f>
        <v>Denmark</v>
      </c>
      <c r="C775" s="46" t="str">
        <f>IFERROR(__xludf.DUMMYFUNCTION("""COMPUTED_VALUE"""),"Cosmetics")</f>
        <v>Cosmetics</v>
      </c>
      <c r="D775" s="46">
        <f>IFERROR(__xludf.DUMMYFUNCTION("""COMPUTED_VALUE"""),7.0)</f>
        <v>7</v>
      </c>
      <c r="E775" s="46">
        <f>IFERROR(__xludf.DUMMYFUNCTION("""COMPUTED_VALUE"""),6.06224572E8)</f>
        <v>606224572</v>
      </c>
      <c r="F775" s="84">
        <f>IFERROR(__xludf.DUMMYFUNCTION("""COMPUTED_VALUE"""),1826184.4)</f>
        <v>1826184.4</v>
      </c>
      <c r="I775" s="87"/>
    </row>
    <row r="776">
      <c r="A776" s="46" t="str">
        <f>IFERROR(__xludf.DUMMYFUNCTION("""COMPUTED_VALUE"""),"Undefined")</f>
        <v>Undefined</v>
      </c>
      <c r="B776" s="46" t="str">
        <f>IFERROR(__xludf.DUMMYFUNCTION("""COMPUTED_VALUE"""),"Undefined")</f>
        <v>Undefined</v>
      </c>
      <c r="C776" s="46" t="str">
        <f>IFERROR(__xludf.DUMMYFUNCTION("""COMPUTED_VALUE"""),"Beverages")</f>
        <v>Beverages</v>
      </c>
      <c r="D776" s="46">
        <f>IFERROR(__xludf.DUMMYFUNCTION("""COMPUTED_VALUE"""),8.0)</f>
        <v>8</v>
      </c>
      <c r="E776" s="46">
        <f>IFERROR(__xludf.DUMMYFUNCTION("""COMPUTED_VALUE"""),6.07620608E8)</f>
        <v>607620608</v>
      </c>
      <c r="F776" s="84">
        <f>IFERROR(__xludf.DUMMYFUNCTION("""COMPUTED_VALUE"""),346195.2)</f>
        <v>346195.2</v>
      </c>
      <c r="I776" s="87"/>
    </row>
    <row r="777">
      <c r="A777" s="46" t="str">
        <f>IFERROR(__xludf.DUMMYFUNCTION("""COMPUTED_VALUE"""),"Europe")</f>
        <v>Europe</v>
      </c>
      <c r="B777" s="46" t="str">
        <f>IFERROR(__xludf.DUMMYFUNCTION("""COMPUTED_VALUE"""),"Latvia")</f>
        <v>Latvia</v>
      </c>
      <c r="C777" s="46" t="str">
        <f>IFERROR(__xludf.DUMMYFUNCTION("""COMPUTED_VALUE"""),"Household")</f>
        <v>Household</v>
      </c>
      <c r="D777" s="46">
        <f>IFERROR(__xludf.DUMMYFUNCTION("""COMPUTED_VALUE"""),8.0)</f>
        <v>8</v>
      </c>
      <c r="E777" s="46">
        <f>IFERROR(__xludf.DUMMYFUNCTION("""COMPUTED_VALUE"""),6.07756221E8)</f>
        <v>607756221</v>
      </c>
      <c r="F777" s="84">
        <f>IFERROR(__xludf.DUMMYFUNCTION("""COMPUTED_VALUE"""),4962573.02)</f>
        <v>4962573.02</v>
      </c>
      <c r="I777" s="87"/>
    </row>
    <row r="778">
      <c r="A778" s="46" t="str">
        <f>IFERROR(__xludf.DUMMYFUNCTION("""COMPUTED_VALUE"""),"Europe")</f>
        <v>Europe</v>
      </c>
      <c r="B778" s="46" t="str">
        <f>IFERROR(__xludf.DUMMYFUNCTION("""COMPUTED_VALUE"""),"Italy")</f>
        <v>Italy</v>
      </c>
      <c r="C778" s="46" t="str">
        <f>IFERROR(__xludf.DUMMYFUNCTION("""COMPUTED_VALUE"""),"Vegetables")</f>
        <v>Vegetables</v>
      </c>
      <c r="D778" s="46">
        <f>IFERROR(__xludf.DUMMYFUNCTION("""COMPUTED_VALUE"""),1.0)</f>
        <v>1</v>
      </c>
      <c r="E778" s="46">
        <f>IFERROR(__xludf.DUMMYFUNCTION("""COMPUTED_VALUE"""),6.08374631E8)</f>
        <v>608374631</v>
      </c>
      <c r="F778" s="84">
        <f>IFERROR(__xludf.DUMMYFUNCTION("""COMPUTED_VALUE"""),65937.68000000001)</f>
        <v>65937.68</v>
      </c>
      <c r="I778" s="87"/>
    </row>
    <row r="779">
      <c r="A779" s="46" t="str">
        <f>IFERROR(__xludf.DUMMYFUNCTION("""COMPUTED_VALUE"""),"Undefined")</f>
        <v>Undefined</v>
      </c>
      <c r="B779" s="46" t="str">
        <f>IFERROR(__xludf.DUMMYFUNCTION("""COMPUTED_VALUE"""),"Undefined")</f>
        <v>Undefined</v>
      </c>
      <c r="C779" s="46" t="str">
        <f>IFERROR(__xludf.DUMMYFUNCTION("""COMPUTED_VALUE"""),"Baby Food")</f>
        <v>Baby Food</v>
      </c>
      <c r="D779" s="46">
        <f>IFERROR(__xludf.DUMMYFUNCTION("""COMPUTED_VALUE"""),33.0)</f>
        <v>33</v>
      </c>
      <c r="E779" s="46">
        <f>IFERROR(__xludf.DUMMYFUNCTION("""COMPUTED_VALUE"""),6.08451879E8)</f>
        <v>608451879</v>
      </c>
      <c r="F779" s="84">
        <f>IFERROR(__xludf.DUMMYFUNCTION("""COMPUTED_VALUE"""),839105.36)</f>
        <v>839105.36</v>
      </c>
      <c r="I779" s="87"/>
    </row>
    <row r="780">
      <c r="A780" s="46" t="str">
        <f>IFERROR(__xludf.DUMMYFUNCTION("""COMPUTED_VALUE"""),"Europe")</f>
        <v>Europe</v>
      </c>
      <c r="B780" s="46" t="str">
        <f>IFERROR(__xludf.DUMMYFUNCTION("""COMPUTED_VALUE"""),"Belgium")</f>
        <v>Belgium</v>
      </c>
      <c r="C780" s="46" t="str">
        <f>IFERROR(__xludf.DUMMYFUNCTION("""COMPUTED_VALUE"""),"Fruits")</f>
        <v>Fruits</v>
      </c>
      <c r="D780" s="46">
        <f>IFERROR(__xludf.DUMMYFUNCTION("""COMPUTED_VALUE"""),20.0)</f>
        <v>20</v>
      </c>
      <c r="E780" s="46">
        <f>IFERROR(__xludf.DUMMYFUNCTION("""COMPUTED_VALUE"""),6.09939754E8)</f>
        <v>609939754</v>
      </c>
      <c r="F780" s="84">
        <f>IFERROR(__xludf.DUMMYFUNCTION("""COMPUTED_VALUE"""),33420.06)</f>
        <v>33420.06</v>
      </c>
      <c r="I780" s="87"/>
    </row>
    <row r="781">
      <c r="A781" s="46" t="str">
        <f>IFERROR(__xludf.DUMMYFUNCTION("""COMPUTED_VALUE"""),"Europe")</f>
        <v>Europe</v>
      </c>
      <c r="B781" s="46" t="str">
        <f>IFERROR(__xludf.DUMMYFUNCTION("""COMPUTED_VALUE"""),"Russia")</f>
        <v>Russia</v>
      </c>
      <c r="C781" s="46" t="str">
        <f>IFERROR(__xludf.DUMMYFUNCTION("""COMPUTED_VALUE"""),"Meat")</f>
        <v>Meat</v>
      </c>
      <c r="D781" s="46">
        <f>IFERROR(__xludf.DUMMYFUNCTION("""COMPUTED_VALUE"""),42.0)</f>
        <v>42</v>
      </c>
      <c r="E781" s="46">
        <f>IFERROR(__xludf.DUMMYFUNCTION("""COMPUTED_VALUE"""),6.09952628E8)</f>
        <v>609952628</v>
      </c>
      <c r="F781" s="84">
        <f>IFERROR(__xludf.DUMMYFUNCTION("""COMPUTED_VALUE"""),3118610.88)</f>
        <v>3118610.88</v>
      </c>
      <c r="I781" s="87"/>
    </row>
    <row r="782">
      <c r="A782" s="46" t="str">
        <f>IFERROR(__xludf.DUMMYFUNCTION("""COMPUTED_VALUE"""),"Europe")</f>
        <v>Europe</v>
      </c>
      <c r="B782" s="46" t="str">
        <f>IFERROR(__xludf.DUMMYFUNCTION("""COMPUTED_VALUE"""),"Netherlands")</f>
        <v>Netherlands</v>
      </c>
      <c r="C782" s="46" t="str">
        <f>IFERROR(__xludf.DUMMYFUNCTION("""COMPUTED_VALUE"""),"Baby Food")</f>
        <v>Baby Food</v>
      </c>
      <c r="D782" s="46">
        <f>IFERROR(__xludf.DUMMYFUNCTION("""COMPUTED_VALUE"""),36.0)</f>
        <v>36</v>
      </c>
      <c r="E782" s="46">
        <f>IFERROR(__xludf.DUMMYFUNCTION("""COMPUTED_VALUE"""),6.11766231E8)</f>
        <v>611766231</v>
      </c>
      <c r="F782" s="84">
        <f>IFERROR(__xludf.DUMMYFUNCTION("""COMPUTED_VALUE"""),1040776.56)</f>
        <v>1040776.56</v>
      </c>
      <c r="I782" s="87"/>
    </row>
    <row r="783">
      <c r="A783" s="46" t="str">
        <f>IFERROR(__xludf.DUMMYFUNCTION("""COMPUTED_VALUE"""),"Europe")</f>
        <v>Europe</v>
      </c>
      <c r="B783" s="46" t="str">
        <f>IFERROR(__xludf.DUMMYFUNCTION("""COMPUTED_VALUE"""),"Ukraine")</f>
        <v>Ukraine</v>
      </c>
      <c r="C783" s="46" t="str">
        <f>IFERROR(__xludf.DUMMYFUNCTION("""COMPUTED_VALUE"""),"Snacks")</f>
        <v>Snacks</v>
      </c>
      <c r="D783" s="46">
        <f>IFERROR(__xludf.DUMMYFUNCTION("""COMPUTED_VALUE"""),38.0)</f>
        <v>38</v>
      </c>
      <c r="E783" s="46">
        <f>IFERROR(__xludf.DUMMYFUNCTION("""COMPUTED_VALUE"""),6.11791121E8)</f>
        <v>611791121</v>
      </c>
      <c r="F783" s="84">
        <f>IFERROR(__xludf.DUMMYFUNCTION("""COMPUTED_VALUE"""),220172.94000000003)</f>
        <v>220172.94</v>
      </c>
      <c r="I783" s="87"/>
    </row>
    <row r="784">
      <c r="A784" s="46" t="str">
        <f>IFERROR(__xludf.DUMMYFUNCTION("""COMPUTED_VALUE"""),"Europe")</f>
        <v>Europe</v>
      </c>
      <c r="B784" s="46" t="str">
        <f>IFERROR(__xludf.DUMMYFUNCTION("""COMPUTED_VALUE"""),"Belarus")</f>
        <v>Belarus</v>
      </c>
      <c r="C784" s="46" t="str">
        <f>IFERROR(__xludf.DUMMYFUNCTION("""COMPUTED_VALUE"""),"Cosmetics")</f>
        <v>Cosmetics</v>
      </c>
      <c r="D784" s="46">
        <f>IFERROR(__xludf.DUMMYFUNCTION("""COMPUTED_VALUE"""),49.0)</f>
        <v>49</v>
      </c>
      <c r="E784" s="46">
        <f>IFERROR(__xludf.DUMMYFUNCTION("""COMPUTED_VALUE"""),6.13166129E8)</f>
        <v>613166129</v>
      </c>
      <c r="F784" s="84">
        <f>IFERROR(__xludf.DUMMYFUNCTION("""COMPUTED_VALUE"""),3645373.6)</f>
        <v>3645373.6</v>
      </c>
      <c r="I784" s="87"/>
    </row>
    <row r="785">
      <c r="A785" s="46" t="str">
        <f>IFERROR(__xludf.DUMMYFUNCTION("""COMPUTED_VALUE"""),"Europe")</f>
        <v>Europe</v>
      </c>
      <c r="B785" s="46" t="str">
        <f>IFERROR(__xludf.DUMMYFUNCTION("""COMPUTED_VALUE"""),"Belarus")</f>
        <v>Belarus</v>
      </c>
      <c r="C785" s="46" t="str">
        <f>IFERROR(__xludf.DUMMYFUNCTION("""COMPUTED_VALUE"""),"Vegetables")</f>
        <v>Vegetables</v>
      </c>
      <c r="D785" s="46">
        <f>IFERROR(__xludf.DUMMYFUNCTION("""COMPUTED_VALUE"""),4.0)</f>
        <v>4</v>
      </c>
      <c r="E785" s="46">
        <f>IFERROR(__xludf.DUMMYFUNCTION("""COMPUTED_VALUE"""),6.14054477E8)</f>
        <v>614054477</v>
      </c>
      <c r="F785" s="84">
        <f>IFERROR(__xludf.DUMMYFUNCTION("""COMPUTED_VALUE"""),187953.2)</f>
        <v>187953.2</v>
      </c>
      <c r="I785" s="87"/>
    </row>
    <row r="786">
      <c r="A786" s="46" t="str">
        <f>IFERROR(__xludf.DUMMYFUNCTION("""COMPUTED_VALUE"""),"Europe")</f>
        <v>Europe</v>
      </c>
      <c r="B786" s="46" t="str">
        <f>IFERROR(__xludf.DUMMYFUNCTION("""COMPUTED_VALUE"""),"San Marino")</f>
        <v>San Marino</v>
      </c>
      <c r="C786" s="46" t="str">
        <f>IFERROR(__xludf.DUMMYFUNCTION("""COMPUTED_VALUE"""),"Meat")</f>
        <v>Meat</v>
      </c>
      <c r="D786" s="46">
        <f>IFERROR(__xludf.DUMMYFUNCTION("""COMPUTED_VALUE"""),43.0)</f>
        <v>43</v>
      </c>
      <c r="E786" s="46">
        <f>IFERROR(__xludf.DUMMYFUNCTION("""COMPUTED_VALUE"""),6.14321839E8)</f>
        <v>614321839</v>
      </c>
      <c r="F786" s="84">
        <f>IFERROR(__xludf.DUMMYFUNCTION("""COMPUTED_VALUE"""),143020.71)</f>
        <v>143020.71</v>
      </c>
      <c r="I786" s="87"/>
    </row>
    <row r="787">
      <c r="A787" s="46" t="str">
        <f>IFERROR(__xludf.DUMMYFUNCTION("""COMPUTED_VALUE"""),"Europe")</f>
        <v>Europe</v>
      </c>
      <c r="B787" s="46" t="str">
        <f>IFERROR(__xludf.DUMMYFUNCTION("""COMPUTED_VALUE"""),"Montenegro")</f>
        <v>Montenegro</v>
      </c>
      <c r="C787" s="46" t="str">
        <f>IFERROR(__xludf.DUMMYFUNCTION("""COMPUTED_VALUE"""),"Cosmetics")</f>
        <v>Cosmetics</v>
      </c>
      <c r="D787" s="46">
        <f>IFERROR(__xludf.DUMMYFUNCTION("""COMPUTED_VALUE"""),46.0)</f>
        <v>46</v>
      </c>
      <c r="E787" s="46">
        <f>IFERROR(__xludf.DUMMYFUNCTION("""COMPUTED_VALUE"""),6.14597785E8)</f>
        <v>614597785</v>
      </c>
      <c r="F787" s="84">
        <f>IFERROR(__xludf.DUMMYFUNCTION("""COMPUTED_VALUE"""),873088.4)</f>
        <v>873088.4</v>
      </c>
      <c r="I787" s="87"/>
    </row>
    <row r="788">
      <c r="A788" s="46" t="str">
        <f>IFERROR(__xludf.DUMMYFUNCTION("""COMPUTED_VALUE"""),"Europe")</f>
        <v>Europe</v>
      </c>
      <c r="B788" s="46" t="str">
        <f>IFERROR(__xludf.DUMMYFUNCTION("""COMPUTED_VALUE"""),"Portugal")</f>
        <v>Portugal</v>
      </c>
      <c r="C788" s="46" t="str">
        <f>IFERROR(__xludf.DUMMYFUNCTION("""COMPUTED_VALUE"""),"Cereal")</f>
        <v>Cereal</v>
      </c>
      <c r="D788" s="46">
        <f>IFERROR(__xludf.DUMMYFUNCTION("""COMPUTED_VALUE"""),39.0)</f>
        <v>39</v>
      </c>
      <c r="E788" s="46">
        <f>IFERROR(__xludf.DUMMYFUNCTION("""COMPUTED_VALUE"""),6.15080583E8)</f>
        <v>615080583</v>
      </c>
      <c r="F788" s="84">
        <f>IFERROR(__xludf.DUMMYFUNCTION("""COMPUTED_VALUE"""),1001347.6)</f>
        <v>1001347.6</v>
      </c>
      <c r="I788" s="87"/>
    </row>
    <row r="789">
      <c r="A789" s="46" t="str">
        <f>IFERROR(__xludf.DUMMYFUNCTION("""COMPUTED_VALUE"""),"Europe")</f>
        <v>Europe</v>
      </c>
      <c r="B789" s="46" t="str">
        <f>IFERROR(__xludf.DUMMYFUNCTION("""COMPUTED_VALUE"""),"Germany")</f>
        <v>Germany</v>
      </c>
      <c r="C789" s="46" t="str">
        <f>IFERROR(__xludf.DUMMYFUNCTION("""COMPUTED_VALUE"""),"Meat")</f>
        <v>Meat</v>
      </c>
      <c r="D789" s="46">
        <f>IFERROR(__xludf.DUMMYFUNCTION("""COMPUTED_VALUE"""),4.0)</f>
        <v>4</v>
      </c>
      <c r="E789" s="46">
        <f>IFERROR(__xludf.DUMMYFUNCTION("""COMPUTED_VALUE"""),6.15290009E8)</f>
        <v>615290009</v>
      </c>
      <c r="F789" s="84">
        <f>IFERROR(__xludf.DUMMYFUNCTION("""COMPUTED_VALUE"""),2886571.38)</f>
        <v>2886571.38</v>
      </c>
      <c r="I789" s="87"/>
    </row>
    <row r="790">
      <c r="A790" s="46" t="str">
        <f>IFERROR(__xludf.DUMMYFUNCTION("""COMPUTED_VALUE"""),"Undefined")</f>
        <v>Undefined</v>
      </c>
      <c r="B790" s="46" t="str">
        <f>IFERROR(__xludf.DUMMYFUNCTION("""COMPUTED_VALUE"""),"Undefined")</f>
        <v>Undefined</v>
      </c>
      <c r="C790" s="46" t="str">
        <f>IFERROR(__xludf.DUMMYFUNCTION("""COMPUTED_VALUE"""),"Office Supplies")</f>
        <v>Office Supplies</v>
      </c>
      <c r="D790" s="46">
        <f>IFERROR(__xludf.DUMMYFUNCTION("""COMPUTED_VALUE"""),17.0)</f>
        <v>17</v>
      </c>
      <c r="E790" s="46">
        <f>IFERROR(__xludf.DUMMYFUNCTION("""COMPUTED_VALUE"""),6.1677531E8)</f>
        <v>616775310</v>
      </c>
      <c r="F790" s="84">
        <f>IFERROR(__xludf.DUMMYFUNCTION("""COMPUTED_VALUE"""),4151463.75)</f>
        <v>4151463.75</v>
      </c>
      <c r="I790" s="87"/>
    </row>
    <row r="791">
      <c r="A791" s="46" t="str">
        <f>IFERROR(__xludf.DUMMYFUNCTION("""COMPUTED_VALUE"""),"Asia")</f>
        <v>Asia</v>
      </c>
      <c r="B791" s="46" t="str">
        <f>IFERROR(__xludf.DUMMYFUNCTION("""COMPUTED_VALUE"""),"Armenia")</f>
        <v>Armenia</v>
      </c>
      <c r="C791" s="46" t="str">
        <f>IFERROR(__xludf.DUMMYFUNCTION("""COMPUTED_VALUE"""),"Household")</f>
        <v>Household</v>
      </c>
      <c r="D791" s="46">
        <f>IFERROR(__xludf.DUMMYFUNCTION("""COMPUTED_VALUE"""),7.0)</f>
        <v>7</v>
      </c>
      <c r="E791" s="46">
        <f>IFERROR(__xludf.DUMMYFUNCTION("""COMPUTED_VALUE"""),6.21577537E8)</f>
        <v>621577537</v>
      </c>
      <c r="F791" s="84">
        <f>IFERROR(__xludf.DUMMYFUNCTION("""COMPUTED_VALUE"""),4985962.47)</f>
        <v>4985962.47</v>
      </c>
      <c r="I791" s="87"/>
    </row>
    <row r="792">
      <c r="A792" s="46" t="str">
        <f>IFERROR(__xludf.DUMMYFUNCTION("""COMPUTED_VALUE"""),"Europe")</f>
        <v>Europe</v>
      </c>
      <c r="B792" s="46" t="str">
        <f>IFERROR(__xludf.DUMMYFUNCTION("""COMPUTED_VALUE"""),"Slovenia")</f>
        <v>Slovenia</v>
      </c>
      <c r="C792" s="46" t="str">
        <f>IFERROR(__xludf.DUMMYFUNCTION("""COMPUTED_VALUE"""),"Clothes")</f>
        <v>Clothes</v>
      </c>
      <c r="D792" s="46">
        <f>IFERROR(__xludf.DUMMYFUNCTION("""COMPUTED_VALUE"""),2.0)</f>
        <v>2</v>
      </c>
      <c r="E792" s="46">
        <f>IFERROR(__xludf.DUMMYFUNCTION("""COMPUTED_VALUE"""),6.22441852E8)</f>
        <v>622441852</v>
      </c>
      <c r="F792" s="84">
        <f>IFERROR(__xludf.DUMMYFUNCTION("""COMPUTED_VALUE"""),353083.68)</f>
        <v>353083.68</v>
      </c>
      <c r="I792" s="87"/>
    </row>
    <row r="793">
      <c r="A793" s="46" t="str">
        <f>IFERROR(__xludf.DUMMYFUNCTION("""COMPUTED_VALUE"""),"Europe")</f>
        <v>Europe</v>
      </c>
      <c r="B793" s="46" t="str">
        <f>IFERROR(__xludf.DUMMYFUNCTION("""COMPUTED_VALUE"""),"Bosnia and Herzegovina")</f>
        <v>Bosnia and Herzegovina</v>
      </c>
      <c r="C793" s="46" t="str">
        <f>IFERROR(__xludf.DUMMYFUNCTION("""COMPUTED_VALUE"""),"Fruits")</f>
        <v>Fruits</v>
      </c>
      <c r="D793" s="46">
        <f>IFERROR(__xludf.DUMMYFUNCTION("""COMPUTED_VALUE"""),16.0)</f>
        <v>16</v>
      </c>
      <c r="E793" s="46">
        <f>IFERROR(__xludf.DUMMYFUNCTION("""COMPUTED_VALUE"""),6.2382158E8)</f>
        <v>623821580</v>
      </c>
      <c r="F793" s="84">
        <f>IFERROR(__xludf.DUMMYFUNCTION("""COMPUTED_VALUE"""),14209.59)</f>
        <v>14209.59</v>
      </c>
      <c r="I793" s="87"/>
    </row>
    <row r="794">
      <c r="A794" s="46" t="str">
        <f>IFERROR(__xludf.DUMMYFUNCTION("""COMPUTED_VALUE"""),"Europe")</f>
        <v>Europe</v>
      </c>
      <c r="B794" s="46" t="str">
        <f>IFERROR(__xludf.DUMMYFUNCTION("""COMPUTED_VALUE"""),"Ukraine")</f>
        <v>Ukraine</v>
      </c>
      <c r="C794" s="46" t="str">
        <f>IFERROR(__xludf.DUMMYFUNCTION("""COMPUTED_VALUE"""),"Office Supplies")</f>
        <v>Office Supplies</v>
      </c>
      <c r="D794" s="46">
        <f>IFERROR(__xludf.DUMMYFUNCTION("""COMPUTED_VALUE"""),24.0)</f>
        <v>24</v>
      </c>
      <c r="E794" s="46">
        <f>IFERROR(__xludf.DUMMYFUNCTION("""COMPUTED_VALUE"""),6.24348151E8)</f>
        <v>624348151</v>
      </c>
      <c r="F794" s="84">
        <f>IFERROR(__xludf.DUMMYFUNCTION("""COMPUTED_VALUE"""),4784439.87)</f>
        <v>4784439.87</v>
      </c>
      <c r="I794" s="87"/>
    </row>
    <row r="795">
      <c r="A795" s="46" t="str">
        <f>IFERROR(__xludf.DUMMYFUNCTION("""COMPUTED_VALUE"""),"Europe")</f>
        <v>Europe</v>
      </c>
      <c r="B795" s="46" t="str">
        <f>IFERROR(__xludf.DUMMYFUNCTION("""COMPUTED_VALUE"""),"Belarus")</f>
        <v>Belarus</v>
      </c>
      <c r="C795" s="46" t="str">
        <f>IFERROR(__xludf.DUMMYFUNCTION("""COMPUTED_VALUE"""),"Office Supplies")</f>
        <v>Office Supplies</v>
      </c>
      <c r="D795" s="46">
        <f>IFERROR(__xludf.DUMMYFUNCTION("""COMPUTED_VALUE"""),24.0)</f>
        <v>24</v>
      </c>
      <c r="E795" s="46">
        <f>IFERROR(__xludf.DUMMYFUNCTION("""COMPUTED_VALUE"""),6.24398362E8)</f>
        <v>624398362</v>
      </c>
      <c r="F795" s="84">
        <f>IFERROR(__xludf.DUMMYFUNCTION("""COMPUTED_VALUE"""),1436569.26)</f>
        <v>1436569.26</v>
      </c>
      <c r="I795" s="87"/>
    </row>
    <row r="796">
      <c r="A796" s="46" t="str">
        <f>IFERROR(__xludf.DUMMYFUNCTION("""COMPUTED_VALUE"""),"Europe")</f>
        <v>Europe</v>
      </c>
      <c r="B796" s="46" t="str">
        <f>IFERROR(__xludf.DUMMYFUNCTION("""COMPUTED_VALUE"""),"United Kingdom")</f>
        <v>United Kingdom</v>
      </c>
      <c r="C796" s="46" t="str">
        <f>IFERROR(__xludf.DUMMYFUNCTION("""COMPUTED_VALUE"""),"Cosmetics")</f>
        <v>Cosmetics</v>
      </c>
      <c r="D796" s="46">
        <f>IFERROR(__xludf.DUMMYFUNCTION("""COMPUTED_VALUE"""),28.0)</f>
        <v>28</v>
      </c>
      <c r="E796" s="46">
        <f>IFERROR(__xludf.DUMMYFUNCTION("""COMPUTED_VALUE"""),6.24940383E8)</f>
        <v>624940383</v>
      </c>
      <c r="F796" s="84">
        <f>IFERROR(__xludf.DUMMYFUNCTION("""COMPUTED_VALUE"""),1137594.4)</f>
        <v>1137594.4</v>
      </c>
      <c r="I796" s="87"/>
    </row>
    <row r="797">
      <c r="A797" s="46" t="str">
        <f>IFERROR(__xludf.DUMMYFUNCTION("""COMPUTED_VALUE"""),"Europe")</f>
        <v>Europe</v>
      </c>
      <c r="B797" s="46" t="str">
        <f>IFERROR(__xludf.DUMMYFUNCTION("""COMPUTED_VALUE"""),"San Marino")</f>
        <v>San Marino</v>
      </c>
      <c r="C797" s="46" t="str">
        <f>IFERROR(__xludf.DUMMYFUNCTION("""COMPUTED_VALUE"""),"Personal Care")</f>
        <v>Personal Care</v>
      </c>
      <c r="D797" s="46">
        <f>IFERROR(__xludf.DUMMYFUNCTION("""COMPUTED_VALUE"""),2.0)</f>
        <v>2</v>
      </c>
      <c r="E797" s="46">
        <f>IFERROR(__xludf.DUMMYFUNCTION("""COMPUTED_VALUE"""),6.25751483E8)</f>
        <v>625751483</v>
      </c>
      <c r="F797" s="84">
        <f>IFERROR(__xludf.DUMMYFUNCTION("""COMPUTED_VALUE"""),214459.52000000002)</f>
        <v>214459.52</v>
      </c>
      <c r="I797" s="87"/>
    </row>
    <row r="798">
      <c r="A798" s="46" t="str">
        <f>IFERROR(__xludf.DUMMYFUNCTION("""COMPUTED_VALUE"""),"Europe")</f>
        <v>Europe</v>
      </c>
      <c r="B798" s="46" t="str">
        <f>IFERROR(__xludf.DUMMYFUNCTION("""COMPUTED_VALUE"""),"Monaco")</f>
        <v>Monaco</v>
      </c>
      <c r="C798" s="46" t="str">
        <f>IFERROR(__xludf.DUMMYFUNCTION("""COMPUTED_VALUE"""),"Clothes")</f>
        <v>Clothes</v>
      </c>
      <c r="D798" s="46">
        <f>IFERROR(__xludf.DUMMYFUNCTION("""COMPUTED_VALUE"""),9.0)</f>
        <v>9</v>
      </c>
      <c r="E798" s="46">
        <f>IFERROR(__xludf.DUMMYFUNCTION("""COMPUTED_VALUE"""),6.26011979E8)</f>
        <v>626011979</v>
      </c>
      <c r="F798" s="84">
        <f>IFERROR(__xludf.DUMMYFUNCTION("""COMPUTED_VALUE"""),1061218.08)</f>
        <v>1061218.08</v>
      </c>
      <c r="I798" s="87"/>
    </row>
    <row r="799">
      <c r="A799" s="46" t="str">
        <f>IFERROR(__xludf.DUMMYFUNCTION("""COMPUTED_VALUE"""),"Europe")</f>
        <v>Europe</v>
      </c>
      <c r="B799" s="46" t="str">
        <f>IFERROR(__xludf.DUMMYFUNCTION("""COMPUTED_VALUE"""),"Ukraine")</f>
        <v>Ukraine</v>
      </c>
      <c r="C799" s="46" t="str">
        <f>IFERROR(__xludf.DUMMYFUNCTION("""COMPUTED_VALUE"""),"Cereal")</f>
        <v>Cereal</v>
      </c>
      <c r="D799" s="46">
        <f>IFERROR(__xludf.DUMMYFUNCTION("""COMPUTED_VALUE"""),39.0)</f>
        <v>39</v>
      </c>
      <c r="E799" s="46">
        <f>IFERROR(__xludf.DUMMYFUNCTION("""COMPUTED_VALUE"""),6.26109397E8)</f>
        <v>626109397</v>
      </c>
      <c r="F799" s="84">
        <f>IFERROR(__xludf.DUMMYFUNCTION("""COMPUTED_VALUE"""),1756472.2999999998)</f>
        <v>1756472.3</v>
      </c>
      <c r="I799" s="87"/>
    </row>
    <row r="800">
      <c r="A800" s="46" t="str">
        <f>IFERROR(__xludf.DUMMYFUNCTION("""COMPUTED_VALUE"""),"Undefined")</f>
        <v>Undefined</v>
      </c>
      <c r="B800" s="46" t="str">
        <f>IFERROR(__xludf.DUMMYFUNCTION("""COMPUTED_VALUE"""),"Undefined")</f>
        <v>Undefined</v>
      </c>
      <c r="C800" s="46" t="str">
        <f>IFERROR(__xludf.DUMMYFUNCTION("""COMPUTED_VALUE"""),"Personal Care")</f>
        <v>Personal Care</v>
      </c>
      <c r="D800" s="46">
        <f>IFERROR(__xludf.DUMMYFUNCTION("""COMPUTED_VALUE"""),20.0)</f>
        <v>20</v>
      </c>
      <c r="E800" s="46">
        <f>IFERROR(__xludf.DUMMYFUNCTION("""COMPUTED_VALUE"""),6.26322257E8)</f>
        <v>626322257</v>
      </c>
      <c r="F800" s="84">
        <f>IFERROR(__xludf.DUMMYFUNCTION("""COMPUTED_VALUE"""),124965.17000000001)</f>
        <v>124965.17</v>
      </c>
      <c r="I800" s="87"/>
    </row>
    <row r="801">
      <c r="A801" s="46" t="str">
        <f>IFERROR(__xludf.DUMMYFUNCTION("""COMPUTED_VALUE"""),"Europe")</f>
        <v>Europe</v>
      </c>
      <c r="B801" s="46" t="str">
        <f>IFERROR(__xludf.DUMMYFUNCTION("""COMPUTED_VALUE"""),"Portugal")</f>
        <v>Portugal</v>
      </c>
      <c r="C801" s="46" t="str">
        <f>IFERROR(__xludf.DUMMYFUNCTION("""COMPUTED_VALUE"""),"Cosmetics")</f>
        <v>Cosmetics</v>
      </c>
      <c r="D801" s="46">
        <f>IFERROR(__xludf.DUMMYFUNCTION("""COMPUTED_VALUE"""),17.0)</f>
        <v>17</v>
      </c>
      <c r="E801" s="46">
        <f>IFERROR(__xludf.DUMMYFUNCTION("""COMPUTED_VALUE"""),6.26453149E8)</f>
        <v>626453149</v>
      </c>
      <c r="F801" s="84">
        <f>IFERROR(__xludf.DUMMYFUNCTION("""COMPUTED_VALUE"""),114983.59999999999)</f>
        <v>114983.6</v>
      </c>
      <c r="I801" s="87"/>
    </row>
    <row r="802">
      <c r="A802" s="46" t="str">
        <f>IFERROR(__xludf.DUMMYFUNCTION("""COMPUTED_VALUE"""),"Europe")</f>
        <v>Europe</v>
      </c>
      <c r="B802" s="46" t="str">
        <f>IFERROR(__xludf.DUMMYFUNCTION("""COMPUTED_VALUE"""),"Romania")</f>
        <v>Romania</v>
      </c>
      <c r="C802" s="46" t="str">
        <f>IFERROR(__xludf.DUMMYFUNCTION("""COMPUTED_VALUE"""),"Meat")</f>
        <v>Meat</v>
      </c>
      <c r="D802" s="46">
        <f>IFERROR(__xludf.DUMMYFUNCTION("""COMPUTED_VALUE"""),35.0)</f>
        <v>35</v>
      </c>
      <c r="E802" s="46">
        <f>IFERROR(__xludf.DUMMYFUNCTION("""COMPUTED_VALUE"""),6.27003753E8)</f>
        <v>627003753</v>
      </c>
      <c r="F802" s="84">
        <f>IFERROR(__xludf.DUMMYFUNCTION("""COMPUTED_VALUE"""),1349626.1099999999)</f>
        <v>1349626.11</v>
      </c>
      <c r="I802" s="87"/>
    </row>
    <row r="803">
      <c r="A803" s="46" t="str">
        <f>IFERROR(__xludf.DUMMYFUNCTION("""COMPUTED_VALUE"""),"Asia")</f>
        <v>Asia</v>
      </c>
      <c r="B803" s="46" t="str">
        <f>IFERROR(__xludf.DUMMYFUNCTION("""COMPUTED_VALUE"""),"Cyprus")</f>
        <v>Cyprus</v>
      </c>
      <c r="C803" s="46" t="str">
        <f>IFERROR(__xludf.DUMMYFUNCTION("""COMPUTED_VALUE"""),"Personal Care")</f>
        <v>Personal Care</v>
      </c>
      <c r="D803" s="46">
        <f>IFERROR(__xludf.DUMMYFUNCTION("""COMPUTED_VALUE"""),21.0)</f>
        <v>21</v>
      </c>
      <c r="E803" s="46">
        <f>IFERROR(__xludf.DUMMYFUNCTION("""COMPUTED_VALUE"""),6.27432048E8)</f>
        <v>627432048</v>
      </c>
      <c r="F803" s="84">
        <f>IFERROR(__xludf.DUMMYFUNCTION("""COMPUTED_VALUE"""),812477.93)</f>
        <v>812477.93</v>
      </c>
      <c r="I803" s="87"/>
    </row>
    <row r="804">
      <c r="A804" s="46" t="str">
        <f>IFERROR(__xludf.DUMMYFUNCTION("""COMPUTED_VALUE"""),"Europe")</f>
        <v>Europe</v>
      </c>
      <c r="B804" s="46" t="str">
        <f>IFERROR(__xludf.DUMMYFUNCTION("""COMPUTED_VALUE"""),"Estonia")</f>
        <v>Estonia</v>
      </c>
      <c r="C804" s="46" t="str">
        <f>IFERROR(__xludf.DUMMYFUNCTION("""COMPUTED_VALUE"""),"Office Supplies")</f>
        <v>Office Supplies</v>
      </c>
      <c r="D804" s="46">
        <f>IFERROR(__xludf.DUMMYFUNCTION("""COMPUTED_VALUE"""),17.0)</f>
        <v>17</v>
      </c>
      <c r="E804" s="46">
        <f>IFERROR(__xludf.DUMMYFUNCTION("""COMPUTED_VALUE"""),6.28055179E8)</f>
        <v>628055179</v>
      </c>
      <c r="F804" s="84">
        <f>IFERROR(__xludf.DUMMYFUNCTION("""COMPUTED_VALUE"""),2825600.19)</f>
        <v>2825600.19</v>
      </c>
      <c r="I804" s="87"/>
    </row>
    <row r="805">
      <c r="A805" s="46" t="str">
        <f>IFERROR(__xludf.DUMMYFUNCTION("""COMPUTED_VALUE"""),"Europe")</f>
        <v>Europe</v>
      </c>
      <c r="B805" s="46" t="str">
        <f>IFERROR(__xludf.DUMMYFUNCTION("""COMPUTED_VALUE"""),"Slovakia")</f>
        <v>Slovakia</v>
      </c>
      <c r="C805" s="46" t="str">
        <f>IFERROR(__xludf.DUMMYFUNCTION("""COMPUTED_VALUE"""),"Vegetables")</f>
        <v>Vegetables</v>
      </c>
      <c r="D805" s="46">
        <f>IFERROR(__xludf.DUMMYFUNCTION("""COMPUTED_VALUE"""),38.0)</f>
        <v>38</v>
      </c>
      <c r="E805" s="46">
        <f>IFERROR(__xludf.DUMMYFUNCTION("""COMPUTED_VALUE"""),6.28515231E8)</f>
        <v>628515231</v>
      </c>
      <c r="F805" s="84">
        <f>IFERROR(__xludf.DUMMYFUNCTION("""COMPUTED_VALUE"""),73794.74)</f>
        <v>73794.74</v>
      </c>
      <c r="I805" s="87"/>
    </row>
    <row r="806">
      <c r="A806" s="46" t="str">
        <f>IFERROR(__xludf.DUMMYFUNCTION("""COMPUTED_VALUE"""),"Europe")</f>
        <v>Europe</v>
      </c>
      <c r="B806" s="46" t="str">
        <f>IFERROR(__xludf.DUMMYFUNCTION("""COMPUTED_VALUE"""),"Hungary")</f>
        <v>Hungary</v>
      </c>
      <c r="C806" s="46" t="str">
        <f>IFERROR(__xludf.DUMMYFUNCTION("""COMPUTED_VALUE"""),"Fruits")</f>
        <v>Fruits</v>
      </c>
      <c r="D806" s="46">
        <f>IFERROR(__xludf.DUMMYFUNCTION("""COMPUTED_VALUE"""),43.0)</f>
        <v>43</v>
      </c>
      <c r="E806" s="46">
        <f>IFERROR(__xludf.DUMMYFUNCTION("""COMPUTED_VALUE"""),6.28595054E8)</f>
        <v>628595054</v>
      </c>
      <c r="F806" s="84">
        <f>IFERROR(__xludf.DUMMYFUNCTION("""COMPUTED_VALUE"""),38253.0)</f>
        <v>38253</v>
      </c>
      <c r="I806" s="87"/>
    </row>
    <row r="807">
      <c r="A807" s="46" t="str">
        <f>IFERROR(__xludf.DUMMYFUNCTION("""COMPUTED_VALUE"""),"Europe")</f>
        <v>Europe</v>
      </c>
      <c r="B807" s="46" t="str">
        <f>IFERROR(__xludf.DUMMYFUNCTION("""COMPUTED_VALUE"""),"Ireland")</f>
        <v>Ireland</v>
      </c>
      <c r="C807" s="46" t="str">
        <f>IFERROR(__xludf.DUMMYFUNCTION("""COMPUTED_VALUE"""),"Baby Food")</f>
        <v>Baby Food</v>
      </c>
      <c r="D807" s="46">
        <f>IFERROR(__xludf.DUMMYFUNCTION("""COMPUTED_VALUE"""),10.0)</f>
        <v>10</v>
      </c>
      <c r="E807" s="46">
        <f>IFERROR(__xludf.DUMMYFUNCTION("""COMPUTED_VALUE"""),6.2930144E8)</f>
        <v>629301440</v>
      </c>
      <c r="F807" s="84">
        <f>IFERROR(__xludf.DUMMYFUNCTION("""COMPUTED_VALUE"""),800302.8)</f>
        <v>800302.8</v>
      </c>
      <c r="I807" s="87"/>
    </row>
    <row r="808">
      <c r="A808" s="46" t="str">
        <f>IFERROR(__xludf.DUMMYFUNCTION("""COMPUTED_VALUE"""),"Europe")</f>
        <v>Europe</v>
      </c>
      <c r="B808" s="46" t="str">
        <f>IFERROR(__xludf.DUMMYFUNCTION("""COMPUTED_VALUE"""),"Serbia")</f>
        <v>Serbia</v>
      </c>
      <c r="C808" s="46" t="str">
        <f>IFERROR(__xludf.DUMMYFUNCTION("""COMPUTED_VALUE"""),"Baby Food")</f>
        <v>Baby Food</v>
      </c>
      <c r="D808" s="46">
        <f>IFERROR(__xludf.DUMMYFUNCTION("""COMPUTED_VALUE"""),21.0)</f>
        <v>21</v>
      </c>
      <c r="E808" s="46">
        <f>IFERROR(__xludf.DUMMYFUNCTION("""COMPUTED_VALUE"""),6.30219399E8)</f>
        <v>630219399</v>
      </c>
      <c r="F808" s="84">
        <f>IFERROR(__xludf.DUMMYFUNCTION("""COMPUTED_VALUE"""),1220238.4)</f>
        <v>1220238.4</v>
      </c>
      <c r="I808" s="87"/>
    </row>
    <row r="809">
      <c r="A809" s="46" t="str">
        <f>IFERROR(__xludf.DUMMYFUNCTION("""COMPUTED_VALUE"""),"Europe")</f>
        <v>Europe</v>
      </c>
      <c r="B809" s="46" t="str">
        <f>IFERROR(__xludf.DUMMYFUNCTION("""COMPUTED_VALUE"""),"Montenegro")</f>
        <v>Montenegro</v>
      </c>
      <c r="C809" s="46" t="str">
        <f>IFERROR(__xludf.DUMMYFUNCTION("""COMPUTED_VALUE"""),"Baby Food")</f>
        <v>Baby Food</v>
      </c>
      <c r="D809" s="46">
        <f>IFERROR(__xludf.DUMMYFUNCTION("""COMPUTED_VALUE"""),29.0)</f>
        <v>29</v>
      </c>
      <c r="E809" s="46">
        <f>IFERROR(__xludf.DUMMYFUNCTION("""COMPUTED_VALUE"""),6.30931794E8)</f>
        <v>630931794</v>
      </c>
      <c r="F809" s="84">
        <f>IFERROR(__xludf.DUMMYFUNCTION("""COMPUTED_VALUE"""),1427781.04)</f>
        <v>1427781.04</v>
      </c>
      <c r="I809" s="87"/>
    </row>
    <row r="810">
      <c r="A810" s="46" t="str">
        <f>IFERROR(__xludf.DUMMYFUNCTION("""COMPUTED_VALUE"""),"Asia")</f>
        <v>Asia</v>
      </c>
      <c r="B810" s="46" t="str">
        <f>IFERROR(__xludf.DUMMYFUNCTION("""COMPUTED_VALUE"""),"Georgia")</f>
        <v>Georgia</v>
      </c>
      <c r="C810" s="46" t="str">
        <f>IFERROR(__xludf.DUMMYFUNCTION("""COMPUTED_VALUE"""),"Meat")</f>
        <v>Meat</v>
      </c>
      <c r="D810" s="46">
        <f>IFERROR(__xludf.DUMMYFUNCTION("""COMPUTED_VALUE"""),36.0)</f>
        <v>36</v>
      </c>
      <c r="E810" s="46">
        <f>IFERROR(__xludf.DUMMYFUNCTION("""COMPUTED_VALUE"""),6.3117212E8)</f>
        <v>631172120</v>
      </c>
      <c r="F810" s="84">
        <f>IFERROR(__xludf.DUMMYFUNCTION("""COMPUTED_VALUE"""),2831303.79)</f>
        <v>2831303.79</v>
      </c>
      <c r="I810" s="87"/>
    </row>
    <row r="811">
      <c r="A811" s="46" t="str">
        <f>IFERROR(__xludf.DUMMYFUNCTION("""COMPUTED_VALUE"""),"Europe")</f>
        <v>Europe</v>
      </c>
      <c r="B811" s="46" t="str">
        <f>IFERROR(__xludf.DUMMYFUNCTION("""COMPUTED_VALUE"""),"Slovenia")</f>
        <v>Slovenia</v>
      </c>
      <c r="C811" s="46" t="str">
        <f>IFERROR(__xludf.DUMMYFUNCTION("""COMPUTED_VALUE"""),"Meat")</f>
        <v>Meat</v>
      </c>
      <c r="D811" s="46">
        <f>IFERROR(__xludf.DUMMYFUNCTION("""COMPUTED_VALUE"""),10.0)</f>
        <v>10</v>
      </c>
      <c r="E811" s="46">
        <f>IFERROR(__xludf.DUMMYFUNCTION("""COMPUTED_VALUE"""),6.3146094E8)</f>
        <v>631460940</v>
      </c>
      <c r="F811" s="84">
        <f>IFERROR(__xludf.DUMMYFUNCTION("""COMPUTED_VALUE"""),919720.2)</f>
        <v>919720.2</v>
      </c>
      <c r="I811" s="87"/>
    </row>
    <row r="812">
      <c r="A812" s="46" t="str">
        <f>IFERROR(__xludf.DUMMYFUNCTION("""COMPUTED_VALUE"""),"Europe")</f>
        <v>Europe</v>
      </c>
      <c r="B812" s="46" t="str">
        <f>IFERROR(__xludf.DUMMYFUNCTION("""COMPUTED_VALUE"""),"Czech Republic")</f>
        <v>Czech Republic</v>
      </c>
      <c r="C812" s="46" t="str">
        <f>IFERROR(__xludf.DUMMYFUNCTION("""COMPUTED_VALUE"""),"Clothes")</f>
        <v>Clothes</v>
      </c>
      <c r="D812" s="46">
        <f>IFERROR(__xludf.DUMMYFUNCTION("""COMPUTED_VALUE"""),35.0)</f>
        <v>35</v>
      </c>
      <c r="E812" s="46">
        <f>IFERROR(__xludf.DUMMYFUNCTION("""COMPUTED_VALUE"""),6.31463515E8)</f>
        <v>631463515</v>
      </c>
      <c r="F812" s="84">
        <f>IFERROR(__xludf.DUMMYFUNCTION("""COMPUTED_VALUE"""),321501.76)</f>
        <v>321501.76</v>
      </c>
      <c r="I812" s="87"/>
    </row>
    <row r="813">
      <c r="A813" s="46" t="str">
        <f>IFERROR(__xludf.DUMMYFUNCTION("""COMPUTED_VALUE"""),"Europe")</f>
        <v>Europe</v>
      </c>
      <c r="B813" s="46" t="str">
        <f>IFERROR(__xludf.DUMMYFUNCTION("""COMPUTED_VALUE"""),"France")</f>
        <v>France</v>
      </c>
      <c r="C813" s="46" t="str">
        <f>IFERROR(__xludf.DUMMYFUNCTION("""COMPUTED_VALUE"""),"Meat")</f>
        <v>Meat</v>
      </c>
      <c r="D813" s="46">
        <f>IFERROR(__xludf.DUMMYFUNCTION("""COMPUTED_VALUE"""),25.0)</f>
        <v>25</v>
      </c>
      <c r="E813" s="46">
        <f>IFERROR(__xludf.DUMMYFUNCTION("""COMPUTED_VALUE"""),6.33312737E8)</f>
        <v>633312737</v>
      </c>
      <c r="F813" s="84">
        <f>IFERROR(__xludf.DUMMYFUNCTION("""COMPUTED_VALUE"""),70455.63)</f>
        <v>70455.63</v>
      </c>
      <c r="I813" s="87"/>
    </row>
    <row r="814">
      <c r="A814" s="46" t="str">
        <f>IFERROR(__xludf.DUMMYFUNCTION("""COMPUTED_VALUE"""),"Europe")</f>
        <v>Europe</v>
      </c>
      <c r="B814" s="46" t="str">
        <f>IFERROR(__xludf.DUMMYFUNCTION("""COMPUTED_VALUE"""),"France")</f>
        <v>France</v>
      </c>
      <c r="C814" s="46" t="str">
        <f>IFERROR(__xludf.DUMMYFUNCTION("""COMPUTED_VALUE"""),"Clothes")</f>
        <v>Clothes</v>
      </c>
      <c r="D814" s="46">
        <f>IFERROR(__xludf.DUMMYFUNCTION("""COMPUTED_VALUE"""),11.0)</f>
        <v>11</v>
      </c>
      <c r="E814" s="46">
        <f>IFERROR(__xludf.DUMMYFUNCTION("""COMPUTED_VALUE"""),6.33806264E8)</f>
        <v>633806264</v>
      </c>
      <c r="F814" s="84">
        <f>IFERROR(__xludf.DUMMYFUNCTION("""COMPUTED_VALUE"""),678956.64)</f>
        <v>678956.64</v>
      </c>
      <c r="I814" s="87"/>
    </row>
    <row r="815">
      <c r="A815" s="46" t="str">
        <f>IFERROR(__xludf.DUMMYFUNCTION("""COMPUTED_VALUE"""),"Europe")</f>
        <v>Europe</v>
      </c>
      <c r="B815" s="46" t="str">
        <f>IFERROR(__xludf.DUMMYFUNCTION("""COMPUTED_VALUE"""),"Hungary")</f>
        <v>Hungary</v>
      </c>
      <c r="C815" s="46" t="str">
        <f>IFERROR(__xludf.DUMMYFUNCTION("""COMPUTED_VALUE"""),"Fruits")</f>
        <v>Fruits</v>
      </c>
      <c r="D815" s="46">
        <f>IFERROR(__xludf.DUMMYFUNCTION("""COMPUTED_VALUE"""),2.0)</f>
        <v>2</v>
      </c>
      <c r="E815" s="46">
        <f>IFERROR(__xludf.DUMMYFUNCTION("""COMPUTED_VALUE"""),6.33992946E8)</f>
        <v>633992946</v>
      </c>
      <c r="F815" s="84">
        <f>IFERROR(__xludf.DUMMYFUNCTION("""COMPUTED_VALUE"""),13584.48)</f>
        <v>13584.48</v>
      </c>
      <c r="I815" s="87"/>
    </row>
    <row r="816">
      <c r="A816" s="46" t="str">
        <f>IFERROR(__xludf.DUMMYFUNCTION("""COMPUTED_VALUE"""),"Europe")</f>
        <v>Europe</v>
      </c>
      <c r="B816" s="46" t="str">
        <f>IFERROR(__xludf.DUMMYFUNCTION("""COMPUTED_VALUE"""),"Norway")</f>
        <v>Norway</v>
      </c>
      <c r="C816" s="46" t="str">
        <f>IFERROR(__xludf.DUMMYFUNCTION("""COMPUTED_VALUE"""),"Personal Care")</f>
        <v>Personal Care</v>
      </c>
      <c r="D816" s="46">
        <f>IFERROR(__xludf.DUMMYFUNCTION("""COMPUTED_VALUE"""),1.0)</f>
        <v>1</v>
      </c>
      <c r="E816" s="46">
        <f>IFERROR(__xludf.DUMMYFUNCTION("""COMPUTED_VALUE"""),6.34033286E8)</f>
        <v>634033286</v>
      </c>
      <c r="F816" s="84">
        <f>IFERROR(__xludf.DUMMYFUNCTION("""COMPUTED_VALUE"""),277391.62)</f>
        <v>277391.62</v>
      </c>
      <c r="I816" s="87"/>
    </row>
    <row r="817">
      <c r="A817" s="46" t="str">
        <f>IFERROR(__xludf.DUMMYFUNCTION("""COMPUTED_VALUE"""),"Europe")</f>
        <v>Europe</v>
      </c>
      <c r="B817" s="46" t="str">
        <f>IFERROR(__xludf.DUMMYFUNCTION("""COMPUTED_VALUE"""),"Italy")</f>
        <v>Italy</v>
      </c>
      <c r="C817" s="46" t="str">
        <f>IFERROR(__xludf.DUMMYFUNCTION("""COMPUTED_VALUE"""),"Fruits")</f>
        <v>Fruits</v>
      </c>
      <c r="D817" s="46">
        <f>IFERROR(__xludf.DUMMYFUNCTION("""COMPUTED_VALUE"""),48.0)</f>
        <v>48</v>
      </c>
      <c r="E817" s="46">
        <f>IFERROR(__xludf.DUMMYFUNCTION("""COMPUTED_VALUE"""),6.36278617E8)</f>
        <v>636278617</v>
      </c>
      <c r="F817" s="84">
        <f>IFERROR(__xludf.DUMMYFUNCTION("""COMPUTED_VALUE"""),73119.21)</f>
        <v>73119.21</v>
      </c>
      <c r="I817" s="87"/>
    </row>
    <row r="818">
      <c r="A818" s="46" t="str">
        <f>IFERROR(__xludf.DUMMYFUNCTION("""COMPUTED_VALUE"""),"Europe")</f>
        <v>Europe</v>
      </c>
      <c r="B818" s="46" t="str">
        <f>IFERROR(__xludf.DUMMYFUNCTION("""COMPUTED_VALUE"""),"Portugal")</f>
        <v>Portugal</v>
      </c>
      <c r="C818" s="46" t="str">
        <f>IFERROR(__xludf.DUMMYFUNCTION("""COMPUTED_VALUE"""),"Cereal")</f>
        <v>Cereal</v>
      </c>
      <c r="D818" s="46">
        <f>IFERROR(__xludf.DUMMYFUNCTION("""COMPUTED_VALUE"""),31.0)</f>
        <v>31</v>
      </c>
      <c r="E818" s="46">
        <f>IFERROR(__xludf.DUMMYFUNCTION("""COMPUTED_VALUE"""),6.36360585E8)</f>
        <v>636360585</v>
      </c>
      <c r="F818" s="84">
        <f>IFERROR(__xludf.DUMMYFUNCTION("""COMPUTED_VALUE"""),430530.1)</f>
        <v>430530.1</v>
      </c>
      <c r="I818" s="87"/>
    </row>
    <row r="819">
      <c r="A819" s="46" t="str">
        <f>IFERROR(__xludf.DUMMYFUNCTION("""COMPUTED_VALUE"""),"Asia")</f>
        <v>Asia</v>
      </c>
      <c r="B819" s="46" t="str">
        <f>IFERROR(__xludf.DUMMYFUNCTION("""COMPUTED_VALUE"""),"Georgia")</f>
        <v>Georgia</v>
      </c>
      <c r="C819" s="46" t="str">
        <f>IFERROR(__xludf.DUMMYFUNCTION("""COMPUTED_VALUE"""),"Vegetables")</f>
        <v>Vegetables</v>
      </c>
      <c r="D819" s="46">
        <f>IFERROR(__xludf.DUMMYFUNCTION("""COMPUTED_VALUE"""),34.0)</f>
        <v>34</v>
      </c>
      <c r="E819" s="46">
        <f>IFERROR(__xludf.DUMMYFUNCTION("""COMPUTED_VALUE"""),6.36907756E8)</f>
        <v>636907756</v>
      </c>
      <c r="F819" s="84">
        <f>IFERROR(__xludf.DUMMYFUNCTION("""COMPUTED_VALUE"""),618242.78)</f>
        <v>618242.78</v>
      </c>
      <c r="I819" s="87"/>
    </row>
    <row r="820">
      <c r="A820" s="46" t="str">
        <f>IFERROR(__xludf.DUMMYFUNCTION("""COMPUTED_VALUE"""),"Europe")</f>
        <v>Europe</v>
      </c>
      <c r="B820" s="46" t="str">
        <f>IFERROR(__xludf.DUMMYFUNCTION("""COMPUTED_VALUE"""),"Slovakia")</f>
        <v>Slovakia</v>
      </c>
      <c r="C820" s="46" t="str">
        <f>IFERROR(__xludf.DUMMYFUNCTION("""COMPUTED_VALUE"""),"Snacks")</f>
        <v>Snacks</v>
      </c>
      <c r="D820" s="46">
        <f>IFERROR(__xludf.DUMMYFUNCTION("""COMPUTED_VALUE"""),9.0)</f>
        <v>9</v>
      </c>
      <c r="E820" s="46">
        <f>IFERROR(__xludf.DUMMYFUNCTION("""COMPUTED_VALUE"""),6.37040793E8)</f>
        <v>637040793</v>
      </c>
      <c r="F820" s="84">
        <f>IFERROR(__xludf.DUMMYFUNCTION("""COMPUTED_VALUE"""),516025.56000000006)</f>
        <v>516025.56</v>
      </c>
      <c r="I820" s="87"/>
    </row>
    <row r="821">
      <c r="A821" s="46" t="str">
        <f>IFERROR(__xludf.DUMMYFUNCTION("""COMPUTED_VALUE"""),"Europe")</f>
        <v>Europe</v>
      </c>
      <c r="B821" s="46" t="str">
        <f>IFERROR(__xludf.DUMMYFUNCTION("""COMPUTED_VALUE"""),"France")</f>
        <v>France</v>
      </c>
      <c r="C821" s="46" t="str">
        <f>IFERROR(__xludf.DUMMYFUNCTION("""COMPUTED_VALUE"""),"Cosmetics")</f>
        <v>Cosmetics</v>
      </c>
      <c r="D821" s="46">
        <f>IFERROR(__xludf.DUMMYFUNCTION("""COMPUTED_VALUE"""),40.0)</f>
        <v>40</v>
      </c>
      <c r="E821" s="46">
        <f>IFERROR(__xludf.DUMMYFUNCTION("""COMPUTED_VALUE"""),6.37188422E8)</f>
        <v>637188422</v>
      </c>
      <c r="F821" s="84">
        <f>IFERROR(__xludf.DUMMYFUNCTION("""COMPUTED_VALUE"""),3090566.8)</f>
        <v>3090566.8</v>
      </c>
      <c r="I821" s="87"/>
    </row>
    <row r="822">
      <c r="A822" s="46" t="str">
        <f>IFERROR(__xludf.DUMMYFUNCTION("""COMPUTED_VALUE"""),"Europe")</f>
        <v>Europe</v>
      </c>
      <c r="B822" s="46" t="str">
        <f>IFERROR(__xludf.DUMMYFUNCTION("""COMPUTED_VALUE"""),"Bosnia and Herzegovina")</f>
        <v>Bosnia and Herzegovina</v>
      </c>
      <c r="C822" s="46" t="str">
        <f>IFERROR(__xludf.DUMMYFUNCTION("""COMPUTED_VALUE"""),"Baby Food")</f>
        <v>Baby Food</v>
      </c>
      <c r="D822" s="46">
        <f>IFERROR(__xludf.DUMMYFUNCTION("""COMPUTED_VALUE"""),50.0)</f>
        <v>50</v>
      </c>
      <c r="E822" s="46">
        <f>IFERROR(__xludf.DUMMYFUNCTION("""COMPUTED_VALUE"""),6.3804115E8)</f>
        <v>638041150</v>
      </c>
      <c r="F822" s="84">
        <f>IFERROR(__xludf.DUMMYFUNCTION("""COMPUTED_VALUE"""),2402184.8)</f>
        <v>2402184.8</v>
      </c>
      <c r="I822" s="87"/>
    </row>
    <row r="823">
      <c r="A823" s="46" t="str">
        <f>IFERROR(__xludf.DUMMYFUNCTION("""COMPUTED_VALUE"""),"Undefined")</f>
        <v>Undefined</v>
      </c>
      <c r="B823" s="46" t="str">
        <f>IFERROR(__xludf.DUMMYFUNCTION("""COMPUTED_VALUE"""),"Undefined")</f>
        <v>Undefined</v>
      </c>
      <c r="C823" s="46" t="str">
        <f>IFERROR(__xludf.DUMMYFUNCTION("""COMPUTED_VALUE"""),"Meat")</f>
        <v>Meat</v>
      </c>
      <c r="D823" s="46">
        <f>IFERROR(__xludf.DUMMYFUNCTION("""COMPUTED_VALUE"""),28.0)</f>
        <v>28</v>
      </c>
      <c r="E823" s="46">
        <f>IFERROR(__xludf.DUMMYFUNCTION("""COMPUTED_VALUE"""),6.38314521E8)</f>
        <v>638314521</v>
      </c>
      <c r="F823" s="84">
        <f>IFERROR(__xludf.DUMMYFUNCTION("""COMPUTED_VALUE"""),129098.34)</f>
        <v>129098.34</v>
      </c>
      <c r="I823" s="87"/>
    </row>
    <row r="824">
      <c r="A824" s="46" t="str">
        <f>IFERROR(__xludf.DUMMYFUNCTION("""COMPUTED_VALUE"""),"Europe")</f>
        <v>Europe</v>
      </c>
      <c r="B824" s="46" t="str">
        <f>IFERROR(__xludf.DUMMYFUNCTION("""COMPUTED_VALUE"""),"Sweden")</f>
        <v>Sweden</v>
      </c>
      <c r="C824" s="46" t="str">
        <f>IFERROR(__xludf.DUMMYFUNCTION("""COMPUTED_VALUE"""),"Cosmetics")</f>
        <v>Cosmetics</v>
      </c>
      <c r="D824" s="46">
        <f>IFERROR(__xludf.DUMMYFUNCTION("""COMPUTED_VALUE"""),47.0)</f>
        <v>47</v>
      </c>
      <c r="E824" s="46">
        <f>IFERROR(__xludf.DUMMYFUNCTION("""COMPUTED_VALUE"""),6.385939E8)</f>
        <v>638593900</v>
      </c>
      <c r="F824" s="84">
        <f>IFERROR(__xludf.DUMMYFUNCTION("""COMPUTED_VALUE"""),1303293.2)</f>
        <v>1303293.2</v>
      </c>
      <c r="I824" s="87"/>
    </row>
    <row r="825">
      <c r="A825" s="46" t="str">
        <f>IFERROR(__xludf.DUMMYFUNCTION("""COMPUTED_VALUE"""),"Europe")</f>
        <v>Europe</v>
      </c>
      <c r="B825" s="46" t="str">
        <f>IFERROR(__xludf.DUMMYFUNCTION("""COMPUTED_VALUE"""),"Belarus")</f>
        <v>Belarus</v>
      </c>
      <c r="C825" s="46" t="str">
        <f>IFERROR(__xludf.DUMMYFUNCTION("""COMPUTED_VALUE"""),"Personal Care")</f>
        <v>Personal Care</v>
      </c>
      <c r="D825" s="46">
        <f>IFERROR(__xludf.DUMMYFUNCTION("""COMPUTED_VALUE"""),28.0)</f>
        <v>28</v>
      </c>
      <c r="E825" s="46">
        <f>IFERROR(__xludf.DUMMYFUNCTION("""COMPUTED_VALUE"""),6.38856971E8)</f>
        <v>638856971</v>
      </c>
      <c r="F825" s="84">
        <f>IFERROR(__xludf.DUMMYFUNCTION("""COMPUTED_VALUE"""),67754.17)</f>
        <v>67754.17</v>
      </c>
      <c r="I825" s="87"/>
    </row>
    <row r="826">
      <c r="A826" s="46" t="str">
        <f>IFERROR(__xludf.DUMMYFUNCTION("""COMPUTED_VALUE"""),"Europe")</f>
        <v>Europe</v>
      </c>
      <c r="B826" s="46" t="str">
        <f>IFERROR(__xludf.DUMMYFUNCTION("""COMPUTED_VALUE"""),"Norway")</f>
        <v>Norway</v>
      </c>
      <c r="C826" s="46" t="str">
        <f>IFERROR(__xludf.DUMMYFUNCTION("""COMPUTED_VALUE"""),"Fruits")</f>
        <v>Fruits</v>
      </c>
      <c r="D826" s="46">
        <f>IFERROR(__xludf.DUMMYFUNCTION("""COMPUTED_VALUE"""),25.0)</f>
        <v>25</v>
      </c>
      <c r="E826" s="46">
        <f>IFERROR(__xludf.DUMMYFUNCTION("""COMPUTED_VALUE"""),6.38937652E8)</f>
        <v>638937652</v>
      </c>
      <c r="F826" s="84">
        <f>IFERROR(__xludf.DUMMYFUNCTION("""COMPUTED_VALUE"""),43897.65)</f>
        <v>43897.65</v>
      </c>
      <c r="I826" s="87"/>
    </row>
    <row r="827">
      <c r="A827" s="46" t="str">
        <f>IFERROR(__xludf.DUMMYFUNCTION("""COMPUTED_VALUE"""),"Europe")</f>
        <v>Europe</v>
      </c>
      <c r="B827" s="46" t="str">
        <f>IFERROR(__xludf.DUMMYFUNCTION("""COMPUTED_VALUE"""),"Slovakia")</f>
        <v>Slovakia</v>
      </c>
      <c r="C827" s="46" t="str">
        <f>IFERROR(__xludf.DUMMYFUNCTION("""COMPUTED_VALUE"""),"Beverages")</f>
        <v>Beverages</v>
      </c>
      <c r="D827" s="46">
        <f>IFERROR(__xludf.DUMMYFUNCTION("""COMPUTED_VALUE"""),24.0)</f>
        <v>24</v>
      </c>
      <c r="E827" s="46">
        <f>IFERROR(__xludf.DUMMYFUNCTION("""COMPUTED_VALUE"""),6.38957822E8)</f>
        <v>638957822</v>
      </c>
      <c r="F827" s="84">
        <f>IFERROR(__xludf.DUMMYFUNCTION("""COMPUTED_VALUE"""),31933.850000000002)</f>
        <v>31933.85</v>
      </c>
      <c r="I827" s="87"/>
    </row>
    <row r="828">
      <c r="A828" s="46" t="str">
        <f>IFERROR(__xludf.DUMMYFUNCTION("""COMPUTED_VALUE"""),"Europe")</f>
        <v>Europe</v>
      </c>
      <c r="B828" s="46" t="str">
        <f>IFERROR(__xludf.DUMMYFUNCTION("""COMPUTED_VALUE"""),"Bosnia and Herzegovina")</f>
        <v>Bosnia and Herzegovina</v>
      </c>
      <c r="C828" s="46" t="str">
        <f>IFERROR(__xludf.DUMMYFUNCTION("""COMPUTED_VALUE"""),"Cereal")</f>
        <v>Cereal</v>
      </c>
      <c r="D828" s="46">
        <f>IFERROR(__xludf.DUMMYFUNCTION("""COMPUTED_VALUE"""),41.0)</f>
        <v>41</v>
      </c>
      <c r="E828" s="46">
        <f>IFERROR(__xludf.DUMMYFUNCTION("""COMPUTED_VALUE"""),6.39126908E8)</f>
        <v>639126908</v>
      </c>
      <c r="F828" s="84">
        <f>IFERROR(__xludf.DUMMYFUNCTION("""COMPUTED_VALUE"""),146047.0)</f>
        <v>146047</v>
      </c>
      <c r="I828" s="87"/>
    </row>
    <row r="829">
      <c r="A829" s="46" t="str">
        <f>IFERROR(__xludf.DUMMYFUNCTION("""COMPUTED_VALUE"""),"Europe")</f>
        <v>Europe</v>
      </c>
      <c r="B829" s="46" t="str">
        <f>IFERROR(__xludf.DUMMYFUNCTION("""COMPUTED_VALUE"""),"Bosnia and Herzegovina")</f>
        <v>Bosnia and Herzegovina</v>
      </c>
      <c r="C829" s="46" t="str">
        <f>IFERROR(__xludf.DUMMYFUNCTION("""COMPUTED_VALUE"""),"Baby Food")</f>
        <v>Baby Food</v>
      </c>
      <c r="D829" s="46">
        <f>IFERROR(__xludf.DUMMYFUNCTION("""COMPUTED_VALUE"""),2.0)</f>
        <v>2</v>
      </c>
      <c r="E829" s="46">
        <f>IFERROR(__xludf.DUMMYFUNCTION("""COMPUTED_VALUE"""),6.40295922E8)</f>
        <v>640295922</v>
      </c>
      <c r="F829" s="84">
        <f>IFERROR(__xludf.DUMMYFUNCTION("""COMPUTED_VALUE"""),1696846.16)</f>
        <v>1696846.16</v>
      </c>
      <c r="I829" s="87"/>
    </row>
    <row r="830">
      <c r="A830" s="46" t="str">
        <f>IFERROR(__xludf.DUMMYFUNCTION("""COMPUTED_VALUE"""),"Europe")</f>
        <v>Europe</v>
      </c>
      <c r="B830" s="46" t="str">
        <f>IFERROR(__xludf.DUMMYFUNCTION("""COMPUTED_VALUE"""),"Bosnia and Herzegovina")</f>
        <v>Bosnia and Herzegovina</v>
      </c>
      <c r="C830" s="46" t="str">
        <f>IFERROR(__xludf.DUMMYFUNCTION("""COMPUTED_VALUE"""),"Office Supplies")</f>
        <v>Office Supplies</v>
      </c>
      <c r="D830" s="46">
        <f>IFERROR(__xludf.DUMMYFUNCTION("""COMPUTED_VALUE"""),19.0)</f>
        <v>19</v>
      </c>
      <c r="E830" s="46">
        <f>IFERROR(__xludf.DUMMYFUNCTION("""COMPUTED_VALUE"""),6.40394628E8)</f>
        <v>640394628</v>
      </c>
      <c r="F830" s="84">
        <f>IFERROR(__xludf.DUMMYFUNCTION("""COMPUTED_VALUE"""),3813485.7600000002)</f>
        <v>3813485.76</v>
      </c>
      <c r="I830" s="87"/>
    </row>
    <row r="831">
      <c r="A831" s="46" t="str">
        <f>IFERROR(__xludf.DUMMYFUNCTION("""COMPUTED_VALUE"""),"Europe")</f>
        <v>Europe</v>
      </c>
      <c r="B831" s="46" t="str">
        <f>IFERROR(__xludf.DUMMYFUNCTION("""COMPUTED_VALUE"""),"Iceland")</f>
        <v>Iceland</v>
      </c>
      <c r="C831" s="46" t="str">
        <f>IFERROR(__xludf.DUMMYFUNCTION("""COMPUTED_VALUE"""),"Fruits")</f>
        <v>Fruits</v>
      </c>
      <c r="D831" s="46">
        <f>IFERROR(__xludf.DUMMYFUNCTION("""COMPUTED_VALUE"""),3.0)</f>
        <v>3</v>
      </c>
      <c r="E831" s="46">
        <f>IFERROR(__xludf.DUMMYFUNCTION("""COMPUTED_VALUE"""),6.40476596E8)</f>
        <v>640476596</v>
      </c>
      <c r="F831" s="84">
        <f>IFERROR(__xludf.DUMMYFUNCTION("""COMPUTED_VALUE"""),1044.96)</f>
        <v>1044.96</v>
      </c>
      <c r="I831" s="87"/>
    </row>
    <row r="832">
      <c r="A832" s="46" t="str">
        <f>IFERROR(__xludf.DUMMYFUNCTION("""COMPUTED_VALUE"""),"Europe")</f>
        <v>Europe</v>
      </c>
      <c r="B832" s="46" t="str">
        <f>IFERROR(__xludf.DUMMYFUNCTION("""COMPUTED_VALUE"""),"Bulgaria")</f>
        <v>Bulgaria</v>
      </c>
      <c r="C832" s="46" t="str">
        <f>IFERROR(__xludf.DUMMYFUNCTION("""COMPUTED_VALUE"""),"Office Supplies")</f>
        <v>Office Supplies</v>
      </c>
      <c r="D832" s="46">
        <f>IFERROR(__xludf.DUMMYFUNCTION("""COMPUTED_VALUE"""),42.0)</f>
        <v>42</v>
      </c>
      <c r="E832" s="46">
        <f>IFERROR(__xludf.DUMMYFUNCTION("""COMPUTED_VALUE"""),6.41537463E8)</f>
        <v>641537463</v>
      </c>
      <c r="F832" s="84">
        <f>IFERROR(__xludf.DUMMYFUNCTION("""COMPUTED_VALUE"""),2635446.87)</f>
        <v>2635446.87</v>
      </c>
      <c r="I832" s="87"/>
    </row>
    <row r="833">
      <c r="A833" s="46" t="str">
        <f>IFERROR(__xludf.DUMMYFUNCTION("""COMPUTED_VALUE"""),"Europe")</f>
        <v>Europe</v>
      </c>
      <c r="B833" s="46" t="str">
        <f>IFERROR(__xludf.DUMMYFUNCTION("""COMPUTED_VALUE"""),"Greece")</f>
        <v>Greece</v>
      </c>
      <c r="C833" s="46" t="str">
        <f>IFERROR(__xludf.DUMMYFUNCTION("""COMPUTED_VALUE"""),"Beverages")</f>
        <v>Beverages</v>
      </c>
      <c r="D833" s="46">
        <f>IFERROR(__xludf.DUMMYFUNCTION("""COMPUTED_VALUE"""),5.0)</f>
        <v>5</v>
      </c>
      <c r="E833" s="46">
        <f>IFERROR(__xludf.DUMMYFUNCTION("""COMPUTED_VALUE"""),6.42123687E8)</f>
        <v>642123687</v>
      </c>
      <c r="F833" s="84">
        <f>IFERROR(__xludf.DUMMYFUNCTION("""COMPUTED_VALUE"""),356966.35000000003)</f>
        <v>356966.35</v>
      </c>
      <c r="I833" s="87"/>
    </row>
    <row r="834">
      <c r="A834" s="46" t="str">
        <f>IFERROR(__xludf.DUMMYFUNCTION("""COMPUTED_VALUE"""),"Europe")</f>
        <v>Europe</v>
      </c>
      <c r="B834" s="46" t="str">
        <f>IFERROR(__xludf.DUMMYFUNCTION("""COMPUTED_VALUE"""),"Netherlands")</f>
        <v>Netherlands</v>
      </c>
      <c r="C834" s="46" t="str">
        <f>IFERROR(__xludf.DUMMYFUNCTION("""COMPUTED_VALUE"""),"Beverages")</f>
        <v>Beverages</v>
      </c>
      <c r="D834" s="46">
        <f>IFERROR(__xludf.DUMMYFUNCTION("""COMPUTED_VALUE"""),43.0)</f>
        <v>43</v>
      </c>
      <c r="E834" s="46">
        <f>IFERROR(__xludf.DUMMYFUNCTION("""COMPUTED_VALUE"""),6.4295367E8)</f>
        <v>642953670</v>
      </c>
      <c r="F834" s="84">
        <f>IFERROR(__xludf.DUMMYFUNCTION("""COMPUTED_VALUE"""),148708.30000000002)</f>
        <v>148708.3</v>
      </c>
      <c r="I834" s="87"/>
    </row>
    <row r="835">
      <c r="A835" s="46" t="str">
        <f>IFERROR(__xludf.DUMMYFUNCTION("""COMPUTED_VALUE"""),"Europe")</f>
        <v>Europe</v>
      </c>
      <c r="B835" s="46" t="str">
        <f>IFERROR(__xludf.DUMMYFUNCTION("""COMPUTED_VALUE"""),"Iceland")</f>
        <v>Iceland</v>
      </c>
      <c r="C835" s="46" t="str">
        <f>IFERROR(__xludf.DUMMYFUNCTION("""COMPUTED_VALUE"""),"Meat")</f>
        <v>Meat</v>
      </c>
      <c r="D835" s="46">
        <f>IFERROR(__xludf.DUMMYFUNCTION("""COMPUTED_VALUE"""),7.0)</f>
        <v>7</v>
      </c>
      <c r="E835" s="46">
        <f>IFERROR(__xludf.DUMMYFUNCTION("""COMPUTED_VALUE"""),6.43027484E8)</f>
        <v>643027484</v>
      </c>
      <c r="F835" s="84">
        <f>IFERROR(__xludf.DUMMYFUNCTION("""COMPUTED_VALUE"""),2099746.53)</f>
        <v>2099746.53</v>
      </c>
      <c r="I835" s="87"/>
    </row>
    <row r="836">
      <c r="A836" s="46" t="str">
        <f>IFERROR(__xludf.DUMMYFUNCTION("""COMPUTED_VALUE"""),"Europe")</f>
        <v>Europe</v>
      </c>
      <c r="B836" s="46" t="str">
        <f>IFERROR(__xludf.DUMMYFUNCTION("""COMPUTED_VALUE"""),"Switzerland")</f>
        <v>Switzerland</v>
      </c>
      <c r="C836" s="46" t="str">
        <f>IFERROR(__xludf.DUMMYFUNCTION("""COMPUTED_VALUE"""),"Meat")</f>
        <v>Meat</v>
      </c>
      <c r="D836" s="46">
        <f>IFERROR(__xludf.DUMMYFUNCTION("""COMPUTED_VALUE"""),0.0)</f>
        <v>0</v>
      </c>
      <c r="E836" s="46">
        <f>IFERROR(__xludf.DUMMYFUNCTION("""COMPUTED_VALUE"""),6.43259227E8)</f>
        <v>643259227</v>
      </c>
      <c r="F836" s="84">
        <f>IFERROR(__xludf.DUMMYFUNCTION("""COMPUTED_VALUE"""),1499818.95)</f>
        <v>1499818.95</v>
      </c>
      <c r="I836" s="87"/>
    </row>
    <row r="837">
      <c r="A837" s="46" t="str">
        <f>IFERROR(__xludf.DUMMYFUNCTION("""COMPUTED_VALUE"""),"Europe")</f>
        <v>Europe</v>
      </c>
      <c r="B837" s="46" t="str">
        <f>IFERROR(__xludf.DUMMYFUNCTION("""COMPUTED_VALUE"""),"Greece")</f>
        <v>Greece</v>
      </c>
      <c r="C837" s="46" t="str">
        <f>IFERROR(__xludf.DUMMYFUNCTION("""COMPUTED_VALUE"""),"Fruits")</f>
        <v>Fruits</v>
      </c>
      <c r="D837" s="46">
        <f>IFERROR(__xludf.DUMMYFUNCTION("""COMPUTED_VALUE"""),16.0)</f>
        <v>16</v>
      </c>
      <c r="E837" s="46">
        <f>IFERROR(__xludf.DUMMYFUNCTION("""COMPUTED_VALUE"""),6.43448483E8)</f>
        <v>643448483</v>
      </c>
      <c r="F837" s="84">
        <f>IFERROR(__xludf.DUMMYFUNCTION("""COMPUTED_VALUE"""),89194.8)</f>
        <v>89194.8</v>
      </c>
      <c r="I837" s="87"/>
    </row>
    <row r="838">
      <c r="A838" s="46" t="str">
        <f>IFERROR(__xludf.DUMMYFUNCTION("""COMPUTED_VALUE"""),"Asia")</f>
        <v>Asia</v>
      </c>
      <c r="B838" s="46" t="str">
        <f>IFERROR(__xludf.DUMMYFUNCTION("""COMPUTED_VALUE"""),"Georgia")</f>
        <v>Georgia</v>
      </c>
      <c r="C838" s="46" t="str">
        <f>IFERROR(__xludf.DUMMYFUNCTION("""COMPUTED_VALUE"""),"Personal Care")</f>
        <v>Personal Care</v>
      </c>
      <c r="D838" s="46">
        <f>IFERROR(__xludf.DUMMYFUNCTION("""COMPUTED_VALUE"""),7.0)</f>
        <v>7</v>
      </c>
      <c r="E838" s="46">
        <f>IFERROR(__xludf.DUMMYFUNCTION("""COMPUTED_VALUE"""),6.43770778E8)</f>
        <v>643770778</v>
      </c>
      <c r="F838" s="84">
        <f>IFERROR(__xludf.DUMMYFUNCTION("""COMPUTED_VALUE"""),403255.82)</f>
        <v>403255.82</v>
      </c>
      <c r="I838" s="87"/>
    </row>
    <row r="839">
      <c r="A839" s="46" t="str">
        <f>IFERROR(__xludf.DUMMYFUNCTION("""COMPUTED_VALUE"""),"Europe")</f>
        <v>Europe</v>
      </c>
      <c r="B839" s="46" t="str">
        <f>IFERROR(__xludf.DUMMYFUNCTION("""COMPUTED_VALUE"""),"Belarus")</f>
        <v>Belarus</v>
      </c>
      <c r="C839" s="46" t="str">
        <f>IFERROR(__xludf.DUMMYFUNCTION("""COMPUTED_VALUE"""),"Office Supplies")</f>
        <v>Office Supplies</v>
      </c>
      <c r="D839" s="46">
        <f>IFERROR(__xludf.DUMMYFUNCTION("""COMPUTED_VALUE"""),25.0)</f>
        <v>25</v>
      </c>
      <c r="E839" s="46">
        <f>IFERROR(__xludf.DUMMYFUNCTION("""COMPUTED_VALUE"""),6.44592607E8)</f>
        <v>644592607</v>
      </c>
      <c r="F839" s="84">
        <f>IFERROR(__xludf.DUMMYFUNCTION("""COMPUTED_VALUE"""),5294988.510000001)</f>
        <v>5294988.51</v>
      </c>
      <c r="I839" s="87"/>
    </row>
    <row r="840">
      <c r="A840" s="46" t="str">
        <f>IFERROR(__xludf.DUMMYFUNCTION("""COMPUTED_VALUE"""),"Europe")</f>
        <v>Europe</v>
      </c>
      <c r="B840" s="46" t="str">
        <f>IFERROR(__xludf.DUMMYFUNCTION("""COMPUTED_VALUE"""),"Greece")</f>
        <v>Greece</v>
      </c>
      <c r="C840" s="46" t="str">
        <f>IFERROR(__xludf.DUMMYFUNCTION("""COMPUTED_VALUE"""),"Meat")</f>
        <v>Meat</v>
      </c>
      <c r="D840" s="46">
        <f>IFERROR(__xludf.DUMMYFUNCTION("""COMPUTED_VALUE"""),14.0)</f>
        <v>14</v>
      </c>
      <c r="E840" s="46">
        <f>IFERROR(__xludf.DUMMYFUNCTION("""COMPUTED_VALUE"""),6.45111024E8)</f>
        <v>645111024</v>
      </c>
      <c r="F840" s="84">
        <f>IFERROR(__xludf.DUMMYFUNCTION("""COMPUTED_VALUE"""),650976.27)</f>
        <v>650976.27</v>
      </c>
      <c r="I840" s="87"/>
    </row>
    <row r="841">
      <c r="A841" s="46" t="str">
        <f>IFERROR(__xludf.DUMMYFUNCTION("""COMPUTED_VALUE"""),"Asia")</f>
        <v>Asia</v>
      </c>
      <c r="B841" s="46" t="str">
        <f>IFERROR(__xludf.DUMMYFUNCTION("""COMPUTED_VALUE"""),"Armenia")</f>
        <v>Armenia</v>
      </c>
      <c r="C841" s="46" t="str">
        <f>IFERROR(__xludf.DUMMYFUNCTION("""COMPUTED_VALUE"""),"Meat")</f>
        <v>Meat</v>
      </c>
      <c r="D841" s="46">
        <f>IFERROR(__xludf.DUMMYFUNCTION("""COMPUTED_VALUE"""),36.0)</f>
        <v>36</v>
      </c>
      <c r="E841" s="46">
        <f>IFERROR(__xludf.DUMMYFUNCTION("""COMPUTED_VALUE"""),6.45309722E8)</f>
        <v>645309722</v>
      </c>
      <c r="F841" s="84">
        <f>IFERROR(__xludf.DUMMYFUNCTION("""COMPUTED_VALUE"""),144286.38)</f>
        <v>144286.38</v>
      </c>
      <c r="I841" s="87"/>
    </row>
    <row r="842">
      <c r="A842" s="46" t="str">
        <f>IFERROR(__xludf.DUMMYFUNCTION("""COMPUTED_VALUE"""),"Europe")</f>
        <v>Europe</v>
      </c>
      <c r="B842" s="46" t="str">
        <f>IFERROR(__xludf.DUMMYFUNCTION("""COMPUTED_VALUE"""),"Norway")</f>
        <v>Norway</v>
      </c>
      <c r="C842" s="46" t="str">
        <f>IFERROR(__xludf.DUMMYFUNCTION("""COMPUTED_VALUE"""),"Cereal")</f>
        <v>Cereal</v>
      </c>
      <c r="D842" s="46">
        <f>IFERROR(__xludf.DUMMYFUNCTION("""COMPUTED_VALUE"""),31.0)</f>
        <v>31</v>
      </c>
      <c r="E842" s="46">
        <f>IFERROR(__xludf.DUMMYFUNCTION("""COMPUTED_VALUE"""),6.45701968E8)</f>
        <v>645701968</v>
      </c>
      <c r="F842" s="84">
        <f>IFERROR(__xludf.DUMMYFUNCTION("""COMPUTED_VALUE"""),1319771.2)</f>
        <v>1319771.2</v>
      </c>
      <c r="I842" s="87"/>
    </row>
    <row r="843">
      <c r="A843" s="46" t="str">
        <f>IFERROR(__xludf.DUMMYFUNCTION("""COMPUTED_VALUE"""),"Europe")</f>
        <v>Europe</v>
      </c>
      <c r="B843" s="46" t="str">
        <f>IFERROR(__xludf.DUMMYFUNCTION("""COMPUTED_VALUE"""),"Poland")</f>
        <v>Poland</v>
      </c>
      <c r="C843" s="46" t="str">
        <f>IFERROR(__xludf.DUMMYFUNCTION("""COMPUTED_VALUE"""),"Baby Food")</f>
        <v>Baby Food</v>
      </c>
      <c r="D843" s="46">
        <f>IFERROR(__xludf.DUMMYFUNCTION("""COMPUTED_VALUE"""),48.0)</f>
        <v>48</v>
      </c>
      <c r="E843" s="46">
        <f>IFERROR(__xludf.DUMMYFUNCTION("""COMPUTED_VALUE"""),6.45956456E8)</f>
        <v>645956456</v>
      </c>
      <c r="F843" s="84">
        <f>IFERROR(__xludf.DUMMYFUNCTION("""COMPUTED_VALUE"""),440358.0)</f>
        <v>440358</v>
      </c>
      <c r="I843" s="87"/>
    </row>
    <row r="844">
      <c r="A844" s="46" t="str">
        <f>IFERROR(__xludf.DUMMYFUNCTION("""COMPUTED_VALUE"""),"Europe")</f>
        <v>Europe</v>
      </c>
      <c r="B844" s="46" t="str">
        <f>IFERROR(__xludf.DUMMYFUNCTION("""COMPUTED_VALUE"""),"Austria")</f>
        <v>Austria</v>
      </c>
      <c r="C844" s="46" t="str">
        <f>IFERROR(__xludf.DUMMYFUNCTION("""COMPUTED_VALUE"""),"Beverages")</f>
        <v>Beverages</v>
      </c>
      <c r="D844" s="46">
        <f>IFERROR(__xludf.DUMMYFUNCTION("""COMPUTED_VALUE"""),29.0)</f>
        <v>29</v>
      </c>
      <c r="E844" s="46">
        <f>IFERROR(__xludf.DUMMYFUNCTION("""COMPUTED_VALUE"""),6.46691596E8)</f>
        <v>646691596</v>
      </c>
      <c r="F844" s="84">
        <f>IFERROR(__xludf.DUMMYFUNCTION("""COMPUTED_VALUE"""),439814.05000000005)</f>
        <v>439814.05</v>
      </c>
      <c r="I844" s="87"/>
    </row>
    <row r="845">
      <c r="A845" s="46" t="str">
        <f>IFERROR(__xludf.DUMMYFUNCTION("""COMPUTED_VALUE"""),"Europe")</f>
        <v>Europe</v>
      </c>
      <c r="B845" s="46" t="str">
        <f>IFERROR(__xludf.DUMMYFUNCTION("""COMPUTED_VALUE"""),"Finland")</f>
        <v>Finland</v>
      </c>
      <c r="C845" s="46" t="str">
        <f>IFERROR(__xludf.DUMMYFUNCTION("""COMPUTED_VALUE"""),"Baby Food")</f>
        <v>Baby Food</v>
      </c>
      <c r="D845" s="46">
        <f>IFERROR(__xludf.DUMMYFUNCTION("""COMPUTED_VALUE"""),41.0)</f>
        <v>41</v>
      </c>
      <c r="E845" s="46">
        <f>IFERROR(__xludf.DUMMYFUNCTION("""COMPUTED_VALUE"""),6.46981704E8)</f>
        <v>646981704</v>
      </c>
      <c r="F845" s="84">
        <f>IFERROR(__xludf.DUMMYFUNCTION("""COMPUTED_VALUE"""),1306523.04)</f>
        <v>1306523.04</v>
      </c>
      <c r="I845" s="87"/>
    </row>
    <row r="846">
      <c r="A846" s="46" t="str">
        <f>IFERROR(__xludf.DUMMYFUNCTION("""COMPUTED_VALUE"""),"Europe")</f>
        <v>Europe</v>
      </c>
      <c r="B846" s="46" t="str">
        <f>IFERROR(__xludf.DUMMYFUNCTION("""COMPUTED_VALUE"""),"Albania")</f>
        <v>Albania</v>
      </c>
      <c r="C846" s="46" t="str">
        <f>IFERROR(__xludf.DUMMYFUNCTION("""COMPUTED_VALUE"""),"Clothes")</f>
        <v>Clothes</v>
      </c>
      <c r="D846" s="46">
        <f>IFERROR(__xludf.DUMMYFUNCTION("""COMPUTED_VALUE"""),11.0)</f>
        <v>11</v>
      </c>
      <c r="E846" s="46">
        <f>IFERROR(__xludf.DUMMYFUNCTION("""COMPUTED_VALUE"""),6.47943866E8)</f>
        <v>647943866</v>
      </c>
      <c r="F846" s="84">
        <f>IFERROR(__xludf.DUMMYFUNCTION("""COMPUTED_VALUE"""),1075643.04)</f>
        <v>1075643.04</v>
      </c>
      <c r="I846" s="87"/>
    </row>
    <row r="847">
      <c r="A847" s="46" t="str">
        <f>IFERROR(__xludf.DUMMYFUNCTION("""COMPUTED_VALUE"""),"Europe")</f>
        <v>Europe</v>
      </c>
      <c r="B847" s="46" t="str">
        <f>IFERROR(__xludf.DUMMYFUNCTION("""COMPUTED_VALUE"""),"Croatia")</f>
        <v>Croatia</v>
      </c>
      <c r="C847" s="46" t="str">
        <f>IFERROR(__xludf.DUMMYFUNCTION("""COMPUTED_VALUE"""),"Office Supplies")</f>
        <v>Office Supplies</v>
      </c>
      <c r="D847" s="46">
        <f>IFERROR(__xludf.DUMMYFUNCTION("""COMPUTED_VALUE"""),9.0)</f>
        <v>9</v>
      </c>
      <c r="E847" s="46">
        <f>IFERROR(__xludf.DUMMYFUNCTION("""COMPUTED_VALUE"""),6.50078475E8)</f>
        <v>650078475</v>
      </c>
      <c r="F847" s="84">
        <f>IFERROR(__xludf.DUMMYFUNCTION("""COMPUTED_VALUE"""),991141.6200000001)</f>
        <v>991141.62</v>
      </c>
      <c r="I847" s="87"/>
    </row>
    <row r="848">
      <c r="A848" s="46" t="str">
        <f>IFERROR(__xludf.DUMMYFUNCTION("""COMPUTED_VALUE"""),"Europe")</f>
        <v>Europe</v>
      </c>
      <c r="B848" s="46" t="str">
        <f>IFERROR(__xludf.DUMMYFUNCTION("""COMPUTED_VALUE"""),"Estonia")</f>
        <v>Estonia</v>
      </c>
      <c r="C848" s="46" t="str">
        <f>IFERROR(__xludf.DUMMYFUNCTION("""COMPUTED_VALUE"""),"Beverages")</f>
        <v>Beverages</v>
      </c>
      <c r="D848" s="46">
        <f>IFERROR(__xludf.DUMMYFUNCTION("""COMPUTED_VALUE"""),19.0)</f>
        <v>19</v>
      </c>
      <c r="E848" s="46">
        <f>IFERROR(__xludf.DUMMYFUNCTION("""COMPUTED_VALUE"""),6.50208079E8)</f>
        <v>650208079</v>
      </c>
      <c r="F848" s="84">
        <f>IFERROR(__xludf.DUMMYFUNCTION("""COMPUTED_VALUE"""),468568.75)</f>
        <v>468568.75</v>
      </c>
      <c r="I848" s="87"/>
    </row>
    <row r="849">
      <c r="A849" s="46" t="str">
        <f>IFERROR(__xludf.DUMMYFUNCTION("""COMPUTED_VALUE"""),"Europe")</f>
        <v>Europe</v>
      </c>
      <c r="B849" s="46" t="str">
        <f>IFERROR(__xludf.DUMMYFUNCTION("""COMPUTED_VALUE"""),"Bulgaria")</f>
        <v>Bulgaria</v>
      </c>
      <c r="C849" s="46" t="str">
        <f>IFERROR(__xludf.DUMMYFUNCTION("""COMPUTED_VALUE"""),"Vegetables")</f>
        <v>Vegetables</v>
      </c>
      <c r="D849" s="46">
        <f>IFERROR(__xludf.DUMMYFUNCTION("""COMPUTED_VALUE"""),21.0)</f>
        <v>21</v>
      </c>
      <c r="E849" s="46">
        <f>IFERROR(__xludf.DUMMYFUNCTION("""COMPUTED_VALUE"""),6.51247489E8)</f>
        <v>651247489</v>
      </c>
      <c r="F849" s="84">
        <f>IFERROR(__xludf.DUMMYFUNCTION("""COMPUTED_VALUE"""),1149133.54)</f>
        <v>1149133.54</v>
      </c>
      <c r="I849" s="87"/>
    </row>
    <row r="850">
      <c r="A850" s="46" t="str">
        <f>IFERROR(__xludf.DUMMYFUNCTION("""COMPUTED_VALUE"""),"Europe")</f>
        <v>Europe</v>
      </c>
      <c r="B850" s="46" t="str">
        <f>IFERROR(__xludf.DUMMYFUNCTION("""COMPUTED_VALUE"""),"Liechtenstein")</f>
        <v>Liechtenstein</v>
      </c>
      <c r="C850" s="46" t="str">
        <f>IFERROR(__xludf.DUMMYFUNCTION("""COMPUTED_VALUE"""),"Baby Food")</f>
        <v>Baby Food</v>
      </c>
      <c r="D850" s="46">
        <f>IFERROR(__xludf.DUMMYFUNCTION("""COMPUTED_VALUE"""),20.0)</f>
        <v>20</v>
      </c>
      <c r="E850" s="46">
        <f>IFERROR(__xludf.DUMMYFUNCTION("""COMPUTED_VALUE"""),6.51895511E8)</f>
        <v>651895511</v>
      </c>
      <c r="F850" s="84">
        <f>IFERROR(__xludf.DUMMYFUNCTION("""COMPUTED_VALUE"""),2354447.44)</f>
        <v>2354447.44</v>
      </c>
      <c r="I850" s="87"/>
    </row>
    <row r="851">
      <c r="A851" s="46" t="str">
        <f>IFERROR(__xludf.DUMMYFUNCTION("""COMPUTED_VALUE"""),"Europe")</f>
        <v>Europe</v>
      </c>
      <c r="B851" s="46" t="str">
        <f>IFERROR(__xludf.DUMMYFUNCTION("""COMPUTED_VALUE"""),"United Kingdom")</f>
        <v>United Kingdom</v>
      </c>
      <c r="C851" s="46" t="str">
        <f>IFERROR(__xludf.DUMMYFUNCTION("""COMPUTED_VALUE"""),"Vegetables")</f>
        <v>Vegetables</v>
      </c>
      <c r="D851" s="46">
        <f>IFERROR(__xludf.DUMMYFUNCTION("""COMPUTED_VALUE"""),19.0)</f>
        <v>19</v>
      </c>
      <c r="E851" s="46">
        <f>IFERROR(__xludf.DUMMYFUNCTION("""COMPUTED_VALUE"""),6.52252137E8)</f>
        <v>652252137</v>
      </c>
      <c r="F851" s="84">
        <f>IFERROR(__xludf.DUMMYFUNCTION("""COMPUTED_VALUE"""),732863.42)</f>
        <v>732863.42</v>
      </c>
      <c r="I851" s="87"/>
    </row>
    <row r="852">
      <c r="A852" s="46" t="str">
        <f>IFERROR(__xludf.DUMMYFUNCTION("""COMPUTED_VALUE"""),"Europe")</f>
        <v>Europe</v>
      </c>
      <c r="B852" s="46" t="str">
        <f>IFERROR(__xludf.DUMMYFUNCTION("""COMPUTED_VALUE"""),"Slovenia")</f>
        <v>Slovenia</v>
      </c>
      <c r="C852" s="46" t="str">
        <f>IFERROR(__xludf.DUMMYFUNCTION("""COMPUTED_VALUE"""),"Cereal")</f>
        <v>Cereal</v>
      </c>
      <c r="D852" s="46">
        <f>IFERROR(__xludf.DUMMYFUNCTION("""COMPUTED_VALUE"""),33.0)</f>
        <v>33</v>
      </c>
      <c r="E852" s="46">
        <f>IFERROR(__xludf.DUMMYFUNCTION("""COMPUTED_VALUE"""),6.52501904E8)</f>
        <v>652501904</v>
      </c>
      <c r="F852" s="84">
        <f>IFERROR(__xludf.DUMMYFUNCTION("""COMPUTED_VALUE"""),1783007.5999999999)</f>
        <v>1783007.6</v>
      </c>
      <c r="I852" s="87"/>
    </row>
    <row r="853">
      <c r="A853" s="46" t="str">
        <f>IFERROR(__xludf.DUMMYFUNCTION("""COMPUTED_VALUE"""),"Europe")</f>
        <v>Europe</v>
      </c>
      <c r="B853" s="46" t="str">
        <f>IFERROR(__xludf.DUMMYFUNCTION("""COMPUTED_VALUE"""),"Albania")</f>
        <v>Albania</v>
      </c>
      <c r="C853" s="46" t="str">
        <f>IFERROR(__xludf.DUMMYFUNCTION("""COMPUTED_VALUE"""),"Snacks")</f>
        <v>Snacks</v>
      </c>
      <c r="D853" s="46">
        <f>IFERROR(__xludf.DUMMYFUNCTION("""COMPUTED_VALUE"""),5.0)</f>
        <v>5</v>
      </c>
      <c r="E853" s="46">
        <f>IFERROR(__xludf.DUMMYFUNCTION("""COMPUTED_VALUE"""),6.5308727E8)</f>
        <v>653087270</v>
      </c>
      <c r="F853" s="84">
        <f>IFERROR(__xludf.DUMMYFUNCTION("""COMPUTED_VALUE"""),288528.78)</f>
        <v>288528.78</v>
      </c>
      <c r="I853" s="87"/>
    </row>
    <row r="854">
      <c r="A854" s="46" t="str">
        <f>IFERROR(__xludf.DUMMYFUNCTION("""COMPUTED_VALUE"""),"Europe")</f>
        <v>Europe</v>
      </c>
      <c r="B854" s="46" t="str">
        <f>IFERROR(__xludf.DUMMYFUNCTION("""COMPUTED_VALUE"""),"Macedonia")</f>
        <v>Macedonia</v>
      </c>
      <c r="C854" s="46" t="str">
        <f>IFERROR(__xludf.DUMMYFUNCTION("""COMPUTED_VALUE"""),"Beverages")</f>
        <v>Beverages</v>
      </c>
      <c r="D854" s="46">
        <f>IFERROR(__xludf.DUMMYFUNCTION("""COMPUTED_VALUE"""),5.0)</f>
        <v>5</v>
      </c>
      <c r="E854" s="46">
        <f>IFERROR(__xludf.DUMMYFUNCTION("""COMPUTED_VALUE"""),6.53152501E8)</f>
        <v>653152501</v>
      </c>
      <c r="F854" s="84">
        <f>IFERROR(__xludf.DUMMYFUNCTION("""COMPUTED_VALUE"""),56655.3)</f>
        <v>56655.3</v>
      </c>
      <c r="I854" s="87"/>
    </row>
    <row r="855">
      <c r="A855" s="46" t="str">
        <f>IFERROR(__xludf.DUMMYFUNCTION("""COMPUTED_VALUE"""),"Europe")</f>
        <v>Europe</v>
      </c>
      <c r="B855" s="46" t="str">
        <f>IFERROR(__xludf.DUMMYFUNCTION("""COMPUTED_VALUE"""),"Estonia")</f>
        <v>Estonia</v>
      </c>
      <c r="C855" s="46" t="str">
        <f>IFERROR(__xludf.DUMMYFUNCTION("""COMPUTED_VALUE"""),"Beverages")</f>
        <v>Beverages</v>
      </c>
      <c r="D855" s="46">
        <f>IFERROR(__xludf.DUMMYFUNCTION("""COMPUTED_VALUE"""),12.0)</f>
        <v>12</v>
      </c>
      <c r="E855" s="46">
        <f>IFERROR(__xludf.DUMMYFUNCTION("""COMPUTED_VALUE"""),6.5354861E8)</f>
        <v>653548610</v>
      </c>
      <c r="F855" s="84">
        <f>IFERROR(__xludf.DUMMYFUNCTION("""COMPUTED_VALUE"""),399149.4)</f>
        <v>399149.4</v>
      </c>
      <c r="I855" s="87"/>
    </row>
    <row r="856">
      <c r="A856" s="46" t="str">
        <f>IFERROR(__xludf.DUMMYFUNCTION("""COMPUTED_VALUE"""),"Europe")</f>
        <v>Europe</v>
      </c>
      <c r="B856" s="46" t="str">
        <f>IFERROR(__xludf.DUMMYFUNCTION("""COMPUTED_VALUE"""),"Switzerland")</f>
        <v>Switzerland</v>
      </c>
      <c r="C856" s="46" t="str">
        <f>IFERROR(__xludf.DUMMYFUNCTION("""COMPUTED_VALUE"""),"Personal Care")</f>
        <v>Personal Care</v>
      </c>
      <c r="D856" s="46">
        <f>IFERROR(__xludf.DUMMYFUNCTION("""COMPUTED_VALUE"""),4.0)</f>
        <v>4</v>
      </c>
      <c r="E856" s="46">
        <f>IFERROR(__xludf.DUMMYFUNCTION("""COMPUTED_VALUE"""),6.53800523E8)</f>
        <v>653800523</v>
      </c>
      <c r="F856" s="84">
        <f>IFERROR(__xludf.DUMMYFUNCTION("""COMPUTED_VALUE"""),241757.34000000003)</f>
        <v>241757.34</v>
      </c>
      <c r="I856" s="87"/>
    </row>
    <row r="857">
      <c r="A857" s="46" t="str">
        <f>IFERROR(__xludf.DUMMYFUNCTION("""COMPUTED_VALUE"""),"Europe")</f>
        <v>Europe</v>
      </c>
      <c r="B857" s="46" t="str">
        <f>IFERROR(__xludf.DUMMYFUNCTION("""COMPUTED_VALUE"""),"Slovakia")</f>
        <v>Slovakia</v>
      </c>
      <c r="C857" s="46" t="str">
        <f>IFERROR(__xludf.DUMMYFUNCTION("""COMPUTED_VALUE"""),"Office Supplies")</f>
        <v>Office Supplies</v>
      </c>
      <c r="D857" s="46">
        <f>IFERROR(__xludf.DUMMYFUNCTION("""COMPUTED_VALUE"""),14.0)</f>
        <v>14</v>
      </c>
      <c r="E857" s="46">
        <f>IFERROR(__xludf.DUMMYFUNCTION("""COMPUTED_VALUE"""),6.53909957E8)</f>
        <v>653909957</v>
      </c>
      <c r="F857" s="84">
        <f>IFERROR(__xludf.DUMMYFUNCTION("""COMPUTED_VALUE"""),3478763.8200000003)</f>
        <v>3478763.82</v>
      </c>
      <c r="I857" s="87"/>
    </row>
    <row r="858">
      <c r="A858" s="46" t="str">
        <f>IFERROR(__xludf.DUMMYFUNCTION("""COMPUTED_VALUE"""),"Europe")</f>
        <v>Europe</v>
      </c>
      <c r="B858" s="46" t="str">
        <f>IFERROR(__xludf.DUMMYFUNCTION("""COMPUTED_VALUE"""),"Romania")</f>
        <v>Romania</v>
      </c>
      <c r="C858" s="46" t="str">
        <f>IFERROR(__xludf.DUMMYFUNCTION("""COMPUTED_VALUE"""),"Snacks")</f>
        <v>Snacks</v>
      </c>
      <c r="D858" s="46">
        <f>IFERROR(__xludf.DUMMYFUNCTION("""COMPUTED_VALUE"""),7.0)</f>
        <v>7</v>
      </c>
      <c r="E858" s="46">
        <f>IFERROR(__xludf.DUMMYFUNCTION("""COMPUTED_VALUE"""),6.53920686E8)</f>
        <v>653920686</v>
      </c>
      <c r="F858" s="84">
        <f>IFERROR(__xludf.DUMMYFUNCTION("""COMPUTED_VALUE"""),1299523.86)</f>
        <v>1299523.86</v>
      </c>
      <c r="I858" s="87"/>
    </row>
    <row r="859">
      <c r="A859" s="46" t="str">
        <f>IFERROR(__xludf.DUMMYFUNCTION("""COMPUTED_VALUE"""),"Europe")</f>
        <v>Europe</v>
      </c>
      <c r="B859" s="46" t="str">
        <f>IFERROR(__xludf.DUMMYFUNCTION("""COMPUTED_VALUE"""),"Portugal")</f>
        <v>Portugal</v>
      </c>
      <c r="C859" s="46" t="str">
        <f>IFERROR(__xludf.DUMMYFUNCTION("""COMPUTED_VALUE"""),"Household")</f>
        <v>Household</v>
      </c>
      <c r="D859" s="46">
        <f>IFERROR(__xludf.DUMMYFUNCTION("""COMPUTED_VALUE"""),4.0)</f>
        <v>4</v>
      </c>
      <c r="E859" s="46">
        <f>IFERROR(__xludf.DUMMYFUNCTION("""COMPUTED_VALUE"""),6.5528711E8)</f>
        <v>655287110</v>
      </c>
      <c r="F859" s="84">
        <f>IFERROR(__xludf.DUMMYFUNCTION("""COMPUTED_VALUE"""),1919939.71)</f>
        <v>1919939.71</v>
      </c>
      <c r="I859" s="87"/>
    </row>
    <row r="860">
      <c r="A860" s="46" t="str">
        <f>IFERROR(__xludf.DUMMYFUNCTION("""COMPUTED_VALUE"""),"Europe")</f>
        <v>Europe</v>
      </c>
      <c r="B860" s="46" t="str">
        <f>IFERROR(__xludf.DUMMYFUNCTION("""COMPUTED_VALUE"""),"Poland")</f>
        <v>Poland</v>
      </c>
      <c r="C860" s="46" t="str">
        <f>IFERROR(__xludf.DUMMYFUNCTION("""COMPUTED_VALUE"""),"Cereal")</f>
        <v>Cereal</v>
      </c>
      <c r="D860" s="46">
        <f>IFERROR(__xludf.DUMMYFUNCTION("""COMPUTED_VALUE"""),40.0)</f>
        <v>40</v>
      </c>
      <c r="E860" s="46">
        <f>IFERROR(__xludf.DUMMYFUNCTION("""COMPUTED_VALUE"""),6.55328738E8)</f>
        <v>655328738</v>
      </c>
      <c r="F860" s="84">
        <f>IFERROR(__xludf.DUMMYFUNCTION("""COMPUTED_VALUE"""),1067788.7)</f>
        <v>1067788.7</v>
      </c>
      <c r="I860" s="87"/>
    </row>
    <row r="861">
      <c r="A861" s="46" t="str">
        <f>IFERROR(__xludf.DUMMYFUNCTION("""COMPUTED_VALUE"""),"Europe")</f>
        <v>Europe</v>
      </c>
      <c r="B861" s="46" t="str">
        <f>IFERROR(__xludf.DUMMYFUNCTION("""COMPUTED_VALUE"""),"Greece")</f>
        <v>Greece</v>
      </c>
      <c r="C861" s="46" t="str">
        <f>IFERROR(__xludf.DUMMYFUNCTION("""COMPUTED_VALUE"""),"Fruits")</f>
        <v>Fruits</v>
      </c>
      <c r="D861" s="46">
        <f>IFERROR(__xludf.DUMMYFUNCTION("""COMPUTED_VALUE"""),22.0)</f>
        <v>22</v>
      </c>
      <c r="E861" s="46">
        <f>IFERROR(__xludf.DUMMYFUNCTION("""COMPUTED_VALUE"""),6.56244552E8)</f>
        <v>656244552</v>
      </c>
      <c r="F861" s="84">
        <f>IFERROR(__xludf.DUMMYFUNCTION("""COMPUTED_VALUE"""),57855.33)</f>
        <v>57855.33</v>
      </c>
      <c r="I861" s="87"/>
    </row>
    <row r="862">
      <c r="A862" s="46" t="str">
        <f>IFERROR(__xludf.DUMMYFUNCTION("""COMPUTED_VALUE"""),"Europe")</f>
        <v>Europe</v>
      </c>
      <c r="B862" s="46" t="str">
        <f>IFERROR(__xludf.DUMMYFUNCTION("""COMPUTED_VALUE"""),"Sweden")</f>
        <v>Sweden</v>
      </c>
      <c r="C862" s="46" t="str">
        <f>IFERROR(__xludf.DUMMYFUNCTION("""COMPUTED_VALUE"""),"Household")</f>
        <v>Household</v>
      </c>
      <c r="D862" s="46">
        <f>IFERROR(__xludf.DUMMYFUNCTION("""COMPUTED_VALUE"""),46.0)</f>
        <v>46</v>
      </c>
      <c r="E862" s="46">
        <f>IFERROR(__xludf.DUMMYFUNCTION("""COMPUTED_VALUE"""),6.56689155E8)</f>
        <v>656689155</v>
      </c>
      <c r="F862" s="84">
        <f>IFERROR(__xludf.DUMMYFUNCTION("""COMPUTED_VALUE"""),5191789.63)</f>
        <v>5191789.63</v>
      </c>
      <c r="I862" s="87"/>
    </row>
    <row r="863">
      <c r="A863" s="46" t="str">
        <f>IFERROR(__xludf.DUMMYFUNCTION("""COMPUTED_VALUE"""),"Europe")</f>
        <v>Europe</v>
      </c>
      <c r="B863" s="46" t="str">
        <f>IFERROR(__xludf.DUMMYFUNCTION("""COMPUTED_VALUE"""),"Serbia")</f>
        <v>Serbia</v>
      </c>
      <c r="C863" s="46" t="str">
        <f>IFERROR(__xludf.DUMMYFUNCTION("""COMPUTED_VALUE"""),"Office Supplies")</f>
        <v>Office Supplies</v>
      </c>
      <c r="D863" s="46">
        <f>IFERROR(__xludf.DUMMYFUNCTION("""COMPUTED_VALUE"""),11.0)</f>
        <v>11</v>
      </c>
      <c r="E863" s="46">
        <f>IFERROR(__xludf.DUMMYFUNCTION("""COMPUTED_VALUE"""),6.59193694E8)</f>
        <v>659193694</v>
      </c>
      <c r="F863" s="84">
        <f>IFERROR(__xludf.DUMMYFUNCTION("""COMPUTED_VALUE"""),5807490.78)</f>
        <v>5807490.78</v>
      </c>
      <c r="I863" s="87"/>
    </row>
    <row r="864">
      <c r="A864" s="46" t="str">
        <f>IFERROR(__xludf.DUMMYFUNCTION("""COMPUTED_VALUE"""),"Europe")</f>
        <v>Europe</v>
      </c>
      <c r="B864" s="46" t="str">
        <f>IFERROR(__xludf.DUMMYFUNCTION("""COMPUTED_VALUE"""),"Croatia")</f>
        <v>Croatia</v>
      </c>
      <c r="C864" s="46" t="str">
        <f>IFERROR(__xludf.DUMMYFUNCTION("""COMPUTED_VALUE"""),"Household")</f>
        <v>Household</v>
      </c>
      <c r="D864" s="46">
        <f>IFERROR(__xludf.DUMMYFUNCTION("""COMPUTED_VALUE"""),36.0)</f>
        <v>36</v>
      </c>
      <c r="E864" s="46">
        <f>IFERROR(__xludf.DUMMYFUNCTION("""COMPUTED_VALUE"""),6.59196269E8)</f>
        <v>659196269</v>
      </c>
      <c r="F864" s="84">
        <f>IFERROR(__xludf.DUMMYFUNCTION("""COMPUTED_VALUE"""),6468853.6)</f>
        <v>6468853.6</v>
      </c>
      <c r="I864" s="87"/>
    </row>
    <row r="865">
      <c r="A865" s="46" t="str">
        <f>IFERROR(__xludf.DUMMYFUNCTION("""COMPUTED_VALUE"""),"Europe")</f>
        <v>Europe</v>
      </c>
      <c r="B865" s="46" t="str">
        <f>IFERROR(__xludf.DUMMYFUNCTION("""COMPUTED_VALUE"""),"Russia")</f>
        <v>Russia</v>
      </c>
      <c r="C865" s="46" t="str">
        <f>IFERROR(__xludf.DUMMYFUNCTION("""COMPUTED_VALUE"""),"Cosmetics")</f>
        <v>Cosmetics</v>
      </c>
      <c r="D865" s="46">
        <f>IFERROR(__xludf.DUMMYFUNCTION("""COMPUTED_VALUE"""),1.0)</f>
        <v>1</v>
      </c>
      <c r="E865" s="46">
        <f>IFERROR(__xludf.DUMMYFUNCTION("""COMPUTED_VALUE"""),6.59671771E8)</f>
        <v>659671771</v>
      </c>
      <c r="F865" s="84">
        <f>IFERROR(__xludf.DUMMYFUNCTION("""COMPUTED_VALUE"""),170945.19999999998)</f>
        <v>170945.2</v>
      </c>
      <c r="I865" s="87"/>
    </row>
    <row r="866">
      <c r="A866" s="46" t="str">
        <f>IFERROR(__xludf.DUMMYFUNCTION("""COMPUTED_VALUE"""),"Europe")</f>
        <v>Europe</v>
      </c>
      <c r="B866" s="46" t="str">
        <f>IFERROR(__xludf.DUMMYFUNCTION("""COMPUTED_VALUE"""),"Estonia")</f>
        <v>Estonia</v>
      </c>
      <c r="C866" s="46" t="str">
        <f>IFERROR(__xludf.DUMMYFUNCTION("""COMPUTED_VALUE"""),"Clothes")</f>
        <v>Clothes</v>
      </c>
      <c r="D866" s="46">
        <f>IFERROR(__xludf.DUMMYFUNCTION("""COMPUTED_VALUE"""),18.0)</f>
        <v>18</v>
      </c>
      <c r="E866" s="46">
        <f>IFERROR(__xludf.DUMMYFUNCTION("""COMPUTED_VALUE"""),6.60312926E8)</f>
        <v>660312926</v>
      </c>
      <c r="F866" s="84">
        <f>IFERROR(__xludf.DUMMYFUNCTION("""COMPUTED_VALUE"""),13441.44)</f>
        <v>13441.44</v>
      </c>
      <c r="I866" s="87"/>
    </row>
    <row r="867">
      <c r="A867" s="46" t="str">
        <f>IFERROR(__xludf.DUMMYFUNCTION("""COMPUTED_VALUE"""),"Europe")</f>
        <v>Europe</v>
      </c>
      <c r="B867" s="46" t="str">
        <f>IFERROR(__xludf.DUMMYFUNCTION("""COMPUTED_VALUE"""),"Ukraine")</f>
        <v>Ukraine</v>
      </c>
      <c r="C867" s="46" t="str">
        <f>IFERROR(__xludf.DUMMYFUNCTION("""COMPUTED_VALUE"""),"Office Supplies")</f>
        <v>Office Supplies</v>
      </c>
      <c r="D867" s="46">
        <f>IFERROR(__xludf.DUMMYFUNCTION("""COMPUTED_VALUE"""),40.0)</f>
        <v>40</v>
      </c>
      <c r="E867" s="46">
        <f>IFERROR(__xludf.DUMMYFUNCTION("""COMPUTED_VALUE"""),6.60481584E8)</f>
        <v>660481584</v>
      </c>
      <c r="F867" s="84">
        <f>IFERROR(__xludf.DUMMYFUNCTION("""COMPUTED_VALUE"""),21489.93)</f>
        <v>21489.93</v>
      </c>
      <c r="I867" s="87"/>
    </row>
    <row r="868">
      <c r="A868" s="46" t="str">
        <f>IFERROR(__xludf.DUMMYFUNCTION("""COMPUTED_VALUE"""),"Europe")</f>
        <v>Europe</v>
      </c>
      <c r="B868" s="46" t="str">
        <f>IFERROR(__xludf.DUMMYFUNCTION("""COMPUTED_VALUE"""),"Malta")</f>
        <v>Malta</v>
      </c>
      <c r="C868" s="46" t="str">
        <f>IFERROR(__xludf.DUMMYFUNCTION("""COMPUTED_VALUE"""),"Meat")</f>
        <v>Meat</v>
      </c>
      <c r="D868" s="46">
        <f>IFERROR(__xludf.DUMMYFUNCTION("""COMPUTED_VALUE"""),15.0)</f>
        <v>15</v>
      </c>
      <c r="E868" s="46">
        <f>IFERROR(__xludf.DUMMYFUNCTION("""COMPUTED_VALUE"""),6.62623488E8)</f>
        <v>662623488</v>
      </c>
      <c r="F868" s="84">
        <f>IFERROR(__xludf.DUMMYFUNCTION("""COMPUTED_VALUE"""),1632714.3)</f>
        <v>1632714.3</v>
      </c>
      <c r="I868" s="87"/>
    </row>
    <row r="869">
      <c r="A869" s="46" t="str">
        <f>IFERROR(__xludf.DUMMYFUNCTION("""COMPUTED_VALUE"""),"Europe")</f>
        <v>Europe</v>
      </c>
      <c r="B869" s="46" t="str">
        <f>IFERROR(__xludf.DUMMYFUNCTION("""COMPUTED_VALUE"""),"Portugal")</f>
        <v>Portugal</v>
      </c>
      <c r="C869" s="46" t="str">
        <f>IFERROR(__xludf.DUMMYFUNCTION("""COMPUTED_VALUE"""),"Meat")</f>
        <v>Meat</v>
      </c>
      <c r="D869" s="46">
        <f>IFERROR(__xludf.DUMMYFUNCTION("""COMPUTED_VALUE"""),19.0)</f>
        <v>19</v>
      </c>
      <c r="E869" s="46">
        <f>IFERROR(__xludf.DUMMYFUNCTION("""COMPUTED_VALUE"""),6.63080108E8)</f>
        <v>663080108</v>
      </c>
      <c r="F869" s="84">
        <f>IFERROR(__xludf.DUMMYFUNCTION("""COMPUTED_VALUE"""),3794478.6599999997)</f>
        <v>3794478.66</v>
      </c>
      <c r="I869" s="87"/>
    </row>
    <row r="870">
      <c r="A870" s="46" t="str">
        <f>IFERROR(__xludf.DUMMYFUNCTION("""COMPUTED_VALUE"""),"Europe")</f>
        <v>Europe</v>
      </c>
      <c r="B870" s="46" t="str">
        <f>IFERROR(__xludf.DUMMYFUNCTION("""COMPUTED_VALUE"""),"Romania")</f>
        <v>Romania</v>
      </c>
      <c r="C870" s="46" t="str">
        <f>IFERROR(__xludf.DUMMYFUNCTION("""COMPUTED_VALUE"""),"Fruits")</f>
        <v>Fruits</v>
      </c>
      <c r="D870" s="46">
        <f>IFERROR(__xludf.DUMMYFUNCTION("""COMPUTED_VALUE"""),22.0)</f>
        <v>22</v>
      </c>
      <c r="E870" s="46">
        <f>IFERROR(__xludf.DUMMYFUNCTION("""COMPUTED_VALUE"""),6.65786778E8)</f>
        <v>665786778</v>
      </c>
      <c r="F870" s="84">
        <f>IFERROR(__xludf.DUMMYFUNCTION("""COMPUTED_VALUE"""),92908.14)</f>
        <v>92908.14</v>
      </c>
      <c r="I870" s="87"/>
    </row>
    <row r="871">
      <c r="A871" s="46" t="str">
        <f>IFERROR(__xludf.DUMMYFUNCTION("""COMPUTED_VALUE"""),"Europe")</f>
        <v>Europe</v>
      </c>
      <c r="B871" s="46" t="str">
        <f>IFERROR(__xludf.DUMMYFUNCTION("""COMPUTED_VALUE"""),"Serbia")</f>
        <v>Serbia</v>
      </c>
      <c r="C871" s="46" t="str">
        <f>IFERROR(__xludf.DUMMYFUNCTION("""COMPUTED_VALUE"""),"Fruits")</f>
        <v>Fruits</v>
      </c>
      <c r="D871" s="46">
        <f>IFERROR(__xludf.DUMMYFUNCTION("""COMPUTED_VALUE"""),14.0)</f>
        <v>14</v>
      </c>
      <c r="E871" s="46">
        <f>IFERROR(__xludf.DUMMYFUNCTION("""COMPUTED_VALUE"""),6.65817677E8)</f>
        <v>665817677</v>
      </c>
      <c r="F871" s="84">
        <f>IFERROR(__xludf.DUMMYFUNCTION("""COMPUTED_VALUE"""),84921.66)</f>
        <v>84921.66</v>
      </c>
      <c r="I871" s="87"/>
    </row>
    <row r="872">
      <c r="A872" s="46" t="str">
        <f>IFERROR(__xludf.DUMMYFUNCTION("""COMPUTED_VALUE"""),"Europe")</f>
        <v>Europe</v>
      </c>
      <c r="B872" s="46" t="str">
        <f>IFERROR(__xludf.DUMMYFUNCTION("""COMPUTED_VALUE"""),"Macedonia")</f>
        <v>Macedonia</v>
      </c>
      <c r="C872" s="46" t="str">
        <f>IFERROR(__xludf.DUMMYFUNCTION("""COMPUTED_VALUE"""),"Household")</f>
        <v>Household</v>
      </c>
      <c r="D872" s="46">
        <f>IFERROR(__xludf.DUMMYFUNCTION("""COMPUTED_VALUE"""),34.0)</f>
        <v>34</v>
      </c>
      <c r="E872" s="46">
        <f>IFERROR(__xludf.DUMMYFUNCTION("""COMPUTED_VALUE"""),6.66483724E8)</f>
        <v>666483724</v>
      </c>
      <c r="F872" s="84">
        <f>IFERROR(__xludf.DUMMYFUNCTION("""COMPUTED_VALUE"""),4142605.73)</f>
        <v>4142605.73</v>
      </c>
      <c r="I872" s="87"/>
    </row>
    <row r="873">
      <c r="A873" s="46" t="str">
        <f>IFERROR(__xludf.DUMMYFUNCTION("""COMPUTED_VALUE"""),"Europe")</f>
        <v>Europe</v>
      </c>
      <c r="B873" s="46" t="str">
        <f>IFERROR(__xludf.DUMMYFUNCTION("""COMPUTED_VALUE"""),"Denmark")</f>
        <v>Denmark</v>
      </c>
      <c r="C873" s="46" t="str">
        <f>IFERROR(__xludf.DUMMYFUNCTION("""COMPUTED_VALUE"""),"Cereal")</f>
        <v>Cereal</v>
      </c>
      <c r="D873" s="46">
        <f>IFERROR(__xludf.DUMMYFUNCTION("""COMPUTED_VALUE"""),26.0)</f>
        <v>26</v>
      </c>
      <c r="E873" s="46">
        <f>IFERROR(__xludf.DUMMYFUNCTION("""COMPUTED_VALUE"""),6.6692146E8)</f>
        <v>666921460</v>
      </c>
      <c r="F873" s="84">
        <f>IFERROR(__xludf.DUMMYFUNCTION("""COMPUTED_VALUE"""),1179689.5)</f>
        <v>1179689.5</v>
      </c>
      <c r="I873" s="87"/>
    </row>
    <row r="874">
      <c r="A874" s="46" t="str">
        <f>IFERROR(__xludf.DUMMYFUNCTION("""COMPUTED_VALUE"""),"Europe")</f>
        <v>Europe</v>
      </c>
      <c r="B874" s="46" t="str">
        <f>IFERROR(__xludf.DUMMYFUNCTION("""COMPUTED_VALUE"""),"Portugal")</f>
        <v>Portugal</v>
      </c>
      <c r="C874" s="46" t="str">
        <f>IFERROR(__xludf.DUMMYFUNCTION("""COMPUTED_VALUE"""),"Personal Care")</f>
        <v>Personal Care</v>
      </c>
      <c r="D874" s="46">
        <f>IFERROR(__xludf.DUMMYFUNCTION("""COMPUTED_VALUE"""),1.0)</f>
        <v>1</v>
      </c>
      <c r="E874" s="46">
        <f>IFERROR(__xludf.DUMMYFUNCTION("""COMPUTED_VALUE"""),6.67054498E8)</f>
        <v>667054498</v>
      </c>
      <c r="F874" s="84">
        <f>IFERROR(__xludf.DUMMYFUNCTION("""COMPUTED_VALUE"""),417149.92000000004)</f>
        <v>417149.92</v>
      </c>
      <c r="I874" s="87"/>
    </row>
    <row r="875">
      <c r="A875" s="46" t="str">
        <f>IFERROR(__xludf.DUMMYFUNCTION("""COMPUTED_VALUE"""),"Europe")</f>
        <v>Europe</v>
      </c>
      <c r="B875" s="46" t="str">
        <f>IFERROR(__xludf.DUMMYFUNCTION("""COMPUTED_VALUE"""),"San Marino")</f>
        <v>San Marino</v>
      </c>
      <c r="C875" s="46" t="str">
        <f>IFERROR(__xludf.DUMMYFUNCTION("""COMPUTED_VALUE"""),"Baby Food")</f>
        <v>Baby Food</v>
      </c>
      <c r="D875" s="46">
        <f>IFERROR(__xludf.DUMMYFUNCTION("""COMPUTED_VALUE"""),13.0)</f>
        <v>13</v>
      </c>
      <c r="E875" s="46">
        <f>IFERROR(__xludf.DUMMYFUNCTION("""COMPUTED_VALUE"""),6.67324435E8)</f>
        <v>667324435</v>
      </c>
      <c r="F875" s="84">
        <f>IFERROR(__xludf.DUMMYFUNCTION("""COMPUTED_VALUE"""),1272570.8)</f>
        <v>1272570.8</v>
      </c>
      <c r="I875" s="87"/>
    </row>
    <row r="876">
      <c r="A876" s="46" t="str">
        <f>IFERROR(__xludf.DUMMYFUNCTION("""COMPUTED_VALUE"""),"Asia")</f>
        <v>Asia</v>
      </c>
      <c r="B876" s="46" t="str">
        <f>IFERROR(__xludf.DUMMYFUNCTION("""COMPUTED_VALUE"""),"Armenia")</f>
        <v>Armenia</v>
      </c>
      <c r="C876" s="46" t="str">
        <f>IFERROR(__xludf.DUMMYFUNCTION("""COMPUTED_VALUE"""),"Personal Care")</f>
        <v>Personal Care</v>
      </c>
      <c r="D876" s="46">
        <f>IFERROR(__xludf.DUMMYFUNCTION("""COMPUTED_VALUE"""),2.0)</f>
        <v>2</v>
      </c>
      <c r="E876" s="46">
        <f>IFERROR(__xludf.DUMMYFUNCTION("""COMPUTED_VALUE"""),6.67420995E8)</f>
        <v>667420995</v>
      </c>
      <c r="F876" s="84">
        <f>IFERROR(__xludf.DUMMYFUNCTION("""COMPUTED_VALUE"""),290877.07)</f>
        <v>290877.07</v>
      </c>
      <c r="I876" s="87"/>
    </row>
    <row r="877">
      <c r="A877" s="46" t="str">
        <f>IFERROR(__xludf.DUMMYFUNCTION("""COMPUTED_VALUE"""),"Europe")</f>
        <v>Europe</v>
      </c>
      <c r="B877" s="46" t="str">
        <f>IFERROR(__xludf.DUMMYFUNCTION("""COMPUTED_VALUE"""),"Portugal")</f>
        <v>Portugal</v>
      </c>
      <c r="C877" s="46" t="str">
        <f>IFERROR(__xludf.DUMMYFUNCTION("""COMPUTED_VALUE"""),"Meat")</f>
        <v>Meat</v>
      </c>
      <c r="D877" s="46">
        <f>IFERROR(__xludf.DUMMYFUNCTION("""COMPUTED_VALUE"""),45.0)</f>
        <v>45</v>
      </c>
      <c r="E877" s="46">
        <f>IFERROR(__xludf.DUMMYFUNCTION("""COMPUTED_VALUE"""),6.68280589E8)</f>
        <v>668280589</v>
      </c>
      <c r="F877" s="84">
        <f>IFERROR(__xludf.DUMMYFUNCTION("""COMPUTED_VALUE"""),3346431.48)</f>
        <v>3346431.48</v>
      </c>
      <c r="I877" s="87"/>
    </row>
    <row r="878">
      <c r="A878" s="46" t="str">
        <f>IFERROR(__xludf.DUMMYFUNCTION("""COMPUTED_VALUE"""),"Europe")</f>
        <v>Europe</v>
      </c>
      <c r="B878" s="46" t="str">
        <f>IFERROR(__xludf.DUMMYFUNCTION("""COMPUTED_VALUE"""),"Belarus")</f>
        <v>Belarus</v>
      </c>
      <c r="C878" s="46" t="str">
        <f>IFERROR(__xludf.DUMMYFUNCTION("""COMPUTED_VALUE"""),"Fruits")</f>
        <v>Fruits</v>
      </c>
      <c r="D878" s="46">
        <f>IFERROR(__xludf.DUMMYFUNCTION("""COMPUTED_VALUE"""),13.0)</f>
        <v>13</v>
      </c>
      <c r="E878" s="46">
        <f>IFERROR(__xludf.DUMMYFUNCTION("""COMPUTED_VALUE"""),6.69353473E8)</f>
        <v>669353473</v>
      </c>
      <c r="F878" s="84">
        <f>IFERROR(__xludf.DUMMYFUNCTION("""COMPUTED_VALUE"""),50587.26)</f>
        <v>50587.26</v>
      </c>
      <c r="I878" s="87"/>
    </row>
    <row r="879">
      <c r="A879" s="46" t="str">
        <f>IFERROR(__xludf.DUMMYFUNCTION("""COMPUTED_VALUE"""),"Europe")</f>
        <v>Europe</v>
      </c>
      <c r="B879" s="46" t="str">
        <f>IFERROR(__xludf.DUMMYFUNCTION("""COMPUTED_VALUE"""),"Belarus")</f>
        <v>Belarus</v>
      </c>
      <c r="C879" s="46" t="str">
        <f>IFERROR(__xludf.DUMMYFUNCTION("""COMPUTED_VALUE"""),"Cosmetics")</f>
        <v>Cosmetics</v>
      </c>
      <c r="D879" s="46">
        <f>IFERROR(__xludf.DUMMYFUNCTION("""COMPUTED_VALUE"""),48.0)</f>
        <v>48</v>
      </c>
      <c r="E879" s="46">
        <f>IFERROR(__xludf.DUMMYFUNCTION("""COMPUTED_VALUE"""),6.69550883E8)</f>
        <v>669550883</v>
      </c>
      <c r="F879" s="84">
        <f>IFERROR(__xludf.DUMMYFUNCTION("""COMPUTED_VALUE"""),1678848.0)</f>
        <v>1678848</v>
      </c>
      <c r="I879" s="87"/>
    </row>
    <row r="880">
      <c r="A880" s="46" t="str">
        <f>IFERROR(__xludf.DUMMYFUNCTION("""COMPUTED_VALUE"""),"Europe")</f>
        <v>Europe</v>
      </c>
      <c r="B880" s="46" t="str">
        <f>IFERROR(__xludf.DUMMYFUNCTION("""COMPUTED_VALUE"""),"Switzerland")</f>
        <v>Switzerland</v>
      </c>
      <c r="C880" s="46" t="str">
        <f>IFERROR(__xludf.DUMMYFUNCTION("""COMPUTED_VALUE"""),"Vegetables")</f>
        <v>Vegetables</v>
      </c>
      <c r="D880" s="46">
        <f>IFERROR(__xludf.DUMMYFUNCTION("""COMPUTED_VALUE"""),40.0)</f>
        <v>40</v>
      </c>
      <c r="E880" s="46">
        <f>IFERROR(__xludf.DUMMYFUNCTION("""COMPUTED_VALUE"""),6.70274865E8)</f>
        <v>670274865</v>
      </c>
      <c r="F880" s="84">
        <f>IFERROR(__xludf.DUMMYFUNCTION("""COMPUTED_VALUE"""),1245112.92)</f>
        <v>1245112.92</v>
      </c>
      <c r="I880" s="87"/>
    </row>
    <row r="881">
      <c r="A881" s="46" t="str">
        <f>IFERROR(__xludf.DUMMYFUNCTION("""COMPUTED_VALUE"""),"Europe")</f>
        <v>Europe</v>
      </c>
      <c r="B881" s="46" t="str">
        <f>IFERROR(__xludf.DUMMYFUNCTION("""COMPUTED_VALUE"""),"Monaco")</f>
        <v>Monaco</v>
      </c>
      <c r="C881" s="46" t="str">
        <f>IFERROR(__xludf.DUMMYFUNCTION("""COMPUTED_VALUE"""),"Vegetables")</f>
        <v>Vegetables</v>
      </c>
      <c r="D881" s="46">
        <f>IFERROR(__xludf.DUMMYFUNCTION("""COMPUTED_VALUE"""),34.0)</f>
        <v>34</v>
      </c>
      <c r="E881" s="46">
        <f>IFERROR(__xludf.DUMMYFUNCTION("""COMPUTED_VALUE"""),6.71616399E8)</f>
        <v>671616399</v>
      </c>
      <c r="F881" s="84">
        <f>IFERROR(__xludf.DUMMYFUNCTION("""COMPUTED_VALUE"""),781392.3200000001)</f>
        <v>781392.32</v>
      </c>
      <c r="I881" s="87"/>
    </row>
    <row r="882">
      <c r="A882" s="46" t="str">
        <f>IFERROR(__xludf.DUMMYFUNCTION("""COMPUTED_VALUE"""),"Europe")</f>
        <v>Europe</v>
      </c>
      <c r="B882" s="46" t="str">
        <f>IFERROR(__xludf.DUMMYFUNCTION("""COMPUTED_VALUE"""),"Bulgaria")</f>
        <v>Bulgaria</v>
      </c>
      <c r="C882" s="46" t="str">
        <f>IFERROR(__xludf.DUMMYFUNCTION("""COMPUTED_VALUE"""),"Office Supplies")</f>
        <v>Office Supplies</v>
      </c>
      <c r="D882" s="46">
        <f>IFERROR(__xludf.DUMMYFUNCTION("""COMPUTED_VALUE"""),29.0)</f>
        <v>29</v>
      </c>
      <c r="E882" s="46">
        <f>IFERROR(__xludf.DUMMYFUNCTION("""COMPUTED_VALUE"""),6.72330081E8)</f>
        <v>672330081</v>
      </c>
      <c r="F882" s="84">
        <f>IFERROR(__xludf.DUMMYFUNCTION("""COMPUTED_VALUE"""),4080481.8600000003)</f>
        <v>4080481.86</v>
      </c>
      <c r="I882" s="87"/>
    </row>
    <row r="883">
      <c r="A883" s="46" t="str">
        <f>IFERROR(__xludf.DUMMYFUNCTION("""COMPUTED_VALUE"""),"Undefined")</f>
        <v>Undefined</v>
      </c>
      <c r="B883" s="46" t="str">
        <f>IFERROR(__xludf.DUMMYFUNCTION("""COMPUTED_VALUE"""),"Undefined")</f>
        <v>Undefined</v>
      </c>
      <c r="C883" s="46" t="str">
        <f>IFERROR(__xludf.DUMMYFUNCTION("""COMPUTED_VALUE"""),"Household")</f>
        <v>Household</v>
      </c>
      <c r="D883" s="46">
        <f>IFERROR(__xludf.DUMMYFUNCTION("""COMPUTED_VALUE"""),37.0)</f>
        <v>37</v>
      </c>
      <c r="E883" s="46">
        <f>IFERROR(__xludf.DUMMYFUNCTION("""COMPUTED_VALUE"""),6.72856652E8)</f>
        <v>672856652</v>
      </c>
      <c r="F883" s="84">
        <f>IFERROR(__xludf.DUMMYFUNCTION("""COMPUTED_VALUE"""),1397352.57)</f>
        <v>1397352.57</v>
      </c>
      <c r="I883" s="87"/>
    </row>
    <row r="884">
      <c r="A884" s="46" t="str">
        <f>IFERROR(__xludf.DUMMYFUNCTION("""COMPUTED_VALUE"""),"Europe")</f>
        <v>Europe</v>
      </c>
      <c r="B884" s="46" t="str">
        <f>IFERROR(__xludf.DUMMYFUNCTION("""COMPUTED_VALUE"""),"Belarus")</f>
        <v>Belarus</v>
      </c>
      <c r="C884" s="46" t="str">
        <f>IFERROR(__xludf.DUMMYFUNCTION("""COMPUTED_VALUE"""),"Cereal")</f>
        <v>Cereal</v>
      </c>
      <c r="D884" s="46">
        <f>IFERROR(__xludf.DUMMYFUNCTION("""COMPUTED_VALUE"""),2.0)</f>
        <v>2</v>
      </c>
      <c r="E884" s="46">
        <f>IFERROR(__xludf.DUMMYFUNCTION("""COMPUTED_VALUE"""),6.74060428E8)</f>
        <v>674060428</v>
      </c>
      <c r="F884" s="84">
        <f>IFERROR(__xludf.DUMMYFUNCTION("""COMPUTED_VALUE"""),1710395.5)</f>
        <v>1710395.5</v>
      </c>
      <c r="I884" s="87"/>
    </row>
    <row r="885">
      <c r="A885" s="46" t="str">
        <f>IFERROR(__xludf.DUMMYFUNCTION("""COMPUTED_VALUE"""),"Europe")</f>
        <v>Europe</v>
      </c>
      <c r="B885" s="46" t="str">
        <f>IFERROR(__xludf.DUMMYFUNCTION("""COMPUTED_VALUE"""),"Italy")</f>
        <v>Italy</v>
      </c>
      <c r="C885" s="46" t="str">
        <f>IFERROR(__xludf.DUMMYFUNCTION("""COMPUTED_VALUE"""),"Household")</f>
        <v>Household</v>
      </c>
      <c r="D885" s="46">
        <f>IFERROR(__xludf.DUMMYFUNCTION("""COMPUTED_VALUE"""),8.0)</f>
        <v>8</v>
      </c>
      <c r="E885" s="46">
        <f>IFERROR(__xludf.DUMMYFUNCTION("""COMPUTED_VALUE"""),6.77851569E8)</f>
        <v>677851569</v>
      </c>
      <c r="F885" s="84">
        <f>IFERROR(__xludf.DUMMYFUNCTION("""COMPUTED_VALUE"""),132317.46)</f>
        <v>132317.46</v>
      </c>
      <c r="I885" s="87"/>
    </row>
    <row r="886">
      <c r="A886" s="46" t="str">
        <f>IFERROR(__xludf.DUMMYFUNCTION("""COMPUTED_VALUE"""),"Europe")</f>
        <v>Europe</v>
      </c>
      <c r="B886" s="46" t="str">
        <f>IFERROR(__xludf.DUMMYFUNCTION("""COMPUTED_VALUE"""),"Sweden")</f>
        <v>Sweden</v>
      </c>
      <c r="C886" s="46" t="str">
        <f>IFERROR(__xludf.DUMMYFUNCTION("""COMPUTED_VALUE"""),"Cosmetics")</f>
        <v>Cosmetics</v>
      </c>
      <c r="D886" s="46">
        <f>IFERROR(__xludf.DUMMYFUNCTION("""COMPUTED_VALUE"""),32.0)</f>
        <v>32</v>
      </c>
      <c r="E886" s="46">
        <f>IFERROR(__xludf.DUMMYFUNCTION("""COMPUTED_VALUE"""),6.79039466E8)</f>
        <v>679039466</v>
      </c>
      <c r="F886" s="84">
        <f>IFERROR(__xludf.DUMMYFUNCTION("""COMPUTED_VALUE"""),753295.6)</f>
        <v>753295.6</v>
      </c>
      <c r="I886" s="87"/>
    </row>
    <row r="887">
      <c r="A887" s="46" t="str">
        <f>IFERROR(__xludf.DUMMYFUNCTION("""COMPUTED_VALUE"""),"Europe")</f>
        <v>Europe</v>
      </c>
      <c r="B887" s="46" t="str">
        <f>IFERROR(__xludf.DUMMYFUNCTION("""COMPUTED_VALUE"""),"Liechtenstein")</f>
        <v>Liechtenstein</v>
      </c>
      <c r="C887" s="46" t="str">
        <f>IFERROR(__xludf.DUMMYFUNCTION("""COMPUTED_VALUE"""),"Household")</f>
        <v>Household</v>
      </c>
      <c r="D887" s="46">
        <f>IFERROR(__xludf.DUMMYFUNCTION("""COMPUTED_VALUE"""),45.0)</f>
        <v>45</v>
      </c>
      <c r="E887" s="46">
        <f>IFERROR(__xludf.DUMMYFUNCTION("""COMPUTED_VALUE"""),6.7910856E8)</f>
        <v>679108560</v>
      </c>
      <c r="F887" s="84">
        <f>IFERROR(__xludf.DUMMYFUNCTION("""COMPUTED_VALUE"""),1449477.63)</f>
        <v>1449477.63</v>
      </c>
      <c r="I887" s="87"/>
    </row>
    <row r="888">
      <c r="A888" s="46" t="str">
        <f>IFERROR(__xludf.DUMMYFUNCTION("""COMPUTED_VALUE"""),"Europe")</f>
        <v>Europe</v>
      </c>
      <c r="B888" s="46" t="str">
        <f>IFERROR(__xludf.DUMMYFUNCTION("""COMPUTED_VALUE"""),"Finland")</f>
        <v>Finland</v>
      </c>
      <c r="C888" s="46" t="str">
        <f>IFERROR(__xludf.DUMMYFUNCTION("""COMPUTED_VALUE"""),"Vegetables")</f>
        <v>Vegetables</v>
      </c>
      <c r="D888" s="46">
        <f>IFERROR(__xludf.DUMMYFUNCTION("""COMPUTED_VALUE"""),32.0)</f>
        <v>32</v>
      </c>
      <c r="E888" s="46">
        <f>IFERROR(__xludf.DUMMYFUNCTION("""COMPUTED_VALUE"""),6.8032521E8)</f>
        <v>680325210</v>
      </c>
      <c r="F888" s="84">
        <f>IFERROR(__xludf.DUMMYFUNCTION("""COMPUTED_VALUE"""),339394.18)</f>
        <v>339394.18</v>
      </c>
      <c r="I888" s="87"/>
    </row>
    <row r="889">
      <c r="A889" s="46" t="str">
        <f>IFERROR(__xludf.DUMMYFUNCTION("""COMPUTED_VALUE"""),"Europe")</f>
        <v>Europe</v>
      </c>
      <c r="B889" s="46" t="str">
        <f>IFERROR(__xludf.DUMMYFUNCTION("""COMPUTED_VALUE"""),"Belarus")</f>
        <v>Belarus</v>
      </c>
      <c r="C889" s="46" t="str">
        <f>IFERROR(__xludf.DUMMYFUNCTION("""COMPUTED_VALUE"""),"Beverages")</f>
        <v>Beverages</v>
      </c>
      <c r="D889" s="46">
        <f>IFERROR(__xludf.DUMMYFUNCTION("""COMPUTED_VALUE"""),14.0)</f>
        <v>14</v>
      </c>
      <c r="E889" s="46">
        <f>IFERROR(__xludf.DUMMYFUNCTION("""COMPUTED_VALUE"""),6.81713092E8)</f>
        <v>681713092</v>
      </c>
      <c r="F889" s="84">
        <f>IFERROR(__xludf.DUMMYFUNCTION("""COMPUTED_VALUE"""),137984.6)</f>
        <v>137984.6</v>
      </c>
      <c r="I889" s="87"/>
    </row>
    <row r="890">
      <c r="A890" s="46" t="str">
        <f>IFERROR(__xludf.DUMMYFUNCTION("""COMPUTED_VALUE"""),"Europe")</f>
        <v>Europe</v>
      </c>
      <c r="B890" s="46" t="str">
        <f>IFERROR(__xludf.DUMMYFUNCTION("""COMPUTED_VALUE"""),"Belgium")</f>
        <v>Belgium</v>
      </c>
      <c r="C890" s="46" t="str">
        <f>IFERROR(__xludf.DUMMYFUNCTION("""COMPUTED_VALUE"""),"Vegetables")</f>
        <v>Vegetables</v>
      </c>
      <c r="D890" s="46">
        <f>IFERROR(__xludf.DUMMYFUNCTION("""COMPUTED_VALUE"""),48.0)</f>
        <v>48</v>
      </c>
      <c r="E890" s="46">
        <f>IFERROR(__xludf.DUMMYFUNCTION("""COMPUTED_VALUE"""),6.82066285E8)</f>
        <v>682066285</v>
      </c>
      <c r="F890" s="84">
        <f>IFERROR(__xludf.DUMMYFUNCTION("""COMPUTED_VALUE"""),1144049.56)</f>
        <v>1144049.56</v>
      </c>
      <c r="I890" s="87"/>
    </row>
    <row r="891">
      <c r="A891" s="46" t="str">
        <f>IFERROR(__xludf.DUMMYFUNCTION("""COMPUTED_VALUE"""),"Europe")</f>
        <v>Europe</v>
      </c>
      <c r="B891" s="46" t="str">
        <f>IFERROR(__xludf.DUMMYFUNCTION("""COMPUTED_VALUE"""),"Romania")</f>
        <v>Romania</v>
      </c>
      <c r="C891" s="46" t="str">
        <f>IFERROR(__xludf.DUMMYFUNCTION("""COMPUTED_VALUE"""),"Meat")</f>
        <v>Meat</v>
      </c>
      <c r="D891" s="46">
        <f>IFERROR(__xludf.DUMMYFUNCTION("""COMPUTED_VALUE"""),41.0)</f>
        <v>41</v>
      </c>
      <c r="E891" s="46">
        <f>IFERROR(__xludf.DUMMYFUNCTION("""COMPUTED_VALUE"""),6.82162415E8)</f>
        <v>682162415</v>
      </c>
      <c r="F891" s="84">
        <f>IFERROR(__xludf.DUMMYFUNCTION("""COMPUTED_VALUE"""),2477759.9699999997)</f>
        <v>2477759.97</v>
      </c>
      <c r="I891" s="87"/>
    </row>
    <row r="892">
      <c r="A892" s="46" t="str">
        <f>IFERROR(__xludf.DUMMYFUNCTION("""COMPUTED_VALUE"""),"Europe")</f>
        <v>Europe</v>
      </c>
      <c r="B892" s="46" t="str">
        <f>IFERROR(__xludf.DUMMYFUNCTION("""COMPUTED_VALUE"""),"Germany")</f>
        <v>Germany</v>
      </c>
      <c r="C892" s="46" t="str">
        <f>IFERROR(__xludf.DUMMYFUNCTION("""COMPUTED_VALUE"""),"Beverages")</f>
        <v>Beverages</v>
      </c>
      <c r="D892" s="46">
        <f>IFERROR(__xludf.DUMMYFUNCTION("""COMPUTED_VALUE"""),24.0)</f>
        <v>24</v>
      </c>
      <c r="E892" s="46">
        <f>IFERROR(__xludf.DUMMYFUNCTION("""COMPUTED_VALUE"""),6.82314765E8)</f>
        <v>682314765</v>
      </c>
      <c r="F892" s="84">
        <f>IFERROR(__xludf.DUMMYFUNCTION("""COMPUTED_VALUE"""),45362.200000000004)</f>
        <v>45362.2</v>
      </c>
      <c r="I892" s="87"/>
    </row>
    <row r="893">
      <c r="A893" s="46" t="str">
        <f>IFERROR(__xludf.DUMMYFUNCTION("""COMPUTED_VALUE"""),"Europe")</f>
        <v>Europe</v>
      </c>
      <c r="B893" s="46" t="str">
        <f>IFERROR(__xludf.DUMMYFUNCTION("""COMPUTED_VALUE"""),"Sweden")</f>
        <v>Sweden</v>
      </c>
      <c r="C893" s="46" t="str">
        <f>IFERROR(__xludf.DUMMYFUNCTION("""COMPUTED_VALUE"""),"Cosmetics")</f>
        <v>Cosmetics</v>
      </c>
      <c r="D893" s="46">
        <f>IFERROR(__xludf.DUMMYFUNCTION("""COMPUTED_VALUE"""),7.0)</f>
        <v>7</v>
      </c>
      <c r="E893" s="46">
        <f>IFERROR(__xludf.DUMMYFUNCTION("""COMPUTED_VALUE"""),6.84239947E8)</f>
        <v>684239947</v>
      </c>
      <c r="F893" s="84">
        <f>IFERROR(__xludf.DUMMYFUNCTION("""COMPUTED_VALUE"""),288989.2)</f>
        <v>288989.2</v>
      </c>
      <c r="I893" s="87"/>
    </row>
    <row r="894">
      <c r="A894" s="46" t="str">
        <f>IFERROR(__xludf.DUMMYFUNCTION("""COMPUTED_VALUE"""),"Europe")</f>
        <v>Europe</v>
      </c>
      <c r="B894" s="46" t="str">
        <f>IFERROR(__xludf.DUMMYFUNCTION("""COMPUTED_VALUE"""),"Portugal")</f>
        <v>Portugal</v>
      </c>
      <c r="C894" s="46" t="str">
        <f>IFERROR(__xludf.DUMMYFUNCTION("""COMPUTED_VALUE"""),"Clothes")</f>
        <v>Clothes</v>
      </c>
      <c r="D894" s="46">
        <f>IFERROR(__xludf.DUMMYFUNCTION("""COMPUTED_VALUE"""),48.0)</f>
        <v>48</v>
      </c>
      <c r="E894" s="46">
        <f>IFERROR(__xludf.DUMMYFUNCTION("""COMPUTED_VALUE"""),6.84853637E8)</f>
        <v>684853637</v>
      </c>
      <c r="F894" s="84">
        <f>IFERROR(__xludf.DUMMYFUNCTION("""COMPUTED_VALUE"""),247519.2)</f>
        <v>247519.2</v>
      </c>
      <c r="I894" s="87"/>
    </row>
    <row r="895">
      <c r="A895" s="46" t="str">
        <f>IFERROR(__xludf.DUMMYFUNCTION("""COMPUTED_VALUE"""),"Europe")</f>
        <v>Europe</v>
      </c>
      <c r="B895" s="46" t="str">
        <f>IFERROR(__xludf.DUMMYFUNCTION("""COMPUTED_VALUE"""),"Poland")</f>
        <v>Poland</v>
      </c>
      <c r="C895" s="46" t="str">
        <f>IFERROR(__xludf.DUMMYFUNCTION("""COMPUTED_VALUE"""),"Baby Food")</f>
        <v>Baby Food</v>
      </c>
      <c r="D895" s="46">
        <f>IFERROR(__xludf.DUMMYFUNCTION("""COMPUTED_VALUE"""),21.0)</f>
        <v>21</v>
      </c>
      <c r="E895" s="46">
        <f>IFERROR(__xludf.DUMMYFUNCTION("""COMPUTED_VALUE"""),6.85233008E8)</f>
        <v>685233008</v>
      </c>
      <c r="F895" s="84">
        <f>IFERROR(__xludf.DUMMYFUNCTION("""COMPUTED_VALUE"""),1156163.12)</f>
        <v>1156163.12</v>
      </c>
      <c r="I895" s="87"/>
    </row>
    <row r="896">
      <c r="A896" s="46" t="str">
        <f>IFERROR(__xludf.DUMMYFUNCTION("""COMPUTED_VALUE"""),"Europe")</f>
        <v>Europe</v>
      </c>
      <c r="B896" s="46" t="str">
        <f>IFERROR(__xludf.DUMMYFUNCTION("""COMPUTED_VALUE"""),"Montenegro")</f>
        <v>Montenegro</v>
      </c>
      <c r="C896" s="46" t="str">
        <f>IFERROR(__xludf.DUMMYFUNCTION("""COMPUTED_VALUE"""),"Clothes")</f>
        <v>Clothes</v>
      </c>
      <c r="D896" s="46">
        <f>IFERROR(__xludf.DUMMYFUNCTION("""COMPUTED_VALUE"""),48.0)</f>
        <v>48</v>
      </c>
      <c r="E896" s="46">
        <f>IFERROR(__xludf.DUMMYFUNCTION("""COMPUTED_VALUE"""),6.8559693E8)</f>
        <v>685596930</v>
      </c>
      <c r="F896" s="84">
        <f>IFERROR(__xludf.DUMMYFUNCTION("""COMPUTED_VALUE"""),242820.16)</f>
        <v>242820.16</v>
      </c>
      <c r="I896" s="87"/>
    </row>
    <row r="897">
      <c r="A897" s="46" t="str">
        <f>IFERROR(__xludf.DUMMYFUNCTION("""COMPUTED_VALUE"""),"Europe")</f>
        <v>Europe</v>
      </c>
      <c r="B897" s="46" t="str">
        <f>IFERROR(__xludf.DUMMYFUNCTION("""COMPUTED_VALUE"""),"Greece")</f>
        <v>Greece</v>
      </c>
      <c r="C897" s="46" t="str">
        <f>IFERROR(__xludf.DUMMYFUNCTION("""COMPUTED_VALUE"""),"Cereal")</f>
        <v>Cereal</v>
      </c>
      <c r="D897" s="46">
        <f>IFERROR(__xludf.DUMMYFUNCTION("""COMPUTED_VALUE"""),47.0)</f>
        <v>47</v>
      </c>
      <c r="E897" s="46">
        <f>IFERROR(__xludf.DUMMYFUNCTION("""COMPUTED_VALUE"""),6.87374913E8)</f>
        <v>687374913</v>
      </c>
      <c r="F897" s="84">
        <f>IFERROR(__xludf.DUMMYFUNCTION("""COMPUTED_VALUE"""),1721091.9)</f>
        <v>1721091.9</v>
      </c>
      <c r="I897" s="87"/>
    </row>
    <row r="898">
      <c r="A898" s="46" t="str">
        <f>IFERROR(__xludf.DUMMYFUNCTION("""COMPUTED_VALUE"""),"Europe")</f>
        <v>Europe</v>
      </c>
      <c r="B898" s="46" t="str">
        <f>IFERROR(__xludf.DUMMYFUNCTION("""COMPUTED_VALUE"""),"Sweden")</f>
        <v>Sweden</v>
      </c>
      <c r="C898" s="46" t="str">
        <f>IFERROR(__xludf.DUMMYFUNCTION("""COMPUTED_VALUE"""),"Household")</f>
        <v>Household</v>
      </c>
      <c r="D898" s="46">
        <f>IFERROR(__xludf.DUMMYFUNCTION("""COMPUTED_VALUE"""),45.0)</f>
        <v>45</v>
      </c>
      <c r="E898" s="46">
        <f>IFERROR(__xludf.DUMMYFUNCTION("""COMPUTED_VALUE"""),6.88650786E8)</f>
        <v>688650786</v>
      </c>
      <c r="F898" s="84">
        <f>IFERROR(__xludf.DUMMYFUNCTION("""COMPUTED_VALUE"""),3960168.02)</f>
        <v>3960168.02</v>
      </c>
      <c r="I898" s="87"/>
    </row>
    <row r="899">
      <c r="A899" s="46" t="str">
        <f>IFERROR(__xludf.DUMMYFUNCTION("""COMPUTED_VALUE"""),"Europe")</f>
        <v>Europe</v>
      </c>
      <c r="B899" s="46" t="str">
        <f>IFERROR(__xludf.DUMMYFUNCTION("""COMPUTED_VALUE"""),"Netherlands")</f>
        <v>Netherlands</v>
      </c>
      <c r="C899" s="46" t="str">
        <f>IFERROR(__xludf.DUMMYFUNCTION("""COMPUTED_VALUE"""),"Vegetables")</f>
        <v>Vegetables</v>
      </c>
      <c r="D899" s="46">
        <f>IFERROR(__xludf.DUMMYFUNCTION("""COMPUTED_VALUE"""),20.0)</f>
        <v>20</v>
      </c>
      <c r="E899" s="46">
        <f>IFERROR(__xludf.DUMMYFUNCTION("""COMPUTED_VALUE"""),6.88698422E8)</f>
        <v>688698422</v>
      </c>
      <c r="F899" s="84">
        <f>IFERROR(__xludf.DUMMYFUNCTION("""COMPUTED_VALUE"""),3389.32)</f>
        <v>3389.32</v>
      </c>
      <c r="I899" s="87"/>
    </row>
    <row r="900">
      <c r="A900" s="46" t="str">
        <f>IFERROR(__xludf.DUMMYFUNCTION("""COMPUTED_VALUE"""),"Europe")</f>
        <v>Europe</v>
      </c>
      <c r="B900" s="46" t="str">
        <f>IFERROR(__xludf.DUMMYFUNCTION("""COMPUTED_VALUE"""),"Bulgaria")</f>
        <v>Bulgaria</v>
      </c>
      <c r="C900" s="46" t="str">
        <f>IFERROR(__xludf.DUMMYFUNCTION("""COMPUTED_VALUE"""),"Household")</f>
        <v>Household</v>
      </c>
      <c r="D900" s="46">
        <f>IFERROR(__xludf.DUMMYFUNCTION("""COMPUTED_VALUE"""),32.0)</f>
        <v>32</v>
      </c>
      <c r="E900" s="46">
        <f>IFERROR(__xludf.DUMMYFUNCTION("""COMPUTED_VALUE"""),6.88903129E8)</f>
        <v>688903129</v>
      </c>
      <c r="F900" s="84">
        <f>IFERROR(__xludf.DUMMYFUNCTION("""COMPUTED_VALUE"""),400962.0)</f>
        <v>400962</v>
      </c>
      <c r="I900" s="87"/>
    </row>
    <row r="901">
      <c r="A901" s="46" t="str">
        <f>IFERROR(__xludf.DUMMYFUNCTION("""COMPUTED_VALUE"""),"Europe")</f>
        <v>Europe</v>
      </c>
      <c r="B901" s="46" t="str">
        <f>IFERROR(__xludf.DUMMYFUNCTION("""COMPUTED_VALUE"""),"Hungary")</f>
        <v>Hungary</v>
      </c>
      <c r="C901" s="46" t="str">
        <f>IFERROR(__xludf.DUMMYFUNCTION("""COMPUTED_VALUE"""),"Cosmetics")</f>
        <v>Cosmetics</v>
      </c>
      <c r="D901" s="46">
        <f>IFERROR(__xludf.DUMMYFUNCTION("""COMPUTED_VALUE"""),43.0)</f>
        <v>43</v>
      </c>
      <c r="E901" s="46">
        <f>IFERROR(__xludf.DUMMYFUNCTION("""COMPUTED_VALUE"""),6.89349019E8)</f>
        <v>689349019</v>
      </c>
      <c r="F901" s="84">
        <f>IFERROR(__xludf.DUMMYFUNCTION("""COMPUTED_VALUE"""),1113985.5999999999)</f>
        <v>1113985.6</v>
      </c>
      <c r="I901" s="87"/>
    </row>
    <row r="902">
      <c r="A902" s="46" t="str">
        <f>IFERROR(__xludf.DUMMYFUNCTION("""COMPUTED_VALUE"""),"Europe")</f>
        <v>Europe</v>
      </c>
      <c r="B902" s="46" t="str">
        <f>IFERROR(__xludf.DUMMYFUNCTION("""COMPUTED_VALUE"""),"Italy")</f>
        <v>Italy</v>
      </c>
      <c r="C902" s="46" t="str">
        <f>IFERROR(__xludf.DUMMYFUNCTION("""COMPUTED_VALUE"""),"Clothes")</f>
        <v>Clothes</v>
      </c>
      <c r="D902" s="46">
        <f>IFERROR(__xludf.DUMMYFUNCTION("""COMPUTED_VALUE"""),21.0)</f>
        <v>21</v>
      </c>
      <c r="E902" s="46">
        <f>IFERROR(__xludf.DUMMYFUNCTION("""COMPUTED_VALUE"""),6.89421546E8)</f>
        <v>689421546</v>
      </c>
      <c r="F902" s="84">
        <f>IFERROR(__xludf.DUMMYFUNCTION("""COMPUTED_VALUE"""),438322.08)</f>
        <v>438322.08</v>
      </c>
      <c r="I902" s="87"/>
    </row>
    <row r="903">
      <c r="A903" s="46" t="str">
        <f>IFERROR(__xludf.DUMMYFUNCTION("""COMPUTED_VALUE"""),"Europe")</f>
        <v>Europe</v>
      </c>
      <c r="B903" s="46" t="str">
        <f>IFERROR(__xludf.DUMMYFUNCTION("""COMPUTED_VALUE"""),"Netherlands")</f>
        <v>Netherlands</v>
      </c>
      <c r="C903" s="46" t="str">
        <f>IFERROR(__xludf.DUMMYFUNCTION("""COMPUTED_VALUE"""),"Household")</f>
        <v>Household</v>
      </c>
      <c r="D903" s="46">
        <f>IFERROR(__xludf.DUMMYFUNCTION("""COMPUTED_VALUE"""),15.0)</f>
        <v>15</v>
      </c>
      <c r="E903" s="46">
        <f>IFERROR(__xludf.DUMMYFUNCTION("""COMPUTED_VALUE"""),6.9022063E8)</f>
        <v>690220630</v>
      </c>
      <c r="F903" s="84">
        <f>IFERROR(__xludf.DUMMYFUNCTION("""COMPUTED_VALUE"""),318764.79)</f>
        <v>318764.79</v>
      </c>
      <c r="I903" s="87"/>
    </row>
    <row r="904">
      <c r="A904" s="46" t="str">
        <f>IFERROR(__xludf.DUMMYFUNCTION("""COMPUTED_VALUE"""),"Europe")</f>
        <v>Europe</v>
      </c>
      <c r="B904" s="46" t="str">
        <f>IFERROR(__xludf.DUMMYFUNCTION("""COMPUTED_VALUE"""),"Slovenia")</f>
        <v>Slovenia</v>
      </c>
      <c r="C904" s="46" t="str">
        <f>IFERROR(__xludf.DUMMYFUNCTION("""COMPUTED_VALUE"""),"Vegetables")</f>
        <v>Vegetables</v>
      </c>
      <c r="D904" s="46">
        <f>IFERROR(__xludf.DUMMYFUNCTION("""COMPUTED_VALUE"""),37.0)</f>
        <v>37</v>
      </c>
      <c r="E904" s="46">
        <f>IFERROR(__xludf.DUMMYFUNCTION("""COMPUTED_VALUE"""),6.91383635E8)</f>
        <v>691383635</v>
      </c>
      <c r="F904" s="84">
        <f>IFERROR(__xludf.DUMMYFUNCTION("""COMPUTED_VALUE"""),714376.22)</f>
        <v>714376.22</v>
      </c>
      <c r="I904" s="87"/>
    </row>
    <row r="905">
      <c r="A905" s="46" t="str">
        <f>IFERROR(__xludf.DUMMYFUNCTION("""COMPUTED_VALUE"""),"Europe")</f>
        <v>Europe</v>
      </c>
      <c r="B905" s="46" t="str">
        <f>IFERROR(__xludf.DUMMYFUNCTION("""COMPUTED_VALUE"""),"Belarus")</f>
        <v>Belarus</v>
      </c>
      <c r="C905" s="46" t="str">
        <f>IFERROR(__xludf.DUMMYFUNCTION("""COMPUTED_VALUE"""),"Clothes")</f>
        <v>Clothes</v>
      </c>
      <c r="D905" s="46">
        <f>IFERROR(__xludf.DUMMYFUNCTION("""COMPUTED_VALUE"""),32.0)</f>
        <v>32</v>
      </c>
      <c r="E905" s="46">
        <f>IFERROR(__xludf.DUMMYFUNCTION("""COMPUTED_VALUE"""),6.91760861E8)</f>
        <v>691760861</v>
      </c>
      <c r="F905" s="84">
        <f>IFERROR(__xludf.DUMMYFUNCTION("""COMPUTED_VALUE"""),684748.48)</f>
        <v>684748.48</v>
      </c>
      <c r="I905" s="87"/>
    </row>
    <row r="906">
      <c r="A906" s="46" t="str">
        <f>IFERROR(__xludf.DUMMYFUNCTION("""COMPUTED_VALUE"""),"Europe")</f>
        <v>Europe</v>
      </c>
      <c r="B906" s="46" t="str">
        <f>IFERROR(__xludf.DUMMYFUNCTION("""COMPUTED_VALUE"""),"Czech Republic")</f>
        <v>Czech Republic</v>
      </c>
      <c r="C906" s="46" t="str">
        <f>IFERROR(__xludf.DUMMYFUNCTION("""COMPUTED_VALUE"""),"Meat")</f>
        <v>Meat</v>
      </c>
      <c r="D906" s="46">
        <f>IFERROR(__xludf.DUMMYFUNCTION("""COMPUTED_VALUE"""),23.0)</f>
        <v>23</v>
      </c>
      <c r="E906" s="46">
        <f>IFERROR(__xludf.DUMMYFUNCTION("""COMPUTED_VALUE"""),6.92555224E8)</f>
        <v>692555224</v>
      </c>
      <c r="F906" s="84">
        <f>IFERROR(__xludf.DUMMYFUNCTION("""COMPUTED_VALUE"""),563645.04)</f>
        <v>563645.04</v>
      </c>
      <c r="I906" s="87"/>
    </row>
    <row r="907">
      <c r="A907" s="46" t="str">
        <f>IFERROR(__xludf.DUMMYFUNCTION("""COMPUTED_VALUE"""),"Europe")</f>
        <v>Europe</v>
      </c>
      <c r="B907" s="46" t="str">
        <f>IFERROR(__xludf.DUMMYFUNCTION("""COMPUTED_VALUE"""),"Italy")</f>
        <v>Italy</v>
      </c>
      <c r="C907" s="46" t="str">
        <f>IFERROR(__xludf.DUMMYFUNCTION("""COMPUTED_VALUE"""),"Household")</f>
        <v>Household</v>
      </c>
      <c r="D907" s="46">
        <f>IFERROR(__xludf.DUMMYFUNCTION("""COMPUTED_VALUE"""),32.0)</f>
        <v>32</v>
      </c>
      <c r="E907" s="46">
        <f>IFERROR(__xludf.DUMMYFUNCTION("""COMPUTED_VALUE"""),6.92704999E8)</f>
        <v>692704999</v>
      </c>
      <c r="F907" s="84">
        <f>IFERROR(__xludf.DUMMYFUNCTION("""COMPUTED_VALUE"""),3780403.3899999997)</f>
        <v>3780403.39</v>
      </c>
      <c r="I907" s="87"/>
    </row>
    <row r="908">
      <c r="A908" s="46" t="str">
        <f>IFERROR(__xludf.DUMMYFUNCTION("""COMPUTED_VALUE"""),"Europe")</f>
        <v>Europe</v>
      </c>
      <c r="B908" s="46" t="str">
        <f>IFERROR(__xludf.DUMMYFUNCTION("""COMPUTED_VALUE"""),"Germany")</f>
        <v>Germany</v>
      </c>
      <c r="C908" s="46" t="str">
        <f>IFERROR(__xludf.DUMMYFUNCTION("""COMPUTED_VALUE"""),"Meat")</f>
        <v>Meat</v>
      </c>
      <c r="D908" s="46">
        <f>IFERROR(__xludf.DUMMYFUNCTION("""COMPUTED_VALUE"""),10.0)</f>
        <v>10</v>
      </c>
      <c r="E908" s="46">
        <f>IFERROR(__xludf.DUMMYFUNCTION("""COMPUTED_VALUE"""),6.92757356E8)</f>
        <v>692757356</v>
      </c>
      <c r="F908" s="84">
        <f>IFERROR(__xludf.DUMMYFUNCTION("""COMPUTED_VALUE"""),485595.38999999996)</f>
        <v>485595.39</v>
      </c>
      <c r="I908" s="87"/>
    </row>
    <row r="909">
      <c r="A909" s="46" t="str">
        <f>IFERROR(__xludf.DUMMYFUNCTION("""COMPUTED_VALUE"""),"Europe")</f>
        <v>Europe</v>
      </c>
      <c r="B909" s="46" t="str">
        <f>IFERROR(__xludf.DUMMYFUNCTION("""COMPUTED_VALUE"""),"United Kingdom")</f>
        <v>United Kingdom</v>
      </c>
      <c r="C909" s="46" t="str">
        <f>IFERROR(__xludf.DUMMYFUNCTION("""COMPUTED_VALUE"""),"Cosmetics")</f>
        <v>Cosmetics</v>
      </c>
      <c r="D909" s="46">
        <f>IFERROR(__xludf.DUMMYFUNCTION("""COMPUTED_VALUE"""),21.0)</f>
        <v>21</v>
      </c>
      <c r="E909" s="46">
        <f>IFERROR(__xludf.DUMMYFUNCTION("""COMPUTED_VALUE"""),6.92952191E8)</f>
        <v>692952191</v>
      </c>
      <c r="F909" s="84">
        <f>IFERROR(__xludf.DUMMYFUNCTION("""COMPUTED_VALUE"""),3850420.4)</f>
        <v>3850420.4</v>
      </c>
      <c r="I909" s="87"/>
    </row>
    <row r="910">
      <c r="A910" s="46" t="str">
        <f>IFERROR(__xludf.DUMMYFUNCTION("""COMPUTED_VALUE"""),"Asia")</f>
        <v>Asia</v>
      </c>
      <c r="B910" s="46" t="str">
        <f>IFERROR(__xludf.DUMMYFUNCTION("""COMPUTED_VALUE"""),"Armenia")</f>
        <v>Armenia</v>
      </c>
      <c r="C910" s="46" t="str">
        <f>IFERROR(__xludf.DUMMYFUNCTION("""COMPUTED_VALUE"""),"Meat")</f>
        <v>Meat</v>
      </c>
      <c r="D910" s="46">
        <f>IFERROR(__xludf.DUMMYFUNCTION("""COMPUTED_VALUE"""),49.0)</f>
        <v>49</v>
      </c>
      <c r="E910" s="46">
        <f>IFERROR(__xludf.DUMMYFUNCTION("""COMPUTED_VALUE"""),6.93210542E8)</f>
        <v>693210542</v>
      </c>
      <c r="F910" s="84">
        <f>IFERROR(__xludf.DUMMYFUNCTION("""COMPUTED_VALUE"""),2218719.51)</f>
        <v>2218719.51</v>
      </c>
      <c r="I910" s="87"/>
    </row>
    <row r="911">
      <c r="A911" s="46" t="str">
        <f>IFERROR(__xludf.DUMMYFUNCTION("""COMPUTED_VALUE"""),"Europe")</f>
        <v>Europe</v>
      </c>
      <c r="B911" s="46" t="str">
        <f>IFERROR(__xludf.DUMMYFUNCTION("""COMPUTED_VALUE"""),"Czech Republic")</f>
        <v>Czech Republic</v>
      </c>
      <c r="C911" s="46" t="str">
        <f>IFERROR(__xludf.DUMMYFUNCTION("""COMPUTED_VALUE"""),"Meat")</f>
        <v>Meat</v>
      </c>
      <c r="D911" s="46">
        <f>IFERROR(__xludf.DUMMYFUNCTION("""COMPUTED_VALUE"""),32.0)</f>
        <v>32</v>
      </c>
      <c r="E911" s="46">
        <f>IFERROR(__xludf.DUMMYFUNCTION("""COMPUTED_VALUE"""),6.93583905E8)</f>
        <v>693583905</v>
      </c>
      <c r="F911" s="84">
        <f>IFERROR(__xludf.DUMMYFUNCTION("""COMPUTED_VALUE"""),2423758.05)</f>
        <v>2423758.05</v>
      </c>
      <c r="I911" s="87"/>
    </row>
    <row r="912">
      <c r="A912" s="46" t="str">
        <f>IFERROR(__xludf.DUMMYFUNCTION("""COMPUTED_VALUE"""),"Europe")</f>
        <v>Europe</v>
      </c>
      <c r="B912" s="46" t="str">
        <f>IFERROR(__xludf.DUMMYFUNCTION("""COMPUTED_VALUE"""),"Romania")</f>
        <v>Romania</v>
      </c>
      <c r="C912" s="46" t="str">
        <f>IFERROR(__xludf.DUMMYFUNCTION("""COMPUTED_VALUE"""),"Baby Food")</f>
        <v>Baby Food</v>
      </c>
      <c r="D912" s="46">
        <f>IFERROR(__xludf.DUMMYFUNCTION("""COMPUTED_VALUE"""),21.0)</f>
        <v>21</v>
      </c>
      <c r="E912" s="46">
        <f>IFERROR(__xludf.DUMMYFUNCTION("""COMPUTED_VALUE"""),6.93831098E8)</f>
        <v>693831098</v>
      </c>
      <c r="F912" s="84">
        <f>IFERROR(__xludf.DUMMYFUNCTION("""COMPUTED_VALUE"""),2270715.6)</f>
        <v>2270715.6</v>
      </c>
      <c r="I912" s="87"/>
    </row>
    <row r="913">
      <c r="A913" s="46" t="str">
        <f>IFERROR(__xludf.DUMMYFUNCTION("""COMPUTED_VALUE"""),"Europe")</f>
        <v>Europe</v>
      </c>
      <c r="B913" s="46" t="str">
        <f>IFERROR(__xludf.DUMMYFUNCTION("""COMPUTED_VALUE"""),"Netherlands")</f>
        <v>Netherlands</v>
      </c>
      <c r="C913" s="46" t="str">
        <f>IFERROR(__xludf.DUMMYFUNCTION("""COMPUTED_VALUE"""),"Baby Food")</f>
        <v>Baby Food</v>
      </c>
      <c r="D913" s="46">
        <f>IFERROR(__xludf.DUMMYFUNCTION("""COMPUTED_VALUE"""),5.0)</f>
        <v>5</v>
      </c>
      <c r="E913" s="46">
        <f>IFERROR(__xludf.DUMMYFUNCTION("""COMPUTED_VALUE"""),6.94771802E8)</f>
        <v>694771802</v>
      </c>
      <c r="F913" s="84">
        <f>IFERROR(__xludf.DUMMYFUNCTION("""COMPUTED_VALUE"""),1855885.6)</f>
        <v>1855885.6</v>
      </c>
      <c r="I913" s="87"/>
    </row>
    <row r="914">
      <c r="A914" s="46" t="str">
        <f>IFERROR(__xludf.DUMMYFUNCTION("""COMPUTED_VALUE"""),"Europe")</f>
        <v>Europe</v>
      </c>
      <c r="B914" s="46" t="str">
        <f>IFERROR(__xludf.DUMMYFUNCTION("""COMPUTED_VALUE"""),"Albania")</f>
        <v>Albania</v>
      </c>
      <c r="C914" s="46" t="str">
        <f>IFERROR(__xludf.DUMMYFUNCTION("""COMPUTED_VALUE"""),"Cosmetics")</f>
        <v>Cosmetics</v>
      </c>
      <c r="D914" s="46">
        <f>IFERROR(__xludf.DUMMYFUNCTION("""COMPUTED_VALUE"""),33.0)</f>
        <v>33</v>
      </c>
      <c r="E914" s="46">
        <f>IFERROR(__xludf.DUMMYFUNCTION("""COMPUTED_VALUE"""),6.9491471E8)</f>
        <v>694914710</v>
      </c>
      <c r="F914" s="84">
        <f>IFERROR(__xludf.DUMMYFUNCTION("""COMPUTED_VALUE"""),4179632.0)</f>
        <v>4179632</v>
      </c>
      <c r="I914" s="87"/>
    </row>
    <row r="915">
      <c r="A915" s="46" t="str">
        <f>IFERROR(__xludf.DUMMYFUNCTION("""COMPUTED_VALUE"""),"Europe")</f>
        <v>Europe</v>
      </c>
      <c r="B915" s="46" t="str">
        <f>IFERROR(__xludf.DUMMYFUNCTION("""COMPUTED_VALUE"""),"Belgium")</f>
        <v>Belgium</v>
      </c>
      <c r="C915" s="46" t="str">
        <f>IFERROR(__xludf.DUMMYFUNCTION("""COMPUTED_VALUE"""),"Cosmetics")</f>
        <v>Cosmetics</v>
      </c>
      <c r="D915" s="46">
        <f>IFERROR(__xludf.DUMMYFUNCTION("""COMPUTED_VALUE"""),39.0)</f>
        <v>39</v>
      </c>
      <c r="E915" s="46">
        <f>IFERROR(__xludf.DUMMYFUNCTION("""COMPUTED_VALUE"""),6.95059764E8)</f>
        <v>695059764</v>
      </c>
      <c r="F915" s="84">
        <f>IFERROR(__xludf.DUMMYFUNCTION("""COMPUTED_VALUE"""),1086442.0)</f>
        <v>1086442</v>
      </c>
      <c r="I915" s="87"/>
    </row>
    <row r="916">
      <c r="A916" s="46" t="str">
        <f>IFERROR(__xludf.DUMMYFUNCTION("""COMPUTED_VALUE"""),"Europe")</f>
        <v>Europe</v>
      </c>
      <c r="B916" s="46" t="str">
        <f>IFERROR(__xludf.DUMMYFUNCTION("""COMPUTED_VALUE"""),"Andorra")</f>
        <v>Andorra</v>
      </c>
      <c r="C916" s="46" t="str">
        <f>IFERROR(__xludf.DUMMYFUNCTION("""COMPUTED_VALUE"""),"Cereal")</f>
        <v>Cereal</v>
      </c>
      <c r="D916" s="46">
        <f>IFERROR(__xludf.DUMMYFUNCTION("""COMPUTED_VALUE"""),7.0)</f>
        <v>7</v>
      </c>
      <c r="E916" s="46">
        <f>IFERROR(__xludf.DUMMYFUNCTION("""COMPUTED_VALUE"""),6.96197879E8)</f>
        <v>696197879</v>
      </c>
      <c r="F916" s="84">
        <f>IFERROR(__xludf.DUMMYFUNCTION("""COMPUTED_VALUE"""),1908484.5999999999)</f>
        <v>1908484.6</v>
      </c>
      <c r="I916" s="87"/>
    </row>
    <row r="917">
      <c r="A917" s="46" t="str">
        <f>IFERROR(__xludf.DUMMYFUNCTION("""COMPUTED_VALUE"""),"Europe")</f>
        <v>Europe</v>
      </c>
      <c r="B917" s="46" t="str">
        <f>IFERROR(__xludf.DUMMYFUNCTION("""COMPUTED_VALUE"""),"Macedonia")</f>
        <v>Macedonia</v>
      </c>
      <c r="C917" s="46" t="str">
        <f>IFERROR(__xludf.DUMMYFUNCTION("""COMPUTED_VALUE"""),"Office Supplies")</f>
        <v>Office Supplies</v>
      </c>
      <c r="D917" s="46">
        <f>IFERROR(__xludf.DUMMYFUNCTION("""COMPUTED_VALUE"""),16.0)</f>
        <v>16</v>
      </c>
      <c r="E917" s="46">
        <f>IFERROR(__xludf.DUMMYFUNCTION("""COMPUTED_VALUE"""),6.96839892E8)</f>
        <v>696839892</v>
      </c>
      <c r="F917" s="84">
        <f>IFERROR(__xludf.DUMMYFUNCTION("""COMPUTED_VALUE"""),6032809.44)</f>
        <v>6032809.44</v>
      </c>
      <c r="I917" s="87"/>
    </row>
    <row r="918">
      <c r="A918" s="46" t="str">
        <f>IFERROR(__xludf.DUMMYFUNCTION("""COMPUTED_VALUE"""),"Europe")</f>
        <v>Europe</v>
      </c>
      <c r="B918" s="46" t="str">
        <f>IFERROR(__xludf.DUMMYFUNCTION("""COMPUTED_VALUE"""),"Norway")</f>
        <v>Norway</v>
      </c>
      <c r="C918" s="46" t="str">
        <f>IFERROR(__xludf.DUMMYFUNCTION("""COMPUTED_VALUE"""),"Meat")</f>
        <v>Meat</v>
      </c>
      <c r="D918" s="46">
        <f>IFERROR(__xludf.DUMMYFUNCTION("""COMPUTED_VALUE"""),19.0)</f>
        <v>19</v>
      </c>
      <c r="E918" s="46">
        <f>IFERROR(__xludf.DUMMYFUNCTION("""COMPUTED_VALUE"""),6.96844613E8)</f>
        <v>696844613</v>
      </c>
      <c r="F918" s="84">
        <f>IFERROR(__xludf.DUMMYFUNCTION("""COMPUTED_VALUE"""),278869.29)</f>
        <v>278869.29</v>
      </c>
      <c r="I918" s="87"/>
    </row>
    <row r="919">
      <c r="A919" s="46" t="str">
        <f>IFERROR(__xludf.DUMMYFUNCTION("""COMPUTED_VALUE"""),"Undefined")</f>
        <v>Undefined</v>
      </c>
      <c r="B919" s="46" t="str">
        <f>IFERROR(__xludf.DUMMYFUNCTION("""COMPUTED_VALUE"""),"Undefined")</f>
        <v>Undefined</v>
      </c>
      <c r="C919" s="46" t="str">
        <f>IFERROR(__xludf.DUMMYFUNCTION("""COMPUTED_VALUE"""),"Meat")</f>
        <v>Meat</v>
      </c>
      <c r="D919" s="46">
        <f>IFERROR(__xludf.DUMMYFUNCTION("""COMPUTED_VALUE"""),24.0)</f>
        <v>24</v>
      </c>
      <c r="E919" s="46">
        <f>IFERROR(__xludf.DUMMYFUNCTION("""COMPUTED_VALUE"""),6.97617518E8)</f>
        <v>697617518</v>
      </c>
      <c r="F919" s="84">
        <f>IFERROR(__xludf.DUMMYFUNCTION("""COMPUTED_VALUE"""),3957750.09)</f>
        <v>3957750.09</v>
      </c>
      <c r="I919" s="87"/>
    </row>
    <row r="920">
      <c r="A920" s="46" t="str">
        <f>IFERROR(__xludf.DUMMYFUNCTION("""COMPUTED_VALUE"""),"Europe")</f>
        <v>Europe</v>
      </c>
      <c r="B920" s="46" t="str">
        <f>IFERROR(__xludf.DUMMYFUNCTION("""COMPUTED_VALUE"""),"Serbia")</f>
        <v>Serbia</v>
      </c>
      <c r="C920" s="46" t="str">
        <f>IFERROR(__xludf.DUMMYFUNCTION("""COMPUTED_VALUE"""),"Vegetables")</f>
        <v>Vegetables</v>
      </c>
      <c r="D920" s="46">
        <f>IFERROR(__xludf.DUMMYFUNCTION("""COMPUTED_VALUE"""),10.0)</f>
        <v>10</v>
      </c>
      <c r="E920" s="46">
        <f>IFERROR(__xludf.DUMMYFUNCTION("""COMPUTED_VALUE"""),6.97638976E8)</f>
        <v>697638976</v>
      </c>
      <c r="F920" s="84">
        <f>IFERROR(__xludf.DUMMYFUNCTION("""COMPUTED_VALUE"""),882917.86)</f>
        <v>882917.86</v>
      </c>
      <c r="I920" s="87"/>
    </row>
    <row r="921">
      <c r="A921" s="46" t="str">
        <f>IFERROR(__xludf.DUMMYFUNCTION("""COMPUTED_VALUE"""),"Undefined")</f>
        <v>Undefined</v>
      </c>
      <c r="B921" s="46" t="str">
        <f>IFERROR(__xludf.DUMMYFUNCTION("""COMPUTED_VALUE"""),"Undefined")</f>
        <v>Undefined</v>
      </c>
      <c r="C921" s="46" t="str">
        <f>IFERROR(__xludf.DUMMYFUNCTION("""COMPUTED_VALUE"""),"Vegetables")</f>
        <v>Vegetables</v>
      </c>
      <c r="D921" s="46">
        <f>IFERROR(__xludf.DUMMYFUNCTION("""COMPUTED_VALUE"""),11.0)</f>
        <v>11</v>
      </c>
      <c r="E921" s="46">
        <f>IFERROR(__xludf.DUMMYFUNCTION("""COMPUTED_VALUE"""),7.00069701E8)</f>
        <v>700069701</v>
      </c>
      <c r="F921" s="84">
        <f>IFERROR(__xludf.DUMMYFUNCTION("""COMPUTED_VALUE"""),776000.22)</f>
        <v>776000.22</v>
      </c>
      <c r="I921" s="87"/>
    </row>
    <row r="922">
      <c r="A922" s="46" t="str">
        <f>IFERROR(__xludf.DUMMYFUNCTION("""COMPUTED_VALUE"""),"Europe")</f>
        <v>Europe</v>
      </c>
      <c r="B922" s="46" t="str">
        <f>IFERROR(__xludf.DUMMYFUNCTION("""COMPUTED_VALUE"""),"Slovenia")</f>
        <v>Slovenia</v>
      </c>
      <c r="C922" s="46" t="str">
        <f>IFERROR(__xludf.DUMMYFUNCTION("""COMPUTED_VALUE"""),"Personal Care")</f>
        <v>Personal Care</v>
      </c>
      <c r="D922" s="46">
        <f>IFERROR(__xludf.DUMMYFUNCTION("""COMPUTED_VALUE"""),28.0)</f>
        <v>28</v>
      </c>
      <c r="E922" s="46">
        <f>IFERROR(__xludf.DUMMYFUNCTION("""COMPUTED_VALUE"""),7.00304019E8)</f>
        <v>700304019</v>
      </c>
      <c r="F922" s="84">
        <f>IFERROR(__xludf.DUMMYFUNCTION("""COMPUTED_VALUE"""),357650.48000000004)</f>
        <v>357650.48</v>
      </c>
      <c r="I922" s="87"/>
    </row>
    <row r="923">
      <c r="A923" s="46" t="str">
        <f>IFERROR(__xludf.DUMMYFUNCTION("""COMPUTED_VALUE"""),"Europe")</f>
        <v>Europe</v>
      </c>
      <c r="B923" s="46" t="str">
        <f>IFERROR(__xludf.DUMMYFUNCTION("""COMPUTED_VALUE"""),"Greece")</f>
        <v>Greece</v>
      </c>
      <c r="C923" s="46" t="str">
        <f>IFERROR(__xludf.DUMMYFUNCTION("""COMPUTED_VALUE"""),"Personal Care")</f>
        <v>Personal Care</v>
      </c>
      <c r="D923" s="46">
        <f>IFERROR(__xludf.DUMMYFUNCTION("""COMPUTED_VALUE"""),29.0)</f>
        <v>29</v>
      </c>
      <c r="E923" s="46">
        <f>IFERROR(__xludf.DUMMYFUNCTION("""COMPUTED_VALUE"""),7.01298367E8)</f>
        <v>701298367</v>
      </c>
      <c r="F923" s="84">
        <f>IFERROR(__xludf.DUMMYFUNCTION("""COMPUTED_VALUE"""),705002.98)</f>
        <v>705002.98</v>
      </c>
      <c r="I923" s="87"/>
    </row>
    <row r="924">
      <c r="A924" s="46" t="str">
        <f>IFERROR(__xludf.DUMMYFUNCTION("""COMPUTED_VALUE"""),"Europe")</f>
        <v>Europe</v>
      </c>
      <c r="B924" s="46" t="str">
        <f>IFERROR(__xludf.DUMMYFUNCTION("""COMPUTED_VALUE"""),"Ireland")</f>
        <v>Ireland</v>
      </c>
      <c r="C924" s="46" t="str">
        <f>IFERROR(__xludf.DUMMYFUNCTION("""COMPUTED_VALUE"""),"Personal Care")</f>
        <v>Personal Care</v>
      </c>
      <c r="D924" s="46">
        <f>IFERROR(__xludf.DUMMYFUNCTION("""COMPUTED_VALUE"""),30.0)</f>
        <v>30</v>
      </c>
      <c r="E924" s="46">
        <f>IFERROR(__xludf.DUMMYFUNCTION("""COMPUTED_VALUE"""),7.02357947E8)</f>
        <v>702357947</v>
      </c>
      <c r="F924" s="84">
        <f>IFERROR(__xludf.DUMMYFUNCTION("""COMPUTED_VALUE"""),178089.67)</f>
        <v>178089.67</v>
      </c>
      <c r="I924" s="87"/>
    </row>
    <row r="925">
      <c r="A925" s="46" t="str">
        <f>IFERROR(__xludf.DUMMYFUNCTION("""COMPUTED_VALUE"""),"Europe")</f>
        <v>Europe</v>
      </c>
      <c r="B925" s="46" t="str">
        <f>IFERROR(__xludf.DUMMYFUNCTION("""COMPUTED_VALUE"""),"Denmark")</f>
        <v>Denmark</v>
      </c>
      <c r="C925" s="46" t="str">
        <f>IFERROR(__xludf.DUMMYFUNCTION("""COMPUTED_VALUE"""),"Household")</f>
        <v>Household</v>
      </c>
      <c r="D925" s="46">
        <f>IFERROR(__xludf.DUMMYFUNCTION("""COMPUTED_VALUE"""),21.0)</f>
        <v>21</v>
      </c>
      <c r="E925" s="46">
        <f>IFERROR(__xludf.DUMMYFUNCTION("""COMPUTED_VALUE"""),7.02815854E8)</f>
        <v>702815854</v>
      </c>
      <c r="F925" s="84">
        <f>IFERROR(__xludf.DUMMYFUNCTION("""COMPUTED_VALUE"""),5134986.68)</f>
        <v>5134986.68</v>
      </c>
      <c r="I925" s="87"/>
    </row>
    <row r="926">
      <c r="A926" s="46" t="str">
        <f>IFERROR(__xludf.DUMMYFUNCTION("""COMPUTED_VALUE"""),"Europe")</f>
        <v>Europe</v>
      </c>
      <c r="B926" s="46" t="str">
        <f>IFERROR(__xludf.DUMMYFUNCTION("""COMPUTED_VALUE"""),"Serbia")</f>
        <v>Serbia</v>
      </c>
      <c r="C926" s="46" t="str">
        <f>IFERROR(__xludf.DUMMYFUNCTION("""COMPUTED_VALUE"""),"Snacks")</f>
        <v>Snacks</v>
      </c>
      <c r="D926" s="46">
        <f>IFERROR(__xludf.DUMMYFUNCTION("""COMPUTED_VALUE"""),12.0)</f>
        <v>12</v>
      </c>
      <c r="E926" s="46">
        <f>IFERROR(__xludf.DUMMYFUNCTION("""COMPUTED_VALUE"""),7.03966844E8)</f>
        <v>703966844</v>
      </c>
      <c r="F926" s="84">
        <f>IFERROR(__xludf.DUMMYFUNCTION("""COMPUTED_VALUE"""),1264583.04)</f>
        <v>1264583.04</v>
      </c>
      <c r="I926" s="87"/>
    </row>
    <row r="927">
      <c r="A927" s="46" t="str">
        <f>IFERROR(__xludf.DUMMYFUNCTION("""COMPUTED_VALUE"""),"Europe")</f>
        <v>Europe</v>
      </c>
      <c r="B927" s="46" t="str">
        <f>IFERROR(__xludf.DUMMYFUNCTION("""COMPUTED_VALUE"""),"Macedonia")</f>
        <v>Macedonia</v>
      </c>
      <c r="C927" s="46" t="str">
        <f>IFERROR(__xludf.DUMMYFUNCTION("""COMPUTED_VALUE"""),"Beverages")</f>
        <v>Beverages</v>
      </c>
      <c r="D927" s="46">
        <f>IFERROR(__xludf.DUMMYFUNCTION("""COMPUTED_VALUE"""),45.0)</f>
        <v>45</v>
      </c>
      <c r="E927" s="46">
        <f>IFERROR(__xludf.DUMMYFUNCTION("""COMPUTED_VALUE"""),7.04139363E8)</f>
        <v>704139363</v>
      </c>
      <c r="F927" s="84">
        <f>IFERROR(__xludf.DUMMYFUNCTION("""COMPUTED_VALUE"""),443183.0)</f>
        <v>443183</v>
      </c>
      <c r="I927" s="87"/>
    </row>
    <row r="928">
      <c r="A928" s="46" t="str">
        <f>IFERROR(__xludf.DUMMYFUNCTION("""COMPUTED_VALUE"""),"Europe")</f>
        <v>Europe</v>
      </c>
      <c r="B928" s="46" t="str">
        <f>IFERROR(__xludf.DUMMYFUNCTION("""COMPUTED_VALUE"""),"Italy")</f>
        <v>Italy</v>
      </c>
      <c r="C928" s="46" t="str">
        <f>IFERROR(__xludf.DUMMYFUNCTION("""COMPUTED_VALUE"""),"Fruits")</f>
        <v>Fruits</v>
      </c>
      <c r="D928" s="46">
        <f>IFERROR(__xludf.DUMMYFUNCTION("""COMPUTED_VALUE"""),9.0)</f>
        <v>9</v>
      </c>
      <c r="E928" s="46">
        <f>IFERROR(__xludf.DUMMYFUNCTION("""COMPUTED_VALUE"""),7.04233348E8)</f>
        <v>704233348</v>
      </c>
      <c r="F928" s="84">
        <f>IFERROR(__xludf.DUMMYFUNCTION("""COMPUTED_VALUE"""),66728.16)</f>
        <v>66728.16</v>
      </c>
      <c r="I928" s="87"/>
    </row>
    <row r="929">
      <c r="A929" s="46" t="str">
        <f>IFERROR(__xludf.DUMMYFUNCTION("""COMPUTED_VALUE"""),"Europe")</f>
        <v>Europe</v>
      </c>
      <c r="B929" s="46" t="str">
        <f>IFERROR(__xludf.DUMMYFUNCTION("""COMPUTED_VALUE"""),"Slovakia")</f>
        <v>Slovakia</v>
      </c>
      <c r="C929" s="46" t="str">
        <f>IFERROR(__xludf.DUMMYFUNCTION("""COMPUTED_VALUE"""),"Household")</f>
        <v>Household</v>
      </c>
      <c r="D929" s="46">
        <f>IFERROR(__xludf.DUMMYFUNCTION("""COMPUTED_VALUE"""),31.0)</f>
        <v>31</v>
      </c>
      <c r="E929" s="46">
        <f>IFERROR(__xludf.DUMMYFUNCTION("""COMPUTED_VALUE"""),7.04361665E8)</f>
        <v>704361665</v>
      </c>
      <c r="F929" s="84">
        <f>IFERROR(__xludf.DUMMYFUNCTION("""COMPUTED_VALUE"""),3424215.48)</f>
        <v>3424215.48</v>
      </c>
      <c r="I929" s="87"/>
    </row>
    <row r="930">
      <c r="A930" s="46" t="str">
        <f>IFERROR(__xludf.DUMMYFUNCTION("""COMPUTED_VALUE"""),"Europe")</f>
        <v>Europe</v>
      </c>
      <c r="B930" s="46" t="str">
        <f>IFERROR(__xludf.DUMMYFUNCTION("""COMPUTED_VALUE"""),"Iceland")</f>
        <v>Iceland</v>
      </c>
      <c r="C930" s="46" t="str">
        <f>IFERROR(__xludf.DUMMYFUNCTION("""COMPUTED_VALUE"""),"Vegetables")</f>
        <v>Vegetables</v>
      </c>
      <c r="D930" s="46">
        <f>IFERROR(__xludf.DUMMYFUNCTION("""COMPUTED_VALUE"""),13.0)</f>
        <v>13</v>
      </c>
      <c r="E930" s="46">
        <f>IFERROR(__xludf.DUMMYFUNCTION("""COMPUTED_VALUE"""),7.06176555E8)</f>
        <v>706176555</v>
      </c>
      <c r="F930" s="84">
        <f>IFERROR(__xludf.DUMMYFUNCTION("""COMPUTED_VALUE"""),337391.4)</f>
        <v>337391.4</v>
      </c>
      <c r="I930" s="87"/>
    </row>
    <row r="931">
      <c r="A931" s="46" t="str">
        <f>IFERROR(__xludf.DUMMYFUNCTION("""COMPUTED_VALUE"""),"Europe")</f>
        <v>Europe</v>
      </c>
      <c r="B931" s="46" t="str">
        <f>IFERROR(__xludf.DUMMYFUNCTION("""COMPUTED_VALUE"""),"Greece")</f>
        <v>Greece</v>
      </c>
      <c r="C931" s="46" t="str">
        <f>IFERROR(__xludf.DUMMYFUNCTION("""COMPUTED_VALUE"""),"Household")</f>
        <v>Household</v>
      </c>
      <c r="D931" s="46">
        <f>IFERROR(__xludf.DUMMYFUNCTION("""COMPUTED_VALUE"""),19.0)</f>
        <v>19</v>
      </c>
      <c r="E931" s="46">
        <f>IFERROR(__xludf.DUMMYFUNCTION("""COMPUTED_VALUE"""),7.06301438E8)</f>
        <v>706301438</v>
      </c>
      <c r="F931" s="84">
        <f>IFERROR(__xludf.DUMMYFUNCTION("""COMPUTED_VALUE"""),6111997.42)</f>
        <v>6111997.42</v>
      </c>
      <c r="I931" s="87"/>
    </row>
    <row r="932">
      <c r="A932" s="46" t="str">
        <f>IFERROR(__xludf.DUMMYFUNCTION("""COMPUTED_VALUE"""),"Europe")</f>
        <v>Europe</v>
      </c>
      <c r="B932" s="46" t="str">
        <f>IFERROR(__xludf.DUMMYFUNCTION("""COMPUTED_VALUE"""),"Luxembourg")</f>
        <v>Luxembourg</v>
      </c>
      <c r="C932" s="46" t="str">
        <f>IFERROR(__xludf.DUMMYFUNCTION("""COMPUTED_VALUE"""),"Fruits")</f>
        <v>Fruits</v>
      </c>
      <c r="D932" s="46">
        <f>IFERROR(__xludf.DUMMYFUNCTION("""COMPUTED_VALUE"""),26.0)</f>
        <v>26</v>
      </c>
      <c r="E932" s="46">
        <f>IFERROR(__xludf.DUMMYFUNCTION("""COMPUTED_VALUE"""),7.07661855E8)</f>
        <v>707661855</v>
      </c>
      <c r="F932" s="84">
        <f>IFERROR(__xludf.DUMMYFUNCTION("""COMPUTED_VALUE"""),16075.59)</f>
        <v>16075.59</v>
      </c>
      <c r="I932" s="87"/>
    </row>
    <row r="933">
      <c r="A933" s="46" t="str">
        <f>IFERROR(__xludf.DUMMYFUNCTION("""COMPUTED_VALUE"""),"Europe")</f>
        <v>Europe</v>
      </c>
      <c r="B933" s="46" t="str">
        <f>IFERROR(__xludf.DUMMYFUNCTION("""COMPUTED_VALUE"""),"Macedonia")</f>
        <v>Macedonia</v>
      </c>
      <c r="C933" s="46" t="str">
        <f>IFERROR(__xludf.DUMMYFUNCTION("""COMPUTED_VALUE"""),"Fruits")</f>
        <v>Fruits</v>
      </c>
      <c r="D933" s="46">
        <f>IFERROR(__xludf.DUMMYFUNCTION("""COMPUTED_VALUE"""),7.0)</f>
        <v>7</v>
      </c>
      <c r="E933" s="46">
        <f>IFERROR(__xludf.DUMMYFUNCTION("""COMPUTED_VALUE"""),7.07718932E8)</f>
        <v>707718932</v>
      </c>
      <c r="F933" s="84">
        <f>IFERROR(__xludf.DUMMYFUNCTION("""COMPUTED_VALUE"""),80368.62)</f>
        <v>80368.62</v>
      </c>
      <c r="I933" s="87"/>
    </row>
    <row r="934">
      <c r="A934" s="46" t="str">
        <f>IFERROR(__xludf.DUMMYFUNCTION("""COMPUTED_VALUE"""),"Europe")</f>
        <v>Europe</v>
      </c>
      <c r="B934" s="46" t="str">
        <f>IFERROR(__xludf.DUMMYFUNCTION("""COMPUTED_VALUE"""),"San Marino")</f>
        <v>San Marino</v>
      </c>
      <c r="C934" s="46" t="str">
        <f>IFERROR(__xludf.DUMMYFUNCTION("""COMPUTED_VALUE"""),"Fruits")</f>
        <v>Fruits</v>
      </c>
      <c r="D934" s="46">
        <f>IFERROR(__xludf.DUMMYFUNCTION("""COMPUTED_VALUE"""),17.0)</f>
        <v>17</v>
      </c>
      <c r="E934" s="46">
        <f>IFERROR(__xludf.DUMMYFUNCTION("""COMPUTED_VALUE"""),7.08320605E8)</f>
        <v>708320605</v>
      </c>
      <c r="F934" s="84">
        <f>IFERROR(__xludf.DUMMYFUNCTION("""COMPUTED_VALUE"""),62156.46)</f>
        <v>62156.46</v>
      </c>
      <c r="I934" s="87"/>
    </row>
    <row r="935">
      <c r="A935" s="46" t="str">
        <f>IFERROR(__xludf.DUMMYFUNCTION("""COMPUTED_VALUE"""),"Asia")</f>
        <v>Asia</v>
      </c>
      <c r="B935" s="46" t="str">
        <f>IFERROR(__xludf.DUMMYFUNCTION("""COMPUTED_VALUE"""),"Cyprus")</f>
        <v>Cyprus</v>
      </c>
      <c r="C935" s="46" t="str">
        <f>IFERROR(__xludf.DUMMYFUNCTION("""COMPUTED_VALUE"""),"Household")</f>
        <v>Household</v>
      </c>
      <c r="D935" s="46">
        <f>IFERROR(__xludf.DUMMYFUNCTION("""COMPUTED_VALUE"""),45.0)</f>
        <v>45</v>
      </c>
      <c r="E935" s="46">
        <f>IFERROR(__xludf.DUMMYFUNCTION("""COMPUTED_VALUE"""),7.09071195E8)</f>
        <v>709071195</v>
      </c>
      <c r="F935" s="84">
        <f>IFERROR(__xludf.DUMMYFUNCTION("""COMPUTED_VALUE"""),5866074.06)</f>
        <v>5866074.06</v>
      </c>
      <c r="I935" s="87"/>
    </row>
    <row r="936">
      <c r="A936" s="46" t="str">
        <f>IFERROR(__xludf.DUMMYFUNCTION("""COMPUTED_VALUE"""),"Europe")</f>
        <v>Europe</v>
      </c>
      <c r="B936" s="46" t="str">
        <f>IFERROR(__xludf.DUMMYFUNCTION("""COMPUTED_VALUE"""),"Norway")</f>
        <v>Norway</v>
      </c>
      <c r="C936" s="46" t="str">
        <f>IFERROR(__xludf.DUMMYFUNCTION("""COMPUTED_VALUE"""),"Clothes")</f>
        <v>Clothes</v>
      </c>
      <c r="D936" s="46">
        <f>IFERROR(__xludf.DUMMYFUNCTION("""COMPUTED_VALUE"""),2.0)</f>
        <v>2</v>
      </c>
      <c r="E936" s="46">
        <f>IFERROR(__xludf.DUMMYFUNCTION("""COMPUTED_VALUE"""),7.09105527E8)</f>
        <v>709105527</v>
      </c>
      <c r="F936" s="84">
        <f>IFERROR(__xludf.DUMMYFUNCTION("""COMPUTED_VALUE"""),976744.64)</f>
        <v>976744.64</v>
      </c>
      <c r="I936" s="87"/>
    </row>
    <row r="937">
      <c r="A937" s="46" t="str">
        <f>IFERROR(__xludf.DUMMYFUNCTION("""COMPUTED_VALUE"""),"Europe")</f>
        <v>Europe</v>
      </c>
      <c r="B937" s="46" t="str">
        <f>IFERROR(__xludf.DUMMYFUNCTION("""COMPUTED_VALUE"""),"Romania")</f>
        <v>Romania</v>
      </c>
      <c r="C937" s="46" t="str">
        <f>IFERROR(__xludf.DUMMYFUNCTION("""COMPUTED_VALUE"""),"Clothes")</f>
        <v>Clothes</v>
      </c>
      <c r="D937" s="46">
        <f>IFERROR(__xludf.DUMMYFUNCTION("""COMPUTED_VALUE"""),48.0)</f>
        <v>48</v>
      </c>
      <c r="E937" s="46">
        <f>IFERROR(__xludf.DUMMYFUNCTION("""COMPUTED_VALUE"""),7.09276759E8)</f>
        <v>709276759</v>
      </c>
      <c r="F937" s="84">
        <f>IFERROR(__xludf.DUMMYFUNCTION("""COMPUTED_VALUE"""),1050180.8)</f>
        <v>1050180.8</v>
      </c>
      <c r="I937" s="87"/>
    </row>
    <row r="938">
      <c r="A938" s="46" t="str">
        <f>IFERROR(__xludf.DUMMYFUNCTION("""COMPUTED_VALUE"""),"Europe")</f>
        <v>Europe</v>
      </c>
      <c r="B938" s="46" t="str">
        <f>IFERROR(__xludf.DUMMYFUNCTION("""COMPUTED_VALUE"""),"Ukraine")</f>
        <v>Ukraine</v>
      </c>
      <c r="C938" s="46" t="str">
        <f>IFERROR(__xludf.DUMMYFUNCTION("""COMPUTED_VALUE"""),"Beverages")</f>
        <v>Beverages</v>
      </c>
      <c r="D938" s="46">
        <f>IFERROR(__xludf.DUMMYFUNCTION("""COMPUTED_VALUE"""),4.0)</f>
        <v>4</v>
      </c>
      <c r="E938" s="46">
        <f>IFERROR(__xludf.DUMMYFUNCTION("""COMPUTED_VALUE"""),7.12595832E8)</f>
        <v>712595832</v>
      </c>
      <c r="F938" s="84">
        <f>IFERROR(__xludf.DUMMYFUNCTION("""COMPUTED_VALUE"""),85267.65000000001)</f>
        <v>85267.65</v>
      </c>
      <c r="I938" s="87"/>
    </row>
    <row r="939">
      <c r="A939" s="46" t="str">
        <f>IFERROR(__xludf.DUMMYFUNCTION("""COMPUTED_VALUE"""),"Europe")</f>
        <v>Europe</v>
      </c>
      <c r="B939" s="46" t="str">
        <f>IFERROR(__xludf.DUMMYFUNCTION("""COMPUTED_VALUE"""),"Andorra")</f>
        <v>Andorra</v>
      </c>
      <c r="C939" s="46" t="str">
        <f>IFERROR(__xludf.DUMMYFUNCTION("""COMPUTED_VALUE"""),"Household")</f>
        <v>Household</v>
      </c>
      <c r="D939" s="46">
        <f>IFERROR(__xludf.DUMMYFUNCTION("""COMPUTED_VALUE"""),31.0)</f>
        <v>31</v>
      </c>
      <c r="E939" s="46">
        <f>IFERROR(__xludf.DUMMYFUNCTION("""COMPUTED_VALUE"""),7.13009965E8)</f>
        <v>713009965</v>
      </c>
      <c r="F939" s="84">
        <f>IFERROR(__xludf.DUMMYFUNCTION("""COMPUTED_VALUE"""),2905637.96)</f>
        <v>2905637.96</v>
      </c>
      <c r="I939" s="87"/>
    </row>
    <row r="940">
      <c r="A940" s="46" t="str">
        <f>IFERROR(__xludf.DUMMYFUNCTION("""COMPUTED_VALUE"""),"Europe")</f>
        <v>Europe</v>
      </c>
      <c r="B940" s="46" t="str">
        <f>IFERROR(__xludf.DUMMYFUNCTION("""COMPUTED_VALUE"""),"Denmark")</f>
        <v>Denmark</v>
      </c>
      <c r="C940" s="46" t="str">
        <f>IFERROR(__xludf.DUMMYFUNCTION("""COMPUTED_VALUE"""),"Clothes")</f>
        <v>Clothes</v>
      </c>
      <c r="D940" s="46">
        <f>IFERROR(__xludf.DUMMYFUNCTION("""COMPUTED_VALUE"""),25.0)</f>
        <v>25</v>
      </c>
      <c r="E940" s="46">
        <f>IFERROR(__xludf.DUMMYFUNCTION("""COMPUTED_VALUE"""),7.1335715E8)</f>
        <v>713357150</v>
      </c>
      <c r="F940" s="84">
        <f>IFERROR(__xludf.DUMMYFUNCTION("""COMPUTED_VALUE"""),774576.64)</f>
        <v>774576.64</v>
      </c>
      <c r="I940" s="87"/>
    </row>
    <row r="941">
      <c r="A941" s="46" t="str">
        <f>IFERROR(__xludf.DUMMYFUNCTION("""COMPUTED_VALUE"""),"Europe")</f>
        <v>Europe</v>
      </c>
      <c r="B941" s="46" t="str">
        <f>IFERROR(__xludf.DUMMYFUNCTION("""COMPUTED_VALUE"""),"Poland")</f>
        <v>Poland</v>
      </c>
      <c r="C941" s="46" t="str">
        <f>IFERROR(__xludf.DUMMYFUNCTION("""COMPUTED_VALUE"""),"Beverages")</f>
        <v>Beverages</v>
      </c>
      <c r="D941" s="46">
        <f>IFERROR(__xludf.DUMMYFUNCTION("""COMPUTED_VALUE"""),25.0)</f>
        <v>25</v>
      </c>
      <c r="E941" s="46">
        <f>IFERROR(__xludf.DUMMYFUNCTION("""COMPUTED_VALUE"""),7.14165675E8)</f>
        <v>714165675</v>
      </c>
      <c r="F941" s="84">
        <f>IFERROR(__xludf.DUMMYFUNCTION("""COMPUTED_VALUE"""),301212.60000000003)</f>
        <v>301212.6</v>
      </c>
      <c r="I941" s="87"/>
    </row>
    <row r="942">
      <c r="A942" s="46" t="str">
        <f>IFERROR(__xludf.DUMMYFUNCTION("""COMPUTED_VALUE"""),"Europe")</f>
        <v>Europe</v>
      </c>
      <c r="B942" s="46" t="str">
        <f>IFERROR(__xludf.DUMMYFUNCTION("""COMPUTED_VALUE"""),"Italy")</f>
        <v>Italy</v>
      </c>
      <c r="C942" s="46" t="str">
        <f>IFERROR(__xludf.DUMMYFUNCTION("""COMPUTED_VALUE"""),"Cereal")</f>
        <v>Cereal</v>
      </c>
      <c r="D942" s="46">
        <f>IFERROR(__xludf.DUMMYFUNCTION("""COMPUTED_VALUE"""),35.0)</f>
        <v>35</v>
      </c>
      <c r="E942" s="46">
        <f>IFERROR(__xludf.DUMMYFUNCTION("""COMPUTED_VALUE"""),7.15309798E8)</f>
        <v>715309798</v>
      </c>
      <c r="F942" s="84">
        <f>IFERROR(__xludf.DUMMYFUNCTION("""COMPUTED_VALUE"""),1012044.0)</f>
        <v>1012044</v>
      </c>
      <c r="I942" s="87"/>
    </row>
    <row r="943">
      <c r="A943" s="46" t="str">
        <f>IFERROR(__xludf.DUMMYFUNCTION("""COMPUTED_VALUE"""),"Europe")</f>
        <v>Europe</v>
      </c>
      <c r="B943" s="46" t="str">
        <f>IFERROR(__xludf.DUMMYFUNCTION("""COMPUTED_VALUE"""),"Sweden")</f>
        <v>Sweden</v>
      </c>
      <c r="C943" s="46" t="str">
        <f>IFERROR(__xludf.DUMMYFUNCTION("""COMPUTED_VALUE"""),"Vegetables")</f>
        <v>Vegetables</v>
      </c>
      <c r="D943" s="46">
        <f>IFERROR(__xludf.DUMMYFUNCTION("""COMPUTED_VALUE"""),19.0)</f>
        <v>19</v>
      </c>
      <c r="E943" s="46">
        <f>IFERROR(__xludf.DUMMYFUNCTION("""COMPUTED_VALUE"""),7.15863835E8)</f>
        <v>715863835</v>
      </c>
      <c r="F943" s="84">
        <f>IFERROR(__xludf.DUMMYFUNCTION("""COMPUTED_VALUE"""),1366820.32)</f>
        <v>1366820.32</v>
      </c>
      <c r="I943" s="87"/>
    </row>
    <row r="944">
      <c r="A944" s="46" t="str">
        <f>IFERROR(__xludf.DUMMYFUNCTION("""COMPUTED_VALUE"""),"Europe")</f>
        <v>Europe</v>
      </c>
      <c r="B944" s="46" t="str">
        <f>IFERROR(__xludf.DUMMYFUNCTION("""COMPUTED_VALUE"""),"Andorra")</f>
        <v>Andorra</v>
      </c>
      <c r="C944" s="46" t="str">
        <f>IFERROR(__xludf.DUMMYFUNCTION("""COMPUTED_VALUE"""),"Fruits")</f>
        <v>Fruits</v>
      </c>
      <c r="D944" s="46">
        <f>IFERROR(__xludf.DUMMYFUNCTION("""COMPUTED_VALUE"""),22.0)</f>
        <v>22</v>
      </c>
      <c r="E944" s="46">
        <f>IFERROR(__xludf.DUMMYFUNCTION("""COMPUTED_VALUE"""),7.16054379E8)</f>
        <v>716054379</v>
      </c>
      <c r="F944" s="84">
        <f>IFERROR(__xludf.DUMMYFUNCTION("""COMPUTED_VALUE"""),49057.14)</f>
        <v>49057.14</v>
      </c>
      <c r="I944" s="87"/>
    </row>
    <row r="945">
      <c r="A945" s="46" t="str">
        <f>IFERROR(__xludf.DUMMYFUNCTION("""COMPUTED_VALUE"""),"Europe")</f>
        <v>Europe</v>
      </c>
      <c r="B945" s="46" t="str">
        <f>IFERROR(__xludf.DUMMYFUNCTION("""COMPUTED_VALUE"""),"Latvia")</f>
        <v>Latvia</v>
      </c>
      <c r="C945" s="46" t="str">
        <f>IFERROR(__xludf.DUMMYFUNCTION("""COMPUTED_VALUE"""),"Personal Care")</f>
        <v>Personal Care</v>
      </c>
      <c r="D945" s="46">
        <f>IFERROR(__xludf.DUMMYFUNCTION("""COMPUTED_VALUE"""),21.0)</f>
        <v>21</v>
      </c>
      <c r="E945" s="46">
        <f>IFERROR(__xludf.DUMMYFUNCTION("""COMPUTED_VALUE"""),7.16411006E8)</f>
        <v>716411006</v>
      </c>
      <c r="F945" s="84">
        <f>IFERROR(__xludf.DUMMYFUNCTION("""COMPUTED_VALUE"""),64730.16)</f>
        <v>64730.16</v>
      </c>
      <c r="I945" s="87"/>
    </row>
    <row r="946">
      <c r="A946" s="46" t="str">
        <f>IFERROR(__xludf.DUMMYFUNCTION("""COMPUTED_VALUE"""),"Europe")</f>
        <v>Europe</v>
      </c>
      <c r="B946" s="46" t="str">
        <f>IFERROR(__xludf.DUMMYFUNCTION("""COMPUTED_VALUE"""),"Serbia")</f>
        <v>Serbia</v>
      </c>
      <c r="C946" s="46" t="str">
        <f>IFERROR(__xludf.DUMMYFUNCTION("""COMPUTED_VALUE"""),"Vegetables")</f>
        <v>Vegetables</v>
      </c>
      <c r="D946" s="46">
        <f>IFERROR(__xludf.DUMMYFUNCTION("""COMPUTED_VALUE"""),12.0)</f>
        <v>12</v>
      </c>
      <c r="E946" s="46">
        <f>IFERROR(__xludf.DUMMYFUNCTION("""COMPUTED_VALUE"""),7.1783322E8)</f>
        <v>717833220</v>
      </c>
      <c r="F946" s="84">
        <f>IFERROR(__xludf.DUMMYFUNCTION("""COMPUTED_VALUE"""),255277.42)</f>
        <v>255277.42</v>
      </c>
      <c r="I946" s="87"/>
    </row>
    <row r="947">
      <c r="A947" s="46" t="str">
        <f>IFERROR(__xludf.DUMMYFUNCTION("""COMPUTED_VALUE"""),"Europe")</f>
        <v>Europe</v>
      </c>
      <c r="B947" s="46" t="str">
        <f>IFERROR(__xludf.DUMMYFUNCTION("""COMPUTED_VALUE"""),"Netherlands")</f>
        <v>Netherlands</v>
      </c>
      <c r="C947" s="46" t="str">
        <f>IFERROR(__xludf.DUMMYFUNCTION("""COMPUTED_VALUE"""),"Office Supplies")</f>
        <v>Office Supplies</v>
      </c>
      <c r="D947" s="46">
        <f>IFERROR(__xludf.DUMMYFUNCTION("""COMPUTED_VALUE"""),23.0)</f>
        <v>23</v>
      </c>
      <c r="E947" s="46">
        <f>IFERROR(__xludf.DUMMYFUNCTION("""COMPUTED_VALUE"""),7.1929363E8)</f>
        <v>719293630</v>
      </c>
      <c r="F947" s="84">
        <f>IFERROR(__xludf.DUMMYFUNCTION("""COMPUTED_VALUE"""),2490227.04)</f>
        <v>2490227.04</v>
      </c>
      <c r="I947" s="87"/>
    </row>
    <row r="948">
      <c r="A948" s="46" t="str">
        <f>IFERROR(__xludf.DUMMYFUNCTION("""COMPUTED_VALUE"""),"Europe")</f>
        <v>Europe</v>
      </c>
      <c r="B948" s="46" t="str">
        <f>IFERROR(__xludf.DUMMYFUNCTION("""COMPUTED_VALUE"""),"Finland")</f>
        <v>Finland</v>
      </c>
      <c r="C948" s="46" t="str">
        <f>IFERROR(__xludf.DUMMYFUNCTION("""COMPUTED_VALUE"""),"Office Supplies")</f>
        <v>Office Supplies</v>
      </c>
      <c r="D948" s="46">
        <f>IFERROR(__xludf.DUMMYFUNCTION("""COMPUTED_VALUE"""),20.0)</f>
        <v>20</v>
      </c>
      <c r="E948" s="46">
        <f>IFERROR(__xludf.DUMMYFUNCTION("""COMPUTED_VALUE"""),7.19404351E8)</f>
        <v>719404351</v>
      </c>
      <c r="F948" s="84">
        <f>IFERROR(__xludf.DUMMYFUNCTION("""COMPUTED_VALUE"""),4290822.69)</f>
        <v>4290822.69</v>
      </c>
      <c r="I948" s="87"/>
    </row>
    <row r="949">
      <c r="A949" s="46" t="str">
        <f>IFERROR(__xludf.DUMMYFUNCTION("""COMPUTED_VALUE"""),"Europe")</f>
        <v>Europe</v>
      </c>
      <c r="B949" s="46" t="str">
        <f>IFERROR(__xludf.DUMMYFUNCTION("""COMPUTED_VALUE"""),"Netherlands")</f>
        <v>Netherlands</v>
      </c>
      <c r="C949" s="46" t="str">
        <f>IFERROR(__xludf.DUMMYFUNCTION("""COMPUTED_VALUE"""),"Clothes")</f>
        <v>Clothes</v>
      </c>
      <c r="D949" s="46">
        <f>IFERROR(__xludf.DUMMYFUNCTION("""COMPUTED_VALUE"""),28.0)</f>
        <v>28</v>
      </c>
      <c r="E949" s="46">
        <f>IFERROR(__xludf.DUMMYFUNCTION("""COMPUTED_VALUE"""),7.19730079E8)</f>
        <v>719730079</v>
      </c>
      <c r="F949" s="84">
        <f>IFERROR(__xludf.DUMMYFUNCTION("""COMPUTED_VALUE"""),325545.12)</f>
        <v>325545.12</v>
      </c>
      <c r="I949" s="87"/>
    </row>
    <row r="950">
      <c r="A950" s="46" t="str">
        <f>IFERROR(__xludf.DUMMYFUNCTION("""COMPUTED_VALUE"""),"Undefined")</f>
        <v>Undefined</v>
      </c>
      <c r="B950" s="46" t="str">
        <f>IFERROR(__xludf.DUMMYFUNCTION("""COMPUTED_VALUE"""),"Undefined")</f>
        <v>Undefined</v>
      </c>
      <c r="C950" s="46" t="str">
        <f>IFERROR(__xludf.DUMMYFUNCTION("""COMPUTED_VALUE"""),"Fruits")</f>
        <v>Fruits</v>
      </c>
      <c r="D950" s="46">
        <f>IFERROR(__xludf.DUMMYFUNCTION("""COMPUTED_VALUE"""),4.0)</f>
        <v>4</v>
      </c>
      <c r="E950" s="46">
        <f>IFERROR(__xludf.DUMMYFUNCTION("""COMPUTED_VALUE"""),7.20229613E8)</f>
        <v>720229613</v>
      </c>
      <c r="F950" s="84">
        <f>IFERROR(__xludf.DUMMYFUNCTION("""COMPUTED_VALUE"""),7491.99)</f>
        <v>7491.99</v>
      </c>
      <c r="I950" s="87"/>
    </row>
    <row r="951">
      <c r="A951" s="46" t="str">
        <f>IFERROR(__xludf.DUMMYFUNCTION("""COMPUTED_VALUE"""),"Europe")</f>
        <v>Europe</v>
      </c>
      <c r="B951" s="46" t="str">
        <f>IFERROR(__xludf.DUMMYFUNCTION("""COMPUTED_VALUE"""),"Liechtenstein")</f>
        <v>Liechtenstein</v>
      </c>
      <c r="C951" s="46" t="str">
        <f>IFERROR(__xludf.DUMMYFUNCTION("""COMPUTED_VALUE"""),"Baby Food")</f>
        <v>Baby Food</v>
      </c>
      <c r="D951" s="46">
        <f>IFERROR(__xludf.DUMMYFUNCTION("""COMPUTED_VALUE"""),40.0)</f>
        <v>40</v>
      </c>
      <c r="E951" s="46">
        <f>IFERROR(__xludf.DUMMYFUNCTION("""COMPUTED_VALUE"""),7.20878922E8)</f>
        <v>720878922</v>
      </c>
      <c r="F951" s="84">
        <f>IFERROR(__xludf.DUMMYFUNCTION("""COMPUTED_VALUE"""),752565.4400000001)</f>
        <v>752565.44</v>
      </c>
      <c r="I951" s="87"/>
    </row>
    <row r="952">
      <c r="A952" s="46" t="str">
        <f>IFERROR(__xludf.DUMMYFUNCTION("""COMPUTED_VALUE"""),"Europe")</f>
        <v>Europe</v>
      </c>
      <c r="B952" s="46" t="str">
        <f>IFERROR(__xludf.DUMMYFUNCTION("""COMPUTED_VALUE"""),"Iceland")</f>
        <v>Iceland</v>
      </c>
      <c r="C952" s="46" t="str">
        <f>IFERROR(__xludf.DUMMYFUNCTION("""COMPUTED_VALUE"""),"Snacks")</f>
        <v>Snacks</v>
      </c>
      <c r="D952" s="46">
        <f>IFERROR(__xludf.DUMMYFUNCTION("""COMPUTED_VALUE"""),19.0)</f>
        <v>19</v>
      </c>
      <c r="E952" s="46">
        <f>IFERROR(__xludf.DUMMYFUNCTION("""COMPUTED_VALUE"""),7.20931279E8)</f>
        <v>720931279</v>
      </c>
      <c r="F952" s="84">
        <f>IFERROR(__xludf.DUMMYFUNCTION("""COMPUTED_VALUE"""),1287927.78)</f>
        <v>1287927.78</v>
      </c>
      <c r="I952" s="87"/>
    </row>
    <row r="953">
      <c r="A953" s="46" t="str">
        <f>IFERROR(__xludf.DUMMYFUNCTION("""COMPUTED_VALUE"""),"Europe")</f>
        <v>Europe</v>
      </c>
      <c r="B953" s="46" t="str">
        <f>IFERROR(__xludf.DUMMYFUNCTION("""COMPUTED_VALUE"""),"Switzerland")</f>
        <v>Switzerland</v>
      </c>
      <c r="C953" s="46" t="str">
        <f>IFERROR(__xludf.DUMMYFUNCTION("""COMPUTED_VALUE"""),"Fruits")</f>
        <v>Fruits</v>
      </c>
      <c r="D953" s="46">
        <f>IFERROR(__xludf.DUMMYFUNCTION("""COMPUTED_VALUE"""),10.0)</f>
        <v>10</v>
      </c>
      <c r="E953" s="46">
        <f>IFERROR(__xludf.DUMMYFUNCTION("""COMPUTED_VALUE"""),7.21318805E8)</f>
        <v>721318805</v>
      </c>
      <c r="F953" s="84">
        <f>IFERROR(__xludf.DUMMYFUNCTION("""COMPUTED_VALUE"""),29090.94)</f>
        <v>29090.94</v>
      </c>
      <c r="I953" s="87"/>
    </row>
    <row r="954">
      <c r="A954" s="46" t="str">
        <f>IFERROR(__xludf.DUMMYFUNCTION("""COMPUTED_VALUE"""),"Europe")</f>
        <v>Europe</v>
      </c>
      <c r="B954" s="46" t="str">
        <f>IFERROR(__xludf.DUMMYFUNCTION("""COMPUTED_VALUE"""),"Spain")</f>
        <v>Spain</v>
      </c>
      <c r="C954" s="46" t="str">
        <f>IFERROR(__xludf.DUMMYFUNCTION("""COMPUTED_VALUE"""),"Vegetables")</f>
        <v>Vegetables</v>
      </c>
      <c r="D954" s="46">
        <f>IFERROR(__xludf.DUMMYFUNCTION("""COMPUTED_VALUE"""),6.0)</f>
        <v>6</v>
      </c>
      <c r="E954" s="46">
        <f>IFERROR(__xludf.DUMMYFUNCTION("""COMPUTED_VALUE"""),7.22233331E8)</f>
        <v>722233331</v>
      </c>
      <c r="F954" s="84">
        <f>IFERROR(__xludf.DUMMYFUNCTION("""COMPUTED_VALUE"""),577262.8200000001)</f>
        <v>577262.82</v>
      </c>
      <c r="I954" s="87"/>
    </row>
    <row r="955">
      <c r="A955" s="46" t="str">
        <f>IFERROR(__xludf.DUMMYFUNCTION("""COMPUTED_VALUE"""),"Europe")</f>
        <v>Europe</v>
      </c>
      <c r="B955" s="46" t="str">
        <f>IFERROR(__xludf.DUMMYFUNCTION("""COMPUTED_VALUE"""),"Switzerland")</f>
        <v>Switzerland</v>
      </c>
      <c r="C955" s="46" t="str">
        <f>IFERROR(__xludf.DUMMYFUNCTION("""COMPUTED_VALUE"""),"Snacks")</f>
        <v>Snacks</v>
      </c>
      <c r="D955" s="46">
        <f>IFERROR(__xludf.DUMMYFUNCTION("""COMPUTED_VALUE"""),2.0)</f>
        <v>2</v>
      </c>
      <c r="E955" s="46">
        <f>IFERROR(__xludf.DUMMYFUNCTION("""COMPUTED_VALUE"""),7.2224878E8)</f>
        <v>722248780</v>
      </c>
      <c r="F955" s="84">
        <f>IFERROR(__xludf.DUMMYFUNCTION("""COMPUTED_VALUE"""),1269313.02)</f>
        <v>1269313.02</v>
      </c>
      <c r="I955" s="87"/>
    </row>
    <row r="956">
      <c r="A956" s="46" t="str">
        <f>IFERROR(__xludf.DUMMYFUNCTION("""COMPUTED_VALUE"""),"Europe")</f>
        <v>Europe</v>
      </c>
      <c r="B956" s="46" t="str">
        <f>IFERROR(__xludf.DUMMYFUNCTION("""COMPUTED_VALUE"""),"Bosnia and Herzegovina")</f>
        <v>Bosnia and Herzegovina</v>
      </c>
      <c r="C956" s="46" t="str">
        <f>IFERROR(__xludf.DUMMYFUNCTION("""COMPUTED_VALUE"""),"Household")</f>
        <v>Household</v>
      </c>
      <c r="D956" s="46">
        <f>IFERROR(__xludf.DUMMYFUNCTION("""COMPUTED_VALUE"""),26.0)</f>
        <v>26</v>
      </c>
      <c r="E956" s="46">
        <f>IFERROR(__xludf.DUMMYFUNCTION("""COMPUTED_VALUE"""),7.23893725E8)</f>
        <v>723893725</v>
      </c>
      <c r="F956" s="84">
        <f>IFERROR(__xludf.DUMMYFUNCTION("""COMPUTED_VALUE"""),3404835.65)</f>
        <v>3404835.65</v>
      </c>
      <c r="I956" s="87"/>
    </row>
    <row r="957">
      <c r="A957" s="46" t="str">
        <f>IFERROR(__xludf.DUMMYFUNCTION("""COMPUTED_VALUE"""),"Asia")</f>
        <v>Asia</v>
      </c>
      <c r="B957" s="46" t="str">
        <f>IFERROR(__xludf.DUMMYFUNCTION("""COMPUTED_VALUE"""),"Georgia")</f>
        <v>Georgia</v>
      </c>
      <c r="C957" s="46" t="str">
        <f>IFERROR(__xludf.DUMMYFUNCTION("""COMPUTED_VALUE"""),"Fruits")</f>
        <v>Fruits</v>
      </c>
      <c r="D957" s="46">
        <f>IFERROR(__xludf.DUMMYFUNCTION("""COMPUTED_VALUE"""),20.0)</f>
        <v>20</v>
      </c>
      <c r="E957" s="46">
        <f>IFERROR(__xludf.DUMMYFUNCTION("""COMPUTED_VALUE"""),7.24085128E8)</f>
        <v>724085128</v>
      </c>
      <c r="F957" s="84">
        <f>IFERROR(__xludf.DUMMYFUNCTION("""COMPUTED_VALUE"""),16187.55)</f>
        <v>16187.55</v>
      </c>
      <c r="I957" s="87"/>
    </row>
    <row r="958">
      <c r="A958" s="46" t="str">
        <f>IFERROR(__xludf.DUMMYFUNCTION("""COMPUTED_VALUE"""),"Europe")</f>
        <v>Europe</v>
      </c>
      <c r="B958" s="46" t="str">
        <f>IFERROR(__xludf.DUMMYFUNCTION("""COMPUTED_VALUE"""),"Switzerland")</f>
        <v>Switzerland</v>
      </c>
      <c r="C958" s="46" t="str">
        <f>IFERROR(__xludf.DUMMYFUNCTION("""COMPUTED_VALUE"""),"Baby Food")</f>
        <v>Baby Food</v>
      </c>
      <c r="D958" s="46">
        <f>IFERROR(__xludf.DUMMYFUNCTION("""COMPUTED_VALUE"""),34.0)</f>
        <v>34</v>
      </c>
      <c r="E958" s="46">
        <f>IFERROR(__xludf.DUMMYFUNCTION("""COMPUTED_VALUE"""),7.2622317E8)</f>
        <v>726223170</v>
      </c>
      <c r="F958" s="84">
        <f>IFERROR(__xludf.DUMMYFUNCTION("""COMPUTED_VALUE"""),1130635.12)</f>
        <v>1130635.12</v>
      </c>
      <c r="I958" s="87"/>
    </row>
    <row r="959">
      <c r="A959" s="46" t="str">
        <f>IFERROR(__xludf.DUMMYFUNCTION("""COMPUTED_VALUE"""),"Europe")</f>
        <v>Europe</v>
      </c>
      <c r="B959" s="46" t="str">
        <f>IFERROR(__xludf.DUMMYFUNCTION("""COMPUTED_VALUE"""),"Italy")</f>
        <v>Italy</v>
      </c>
      <c r="C959" s="46" t="str">
        <f>IFERROR(__xludf.DUMMYFUNCTION("""COMPUTED_VALUE"""),"Meat")</f>
        <v>Meat</v>
      </c>
      <c r="D959" s="46">
        <f>IFERROR(__xludf.DUMMYFUNCTION("""COMPUTED_VALUE"""),50.0)</f>
        <v>50</v>
      </c>
      <c r="E959" s="46">
        <f>IFERROR(__xludf.DUMMYFUNCTION("""COMPUTED_VALUE"""),7.27175891E8)</f>
        <v>727175891</v>
      </c>
      <c r="F959" s="84">
        <f>IFERROR(__xludf.DUMMYFUNCTION("""COMPUTED_VALUE"""),2683220.4)</f>
        <v>2683220.4</v>
      </c>
      <c r="I959" s="87"/>
    </row>
    <row r="960">
      <c r="A960" s="46" t="str">
        <f>IFERROR(__xludf.DUMMYFUNCTION("""COMPUTED_VALUE"""),"Europe")</f>
        <v>Europe</v>
      </c>
      <c r="B960" s="46" t="str">
        <f>IFERROR(__xludf.DUMMYFUNCTION("""COMPUTED_VALUE"""),"Andorra")</f>
        <v>Andorra</v>
      </c>
      <c r="C960" s="46" t="str">
        <f>IFERROR(__xludf.DUMMYFUNCTION("""COMPUTED_VALUE"""),"Vegetables")</f>
        <v>Vegetables</v>
      </c>
      <c r="D960" s="46">
        <f>IFERROR(__xludf.DUMMYFUNCTION("""COMPUTED_VALUE"""),50.0)</f>
        <v>50</v>
      </c>
      <c r="E960" s="46">
        <f>IFERROR(__xludf.DUMMYFUNCTION("""COMPUTED_VALUE"""),7.27426946E8)</f>
        <v>727426946</v>
      </c>
      <c r="F960" s="84">
        <f>IFERROR(__xludf.DUMMYFUNCTION("""COMPUTED_VALUE"""),100601.18000000001)</f>
        <v>100601.18</v>
      </c>
      <c r="I960" s="87"/>
    </row>
    <row r="961">
      <c r="A961" s="46" t="str">
        <f>IFERROR(__xludf.DUMMYFUNCTION("""COMPUTED_VALUE"""),"Europe")</f>
        <v>Europe</v>
      </c>
      <c r="B961" s="46" t="str">
        <f>IFERROR(__xludf.DUMMYFUNCTION("""COMPUTED_VALUE"""),"Andorra")</f>
        <v>Andorra</v>
      </c>
      <c r="C961" s="46" t="str">
        <f>IFERROR(__xludf.DUMMYFUNCTION("""COMPUTED_VALUE"""),"Cosmetics")</f>
        <v>Cosmetics</v>
      </c>
      <c r="D961" s="46">
        <f>IFERROR(__xludf.DUMMYFUNCTION("""COMPUTED_VALUE"""),19.0)</f>
        <v>19</v>
      </c>
      <c r="E961" s="46">
        <f>IFERROR(__xludf.DUMMYFUNCTION("""COMPUTED_VALUE"""),7.27821767E8)</f>
        <v>727821767</v>
      </c>
      <c r="F961" s="84">
        <f>IFERROR(__xludf.DUMMYFUNCTION("""COMPUTED_VALUE"""),3274190.8)</f>
        <v>3274190.8</v>
      </c>
      <c r="I961" s="87"/>
    </row>
    <row r="962">
      <c r="A962" s="46" t="str">
        <f>IFERROR(__xludf.DUMMYFUNCTION("""COMPUTED_VALUE"""),"Asia")</f>
        <v>Asia</v>
      </c>
      <c r="B962" s="46" t="str">
        <f>IFERROR(__xludf.DUMMYFUNCTION("""COMPUTED_VALUE"""),"Cyprus")</f>
        <v>Cyprus</v>
      </c>
      <c r="C962" s="46" t="str">
        <f>IFERROR(__xludf.DUMMYFUNCTION("""COMPUTED_VALUE"""),"Vegetables")</f>
        <v>Vegetables</v>
      </c>
      <c r="D962" s="46">
        <f>IFERROR(__xludf.DUMMYFUNCTION("""COMPUTED_VALUE"""),17.0)</f>
        <v>17</v>
      </c>
      <c r="E962" s="46">
        <f>IFERROR(__xludf.DUMMYFUNCTION("""COMPUTED_VALUE"""),7.2799772E8)</f>
        <v>727997720</v>
      </c>
      <c r="F962" s="84">
        <f>IFERROR(__xludf.DUMMYFUNCTION("""COMPUTED_VALUE"""),1472505.48)</f>
        <v>1472505.48</v>
      </c>
      <c r="I962" s="87"/>
    </row>
    <row r="963">
      <c r="A963" s="46" t="str">
        <f>IFERROR(__xludf.DUMMYFUNCTION("""COMPUTED_VALUE"""),"Europe")</f>
        <v>Europe</v>
      </c>
      <c r="B963" s="46" t="str">
        <f>IFERROR(__xludf.DUMMYFUNCTION("""COMPUTED_VALUE"""),"Albania")</f>
        <v>Albania</v>
      </c>
      <c r="C963" s="46" t="str">
        <f>IFERROR(__xludf.DUMMYFUNCTION("""COMPUTED_VALUE"""),"Cosmetics")</f>
        <v>Cosmetics</v>
      </c>
      <c r="D963" s="46">
        <f>IFERROR(__xludf.DUMMYFUNCTION("""COMPUTED_VALUE"""),46.0)</f>
        <v>46</v>
      </c>
      <c r="E963" s="46">
        <f>IFERROR(__xludf.DUMMYFUNCTION("""COMPUTED_VALUE"""),7.2879337E8)</f>
        <v>728793370</v>
      </c>
      <c r="F963" s="84">
        <f>IFERROR(__xludf.DUMMYFUNCTION("""COMPUTED_VALUE"""),2189934.8)</f>
        <v>2189934.8</v>
      </c>
      <c r="I963" s="87"/>
    </row>
    <row r="964">
      <c r="A964" s="46" t="str">
        <f>IFERROR(__xludf.DUMMYFUNCTION("""COMPUTED_VALUE"""),"Europe")</f>
        <v>Europe</v>
      </c>
      <c r="B964" s="46" t="str">
        <f>IFERROR(__xludf.DUMMYFUNCTION("""COMPUTED_VALUE"""),"Ireland")</f>
        <v>Ireland</v>
      </c>
      <c r="C964" s="46" t="str">
        <f>IFERROR(__xludf.DUMMYFUNCTION("""COMPUTED_VALUE"""),"Office Supplies")</f>
        <v>Office Supplies</v>
      </c>
      <c r="D964" s="46">
        <f>IFERROR(__xludf.DUMMYFUNCTION("""COMPUTED_VALUE"""),20.0)</f>
        <v>20</v>
      </c>
      <c r="E964" s="46">
        <f>IFERROR(__xludf.DUMMYFUNCTION("""COMPUTED_VALUE"""),7.29373586E8)</f>
        <v>729373586</v>
      </c>
      <c r="F964" s="84">
        <f>IFERROR(__xludf.DUMMYFUNCTION("""COMPUTED_VALUE"""),4367665.470000001)</f>
        <v>4367665.47</v>
      </c>
      <c r="I964" s="87"/>
    </row>
    <row r="965">
      <c r="A965" s="46" t="str">
        <f>IFERROR(__xludf.DUMMYFUNCTION("""COMPUTED_VALUE"""),"Europe")</f>
        <v>Europe</v>
      </c>
      <c r="B965" s="46" t="str">
        <f>IFERROR(__xludf.DUMMYFUNCTION("""COMPUTED_VALUE"""),"Liechtenstein")</f>
        <v>Liechtenstein</v>
      </c>
      <c r="C965" s="46" t="str">
        <f>IFERROR(__xludf.DUMMYFUNCTION("""COMPUTED_VALUE"""),"Meat")</f>
        <v>Meat</v>
      </c>
      <c r="D965" s="46">
        <f>IFERROR(__xludf.DUMMYFUNCTION("""COMPUTED_VALUE"""),2.0)</f>
        <v>2</v>
      </c>
      <c r="E965" s="46">
        <f>IFERROR(__xludf.DUMMYFUNCTION("""COMPUTED_VALUE"""),7.30490243E8)</f>
        <v>730490243</v>
      </c>
      <c r="F965" s="84">
        <f>IFERROR(__xludf.DUMMYFUNCTION("""COMPUTED_VALUE"""),3016935.39)</f>
        <v>3016935.39</v>
      </c>
      <c r="I965" s="87"/>
    </row>
    <row r="966">
      <c r="A966" s="46" t="str">
        <f>IFERROR(__xludf.DUMMYFUNCTION("""COMPUTED_VALUE"""),"Europe")</f>
        <v>Europe</v>
      </c>
      <c r="B966" s="46" t="str">
        <f>IFERROR(__xludf.DUMMYFUNCTION("""COMPUTED_VALUE"""),"Lithuania")</f>
        <v>Lithuania</v>
      </c>
      <c r="C966" s="46" t="str">
        <f>IFERROR(__xludf.DUMMYFUNCTION("""COMPUTED_VALUE"""),"Beverages")</f>
        <v>Beverages</v>
      </c>
      <c r="D966" s="46">
        <f>IFERROR(__xludf.DUMMYFUNCTION("""COMPUTED_VALUE"""),19.0)</f>
        <v>19</v>
      </c>
      <c r="E966" s="46">
        <f>IFERROR(__xludf.DUMMYFUNCTION("""COMPUTED_VALUE"""),7.32703387E8)</f>
        <v>732703387</v>
      </c>
      <c r="F966" s="84">
        <f>IFERROR(__xludf.DUMMYFUNCTION("""COMPUTED_VALUE"""),98174.05)</f>
        <v>98174.05</v>
      </c>
      <c r="I966" s="87"/>
    </row>
    <row r="967">
      <c r="A967" s="46" t="str">
        <f>IFERROR(__xludf.DUMMYFUNCTION("""COMPUTED_VALUE"""),"Europe")</f>
        <v>Europe</v>
      </c>
      <c r="B967" s="46" t="str">
        <f>IFERROR(__xludf.DUMMYFUNCTION("""COMPUTED_VALUE"""),"Ukraine")</f>
        <v>Ukraine</v>
      </c>
      <c r="C967" s="46" t="str">
        <f>IFERROR(__xludf.DUMMYFUNCTION("""COMPUTED_VALUE"""),"Meat")</f>
        <v>Meat</v>
      </c>
      <c r="D967" s="46">
        <f>IFERROR(__xludf.DUMMYFUNCTION("""COMPUTED_VALUE"""),26.0)</f>
        <v>26</v>
      </c>
      <c r="E967" s="46">
        <f>IFERROR(__xludf.DUMMYFUNCTION("""COMPUTED_VALUE"""),7.33636796E8)</f>
        <v>733636796</v>
      </c>
      <c r="F967" s="84">
        <f>IFERROR(__xludf.DUMMYFUNCTION("""COMPUTED_VALUE"""),3495780.54)</f>
        <v>3495780.54</v>
      </c>
      <c r="I967" s="87"/>
    </row>
    <row r="968">
      <c r="A968" s="46" t="str">
        <f>IFERROR(__xludf.DUMMYFUNCTION("""COMPUTED_VALUE"""),"Europe")</f>
        <v>Europe</v>
      </c>
      <c r="B968" s="46" t="str">
        <f>IFERROR(__xludf.DUMMYFUNCTION("""COMPUTED_VALUE"""),"Luxembourg")</f>
        <v>Luxembourg</v>
      </c>
      <c r="C968" s="46" t="str">
        <f>IFERROR(__xludf.DUMMYFUNCTION("""COMPUTED_VALUE"""),"Cereal")</f>
        <v>Cereal</v>
      </c>
      <c r="D968" s="46">
        <f>IFERROR(__xludf.DUMMYFUNCTION("""COMPUTED_VALUE"""),6.0)</f>
        <v>6</v>
      </c>
      <c r="E968" s="46">
        <f>IFERROR(__xludf.DUMMYFUNCTION("""COMPUTED_VALUE"""),7.33648812E8)</f>
        <v>733648812</v>
      </c>
      <c r="F968" s="84">
        <f>IFERROR(__xludf.DUMMYFUNCTION("""COMPUTED_VALUE"""),378899.39999999997)</f>
        <v>378899.4</v>
      </c>
      <c r="I968" s="87"/>
    </row>
    <row r="969">
      <c r="A969" s="46" t="str">
        <f>IFERROR(__xludf.DUMMYFUNCTION("""COMPUTED_VALUE"""),"Europe")</f>
        <v>Europe</v>
      </c>
      <c r="B969" s="46" t="str">
        <f>IFERROR(__xludf.DUMMYFUNCTION("""COMPUTED_VALUE"""),"Germany")</f>
        <v>Germany</v>
      </c>
      <c r="C969" s="46" t="str">
        <f>IFERROR(__xludf.DUMMYFUNCTION("""COMPUTED_VALUE"""),"Cereal")</f>
        <v>Cereal</v>
      </c>
      <c r="D969" s="46">
        <f>IFERROR(__xludf.DUMMYFUNCTION("""COMPUTED_VALUE"""),19.0)</f>
        <v>19</v>
      </c>
      <c r="E969" s="46">
        <f>IFERROR(__xludf.DUMMYFUNCTION("""COMPUTED_VALUE"""),7.34189975E8)</f>
        <v>734189975</v>
      </c>
      <c r="F969" s="84">
        <f>IFERROR(__xludf.DUMMYFUNCTION("""COMPUTED_VALUE"""),408108.8)</f>
        <v>408108.8</v>
      </c>
      <c r="I969" s="87"/>
    </row>
    <row r="970">
      <c r="A970" s="46" t="str">
        <f>IFERROR(__xludf.DUMMYFUNCTION("""COMPUTED_VALUE"""),"Europe")</f>
        <v>Europe</v>
      </c>
      <c r="B970" s="46" t="str">
        <f>IFERROR(__xludf.DUMMYFUNCTION("""COMPUTED_VALUE"""),"Portugal")</f>
        <v>Portugal</v>
      </c>
      <c r="C970" s="46" t="str">
        <f>IFERROR(__xludf.DUMMYFUNCTION("""COMPUTED_VALUE"""),"Office Supplies")</f>
        <v>Office Supplies</v>
      </c>
      <c r="D970" s="46">
        <f>IFERROR(__xludf.DUMMYFUNCTION("""COMPUTED_VALUE"""),42.0)</f>
        <v>42</v>
      </c>
      <c r="E970" s="46">
        <f>IFERROR(__xludf.DUMMYFUNCTION("""COMPUTED_VALUE"""),7.34318292E8)</f>
        <v>734318292</v>
      </c>
      <c r="F970" s="84">
        <f>IFERROR(__xludf.DUMMYFUNCTION("""COMPUTED_VALUE"""),6483446.760000001)</f>
        <v>6483446.76</v>
      </c>
      <c r="I970" s="87"/>
    </row>
    <row r="971">
      <c r="A971" s="46" t="str">
        <f>IFERROR(__xludf.DUMMYFUNCTION("""COMPUTED_VALUE"""),"Europe")</f>
        <v>Europe</v>
      </c>
      <c r="B971" s="46" t="str">
        <f>IFERROR(__xludf.DUMMYFUNCTION("""COMPUTED_VALUE"""),"Poland")</f>
        <v>Poland</v>
      </c>
      <c r="C971" s="46" t="str">
        <f>IFERROR(__xludf.DUMMYFUNCTION("""COMPUTED_VALUE"""),"Beverages")</f>
        <v>Beverages</v>
      </c>
      <c r="D971" s="46">
        <f>IFERROR(__xludf.DUMMYFUNCTION("""COMPUTED_VALUE"""),17.0)</f>
        <v>17</v>
      </c>
      <c r="E971" s="46">
        <f>IFERROR(__xludf.DUMMYFUNCTION("""COMPUTED_VALUE"""),7.35445678E8)</f>
        <v>735445678</v>
      </c>
      <c r="F971" s="84">
        <f>IFERROR(__xludf.DUMMYFUNCTION("""COMPUTED_VALUE"""),169586.30000000002)</f>
        <v>169586.3</v>
      </c>
      <c r="I971" s="87"/>
    </row>
    <row r="972">
      <c r="A972" s="46" t="str">
        <f>IFERROR(__xludf.DUMMYFUNCTION("""COMPUTED_VALUE"""),"Europe")</f>
        <v>Europe</v>
      </c>
      <c r="B972" s="46" t="str">
        <f>IFERROR(__xludf.DUMMYFUNCTION("""COMPUTED_VALUE"""),"Slovenia")</f>
        <v>Slovenia</v>
      </c>
      <c r="C972" s="46" t="str">
        <f>IFERROR(__xludf.DUMMYFUNCTION("""COMPUTED_VALUE"""),"Household")</f>
        <v>Household</v>
      </c>
      <c r="D972" s="46">
        <f>IFERROR(__xludf.DUMMYFUNCTION("""COMPUTED_VALUE"""),9.0)</f>
        <v>9</v>
      </c>
      <c r="E972" s="46">
        <f>IFERROR(__xludf.DUMMYFUNCTION("""COMPUTED_VALUE"""),7.36240041E8)</f>
        <v>736240041</v>
      </c>
      <c r="F972" s="84">
        <f>IFERROR(__xludf.DUMMYFUNCTION("""COMPUTED_VALUE"""),5776525.88)</f>
        <v>5776525.88</v>
      </c>
      <c r="I972" s="87"/>
    </row>
    <row r="973">
      <c r="A973" s="46" t="str">
        <f>IFERROR(__xludf.DUMMYFUNCTION("""COMPUTED_VALUE"""),"Asia")</f>
        <v>Asia</v>
      </c>
      <c r="B973" s="46" t="str">
        <f>IFERROR(__xludf.DUMMYFUNCTION("""COMPUTED_VALUE"""),"Armenia")</f>
        <v>Armenia</v>
      </c>
      <c r="C973" s="46" t="str">
        <f>IFERROR(__xludf.DUMMYFUNCTION("""COMPUTED_VALUE"""),"Snacks")</f>
        <v>Snacks</v>
      </c>
      <c r="D973" s="46">
        <f>IFERROR(__xludf.DUMMYFUNCTION("""COMPUTED_VALUE"""),44.0)</f>
        <v>44</v>
      </c>
      <c r="E973" s="46">
        <f>IFERROR(__xludf.DUMMYFUNCTION("""COMPUTED_VALUE"""),7.37095344E8)</f>
        <v>737095344</v>
      </c>
      <c r="F973" s="84">
        <f>IFERROR(__xludf.DUMMYFUNCTION("""COMPUTED_VALUE"""),266557.26)</f>
        <v>266557.26</v>
      </c>
      <c r="I973" s="87"/>
    </row>
    <row r="974">
      <c r="A974" s="46" t="str">
        <f>IFERROR(__xludf.DUMMYFUNCTION("""COMPUTED_VALUE"""),"Europe")</f>
        <v>Europe</v>
      </c>
      <c r="B974" s="46" t="str">
        <f>IFERROR(__xludf.DUMMYFUNCTION("""COMPUTED_VALUE"""),"Sweden")</f>
        <v>Sweden</v>
      </c>
      <c r="C974" s="46" t="str">
        <f>IFERROR(__xludf.DUMMYFUNCTION("""COMPUTED_VALUE"""),"Cereal")</f>
        <v>Cereal</v>
      </c>
      <c r="D974" s="46">
        <f>IFERROR(__xludf.DUMMYFUNCTION("""COMPUTED_VALUE"""),15.0)</f>
        <v>15</v>
      </c>
      <c r="E974" s="46">
        <f>IFERROR(__xludf.DUMMYFUNCTION("""COMPUTED_VALUE"""),7.3773607E8)</f>
        <v>737736070</v>
      </c>
      <c r="F974" s="84">
        <f>IFERROR(__xludf.DUMMYFUNCTION("""COMPUTED_VALUE"""),278106.39999999997)</f>
        <v>278106.4</v>
      </c>
      <c r="I974" s="87"/>
    </row>
    <row r="975">
      <c r="A975" s="46" t="str">
        <f>IFERROR(__xludf.DUMMYFUNCTION("""COMPUTED_VALUE"""),"Asia")</f>
        <v>Asia</v>
      </c>
      <c r="B975" s="46" t="str">
        <f>IFERROR(__xludf.DUMMYFUNCTION("""COMPUTED_VALUE"""),"Cyprus")</f>
        <v>Cyprus</v>
      </c>
      <c r="C975" s="46" t="str">
        <f>IFERROR(__xludf.DUMMYFUNCTION("""COMPUTED_VALUE"""),"Baby Food")</f>
        <v>Baby Food</v>
      </c>
      <c r="D975" s="46">
        <f>IFERROR(__xludf.DUMMYFUNCTION("""COMPUTED_VALUE"""),37.0)</f>
        <v>37</v>
      </c>
      <c r="E975" s="46">
        <f>IFERROR(__xludf.DUMMYFUNCTION("""COMPUTED_VALUE"""),7.40300261E8)</f>
        <v>740300261</v>
      </c>
      <c r="F975" s="84">
        <f>IFERROR(__xludf.DUMMYFUNCTION("""COMPUTED_VALUE"""),39057.840000000004)</f>
        <v>39057.84</v>
      </c>
      <c r="I975" s="87"/>
    </row>
    <row r="976">
      <c r="A976" s="46" t="str">
        <f>IFERROR(__xludf.DUMMYFUNCTION("""COMPUTED_VALUE"""),"Europe")</f>
        <v>Europe</v>
      </c>
      <c r="B976" s="46" t="str">
        <f>IFERROR(__xludf.DUMMYFUNCTION("""COMPUTED_VALUE"""),"Romania")</f>
        <v>Romania</v>
      </c>
      <c r="C976" s="46" t="str">
        <f>IFERROR(__xludf.DUMMYFUNCTION("""COMPUTED_VALUE"""),"Meat")</f>
        <v>Meat</v>
      </c>
      <c r="D976" s="46">
        <f>IFERROR(__xludf.DUMMYFUNCTION("""COMPUTED_VALUE"""),48.0)</f>
        <v>48</v>
      </c>
      <c r="E976" s="46">
        <f>IFERROR(__xludf.DUMMYFUNCTION("""COMPUTED_VALUE"""),7.41690289E8)</f>
        <v>741690289</v>
      </c>
      <c r="F976" s="84">
        <f>IFERROR(__xludf.DUMMYFUNCTION("""COMPUTED_VALUE"""),630303.66)</f>
        <v>630303.66</v>
      </c>
      <c r="I976" s="87"/>
    </row>
    <row r="977">
      <c r="A977" s="46" t="str">
        <f>IFERROR(__xludf.DUMMYFUNCTION("""COMPUTED_VALUE"""),"Europe")</f>
        <v>Europe</v>
      </c>
      <c r="B977" s="46" t="str">
        <f>IFERROR(__xludf.DUMMYFUNCTION("""COMPUTED_VALUE"""),"Ukraine")</f>
        <v>Ukraine</v>
      </c>
      <c r="C977" s="46" t="str">
        <f>IFERROR(__xludf.DUMMYFUNCTION("""COMPUTED_VALUE"""),"Household")</f>
        <v>Household</v>
      </c>
      <c r="D977" s="46">
        <f>IFERROR(__xludf.DUMMYFUNCTION("""COMPUTED_VALUE"""),47.0)</f>
        <v>47</v>
      </c>
      <c r="E977" s="46">
        <f>IFERROR(__xludf.DUMMYFUNCTION("""COMPUTED_VALUE"""),7.41866242E8)</f>
        <v>741866242</v>
      </c>
      <c r="F977" s="84">
        <f>IFERROR(__xludf.DUMMYFUNCTION("""COMPUTED_VALUE"""),2380377.7399999998)</f>
        <v>2380377.74</v>
      </c>
      <c r="I977" s="87"/>
    </row>
    <row r="978">
      <c r="A978" s="46" t="str">
        <f>IFERROR(__xludf.DUMMYFUNCTION("""COMPUTED_VALUE"""),"Europe")</f>
        <v>Europe</v>
      </c>
      <c r="B978" s="46" t="str">
        <f>IFERROR(__xludf.DUMMYFUNCTION("""COMPUTED_VALUE"""),"Ukraine")</f>
        <v>Ukraine</v>
      </c>
      <c r="C978" s="46" t="str">
        <f>IFERROR(__xludf.DUMMYFUNCTION("""COMPUTED_VALUE"""),"Cereal")</f>
        <v>Cereal</v>
      </c>
      <c r="D978" s="46">
        <f>IFERROR(__xludf.DUMMYFUNCTION("""COMPUTED_VALUE"""),13.0)</f>
        <v>13</v>
      </c>
      <c r="E978" s="46">
        <f>IFERROR(__xludf.DUMMYFUNCTION("""COMPUTED_VALUE"""),7.41964948E8)</f>
        <v>741964948</v>
      </c>
      <c r="F978" s="84">
        <f>IFERROR(__xludf.DUMMYFUNCTION("""COMPUTED_VALUE"""),569994.7)</f>
        <v>569994.7</v>
      </c>
      <c r="I978" s="87"/>
    </row>
    <row r="979">
      <c r="A979" s="46" t="str">
        <f>IFERROR(__xludf.DUMMYFUNCTION("""COMPUTED_VALUE"""),"Europe")</f>
        <v>Europe</v>
      </c>
      <c r="B979" s="46" t="str">
        <f>IFERROR(__xludf.DUMMYFUNCTION("""COMPUTED_VALUE"""),"San Marino")</f>
        <v>San Marino</v>
      </c>
      <c r="C979" s="46" t="str">
        <f>IFERROR(__xludf.DUMMYFUNCTION("""COMPUTED_VALUE"""),"Snacks")</f>
        <v>Snacks</v>
      </c>
      <c r="D979" s="46">
        <f>IFERROR(__xludf.DUMMYFUNCTION("""COMPUTED_VALUE"""),13.0)</f>
        <v>13</v>
      </c>
      <c r="E979" s="46">
        <f>IFERROR(__xludf.DUMMYFUNCTION("""COMPUTED_VALUE"""),7.4210056E8)</f>
        <v>742100560</v>
      </c>
      <c r="F979" s="84">
        <f>IFERROR(__xludf.DUMMYFUNCTION("""COMPUTED_VALUE"""),442787.16000000003)</f>
        <v>442787.16</v>
      </c>
      <c r="I979" s="87"/>
    </row>
    <row r="980">
      <c r="A980" s="46" t="str">
        <f>IFERROR(__xludf.DUMMYFUNCTION("""COMPUTED_VALUE"""),"Europe")</f>
        <v>Europe</v>
      </c>
      <c r="B980" s="46" t="str">
        <f>IFERROR(__xludf.DUMMYFUNCTION("""COMPUTED_VALUE"""),"Luxembourg")</f>
        <v>Luxembourg</v>
      </c>
      <c r="C980" s="46" t="str">
        <f>IFERROR(__xludf.DUMMYFUNCTION("""COMPUTED_VALUE"""),"Vegetables")</f>
        <v>Vegetables</v>
      </c>
      <c r="D980" s="46">
        <f>IFERROR(__xludf.DUMMYFUNCTION("""COMPUTED_VALUE"""),48.0)</f>
        <v>48</v>
      </c>
      <c r="E980" s="46">
        <f>IFERROR(__xludf.DUMMYFUNCTION("""COMPUTED_VALUE"""),7.42569196E8)</f>
        <v>742569196</v>
      </c>
      <c r="F980" s="84">
        <f>IFERROR(__xludf.DUMMYFUNCTION("""COMPUTED_VALUE"""),243568.86000000002)</f>
        <v>243568.86</v>
      </c>
      <c r="I980" s="87"/>
    </row>
    <row r="981">
      <c r="A981" s="46" t="str">
        <f>IFERROR(__xludf.DUMMYFUNCTION("""COMPUTED_VALUE"""),"Europe")</f>
        <v>Europe</v>
      </c>
      <c r="B981" s="46" t="str">
        <f>IFERROR(__xludf.DUMMYFUNCTION("""COMPUTED_VALUE"""),"Poland")</f>
        <v>Poland</v>
      </c>
      <c r="C981" s="46" t="str">
        <f>IFERROR(__xludf.DUMMYFUNCTION("""COMPUTED_VALUE"""),"Beverages")</f>
        <v>Beverages</v>
      </c>
      <c r="D981" s="46">
        <f>IFERROR(__xludf.DUMMYFUNCTION("""COMPUTED_VALUE"""),13.0)</f>
        <v>13</v>
      </c>
      <c r="E981" s="46">
        <f>IFERROR(__xludf.DUMMYFUNCTION("""COMPUTED_VALUE"""),7.42843854E8)</f>
        <v>742843854</v>
      </c>
      <c r="F981" s="84">
        <f>IFERROR(__xludf.DUMMYFUNCTION("""COMPUTED_VALUE"""),135659.55000000002)</f>
        <v>135659.55</v>
      </c>
      <c r="I981" s="87"/>
    </row>
    <row r="982">
      <c r="A982" s="46" t="str">
        <f>IFERROR(__xludf.DUMMYFUNCTION("""COMPUTED_VALUE"""),"Europe")</f>
        <v>Europe</v>
      </c>
      <c r="B982" s="46" t="str">
        <f>IFERROR(__xludf.DUMMYFUNCTION("""COMPUTED_VALUE"""),"Hungary")</f>
        <v>Hungary</v>
      </c>
      <c r="C982" s="46" t="str">
        <f>IFERROR(__xludf.DUMMYFUNCTION("""COMPUTED_VALUE"""),"Cosmetics")</f>
        <v>Cosmetics</v>
      </c>
      <c r="D982" s="46">
        <f>IFERROR(__xludf.DUMMYFUNCTION("""COMPUTED_VALUE"""),43.0)</f>
        <v>43</v>
      </c>
      <c r="E982" s="46">
        <f>IFERROR(__xludf.DUMMYFUNCTION("""COMPUTED_VALUE"""),7.43619334E8)</f>
        <v>743619334</v>
      </c>
      <c r="F982" s="84">
        <f>IFERROR(__xludf.DUMMYFUNCTION("""COMPUTED_VALUE"""),1023485.2)</f>
        <v>1023485.2</v>
      </c>
      <c r="I982" s="87"/>
    </row>
    <row r="983">
      <c r="A983" s="46" t="str">
        <f>IFERROR(__xludf.DUMMYFUNCTION("""COMPUTED_VALUE"""),"Europe")</f>
        <v>Europe</v>
      </c>
      <c r="B983" s="46" t="str">
        <f>IFERROR(__xludf.DUMMYFUNCTION("""COMPUTED_VALUE"""),"Malta")</f>
        <v>Malta</v>
      </c>
      <c r="C983" s="46" t="str">
        <f>IFERROR(__xludf.DUMMYFUNCTION("""COMPUTED_VALUE"""),"Vegetables")</f>
        <v>Vegetables</v>
      </c>
      <c r="D983" s="46">
        <f>IFERROR(__xludf.DUMMYFUNCTION("""COMPUTED_VALUE"""),1.0)</f>
        <v>1</v>
      </c>
      <c r="E983" s="46">
        <f>IFERROR(__xludf.DUMMYFUNCTION("""COMPUTED_VALUE"""),7.43769109E8)</f>
        <v>743769109</v>
      </c>
      <c r="F983" s="84">
        <f>IFERROR(__xludf.DUMMYFUNCTION("""COMPUTED_VALUE"""),1026347.72)</f>
        <v>1026347.72</v>
      </c>
      <c r="I983" s="87"/>
    </row>
    <row r="984">
      <c r="A984" s="46" t="str">
        <f>IFERROR(__xludf.DUMMYFUNCTION("""COMPUTED_VALUE"""),"Europe")</f>
        <v>Europe</v>
      </c>
      <c r="B984" s="46" t="str">
        <f>IFERROR(__xludf.DUMMYFUNCTION("""COMPUTED_VALUE"""),"Spain")</f>
        <v>Spain</v>
      </c>
      <c r="C984" s="46" t="str">
        <f>IFERROR(__xludf.DUMMYFUNCTION("""COMPUTED_VALUE"""),"Clothes")</f>
        <v>Clothes</v>
      </c>
      <c r="D984" s="46">
        <f>IFERROR(__xludf.DUMMYFUNCTION("""COMPUTED_VALUE"""),43.0)</f>
        <v>43</v>
      </c>
      <c r="E984" s="46">
        <f>IFERROR(__xludf.DUMMYFUNCTION("""COMPUTED_VALUE"""),7.44583642E8)</f>
        <v>744583642</v>
      </c>
      <c r="F984" s="84">
        <f>IFERROR(__xludf.DUMMYFUNCTION("""COMPUTED_VALUE"""),841565.28)</f>
        <v>841565.28</v>
      </c>
      <c r="I984" s="87"/>
    </row>
    <row r="985">
      <c r="A985" s="46" t="str">
        <f>IFERROR(__xludf.DUMMYFUNCTION("""COMPUTED_VALUE"""),"Europe")</f>
        <v>Europe</v>
      </c>
      <c r="B985" s="46" t="str">
        <f>IFERROR(__xludf.DUMMYFUNCTION("""COMPUTED_VALUE"""),"Luxembourg")</f>
        <v>Luxembourg</v>
      </c>
      <c r="C985" s="46" t="str">
        <f>IFERROR(__xludf.DUMMYFUNCTION("""COMPUTED_VALUE"""),"Vegetables")</f>
        <v>Vegetables</v>
      </c>
      <c r="D985" s="46">
        <f>IFERROR(__xludf.DUMMYFUNCTION("""COMPUTED_VALUE"""),47.0)</f>
        <v>47</v>
      </c>
      <c r="E985" s="46">
        <f>IFERROR(__xludf.DUMMYFUNCTION("""COMPUTED_VALUE"""),7.44683635E8)</f>
        <v>744683635</v>
      </c>
      <c r="F985" s="84">
        <f>IFERROR(__xludf.DUMMYFUNCTION("""COMPUTED_VALUE"""),1123251.46)</f>
        <v>1123251.46</v>
      </c>
      <c r="I985" s="87"/>
    </row>
    <row r="986">
      <c r="A986" s="46" t="str">
        <f>IFERROR(__xludf.DUMMYFUNCTION("""COMPUTED_VALUE"""),"Europe")</f>
        <v>Europe</v>
      </c>
      <c r="B986" s="46" t="str">
        <f>IFERROR(__xludf.DUMMYFUNCTION("""COMPUTED_VALUE"""),"Russia")</f>
        <v>Russia</v>
      </c>
      <c r="C986" s="46" t="str">
        <f>IFERROR(__xludf.DUMMYFUNCTION("""COMPUTED_VALUE"""),"Clothes")</f>
        <v>Clothes</v>
      </c>
      <c r="D986" s="46">
        <f>IFERROR(__xludf.DUMMYFUNCTION("""COMPUTED_VALUE"""),46.0)</f>
        <v>46</v>
      </c>
      <c r="E986" s="46">
        <f>IFERROR(__xludf.DUMMYFUNCTION("""COMPUTED_VALUE"""),7.45467269E8)</f>
        <v>745467269</v>
      </c>
      <c r="F986" s="84">
        <f>IFERROR(__xludf.DUMMYFUNCTION("""COMPUTED_VALUE"""),1003846.08)</f>
        <v>1003846.08</v>
      </c>
      <c r="I986" s="87"/>
    </row>
    <row r="987">
      <c r="A987" s="46" t="str">
        <f>IFERROR(__xludf.DUMMYFUNCTION("""COMPUTED_VALUE"""),"Europe")</f>
        <v>Europe</v>
      </c>
      <c r="B987" s="46" t="str">
        <f>IFERROR(__xludf.DUMMYFUNCTION("""COMPUTED_VALUE"""),"Norway")</f>
        <v>Norway</v>
      </c>
      <c r="C987" s="46" t="str">
        <f>IFERROR(__xludf.DUMMYFUNCTION("""COMPUTED_VALUE"""),"Cosmetics")</f>
        <v>Cosmetics</v>
      </c>
      <c r="D987" s="46">
        <f>IFERROR(__xludf.DUMMYFUNCTION("""COMPUTED_VALUE"""),29.0)</f>
        <v>29</v>
      </c>
      <c r="E987" s="46">
        <f>IFERROR(__xludf.DUMMYFUNCTION("""COMPUTED_VALUE"""),7.46563756E8)</f>
        <v>746563756</v>
      </c>
      <c r="F987" s="84">
        <f>IFERROR(__xludf.DUMMYFUNCTION("""COMPUTED_VALUE"""),1600589.2)</f>
        <v>1600589.2</v>
      </c>
      <c r="I987" s="87"/>
    </row>
    <row r="988">
      <c r="A988" s="46" t="str">
        <f>IFERROR(__xludf.DUMMYFUNCTION("""COMPUTED_VALUE"""),"Europe")</f>
        <v>Europe</v>
      </c>
      <c r="B988" s="46" t="str">
        <f>IFERROR(__xludf.DUMMYFUNCTION("""COMPUTED_VALUE"""),"Romania")</f>
        <v>Romania</v>
      </c>
      <c r="C988" s="46" t="str">
        <f>IFERROR(__xludf.DUMMYFUNCTION("""COMPUTED_VALUE"""),"Snacks")</f>
        <v>Snacks</v>
      </c>
      <c r="D988" s="46">
        <f>IFERROR(__xludf.DUMMYFUNCTION("""COMPUTED_VALUE"""),28.0)</f>
        <v>28</v>
      </c>
      <c r="E988" s="46">
        <f>IFERROR(__xludf.DUMMYFUNCTION("""COMPUTED_VALUE"""),7.4732722E8)</f>
        <v>747327220</v>
      </c>
      <c r="F988" s="84">
        <f>IFERROR(__xludf.DUMMYFUNCTION("""COMPUTED_VALUE"""),1462784.4600000002)</f>
        <v>1462784.46</v>
      </c>
      <c r="I988" s="87"/>
    </row>
    <row r="989">
      <c r="A989" s="46" t="str">
        <f>IFERROR(__xludf.DUMMYFUNCTION("""COMPUTED_VALUE"""),"Europe")</f>
        <v>Europe</v>
      </c>
      <c r="B989" s="46" t="str">
        <f>IFERROR(__xludf.DUMMYFUNCTION("""COMPUTED_VALUE"""),"Netherlands")</f>
        <v>Netherlands</v>
      </c>
      <c r="C989" s="46" t="str">
        <f>IFERROR(__xludf.DUMMYFUNCTION("""COMPUTED_VALUE"""),"Meat")</f>
        <v>Meat</v>
      </c>
      <c r="D989" s="46">
        <f>IFERROR(__xludf.DUMMYFUNCTION("""COMPUTED_VALUE"""),26.0)</f>
        <v>26</v>
      </c>
      <c r="E989" s="46">
        <f>IFERROR(__xludf.DUMMYFUNCTION("""COMPUTED_VALUE"""),7.47774398E8)</f>
        <v>747774398</v>
      </c>
      <c r="F989" s="84">
        <f>IFERROR(__xludf.DUMMYFUNCTION("""COMPUTED_VALUE"""),808341.24)</f>
        <v>808341.24</v>
      </c>
      <c r="I989" s="87"/>
    </row>
    <row r="990">
      <c r="A990" s="46" t="str">
        <f>IFERROR(__xludf.DUMMYFUNCTION("""COMPUTED_VALUE"""),"Europe")</f>
        <v>Europe</v>
      </c>
      <c r="B990" s="46" t="str">
        <f>IFERROR(__xludf.DUMMYFUNCTION("""COMPUTED_VALUE"""),"Macedonia")</f>
        <v>Macedonia</v>
      </c>
      <c r="C990" s="46" t="str">
        <f>IFERROR(__xludf.DUMMYFUNCTION("""COMPUTED_VALUE"""),"Office Supplies")</f>
        <v>Office Supplies</v>
      </c>
      <c r="D990" s="46">
        <f>IFERROR(__xludf.DUMMYFUNCTION("""COMPUTED_VALUE"""),5.0)</f>
        <v>5</v>
      </c>
      <c r="E990" s="46">
        <f>IFERROR(__xludf.DUMMYFUNCTION("""COMPUTED_VALUE"""),7.47826755E8)</f>
        <v>747826755</v>
      </c>
      <c r="F990" s="84">
        <f>IFERROR(__xludf.DUMMYFUNCTION("""COMPUTED_VALUE"""),4825466.100000001)</f>
        <v>4825466.1</v>
      </c>
      <c r="I990" s="87"/>
    </row>
    <row r="991">
      <c r="A991" s="46" t="str">
        <f>IFERROR(__xludf.DUMMYFUNCTION("""COMPUTED_VALUE"""),"Europe")</f>
        <v>Europe</v>
      </c>
      <c r="B991" s="46" t="str">
        <f>IFERROR(__xludf.DUMMYFUNCTION("""COMPUTED_VALUE"""),"Ukraine")</f>
        <v>Ukraine</v>
      </c>
      <c r="C991" s="46" t="str">
        <f>IFERROR(__xludf.DUMMYFUNCTION("""COMPUTED_VALUE"""),"Clothes")</f>
        <v>Clothes</v>
      </c>
      <c r="D991" s="46">
        <f>IFERROR(__xludf.DUMMYFUNCTION("""COMPUTED_VALUE"""),28.0)</f>
        <v>28</v>
      </c>
      <c r="E991" s="46">
        <f>IFERROR(__xludf.DUMMYFUNCTION("""COMPUTED_VALUE"""),7.47955071E8)</f>
        <v>747955071</v>
      </c>
      <c r="F991" s="84">
        <f>IFERROR(__xludf.DUMMYFUNCTION("""COMPUTED_VALUE"""),588144.96)</f>
        <v>588144.96</v>
      </c>
      <c r="I991" s="87"/>
    </row>
    <row r="992">
      <c r="A992" s="46" t="str">
        <f>IFERROR(__xludf.DUMMYFUNCTION("""COMPUTED_VALUE"""),"Europe")</f>
        <v>Europe</v>
      </c>
      <c r="B992" s="46" t="str">
        <f>IFERROR(__xludf.DUMMYFUNCTION("""COMPUTED_VALUE"""),"Italy")</f>
        <v>Italy</v>
      </c>
      <c r="C992" s="46" t="str">
        <f>IFERROR(__xludf.DUMMYFUNCTION("""COMPUTED_VALUE"""),"Baby Food")</f>
        <v>Baby Food</v>
      </c>
      <c r="D992" s="46">
        <f>IFERROR(__xludf.DUMMYFUNCTION("""COMPUTED_VALUE"""),24.0)</f>
        <v>24</v>
      </c>
      <c r="E992" s="46">
        <f>IFERROR(__xludf.DUMMYFUNCTION("""COMPUTED_VALUE"""),7.48357188E8)</f>
        <v>748357188</v>
      </c>
      <c r="F992" s="84">
        <f>IFERROR(__xludf.DUMMYFUNCTION("""COMPUTED_VALUE"""),1117360.56)</f>
        <v>1117360.56</v>
      </c>
      <c r="I992" s="87"/>
    </row>
    <row r="993">
      <c r="A993" s="46" t="str">
        <f>IFERROR(__xludf.DUMMYFUNCTION("""COMPUTED_VALUE"""),"Europe")</f>
        <v>Europe</v>
      </c>
      <c r="B993" s="46" t="str">
        <f>IFERROR(__xludf.DUMMYFUNCTION("""COMPUTED_VALUE"""),"Austria")</f>
        <v>Austria</v>
      </c>
      <c r="C993" s="46" t="str">
        <f>IFERROR(__xludf.DUMMYFUNCTION("""COMPUTED_VALUE"""),"Fruits")</f>
        <v>Fruits</v>
      </c>
      <c r="D993" s="46">
        <f>IFERROR(__xludf.DUMMYFUNCTION("""COMPUTED_VALUE"""),49.0)</f>
        <v>49</v>
      </c>
      <c r="E993" s="46">
        <f>IFERROR(__xludf.DUMMYFUNCTION("""COMPUTED_VALUE"""),7.50047194E8)</f>
        <v>750047194</v>
      </c>
      <c r="F993" s="84">
        <f>IFERROR(__xludf.DUMMYFUNCTION("""COMPUTED_VALUE"""),41863.71)</f>
        <v>41863.71</v>
      </c>
      <c r="I993" s="87"/>
    </row>
    <row r="994">
      <c r="A994" s="46" t="str">
        <f>IFERROR(__xludf.DUMMYFUNCTION("""COMPUTED_VALUE"""),"Europe")</f>
        <v>Europe</v>
      </c>
      <c r="B994" s="46" t="str">
        <f>IFERROR(__xludf.DUMMYFUNCTION("""COMPUTED_VALUE"""),"Norway")</f>
        <v>Norway</v>
      </c>
      <c r="C994" s="46" t="str">
        <f>IFERROR(__xludf.DUMMYFUNCTION("""COMPUTED_VALUE"""),"Snacks")</f>
        <v>Snacks</v>
      </c>
      <c r="D994" s="46">
        <f>IFERROR(__xludf.DUMMYFUNCTION("""COMPUTED_VALUE"""),44.0)</f>
        <v>44</v>
      </c>
      <c r="E994" s="46">
        <f>IFERROR(__xludf.DUMMYFUNCTION("""COMPUTED_VALUE"""),7.50439441E8)</f>
        <v>750439441</v>
      </c>
      <c r="F994" s="84">
        <f>IFERROR(__xludf.DUMMYFUNCTION("""COMPUTED_VALUE"""),85749.96)</f>
        <v>85749.96</v>
      </c>
      <c r="I994" s="87"/>
    </row>
    <row r="995">
      <c r="A995" s="46" t="str">
        <f>IFERROR(__xludf.DUMMYFUNCTION("""COMPUTED_VALUE"""),"Europe")</f>
        <v>Europe</v>
      </c>
      <c r="B995" s="46" t="str">
        <f>IFERROR(__xludf.DUMMYFUNCTION("""COMPUTED_VALUE"""),"Montenegro")</f>
        <v>Montenegro</v>
      </c>
      <c r="C995" s="46" t="str">
        <f>IFERROR(__xludf.DUMMYFUNCTION("""COMPUTED_VALUE"""),"Baby Food")</f>
        <v>Baby Food</v>
      </c>
      <c r="D995" s="46">
        <f>IFERROR(__xludf.DUMMYFUNCTION("""COMPUTED_VALUE"""),20.0)</f>
        <v>20</v>
      </c>
      <c r="E995" s="46">
        <f>IFERROR(__xludf.DUMMYFUNCTION("""COMPUTED_VALUE"""),7.50959146E8)</f>
        <v>750959146</v>
      </c>
      <c r="F995" s="84">
        <f>IFERROR(__xludf.DUMMYFUNCTION("""COMPUTED_VALUE"""),1111489.12)</f>
        <v>1111489.12</v>
      </c>
      <c r="I995" s="87"/>
    </row>
    <row r="996">
      <c r="A996" s="46" t="str">
        <f>IFERROR(__xludf.DUMMYFUNCTION("""COMPUTED_VALUE"""),"Europe")</f>
        <v>Europe</v>
      </c>
      <c r="B996" s="46" t="str">
        <f>IFERROR(__xludf.DUMMYFUNCTION("""COMPUTED_VALUE"""),"Norway")</f>
        <v>Norway</v>
      </c>
      <c r="C996" s="46" t="str">
        <f>IFERROR(__xludf.DUMMYFUNCTION("""COMPUTED_VALUE"""),"Fruits")</f>
        <v>Fruits</v>
      </c>
      <c r="D996" s="46">
        <f>IFERROR(__xludf.DUMMYFUNCTION("""COMPUTED_VALUE"""),13.0)</f>
        <v>13</v>
      </c>
      <c r="E996" s="46">
        <f>IFERROR(__xludf.DUMMYFUNCTION("""COMPUTED_VALUE"""),7.52792918E8)</f>
        <v>752792918</v>
      </c>
      <c r="F996" s="84">
        <f>IFERROR(__xludf.DUMMYFUNCTION("""COMPUTED_VALUE"""),65384.64)</f>
        <v>65384.64</v>
      </c>
      <c r="I996" s="87"/>
    </row>
    <row r="997">
      <c r="A997" s="46" t="str">
        <f>IFERROR(__xludf.DUMMYFUNCTION("""COMPUTED_VALUE"""),"Europe")</f>
        <v>Europe</v>
      </c>
      <c r="B997" s="46" t="str">
        <f>IFERROR(__xludf.DUMMYFUNCTION("""COMPUTED_VALUE"""),"Spain")</f>
        <v>Spain</v>
      </c>
      <c r="C997" s="46" t="str">
        <f>IFERROR(__xludf.DUMMYFUNCTION("""COMPUTED_VALUE"""),"Fruits")</f>
        <v>Fruits</v>
      </c>
      <c r="D997" s="46">
        <f>IFERROR(__xludf.DUMMYFUNCTION("""COMPUTED_VALUE"""),47.0)</f>
        <v>47</v>
      </c>
      <c r="E997" s="46">
        <f>IFERROR(__xludf.DUMMYFUNCTION("""COMPUTED_VALUE"""),7.53166282E8)</f>
        <v>753166282</v>
      </c>
      <c r="F997" s="84">
        <f>IFERROR(__xludf.DUMMYFUNCTION("""COMPUTED_VALUE"""),69928.35)</f>
        <v>69928.35</v>
      </c>
      <c r="I997" s="87"/>
    </row>
    <row r="998">
      <c r="A998" s="46" t="str">
        <f>IFERROR(__xludf.DUMMYFUNCTION("""COMPUTED_VALUE"""),"Europe")</f>
        <v>Europe</v>
      </c>
      <c r="B998" s="46" t="str">
        <f>IFERROR(__xludf.DUMMYFUNCTION("""COMPUTED_VALUE"""),"Monaco")</f>
        <v>Monaco</v>
      </c>
      <c r="C998" s="46" t="str">
        <f>IFERROR(__xludf.DUMMYFUNCTION("""COMPUTED_VALUE"""),"Office Supplies")</f>
        <v>Office Supplies</v>
      </c>
      <c r="D998" s="46">
        <f>IFERROR(__xludf.DUMMYFUNCTION("""COMPUTED_VALUE"""),35.0)</f>
        <v>35</v>
      </c>
      <c r="E998" s="46">
        <f>IFERROR(__xludf.DUMMYFUNCTION("""COMPUTED_VALUE"""),7.54227149E8)</f>
        <v>754227149</v>
      </c>
      <c r="F998" s="84">
        <f>IFERROR(__xludf.DUMMYFUNCTION("""COMPUTED_VALUE"""),930579.0900000001)</f>
        <v>930579.09</v>
      </c>
      <c r="I998" s="87"/>
    </row>
    <row r="999">
      <c r="A999" s="46" t="str">
        <f>IFERROR(__xludf.DUMMYFUNCTION("""COMPUTED_VALUE"""),"Europe")</f>
        <v>Europe</v>
      </c>
      <c r="B999" s="46" t="str">
        <f>IFERROR(__xludf.DUMMYFUNCTION("""COMPUTED_VALUE"""),"Andorra")</f>
        <v>Andorra</v>
      </c>
      <c r="C999" s="46" t="str">
        <f>IFERROR(__xludf.DUMMYFUNCTION("""COMPUTED_VALUE"""),"Personal Care")</f>
        <v>Personal Care</v>
      </c>
      <c r="D999" s="46">
        <f>IFERROR(__xludf.DUMMYFUNCTION("""COMPUTED_VALUE"""),7.0)</f>
        <v>7</v>
      </c>
      <c r="E999" s="46">
        <f>IFERROR(__xludf.DUMMYFUNCTION("""COMPUTED_VALUE"""),7.54541289E8)</f>
        <v>754541289</v>
      </c>
      <c r="F999" s="84">
        <f>IFERROR(__xludf.DUMMYFUNCTION("""COMPUTED_VALUE"""),358794.7)</f>
        <v>358794.7</v>
      </c>
      <c r="I999" s="87"/>
    </row>
    <row r="1000">
      <c r="A1000" s="46" t="str">
        <f>IFERROR(__xludf.DUMMYFUNCTION("""COMPUTED_VALUE"""),"Europe")</f>
        <v>Europe</v>
      </c>
      <c r="B1000" s="46" t="str">
        <f>IFERROR(__xludf.DUMMYFUNCTION("""COMPUTED_VALUE"""),"Italy")</f>
        <v>Italy</v>
      </c>
      <c r="C1000" s="46" t="str">
        <f>IFERROR(__xludf.DUMMYFUNCTION("""COMPUTED_VALUE"""),"Clothes")</f>
        <v>Clothes</v>
      </c>
      <c r="D1000" s="46">
        <f>IFERROR(__xludf.DUMMYFUNCTION("""COMPUTED_VALUE"""),15.0)</f>
        <v>15</v>
      </c>
      <c r="E1000" s="46">
        <f>IFERROR(__xludf.DUMMYFUNCTION("""COMPUTED_VALUE"""),7.55318915E8)</f>
        <v>755318915</v>
      </c>
      <c r="F1000" s="84">
        <f>IFERROR(__xludf.DUMMYFUNCTION("""COMPUTED_VALUE"""),492524.96)</f>
        <v>492524.96</v>
      </c>
      <c r="I1000" s="87"/>
    </row>
    <row r="1001">
      <c r="A1001" s="46" t="str">
        <f>IFERROR(__xludf.DUMMYFUNCTION("""COMPUTED_VALUE"""),"Europe")</f>
        <v>Europe</v>
      </c>
      <c r="B1001" s="46" t="str">
        <f>IFERROR(__xludf.DUMMYFUNCTION("""COMPUTED_VALUE"""),"Czech Republic")</f>
        <v>Czech Republic</v>
      </c>
      <c r="C1001" s="46" t="str">
        <f>IFERROR(__xludf.DUMMYFUNCTION("""COMPUTED_VALUE"""),"Snacks")</f>
        <v>Snacks</v>
      </c>
      <c r="D1001" s="46">
        <f>IFERROR(__xludf.DUMMYFUNCTION("""COMPUTED_VALUE"""),11.0)</f>
        <v>11</v>
      </c>
      <c r="E1001" s="46">
        <f>IFERROR(__xludf.DUMMYFUNCTION("""COMPUTED_VALUE"""),7.5560559E8)</f>
        <v>755605590</v>
      </c>
      <c r="F1001" s="84">
        <f>IFERROR(__xludf.DUMMYFUNCTION("""COMPUTED_VALUE"""),1425097.2000000002)</f>
        <v>1425097.2</v>
      </c>
      <c r="I1001" s="87"/>
    </row>
    <row r="1002">
      <c r="A1002" s="46" t="str">
        <f>IFERROR(__xludf.DUMMYFUNCTION("""COMPUTED_VALUE"""),"Europe")</f>
        <v>Europe</v>
      </c>
      <c r="B1002" s="46" t="str">
        <f>IFERROR(__xludf.DUMMYFUNCTION("""COMPUTED_VALUE"""),"Slovenia")</f>
        <v>Slovenia</v>
      </c>
      <c r="C1002" s="46" t="str">
        <f>IFERROR(__xludf.DUMMYFUNCTION("""COMPUTED_VALUE"""),"Fruits")</f>
        <v>Fruits</v>
      </c>
      <c r="D1002" s="46">
        <f>IFERROR(__xludf.DUMMYFUNCTION("""COMPUTED_VALUE"""),22.0)</f>
        <v>22</v>
      </c>
      <c r="E1002" s="46">
        <f>IFERROR(__xludf.DUMMYFUNCTION("""COMPUTED_VALUE"""),7.56252324E8)</f>
        <v>756252324</v>
      </c>
      <c r="F1002" s="84">
        <f>IFERROR(__xludf.DUMMYFUNCTION("""COMPUTED_VALUE"""),6745.59)</f>
        <v>6745.59</v>
      </c>
      <c r="I1002" s="87"/>
    </row>
    <row r="1003">
      <c r="A1003" s="46" t="str">
        <f>IFERROR(__xludf.DUMMYFUNCTION("""COMPUTED_VALUE"""),"Europe")</f>
        <v>Europe</v>
      </c>
      <c r="B1003" s="46" t="str">
        <f>IFERROR(__xludf.DUMMYFUNCTION("""COMPUTED_VALUE"""),"Czech Republic")</f>
        <v>Czech Republic</v>
      </c>
      <c r="C1003" s="46" t="str">
        <f>IFERROR(__xludf.DUMMYFUNCTION("""COMPUTED_VALUE"""),"Meat")</f>
        <v>Meat</v>
      </c>
      <c r="D1003" s="46">
        <f>IFERROR(__xludf.DUMMYFUNCTION("""COMPUTED_VALUE"""),50.0)</f>
        <v>50</v>
      </c>
      <c r="E1003" s="46">
        <f>IFERROR(__xludf.DUMMYFUNCTION("""COMPUTED_VALUE"""),7.56395232E8)</f>
        <v>756395232</v>
      </c>
      <c r="F1003" s="84">
        <f>IFERROR(__xludf.DUMMYFUNCTION("""COMPUTED_VALUE"""),1271154.57)</f>
        <v>1271154.57</v>
      </c>
      <c r="I1003" s="87"/>
    </row>
    <row r="1004">
      <c r="A1004" s="46" t="str">
        <f>IFERROR(__xludf.DUMMYFUNCTION("""COMPUTED_VALUE"""),"Europe")</f>
        <v>Europe</v>
      </c>
      <c r="B1004" s="46" t="str">
        <f>IFERROR(__xludf.DUMMYFUNCTION("""COMPUTED_VALUE"""),"Monaco")</f>
        <v>Monaco</v>
      </c>
      <c r="C1004" s="46" t="str">
        <f>IFERROR(__xludf.DUMMYFUNCTION("""COMPUTED_VALUE"""),"Beverages")</f>
        <v>Beverages</v>
      </c>
      <c r="D1004" s="46">
        <f>IFERROR(__xludf.DUMMYFUNCTION("""COMPUTED_VALUE"""),9.0)</f>
        <v>9</v>
      </c>
      <c r="E1004" s="46">
        <f>IFERROR(__xludf.DUMMYFUNCTION("""COMPUTED_VALUE"""),7.57468974E8)</f>
        <v>757468974</v>
      </c>
      <c r="F1004" s="84">
        <f>IFERROR(__xludf.DUMMYFUNCTION("""COMPUTED_VALUE"""),35919.65)</f>
        <v>35919.65</v>
      </c>
      <c r="I1004" s="87"/>
    </row>
    <row r="1005">
      <c r="A1005" s="46" t="str">
        <f>IFERROR(__xludf.DUMMYFUNCTION("""COMPUTED_VALUE"""),"Europe")</f>
        <v>Europe</v>
      </c>
      <c r="B1005" s="46" t="str">
        <f>IFERROR(__xludf.DUMMYFUNCTION("""COMPUTED_VALUE"""),"Czech Republic")</f>
        <v>Czech Republic</v>
      </c>
      <c r="C1005" s="46" t="str">
        <f>IFERROR(__xludf.DUMMYFUNCTION("""COMPUTED_VALUE"""),"Household")</f>
        <v>Household</v>
      </c>
      <c r="D1005" s="46">
        <f>IFERROR(__xludf.DUMMYFUNCTION("""COMPUTED_VALUE"""),6.0)</f>
        <v>6</v>
      </c>
      <c r="E1005" s="46">
        <f>IFERROR(__xludf.DUMMYFUNCTION("""COMPUTED_VALUE"""),7.59086453E8)</f>
        <v>759086453</v>
      </c>
      <c r="F1005" s="84">
        <f>IFERROR(__xludf.DUMMYFUNCTION("""COMPUTED_VALUE"""),6285079.35)</f>
        <v>6285079.35</v>
      </c>
      <c r="I1005" s="87"/>
    </row>
    <row r="1006">
      <c r="A1006" s="46" t="str">
        <f>IFERROR(__xludf.DUMMYFUNCTION("""COMPUTED_VALUE"""),"Europe")</f>
        <v>Europe</v>
      </c>
      <c r="B1006" s="46" t="str">
        <f>IFERROR(__xludf.DUMMYFUNCTION("""COMPUTED_VALUE"""),"Macedonia")</f>
        <v>Macedonia</v>
      </c>
      <c r="C1006" s="46" t="str">
        <f>IFERROR(__xludf.DUMMYFUNCTION("""COMPUTED_VALUE"""),"Vegetables")</f>
        <v>Vegetables</v>
      </c>
      <c r="D1006" s="46">
        <f>IFERROR(__xludf.DUMMYFUNCTION("""COMPUTED_VALUE"""),2.0)</f>
        <v>2</v>
      </c>
      <c r="E1006" s="46">
        <f>IFERROR(__xludf.DUMMYFUNCTION("""COMPUTED_VALUE"""),7.59594142E8)</f>
        <v>759594142</v>
      </c>
      <c r="F1006" s="84">
        <f>IFERROR(__xludf.DUMMYFUNCTION("""COMPUTED_VALUE"""),1485292.46)</f>
        <v>1485292.46</v>
      </c>
      <c r="I1006" s="87"/>
    </row>
    <row r="1007">
      <c r="A1007" s="46" t="str">
        <f>IFERROR(__xludf.DUMMYFUNCTION("""COMPUTED_VALUE"""),"Undefined")</f>
        <v>Undefined</v>
      </c>
      <c r="B1007" s="46" t="str">
        <f>IFERROR(__xludf.DUMMYFUNCTION("""COMPUTED_VALUE"""),"Undefined")</f>
        <v>Undefined</v>
      </c>
      <c r="C1007" s="46" t="str">
        <f>IFERROR(__xludf.DUMMYFUNCTION("""COMPUTED_VALUE"""),"Office Supplies")</f>
        <v>Office Supplies</v>
      </c>
      <c r="D1007" s="46">
        <f>IFERROR(__xludf.DUMMYFUNCTION("""COMPUTED_VALUE"""),20.0)</f>
        <v>20</v>
      </c>
      <c r="E1007" s="46">
        <f>IFERROR(__xludf.DUMMYFUNCTION("""COMPUTED_VALUE"""),7.60280358E8)</f>
        <v>760280358</v>
      </c>
      <c r="F1007" s="84">
        <f>IFERROR(__xludf.DUMMYFUNCTION("""COMPUTED_VALUE"""),1763476.6800000002)</f>
        <v>1763476.68</v>
      </c>
      <c r="I1007" s="87"/>
    </row>
    <row r="1008">
      <c r="A1008" s="46" t="str">
        <f>IFERROR(__xludf.DUMMYFUNCTION("""COMPUTED_VALUE"""),"Europe")</f>
        <v>Europe</v>
      </c>
      <c r="B1008" s="46" t="str">
        <f>IFERROR(__xludf.DUMMYFUNCTION("""COMPUTED_VALUE"""),"Poland")</f>
        <v>Poland</v>
      </c>
      <c r="C1008" s="46" t="str">
        <f>IFERROR(__xludf.DUMMYFUNCTION("""COMPUTED_VALUE"""),"Household")</f>
        <v>Household</v>
      </c>
      <c r="D1008" s="46">
        <f>IFERROR(__xludf.DUMMYFUNCTION("""COMPUTED_VALUE"""),8.0)</f>
        <v>8</v>
      </c>
      <c r="E1008" s="46">
        <f>IFERROR(__xludf.DUMMYFUNCTION("""COMPUTED_VALUE"""),7.60346877E8)</f>
        <v>760346877</v>
      </c>
      <c r="F1008" s="84">
        <f>IFERROR(__xludf.DUMMYFUNCTION("""COMPUTED_VALUE"""),1598501.8399999999)</f>
        <v>1598501.84</v>
      </c>
      <c r="I1008" s="87"/>
    </row>
    <row r="1009">
      <c r="A1009" s="46" t="str">
        <f>IFERROR(__xludf.DUMMYFUNCTION("""COMPUTED_VALUE"""),"Europe")</f>
        <v>Europe</v>
      </c>
      <c r="B1009" s="46" t="str">
        <f>IFERROR(__xludf.DUMMYFUNCTION("""COMPUTED_VALUE"""),"Bosnia and Herzegovina")</f>
        <v>Bosnia and Herzegovina</v>
      </c>
      <c r="C1009" s="46" t="str">
        <f>IFERROR(__xludf.DUMMYFUNCTION("""COMPUTED_VALUE"""),"Vegetables")</f>
        <v>Vegetables</v>
      </c>
      <c r="D1009" s="46">
        <f>IFERROR(__xludf.DUMMYFUNCTION("""COMPUTED_VALUE"""),45.0)</f>
        <v>45</v>
      </c>
      <c r="E1009" s="46">
        <f>IFERROR(__xludf.DUMMYFUNCTION("""COMPUTED_VALUE"""),7.6061939E8)</f>
        <v>760619390</v>
      </c>
      <c r="F1009" s="84">
        <f>IFERROR(__xludf.DUMMYFUNCTION("""COMPUTED_VALUE"""),467572.10000000003)</f>
        <v>467572.1</v>
      </c>
      <c r="I1009" s="87"/>
    </row>
    <row r="1010">
      <c r="A1010" s="46" t="str">
        <f>IFERROR(__xludf.DUMMYFUNCTION("""COMPUTED_VALUE"""),"Undefined")</f>
        <v>Undefined</v>
      </c>
      <c r="B1010" s="46" t="str">
        <f>IFERROR(__xludf.DUMMYFUNCTION("""COMPUTED_VALUE"""),"Undefined")</f>
        <v>Undefined</v>
      </c>
      <c r="C1010" s="46" t="str">
        <f>IFERROR(__xludf.DUMMYFUNCTION("""COMPUTED_VALUE"""),"Beverages")</f>
        <v>Beverages</v>
      </c>
      <c r="D1010" s="46">
        <f>IFERROR(__xludf.DUMMYFUNCTION("""COMPUTED_VALUE"""),48.0)</f>
        <v>48</v>
      </c>
      <c r="E1010" s="46">
        <f>IFERROR(__xludf.DUMMYFUNCTION("""COMPUTED_VALUE"""),7.6172403E8)</f>
        <v>761724030</v>
      </c>
      <c r="F1010" s="84">
        <f>IFERROR(__xludf.DUMMYFUNCTION("""COMPUTED_VALUE"""),470846.35000000003)</f>
        <v>470846.35</v>
      </c>
      <c r="I1010" s="87"/>
    </row>
    <row r="1011">
      <c r="A1011" s="46" t="str">
        <f>IFERROR(__xludf.DUMMYFUNCTION("""COMPUTED_VALUE"""),"Europe")</f>
        <v>Europe</v>
      </c>
      <c r="B1011" s="46" t="str">
        <f>IFERROR(__xludf.DUMMYFUNCTION("""COMPUTED_VALUE"""),"Belgium")</f>
        <v>Belgium</v>
      </c>
      <c r="C1011" s="46" t="str">
        <f>IFERROR(__xludf.DUMMYFUNCTION("""COMPUTED_VALUE"""),"Clothes")</f>
        <v>Clothes</v>
      </c>
      <c r="D1011" s="46">
        <f>IFERROR(__xludf.DUMMYFUNCTION("""COMPUTED_VALUE"""),24.0)</f>
        <v>24</v>
      </c>
      <c r="E1011" s="46">
        <f>IFERROR(__xludf.DUMMYFUNCTION("""COMPUTED_VALUE"""),7.61887109E8)</f>
        <v>761887109</v>
      </c>
      <c r="F1011" s="84">
        <f>IFERROR(__xludf.DUMMYFUNCTION("""COMPUTED_VALUE"""),894019.68)</f>
        <v>894019.68</v>
      </c>
      <c r="I1011" s="87"/>
    </row>
    <row r="1012">
      <c r="A1012" s="46" t="str">
        <f>IFERROR(__xludf.DUMMYFUNCTION("""COMPUTED_VALUE"""),"Europe")</f>
        <v>Europe</v>
      </c>
      <c r="B1012" s="46" t="str">
        <f>IFERROR(__xludf.DUMMYFUNCTION("""COMPUTED_VALUE"""),"Ukraine")</f>
        <v>Ukraine</v>
      </c>
      <c r="C1012" s="46" t="str">
        <f>IFERROR(__xludf.DUMMYFUNCTION("""COMPUTED_VALUE"""),"Personal Care")</f>
        <v>Personal Care</v>
      </c>
      <c r="D1012" s="46">
        <f>IFERROR(__xludf.DUMMYFUNCTION("""COMPUTED_VALUE"""),30.0)</f>
        <v>30</v>
      </c>
      <c r="E1012" s="46">
        <f>IFERROR(__xludf.DUMMYFUNCTION("""COMPUTED_VALUE"""),7.62117564E8)</f>
        <v>762117564</v>
      </c>
      <c r="F1012" s="84">
        <f>IFERROR(__xludf.DUMMYFUNCTION("""COMPUTED_VALUE"""),521273.94)</f>
        <v>521273.94</v>
      </c>
      <c r="I1012" s="87"/>
    </row>
    <row r="1013">
      <c r="A1013" s="46" t="str">
        <f>IFERROR(__xludf.DUMMYFUNCTION("""COMPUTED_VALUE"""),"Europe")</f>
        <v>Europe</v>
      </c>
      <c r="B1013" s="46" t="str">
        <f>IFERROR(__xludf.DUMMYFUNCTION("""COMPUTED_VALUE"""),"France")</f>
        <v>France</v>
      </c>
      <c r="C1013" s="46" t="str">
        <f>IFERROR(__xludf.DUMMYFUNCTION("""COMPUTED_VALUE"""),"Personal Care")</f>
        <v>Personal Care</v>
      </c>
      <c r="D1013" s="46">
        <f>IFERROR(__xludf.DUMMYFUNCTION("""COMPUTED_VALUE"""),26.0)</f>
        <v>26</v>
      </c>
      <c r="E1013" s="46">
        <f>IFERROR(__xludf.DUMMYFUNCTION("""COMPUTED_VALUE"""),7.62655293E8)</f>
        <v>762655293</v>
      </c>
      <c r="F1013" s="84">
        <f>IFERROR(__xludf.DUMMYFUNCTION("""COMPUTED_VALUE"""),449841.92000000004)</f>
        <v>449841.92</v>
      </c>
      <c r="I1013" s="87"/>
    </row>
    <row r="1014">
      <c r="A1014" s="46" t="str">
        <f>IFERROR(__xludf.DUMMYFUNCTION("""COMPUTED_VALUE"""),"Europe")</f>
        <v>Europe</v>
      </c>
      <c r="B1014" s="46" t="str">
        <f>IFERROR(__xludf.DUMMYFUNCTION("""COMPUTED_VALUE"""),"Lithuania")</f>
        <v>Lithuania</v>
      </c>
      <c r="C1014" s="46" t="str">
        <f>IFERROR(__xludf.DUMMYFUNCTION("""COMPUTED_VALUE"""),"Meat")</f>
        <v>Meat</v>
      </c>
      <c r="D1014" s="46">
        <f>IFERROR(__xludf.DUMMYFUNCTION("""COMPUTED_VALUE"""),30.0)</f>
        <v>30</v>
      </c>
      <c r="E1014" s="46">
        <f>IFERROR(__xludf.DUMMYFUNCTION("""COMPUTED_VALUE"""),7.64483058E8)</f>
        <v>764483058</v>
      </c>
      <c r="F1014" s="84">
        <f>IFERROR(__xludf.DUMMYFUNCTION("""COMPUTED_VALUE"""),2691658.1999999997)</f>
        <v>2691658.2</v>
      </c>
      <c r="I1014" s="87"/>
    </row>
    <row r="1015">
      <c r="A1015" s="46" t="str">
        <f>IFERROR(__xludf.DUMMYFUNCTION("""COMPUTED_VALUE"""),"Europe")</f>
        <v>Europe</v>
      </c>
      <c r="B1015" s="46" t="str">
        <f>IFERROR(__xludf.DUMMYFUNCTION("""COMPUTED_VALUE"""),"Italy")</f>
        <v>Italy</v>
      </c>
      <c r="C1015" s="46" t="str">
        <f>IFERROR(__xludf.DUMMYFUNCTION("""COMPUTED_VALUE"""),"Office Supplies")</f>
        <v>Office Supplies</v>
      </c>
      <c r="D1015" s="46">
        <f>IFERROR(__xludf.DUMMYFUNCTION("""COMPUTED_VALUE"""),40.0)</f>
        <v>40</v>
      </c>
      <c r="E1015" s="46">
        <f>IFERROR(__xludf.DUMMYFUNCTION("""COMPUTED_VALUE"""),7.64592492E8)</f>
        <v>764592492</v>
      </c>
      <c r="F1015" s="84">
        <f>IFERROR(__xludf.DUMMYFUNCTION("""COMPUTED_VALUE"""),5707204.44)</f>
        <v>5707204.44</v>
      </c>
      <c r="I1015" s="87"/>
    </row>
    <row r="1016">
      <c r="A1016" s="46" t="str">
        <f>IFERROR(__xludf.DUMMYFUNCTION("""COMPUTED_VALUE"""),"Europe")</f>
        <v>Europe</v>
      </c>
      <c r="B1016" s="46" t="str">
        <f>IFERROR(__xludf.DUMMYFUNCTION("""COMPUTED_VALUE"""),"France")</f>
        <v>France</v>
      </c>
      <c r="C1016" s="46" t="str">
        <f>IFERROR(__xludf.DUMMYFUNCTION("""COMPUTED_VALUE"""),"Cereal")</f>
        <v>Cereal</v>
      </c>
      <c r="D1016" s="46">
        <f>IFERROR(__xludf.DUMMYFUNCTION("""COMPUTED_VALUE"""),11.0)</f>
        <v>11</v>
      </c>
      <c r="E1016" s="46">
        <f>IFERROR(__xludf.DUMMYFUNCTION("""COMPUTED_VALUE"""),7.6481136E8)</f>
        <v>764811360</v>
      </c>
      <c r="F1016" s="84">
        <f>IFERROR(__xludf.DUMMYFUNCTION("""COMPUTED_VALUE"""),726532.3999999999)</f>
        <v>726532.4</v>
      </c>
      <c r="I1016" s="87"/>
    </row>
    <row r="1017">
      <c r="A1017" s="46" t="str">
        <f>IFERROR(__xludf.DUMMYFUNCTION("""COMPUTED_VALUE"""),"Europe")</f>
        <v>Europe</v>
      </c>
      <c r="B1017" s="46" t="str">
        <f>IFERROR(__xludf.DUMMYFUNCTION("""COMPUTED_VALUE"""),"Denmark")</f>
        <v>Denmark</v>
      </c>
      <c r="C1017" s="46" t="str">
        <f>IFERROR(__xludf.DUMMYFUNCTION("""COMPUTED_VALUE"""),"Baby Food")</f>
        <v>Baby Food</v>
      </c>
      <c r="D1017" s="46">
        <f>IFERROR(__xludf.DUMMYFUNCTION("""COMPUTED_VALUE"""),0.0)</f>
        <v>0</v>
      </c>
      <c r="E1017" s="46">
        <f>IFERROR(__xludf.DUMMYFUNCTION("""COMPUTED_VALUE"""),7.64837539E8)</f>
        <v>764837539</v>
      </c>
      <c r="F1017" s="84">
        <f>IFERROR(__xludf.DUMMYFUNCTION("""COMPUTED_VALUE"""),326503.12)</f>
        <v>326503.12</v>
      </c>
      <c r="I1017" s="87"/>
    </row>
    <row r="1018">
      <c r="A1018" s="46" t="str">
        <f>IFERROR(__xludf.DUMMYFUNCTION("""COMPUTED_VALUE"""),"Europe")</f>
        <v>Europe</v>
      </c>
      <c r="B1018" s="46" t="str">
        <f>IFERROR(__xludf.DUMMYFUNCTION("""COMPUTED_VALUE"""),"Latvia")</f>
        <v>Latvia</v>
      </c>
      <c r="C1018" s="46" t="str">
        <f>IFERROR(__xludf.DUMMYFUNCTION("""COMPUTED_VALUE"""),"Cosmetics")</f>
        <v>Cosmetics</v>
      </c>
      <c r="D1018" s="46">
        <f>IFERROR(__xludf.DUMMYFUNCTION("""COMPUTED_VALUE"""),23.0)</f>
        <v>23</v>
      </c>
      <c r="E1018" s="46">
        <f>IFERROR(__xludf.DUMMYFUNCTION("""COMPUTED_VALUE"""),7.65101468E8)</f>
        <v>765101468</v>
      </c>
      <c r="F1018" s="84">
        <f>IFERROR(__xludf.DUMMYFUNCTION("""COMPUTED_VALUE"""),4101810.4)</f>
        <v>4101810.4</v>
      </c>
      <c r="I1018" s="87"/>
    </row>
    <row r="1019">
      <c r="A1019" s="46" t="str">
        <f>IFERROR(__xludf.DUMMYFUNCTION("""COMPUTED_VALUE"""),"Europe")</f>
        <v>Europe</v>
      </c>
      <c r="B1019" s="46" t="str">
        <f>IFERROR(__xludf.DUMMYFUNCTION("""COMPUTED_VALUE"""),"Slovakia")</f>
        <v>Slovakia</v>
      </c>
      <c r="C1019" s="46" t="str">
        <f>IFERROR(__xludf.DUMMYFUNCTION("""COMPUTED_VALUE"""),"Snacks")</f>
        <v>Snacks</v>
      </c>
      <c r="D1019" s="46">
        <f>IFERROR(__xludf.DUMMYFUNCTION("""COMPUTED_VALUE"""),37.0)</f>
        <v>37</v>
      </c>
      <c r="E1019" s="46">
        <f>IFERROR(__xludf.DUMMYFUNCTION("""COMPUTED_VALUE"""),7.65552079E8)</f>
        <v>765552079</v>
      </c>
      <c r="F1019" s="84">
        <f>IFERROR(__xludf.DUMMYFUNCTION("""COMPUTED_VALUE"""),416085.66000000003)</f>
        <v>416085.66</v>
      </c>
      <c r="I1019" s="87"/>
    </row>
    <row r="1020">
      <c r="A1020" s="46" t="str">
        <f>IFERROR(__xludf.DUMMYFUNCTION("""COMPUTED_VALUE"""),"Europe")</f>
        <v>Europe</v>
      </c>
      <c r="B1020" s="46" t="str">
        <f>IFERROR(__xludf.DUMMYFUNCTION("""COMPUTED_VALUE"""),"San Marino")</f>
        <v>San Marino</v>
      </c>
      <c r="C1020" s="46" t="str">
        <f>IFERROR(__xludf.DUMMYFUNCTION("""COMPUTED_VALUE"""),"Fruits")</f>
        <v>Fruits</v>
      </c>
      <c r="D1020" s="46">
        <f>IFERROR(__xludf.DUMMYFUNCTION("""COMPUTED_VALUE"""),25.0)</f>
        <v>25</v>
      </c>
      <c r="E1020" s="46">
        <f>IFERROR(__xludf.DUMMYFUNCTION("""COMPUTED_VALUE"""),7.6573404E8)</f>
        <v>765734040</v>
      </c>
      <c r="F1020" s="84">
        <f>IFERROR(__xludf.DUMMYFUNCTION("""COMPUTED_VALUE"""),61335.42)</f>
        <v>61335.42</v>
      </c>
      <c r="I1020" s="87"/>
    </row>
    <row r="1021">
      <c r="A1021" s="46" t="str">
        <f>IFERROR(__xludf.DUMMYFUNCTION("""COMPUTED_VALUE"""),"Europe")</f>
        <v>Europe</v>
      </c>
      <c r="B1021" s="46" t="str">
        <f>IFERROR(__xludf.DUMMYFUNCTION("""COMPUTED_VALUE"""),"Romania")</f>
        <v>Romania</v>
      </c>
      <c r="C1021" s="46" t="str">
        <f>IFERROR(__xludf.DUMMYFUNCTION("""COMPUTED_VALUE"""),"Household")</f>
        <v>Household</v>
      </c>
      <c r="D1021" s="46">
        <f>IFERROR(__xludf.DUMMYFUNCTION("""COMPUTED_VALUE"""),32.0)</f>
        <v>32</v>
      </c>
      <c r="E1021" s="46">
        <f>IFERROR(__xludf.DUMMYFUNCTION("""COMPUTED_VALUE"""),7.65858924E8)</f>
        <v>765858924</v>
      </c>
      <c r="F1021" s="84">
        <f>IFERROR(__xludf.DUMMYFUNCTION("""COMPUTED_VALUE"""),2358993.1)</f>
        <v>2358993.1</v>
      </c>
      <c r="I1021" s="87"/>
    </row>
    <row r="1022">
      <c r="A1022" s="46" t="str">
        <f>IFERROR(__xludf.DUMMYFUNCTION("""COMPUTED_VALUE"""),"Europe")</f>
        <v>Europe</v>
      </c>
      <c r="B1022" s="46" t="str">
        <f>IFERROR(__xludf.DUMMYFUNCTION("""COMPUTED_VALUE"""),"Sweden")</f>
        <v>Sweden</v>
      </c>
      <c r="C1022" s="46" t="str">
        <f>IFERROR(__xludf.DUMMYFUNCTION("""COMPUTED_VALUE"""),"Household")</f>
        <v>Household</v>
      </c>
      <c r="D1022" s="46">
        <f>IFERROR(__xludf.DUMMYFUNCTION("""COMPUTED_VALUE"""),1.0)</f>
        <v>1</v>
      </c>
      <c r="E1022" s="46">
        <f>IFERROR(__xludf.DUMMYFUNCTION("""COMPUTED_VALUE"""),7.66118133E8)</f>
        <v>766118133</v>
      </c>
      <c r="F1022" s="84">
        <f>IFERROR(__xludf.DUMMYFUNCTION("""COMPUTED_VALUE"""),157043.44999999998)</f>
        <v>157043.45</v>
      </c>
      <c r="I1022" s="87"/>
    </row>
    <row r="1023">
      <c r="A1023" s="46" t="str">
        <f>IFERROR(__xludf.DUMMYFUNCTION("""COMPUTED_VALUE"""),"Europe")</f>
        <v>Europe</v>
      </c>
      <c r="B1023" s="46" t="str">
        <f>IFERROR(__xludf.DUMMYFUNCTION("""COMPUTED_VALUE"""),"Netherlands")</f>
        <v>Netherlands</v>
      </c>
      <c r="C1023" s="46" t="str">
        <f>IFERROR(__xludf.DUMMYFUNCTION("""COMPUTED_VALUE"""),"Clothes")</f>
        <v>Clothes</v>
      </c>
      <c r="D1023" s="46">
        <f>IFERROR(__xludf.DUMMYFUNCTION("""COMPUTED_VALUE"""),38.0)</f>
        <v>38</v>
      </c>
      <c r="E1023" s="46">
        <f>IFERROR(__xludf.DUMMYFUNCTION("""COMPUTED_VALUE"""),7.67490565E8)</f>
        <v>767490565</v>
      </c>
      <c r="F1023" s="84">
        <f>IFERROR(__xludf.DUMMYFUNCTION("""COMPUTED_VALUE"""),695895.04)</f>
        <v>695895.04</v>
      </c>
      <c r="I1023" s="87"/>
    </row>
    <row r="1024">
      <c r="A1024" s="46" t="str">
        <f>IFERROR(__xludf.DUMMYFUNCTION("""COMPUTED_VALUE"""),"Europe")</f>
        <v>Europe</v>
      </c>
      <c r="B1024" s="46" t="str">
        <f>IFERROR(__xludf.DUMMYFUNCTION("""COMPUTED_VALUE"""),"Bulgaria")</f>
        <v>Bulgaria</v>
      </c>
      <c r="C1024" s="46" t="str">
        <f>IFERROR(__xludf.DUMMYFUNCTION("""COMPUTED_VALUE"""),"Snacks")</f>
        <v>Snacks</v>
      </c>
      <c r="D1024" s="46">
        <f>IFERROR(__xludf.DUMMYFUNCTION("""COMPUTED_VALUE"""),22.0)</f>
        <v>22</v>
      </c>
      <c r="E1024" s="46">
        <f>IFERROR(__xludf.DUMMYFUNCTION("""COMPUTED_VALUE"""),7.68230426E8)</f>
        <v>768230426</v>
      </c>
      <c r="F1024" s="84">
        <f>IFERROR(__xludf.DUMMYFUNCTION("""COMPUTED_VALUE"""),810199.8)</f>
        <v>810199.8</v>
      </c>
      <c r="I1024" s="87"/>
    </row>
    <row r="1025">
      <c r="A1025" s="46" t="str">
        <f>IFERROR(__xludf.DUMMYFUNCTION("""COMPUTED_VALUE"""),"Europe")</f>
        <v>Europe</v>
      </c>
      <c r="B1025" s="46" t="str">
        <f>IFERROR(__xludf.DUMMYFUNCTION("""COMPUTED_VALUE"""),"Hungary")</f>
        <v>Hungary</v>
      </c>
      <c r="C1025" s="46" t="str">
        <f>IFERROR(__xludf.DUMMYFUNCTION("""COMPUTED_VALUE"""),"Vegetables")</f>
        <v>Vegetables</v>
      </c>
      <c r="D1025" s="46">
        <f>IFERROR(__xludf.DUMMYFUNCTION("""COMPUTED_VALUE"""),33.0)</f>
        <v>33</v>
      </c>
      <c r="E1025" s="46">
        <f>IFERROR(__xludf.DUMMYFUNCTION("""COMPUTED_VALUE"""),7.68676316E8)</f>
        <v>768676316</v>
      </c>
      <c r="F1025" s="84">
        <f>IFERROR(__xludf.DUMMYFUNCTION("""COMPUTED_VALUE"""),1118321.54)</f>
        <v>1118321.54</v>
      </c>
      <c r="I1025" s="87"/>
    </row>
    <row r="1026">
      <c r="A1026" s="46" t="str">
        <f>IFERROR(__xludf.DUMMYFUNCTION("""COMPUTED_VALUE"""),"Undefined")</f>
        <v>Undefined</v>
      </c>
      <c r="B1026" s="46" t="str">
        <f>IFERROR(__xludf.DUMMYFUNCTION("""COMPUTED_VALUE"""),"Undefined")</f>
        <v>Undefined</v>
      </c>
      <c r="C1026" s="46" t="str">
        <f>IFERROR(__xludf.DUMMYFUNCTION("""COMPUTED_VALUE"""),"Office Supplies")</f>
        <v>Office Supplies</v>
      </c>
      <c r="D1026" s="46">
        <f>IFERROR(__xludf.DUMMYFUNCTION("""COMPUTED_VALUE"""),24.0)</f>
        <v>24</v>
      </c>
      <c r="E1026" s="46">
        <f>IFERROR(__xludf.DUMMYFUNCTION("""COMPUTED_VALUE"""),7.70821654E8)</f>
        <v>770821654</v>
      </c>
      <c r="F1026" s="84">
        <f>IFERROR(__xludf.DUMMYFUNCTION("""COMPUTED_VALUE"""),1375355.52)</f>
        <v>1375355.52</v>
      </c>
      <c r="I1026" s="87"/>
    </row>
    <row r="1027">
      <c r="A1027" s="46" t="str">
        <f>IFERROR(__xludf.DUMMYFUNCTION("""COMPUTED_VALUE"""),"Europe")</f>
        <v>Europe</v>
      </c>
      <c r="B1027" s="46" t="str">
        <f>IFERROR(__xludf.DUMMYFUNCTION("""COMPUTED_VALUE"""),"Finland")</f>
        <v>Finland</v>
      </c>
      <c r="C1027" s="46" t="str">
        <f>IFERROR(__xludf.DUMMYFUNCTION("""COMPUTED_VALUE"""),"Vegetables")</f>
        <v>Vegetables</v>
      </c>
      <c r="D1027" s="46">
        <f>IFERROR(__xludf.DUMMYFUNCTION("""COMPUTED_VALUE"""),35.0)</f>
        <v>35</v>
      </c>
      <c r="E1027" s="46">
        <f>IFERROR(__xludf.DUMMYFUNCTION("""COMPUTED_VALUE"""),7.71674382E8)</f>
        <v>771674382</v>
      </c>
      <c r="F1027" s="84">
        <f>IFERROR(__xludf.DUMMYFUNCTION("""COMPUTED_VALUE"""),686029.18)</f>
        <v>686029.18</v>
      </c>
      <c r="I1027" s="87"/>
    </row>
    <row r="1028">
      <c r="A1028" s="46" t="str">
        <f>IFERROR(__xludf.DUMMYFUNCTION("""COMPUTED_VALUE"""),"Europe")</f>
        <v>Europe</v>
      </c>
      <c r="B1028" s="46" t="str">
        <f>IFERROR(__xludf.DUMMYFUNCTION("""COMPUTED_VALUE"""),"Sweden")</f>
        <v>Sweden</v>
      </c>
      <c r="C1028" s="46" t="str">
        <f>IFERROR(__xludf.DUMMYFUNCTION("""COMPUTED_VALUE"""),"Cereal")</f>
        <v>Cereal</v>
      </c>
      <c r="D1028" s="46">
        <f>IFERROR(__xludf.DUMMYFUNCTION("""COMPUTED_VALUE"""),37.0)</f>
        <v>37</v>
      </c>
      <c r="E1028" s="46">
        <f>IFERROR(__xludf.DUMMYFUNCTION("""COMPUTED_VALUE"""),7.72643411E8)</f>
        <v>772643411</v>
      </c>
      <c r="F1028" s="84">
        <f>IFERROR(__xludf.DUMMYFUNCTION("""COMPUTED_VALUE"""),248897.0)</f>
        <v>248897</v>
      </c>
      <c r="I1028" s="87"/>
    </row>
    <row r="1029">
      <c r="A1029" s="46" t="str">
        <f>IFERROR(__xludf.DUMMYFUNCTION("""COMPUTED_VALUE"""),"Europe")</f>
        <v>Europe</v>
      </c>
      <c r="B1029" s="46" t="str">
        <f>IFERROR(__xludf.DUMMYFUNCTION("""COMPUTED_VALUE"""),"San Marino")</f>
        <v>San Marino</v>
      </c>
      <c r="C1029" s="46" t="str">
        <f>IFERROR(__xludf.DUMMYFUNCTION("""COMPUTED_VALUE"""),"Beverages")</f>
        <v>Beverages</v>
      </c>
      <c r="D1029" s="46">
        <f>IFERROR(__xludf.DUMMYFUNCTION("""COMPUTED_VALUE"""),0.0)</f>
        <v>0</v>
      </c>
      <c r="E1029" s="46">
        <f>IFERROR(__xludf.DUMMYFUNCTION("""COMPUTED_VALUE"""),7.72893178E8)</f>
        <v>772893178</v>
      </c>
      <c r="F1029" s="84">
        <f>IFERROR(__xludf.DUMMYFUNCTION("""COMPUTED_VALUE"""),243038.90000000002)</f>
        <v>243038.9</v>
      </c>
      <c r="I1029" s="87"/>
    </row>
    <row r="1030">
      <c r="A1030" s="46" t="str">
        <f>IFERROR(__xludf.DUMMYFUNCTION("""COMPUTED_VALUE"""),"Europe")</f>
        <v>Europe</v>
      </c>
      <c r="B1030" s="46" t="str">
        <f>IFERROR(__xludf.DUMMYFUNCTION("""COMPUTED_VALUE"""),"Ukraine")</f>
        <v>Ukraine</v>
      </c>
      <c r="C1030" s="46" t="str">
        <f>IFERROR(__xludf.DUMMYFUNCTION("""COMPUTED_VALUE"""),"Cosmetics")</f>
        <v>Cosmetics</v>
      </c>
      <c r="D1030" s="46">
        <f>IFERROR(__xludf.DUMMYFUNCTION("""COMPUTED_VALUE"""),6.0)</f>
        <v>6</v>
      </c>
      <c r="E1030" s="46">
        <f>IFERROR(__xludf.DUMMYFUNCTION("""COMPUTED_VALUE"""),7.73645913E8)</f>
        <v>773645913</v>
      </c>
      <c r="F1030" s="84">
        <f>IFERROR(__xludf.DUMMYFUNCTION("""COMPUTED_VALUE"""),3442075.6)</f>
        <v>3442075.6</v>
      </c>
      <c r="I1030" s="87"/>
    </row>
    <row r="1031">
      <c r="A1031" s="46" t="str">
        <f>IFERROR(__xludf.DUMMYFUNCTION("""COMPUTED_VALUE"""),"Europe")</f>
        <v>Europe</v>
      </c>
      <c r="B1031" s="46" t="str">
        <f>IFERROR(__xludf.DUMMYFUNCTION("""COMPUTED_VALUE"""),"Bulgaria")</f>
        <v>Bulgaria</v>
      </c>
      <c r="C1031" s="46" t="str">
        <f>IFERROR(__xludf.DUMMYFUNCTION("""COMPUTED_VALUE"""),"Fruits")</f>
        <v>Fruits</v>
      </c>
      <c r="D1031" s="46">
        <f>IFERROR(__xludf.DUMMYFUNCTION("""COMPUTED_VALUE"""),26.0)</f>
        <v>26</v>
      </c>
      <c r="E1031" s="46">
        <f>IFERROR(__xludf.DUMMYFUNCTION("""COMPUTED_VALUE"""),7.74698626E8)</f>
        <v>774698626</v>
      </c>
      <c r="F1031" s="84">
        <f>IFERROR(__xludf.DUMMYFUNCTION("""COMPUTED_VALUE"""),87646.02)</f>
        <v>87646.02</v>
      </c>
      <c r="I1031" s="87"/>
    </row>
    <row r="1032">
      <c r="A1032" s="46" t="str">
        <f>IFERROR(__xludf.DUMMYFUNCTION("""COMPUTED_VALUE"""),"Europe")</f>
        <v>Europe</v>
      </c>
      <c r="B1032" s="46" t="str">
        <f>IFERROR(__xludf.DUMMYFUNCTION("""COMPUTED_VALUE"""),"Czech Republic")</f>
        <v>Czech Republic</v>
      </c>
      <c r="C1032" s="46" t="str">
        <f>IFERROR(__xludf.DUMMYFUNCTION("""COMPUTED_VALUE"""),"Fruits")</f>
        <v>Fruits</v>
      </c>
      <c r="D1032" s="46">
        <f>IFERROR(__xludf.DUMMYFUNCTION("""COMPUTED_VALUE"""),3.0)</f>
        <v>3</v>
      </c>
      <c r="E1032" s="46">
        <f>IFERROR(__xludf.DUMMYFUNCTION("""COMPUTED_VALUE"""),7.74926936E8)</f>
        <v>774926936</v>
      </c>
      <c r="F1032" s="84">
        <f>IFERROR(__xludf.DUMMYFUNCTION("""COMPUTED_VALUE"""),64899.48)</f>
        <v>64899.48</v>
      </c>
      <c r="I1032" s="87"/>
    </row>
    <row r="1033">
      <c r="A1033" s="46" t="str">
        <f>IFERROR(__xludf.DUMMYFUNCTION("""COMPUTED_VALUE"""),"Europe")</f>
        <v>Europe</v>
      </c>
      <c r="B1033" s="46" t="str">
        <f>IFERROR(__xludf.DUMMYFUNCTION("""COMPUTED_VALUE"""),"Liechtenstein")</f>
        <v>Liechtenstein</v>
      </c>
      <c r="C1033" s="46" t="str">
        <f>IFERROR(__xludf.DUMMYFUNCTION("""COMPUTED_VALUE"""),"Baby Food")</f>
        <v>Baby Food</v>
      </c>
      <c r="D1033" s="46">
        <f>IFERROR(__xludf.DUMMYFUNCTION("""COMPUTED_VALUE"""),37.0)</f>
        <v>37</v>
      </c>
      <c r="E1033" s="46">
        <f>IFERROR(__xludf.DUMMYFUNCTION("""COMPUTED_VALUE"""),7.75008904E8)</f>
        <v>775008904</v>
      </c>
      <c r="F1033" s="84">
        <f>IFERROR(__xludf.DUMMYFUNCTION("""COMPUTED_VALUE"""),309399.36)</f>
        <v>309399.36</v>
      </c>
      <c r="I1033" s="87"/>
    </row>
    <row r="1034">
      <c r="A1034" s="46" t="str">
        <f>IFERROR(__xludf.DUMMYFUNCTION("""COMPUTED_VALUE"""),"Europe")</f>
        <v>Europe</v>
      </c>
      <c r="B1034" s="46" t="str">
        <f>IFERROR(__xludf.DUMMYFUNCTION("""COMPUTED_VALUE"""),"Croatia")</f>
        <v>Croatia</v>
      </c>
      <c r="C1034" s="46" t="str">
        <f>IFERROR(__xludf.DUMMYFUNCTION("""COMPUTED_VALUE"""),"Baby Food")</f>
        <v>Baby Food</v>
      </c>
      <c r="D1034" s="46">
        <f>IFERROR(__xludf.DUMMYFUNCTION("""COMPUTED_VALUE"""),11.0)</f>
        <v>11</v>
      </c>
      <c r="E1034" s="46">
        <f>IFERROR(__xludf.DUMMYFUNCTION("""COMPUTED_VALUE"""),7.75347936E8)</f>
        <v>775347936</v>
      </c>
      <c r="F1034" s="84">
        <f>IFERROR(__xludf.DUMMYFUNCTION("""COMPUTED_VALUE"""),392875.92)</f>
        <v>392875.92</v>
      </c>
      <c r="I1034" s="87"/>
    </row>
    <row r="1035">
      <c r="A1035" s="46" t="str">
        <f>IFERROR(__xludf.DUMMYFUNCTION("""COMPUTED_VALUE"""),"Europe")</f>
        <v>Europe</v>
      </c>
      <c r="B1035" s="46" t="str">
        <f>IFERROR(__xludf.DUMMYFUNCTION("""COMPUTED_VALUE"""),"Portugal")</f>
        <v>Portugal</v>
      </c>
      <c r="C1035" s="46" t="str">
        <f>IFERROR(__xludf.DUMMYFUNCTION("""COMPUTED_VALUE"""),"Office Supplies")</f>
        <v>Office Supplies</v>
      </c>
      <c r="D1035" s="46">
        <f>IFERROR(__xludf.DUMMYFUNCTION("""COMPUTED_VALUE"""),17.0)</f>
        <v>17</v>
      </c>
      <c r="E1035" s="46">
        <f>IFERROR(__xludf.DUMMYFUNCTION("""COMPUTED_VALUE"""),7.75849616E8)</f>
        <v>775849616</v>
      </c>
      <c r="F1035" s="84">
        <f>IFERROR(__xludf.DUMMYFUNCTION("""COMPUTED_VALUE"""),6510146.37)</f>
        <v>6510146.37</v>
      </c>
      <c r="I1035" s="87"/>
    </row>
    <row r="1036">
      <c r="A1036" s="46" t="str">
        <f>IFERROR(__xludf.DUMMYFUNCTION("""COMPUTED_VALUE"""),"Europe")</f>
        <v>Europe</v>
      </c>
      <c r="B1036" s="46" t="str">
        <f>IFERROR(__xludf.DUMMYFUNCTION("""COMPUTED_VALUE"""),"Poland")</f>
        <v>Poland</v>
      </c>
      <c r="C1036" s="46" t="str">
        <f>IFERROR(__xludf.DUMMYFUNCTION("""COMPUTED_VALUE"""),"Vegetables")</f>
        <v>Vegetables</v>
      </c>
      <c r="D1036" s="46">
        <f>IFERROR(__xludf.DUMMYFUNCTION("""COMPUTED_VALUE"""),29.0)</f>
        <v>29</v>
      </c>
      <c r="E1036" s="46">
        <f>IFERROR(__xludf.DUMMYFUNCTION("""COMPUTED_VALUE"""),7.7701863E8)</f>
        <v>777018630</v>
      </c>
      <c r="F1036" s="84">
        <f>IFERROR(__xludf.DUMMYFUNCTION("""COMPUTED_VALUE"""),914346.1)</f>
        <v>914346.1</v>
      </c>
      <c r="I1036" s="87"/>
    </row>
    <row r="1037">
      <c r="A1037" s="46" t="str">
        <f>IFERROR(__xludf.DUMMYFUNCTION("""COMPUTED_VALUE"""),"Europe")</f>
        <v>Europe</v>
      </c>
      <c r="B1037" s="46" t="str">
        <f>IFERROR(__xludf.DUMMYFUNCTION("""COMPUTED_VALUE"""),"Bulgaria")</f>
        <v>Bulgaria</v>
      </c>
      <c r="C1037" s="46" t="str">
        <f>IFERROR(__xludf.DUMMYFUNCTION("""COMPUTED_VALUE"""),"Meat")</f>
        <v>Meat</v>
      </c>
      <c r="D1037" s="46">
        <f>IFERROR(__xludf.DUMMYFUNCTION("""COMPUTED_VALUE"""),23.0)</f>
        <v>23</v>
      </c>
      <c r="E1037" s="46">
        <f>IFERROR(__xludf.DUMMYFUNCTION("""COMPUTED_VALUE"""),7.80590045E8)</f>
        <v>780590045</v>
      </c>
      <c r="F1037" s="84">
        <f>IFERROR(__xludf.DUMMYFUNCTION("""COMPUTED_VALUE"""),1179604.44)</f>
        <v>1179604.44</v>
      </c>
      <c r="I1037" s="87"/>
    </row>
    <row r="1038">
      <c r="A1038" s="46" t="str">
        <f>IFERROR(__xludf.DUMMYFUNCTION("""COMPUTED_VALUE"""),"Europe")</f>
        <v>Europe</v>
      </c>
      <c r="B1038" s="46" t="str">
        <f>IFERROR(__xludf.DUMMYFUNCTION("""COMPUTED_VALUE"""),"Slovakia")</f>
        <v>Slovakia</v>
      </c>
      <c r="C1038" s="46" t="str">
        <f>IFERROR(__xludf.DUMMYFUNCTION("""COMPUTED_VALUE"""),"Cosmetics")</f>
        <v>Cosmetics</v>
      </c>
      <c r="D1038" s="46">
        <f>IFERROR(__xludf.DUMMYFUNCTION("""COMPUTED_VALUE"""),47.0)</f>
        <v>47</v>
      </c>
      <c r="E1038" s="46">
        <f>IFERROR(__xludf.DUMMYFUNCTION("""COMPUTED_VALUE"""),7.80899035E8)</f>
        <v>780899035</v>
      </c>
      <c r="F1038" s="84">
        <f>IFERROR(__xludf.DUMMYFUNCTION("""COMPUTED_VALUE"""),1850667.5999999999)</f>
        <v>1850667.6</v>
      </c>
      <c r="I1038" s="87"/>
    </row>
    <row r="1039">
      <c r="A1039" s="46" t="str">
        <f>IFERROR(__xludf.DUMMYFUNCTION("""COMPUTED_VALUE"""),"Europe")</f>
        <v>Europe</v>
      </c>
      <c r="B1039" s="46" t="str">
        <f>IFERROR(__xludf.DUMMYFUNCTION("""COMPUTED_VALUE"""),"Croatia")</f>
        <v>Croatia</v>
      </c>
      <c r="C1039" s="46" t="str">
        <f>IFERROR(__xludf.DUMMYFUNCTION("""COMPUTED_VALUE"""),"Clothes")</f>
        <v>Clothes</v>
      </c>
      <c r="D1039" s="46">
        <f>IFERROR(__xludf.DUMMYFUNCTION("""COMPUTED_VALUE"""),9.0)</f>
        <v>9</v>
      </c>
      <c r="E1039" s="46">
        <f>IFERROR(__xludf.DUMMYFUNCTION("""COMPUTED_VALUE"""),7.81083571E8)</f>
        <v>781083571</v>
      </c>
      <c r="F1039" s="84">
        <f>IFERROR(__xludf.DUMMYFUNCTION("""COMPUTED_VALUE"""),966144.48)</f>
        <v>966144.48</v>
      </c>
      <c r="I1039" s="87"/>
    </row>
    <row r="1040">
      <c r="A1040" s="46" t="str">
        <f>IFERROR(__xludf.DUMMYFUNCTION("""COMPUTED_VALUE"""),"Asia")</f>
        <v>Asia</v>
      </c>
      <c r="B1040" s="46" t="str">
        <f>IFERROR(__xludf.DUMMYFUNCTION("""COMPUTED_VALUE"""),"Armenia")</f>
        <v>Armenia</v>
      </c>
      <c r="C1040" s="46" t="str">
        <f>IFERROR(__xludf.DUMMYFUNCTION("""COMPUTED_VALUE"""),"Meat")</f>
        <v>Meat</v>
      </c>
      <c r="D1040" s="46">
        <f>IFERROR(__xludf.DUMMYFUNCTION("""COMPUTED_VALUE"""),44.0)</f>
        <v>44</v>
      </c>
      <c r="E1040" s="46">
        <f>IFERROR(__xludf.DUMMYFUNCTION("""COMPUTED_VALUE"""),7.81416594E8)</f>
        <v>781416594</v>
      </c>
      <c r="F1040" s="84">
        <f>IFERROR(__xludf.DUMMYFUNCTION("""COMPUTED_VALUE"""),3117767.1)</f>
        <v>3117767.1</v>
      </c>
      <c r="I1040" s="87"/>
    </row>
    <row r="1041">
      <c r="A1041" s="46" t="str">
        <f>IFERROR(__xludf.DUMMYFUNCTION("""COMPUTED_VALUE"""),"Europe")</f>
        <v>Europe</v>
      </c>
      <c r="B1041" s="46" t="str">
        <f>IFERROR(__xludf.DUMMYFUNCTION("""COMPUTED_VALUE"""),"United Kingdom")</f>
        <v>United Kingdom</v>
      </c>
      <c r="C1041" s="46" t="str">
        <f>IFERROR(__xludf.DUMMYFUNCTION("""COMPUTED_VALUE"""),"Clothes")</f>
        <v>Clothes</v>
      </c>
      <c r="D1041" s="46">
        <f>IFERROR(__xludf.DUMMYFUNCTION("""COMPUTED_VALUE"""),16.0)</f>
        <v>16</v>
      </c>
      <c r="E1041" s="46">
        <f>IFERROR(__xludf.DUMMYFUNCTION("""COMPUTED_VALUE"""),7.831169E8)</f>
        <v>783116900</v>
      </c>
      <c r="F1041" s="84">
        <f>IFERROR(__xludf.DUMMYFUNCTION("""COMPUTED_VALUE"""),59885.44)</f>
        <v>59885.44</v>
      </c>
      <c r="I1041" s="87"/>
    </row>
    <row r="1042">
      <c r="A1042" s="46" t="str">
        <f>IFERROR(__xludf.DUMMYFUNCTION("""COMPUTED_VALUE"""),"Europe")</f>
        <v>Europe</v>
      </c>
      <c r="B1042" s="46" t="str">
        <f>IFERROR(__xludf.DUMMYFUNCTION("""COMPUTED_VALUE"""),"Ukraine")</f>
        <v>Ukraine</v>
      </c>
      <c r="C1042" s="46" t="str">
        <f>IFERROR(__xludf.DUMMYFUNCTION("""COMPUTED_VALUE"""),"Meat")</f>
        <v>Meat</v>
      </c>
      <c r="D1042" s="46">
        <f>IFERROR(__xludf.DUMMYFUNCTION("""COMPUTED_VALUE"""),6.0)</f>
        <v>6</v>
      </c>
      <c r="E1042" s="46">
        <f>IFERROR(__xludf.DUMMYFUNCTION("""COMPUTED_VALUE"""),7.83594977E8)</f>
        <v>783594977</v>
      </c>
      <c r="F1042" s="84">
        <f>IFERROR(__xludf.DUMMYFUNCTION("""COMPUTED_VALUE"""),853061.58)</f>
        <v>853061.58</v>
      </c>
      <c r="I1042" s="87"/>
    </row>
    <row r="1043">
      <c r="A1043" s="46" t="str">
        <f>IFERROR(__xludf.DUMMYFUNCTION("""COMPUTED_VALUE"""),"Undefined")</f>
        <v>Undefined</v>
      </c>
      <c r="B1043" s="46" t="str">
        <f>IFERROR(__xludf.DUMMYFUNCTION("""COMPUTED_VALUE"""),"Undefined")</f>
        <v>Undefined</v>
      </c>
      <c r="C1043" s="46" t="str">
        <f>IFERROR(__xludf.DUMMYFUNCTION("""COMPUTED_VALUE"""),"Snacks")</f>
        <v>Snacks</v>
      </c>
      <c r="D1043" s="46">
        <f>IFERROR(__xludf.DUMMYFUNCTION("""COMPUTED_VALUE"""),32.0)</f>
        <v>32</v>
      </c>
      <c r="E1043" s="46">
        <f>IFERROR(__xludf.DUMMYFUNCTION("""COMPUTED_VALUE"""),7.83913838E8)</f>
        <v>783913838</v>
      </c>
      <c r="F1043" s="84">
        <f>IFERROR(__xludf.DUMMYFUNCTION("""COMPUTED_VALUE"""),973460.4)</f>
        <v>973460.4</v>
      </c>
      <c r="I1043" s="87"/>
    </row>
    <row r="1044">
      <c r="A1044" s="46" t="str">
        <f>IFERROR(__xludf.DUMMYFUNCTION("""COMPUTED_VALUE"""),"Europe")</f>
        <v>Europe</v>
      </c>
      <c r="B1044" s="46" t="str">
        <f>IFERROR(__xludf.DUMMYFUNCTION("""COMPUTED_VALUE"""),"Denmark")</f>
        <v>Denmark</v>
      </c>
      <c r="C1044" s="46" t="str">
        <f>IFERROR(__xludf.DUMMYFUNCTION("""COMPUTED_VALUE"""),"Snacks")</f>
        <v>Snacks</v>
      </c>
      <c r="D1044" s="46">
        <f>IFERROR(__xludf.DUMMYFUNCTION("""COMPUTED_VALUE"""),12.0)</f>
        <v>12</v>
      </c>
      <c r="E1044" s="46">
        <f>IFERROR(__xludf.DUMMYFUNCTION("""COMPUTED_VALUE"""),7.84397923E8)</f>
        <v>784397923</v>
      </c>
      <c r="F1044" s="84">
        <f>IFERROR(__xludf.DUMMYFUNCTION("""COMPUTED_VALUE"""),1469497.9800000002)</f>
        <v>1469497.98</v>
      </c>
      <c r="I1044" s="87"/>
    </row>
    <row r="1045">
      <c r="A1045" s="46" t="str">
        <f>IFERROR(__xludf.DUMMYFUNCTION("""COMPUTED_VALUE"""),"Europe")</f>
        <v>Europe</v>
      </c>
      <c r="B1045" s="46" t="str">
        <f>IFERROR(__xludf.DUMMYFUNCTION("""COMPUTED_VALUE"""),"Belarus")</f>
        <v>Belarus</v>
      </c>
      <c r="C1045" s="46" t="str">
        <f>IFERROR(__xludf.DUMMYFUNCTION("""COMPUTED_VALUE"""),"Household")</f>
        <v>Household</v>
      </c>
      <c r="D1045" s="46">
        <f>IFERROR(__xludf.DUMMYFUNCTION("""COMPUTED_VALUE"""),37.0)</f>
        <v>37</v>
      </c>
      <c r="E1045" s="46">
        <f>IFERROR(__xludf.DUMMYFUNCTION("""COMPUTED_VALUE"""),7.85364806E8)</f>
        <v>785364806</v>
      </c>
      <c r="F1045" s="84">
        <f>IFERROR(__xludf.DUMMYFUNCTION("""COMPUTED_VALUE"""),3845225.58)</f>
        <v>3845225.58</v>
      </c>
      <c r="I1045" s="87"/>
    </row>
    <row r="1046">
      <c r="A1046" s="46" t="str">
        <f>IFERROR(__xludf.DUMMYFUNCTION("""COMPUTED_VALUE"""),"Europe")</f>
        <v>Europe</v>
      </c>
      <c r="B1046" s="46" t="str">
        <f>IFERROR(__xludf.DUMMYFUNCTION("""COMPUTED_VALUE"""),"Netherlands")</f>
        <v>Netherlands</v>
      </c>
      <c r="C1046" s="46" t="str">
        <f>IFERROR(__xludf.DUMMYFUNCTION("""COMPUTED_VALUE"""),"Beverages")</f>
        <v>Beverages</v>
      </c>
      <c r="D1046" s="46">
        <f>IFERROR(__xludf.DUMMYFUNCTION("""COMPUTED_VALUE"""),43.0)</f>
        <v>43</v>
      </c>
      <c r="E1046" s="46">
        <f>IFERROR(__xludf.DUMMYFUNCTION("""COMPUTED_VALUE"""),7.86318385E8)</f>
        <v>786318385</v>
      </c>
      <c r="F1046" s="84">
        <f>IFERROR(__xludf.DUMMYFUNCTION("""COMPUTED_VALUE"""),376705.55000000005)</f>
        <v>376705.55</v>
      </c>
      <c r="I1046" s="87"/>
    </row>
    <row r="1047">
      <c r="A1047" s="46" t="str">
        <f>IFERROR(__xludf.DUMMYFUNCTION("""COMPUTED_VALUE"""),"Europe")</f>
        <v>Europe</v>
      </c>
      <c r="B1047" s="46" t="str">
        <f>IFERROR(__xludf.DUMMYFUNCTION("""COMPUTED_VALUE"""),"Czech Republic")</f>
        <v>Czech Republic</v>
      </c>
      <c r="C1047" s="46" t="str">
        <f>IFERROR(__xludf.DUMMYFUNCTION("""COMPUTED_VALUE"""),"Snacks")</f>
        <v>Snacks</v>
      </c>
      <c r="D1047" s="46">
        <f>IFERROR(__xludf.DUMMYFUNCTION("""COMPUTED_VALUE"""),25.0)</f>
        <v>25</v>
      </c>
      <c r="E1047" s="46">
        <f>IFERROR(__xludf.DUMMYFUNCTION("""COMPUTED_VALUE"""),7.8948425E8)</f>
        <v>789484250</v>
      </c>
      <c r="F1047" s="84">
        <f>IFERROR(__xludf.DUMMYFUNCTION("""COMPUTED_VALUE"""),730705.6200000001)</f>
        <v>730705.62</v>
      </c>
      <c r="I1047" s="87"/>
    </row>
    <row r="1048">
      <c r="A1048" s="46" t="str">
        <f>IFERROR(__xludf.DUMMYFUNCTION("""COMPUTED_VALUE"""),"Asia")</f>
        <v>Asia</v>
      </c>
      <c r="B1048" s="46" t="str">
        <f>IFERROR(__xludf.DUMMYFUNCTION("""COMPUTED_VALUE"""),"Armenia")</f>
        <v>Armenia</v>
      </c>
      <c r="C1048" s="46" t="str">
        <f>IFERROR(__xludf.DUMMYFUNCTION("""COMPUTED_VALUE"""),"Personal Care")</f>
        <v>Personal Care</v>
      </c>
      <c r="D1048" s="46">
        <f>IFERROR(__xludf.DUMMYFUNCTION("""COMPUTED_VALUE"""),27.0)</f>
        <v>27</v>
      </c>
      <c r="E1048" s="46">
        <f>IFERROR(__xludf.DUMMYFUNCTION("""COMPUTED_VALUE"""),7.89760196E8)</f>
        <v>789760196</v>
      </c>
      <c r="F1048" s="84">
        <f>IFERROR(__xludf.DUMMYFUNCTION("""COMPUTED_VALUE"""),526913.31)</f>
        <v>526913.31</v>
      </c>
      <c r="I1048" s="87"/>
    </row>
    <row r="1049">
      <c r="A1049" s="46" t="str">
        <f>IFERROR(__xludf.DUMMYFUNCTION("""COMPUTED_VALUE"""),"Europe")</f>
        <v>Europe</v>
      </c>
      <c r="B1049" s="46" t="str">
        <f>IFERROR(__xludf.DUMMYFUNCTION("""COMPUTED_VALUE"""),"Estonia")</f>
        <v>Estonia</v>
      </c>
      <c r="C1049" s="46" t="str">
        <f>IFERROR(__xludf.DUMMYFUNCTION("""COMPUTED_VALUE"""),"Cosmetics")</f>
        <v>Cosmetics</v>
      </c>
      <c r="D1049" s="46">
        <f>IFERROR(__xludf.DUMMYFUNCTION("""COMPUTED_VALUE"""),6.0)</f>
        <v>6</v>
      </c>
      <c r="E1049" s="46">
        <f>IFERROR(__xludf.DUMMYFUNCTION("""COMPUTED_VALUE"""),7.90149009E8)</f>
        <v>790149009</v>
      </c>
      <c r="F1049" s="84">
        <f>IFERROR(__xludf.DUMMYFUNCTION("""COMPUTED_VALUE"""),657986.0)</f>
        <v>657986</v>
      </c>
      <c r="I1049" s="87"/>
    </row>
    <row r="1050">
      <c r="A1050" s="46" t="str">
        <f>IFERROR(__xludf.DUMMYFUNCTION("""COMPUTED_VALUE"""),"Europe")</f>
        <v>Europe</v>
      </c>
      <c r="B1050" s="46" t="str">
        <f>IFERROR(__xludf.DUMMYFUNCTION("""COMPUTED_VALUE"""),"Belgium")</f>
        <v>Belgium</v>
      </c>
      <c r="C1050" s="46" t="str">
        <f>IFERROR(__xludf.DUMMYFUNCTION("""COMPUTED_VALUE"""),"Fruits")</f>
        <v>Fruits</v>
      </c>
      <c r="D1050" s="46">
        <f>IFERROR(__xludf.DUMMYFUNCTION("""COMPUTED_VALUE"""),38.0)</f>
        <v>38</v>
      </c>
      <c r="E1050" s="46">
        <f>IFERROR(__xludf.DUMMYFUNCTION("""COMPUTED_VALUE"""),7.91692674E8)</f>
        <v>791692674</v>
      </c>
      <c r="F1050" s="84">
        <f>IFERROR(__xludf.DUMMYFUNCTION("""COMPUTED_VALUE"""),77532.3)</f>
        <v>77532.3</v>
      </c>
      <c r="I1050" s="87"/>
    </row>
    <row r="1051">
      <c r="A1051" s="46" t="str">
        <f>IFERROR(__xludf.DUMMYFUNCTION("""COMPUTED_VALUE"""),"Europe")</f>
        <v>Europe</v>
      </c>
      <c r="B1051" s="46" t="str">
        <f>IFERROR(__xludf.DUMMYFUNCTION("""COMPUTED_VALUE"""),"Belgium")</f>
        <v>Belgium</v>
      </c>
      <c r="C1051" s="46" t="str">
        <f>IFERROR(__xludf.DUMMYFUNCTION("""COMPUTED_VALUE"""),"Cereal")</f>
        <v>Cereal</v>
      </c>
      <c r="D1051" s="46">
        <f>IFERROR(__xludf.DUMMYFUNCTION("""COMPUTED_VALUE"""),23.0)</f>
        <v>23</v>
      </c>
      <c r="E1051" s="46">
        <f>IFERROR(__xludf.DUMMYFUNCTION("""COMPUTED_VALUE"""),7.91890084E8)</f>
        <v>791890084</v>
      </c>
      <c r="F1051" s="84">
        <f>IFERROR(__xludf.DUMMYFUNCTION("""COMPUTED_VALUE"""),1383949.5999999999)</f>
        <v>1383949.6</v>
      </c>
      <c r="I1051" s="87"/>
    </row>
    <row r="1052">
      <c r="A1052" s="46" t="str">
        <f>IFERROR(__xludf.DUMMYFUNCTION("""COMPUTED_VALUE"""),"Europe")</f>
        <v>Europe</v>
      </c>
      <c r="B1052" s="46" t="str">
        <f>IFERROR(__xludf.DUMMYFUNCTION("""COMPUTED_VALUE"""),"Monaco")</f>
        <v>Monaco</v>
      </c>
      <c r="C1052" s="46" t="str">
        <f>IFERROR(__xludf.DUMMYFUNCTION("""COMPUTED_VALUE"""),"Cereal")</f>
        <v>Cereal</v>
      </c>
      <c r="D1052" s="46">
        <f>IFERROR(__xludf.DUMMYFUNCTION("""COMPUTED_VALUE"""),48.0)</f>
        <v>48</v>
      </c>
      <c r="E1052" s="46">
        <f>IFERROR(__xludf.DUMMYFUNCTION("""COMPUTED_VALUE"""),7.92178905E8)</f>
        <v>792178905</v>
      </c>
      <c r="F1052" s="84">
        <f>IFERROR(__xludf.DUMMYFUNCTION("""COMPUTED_VALUE"""),451922.89999999997)</f>
        <v>451922.9</v>
      </c>
      <c r="I1052" s="87"/>
    </row>
    <row r="1053">
      <c r="A1053" s="46" t="str">
        <f>IFERROR(__xludf.DUMMYFUNCTION("""COMPUTED_VALUE"""),"Undefined")</f>
        <v>Undefined</v>
      </c>
      <c r="B1053" s="46" t="str">
        <f>IFERROR(__xludf.DUMMYFUNCTION("""COMPUTED_VALUE"""),"Undefined")</f>
        <v>Undefined</v>
      </c>
      <c r="C1053" s="46" t="str">
        <f>IFERROR(__xludf.DUMMYFUNCTION("""COMPUTED_VALUE"""),"Household")</f>
        <v>Household</v>
      </c>
      <c r="D1053" s="46">
        <f>IFERROR(__xludf.DUMMYFUNCTION("""COMPUTED_VALUE"""),38.0)</f>
        <v>38</v>
      </c>
      <c r="E1053" s="46">
        <f>IFERROR(__xludf.DUMMYFUNCTION("""COMPUTED_VALUE"""),7.92792594E8)</f>
        <v>792792594</v>
      </c>
      <c r="F1053" s="84">
        <f>IFERROR(__xludf.DUMMYFUNCTION("""COMPUTED_VALUE"""),2540094.27)</f>
        <v>2540094.27</v>
      </c>
      <c r="I1053" s="87"/>
    </row>
    <row r="1054">
      <c r="A1054" s="46" t="str">
        <f>IFERROR(__xludf.DUMMYFUNCTION("""COMPUTED_VALUE"""),"Europe")</f>
        <v>Europe</v>
      </c>
      <c r="B1054" s="46" t="str">
        <f>IFERROR(__xludf.DUMMYFUNCTION("""COMPUTED_VALUE"""),"Greece")</f>
        <v>Greece</v>
      </c>
      <c r="C1054" s="46" t="str">
        <f>IFERROR(__xludf.DUMMYFUNCTION("""COMPUTED_VALUE"""),"Beverages")</f>
        <v>Beverages</v>
      </c>
      <c r="D1054" s="46">
        <f>IFERROR(__xludf.DUMMYFUNCTION("""COMPUTED_VALUE"""),4.0)</f>
        <v>4</v>
      </c>
      <c r="E1054" s="46">
        <f>IFERROR(__xludf.DUMMYFUNCTION("""COMPUTED_VALUE"""),7.95141351E8)</f>
        <v>795141351</v>
      </c>
      <c r="F1054" s="84">
        <f>IFERROR(__xludf.DUMMYFUNCTION("""COMPUTED_VALUE"""),419932.5)</f>
        <v>419932.5</v>
      </c>
      <c r="I1054" s="87"/>
    </row>
    <row r="1055">
      <c r="A1055" s="46" t="str">
        <f>IFERROR(__xludf.DUMMYFUNCTION("""COMPUTED_VALUE"""),"Europe")</f>
        <v>Europe</v>
      </c>
      <c r="B1055" s="46" t="str">
        <f>IFERROR(__xludf.DUMMYFUNCTION("""COMPUTED_VALUE"""),"Macedonia")</f>
        <v>Macedonia</v>
      </c>
      <c r="C1055" s="46" t="str">
        <f>IFERROR(__xludf.DUMMYFUNCTION("""COMPUTED_VALUE"""),"Meat")</f>
        <v>Meat</v>
      </c>
      <c r="D1055" s="46">
        <f>IFERROR(__xludf.DUMMYFUNCTION("""COMPUTED_VALUE"""),39.0)</f>
        <v>39</v>
      </c>
      <c r="E1055" s="46">
        <f>IFERROR(__xludf.DUMMYFUNCTION("""COMPUTED_VALUE"""),7.96418511E8)</f>
        <v>796418511</v>
      </c>
      <c r="F1055" s="84">
        <f>IFERROR(__xludf.DUMMYFUNCTION("""COMPUTED_VALUE"""),2865054.9899999998)</f>
        <v>2865054.99</v>
      </c>
      <c r="I1055" s="87"/>
    </row>
    <row r="1056">
      <c r="A1056" s="46" t="str">
        <f>IFERROR(__xludf.DUMMYFUNCTION("""COMPUTED_VALUE"""),"Europe")</f>
        <v>Europe</v>
      </c>
      <c r="B1056" s="46" t="str">
        <f>IFERROR(__xludf.DUMMYFUNCTION("""COMPUTED_VALUE"""),"Russia")</f>
        <v>Russia</v>
      </c>
      <c r="C1056" s="46" t="str">
        <f>IFERROR(__xludf.DUMMYFUNCTION("""COMPUTED_VALUE"""),"Beverages")</f>
        <v>Beverages</v>
      </c>
      <c r="D1056" s="46">
        <f>IFERROR(__xludf.DUMMYFUNCTION("""COMPUTED_VALUE"""),38.0)</f>
        <v>38</v>
      </c>
      <c r="E1056" s="46">
        <f>IFERROR(__xludf.DUMMYFUNCTION("""COMPUTED_VALUE"""),7.97202146E8)</f>
        <v>797202146</v>
      </c>
      <c r="F1056" s="84">
        <f>IFERROR(__xludf.DUMMYFUNCTION("""COMPUTED_VALUE"""),412103.25)</f>
        <v>412103.25</v>
      </c>
      <c r="I1056" s="87"/>
    </row>
    <row r="1057">
      <c r="A1057" s="46" t="str">
        <f>IFERROR(__xludf.DUMMYFUNCTION("""COMPUTED_VALUE"""),"Europe")</f>
        <v>Europe</v>
      </c>
      <c r="B1057" s="46" t="str">
        <f>IFERROR(__xludf.DUMMYFUNCTION("""COMPUTED_VALUE"""),"Serbia")</f>
        <v>Serbia</v>
      </c>
      <c r="C1057" s="46" t="str">
        <f>IFERROR(__xludf.DUMMYFUNCTION("""COMPUTED_VALUE"""),"Beverages")</f>
        <v>Beverages</v>
      </c>
      <c r="D1057" s="46">
        <f>IFERROR(__xludf.DUMMYFUNCTION("""COMPUTED_VALUE"""),0.0)</f>
        <v>0</v>
      </c>
      <c r="E1057" s="46">
        <f>IFERROR(__xludf.DUMMYFUNCTION("""COMPUTED_VALUE"""),7.973163E8)</f>
        <v>797316300</v>
      </c>
      <c r="F1057" s="84">
        <f>IFERROR(__xludf.DUMMYFUNCTION("""COMPUTED_VALUE"""),117011.70000000001)</f>
        <v>117011.7</v>
      </c>
      <c r="I1057" s="87"/>
    </row>
    <row r="1058">
      <c r="A1058" s="46" t="str">
        <f>IFERROR(__xludf.DUMMYFUNCTION("""COMPUTED_VALUE"""),"Europe")</f>
        <v>Europe</v>
      </c>
      <c r="B1058" s="46" t="str">
        <f>IFERROR(__xludf.DUMMYFUNCTION("""COMPUTED_VALUE"""),"Switzerland")</f>
        <v>Switzerland</v>
      </c>
      <c r="C1058" s="46" t="str">
        <f>IFERROR(__xludf.DUMMYFUNCTION("""COMPUTED_VALUE"""),"Beverages")</f>
        <v>Beverages</v>
      </c>
      <c r="D1058" s="46">
        <f>IFERROR(__xludf.DUMMYFUNCTION("""COMPUTED_VALUE"""),6.0)</f>
        <v>6</v>
      </c>
      <c r="E1058" s="46">
        <f>IFERROR(__xludf.DUMMYFUNCTION("""COMPUTED_VALUE"""),7.97461354E8)</f>
        <v>797461354</v>
      </c>
      <c r="F1058" s="84">
        <f>IFERROR(__xludf.DUMMYFUNCTION("""COMPUTED_VALUE"""),255802.95)</f>
        <v>255802.95</v>
      </c>
      <c r="I1058" s="87"/>
    </row>
    <row r="1059">
      <c r="A1059" s="46" t="str">
        <f>IFERROR(__xludf.DUMMYFUNCTION("""COMPUTED_VALUE"""),"Europe")</f>
        <v>Europe</v>
      </c>
      <c r="B1059" s="46" t="str">
        <f>IFERROR(__xludf.DUMMYFUNCTION("""COMPUTED_VALUE"""),"France")</f>
        <v>France</v>
      </c>
      <c r="C1059" s="46" t="str">
        <f>IFERROR(__xludf.DUMMYFUNCTION("""COMPUTED_VALUE"""),"Cereal")</f>
        <v>Cereal</v>
      </c>
      <c r="D1059" s="46">
        <f>IFERROR(__xludf.DUMMYFUNCTION("""COMPUTED_VALUE"""),48.0)</f>
        <v>48</v>
      </c>
      <c r="E1059" s="46">
        <f>IFERROR(__xludf.DUMMYFUNCTION("""COMPUTED_VALUE"""),7.97718417E8)</f>
        <v>797718417</v>
      </c>
      <c r="F1059" s="84">
        <f>IFERROR(__xludf.DUMMYFUNCTION("""COMPUTED_VALUE"""),300733.39999999997)</f>
        <v>300733.4</v>
      </c>
      <c r="I1059" s="87"/>
    </row>
    <row r="1060">
      <c r="A1060" s="46" t="str">
        <f>IFERROR(__xludf.DUMMYFUNCTION("""COMPUTED_VALUE"""),"Undefined")</f>
        <v>Undefined</v>
      </c>
      <c r="B1060" s="46" t="str">
        <f>IFERROR(__xludf.DUMMYFUNCTION("""COMPUTED_VALUE"""),"Undefined")</f>
        <v>Undefined</v>
      </c>
      <c r="C1060" s="46" t="str">
        <f>IFERROR(__xludf.DUMMYFUNCTION("""COMPUTED_VALUE"""),"Office Supplies")</f>
        <v>Office Supplies</v>
      </c>
      <c r="D1060" s="46">
        <f>IFERROR(__xludf.DUMMYFUNCTION("""COMPUTED_VALUE"""),1.0)</f>
        <v>1</v>
      </c>
      <c r="E1060" s="46">
        <f>IFERROR(__xludf.DUMMYFUNCTION("""COMPUTED_VALUE"""),7.97788369E8)</f>
        <v>797788369</v>
      </c>
      <c r="F1060" s="84">
        <f>IFERROR(__xludf.DUMMYFUNCTION("""COMPUTED_VALUE"""),1407916.02)</f>
        <v>1407916.02</v>
      </c>
      <c r="I1060" s="87"/>
    </row>
    <row r="1061">
      <c r="A1061" s="46" t="str">
        <f>IFERROR(__xludf.DUMMYFUNCTION("""COMPUTED_VALUE"""),"Europe")</f>
        <v>Europe</v>
      </c>
      <c r="B1061" s="46" t="str">
        <f>IFERROR(__xludf.DUMMYFUNCTION("""COMPUTED_VALUE"""),"Macedonia")</f>
        <v>Macedonia</v>
      </c>
      <c r="C1061" s="46" t="str">
        <f>IFERROR(__xludf.DUMMYFUNCTION("""COMPUTED_VALUE"""),"Clothes")</f>
        <v>Clothes</v>
      </c>
      <c r="D1061" s="46">
        <f>IFERROR(__xludf.DUMMYFUNCTION("""COMPUTED_VALUE"""),46.0)</f>
        <v>46</v>
      </c>
      <c r="E1061" s="46">
        <f>IFERROR(__xludf.DUMMYFUNCTION("""COMPUTED_VALUE"""),7.99109733E8)</f>
        <v>799109733</v>
      </c>
      <c r="F1061" s="84">
        <f>IFERROR(__xludf.DUMMYFUNCTION("""COMPUTED_VALUE"""),347838.24)</f>
        <v>347838.24</v>
      </c>
      <c r="I1061" s="87"/>
    </row>
    <row r="1062">
      <c r="A1062" s="46" t="str">
        <f>IFERROR(__xludf.DUMMYFUNCTION("""COMPUTED_VALUE"""),"Europe")</f>
        <v>Europe</v>
      </c>
      <c r="B1062" s="46" t="str">
        <f>IFERROR(__xludf.DUMMYFUNCTION("""COMPUTED_VALUE"""),"Greece")</f>
        <v>Greece</v>
      </c>
      <c r="C1062" s="46" t="str">
        <f>IFERROR(__xludf.DUMMYFUNCTION("""COMPUTED_VALUE"""),"Household")</f>
        <v>Household</v>
      </c>
      <c r="D1062" s="46">
        <f>IFERROR(__xludf.DUMMYFUNCTION("""COMPUTED_VALUE"""),43.0)</f>
        <v>43</v>
      </c>
      <c r="E1062" s="46">
        <f>IFERROR(__xludf.DUMMYFUNCTION("""COMPUTED_VALUE"""),7.99848306E8)</f>
        <v>799848306</v>
      </c>
      <c r="F1062" s="84">
        <f>IFERROR(__xludf.DUMMYFUNCTION("""COMPUTED_VALUE"""),1164794.6099999999)</f>
        <v>1164794.61</v>
      </c>
      <c r="I1062" s="87"/>
    </row>
    <row r="1063">
      <c r="A1063" s="46" t="str">
        <f>IFERROR(__xludf.DUMMYFUNCTION("""COMPUTED_VALUE"""),"Europe")</f>
        <v>Europe</v>
      </c>
      <c r="B1063" s="46" t="str">
        <f>IFERROR(__xludf.DUMMYFUNCTION("""COMPUTED_VALUE"""),"Greece")</f>
        <v>Greece</v>
      </c>
      <c r="C1063" s="46" t="str">
        <f>IFERROR(__xludf.DUMMYFUNCTION("""COMPUTED_VALUE"""),"Personal Care")</f>
        <v>Personal Care</v>
      </c>
      <c r="D1063" s="46">
        <f>IFERROR(__xludf.DUMMYFUNCTION("""COMPUTED_VALUE"""),28.0)</f>
        <v>28</v>
      </c>
      <c r="E1063" s="46">
        <f>IFERROR(__xludf.DUMMYFUNCTION("""COMPUTED_VALUE"""),8.00045716E8)</f>
        <v>800045716</v>
      </c>
      <c r="F1063" s="84">
        <f>IFERROR(__xludf.DUMMYFUNCTION("""COMPUTED_VALUE"""),13158.53)</f>
        <v>13158.53</v>
      </c>
      <c r="I1063" s="87"/>
    </row>
    <row r="1064">
      <c r="A1064" s="46" t="str">
        <f>IFERROR(__xludf.DUMMYFUNCTION("""COMPUTED_VALUE"""),"Europe")</f>
        <v>Europe</v>
      </c>
      <c r="B1064" s="46" t="str">
        <f>IFERROR(__xludf.DUMMYFUNCTION("""COMPUTED_VALUE"""),"Finland")</f>
        <v>Finland</v>
      </c>
      <c r="C1064" s="46" t="str">
        <f>IFERROR(__xludf.DUMMYFUNCTION("""COMPUTED_VALUE"""),"Vegetables")</f>
        <v>Vegetables</v>
      </c>
      <c r="D1064" s="46">
        <f>IFERROR(__xludf.DUMMYFUNCTION("""COMPUTED_VALUE"""),23.0)</f>
        <v>23</v>
      </c>
      <c r="E1064" s="46">
        <f>IFERROR(__xludf.DUMMYFUNCTION("""COMPUTED_VALUE"""),8.00352561E8)</f>
        <v>800352561</v>
      </c>
      <c r="F1064" s="84">
        <f>IFERROR(__xludf.DUMMYFUNCTION("""COMPUTED_VALUE"""),148359.78)</f>
        <v>148359.78</v>
      </c>
      <c r="I1064" s="87"/>
    </row>
    <row r="1065">
      <c r="A1065" s="46" t="str">
        <f>IFERROR(__xludf.DUMMYFUNCTION("""COMPUTED_VALUE"""),"Europe")</f>
        <v>Europe</v>
      </c>
      <c r="B1065" s="46" t="str">
        <f>IFERROR(__xludf.DUMMYFUNCTION("""COMPUTED_VALUE"""),"United Kingdom")</f>
        <v>United Kingdom</v>
      </c>
      <c r="C1065" s="46" t="str">
        <f>IFERROR(__xludf.DUMMYFUNCTION("""COMPUTED_VALUE"""),"Cosmetics")</f>
        <v>Cosmetics</v>
      </c>
      <c r="D1065" s="46">
        <f>IFERROR(__xludf.DUMMYFUNCTION("""COMPUTED_VALUE"""),17.0)</f>
        <v>17</v>
      </c>
      <c r="E1065" s="46">
        <f>IFERROR(__xludf.DUMMYFUNCTION("""COMPUTED_VALUE"""),8.01352488E8)</f>
        <v>801352488</v>
      </c>
      <c r="F1065" s="84">
        <f>IFERROR(__xludf.DUMMYFUNCTION("""COMPUTED_VALUE"""),3000940.8)</f>
        <v>3000940.8</v>
      </c>
      <c r="I1065" s="87"/>
    </row>
    <row r="1066">
      <c r="A1066" s="46" t="str">
        <f>IFERROR(__xludf.DUMMYFUNCTION("""COMPUTED_VALUE"""),"Europe")</f>
        <v>Europe</v>
      </c>
      <c r="B1066" s="46" t="str">
        <f>IFERROR(__xludf.DUMMYFUNCTION("""COMPUTED_VALUE"""),"Liechtenstein")</f>
        <v>Liechtenstein</v>
      </c>
      <c r="C1066" s="46" t="str">
        <f>IFERROR(__xludf.DUMMYFUNCTION("""COMPUTED_VALUE"""),"Vegetables")</f>
        <v>Vegetables</v>
      </c>
      <c r="D1066" s="46">
        <f>IFERROR(__xludf.DUMMYFUNCTION("""COMPUTED_VALUE"""),9.0)</f>
        <v>9</v>
      </c>
      <c r="E1066" s="46">
        <f>IFERROR(__xludf.DUMMYFUNCTION("""COMPUTED_VALUE"""),8.01925837E8)</f>
        <v>801925837</v>
      </c>
      <c r="F1066" s="84">
        <f>IFERROR(__xludf.DUMMYFUNCTION("""COMPUTED_VALUE"""),1006165.86)</f>
        <v>1006165.86</v>
      </c>
      <c r="I1066" s="87"/>
    </row>
    <row r="1067">
      <c r="A1067" s="46" t="str">
        <f>IFERROR(__xludf.DUMMYFUNCTION("""COMPUTED_VALUE"""),"Undefined")</f>
        <v>Undefined</v>
      </c>
      <c r="B1067" s="46" t="str">
        <f>IFERROR(__xludf.DUMMYFUNCTION("""COMPUTED_VALUE"""),"Undefined")</f>
        <v>Undefined</v>
      </c>
      <c r="C1067" s="46" t="str">
        <f>IFERROR(__xludf.DUMMYFUNCTION("""COMPUTED_VALUE"""),"Vegetables")</f>
        <v>Vegetables</v>
      </c>
      <c r="D1067" s="46">
        <f>IFERROR(__xludf.DUMMYFUNCTION("""COMPUTED_VALUE"""),7.0)</f>
        <v>7</v>
      </c>
      <c r="E1067" s="46">
        <f>IFERROR(__xludf.DUMMYFUNCTION("""COMPUTED_VALUE"""),8.05095136E8)</f>
        <v>805095136</v>
      </c>
      <c r="F1067" s="84">
        <f>IFERROR(__xludf.DUMMYFUNCTION("""COMPUTED_VALUE"""),677247.76)</f>
        <v>677247.76</v>
      </c>
      <c r="I1067" s="87"/>
    </row>
    <row r="1068">
      <c r="A1068" s="46" t="str">
        <f>IFERROR(__xludf.DUMMYFUNCTION("""COMPUTED_VALUE"""),"Europe")</f>
        <v>Europe</v>
      </c>
      <c r="B1068" s="46" t="str">
        <f>IFERROR(__xludf.DUMMYFUNCTION("""COMPUTED_VALUE"""),"Denmark")</f>
        <v>Denmark</v>
      </c>
      <c r="C1068" s="46" t="str">
        <f>IFERROR(__xludf.DUMMYFUNCTION("""COMPUTED_VALUE"""),"Cosmetics")</f>
        <v>Cosmetics</v>
      </c>
      <c r="D1068" s="46">
        <f>IFERROR(__xludf.DUMMYFUNCTION("""COMPUTED_VALUE"""),6.0)</f>
        <v>6</v>
      </c>
      <c r="E1068" s="46">
        <f>IFERROR(__xludf.DUMMYFUNCTION("""COMPUTED_VALUE"""),8.05974042E8)</f>
        <v>805974042</v>
      </c>
      <c r="F1068" s="84">
        <f>IFERROR(__xludf.DUMMYFUNCTION("""COMPUTED_VALUE"""),1960404.8)</f>
        <v>1960404.8</v>
      </c>
      <c r="I1068" s="87"/>
    </row>
    <row r="1069">
      <c r="A1069" s="46" t="str">
        <f>IFERROR(__xludf.DUMMYFUNCTION("""COMPUTED_VALUE"""),"Asia")</f>
        <v>Asia</v>
      </c>
      <c r="B1069" s="46" t="str">
        <f>IFERROR(__xludf.DUMMYFUNCTION("""COMPUTED_VALUE"""),"Cyprus")</f>
        <v>Cyprus</v>
      </c>
      <c r="C1069" s="46" t="str">
        <f>IFERROR(__xludf.DUMMYFUNCTION("""COMPUTED_VALUE"""),"Baby Food")</f>
        <v>Baby Food</v>
      </c>
      <c r="D1069" s="46">
        <f>IFERROR(__xludf.DUMMYFUNCTION("""COMPUTED_VALUE"""),31.0)</f>
        <v>31</v>
      </c>
      <c r="E1069" s="46">
        <f>IFERROR(__xludf.DUMMYFUNCTION("""COMPUTED_VALUE"""),8.06197631E8)</f>
        <v>806197631</v>
      </c>
      <c r="F1069" s="84">
        <f>IFERROR(__xludf.DUMMYFUNCTION("""COMPUTED_VALUE"""),165676.72)</f>
        <v>165676.72</v>
      </c>
      <c r="I1069" s="87"/>
    </row>
    <row r="1070">
      <c r="A1070" s="46" t="str">
        <f>IFERROR(__xludf.DUMMYFUNCTION("""COMPUTED_VALUE"""),"Europe")</f>
        <v>Europe</v>
      </c>
      <c r="B1070" s="46" t="str">
        <f>IFERROR(__xludf.DUMMYFUNCTION("""COMPUTED_VALUE"""),"Spain")</f>
        <v>Spain</v>
      </c>
      <c r="C1070" s="46" t="str">
        <f>IFERROR(__xludf.DUMMYFUNCTION("""COMPUTED_VALUE"""),"Cereal")</f>
        <v>Cereal</v>
      </c>
      <c r="D1070" s="46">
        <f>IFERROR(__xludf.DUMMYFUNCTION("""COMPUTED_VALUE"""),3.0)</f>
        <v>3</v>
      </c>
      <c r="E1070" s="46">
        <f>IFERROR(__xludf.DUMMYFUNCTION("""COMPUTED_VALUE"""),8.06662404E8)</f>
        <v>806662404</v>
      </c>
      <c r="F1070" s="84">
        <f>IFERROR(__xludf.DUMMYFUNCTION("""COMPUTED_VALUE"""),1683860.2)</f>
        <v>1683860.2</v>
      </c>
      <c r="I1070" s="87"/>
    </row>
    <row r="1071">
      <c r="A1071" s="46" t="str">
        <f>IFERROR(__xludf.DUMMYFUNCTION("""COMPUTED_VALUE"""),"Undefined")</f>
        <v>Undefined</v>
      </c>
      <c r="B1071" s="46" t="str">
        <f>IFERROR(__xludf.DUMMYFUNCTION("""COMPUTED_VALUE"""),"Undefined")</f>
        <v>Undefined</v>
      </c>
      <c r="C1071" s="46" t="str">
        <f>IFERROR(__xludf.DUMMYFUNCTION("""COMPUTED_VALUE"""),"Vegetables")</f>
        <v>Vegetables</v>
      </c>
      <c r="D1071" s="46">
        <f>IFERROR(__xludf.DUMMYFUNCTION("""COMPUTED_VALUE"""),37.0)</f>
        <v>37</v>
      </c>
      <c r="E1071" s="46">
        <f>IFERROR(__xludf.DUMMYFUNCTION("""COMPUTED_VALUE"""),8.10752236E8)</f>
        <v>810752236</v>
      </c>
      <c r="F1071" s="84">
        <f>IFERROR(__xludf.DUMMYFUNCTION("""COMPUTED_VALUE"""),1303039.48)</f>
        <v>1303039.48</v>
      </c>
      <c r="I1071" s="87"/>
    </row>
    <row r="1072">
      <c r="A1072" s="46" t="str">
        <f>IFERROR(__xludf.DUMMYFUNCTION("""COMPUTED_VALUE"""),"Europe")</f>
        <v>Europe</v>
      </c>
      <c r="B1072" s="46" t="str">
        <f>IFERROR(__xludf.DUMMYFUNCTION("""COMPUTED_VALUE"""),"Switzerland")</f>
        <v>Switzerland</v>
      </c>
      <c r="C1072" s="46" t="str">
        <f>IFERROR(__xludf.DUMMYFUNCTION("""COMPUTED_VALUE"""),"Cosmetics")</f>
        <v>Cosmetics</v>
      </c>
      <c r="D1072" s="46">
        <f>IFERROR(__xludf.DUMMYFUNCTION("""COMPUTED_VALUE"""),43.0)</f>
        <v>43</v>
      </c>
      <c r="E1072" s="46">
        <f>IFERROR(__xludf.DUMMYFUNCTION("""COMPUTED_VALUE"""),8.1197704E8)</f>
        <v>811977040</v>
      </c>
      <c r="F1072" s="84">
        <f>IFERROR(__xludf.DUMMYFUNCTION("""COMPUTED_VALUE"""),395666.0)</f>
        <v>395666</v>
      </c>
      <c r="I1072" s="87"/>
    </row>
    <row r="1073">
      <c r="A1073" s="46" t="str">
        <f>IFERROR(__xludf.DUMMYFUNCTION("""COMPUTED_VALUE"""),"Europe")</f>
        <v>Europe</v>
      </c>
      <c r="B1073" s="46" t="str">
        <f>IFERROR(__xludf.DUMMYFUNCTION("""COMPUTED_VALUE"""),"Romania")</f>
        <v>Romania</v>
      </c>
      <c r="C1073" s="46" t="str">
        <f>IFERROR(__xludf.DUMMYFUNCTION("""COMPUTED_VALUE"""),"Cereal")</f>
        <v>Cereal</v>
      </c>
      <c r="D1073" s="46">
        <f>IFERROR(__xludf.DUMMYFUNCTION("""COMPUTED_VALUE"""),18.0)</f>
        <v>18</v>
      </c>
      <c r="E1073" s="46">
        <f>IFERROR(__xludf.DUMMYFUNCTION("""COMPUTED_VALUE"""),8.12632358E8)</f>
        <v>812632358</v>
      </c>
      <c r="F1073" s="84">
        <f>IFERROR(__xludf.DUMMYFUNCTION("""COMPUTED_VALUE"""),993119.6)</f>
        <v>993119.6</v>
      </c>
      <c r="I1073" s="87"/>
    </row>
    <row r="1074">
      <c r="A1074" s="46" t="str">
        <f>IFERROR(__xludf.DUMMYFUNCTION("""COMPUTED_VALUE"""),"Europe")</f>
        <v>Europe</v>
      </c>
      <c r="B1074" s="46" t="str">
        <f>IFERROR(__xludf.DUMMYFUNCTION("""COMPUTED_VALUE"""),"Slovenia")</f>
        <v>Slovenia</v>
      </c>
      <c r="C1074" s="46" t="str">
        <f>IFERROR(__xludf.DUMMYFUNCTION("""COMPUTED_VALUE"""),"Fruits")</f>
        <v>Fruits</v>
      </c>
      <c r="D1074" s="46">
        <f>IFERROR(__xludf.DUMMYFUNCTION("""COMPUTED_VALUE"""),21.0)</f>
        <v>21</v>
      </c>
      <c r="E1074" s="46">
        <f>IFERROR(__xludf.DUMMYFUNCTION("""COMPUTED_VALUE"""),8.12637078E8)</f>
        <v>812637078</v>
      </c>
      <c r="F1074" s="84">
        <f>IFERROR(__xludf.DUMMYFUNCTION("""COMPUTED_VALUE"""),58079.25)</f>
        <v>58079.25</v>
      </c>
      <c r="I1074" s="87"/>
    </row>
    <row r="1075">
      <c r="A1075" s="46" t="str">
        <f>IFERROR(__xludf.DUMMYFUNCTION("""COMPUTED_VALUE"""),"Undefined")</f>
        <v>Undefined</v>
      </c>
      <c r="B1075" s="46" t="str">
        <f>IFERROR(__xludf.DUMMYFUNCTION("""COMPUTED_VALUE"""),"Undefined")</f>
        <v>Undefined</v>
      </c>
      <c r="C1075" s="46" t="str">
        <f>IFERROR(__xludf.DUMMYFUNCTION("""COMPUTED_VALUE"""),"Cosmetics")</f>
        <v>Cosmetics</v>
      </c>
      <c r="D1075" s="46">
        <f>IFERROR(__xludf.DUMMYFUNCTION("""COMPUTED_VALUE"""),12.0)</f>
        <v>12</v>
      </c>
      <c r="E1075" s="46">
        <f>IFERROR(__xludf.DUMMYFUNCTION("""COMPUTED_VALUE"""),8.13973891E8)</f>
        <v>813973891</v>
      </c>
      <c r="F1075" s="84">
        <f>IFERROR(__xludf.DUMMYFUNCTION("""COMPUTED_VALUE"""),794829.6)</f>
        <v>794829.6</v>
      </c>
      <c r="I1075" s="87"/>
    </row>
    <row r="1076">
      <c r="A1076" s="46" t="str">
        <f>IFERROR(__xludf.DUMMYFUNCTION("""COMPUTED_VALUE"""),"Undefined")</f>
        <v>Undefined</v>
      </c>
      <c r="B1076" s="46" t="str">
        <f>IFERROR(__xludf.DUMMYFUNCTION("""COMPUTED_VALUE"""),"Undefined")</f>
        <v>Undefined</v>
      </c>
      <c r="C1076" s="46" t="str">
        <f>IFERROR(__xludf.DUMMYFUNCTION("""COMPUTED_VALUE"""),"Meat")</f>
        <v>Meat</v>
      </c>
      <c r="D1076" s="46">
        <f>IFERROR(__xludf.DUMMYFUNCTION("""COMPUTED_VALUE"""),27.0)</f>
        <v>27</v>
      </c>
      <c r="E1076" s="46">
        <f>IFERROR(__xludf.DUMMYFUNCTION("""COMPUTED_VALUE"""),8.15755307E8)</f>
        <v>815755307</v>
      </c>
      <c r="F1076" s="84">
        <f>IFERROR(__xludf.DUMMYFUNCTION("""COMPUTED_VALUE"""),3787728.42)</f>
        <v>3787728.42</v>
      </c>
      <c r="I1076" s="87"/>
    </row>
    <row r="1077">
      <c r="A1077" s="46" t="str">
        <f>IFERROR(__xludf.DUMMYFUNCTION("""COMPUTED_VALUE"""),"Europe")</f>
        <v>Europe</v>
      </c>
      <c r="B1077" s="46" t="str">
        <f>IFERROR(__xludf.DUMMYFUNCTION("""COMPUTED_VALUE"""),"Ireland")</f>
        <v>Ireland</v>
      </c>
      <c r="C1077" s="46" t="str">
        <f>IFERROR(__xludf.DUMMYFUNCTION("""COMPUTED_VALUE"""),"Cosmetics")</f>
        <v>Cosmetics</v>
      </c>
      <c r="D1077" s="46">
        <f>IFERROR(__xludf.DUMMYFUNCTION("""COMPUTED_VALUE"""),16.0)</f>
        <v>16</v>
      </c>
      <c r="E1077" s="46">
        <f>IFERROR(__xludf.DUMMYFUNCTION("""COMPUTED_VALUE"""),8.15917098E8)</f>
        <v>815917098</v>
      </c>
      <c r="F1077" s="84">
        <f>IFERROR(__xludf.DUMMYFUNCTION("""COMPUTED_VALUE"""),2997443.1999999997)</f>
        <v>2997443.2</v>
      </c>
      <c r="I1077" s="87"/>
    </row>
    <row r="1078">
      <c r="A1078" s="46" t="str">
        <f>IFERROR(__xludf.DUMMYFUNCTION("""COMPUTED_VALUE"""),"Europe")</f>
        <v>Europe</v>
      </c>
      <c r="B1078" s="46" t="str">
        <f>IFERROR(__xludf.DUMMYFUNCTION("""COMPUTED_VALUE"""),"Spain")</f>
        <v>Spain</v>
      </c>
      <c r="C1078" s="46" t="str">
        <f>IFERROR(__xludf.DUMMYFUNCTION("""COMPUTED_VALUE"""),"Fruits")</f>
        <v>Fruits</v>
      </c>
      <c r="D1078" s="46">
        <f>IFERROR(__xludf.DUMMYFUNCTION("""COMPUTED_VALUE"""),23.0)</f>
        <v>23</v>
      </c>
      <c r="E1078" s="46">
        <f>IFERROR(__xludf.DUMMYFUNCTION("""COMPUTED_VALUE"""),8.17006289E8)</f>
        <v>817006289</v>
      </c>
      <c r="F1078" s="84">
        <f>IFERROR(__xludf.DUMMYFUNCTION("""COMPUTED_VALUE"""),85574.76)</f>
        <v>85574.76</v>
      </c>
      <c r="I1078" s="87"/>
    </row>
    <row r="1079">
      <c r="A1079" s="46" t="str">
        <f>IFERROR(__xludf.DUMMYFUNCTION("""COMPUTED_VALUE"""),"Europe")</f>
        <v>Europe</v>
      </c>
      <c r="B1079" s="46" t="str">
        <f>IFERROR(__xludf.DUMMYFUNCTION("""COMPUTED_VALUE"""),"Bulgaria")</f>
        <v>Bulgaria</v>
      </c>
      <c r="C1079" s="46" t="str">
        <f>IFERROR(__xludf.DUMMYFUNCTION("""COMPUTED_VALUE"""),"Vegetables")</f>
        <v>Vegetables</v>
      </c>
      <c r="D1079" s="46">
        <f>IFERROR(__xludf.DUMMYFUNCTION("""COMPUTED_VALUE"""),26.0)</f>
        <v>26</v>
      </c>
      <c r="E1079" s="46">
        <f>IFERROR(__xludf.DUMMYFUNCTION("""COMPUTED_VALUE"""),8.17061221E8)</f>
        <v>817061221</v>
      </c>
      <c r="F1079" s="84">
        <f>IFERROR(__xludf.DUMMYFUNCTION("""COMPUTED_VALUE"""),836083.62)</f>
        <v>836083.62</v>
      </c>
      <c r="I1079" s="87"/>
    </row>
    <row r="1080">
      <c r="A1080" s="46" t="str">
        <f>IFERROR(__xludf.DUMMYFUNCTION("""COMPUTED_VALUE"""),"Undefined")</f>
        <v>Undefined</v>
      </c>
      <c r="B1080" s="46" t="str">
        <f>IFERROR(__xludf.DUMMYFUNCTION("""COMPUTED_VALUE"""),"Undefined")</f>
        <v>Undefined</v>
      </c>
      <c r="C1080" s="46" t="str">
        <f>IFERROR(__xludf.DUMMYFUNCTION("""COMPUTED_VALUE"""),"Vegetables")</f>
        <v>Vegetables</v>
      </c>
      <c r="D1080" s="46">
        <f>IFERROR(__xludf.DUMMYFUNCTION("""COMPUTED_VALUE"""),3.0)</f>
        <v>3</v>
      </c>
      <c r="E1080" s="46">
        <f>IFERROR(__xludf.DUMMYFUNCTION("""COMPUTED_VALUE"""),8.18976962E8)</f>
        <v>818976962</v>
      </c>
      <c r="F1080" s="84">
        <f>IFERROR(__xludf.DUMMYFUNCTION("""COMPUTED_VALUE"""),360038.22000000003)</f>
        <v>360038.22</v>
      </c>
      <c r="I1080" s="87"/>
    </row>
    <row r="1081">
      <c r="A1081" s="46" t="str">
        <f>IFERROR(__xludf.DUMMYFUNCTION("""COMPUTED_VALUE"""),"Europe")</f>
        <v>Europe</v>
      </c>
      <c r="B1081" s="46" t="str">
        <f>IFERROR(__xludf.DUMMYFUNCTION("""COMPUTED_VALUE"""),"Switzerland")</f>
        <v>Switzerland</v>
      </c>
      <c r="C1081" s="46" t="str">
        <f>IFERROR(__xludf.DUMMYFUNCTION("""COMPUTED_VALUE"""),"Vegetables")</f>
        <v>Vegetables</v>
      </c>
      <c r="D1081" s="46">
        <f>IFERROR(__xludf.DUMMYFUNCTION("""COMPUTED_VALUE"""),0.0)</f>
        <v>0</v>
      </c>
      <c r="E1081" s="46">
        <f>IFERROR(__xludf.DUMMYFUNCTION("""COMPUTED_VALUE"""),8.19037473E8)</f>
        <v>819037473</v>
      </c>
      <c r="F1081" s="84">
        <f>IFERROR(__xludf.DUMMYFUNCTION("""COMPUTED_VALUE"""),37590.64)</f>
        <v>37590.64</v>
      </c>
      <c r="I1081" s="87"/>
    </row>
    <row r="1082">
      <c r="A1082" s="46" t="str">
        <f>IFERROR(__xludf.DUMMYFUNCTION("""COMPUTED_VALUE"""),"Europe")</f>
        <v>Europe</v>
      </c>
      <c r="B1082" s="46" t="str">
        <f>IFERROR(__xludf.DUMMYFUNCTION("""COMPUTED_VALUE"""),"Montenegro")</f>
        <v>Montenegro</v>
      </c>
      <c r="C1082" s="46" t="str">
        <f>IFERROR(__xludf.DUMMYFUNCTION("""COMPUTED_VALUE"""),"Office Supplies")</f>
        <v>Office Supplies</v>
      </c>
      <c r="D1082" s="46">
        <f>IFERROR(__xludf.DUMMYFUNCTION("""COMPUTED_VALUE"""),1.0)</f>
        <v>1</v>
      </c>
      <c r="E1082" s="46">
        <f>IFERROR(__xludf.DUMMYFUNCTION("""COMPUTED_VALUE"""),8.19152915E8)</f>
        <v>819152915</v>
      </c>
      <c r="F1082" s="84">
        <f>IFERROR(__xludf.DUMMYFUNCTION("""COMPUTED_VALUE"""),2869231.2600000002)</f>
        <v>2869231.26</v>
      </c>
      <c r="I1082" s="87"/>
    </row>
    <row r="1083">
      <c r="A1083" s="46" t="str">
        <f>IFERROR(__xludf.DUMMYFUNCTION("""COMPUTED_VALUE"""),"Europe")</f>
        <v>Europe</v>
      </c>
      <c r="B1083" s="46" t="str">
        <f>IFERROR(__xludf.DUMMYFUNCTION("""COMPUTED_VALUE"""),"Malta")</f>
        <v>Malta</v>
      </c>
      <c r="C1083" s="46" t="str">
        <f>IFERROR(__xludf.DUMMYFUNCTION("""COMPUTED_VALUE"""),"Cosmetics")</f>
        <v>Cosmetics</v>
      </c>
      <c r="D1083" s="46">
        <f>IFERROR(__xludf.DUMMYFUNCTION("""COMPUTED_VALUE"""),29.0)</f>
        <v>29</v>
      </c>
      <c r="E1083" s="46">
        <f>IFERROR(__xludf.DUMMYFUNCTION("""COMPUTED_VALUE"""),8.19516837E8)</f>
        <v>819516837</v>
      </c>
      <c r="F1083" s="84">
        <f>IFERROR(__xludf.DUMMYFUNCTION("""COMPUTED_VALUE"""),917245.6)</f>
        <v>917245.6</v>
      </c>
      <c r="I1083" s="87"/>
    </row>
    <row r="1084">
      <c r="A1084" s="46" t="str">
        <f>IFERROR(__xludf.DUMMYFUNCTION("""COMPUTED_VALUE"""),"Undefined")</f>
        <v>Undefined</v>
      </c>
      <c r="B1084" s="46" t="str">
        <f>IFERROR(__xludf.DUMMYFUNCTION("""COMPUTED_VALUE"""),"Undefined")</f>
        <v>Undefined</v>
      </c>
      <c r="C1084" s="46" t="str">
        <f>IFERROR(__xludf.DUMMYFUNCTION("""COMPUTED_VALUE"""),"Snacks")</f>
        <v>Snacks</v>
      </c>
      <c r="D1084" s="46">
        <f>IFERROR(__xludf.DUMMYFUNCTION("""COMPUTED_VALUE"""),19.0)</f>
        <v>19</v>
      </c>
      <c r="E1084" s="46">
        <f>IFERROR(__xludf.DUMMYFUNCTION("""COMPUTED_VALUE"""),8.20195758E8)</f>
        <v>820195758</v>
      </c>
      <c r="F1084" s="84">
        <f>IFERROR(__xludf.DUMMYFUNCTION("""COMPUTED_VALUE"""),458655.48000000004)</f>
        <v>458655.48</v>
      </c>
      <c r="I1084" s="87"/>
    </row>
    <row r="1085">
      <c r="A1085" s="46" t="str">
        <f>IFERROR(__xludf.DUMMYFUNCTION("""COMPUTED_VALUE"""),"Europe")</f>
        <v>Europe</v>
      </c>
      <c r="B1085" s="46" t="str">
        <f>IFERROR(__xludf.DUMMYFUNCTION("""COMPUTED_VALUE"""),"Germany")</f>
        <v>Germany</v>
      </c>
      <c r="C1085" s="46" t="str">
        <f>IFERROR(__xludf.DUMMYFUNCTION("""COMPUTED_VALUE"""),"Meat")</f>
        <v>Meat</v>
      </c>
      <c r="D1085" s="46">
        <f>IFERROR(__xludf.DUMMYFUNCTION("""COMPUTED_VALUE"""),14.0)</f>
        <v>14</v>
      </c>
      <c r="E1085" s="46">
        <f>IFERROR(__xludf.DUMMYFUNCTION("""COMPUTED_VALUE"""),8.20437371E8)</f>
        <v>820437371</v>
      </c>
      <c r="F1085" s="84">
        <f>IFERROR(__xludf.DUMMYFUNCTION("""COMPUTED_VALUE"""),1900614.45)</f>
        <v>1900614.45</v>
      </c>
      <c r="I1085" s="87"/>
    </row>
    <row r="1086">
      <c r="A1086" s="46" t="str">
        <f>IFERROR(__xludf.DUMMYFUNCTION("""COMPUTED_VALUE"""),"Europe")</f>
        <v>Europe</v>
      </c>
      <c r="B1086" s="46" t="str">
        <f>IFERROR(__xludf.DUMMYFUNCTION("""COMPUTED_VALUE"""),"San Marino")</f>
        <v>San Marino</v>
      </c>
      <c r="C1086" s="46" t="str">
        <f>IFERROR(__xludf.DUMMYFUNCTION("""COMPUTED_VALUE"""),"Household")</f>
        <v>Household</v>
      </c>
      <c r="D1086" s="46">
        <f>IFERROR(__xludf.DUMMYFUNCTION("""COMPUTED_VALUE"""),0.0)</f>
        <v>0</v>
      </c>
      <c r="E1086" s="46">
        <f>IFERROR(__xludf.DUMMYFUNCTION("""COMPUTED_VALUE"""),8.21131742E8)</f>
        <v>821131742</v>
      </c>
      <c r="F1086" s="84">
        <f>IFERROR(__xludf.DUMMYFUNCTION("""COMPUTED_VALUE"""),6672675.95)</f>
        <v>6672675.95</v>
      </c>
      <c r="I1086" s="87"/>
    </row>
    <row r="1087">
      <c r="A1087" s="46" t="str">
        <f>IFERROR(__xludf.DUMMYFUNCTION("""COMPUTED_VALUE"""),"Europe")</f>
        <v>Europe</v>
      </c>
      <c r="B1087" s="46" t="str">
        <f>IFERROR(__xludf.DUMMYFUNCTION("""COMPUTED_VALUE"""),"Norway")</f>
        <v>Norway</v>
      </c>
      <c r="C1087" s="46" t="str">
        <f>IFERROR(__xludf.DUMMYFUNCTION("""COMPUTED_VALUE"""),"Cosmetics")</f>
        <v>Cosmetics</v>
      </c>
      <c r="D1087" s="46">
        <f>IFERROR(__xludf.DUMMYFUNCTION("""COMPUTED_VALUE"""),37.0)</f>
        <v>37</v>
      </c>
      <c r="E1087" s="46">
        <f>IFERROR(__xludf.DUMMYFUNCTION("""COMPUTED_VALUE"""),8.21916663E8)</f>
        <v>821916663</v>
      </c>
      <c r="F1087" s="84">
        <f>IFERROR(__xludf.DUMMYFUNCTION("""COMPUTED_VALUE"""),988072.0)</f>
        <v>988072</v>
      </c>
      <c r="I1087" s="87"/>
    </row>
    <row r="1088">
      <c r="A1088" s="46" t="str">
        <f>IFERROR(__xludf.DUMMYFUNCTION("""COMPUTED_VALUE"""),"Europe")</f>
        <v>Europe</v>
      </c>
      <c r="B1088" s="46" t="str">
        <f>IFERROR(__xludf.DUMMYFUNCTION("""COMPUTED_VALUE"""),"Macedonia")</f>
        <v>Macedonia</v>
      </c>
      <c r="C1088" s="46" t="str">
        <f>IFERROR(__xludf.DUMMYFUNCTION("""COMPUTED_VALUE"""),"Office Supplies")</f>
        <v>Office Supplies</v>
      </c>
      <c r="D1088" s="46">
        <f>IFERROR(__xludf.DUMMYFUNCTION("""COMPUTED_VALUE"""),45.0)</f>
        <v>45</v>
      </c>
      <c r="E1088" s="46">
        <f>IFERROR(__xludf.DUMMYFUNCTION("""COMPUTED_VALUE"""),8.23236739E8)</f>
        <v>823236739</v>
      </c>
      <c r="F1088" s="84">
        <f>IFERROR(__xludf.DUMMYFUNCTION("""COMPUTED_VALUE"""),1888509.0)</f>
        <v>1888509</v>
      </c>
      <c r="I1088" s="87"/>
    </row>
    <row r="1089">
      <c r="A1089" s="46" t="str">
        <f>IFERROR(__xludf.DUMMYFUNCTION("""COMPUTED_VALUE"""),"Europe")</f>
        <v>Europe</v>
      </c>
      <c r="B1089" s="46" t="str">
        <f>IFERROR(__xludf.DUMMYFUNCTION("""COMPUTED_VALUE"""),"Ukraine")</f>
        <v>Ukraine</v>
      </c>
      <c r="C1089" s="46" t="str">
        <f>IFERROR(__xludf.DUMMYFUNCTION("""COMPUTED_VALUE"""),"Clothes")</f>
        <v>Clothes</v>
      </c>
      <c r="D1089" s="46">
        <f>IFERROR(__xludf.DUMMYFUNCTION("""COMPUTED_VALUE"""),19.0)</f>
        <v>19</v>
      </c>
      <c r="E1089" s="46">
        <f>IFERROR(__xludf.DUMMYFUNCTION("""COMPUTED_VALUE"""),8.23505389E8)</f>
        <v>823505389</v>
      </c>
      <c r="F1089" s="84">
        <f>IFERROR(__xludf.DUMMYFUNCTION("""COMPUTED_VALUE"""),262272.0)</f>
        <v>262272</v>
      </c>
      <c r="I1089" s="87"/>
    </row>
    <row r="1090">
      <c r="A1090" s="46" t="str">
        <f>IFERROR(__xludf.DUMMYFUNCTION("""COMPUTED_VALUE"""),"Europe")</f>
        <v>Europe</v>
      </c>
      <c r="B1090" s="46" t="str">
        <f>IFERROR(__xludf.DUMMYFUNCTION("""COMPUTED_VALUE"""),"Latvia")</f>
        <v>Latvia</v>
      </c>
      <c r="C1090" s="46" t="str">
        <f>IFERROR(__xludf.DUMMYFUNCTION("""COMPUTED_VALUE"""),"Meat")</f>
        <v>Meat</v>
      </c>
      <c r="D1090" s="46">
        <f>IFERROR(__xludf.DUMMYFUNCTION("""COMPUTED_VALUE"""),35.0)</f>
        <v>35</v>
      </c>
      <c r="E1090" s="46">
        <f>IFERROR(__xludf.DUMMYFUNCTION("""COMPUTED_VALUE"""),8.25065791E8)</f>
        <v>825065791</v>
      </c>
      <c r="F1090" s="84">
        <f>IFERROR(__xludf.DUMMYFUNCTION("""COMPUTED_VALUE"""),1753796.73)</f>
        <v>1753796.73</v>
      </c>
      <c r="I1090" s="87"/>
    </row>
    <row r="1091">
      <c r="A1091" s="46" t="str">
        <f>IFERROR(__xludf.DUMMYFUNCTION("""COMPUTED_VALUE"""),"Europe")</f>
        <v>Europe</v>
      </c>
      <c r="B1091" s="46" t="str">
        <f>IFERROR(__xludf.DUMMYFUNCTION("""COMPUTED_VALUE"""),"Estonia")</f>
        <v>Estonia</v>
      </c>
      <c r="C1091" s="46" t="str">
        <f>IFERROR(__xludf.DUMMYFUNCTION("""COMPUTED_VALUE"""),"Beverages")</f>
        <v>Beverages</v>
      </c>
      <c r="D1091" s="46">
        <f>IFERROR(__xludf.DUMMYFUNCTION("""COMPUTED_VALUE"""),42.0)</f>
        <v>42</v>
      </c>
      <c r="E1091" s="46">
        <f>IFERROR(__xludf.DUMMYFUNCTION("""COMPUTED_VALUE"""),8.26677262E8)</f>
        <v>826677262</v>
      </c>
      <c r="F1091" s="84">
        <f>IFERROR(__xludf.DUMMYFUNCTION("""COMPUTED_VALUE"""),48731.15)</f>
        <v>48731.15</v>
      </c>
      <c r="I1091" s="87"/>
    </row>
    <row r="1092">
      <c r="A1092" s="46" t="str">
        <f>IFERROR(__xludf.DUMMYFUNCTION("""COMPUTED_VALUE"""),"Europe")</f>
        <v>Europe</v>
      </c>
      <c r="B1092" s="46" t="str">
        <f>IFERROR(__xludf.DUMMYFUNCTION("""COMPUTED_VALUE"""),"Iceland")</f>
        <v>Iceland</v>
      </c>
      <c r="C1092" s="46" t="str">
        <f>IFERROR(__xludf.DUMMYFUNCTION("""COMPUTED_VALUE"""),"Baby Food")</f>
        <v>Baby Food</v>
      </c>
      <c r="D1092" s="46">
        <f>IFERROR(__xludf.DUMMYFUNCTION("""COMPUTED_VALUE"""),10.0)</f>
        <v>10</v>
      </c>
      <c r="E1092" s="46">
        <f>IFERROR(__xludf.DUMMYFUNCTION("""COMPUTED_VALUE"""),8.26936471E8)</f>
        <v>826936471</v>
      </c>
      <c r="F1092" s="84">
        <f>IFERROR(__xludf.DUMMYFUNCTION("""COMPUTED_VALUE"""),1974080.24)</f>
        <v>1974080.24</v>
      </c>
      <c r="I1092" s="87"/>
    </row>
    <row r="1093">
      <c r="A1093" s="46" t="str">
        <f>IFERROR(__xludf.DUMMYFUNCTION("""COMPUTED_VALUE"""),"Europe")</f>
        <v>Europe</v>
      </c>
      <c r="B1093" s="46" t="str">
        <f>IFERROR(__xludf.DUMMYFUNCTION("""COMPUTED_VALUE"""),"Bulgaria")</f>
        <v>Bulgaria</v>
      </c>
      <c r="C1093" s="46" t="str">
        <f>IFERROR(__xludf.DUMMYFUNCTION("""COMPUTED_VALUE"""),"Cosmetics")</f>
        <v>Cosmetics</v>
      </c>
      <c r="D1093" s="46">
        <f>IFERROR(__xludf.DUMMYFUNCTION("""COMPUTED_VALUE"""),40.0)</f>
        <v>40</v>
      </c>
      <c r="E1093" s="46">
        <f>IFERROR(__xludf.DUMMYFUNCTION("""COMPUTED_VALUE"""),8.26968657E8)</f>
        <v>826968657</v>
      </c>
      <c r="F1093" s="84">
        <f>IFERROR(__xludf.DUMMYFUNCTION("""COMPUTED_VALUE"""),3173197.6)</f>
        <v>3173197.6</v>
      </c>
      <c r="I1093" s="87"/>
    </row>
    <row r="1094">
      <c r="A1094" s="46" t="str">
        <f>IFERROR(__xludf.DUMMYFUNCTION("""COMPUTED_VALUE"""),"Europe")</f>
        <v>Europe</v>
      </c>
      <c r="B1094" s="46" t="str">
        <f>IFERROR(__xludf.DUMMYFUNCTION("""COMPUTED_VALUE"""),"Iceland")</f>
        <v>Iceland</v>
      </c>
      <c r="C1094" s="46" t="str">
        <f>IFERROR(__xludf.DUMMYFUNCTION("""COMPUTED_VALUE"""),"Baby Food")</f>
        <v>Baby Food</v>
      </c>
      <c r="D1094" s="46">
        <f>IFERROR(__xludf.DUMMYFUNCTION("""COMPUTED_VALUE"""),28.0)</f>
        <v>28</v>
      </c>
      <c r="E1094" s="46">
        <f>IFERROR(__xludf.DUMMYFUNCTION("""COMPUTED_VALUE"""),8.28993833E8)</f>
        <v>828993833</v>
      </c>
      <c r="F1094" s="84">
        <f>IFERROR(__xludf.DUMMYFUNCTION("""COMPUTED_VALUE"""),1672594.56)</f>
        <v>1672594.56</v>
      </c>
      <c r="I1094" s="87"/>
    </row>
    <row r="1095">
      <c r="A1095" s="46" t="str">
        <f>IFERROR(__xludf.DUMMYFUNCTION("""COMPUTED_VALUE"""),"Europe")</f>
        <v>Europe</v>
      </c>
      <c r="B1095" s="46" t="str">
        <f>IFERROR(__xludf.DUMMYFUNCTION("""COMPUTED_VALUE"""),"Montenegro")</f>
        <v>Montenegro</v>
      </c>
      <c r="C1095" s="46" t="str">
        <f>IFERROR(__xludf.DUMMYFUNCTION("""COMPUTED_VALUE"""),"Household")</f>
        <v>Household</v>
      </c>
      <c r="D1095" s="46">
        <f>IFERROR(__xludf.DUMMYFUNCTION("""COMPUTED_VALUE"""),18.0)</f>
        <v>18</v>
      </c>
      <c r="E1095" s="46">
        <f>IFERROR(__xludf.DUMMYFUNCTION("""COMPUTED_VALUE"""),8.29356467E8)</f>
        <v>829356467</v>
      </c>
      <c r="F1095" s="84">
        <f>IFERROR(__xludf.DUMMYFUNCTION("""COMPUTED_VALUE"""),2582195.28)</f>
        <v>2582195.28</v>
      </c>
      <c r="I1095" s="87"/>
    </row>
    <row r="1096">
      <c r="A1096" s="46" t="str">
        <f>IFERROR(__xludf.DUMMYFUNCTION("""COMPUTED_VALUE"""),"Undefined")</f>
        <v>Undefined</v>
      </c>
      <c r="B1096" s="46" t="str">
        <f>IFERROR(__xludf.DUMMYFUNCTION("""COMPUTED_VALUE"""),"Undefined")</f>
        <v>Undefined</v>
      </c>
      <c r="C1096" s="46" t="str">
        <f>IFERROR(__xludf.DUMMYFUNCTION("""COMPUTED_VALUE"""),"Cosmetics")</f>
        <v>Cosmetics</v>
      </c>
      <c r="D1096" s="46">
        <f>IFERROR(__xludf.DUMMYFUNCTION("""COMPUTED_VALUE"""),46.0)</f>
        <v>46</v>
      </c>
      <c r="E1096" s="46">
        <f>IFERROR(__xludf.DUMMYFUNCTION("""COMPUTED_VALUE"""),8.30172288E8)</f>
        <v>830172288</v>
      </c>
      <c r="F1096" s="84">
        <f>IFERROR(__xludf.DUMMYFUNCTION("""COMPUTED_VALUE"""),2309727.6)</f>
        <v>2309727.6</v>
      </c>
      <c r="I1096" s="87"/>
    </row>
    <row r="1097">
      <c r="A1097" s="46" t="str">
        <f>IFERROR(__xludf.DUMMYFUNCTION("""COMPUTED_VALUE"""),"Europe")</f>
        <v>Europe</v>
      </c>
      <c r="B1097" s="46" t="str">
        <f>IFERROR(__xludf.DUMMYFUNCTION("""COMPUTED_VALUE"""),"Malta")</f>
        <v>Malta</v>
      </c>
      <c r="C1097" s="46" t="str">
        <f>IFERROR(__xludf.DUMMYFUNCTION("""COMPUTED_VALUE"""),"Fruits")</f>
        <v>Fruits</v>
      </c>
      <c r="D1097" s="46">
        <f>IFERROR(__xludf.DUMMYFUNCTION("""COMPUTED_VALUE"""),23.0)</f>
        <v>23</v>
      </c>
      <c r="E1097" s="46">
        <f>IFERROR(__xludf.DUMMYFUNCTION("""COMPUTED_VALUE"""),8.31143891E8)</f>
        <v>831143891</v>
      </c>
      <c r="F1097" s="84">
        <f>IFERROR(__xludf.DUMMYFUNCTION("""COMPUTED_VALUE"""),26142.66)</f>
        <v>26142.66</v>
      </c>
      <c r="I1097" s="87"/>
    </row>
    <row r="1098">
      <c r="A1098" s="46" t="str">
        <f>IFERROR(__xludf.DUMMYFUNCTION("""COMPUTED_VALUE"""),"Europe")</f>
        <v>Europe</v>
      </c>
      <c r="B1098" s="46" t="str">
        <f>IFERROR(__xludf.DUMMYFUNCTION("""COMPUTED_VALUE"""),"Spain")</f>
        <v>Spain</v>
      </c>
      <c r="C1098" s="46" t="str">
        <f>IFERROR(__xludf.DUMMYFUNCTION("""COMPUTED_VALUE"""),"Cosmetics")</f>
        <v>Cosmetics</v>
      </c>
      <c r="D1098" s="46">
        <f>IFERROR(__xludf.DUMMYFUNCTION("""COMPUTED_VALUE"""),31.0)</f>
        <v>31</v>
      </c>
      <c r="E1098" s="46">
        <f>IFERROR(__xludf.DUMMYFUNCTION("""COMPUTED_VALUE"""),8.3205713E8)</f>
        <v>832057130</v>
      </c>
      <c r="F1098" s="84">
        <f>IFERROR(__xludf.DUMMYFUNCTION("""COMPUTED_VALUE"""),1333460.0)</f>
        <v>1333460</v>
      </c>
      <c r="I1098" s="87"/>
    </row>
    <row r="1099">
      <c r="A1099" s="46" t="str">
        <f>IFERROR(__xludf.DUMMYFUNCTION("""COMPUTED_VALUE"""),"Europe")</f>
        <v>Europe</v>
      </c>
      <c r="B1099" s="46" t="str">
        <f>IFERROR(__xludf.DUMMYFUNCTION("""COMPUTED_VALUE"""),"Albania")</f>
        <v>Albania</v>
      </c>
      <c r="C1099" s="46" t="str">
        <f>IFERROR(__xludf.DUMMYFUNCTION("""COMPUTED_VALUE"""),"Beverages")</f>
        <v>Beverages</v>
      </c>
      <c r="D1099" s="46">
        <f>IFERROR(__xludf.DUMMYFUNCTION("""COMPUTED_VALUE"""),27.0)</f>
        <v>27</v>
      </c>
      <c r="E1099" s="46">
        <f>IFERROR(__xludf.DUMMYFUNCTION("""COMPUTED_VALUE"""),8.33473765E8)</f>
        <v>833473765</v>
      </c>
      <c r="F1099" s="84">
        <f>IFERROR(__xludf.DUMMYFUNCTION("""COMPUTED_VALUE"""),107426.8)</f>
        <v>107426.8</v>
      </c>
      <c r="I1099" s="87"/>
    </row>
    <row r="1100">
      <c r="A1100" s="46" t="str">
        <f>IFERROR(__xludf.DUMMYFUNCTION("""COMPUTED_VALUE"""),"Asia")</f>
        <v>Asia</v>
      </c>
      <c r="B1100" s="46" t="str">
        <f>IFERROR(__xludf.DUMMYFUNCTION("""COMPUTED_VALUE"""),"Cyprus")</f>
        <v>Cyprus</v>
      </c>
      <c r="C1100" s="46" t="str">
        <f>IFERROR(__xludf.DUMMYFUNCTION("""COMPUTED_VALUE"""),"Cereal")</f>
        <v>Cereal</v>
      </c>
      <c r="D1100" s="46">
        <f>IFERROR(__xludf.DUMMYFUNCTION("""COMPUTED_VALUE"""),7.0)</f>
        <v>7</v>
      </c>
      <c r="E1100" s="46">
        <f>IFERROR(__xludf.DUMMYFUNCTION("""COMPUTED_VALUE"""),8.33706796E8)</f>
        <v>833706796</v>
      </c>
      <c r="F1100" s="84">
        <f>IFERROR(__xludf.DUMMYFUNCTION("""COMPUTED_VALUE"""),251571.09999999998)</f>
        <v>251571.1</v>
      </c>
      <c r="I1100" s="87"/>
    </row>
    <row r="1101">
      <c r="A1101" s="46" t="str">
        <f>IFERROR(__xludf.DUMMYFUNCTION("""COMPUTED_VALUE"""),"Europe")</f>
        <v>Europe</v>
      </c>
      <c r="B1101" s="46" t="str">
        <f>IFERROR(__xludf.DUMMYFUNCTION("""COMPUTED_VALUE"""),"Andorra")</f>
        <v>Andorra</v>
      </c>
      <c r="C1101" s="46" t="str">
        <f>IFERROR(__xludf.DUMMYFUNCTION("""COMPUTED_VALUE"""),"Household")</f>
        <v>Household</v>
      </c>
      <c r="D1101" s="46">
        <f>IFERROR(__xludf.DUMMYFUNCTION("""COMPUTED_VALUE"""),31.0)</f>
        <v>31</v>
      </c>
      <c r="E1101" s="46">
        <f>IFERROR(__xludf.DUMMYFUNCTION("""COMPUTED_VALUE"""),8.34065997E8)</f>
        <v>834065997</v>
      </c>
      <c r="F1101" s="84">
        <f>IFERROR(__xludf.DUMMYFUNCTION("""COMPUTED_VALUE"""),5024053.859999999)</f>
        <v>5024053.86</v>
      </c>
      <c r="I1101" s="87"/>
    </row>
    <row r="1102">
      <c r="A1102" s="46" t="str">
        <f>IFERROR(__xludf.DUMMYFUNCTION("""COMPUTED_VALUE"""),"Europe")</f>
        <v>Europe</v>
      </c>
      <c r="B1102" s="46" t="str">
        <f>IFERROR(__xludf.DUMMYFUNCTION("""COMPUTED_VALUE"""),"Germany")</f>
        <v>Germany</v>
      </c>
      <c r="C1102" s="46" t="str">
        <f>IFERROR(__xludf.DUMMYFUNCTION("""COMPUTED_VALUE"""),"Personal Care")</f>
        <v>Personal Care</v>
      </c>
      <c r="D1102" s="46">
        <f>IFERROR(__xludf.DUMMYFUNCTION("""COMPUTED_VALUE"""),2.0)</f>
        <v>2</v>
      </c>
      <c r="E1102" s="46">
        <f>IFERROR(__xludf.DUMMYFUNCTION("""COMPUTED_VALUE"""),8.3509339E8)</f>
        <v>835093390</v>
      </c>
      <c r="F1102" s="84">
        <f>IFERROR(__xludf.DUMMYFUNCTION("""COMPUTED_VALUE"""),126436.31000000001)</f>
        <v>126436.31</v>
      </c>
      <c r="I1102" s="87"/>
    </row>
    <row r="1103">
      <c r="A1103" s="46" t="str">
        <f>IFERROR(__xludf.DUMMYFUNCTION("""COMPUTED_VALUE"""),"Europe")</f>
        <v>Europe</v>
      </c>
      <c r="B1103" s="46" t="str">
        <f>IFERROR(__xludf.DUMMYFUNCTION("""COMPUTED_VALUE"""),"Austria")</f>
        <v>Austria</v>
      </c>
      <c r="C1103" s="46" t="str">
        <f>IFERROR(__xludf.DUMMYFUNCTION("""COMPUTED_VALUE"""),"Household")</f>
        <v>Household</v>
      </c>
      <c r="D1103" s="46">
        <f>IFERROR(__xludf.DUMMYFUNCTION("""COMPUTED_VALUE"""),35.0)</f>
        <v>35</v>
      </c>
      <c r="E1103" s="46">
        <f>IFERROR(__xludf.DUMMYFUNCTION("""COMPUTED_VALUE"""),8.3526591E8)</f>
        <v>835265910</v>
      </c>
      <c r="F1103" s="84">
        <f>IFERROR(__xludf.DUMMYFUNCTION("""COMPUTED_VALUE"""),1736833.73)</f>
        <v>1736833.73</v>
      </c>
      <c r="I1103" s="87"/>
    </row>
    <row r="1104">
      <c r="A1104" s="46" t="str">
        <f>IFERROR(__xludf.DUMMYFUNCTION("""COMPUTED_VALUE"""),"Europe")</f>
        <v>Europe</v>
      </c>
      <c r="B1104" s="46" t="str">
        <f>IFERROR(__xludf.DUMMYFUNCTION("""COMPUTED_VALUE"""),"Luxembourg")</f>
        <v>Luxembourg</v>
      </c>
      <c r="C1104" s="46" t="str">
        <f>IFERROR(__xludf.DUMMYFUNCTION("""COMPUTED_VALUE"""),"Cosmetics")</f>
        <v>Cosmetics</v>
      </c>
      <c r="D1104" s="46">
        <f>IFERROR(__xludf.DUMMYFUNCTION("""COMPUTED_VALUE"""),29.0)</f>
        <v>29</v>
      </c>
      <c r="E1104" s="46">
        <f>IFERROR(__xludf.DUMMYFUNCTION("""COMPUTED_VALUE"""),8.3534187E8)</f>
        <v>835341870</v>
      </c>
      <c r="F1104" s="84">
        <f>IFERROR(__xludf.DUMMYFUNCTION("""COMPUTED_VALUE"""),2219664.4)</f>
        <v>2219664.4</v>
      </c>
      <c r="I1104" s="87"/>
    </row>
    <row r="1105">
      <c r="A1105" s="46" t="str">
        <f>IFERROR(__xludf.DUMMYFUNCTION("""COMPUTED_VALUE"""),"Europe")</f>
        <v>Europe</v>
      </c>
      <c r="B1105" s="46" t="str">
        <f>IFERROR(__xludf.DUMMYFUNCTION("""COMPUTED_VALUE"""),"Bulgaria")</f>
        <v>Bulgaria</v>
      </c>
      <c r="C1105" s="46" t="str">
        <f>IFERROR(__xludf.DUMMYFUNCTION("""COMPUTED_VALUE"""),"Household")</f>
        <v>Household</v>
      </c>
      <c r="D1105" s="46">
        <f>IFERROR(__xludf.DUMMYFUNCTION("""COMPUTED_VALUE"""),11.0)</f>
        <v>11</v>
      </c>
      <c r="E1105" s="46">
        <f>IFERROR(__xludf.DUMMYFUNCTION("""COMPUTED_VALUE"""),8.37608659E8)</f>
        <v>837608659</v>
      </c>
      <c r="F1105" s="84">
        <f>IFERROR(__xludf.DUMMYFUNCTION("""COMPUTED_VALUE"""),3923413.17)</f>
        <v>3923413.17</v>
      </c>
      <c r="I1105" s="87"/>
    </row>
    <row r="1106">
      <c r="A1106" s="46" t="str">
        <f>IFERROR(__xludf.DUMMYFUNCTION("""COMPUTED_VALUE"""),"Europe")</f>
        <v>Europe</v>
      </c>
      <c r="B1106" s="46" t="str">
        <f>IFERROR(__xludf.DUMMYFUNCTION("""COMPUTED_VALUE"""),"Switzerland")</f>
        <v>Switzerland</v>
      </c>
      <c r="C1106" s="46" t="str">
        <f>IFERROR(__xludf.DUMMYFUNCTION("""COMPUTED_VALUE"""),"Beverages")</f>
        <v>Beverages</v>
      </c>
      <c r="D1106" s="46">
        <f>IFERROR(__xludf.DUMMYFUNCTION("""COMPUTED_VALUE"""),42.0)</f>
        <v>42</v>
      </c>
      <c r="E1106" s="46">
        <f>IFERROR(__xludf.DUMMYFUNCTION("""COMPUTED_VALUE"""),8.3790692E8)</f>
        <v>837906920</v>
      </c>
      <c r="F1106" s="84">
        <f>IFERROR(__xludf.DUMMYFUNCTION("""COMPUTED_VALUE"""),196110.85)</f>
        <v>196110.85</v>
      </c>
      <c r="I1106" s="87"/>
    </row>
    <row r="1107">
      <c r="A1107" s="46" t="str">
        <f>IFERROR(__xludf.DUMMYFUNCTION("""COMPUTED_VALUE"""),"Asia")</f>
        <v>Asia</v>
      </c>
      <c r="B1107" s="46" t="str">
        <f>IFERROR(__xludf.DUMMYFUNCTION("""COMPUTED_VALUE"""),"Armenia")</f>
        <v>Armenia</v>
      </c>
      <c r="C1107" s="46" t="str">
        <f>IFERROR(__xludf.DUMMYFUNCTION("""COMPUTED_VALUE"""),"Baby Food")</f>
        <v>Baby Food</v>
      </c>
      <c r="D1107" s="46">
        <f>IFERROR(__xludf.DUMMYFUNCTION("""COMPUTED_VALUE"""),16.0)</f>
        <v>16</v>
      </c>
      <c r="E1107" s="46">
        <f>IFERROR(__xludf.DUMMYFUNCTION("""COMPUTED_VALUE"""),8.38788402E8)</f>
        <v>838788402</v>
      </c>
      <c r="F1107" s="84">
        <f>IFERROR(__xludf.DUMMYFUNCTION("""COMPUTED_VALUE"""),1272060.24)</f>
        <v>1272060.24</v>
      </c>
      <c r="I1107" s="87"/>
    </row>
    <row r="1108">
      <c r="A1108" s="46" t="str">
        <f>IFERROR(__xludf.DUMMYFUNCTION("""COMPUTED_VALUE"""),"Undefined")</f>
        <v>Undefined</v>
      </c>
      <c r="B1108" s="46" t="str">
        <f>IFERROR(__xludf.DUMMYFUNCTION("""COMPUTED_VALUE"""),"Undefined")</f>
        <v>Undefined</v>
      </c>
      <c r="C1108" s="46" t="str">
        <f>IFERROR(__xludf.DUMMYFUNCTION("""COMPUTED_VALUE"""),"Personal Care")</f>
        <v>Personal Care</v>
      </c>
      <c r="D1108" s="46">
        <f>IFERROR(__xludf.DUMMYFUNCTION("""COMPUTED_VALUE"""),2.0)</f>
        <v>2</v>
      </c>
      <c r="E1108" s="46">
        <f>IFERROR(__xludf.DUMMYFUNCTION("""COMPUTED_VALUE"""),8.38895261E8)</f>
        <v>838895261</v>
      </c>
      <c r="F1108" s="84">
        <f>IFERROR(__xludf.DUMMYFUNCTION("""COMPUTED_VALUE"""),539826.65)</f>
        <v>539826.65</v>
      </c>
      <c r="I1108" s="87"/>
    </row>
    <row r="1109">
      <c r="A1109" s="46" t="str">
        <f>IFERROR(__xludf.DUMMYFUNCTION("""COMPUTED_VALUE"""),"Europe")</f>
        <v>Europe</v>
      </c>
      <c r="B1109" s="46" t="str">
        <f>IFERROR(__xludf.DUMMYFUNCTION("""COMPUTED_VALUE"""),"Belarus")</f>
        <v>Belarus</v>
      </c>
      <c r="C1109" s="46" t="str">
        <f>IFERROR(__xludf.DUMMYFUNCTION("""COMPUTED_VALUE"""),"Clothes")</f>
        <v>Clothes</v>
      </c>
      <c r="D1109" s="46">
        <f>IFERROR(__xludf.DUMMYFUNCTION("""COMPUTED_VALUE"""),1.0)</f>
        <v>1</v>
      </c>
      <c r="E1109" s="46">
        <f>IFERROR(__xludf.DUMMYFUNCTION("""COMPUTED_VALUE"""),8.39437711E8)</f>
        <v>839437711</v>
      </c>
      <c r="F1109" s="84">
        <f>IFERROR(__xludf.DUMMYFUNCTION("""COMPUTED_VALUE"""),778947.84)</f>
        <v>778947.84</v>
      </c>
      <c r="I1109" s="87"/>
    </row>
    <row r="1110">
      <c r="A1110" s="46" t="str">
        <f>IFERROR(__xludf.DUMMYFUNCTION("""COMPUTED_VALUE"""),"Asia")</f>
        <v>Asia</v>
      </c>
      <c r="B1110" s="46" t="str">
        <f>IFERROR(__xludf.DUMMYFUNCTION("""COMPUTED_VALUE"""),"Armenia")</f>
        <v>Armenia</v>
      </c>
      <c r="C1110" s="46" t="str">
        <f>IFERROR(__xludf.DUMMYFUNCTION("""COMPUTED_VALUE"""),"Personal Care")</f>
        <v>Personal Care</v>
      </c>
      <c r="D1110" s="46">
        <f>IFERROR(__xludf.DUMMYFUNCTION("""COMPUTED_VALUE"""),16.0)</f>
        <v>16</v>
      </c>
      <c r="E1110" s="46">
        <f>IFERROR(__xludf.DUMMYFUNCTION("""COMPUTED_VALUE"""),8.40747058E8)</f>
        <v>840747058</v>
      </c>
      <c r="F1110" s="84">
        <f>IFERROR(__xludf.DUMMYFUNCTION("""COMPUTED_VALUE"""),375385.89)</f>
        <v>375385.89</v>
      </c>
      <c r="I1110" s="87"/>
    </row>
    <row r="1111">
      <c r="A1111" s="46" t="str">
        <f>IFERROR(__xludf.DUMMYFUNCTION("""COMPUTED_VALUE"""),"Europe")</f>
        <v>Europe</v>
      </c>
      <c r="B1111" s="46" t="str">
        <f>IFERROR(__xludf.DUMMYFUNCTION("""COMPUTED_VALUE"""),"Luxembourg")</f>
        <v>Luxembourg</v>
      </c>
      <c r="C1111" s="46" t="str">
        <f>IFERROR(__xludf.DUMMYFUNCTION("""COMPUTED_VALUE"""),"Household")</f>
        <v>Household</v>
      </c>
      <c r="D1111" s="46">
        <f>IFERROR(__xludf.DUMMYFUNCTION("""COMPUTED_VALUE"""),24.0)</f>
        <v>24</v>
      </c>
      <c r="E1111" s="46">
        <f>IFERROR(__xludf.DUMMYFUNCTION("""COMPUTED_VALUE"""),8.4078139E8)</f>
        <v>840781390</v>
      </c>
      <c r="F1111" s="84">
        <f>IFERROR(__xludf.DUMMYFUNCTION("""COMPUTED_VALUE"""),3175619.04)</f>
        <v>3175619.04</v>
      </c>
      <c r="I1111" s="87"/>
    </row>
    <row r="1112">
      <c r="A1112" s="46" t="str">
        <f>IFERROR(__xludf.DUMMYFUNCTION("""COMPUTED_VALUE"""),"Europe")</f>
        <v>Europe</v>
      </c>
      <c r="B1112" s="46" t="str">
        <f>IFERROR(__xludf.DUMMYFUNCTION("""COMPUTED_VALUE"""),"Montenegro")</f>
        <v>Montenegro</v>
      </c>
      <c r="C1112" s="46" t="str">
        <f>IFERROR(__xludf.DUMMYFUNCTION("""COMPUTED_VALUE"""),"Vegetables")</f>
        <v>Vegetables</v>
      </c>
      <c r="D1112" s="46">
        <f>IFERROR(__xludf.DUMMYFUNCTION("""COMPUTED_VALUE"""),46.0)</f>
        <v>46</v>
      </c>
      <c r="E1112" s="46">
        <f>IFERROR(__xludf.DUMMYFUNCTION("""COMPUTED_VALUE"""),8.4268769E8)</f>
        <v>842687690</v>
      </c>
      <c r="F1112" s="84">
        <f>IFERROR(__xludf.DUMMYFUNCTION("""COMPUTED_VALUE"""),1366358.1400000001)</f>
        <v>1366358.14</v>
      </c>
      <c r="I1112" s="87"/>
    </row>
    <row r="1113">
      <c r="A1113" s="46" t="str">
        <f>IFERROR(__xludf.DUMMYFUNCTION("""COMPUTED_VALUE"""),"Asia")</f>
        <v>Asia</v>
      </c>
      <c r="B1113" s="46" t="str">
        <f>IFERROR(__xludf.DUMMYFUNCTION("""COMPUTED_VALUE"""),"Cyprus")</f>
        <v>Cyprus</v>
      </c>
      <c r="C1113" s="46" t="str">
        <f>IFERROR(__xludf.DUMMYFUNCTION("""COMPUTED_VALUE"""),"Snacks")</f>
        <v>Snacks</v>
      </c>
      <c r="D1113" s="46">
        <f>IFERROR(__xludf.DUMMYFUNCTION("""COMPUTED_VALUE"""),15.0)</f>
        <v>15</v>
      </c>
      <c r="E1113" s="46">
        <f>IFERROR(__xludf.DUMMYFUNCTION("""COMPUTED_VALUE"""),8.42725884E8)</f>
        <v>842725884</v>
      </c>
      <c r="F1113" s="84">
        <f>IFERROR(__xludf.DUMMYFUNCTION("""COMPUTED_VALUE"""),26091.180000000004)</f>
        <v>26091.18</v>
      </c>
      <c r="I1113" s="87"/>
    </row>
    <row r="1114">
      <c r="A1114" s="46" t="str">
        <f>IFERROR(__xludf.DUMMYFUNCTION("""COMPUTED_VALUE"""),"Europe")</f>
        <v>Europe</v>
      </c>
      <c r="B1114" s="46" t="str">
        <f>IFERROR(__xludf.DUMMYFUNCTION("""COMPUTED_VALUE"""),"Slovenia")</f>
        <v>Slovenia</v>
      </c>
      <c r="C1114" s="46" t="str">
        <f>IFERROR(__xludf.DUMMYFUNCTION("""COMPUTED_VALUE"""),"Beverages")</f>
        <v>Beverages</v>
      </c>
      <c r="D1114" s="46">
        <f>IFERROR(__xludf.DUMMYFUNCTION("""COMPUTED_VALUE"""),34.0)</f>
        <v>34</v>
      </c>
      <c r="E1114" s="46">
        <f>IFERROR(__xludf.DUMMYFUNCTION("""COMPUTED_VALUE"""),8.44105184E8)</f>
        <v>844105184</v>
      </c>
      <c r="F1114" s="84">
        <f>IFERROR(__xludf.DUMMYFUNCTION("""COMPUTED_VALUE"""),395590.65)</f>
        <v>395590.65</v>
      </c>
      <c r="I1114" s="87"/>
    </row>
    <row r="1115">
      <c r="A1115" s="46" t="str">
        <f>IFERROR(__xludf.DUMMYFUNCTION("""COMPUTED_VALUE"""),"Europe")</f>
        <v>Europe</v>
      </c>
      <c r="B1115" s="46" t="str">
        <f>IFERROR(__xludf.DUMMYFUNCTION("""COMPUTED_VALUE"""),"United Kingdom")</f>
        <v>United Kingdom</v>
      </c>
      <c r="C1115" s="46" t="str">
        <f>IFERROR(__xludf.DUMMYFUNCTION("""COMPUTED_VALUE"""),"Baby Food")</f>
        <v>Baby Food</v>
      </c>
      <c r="D1115" s="46">
        <f>IFERROR(__xludf.DUMMYFUNCTION("""COMPUTED_VALUE"""),21.0)</f>
        <v>21</v>
      </c>
      <c r="E1115" s="46">
        <f>IFERROR(__xludf.DUMMYFUNCTION("""COMPUTED_VALUE"""),8.44307315E8)</f>
        <v>844307315</v>
      </c>
      <c r="F1115" s="84">
        <f>IFERROR(__xludf.DUMMYFUNCTION("""COMPUTED_VALUE"""),2081042.56)</f>
        <v>2081042.56</v>
      </c>
      <c r="I1115" s="87"/>
    </row>
    <row r="1116">
      <c r="A1116" s="46" t="str">
        <f>IFERROR(__xludf.DUMMYFUNCTION("""COMPUTED_VALUE"""),"Europe")</f>
        <v>Europe</v>
      </c>
      <c r="B1116" s="46" t="str">
        <f>IFERROR(__xludf.DUMMYFUNCTION("""COMPUTED_VALUE"""),"Finland")</f>
        <v>Finland</v>
      </c>
      <c r="C1116" s="46" t="str">
        <f>IFERROR(__xludf.DUMMYFUNCTION("""COMPUTED_VALUE"""),"Meat")</f>
        <v>Meat</v>
      </c>
      <c r="D1116" s="46">
        <f>IFERROR(__xludf.DUMMYFUNCTION("""COMPUTED_VALUE"""),5.0)</f>
        <v>5</v>
      </c>
      <c r="E1116" s="46">
        <f>IFERROR(__xludf.DUMMYFUNCTION("""COMPUTED_VALUE"""),8.44575107E8)</f>
        <v>844575107</v>
      </c>
      <c r="F1116" s="84">
        <f>IFERROR(__xludf.DUMMYFUNCTION("""COMPUTED_VALUE"""),3120720.33)</f>
        <v>3120720.33</v>
      </c>
      <c r="I1116" s="87"/>
    </row>
    <row r="1117">
      <c r="A1117" s="46" t="str">
        <f>IFERROR(__xludf.DUMMYFUNCTION("""COMPUTED_VALUE"""),"Europe")</f>
        <v>Europe</v>
      </c>
      <c r="B1117" s="46" t="str">
        <f>IFERROR(__xludf.DUMMYFUNCTION("""COMPUTED_VALUE"""),"Malta")</f>
        <v>Malta</v>
      </c>
      <c r="C1117" s="46" t="str">
        <f>IFERROR(__xludf.DUMMYFUNCTION("""COMPUTED_VALUE"""),"Household")</f>
        <v>Household</v>
      </c>
      <c r="D1117" s="46">
        <f>IFERROR(__xludf.DUMMYFUNCTION("""COMPUTED_VALUE"""),4.0)</f>
        <v>4</v>
      </c>
      <c r="E1117" s="46">
        <f>IFERROR(__xludf.DUMMYFUNCTION("""COMPUTED_VALUE"""),8.45067346E8)</f>
        <v>845067346</v>
      </c>
      <c r="F1117" s="84">
        <f>IFERROR(__xludf.DUMMYFUNCTION("""COMPUTED_VALUE"""),2046242.74)</f>
        <v>2046242.74</v>
      </c>
      <c r="I1117" s="87"/>
    </row>
    <row r="1118">
      <c r="A1118" s="46" t="str">
        <f>IFERROR(__xludf.DUMMYFUNCTION("""COMPUTED_VALUE"""),"Undefined")</f>
        <v>Undefined</v>
      </c>
      <c r="B1118" s="46" t="str">
        <f>IFERROR(__xludf.DUMMYFUNCTION("""COMPUTED_VALUE"""),"Undefined")</f>
        <v>Undefined</v>
      </c>
      <c r="C1118" s="46" t="str">
        <f>IFERROR(__xludf.DUMMYFUNCTION("""COMPUTED_VALUE"""),"Cosmetics")</f>
        <v>Cosmetics</v>
      </c>
      <c r="D1118" s="46">
        <f>IFERROR(__xludf.DUMMYFUNCTION("""COMPUTED_VALUE"""),27.0)</f>
        <v>27</v>
      </c>
      <c r="E1118" s="46">
        <f>IFERROR(__xludf.DUMMYFUNCTION("""COMPUTED_VALUE"""),8.45738112E8)</f>
        <v>845738112</v>
      </c>
      <c r="F1118" s="84">
        <f>IFERROR(__xludf.DUMMYFUNCTION("""COMPUTED_VALUE"""),680720.4)</f>
        <v>680720.4</v>
      </c>
      <c r="I1118" s="87"/>
    </row>
    <row r="1119">
      <c r="A1119" s="46" t="str">
        <f>IFERROR(__xludf.DUMMYFUNCTION("""COMPUTED_VALUE"""),"Europe")</f>
        <v>Europe</v>
      </c>
      <c r="B1119" s="46" t="str">
        <f>IFERROR(__xludf.DUMMYFUNCTION("""COMPUTED_VALUE"""),"Ireland")</f>
        <v>Ireland</v>
      </c>
      <c r="C1119" s="46" t="str">
        <f>IFERROR(__xludf.DUMMYFUNCTION("""COMPUTED_VALUE"""),"Snacks")</f>
        <v>Snacks</v>
      </c>
      <c r="D1119" s="46">
        <f>IFERROR(__xludf.DUMMYFUNCTION("""COMPUTED_VALUE"""),1.0)</f>
        <v>1</v>
      </c>
      <c r="E1119" s="46">
        <f>IFERROR(__xludf.DUMMYFUNCTION("""COMPUTED_VALUE"""),8.464136E8)</f>
        <v>846413600</v>
      </c>
      <c r="F1119" s="84">
        <f>IFERROR(__xludf.DUMMYFUNCTION("""COMPUTED_VALUE"""),220935.84000000003)</f>
        <v>220935.84</v>
      </c>
      <c r="I1119" s="87"/>
    </row>
    <row r="1120">
      <c r="A1120" s="46" t="str">
        <f>IFERROR(__xludf.DUMMYFUNCTION("""COMPUTED_VALUE"""),"Europe")</f>
        <v>Europe</v>
      </c>
      <c r="B1120" s="46" t="str">
        <f>IFERROR(__xludf.DUMMYFUNCTION("""COMPUTED_VALUE"""),"Latvia")</f>
        <v>Latvia</v>
      </c>
      <c r="C1120" s="46" t="str">
        <f>IFERROR(__xludf.DUMMYFUNCTION("""COMPUTED_VALUE"""),"Meat")</f>
        <v>Meat</v>
      </c>
      <c r="D1120" s="46">
        <f>IFERROR(__xludf.DUMMYFUNCTION("""COMPUTED_VALUE"""),3.0)</f>
        <v>3</v>
      </c>
      <c r="E1120" s="46">
        <f>IFERROR(__xludf.DUMMYFUNCTION("""COMPUTED_VALUE"""),8.47317397E8)</f>
        <v>847317397</v>
      </c>
      <c r="F1120" s="84">
        <f>IFERROR(__xludf.DUMMYFUNCTION("""COMPUTED_VALUE"""),3755664.78)</f>
        <v>3755664.78</v>
      </c>
      <c r="I1120" s="87"/>
    </row>
    <row r="1121">
      <c r="A1121" s="46" t="str">
        <f>IFERROR(__xludf.DUMMYFUNCTION("""COMPUTED_VALUE"""),"Asia")</f>
        <v>Asia</v>
      </c>
      <c r="B1121" s="46" t="str">
        <f>IFERROR(__xludf.DUMMYFUNCTION("""COMPUTED_VALUE"""),"Armenia")</f>
        <v>Armenia</v>
      </c>
      <c r="C1121" s="46" t="str">
        <f>IFERROR(__xludf.DUMMYFUNCTION("""COMPUTED_VALUE"""),"Vegetables")</f>
        <v>Vegetables</v>
      </c>
      <c r="D1121" s="46">
        <f>IFERROR(__xludf.DUMMYFUNCTION("""COMPUTED_VALUE"""),16.0)</f>
        <v>16</v>
      </c>
      <c r="E1121" s="46">
        <f>IFERROR(__xludf.DUMMYFUNCTION("""COMPUTED_VALUE"""),8.48737466E8)</f>
        <v>848737466</v>
      </c>
      <c r="F1121" s="84">
        <f>IFERROR(__xludf.DUMMYFUNCTION("""COMPUTED_VALUE"""),1406875.92)</f>
        <v>1406875.92</v>
      </c>
      <c r="I1121" s="87"/>
    </row>
    <row r="1122">
      <c r="A1122" s="46" t="str">
        <f>IFERROR(__xludf.DUMMYFUNCTION("""COMPUTED_VALUE"""),"Europe")</f>
        <v>Europe</v>
      </c>
      <c r="B1122" s="46" t="str">
        <f>IFERROR(__xludf.DUMMYFUNCTION("""COMPUTED_VALUE"""),"Latvia")</f>
        <v>Latvia</v>
      </c>
      <c r="C1122" s="46" t="str">
        <f>IFERROR(__xludf.DUMMYFUNCTION("""COMPUTED_VALUE"""),"Meat")</f>
        <v>Meat</v>
      </c>
      <c r="D1122" s="46">
        <f>IFERROR(__xludf.DUMMYFUNCTION("""COMPUTED_VALUE"""),3.0)</f>
        <v>3</v>
      </c>
      <c r="E1122" s="46">
        <f>IFERROR(__xludf.DUMMYFUNCTION("""COMPUTED_VALUE"""),8.49431836E8)</f>
        <v>849431836</v>
      </c>
      <c r="F1122" s="84">
        <f>IFERROR(__xludf.DUMMYFUNCTION("""COMPUTED_VALUE"""),1945334.79)</f>
        <v>1945334.79</v>
      </c>
      <c r="I1122" s="87"/>
    </row>
    <row r="1123">
      <c r="A1123" s="46" t="str">
        <f>IFERROR(__xludf.DUMMYFUNCTION("""COMPUTED_VALUE"""),"Europe")</f>
        <v>Europe</v>
      </c>
      <c r="B1123" s="46" t="str">
        <f>IFERROR(__xludf.DUMMYFUNCTION("""COMPUTED_VALUE"""),"Albania")</f>
        <v>Albania</v>
      </c>
      <c r="C1123" s="46" t="str">
        <f>IFERROR(__xludf.DUMMYFUNCTION("""COMPUTED_VALUE"""),"Office Supplies")</f>
        <v>Office Supplies</v>
      </c>
      <c r="D1123" s="46">
        <f>IFERROR(__xludf.DUMMYFUNCTION("""COMPUTED_VALUE"""),27.0)</f>
        <v>27</v>
      </c>
      <c r="E1123" s="46">
        <f>IFERROR(__xludf.DUMMYFUNCTION("""COMPUTED_VALUE"""),8.49454581E8)</f>
        <v>849454581</v>
      </c>
      <c r="F1123" s="84">
        <f>IFERROR(__xludf.DUMMYFUNCTION("""COMPUTED_VALUE"""),873923.8200000001)</f>
        <v>873923.82</v>
      </c>
      <c r="I1123" s="87"/>
    </row>
    <row r="1124">
      <c r="A1124" s="46" t="str">
        <f>IFERROR(__xludf.DUMMYFUNCTION("""COMPUTED_VALUE"""),"Asia")</f>
        <v>Asia</v>
      </c>
      <c r="B1124" s="46" t="str">
        <f>IFERROR(__xludf.DUMMYFUNCTION("""COMPUTED_VALUE"""),"Cyprus")</f>
        <v>Cyprus</v>
      </c>
      <c r="C1124" s="46" t="str">
        <f>IFERROR(__xludf.DUMMYFUNCTION("""COMPUTED_VALUE"""),"Fruits")</f>
        <v>Fruits</v>
      </c>
      <c r="D1124" s="46">
        <f>IFERROR(__xludf.DUMMYFUNCTION("""COMPUTED_VALUE"""),10.0)</f>
        <v>10</v>
      </c>
      <c r="E1124" s="46">
        <f>IFERROR(__xludf.DUMMYFUNCTION("""COMPUTED_VALUE"""),8.50279843E8)</f>
        <v>850279843</v>
      </c>
      <c r="F1124" s="84">
        <f>IFERROR(__xludf.DUMMYFUNCTION("""COMPUTED_VALUE"""),51837.48)</f>
        <v>51837.48</v>
      </c>
      <c r="I1124" s="87"/>
    </row>
    <row r="1125">
      <c r="A1125" s="46" t="str">
        <f>IFERROR(__xludf.DUMMYFUNCTION("""COMPUTED_VALUE"""),"Europe")</f>
        <v>Europe</v>
      </c>
      <c r="B1125" s="46" t="str">
        <f>IFERROR(__xludf.DUMMYFUNCTION("""COMPUTED_VALUE"""),"Switzerland")</f>
        <v>Switzerland</v>
      </c>
      <c r="C1125" s="46" t="str">
        <f>IFERROR(__xludf.DUMMYFUNCTION("""COMPUTED_VALUE"""),"Baby Food")</f>
        <v>Baby Food</v>
      </c>
      <c r="D1125" s="46">
        <f>IFERROR(__xludf.DUMMYFUNCTION("""COMPUTED_VALUE"""),45.0)</f>
        <v>45</v>
      </c>
      <c r="E1125" s="46">
        <f>IFERROR(__xludf.DUMMYFUNCTION("""COMPUTED_VALUE"""),8.50562655E8)</f>
        <v>850562655</v>
      </c>
      <c r="F1125" s="84">
        <f>IFERROR(__xludf.DUMMYFUNCTION("""COMPUTED_VALUE"""),2360318.88)</f>
        <v>2360318.88</v>
      </c>
      <c r="I1125" s="87"/>
    </row>
    <row r="1126">
      <c r="A1126" s="46" t="str">
        <f>IFERROR(__xludf.DUMMYFUNCTION("""COMPUTED_VALUE"""),"Europe")</f>
        <v>Europe</v>
      </c>
      <c r="B1126" s="46" t="str">
        <f>IFERROR(__xludf.DUMMYFUNCTION("""COMPUTED_VALUE"""),"Czech Republic")</f>
        <v>Czech Republic</v>
      </c>
      <c r="C1126" s="46" t="str">
        <f>IFERROR(__xludf.DUMMYFUNCTION("""COMPUTED_VALUE"""),"Baby Food")</f>
        <v>Baby Food</v>
      </c>
      <c r="D1126" s="46">
        <f>IFERROR(__xludf.DUMMYFUNCTION("""COMPUTED_VALUE"""),14.0)</f>
        <v>14</v>
      </c>
      <c r="E1126" s="46">
        <f>IFERROR(__xludf.DUMMYFUNCTION("""COMPUTED_VALUE"""),8.50872075E8)</f>
        <v>850872075</v>
      </c>
      <c r="F1126" s="84">
        <f>IFERROR(__xludf.DUMMYFUNCTION("""COMPUTED_VALUE"""),206776.8)</f>
        <v>206776.8</v>
      </c>
      <c r="I1126" s="87"/>
    </row>
    <row r="1127">
      <c r="A1127" s="46" t="str">
        <f>IFERROR(__xludf.DUMMYFUNCTION("""COMPUTED_VALUE"""),"Europe")</f>
        <v>Europe</v>
      </c>
      <c r="B1127" s="46" t="str">
        <f>IFERROR(__xludf.DUMMYFUNCTION("""COMPUTED_VALUE"""),"Lithuania")</f>
        <v>Lithuania</v>
      </c>
      <c r="C1127" s="46" t="str">
        <f>IFERROR(__xludf.DUMMYFUNCTION("""COMPUTED_VALUE"""),"Cosmetics")</f>
        <v>Cosmetics</v>
      </c>
      <c r="D1127" s="46">
        <f>IFERROR(__xludf.DUMMYFUNCTION("""COMPUTED_VALUE"""),22.0)</f>
        <v>22</v>
      </c>
      <c r="E1127" s="46">
        <f>IFERROR(__xludf.DUMMYFUNCTION("""COMPUTED_VALUE"""),8.52392995E8)</f>
        <v>852392995</v>
      </c>
      <c r="F1127" s="84">
        <f>IFERROR(__xludf.DUMMYFUNCTION("""COMPUTED_VALUE"""),386484.8)</f>
        <v>386484.8</v>
      </c>
      <c r="I1127" s="87"/>
    </row>
    <row r="1128">
      <c r="A1128" s="46" t="str">
        <f>IFERROR(__xludf.DUMMYFUNCTION("""COMPUTED_VALUE"""),"Europe")</f>
        <v>Europe</v>
      </c>
      <c r="B1128" s="46" t="str">
        <f>IFERROR(__xludf.DUMMYFUNCTION("""COMPUTED_VALUE"""),"Romania")</f>
        <v>Romania</v>
      </c>
      <c r="C1128" s="46" t="str">
        <f>IFERROR(__xludf.DUMMYFUNCTION("""COMPUTED_VALUE"""),"Personal Care")</f>
        <v>Personal Care</v>
      </c>
      <c r="D1128" s="46">
        <f>IFERROR(__xludf.DUMMYFUNCTION("""COMPUTED_VALUE"""),18.0)</f>
        <v>18</v>
      </c>
      <c r="E1128" s="46">
        <f>IFERROR(__xludf.DUMMYFUNCTION("""COMPUTED_VALUE"""),8.53036296E8)</f>
        <v>853036296</v>
      </c>
      <c r="F1128" s="84">
        <f>IFERROR(__xludf.DUMMYFUNCTION("""COMPUTED_VALUE"""),102244.23000000001)</f>
        <v>102244.23</v>
      </c>
      <c r="I1128" s="87"/>
    </row>
    <row r="1129">
      <c r="A1129" s="46" t="str">
        <f>IFERROR(__xludf.DUMMYFUNCTION("""COMPUTED_VALUE"""),"Europe")</f>
        <v>Europe</v>
      </c>
      <c r="B1129" s="46" t="str">
        <f>IFERROR(__xludf.DUMMYFUNCTION("""COMPUTED_VALUE"""),"Liechtenstein")</f>
        <v>Liechtenstein</v>
      </c>
      <c r="C1129" s="46" t="str">
        <f>IFERROR(__xludf.DUMMYFUNCTION("""COMPUTED_VALUE"""),"Cereal")</f>
        <v>Cereal</v>
      </c>
      <c r="D1129" s="46">
        <f>IFERROR(__xludf.DUMMYFUNCTION("""COMPUTED_VALUE"""),10.0)</f>
        <v>10</v>
      </c>
      <c r="E1129" s="46">
        <f>IFERROR(__xludf.DUMMYFUNCTION("""COMPUTED_VALUE"""),8.56648051E8)</f>
        <v>856648051</v>
      </c>
      <c r="F1129" s="84">
        <f>IFERROR(__xludf.DUMMYFUNCTION("""COMPUTED_VALUE"""),10285.0)</f>
        <v>10285</v>
      </c>
      <c r="I1129" s="87"/>
    </row>
    <row r="1130">
      <c r="A1130" s="46" t="str">
        <f>IFERROR(__xludf.DUMMYFUNCTION("""COMPUTED_VALUE"""),"Europe")</f>
        <v>Europe</v>
      </c>
      <c r="B1130" s="46" t="str">
        <f>IFERROR(__xludf.DUMMYFUNCTION("""COMPUTED_VALUE"""),"Netherlands")</f>
        <v>Netherlands</v>
      </c>
      <c r="C1130" s="46" t="str">
        <f>IFERROR(__xludf.DUMMYFUNCTION("""COMPUTED_VALUE"""),"Office Supplies")</f>
        <v>Office Supplies</v>
      </c>
      <c r="D1130" s="46">
        <f>IFERROR(__xludf.DUMMYFUNCTION("""COMPUTED_VALUE"""),49.0)</f>
        <v>49</v>
      </c>
      <c r="E1130" s="46">
        <f>IFERROR(__xludf.DUMMYFUNCTION("""COMPUTED_VALUE"""),8.57457864E8)</f>
        <v>857457864</v>
      </c>
      <c r="F1130" s="84">
        <f>IFERROR(__xludf.DUMMYFUNCTION("""COMPUTED_VALUE"""),6310876.11)</f>
        <v>6310876.11</v>
      </c>
      <c r="I1130" s="87"/>
    </row>
    <row r="1131">
      <c r="A1131" s="46" t="str">
        <f>IFERROR(__xludf.DUMMYFUNCTION("""COMPUTED_VALUE"""),"Europe")</f>
        <v>Europe</v>
      </c>
      <c r="B1131" s="46" t="str">
        <f>IFERROR(__xludf.DUMMYFUNCTION("""COMPUTED_VALUE"""),"San Marino")</f>
        <v>San Marino</v>
      </c>
      <c r="C1131" s="46" t="str">
        <f>IFERROR(__xludf.DUMMYFUNCTION("""COMPUTED_VALUE"""),"Office Supplies")</f>
        <v>Office Supplies</v>
      </c>
      <c r="D1131" s="46">
        <f>IFERROR(__xludf.DUMMYFUNCTION("""COMPUTED_VALUE"""),38.0)</f>
        <v>38</v>
      </c>
      <c r="E1131" s="46">
        <f>IFERROR(__xludf.DUMMYFUNCTION("""COMPUTED_VALUE"""),8.59914767E8)</f>
        <v>859914767</v>
      </c>
      <c r="F1131" s="84">
        <f>IFERROR(__xludf.DUMMYFUNCTION("""COMPUTED_VALUE"""),4391760.24)</f>
        <v>4391760.24</v>
      </c>
      <c r="I1131" s="87"/>
    </row>
    <row r="1132">
      <c r="A1132" s="46" t="str">
        <f>IFERROR(__xludf.DUMMYFUNCTION("""COMPUTED_VALUE"""),"Europe")</f>
        <v>Europe</v>
      </c>
      <c r="B1132" s="46" t="str">
        <f>IFERROR(__xludf.DUMMYFUNCTION("""COMPUTED_VALUE"""),"Denmark")</f>
        <v>Denmark</v>
      </c>
      <c r="C1132" s="46" t="str">
        <f>IFERROR(__xludf.DUMMYFUNCTION("""COMPUTED_VALUE"""),"Cosmetics")</f>
        <v>Cosmetics</v>
      </c>
      <c r="D1132" s="46">
        <f>IFERROR(__xludf.DUMMYFUNCTION("""COMPUTED_VALUE"""),3.0)</f>
        <v>3</v>
      </c>
      <c r="E1132" s="46">
        <f>IFERROR(__xludf.DUMMYFUNCTION("""COMPUTED_VALUE"""),8.60104024E8)</f>
        <v>860104024</v>
      </c>
      <c r="F1132" s="84">
        <f>IFERROR(__xludf.DUMMYFUNCTION("""COMPUTED_VALUE"""),1201862.8)</f>
        <v>1201862.8</v>
      </c>
      <c r="I1132" s="87"/>
    </row>
    <row r="1133">
      <c r="A1133" s="46" t="str">
        <f>IFERROR(__xludf.DUMMYFUNCTION("""COMPUTED_VALUE"""),"Europe")</f>
        <v>Europe</v>
      </c>
      <c r="B1133" s="46" t="str">
        <f>IFERROR(__xludf.DUMMYFUNCTION("""COMPUTED_VALUE"""),"Andorra")</f>
        <v>Andorra</v>
      </c>
      <c r="C1133" s="46" t="str">
        <f>IFERROR(__xludf.DUMMYFUNCTION("""COMPUTED_VALUE"""),"Beverages")</f>
        <v>Beverages</v>
      </c>
      <c r="D1133" s="46">
        <f>IFERROR(__xludf.DUMMYFUNCTION("""COMPUTED_VALUE"""),38.0)</f>
        <v>38</v>
      </c>
      <c r="E1133" s="46">
        <f>IFERROR(__xludf.DUMMYFUNCTION("""COMPUTED_VALUE"""),8.61180341E8)</f>
        <v>861180341</v>
      </c>
      <c r="F1133" s="84">
        <f>IFERROR(__xludf.DUMMYFUNCTION("""COMPUTED_VALUE"""),59549.75)</f>
        <v>59549.75</v>
      </c>
      <c r="I1133" s="87"/>
    </row>
    <row r="1134">
      <c r="A1134" s="46" t="str">
        <f>IFERROR(__xludf.DUMMYFUNCTION("""COMPUTED_VALUE"""),"Europe")</f>
        <v>Europe</v>
      </c>
      <c r="B1134" s="46" t="str">
        <f>IFERROR(__xludf.DUMMYFUNCTION("""COMPUTED_VALUE"""),"Austria")</f>
        <v>Austria</v>
      </c>
      <c r="C1134" s="46" t="str">
        <f>IFERROR(__xludf.DUMMYFUNCTION("""COMPUTED_VALUE"""),"Office Supplies")</f>
        <v>Office Supplies</v>
      </c>
      <c r="D1134" s="46">
        <f>IFERROR(__xludf.DUMMYFUNCTION("""COMPUTED_VALUE"""),16.0)</f>
        <v>16</v>
      </c>
      <c r="E1134" s="46">
        <f>IFERROR(__xludf.DUMMYFUNCTION("""COMPUTED_VALUE"""),8.61252868E8)</f>
        <v>861252868</v>
      </c>
      <c r="F1134" s="84">
        <f>IFERROR(__xludf.DUMMYFUNCTION("""COMPUTED_VALUE"""),1769337.57)</f>
        <v>1769337.57</v>
      </c>
      <c r="I1134" s="87"/>
    </row>
    <row r="1135">
      <c r="A1135" s="46" t="str">
        <f>IFERROR(__xludf.DUMMYFUNCTION("""COMPUTED_VALUE"""),"Europe")</f>
        <v>Europe</v>
      </c>
      <c r="B1135" s="46" t="str">
        <f>IFERROR(__xludf.DUMMYFUNCTION("""COMPUTED_VALUE"""),"Sweden")</f>
        <v>Sweden</v>
      </c>
      <c r="C1135" s="46" t="str">
        <f>IFERROR(__xludf.DUMMYFUNCTION("""COMPUTED_VALUE"""),"Personal Care")</f>
        <v>Personal Care</v>
      </c>
      <c r="D1135" s="46">
        <f>IFERROR(__xludf.DUMMYFUNCTION("""COMPUTED_VALUE"""),8.0)</f>
        <v>8</v>
      </c>
      <c r="E1135" s="46">
        <f>IFERROR(__xludf.DUMMYFUNCTION("""COMPUTED_VALUE"""),8.6197685E8)</f>
        <v>861976850</v>
      </c>
      <c r="F1135" s="84">
        <f>IFERROR(__xludf.DUMMYFUNCTION("""COMPUTED_VALUE"""),568840.8)</f>
        <v>568840.8</v>
      </c>
      <c r="I1135" s="87"/>
    </row>
    <row r="1136">
      <c r="A1136" s="46" t="str">
        <f>IFERROR(__xludf.DUMMYFUNCTION("""COMPUTED_VALUE"""),"Europe")</f>
        <v>Europe</v>
      </c>
      <c r="B1136" s="46" t="str">
        <f>IFERROR(__xludf.DUMMYFUNCTION("""COMPUTED_VALUE"""),"Norway")</f>
        <v>Norway</v>
      </c>
      <c r="C1136" s="46" t="str">
        <f>IFERROR(__xludf.DUMMYFUNCTION("""COMPUTED_VALUE"""),"Snacks")</f>
        <v>Snacks</v>
      </c>
      <c r="D1136" s="46">
        <f>IFERROR(__xludf.DUMMYFUNCTION("""COMPUTED_VALUE"""),49.0)</f>
        <v>49</v>
      </c>
      <c r="E1136" s="46">
        <f>IFERROR(__xludf.DUMMYFUNCTION("""COMPUTED_VALUE"""),8.61982858E8)</f>
        <v>861982858</v>
      </c>
      <c r="F1136" s="84">
        <f>IFERROR(__xludf.DUMMYFUNCTION("""COMPUTED_VALUE"""),1333244.04)</f>
        <v>1333244.04</v>
      </c>
      <c r="I1136" s="87"/>
    </row>
    <row r="1137">
      <c r="A1137" s="46" t="str">
        <f>IFERROR(__xludf.DUMMYFUNCTION("""COMPUTED_VALUE"""),"Europe")</f>
        <v>Europe</v>
      </c>
      <c r="B1137" s="46" t="str">
        <f>IFERROR(__xludf.DUMMYFUNCTION("""COMPUTED_VALUE"""),"Latvia")</f>
        <v>Latvia</v>
      </c>
      <c r="C1137" s="46" t="str">
        <f>IFERROR(__xludf.DUMMYFUNCTION("""COMPUTED_VALUE"""),"Beverages")</f>
        <v>Beverages</v>
      </c>
      <c r="D1137" s="46">
        <f>IFERROR(__xludf.DUMMYFUNCTION("""COMPUTED_VALUE"""),26.0)</f>
        <v>26</v>
      </c>
      <c r="E1137" s="46">
        <f>IFERROR(__xludf.DUMMYFUNCTION("""COMPUTED_VALUE"""),8.6232661E8)</f>
        <v>862326610</v>
      </c>
      <c r="F1137" s="84">
        <f>IFERROR(__xludf.DUMMYFUNCTION("""COMPUTED_VALUE"""),21874.45)</f>
        <v>21874.45</v>
      </c>
      <c r="I1137" s="87"/>
    </row>
    <row r="1138">
      <c r="A1138" s="46" t="str">
        <f>IFERROR(__xludf.DUMMYFUNCTION("""COMPUTED_VALUE"""),"Europe")</f>
        <v>Europe</v>
      </c>
      <c r="B1138" s="46" t="str">
        <f>IFERROR(__xludf.DUMMYFUNCTION("""COMPUTED_VALUE"""),"Ukraine")</f>
        <v>Ukraine</v>
      </c>
      <c r="C1138" s="46" t="str">
        <f>IFERROR(__xludf.DUMMYFUNCTION("""COMPUTED_VALUE"""),"Office Supplies")</f>
        <v>Office Supplies</v>
      </c>
      <c r="D1138" s="46">
        <f>IFERROR(__xludf.DUMMYFUNCTION("""COMPUTED_VALUE"""),41.0)</f>
        <v>41</v>
      </c>
      <c r="E1138" s="46">
        <f>IFERROR(__xludf.DUMMYFUNCTION("""COMPUTED_VALUE"""),8.62485826E8)</f>
        <v>862485826</v>
      </c>
      <c r="F1138" s="84">
        <f>IFERROR(__xludf.DUMMYFUNCTION("""COMPUTED_VALUE"""),4934218.17)</f>
        <v>4934218.17</v>
      </c>
      <c r="I1138" s="87"/>
    </row>
    <row r="1139">
      <c r="A1139" s="46" t="str">
        <f>IFERROR(__xludf.DUMMYFUNCTION("""COMPUTED_VALUE"""),"Europe")</f>
        <v>Europe</v>
      </c>
      <c r="B1139" s="46" t="str">
        <f>IFERROR(__xludf.DUMMYFUNCTION("""COMPUTED_VALUE"""),"Albania")</f>
        <v>Albania</v>
      </c>
      <c r="C1139" s="46" t="str">
        <f>IFERROR(__xludf.DUMMYFUNCTION("""COMPUTED_VALUE"""),"Meat")</f>
        <v>Meat</v>
      </c>
      <c r="D1139" s="46">
        <f>IFERROR(__xludf.DUMMYFUNCTION("""COMPUTED_VALUE"""),39.0)</f>
        <v>39</v>
      </c>
      <c r="E1139" s="46">
        <f>IFERROR(__xludf.DUMMYFUNCTION("""COMPUTED_VALUE"""),8.63138997E8)</f>
        <v>863138997</v>
      </c>
      <c r="F1139" s="84">
        <f>IFERROR(__xludf.DUMMYFUNCTION("""COMPUTED_VALUE"""),364934.85)</f>
        <v>364934.85</v>
      </c>
      <c r="I1139" s="87"/>
    </row>
    <row r="1140">
      <c r="A1140" s="46" t="str">
        <f>IFERROR(__xludf.DUMMYFUNCTION("""COMPUTED_VALUE"""),"Europe")</f>
        <v>Europe</v>
      </c>
      <c r="B1140" s="46" t="str">
        <f>IFERROR(__xludf.DUMMYFUNCTION("""COMPUTED_VALUE"""),"Sweden")</f>
        <v>Sweden</v>
      </c>
      <c r="C1140" s="46" t="str">
        <f>IFERROR(__xludf.DUMMYFUNCTION("""COMPUTED_VALUE"""),"Meat")</f>
        <v>Meat</v>
      </c>
      <c r="D1140" s="46">
        <f>IFERROR(__xludf.DUMMYFUNCTION("""COMPUTED_VALUE"""),1.0)</f>
        <v>1</v>
      </c>
      <c r="E1140" s="46">
        <f>IFERROR(__xludf.DUMMYFUNCTION("""COMPUTED_VALUE"""),8.63202941E8)</f>
        <v>863202941</v>
      </c>
      <c r="F1140" s="84">
        <f>IFERROR(__xludf.DUMMYFUNCTION("""COMPUTED_VALUE"""),4129037.4299999997)</f>
        <v>4129037.43</v>
      </c>
      <c r="I1140" s="87"/>
    </row>
    <row r="1141">
      <c r="A1141" s="46" t="str">
        <f>IFERROR(__xludf.DUMMYFUNCTION("""COMPUTED_VALUE"""),"Europe")</f>
        <v>Europe</v>
      </c>
      <c r="B1141" s="46" t="str">
        <f>IFERROR(__xludf.DUMMYFUNCTION("""COMPUTED_VALUE"""),"Latvia")</f>
        <v>Latvia</v>
      </c>
      <c r="C1141" s="46" t="str">
        <f>IFERROR(__xludf.DUMMYFUNCTION("""COMPUTED_VALUE"""),"Household")</f>
        <v>Household</v>
      </c>
      <c r="D1141" s="46">
        <f>IFERROR(__xludf.DUMMYFUNCTION("""COMPUTED_VALUE"""),7.0)</f>
        <v>7</v>
      </c>
      <c r="E1141" s="46">
        <f>IFERROR(__xludf.DUMMYFUNCTION("""COMPUTED_VALUE"""),8.63890445E8)</f>
        <v>863890445</v>
      </c>
      <c r="F1141" s="84">
        <f>IFERROR(__xludf.DUMMYFUNCTION("""COMPUTED_VALUE"""),2161853.4499999997)</f>
        <v>2161853.45</v>
      </c>
      <c r="I1141" s="87"/>
    </row>
    <row r="1142">
      <c r="A1142" s="46" t="str">
        <f>IFERROR(__xludf.DUMMYFUNCTION("""COMPUTED_VALUE"""),"Europe")</f>
        <v>Europe</v>
      </c>
      <c r="B1142" s="46" t="str">
        <f>IFERROR(__xludf.DUMMYFUNCTION("""COMPUTED_VALUE"""),"Romania")</f>
        <v>Romania</v>
      </c>
      <c r="C1142" s="46" t="str">
        <f>IFERROR(__xludf.DUMMYFUNCTION("""COMPUTED_VALUE"""),"Beverages")</f>
        <v>Beverages</v>
      </c>
      <c r="D1142" s="46">
        <f>IFERROR(__xludf.DUMMYFUNCTION("""COMPUTED_VALUE"""),8.0)</f>
        <v>8</v>
      </c>
      <c r="E1142" s="46">
        <f>IFERROR(__xludf.DUMMYFUNCTION("""COMPUTED_VALUE"""),8.64071118E8)</f>
        <v>864071118</v>
      </c>
      <c r="F1142" s="84">
        <f>IFERROR(__xludf.DUMMYFUNCTION("""COMPUTED_VALUE"""),317915.0)</f>
        <v>317915</v>
      </c>
      <c r="I1142" s="87"/>
    </row>
    <row r="1143">
      <c r="A1143" s="46" t="str">
        <f>IFERROR(__xludf.DUMMYFUNCTION("""COMPUTED_VALUE"""),"Europe")</f>
        <v>Europe</v>
      </c>
      <c r="B1143" s="46" t="str">
        <f>IFERROR(__xludf.DUMMYFUNCTION("""COMPUTED_VALUE"""),"Czech Republic")</f>
        <v>Czech Republic</v>
      </c>
      <c r="C1143" s="46" t="str">
        <f>IFERROR(__xludf.DUMMYFUNCTION("""COMPUTED_VALUE"""),"Office Supplies")</f>
        <v>Office Supplies</v>
      </c>
      <c r="D1143" s="46">
        <f>IFERROR(__xludf.DUMMYFUNCTION("""COMPUTED_VALUE"""),5.0)</f>
        <v>5</v>
      </c>
      <c r="E1143" s="46">
        <f>IFERROR(__xludf.DUMMYFUNCTION("""COMPUTED_VALUE"""),8.6582421E8)</f>
        <v>865824210</v>
      </c>
      <c r="F1143" s="84">
        <f>IFERROR(__xludf.DUMMYFUNCTION("""COMPUTED_VALUE"""),3567979.5900000003)</f>
        <v>3567979.59</v>
      </c>
      <c r="I1143" s="87"/>
    </row>
    <row r="1144">
      <c r="A1144" s="46" t="str">
        <f>IFERROR(__xludf.DUMMYFUNCTION("""COMPUTED_VALUE"""),"Europe")</f>
        <v>Europe</v>
      </c>
      <c r="B1144" s="46" t="str">
        <f>IFERROR(__xludf.DUMMYFUNCTION("""COMPUTED_VALUE"""),"Austria")</f>
        <v>Austria</v>
      </c>
      <c r="C1144" s="46" t="str">
        <f>IFERROR(__xludf.DUMMYFUNCTION("""COMPUTED_VALUE"""),"Meat")</f>
        <v>Meat</v>
      </c>
      <c r="D1144" s="46">
        <f>IFERROR(__xludf.DUMMYFUNCTION("""COMPUTED_VALUE"""),10.0)</f>
        <v>10</v>
      </c>
      <c r="E1144" s="46">
        <f>IFERROR(__xludf.DUMMYFUNCTION("""COMPUTED_VALUE"""),8.66396272E8)</f>
        <v>866396272</v>
      </c>
      <c r="F1144" s="84">
        <f>IFERROR(__xludf.DUMMYFUNCTION("""COMPUTED_VALUE"""),2010305.8499999999)</f>
        <v>2010305.85</v>
      </c>
      <c r="I1144" s="87"/>
    </row>
    <row r="1145">
      <c r="A1145" s="46" t="str">
        <f>IFERROR(__xludf.DUMMYFUNCTION("""COMPUTED_VALUE"""),"Europe")</f>
        <v>Europe</v>
      </c>
      <c r="B1145" s="46" t="str">
        <f>IFERROR(__xludf.DUMMYFUNCTION("""COMPUTED_VALUE"""),"France")</f>
        <v>France</v>
      </c>
      <c r="C1145" s="46" t="str">
        <f>IFERROR(__xludf.DUMMYFUNCTION("""COMPUTED_VALUE"""),"Office Supplies")</f>
        <v>Office Supplies</v>
      </c>
      <c r="D1145" s="46">
        <f>IFERROR(__xludf.DUMMYFUNCTION("""COMPUTED_VALUE"""),23.0)</f>
        <v>23</v>
      </c>
      <c r="E1145" s="46">
        <f>IFERROR(__xludf.DUMMYFUNCTION("""COMPUTED_VALUE"""),8.67138278E8)</f>
        <v>867138278</v>
      </c>
      <c r="F1145" s="84">
        <f>IFERROR(__xludf.DUMMYFUNCTION("""COMPUTED_VALUE"""),2826902.6100000003)</f>
        <v>2826902.61</v>
      </c>
      <c r="I1145" s="87"/>
    </row>
    <row r="1146">
      <c r="A1146" s="46" t="str">
        <f>IFERROR(__xludf.DUMMYFUNCTION("""COMPUTED_VALUE"""),"Europe")</f>
        <v>Europe</v>
      </c>
      <c r="B1146" s="46" t="str">
        <f>IFERROR(__xludf.DUMMYFUNCTION("""COMPUTED_VALUE"""),"Switzerland")</f>
        <v>Switzerland</v>
      </c>
      <c r="C1146" s="46" t="str">
        <f>IFERROR(__xludf.DUMMYFUNCTION("""COMPUTED_VALUE"""),"Household")</f>
        <v>Household</v>
      </c>
      <c r="D1146" s="46">
        <f>IFERROR(__xludf.DUMMYFUNCTION("""COMPUTED_VALUE"""),33.0)</f>
        <v>33</v>
      </c>
      <c r="E1146" s="46">
        <f>IFERROR(__xludf.DUMMYFUNCTION("""COMPUTED_VALUE"""),8.6929177E8)</f>
        <v>869291770</v>
      </c>
      <c r="F1146" s="84">
        <f>IFERROR(__xludf.DUMMYFUNCTION("""COMPUTED_VALUE"""),1073909.89)</f>
        <v>1073909.89</v>
      </c>
      <c r="I1146" s="87"/>
    </row>
    <row r="1147">
      <c r="A1147" s="46" t="str">
        <f>IFERROR(__xludf.DUMMYFUNCTION("""COMPUTED_VALUE"""),"Europe")</f>
        <v>Europe</v>
      </c>
      <c r="B1147" s="46" t="str">
        <f>IFERROR(__xludf.DUMMYFUNCTION("""COMPUTED_VALUE"""),"Austria")</f>
        <v>Austria</v>
      </c>
      <c r="C1147" s="46" t="str">
        <f>IFERROR(__xludf.DUMMYFUNCTION("""COMPUTED_VALUE"""),"Clothes")</f>
        <v>Clothes</v>
      </c>
      <c r="D1147" s="46">
        <f>IFERROR(__xludf.DUMMYFUNCTION("""COMPUTED_VALUE"""),7.0)</f>
        <v>7</v>
      </c>
      <c r="E1147" s="46">
        <f>IFERROR(__xludf.DUMMYFUNCTION("""COMPUTED_VALUE"""),8.70173251E8)</f>
        <v>870173251</v>
      </c>
      <c r="F1147" s="84">
        <f>IFERROR(__xludf.DUMMYFUNCTION("""COMPUTED_VALUE"""),268500.96)</f>
        <v>268500.96</v>
      </c>
      <c r="I1147" s="87"/>
    </row>
    <row r="1148">
      <c r="A1148" s="46" t="str">
        <f>IFERROR(__xludf.DUMMYFUNCTION("""COMPUTED_VALUE"""),"Europe")</f>
        <v>Europe</v>
      </c>
      <c r="B1148" s="46" t="str">
        <f>IFERROR(__xludf.DUMMYFUNCTION("""COMPUTED_VALUE"""),"Latvia")</f>
        <v>Latvia</v>
      </c>
      <c r="C1148" s="46" t="str">
        <f>IFERROR(__xludf.DUMMYFUNCTION("""COMPUTED_VALUE"""),"Fruits")</f>
        <v>Fruits</v>
      </c>
      <c r="D1148" s="46">
        <f>IFERROR(__xludf.DUMMYFUNCTION("""COMPUTED_VALUE"""),8.0)</f>
        <v>8</v>
      </c>
      <c r="E1148" s="46">
        <f>IFERROR(__xludf.DUMMYFUNCTION("""COMPUTED_VALUE"""),8.70218312E8)</f>
        <v>870218312</v>
      </c>
      <c r="F1148" s="84">
        <f>IFERROR(__xludf.DUMMYFUNCTION("""COMPUTED_VALUE"""),54039.36)</f>
        <v>54039.36</v>
      </c>
      <c r="I1148" s="87"/>
    </row>
    <row r="1149">
      <c r="A1149" s="46" t="str">
        <f>IFERROR(__xludf.DUMMYFUNCTION("""COMPUTED_VALUE"""),"Europe")</f>
        <v>Europe</v>
      </c>
      <c r="B1149" s="46" t="str">
        <f>IFERROR(__xludf.DUMMYFUNCTION("""COMPUTED_VALUE"""),"San Marino")</f>
        <v>San Marino</v>
      </c>
      <c r="C1149" s="46" t="str">
        <f>IFERROR(__xludf.DUMMYFUNCTION("""COMPUTED_VALUE"""),"Household")</f>
        <v>Household</v>
      </c>
      <c r="D1149" s="46">
        <f>IFERROR(__xludf.DUMMYFUNCTION("""COMPUTED_VALUE"""),13.0)</f>
        <v>13</v>
      </c>
      <c r="E1149" s="46">
        <f>IFERROR(__xludf.DUMMYFUNCTION("""COMPUTED_VALUE"""),8.71147E8)</f>
        <v>871147000</v>
      </c>
      <c r="F1149" s="84">
        <f>IFERROR(__xludf.DUMMYFUNCTION("""COMPUTED_VALUE"""),408312.97)</f>
        <v>408312.97</v>
      </c>
      <c r="I1149" s="87"/>
    </row>
    <row r="1150">
      <c r="A1150" s="46" t="str">
        <f>IFERROR(__xludf.DUMMYFUNCTION("""COMPUTED_VALUE"""),"Europe")</f>
        <v>Europe</v>
      </c>
      <c r="B1150" s="46" t="str">
        <f>IFERROR(__xludf.DUMMYFUNCTION("""COMPUTED_VALUE"""),"Bosnia and Herzegovina")</f>
        <v>Bosnia and Herzegovina</v>
      </c>
      <c r="C1150" s="46" t="str">
        <f>IFERROR(__xludf.DUMMYFUNCTION("""COMPUTED_VALUE"""),"Baby Food")</f>
        <v>Baby Food</v>
      </c>
      <c r="D1150" s="46">
        <f>IFERROR(__xludf.DUMMYFUNCTION("""COMPUTED_VALUE"""),30.0)</f>
        <v>30</v>
      </c>
      <c r="E1150" s="46">
        <f>IFERROR(__xludf.DUMMYFUNCTION("""COMPUTED_VALUE"""),8.71923768E8)</f>
        <v>871923768</v>
      </c>
      <c r="F1150" s="84">
        <f>IFERROR(__xludf.DUMMYFUNCTION("""COMPUTED_VALUE"""),121002.72)</f>
        <v>121002.72</v>
      </c>
      <c r="I1150" s="87"/>
    </row>
    <row r="1151">
      <c r="A1151" s="46" t="str">
        <f>IFERROR(__xludf.DUMMYFUNCTION("""COMPUTED_VALUE"""),"Europe")</f>
        <v>Europe</v>
      </c>
      <c r="B1151" s="46" t="str">
        <f>IFERROR(__xludf.DUMMYFUNCTION("""COMPUTED_VALUE"""),"Slovenia")</f>
        <v>Slovenia</v>
      </c>
      <c r="C1151" s="46" t="str">
        <f>IFERROR(__xludf.DUMMYFUNCTION("""COMPUTED_VALUE"""),"Household")</f>
        <v>Household</v>
      </c>
      <c r="D1151" s="46">
        <f>IFERROR(__xludf.DUMMYFUNCTION("""COMPUTED_VALUE"""),7.0)</f>
        <v>7</v>
      </c>
      <c r="E1151" s="46">
        <f>IFERROR(__xludf.DUMMYFUNCTION("""COMPUTED_VALUE"""),8.73432672E8)</f>
        <v>873432672</v>
      </c>
      <c r="F1151" s="84">
        <f>IFERROR(__xludf.DUMMYFUNCTION("""COMPUTED_VALUE"""),4672543.84)</f>
        <v>4672543.84</v>
      </c>
      <c r="I1151" s="87"/>
    </row>
    <row r="1152">
      <c r="A1152" s="46" t="str">
        <f>IFERROR(__xludf.DUMMYFUNCTION("""COMPUTED_VALUE"""),"Europe")</f>
        <v>Europe</v>
      </c>
      <c r="B1152" s="46" t="str">
        <f>IFERROR(__xludf.DUMMYFUNCTION("""COMPUTED_VALUE"""),"Germany")</f>
        <v>Germany</v>
      </c>
      <c r="C1152" s="46" t="str">
        <f>IFERROR(__xludf.DUMMYFUNCTION("""COMPUTED_VALUE"""),"Household")</f>
        <v>Household</v>
      </c>
      <c r="D1152" s="46">
        <f>IFERROR(__xludf.DUMMYFUNCTION("""COMPUTED_VALUE"""),42.0)</f>
        <v>42</v>
      </c>
      <c r="E1152" s="46">
        <f>IFERROR(__xludf.DUMMYFUNCTION("""COMPUTED_VALUE"""),8.74172532E8)</f>
        <v>874172532</v>
      </c>
      <c r="F1152" s="84">
        <f>IFERROR(__xludf.DUMMYFUNCTION("""COMPUTED_VALUE"""),3964845.9099999997)</f>
        <v>3964845.91</v>
      </c>
      <c r="I1152" s="87"/>
    </row>
    <row r="1153">
      <c r="A1153" s="46" t="str">
        <f>IFERROR(__xludf.DUMMYFUNCTION("""COMPUTED_VALUE"""),"Asia")</f>
        <v>Asia</v>
      </c>
      <c r="B1153" s="46" t="str">
        <f>IFERROR(__xludf.DUMMYFUNCTION("""COMPUTED_VALUE"""),"Cyprus")</f>
        <v>Cyprus</v>
      </c>
      <c r="C1153" s="46" t="str">
        <f>IFERROR(__xludf.DUMMYFUNCTION("""COMPUTED_VALUE"""),"Beverages")</f>
        <v>Beverages</v>
      </c>
      <c r="D1153" s="46">
        <f>IFERROR(__xludf.DUMMYFUNCTION("""COMPUTED_VALUE"""),27.0)</f>
        <v>27</v>
      </c>
      <c r="E1153" s="46">
        <f>IFERROR(__xludf.DUMMYFUNCTION("""COMPUTED_VALUE"""),8.74349772E8)</f>
        <v>874349772</v>
      </c>
      <c r="F1153" s="84">
        <f>IFERROR(__xludf.DUMMYFUNCTION("""COMPUTED_VALUE"""),397773.35000000003)</f>
        <v>397773.35</v>
      </c>
      <c r="I1153" s="87"/>
    </row>
    <row r="1154">
      <c r="A1154" s="46" t="str">
        <f>IFERROR(__xludf.DUMMYFUNCTION("""COMPUTED_VALUE"""),"Europe")</f>
        <v>Europe</v>
      </c>
      <c r="B1154" s="46" t="str">
        <f>IFERROR(__xludf.DUMMYFUNCTION("""COMPUTED_VALUE"""),"San Marino")</f>
        <v>San Marino</v>
      </c>
      <c r="C1154" s="46" t="str">
        <f>IFERROR(__xludf.DUMMYFUNCTION("""COMPUTED_VALUE"""),"Fruits")</f>
        <v>Fruits</v>
      </c>
      <c r="D1154" s="46">
        <f>IFERROR(__xludf.DUMMYFUNCTION("""COMPUTED_VALUE"""),12.0)</f>
        <v>12</v>
      </c>
      <c r="E1154" s="46">
        <f>IFERROR(__xludf.DUMMYFUNCTION("""COMPUTED_VALUE"""),8.75220096E8)</f>
        <v>875220096</v>
      </c>
      <c r="F1154" s="84">
        <f>IFERROR(__xludf.DUMMYFUNCTION("""COMPUTED_VALUE"""),55326.9)</f>
        <v>55326.9</v>
      </c>
      <c r="I1154" s="87"/>
    </row>
    <row r="1155">
      <c r="A1155" s="46" t="str">
        <f>IFERROR(__xludf.DUMMYFUNCTION("""COMPUTED_VALUE"""),"Europe")</f>
        <v>Europe</v>
      </c>
      <c r="B1155" s="46" t="str">
        <f>IFERROR(__xludf.DUMMYFUNCTION("""COMPUTED_VALUE"""),"Slovakia")</f>
        <v>Slovakia</v>
      </c>
      <c r="C1155" s="46" t="str">
        <f>IFERROR(__xludf.DUMMYFUNCTION("""COMPUTED_VALUE"""),"Meat")</f>
        <v>Meat</v>
      </c>
      <c r="D1155" s="46">
        <f>IFERROR(__xludf.DUMMYFUNCTION("""COMPUTED_VALUE"""),21.0)</f>
        <v>21</v>
      </c>
      <c r="E1155" s="46">
        <f>IFERROR(__xludf.DUMMYFUNCTION("""COMPUTED_VALUE"""),8.76856458E8)</f>
        <v>876856458</v>
      </c>
      <c r="F1155" s="84">
        <f>IFERROR(__xludf.DUMMYFUNCTION("""COMPUTED_VALUE"""),70033.73999999999)</f>
        <v>70033.74</v>
      </c>
      <c r="I1155" s="87"/>
    </row>
    <row r="1156">
      <c r="A1156" s="46" t="str">
        <f>IFERROR(__xludf.DUMMYFUNCTION("""COMPUTED_VALUE"""),"Europe")</f>
        <v>Europe</v>
      </c>
      <c r="B1156" s="46" t="str">
        <f>IFERROR(__xludf.DUMMYFUNCTION("""COMPUTED_VALUE"""),"Albania")</f>
        <v>Albania</v>
      </c>
      <c r="C1156" s="46" t="str">
        <f>IFERROR(__xludf.DUMMYFUNCTION("""COMPUTED_VALUE"""),"Beverages")</f>
        <v>Beverages</v>
      </c>
      <c r="D1156" s="46">
        <f>IFERROR(__xludf.DUMMYFUNCTION("""COMPUTED_VALUE"""),20.0)</f>
        <v>20</v>
      </c>
      <c r="E1156" s="46">
        <f>IFERROR(__xludf.DUMMYFUNCTION("""COMPUTED_VALUE"""),8.77062451E8)</f>
        <v>877062451</v>
      </c>
      <c r="F1156" s="84">
        <f>IFERROR(__xludf.DUMMYFUNCTION("""COMPUTED_VALUE"""),53333.8)</f>
        <v>53333.8</v>
      </c>
      <c r="I1156" s="87"/>
    </row>
    <row r="1157">
      <c r="A1157" s="46" t="str">
        <f>IFERROR(__xludf.DUMMYFUNCTION("""COMPUTED_VALUE"""),"Europe")</f>
        <v>Europe</v>
      </c>
      <c r="B1157" s="46" t="str">
        <f>IFERROR(__xludf.DUMMYFUNCTION("""COMPUTED_VALUE"""),"Switzerland")</f>
        <v>Switzerland</v>
      </c>
      <c r="C1157" s="46" t="str">
        <f>IFERROR(__xludf.DUMMYFUNCTION("""COMPUTED_VALUE"""),"Meat")</f>
        <v>Meat</v>
      </c>
      <c r="D1157" s="46">
        <f>IFERROR(__xludf.DUMMYFUNCTION("""COMPUTED_VALUE"""),49.0)</f>
        <v>49</v>
      </c>
      <c r="E1157" s="46">
        <f>IFERROR(__xludf.DUMMYFUNCTION("""COMPUTED_VALUE"""),8.77084767E8)</f>
        <v>877084767</v>
      </c>
      <c r="F1157" s="84">
        <f>IFERROR(__xludf.DUMMYFUNCTION("""COMPUTED_VALUE"""),3260365.92)</f>
        <v>3260365.92</v>
      </c>
      <c r="I1157" s="87"/>
    </row>
    <row r="1158">
      <c r="A1158" s="46" t="str">
        <f>IFERROR(__xludf.DUMMYFUNCTION("""COMPUTED_VALUE"""),"Europe")</f>
        <v>Europe</v>
      </c>
      <c r="B1158" s="46" t="str">
        <f>IFERROR(__xludf.DUMMYFUNCTION("""COMPUTED_VALUE"""),"Slovakia")</f>
        <v>Slovakia</v>
      </c>
      <c r="C1158" s="46" t="str">
        <f>IFERROR(__xludf.DUMMYFUNCTION("""COMPUTED_VALUE"""),"Personal Care")</f>
        <v>Personal Care</v>
      </c>
      <c r="D1158" s="46">
        <f>IFERROR(__xludf.DUMMYFUNCTION("""COMPUTED_VALUE"""),46.0)</f>
        <v>46</v>
      </c>
      <c r="E1158" s="46">
        <f>IFERROR(__xludf.DUMMYFUNCTION("""COMPUTED_VALUE"""),8.77687728E8)</f>
        <v>877687728</v>
      </c>
      <c r="F1158" s="84">
        <f>IFERROR(__xludf.DUMMYFUNCTION("""COMPUTED_VALUE"""),503293.34)</f>
        <v>503293.34</v>
      </c>
      <c r="I1158" s="87"/>
    </row>
    <row r="1159">
      <c r="A1159" s="46" t="str">
        <f>IFERROR(__xludf.DUMMYFUNCTION("""COMPUTED_VALUE"""),"Europe")</f>
        <v>Europe</v>
      </c>
      <c r="B1159" s="46" t="str">
        <f>IFERROR(__xludf.DUMMYFUNCTION("""COMPUTED_VALUE"""),"Iceland")</f>
        <v>Iceland</v>
      </c>
      <c r="C1159" s="46" t="str">
        <f>IFERROR(__xludf.DUMMYFUNCTION("""COMPUTED_VALUE"""),"Cosmetics")</f>
        <v>Cosmetics</v>
      </c>
      <c r="D1159" s="46">
        <f>IFERROR(__xludf.DUMMYFUNCTION("""COMPUTED_VALUE"""),21.0)</f>
        <v>21</v>
      </c>
      <c r="E1159" s="46">
        <f>IFERROR(__xludf.DUMMYFUNCTION("""COMPUTED_VALUE"""),8.7861427E8)</f>
        <v>878614270</v>
      </c>
      <c r="F1159" s="84">
        <f>IFERROR(__xludf.DUMMYFUNCTION("""COMPUTED_VALUE"""),149522.4)</f>
        <v>149522.4</v>
      </c>
      <c r="I1159" s="87"/>
    </row>
    <row r="1160">
      <c r="A1160" s="46" t="str">
        <f>IFERROR(__xludf.DUMMYFUNCTION("""COMPUTED_VALUE"""),"Europe")</f>
        <v>Europe</v>
      </c>
      <c r="B1160" s="46" t="str">
        <f>IFERROR(__xludf.DUMMYFUNCTION("""COMPUTED_VALUE"""),"Belarus")</f>
        <v>Belarus</v>
      </c>
      <c r="C1160" s="46" t="str">
        <f>IFERROR(__xludf.DUMMYFUNCTION("""COMPUTED_VALUE"""),"Beverages")</f>
        <v>Beverages</v>
      </c>
      <c r="D1160" s="46">
        <f>IFERROR(__xludf.DUMMYFUNCTION("""COMPUTED_VALUE"""),47.0)</f>
        <v>47</v>
      </c>
      <c r="E1160" s="46">
        <f>IFERROR(__xludf.DUMMYFUNCTION("""COMPUTED_VALUE"""),8.794052E8)</f>
        <v>879405200</v>
      </c>
      <c r="F1160" s="84">
        <f>IFERROR(__xludf.DUMMYFUNCTION("""COMPUTED_VALUE"""),208590.2)</f>
        <v>208590.2</v>
      </c>
      <c r="I1160" s="87"/>
    </row>
    <row r="1161">
      <c r="A1161" s="46" t="str">
        <f>IFERROR(__xludf.DUMMYFUNCTION("""COMPUTED_VALUE"""),"Europe")</f>
        <v>Europe</v>
      </c>
      <c r="B1161" s="46" t="str">
        <f>IFERROR(__xludf.DUMMYFUNCTION("""COMPUTED_VALUE"""),"Lithuania")</f>
        <v>Lithuania</v>
      </c>
      <c r="C1161" s="46" t="str">
        <f>IFERROR(__xludf.DUMMYFUNCTION("""COMPUTED_VALUE"""),"Fruits")</f>
        <v>Fruits</v>
      </c>
      <c r="D1161" s="46">
        <f>IFERROR(__xludf.DUMMYFUNCTION("""COMPUTED_VALUE"""),17.0)</f>
        <v>17</v>
      </c>
      <c r="E1161" s="46">
        <f>IFERROR(__xludf.DUMMYFUNCTION("""COMPUTED_VALUE"""),8.79845082E8)</f>
        <v>879845082</v>
      </c>
      <c r="F1161" s="84">
        <f>IFERROR(__xludf.DUMMYFUNCTION("""COMPUTED_VALUE"""),42610.11)</f>
        <v>42610.11</v>
      </c>
      <c r="I1161" s="87"/>
    </row>
    <row r="1162">
      <c r="A1162" s="46" t="str">
        <f>IFERROR(__xludf.DUMMYFUNCTION("""COMPUTED_VALUE"""),"Europe")</f>
        <v>Europe</v>
      </c>
      <c r="B1162" s="46" t="str">
        <f>IFERROR(__xludf.DUMMYFUNCTION("""COMPUTED_VALUE"""),"Hungary")</f>
        <v>Hungary</v>
      </c>
      <c r="C1162" s="46" t="str">
        <f>IFERROR(__xludf.DUMMYFUNCTION("""COMPUTED_VALUE"""),"Baby Food")</f>
        <v>Baby Food</v>
      </c>
      <c r="D1162" s="46">
        <f>IFERROR(__xludf.DUMMYFUNCTION("""COMPUTED_VALUE"""),36.0)</f>
        <v>36</v>
      </c>
      <c r="E1162" s="46">
        <f>IFERROR(__xludf.DUMMYFUNCTION("""COMPUTED_VALUE"""),8.79923617E8)</f>
        <v>879923617</v>
      </c>
      <c r="F1162" s="84">
        <f>IFERROR(__xludf.DUMMYFUNCTION("""COMPUTED_VALUE"""),1992970.96)</f>
        <v>1992970.96</v>
      </c>
      <c r="I1162" s="87"/>
    </row>
    <row r="1163">
      <c r="A1163" s="46" t="str">
        <f>IFERROR(__xludf.DUMMYFUNCTION("""COMPUTED_VALUE"""),"Europe")</f>
        <v>Europe</v>
      </c>
      <c r="B1163" s="46" t="str">
        <f>IFERROR(__xludf.DUMMYFUNCTION("""COMPUTED_VALUE"""),"Poland")</f>
        <v>Poland</v>
      </c>
      <c r="C1163" s="46" t="str">
        <f>IFERROR(__xludf.DUMMYFUNCTION("""COMPUTED_VALUE"""),"Clothes")</f>
        <v>Clothes</v>
      </c>
      <c r="D1163" s="46">
        <f>IFERROR(__xludf.DUMMYFUNCTION("""COMPUTED_VALUE"""),14.0)</f>
        <v>14</v>
      </c>
      <c r="E1163" s="46">
        <f>IFERROR(__xludf.DUMMYFUNCTION("""COMPUTED_VALUE"""),8.80176818E8)</f>
        <v>880176818</v>
      </c>
      <c r="F1163" s="84">
        <f>IFERROR(__xludf.DUMMYFUNCTION("""COMPUTED_VALUE"""),298880.8)</f>
        <v>298880.8</v>
      </c>
      <c r="I1163" s="87"/>
    </row>
    <row r="1164">
      <c r="A1164" s="46" t="str">
        <f>IFERROR(__xludf.DUMMYFUNCTION("""COMPUTED_VALUE"""),"Europe")</f>
        <v>Europe</v>
      </c>
      <c r="B1164" s="46" t="str">
        <f>IFERROR(__xludf.DUMMYFUNCTION("""COMPUTED_VALUE"""),"San Marino")</f>
        <v>San Marino</v>
      </c>
      <c r="C1164" s="46" t="str">
        <f>IFERROR(__xludf.DUMMYFUNCTION("""COMPUTED_VALUE"""),"Office Supplies")</f>
        <v>Office Supplies</v>
      </c>
      <c r="D1164" s="46">
        <f>IFERROR(__xludf.DUMMYFUNCTION("""COMPUTED_VALUE"""),30.0)</f>
        <v>30</v>
      </c>
      <c r="E1164" s="46">
        <f>IFERROR(__xludf.DUMMYFUNCTION("""COMPUTED_VALUE"""),8.8119477E8)</f>
        <v>881194770</v>
      </c>
      <c r="F1164" s="84">
        <f>IFERROR(__xludf.DUMMYFUNCTION("""COMPUTED_VALUE"""),2584652.49)</f>
        <v>2584652.49</v>
      </c>
      <c r="I1164" s="87"/>
    </row>
    <row r="1165">
      <c r="A1165" s="46" t="str">
        <f>IFERROR(__xludf.DUMMYFUNCTION("""COMPUTED_VALUE"""),"Europe")</f>
        <v>Europe</v>
      </c>
      <c r="B1165" s="46" t="str">
        <f>IFERROR(__xludf.DUMMYFUNCTION("""COMPUTED_VALUE"""),"Belgium")</f>
        <v>Belgium</v>
      </c>
      <c r="C1165" s="46" t="str">
        <f>IFERROR(__xludf.DUMMYFUNCTION("""COMPUTED_VALUE"""),"Snacks")</f>
        <v>Snacks</v>
      </c>
      <c r="D1165" s="46">
        <f>IFERROR(__xludf.DUMMYFUNCTION("""COMPUTED_VALUE"""),31.0)</f>
        <v>31</v>
      </c>
      <c r="E1165" s="46">
        <f>IFERROR(__xludf.DUMMYFUNCTION("""COMPUTED_VALUE"""),8.8171705E8)</f>
        <v>881717050</v>
      </c>
      <c r="F1165" s="84">
        <f>IFERROR(__xludf.DUMMYFUNCTION("""COMPUTED_VALUE"""),1300591.9200000002)</f>
        <v>1300591.92</v>
      </c>
      <c r="I1165" s="87"/>
    </row>
    <row r="1166">
      <c r="A1166" s="46" t="str">
        <f>IFERROR(__xludf.DUMMYFUNCTION("""COMPUTED_VALUE"""),"Asia")</f>
        <v>Asia</v>
      </c>
      <c r="B1166" s="46" t="str">
        <f>IFERROR(__xludf.DUMMYFUNCTION("""COMPUTED_VALUE"""),"Armenia")</f>
        <v>Armenia</v>
      </c>
      <c r="C1166" s="46" t="str">
        <f>IFERROR(__xludf.DUMMYFUNCTION("""COMPUTED_VALUE"""),"Office Supplies")</f>
        <v>Office Supplies</v>
      </c>
      <c r="D1166" s="46">
        <f>IFERROR(__xludf.DUMMYFUNCTION("""COMPUTED_VALUE"""),36.0)</f>
        <v>36</v>
      </c>
      <c r="E1166" s="46">
        <f>IFERROR(__xludf.DUMMYFUNCTION("""COMPUTED_VALUE"""),8.83504474E8)</f>
        <v>883504474</v>
      </c>
      <c r="F1166" s="84">
        <f>IFERROR(__xludf.DUMMYFUNCTION("""COMPUTED_VALUE"""),4859329.0200000005)</f>
        <v>4859329.02</v>
      </c>
      <c r="I1166" s="87"/>
    </row>
    <row r="1167">
      <c r="A1167" s="46" t="str">
        <f>IFERROR(__xludf.DUMMYFUNCTION("""COMPUTED_VALUE"""),"Europe")</f>
        <v>Europe</v>
      </c>
      <c r="B1167" s="46" t="str">
        <f>IFERROR(__xludf.DUMMYFUNCTION("""COMPUTED_VALUE"""),"Finland")</f>
        <v>Finland</v>
      </c>
      <c r="C1167" s="46" t="str">
        <f>IFERROR(__xludf.DUMMYFUNCTION("""COMPUTED_VALUE"""),"Beverages")</f>
        <v>Beverages</v>
      </c>
      <c r="D1167" s="46">
        <f>IFERROR(__xludf.DUMMYFUNCTION("""COMPUTED_VALUE"""),31.0)</f>
        <v>31</v>
      </c>
      <c r="E1167" s="46">
        <f>IFERROR(__xludf.DUMMYFUNCTION("""COMPUTED_VALUE"""),8.84147775E8)</f>
        <v>884147775</v>
      </c>
      <c r="F1167" s="84">
        <f>IFERROR(__xludf.DUMMYFUNCTION("""COMPUTED_VALUE"""),371486.05000000005)</f>
        <v>371486.05</v>
      </c>
      <c r="I1167" s="87"/>
    </row>
    <row r="1168">
      <c r="A1168" s="46" t="str">
        <f>IFERROR(__xludf.DUMMYFUNCTION("""COMPUTED_VALUE"""),"Europe")</f>
        <v>Europe</v>
      </c>
      <c r="B1168" s="46" t="str">
        <f>IFERROR(__xludf.DUMMYFUNCTION("""COMPUTED_VALUE"""),"Norway")</f>
        <v>Norway</v>
      </c>
      <c r="C1168" s="46" t="str">
        <f>IFERROR(__xludf.DUMMYFUNCTION("""COMPUTED_VALUE"""),"Office Supplies")</f>
        <v>Office Supplies</v>
      </c>
      <c r="D1168" s="46">
        <f>IFERROR(__xludf.DUMMYFUNCTION("""COMPUTED_VALUE"""),32.0)</f>
        <v>32</v>
      </c>
      <c r="E1168" s="46">
        <f>IFERROR(__xludf.DUMMYFUNCTION("""COMPUTED_VALUE"""),8.84192836E8)</f>
        <v>884192836</v>
      </c>
      <c r="F1168" s="84">
        <f>IFERROR(__xludf.DUMMYFUNCTION("""COMPUTED_VALUE"""),758008.4400000001)</f>
        <v>758008.44</v>
      </c>
      <c r="I1168" s="87"/>
    </row>
    <row r="1169">
      <c r="A1169" s="46" t="str">
        <f>IFERROR(__xludf.DUMMYFUNCTION("""COMPUTED_VALUE"""),"Europe")</f>
        <v>Europe</v>
      </c>
      <c r="B1169" s="46" t="str">
        <f>IFERROR(__xludf.DUMMYFUNCTION("""COMPUTED_VALUE"""),"Romania")</f>
        <v>Romania</v>
      </c>
      <c r="C1169" s="46" t="str">
        <f>IFERROR(__xludf.DUMMYFUNCTION("""COMPUTED_VALUE"""),"Snacks")</f>
        <v>Snacks</v>
      </c>
      <c r="D1169" s="46">
        <f>IFERROR(__xludf.DUMMYFUNCTION("""COMPUTED_VALUE"""),45.0)</f>
        <v>45</v>
      </c>
      <c r="E1169" s="46">
        <f>IFERROR(__xludf.DUMMYFUNCTION("""COMPUTED_VALUE"""),8.84462773E8)</f>
        <v>884462773</v>
      </c>
      <c r="F1169" s="84">
        <f>IFERROR(__xludf.DUMMYFUNCTION("""COMPUTED_VALUE"""),159293.52000000002)</f>
        <v>159293.52</v>
      </c>
      <c r="I1169" s="87"/>
    </row>
    <row r="1170">
      <c r="A1170" s="46" t="str">
        <f>IFERROR(__xludf.DUMMYFUNCTION("""COMPUTED_VALUE"""),"Europe")</f>
        <v>Europe</v>
      </c>
      <c r="B1170" s="46" t="str">
        <f>IFERROR(__xludf.DUMMYFUNCTION("""COMPUTED_VALUE"""),"Czech Republic")</f>
        <v>Czech Republic</v>
      </c>
      <c r="C1170" s="46" t="str">
        <f>IFERROR(__xludf.DUMMYFUNCTION("""COMPUTED_VALUE"""),"Office Supplies")</f>
        <v>Office Supplies</v>
      </c>
      <c r="D1170" s="46">
        <f>IFERROR(__xludf.DUMMYFUNCTION("""COMPUTED_VALUE"""),30.0)</f>
        <v>30</v>
      </c>
      <c r="E1170" s="46">
        <f>IFERROR(__xludf.DUMMYFUNCTION("""COMPUTED_VALUE"""),8.85046851E8)</f>
        <v>885046851</v>
      </c>
      <c r="F1170" s="84">
        <f>IFERROR(__xludf.DUMMYFUNCTION("""COMPUTED_VALUE"""),2530602.06)</f>
        <v>2530602.06</v>
      </c>
      <c r="I1170" s="87"/>
    </row>
    <row r="1171">
      <c r="A1171" s="46" t="str">
        <f>IFERROR(__xludf.DUMMYFUNCTION("""COMPUTED_VALUE"""),"Europe")</f>
        <v>Europe</v>
      </c>
      <c r="B1171" s="46" t="str">
        <f>IFERROR(__xludf.DUMMYFUNCTION("""COMPUTED_VALUE"""),"Slovenia")</f>
        <v>Slovenia</v>
      </c>
      <c r="C1171" s="46" t="str">
        <f>IFERROR(__xludf.DUMMYFUNCTION("""COMPUTED_VALUE"""),"Meat")</f>
        <v>Meat</v>
      </c>
      <c r="D1171" s="46">
        <f>IFERROR(__xludf.DUMMYFUNCTION("""COMPUTED_VALUE"""),39.0)</f>
        <v>39</v>
      </c>
      <c r="E1171" s="46">
        <f>IFERROR(__xludf.DUMMYFUNCTION("""COMPUTED_VALUE"""),8.85397469E8)</f>
        <v>885397469</v>
      </c>
      <c r="F1171" s="84">
        <f>IFERROR(__xludf.DUMMYFUNCTION("""COMPUTED_VALUE"""),3224083.38)</f>
        <v>3224083.38</v>
      </c>
      <c r="I1171" s="87"/>
    </row>
    <row r="1172">
      <c r="A1172" s="46" t="str">
        <f>IFERROR(__xludf.DUMMYFUNCTION("""COMPUTED_VALUE"""),"Asia")</f>
        <v>Asia</v>
      </c>
      <c r="B1172" s="46" t="str">
        <f>IFERROR(__xludf.DUMMYFUNCTION("""COMPUTED_VALUE"""),"Armenia")</f>
        <v>Armenia</v>
      </c>
      <c r="C1172" s="46" t="str">
        <f>IFERROR(__xludf.DUMMYFUNCTION("""COMPUTED_VALUE"""),"Clothes")</f>
        <v>Clothes</v>
      </c>
      <c r="D1172" s="46">
        <f>IFERROR(__xludf.DUMMYFUNCTION("""COMPUTED_VALUE"""),7.0)</f>
        <v>7</v>
      </c>
      <c r="E1172" s="46">
        <f>IFERROR(__xludf.DUMMYFUNCTION("""COMPUTED_VALUE"""),8.85998284E8)</f>
        <v>885998284</v>
      </c>
      <c r="F1172" s="84">
        <f>IFERROR(__xludf.DUMMYFUNCTION("""COMPUTED_VALUE"""),594046.08)</f>
        <v>594046.08</v>
      </c>
      <c r="I1172" s="87"/>
    </row>
    <row r="1173">
      <c r="A1173" s="46" t="str">
        <f>IFERROR(__xludf.DUMMYFUNCTION("""COMPUTED_VALUE"""),"Europe")</f>
        <v>Europe</v>
      </c>
      <c r="B1173" s="46" t="str">
        <f>IFERROR(__xludf.DUMMYFUNCTION("""COMPUTED_VALUE"""),"Italy")</f>
        <v>Italy</v>
      </c>
      <c r="C1173" s="46" t="str">
        <f>IFERROR(__xludf.DUMMYFUNCTION("""COMPUTED_VALUE"""),"Office Supplies")</f>
        <v>Office Supplies</v>
      </c>
      <c r="D1173" s="46">
        <f>IFERROR(__xludf.DUMMYFUNCTION("""COMPUTED_VALUE"""),17.0)</f>
        <v>17</v>
      </c>
      <c r="E1173" s="46">
        <f>IFERROR(__xludf.DUMMYFUNCTION("""COMPUTED_VALUE"""),8.86620128E8)</f>
        <v>886620128</v>
      </c>
      <c r="F1173" s="84">
        <f>IFERROR(__xludf.DUMMYFUNCTION("""COMPUTED_VALUE"""),6155888.13)</f>
        <v>6155888.13</v>
      </c>
      <c r="I1173" s="87"/>
    </row>
    <row r="1174">
      <c r="A1174" s="46" t="str">
        <f>IFERROR(__xludf.DUMMYFUNCTION("""COMPUTED_VALUE"""),"Europe")</f>
        <v>Europe</v>
      </c>
      <c r="B1174" s="46" t="str">
        <f>IFERROR(__xludf.DUMMYFUNCTION("""COMPUTED_VALUE"""),"Slovenia")</f>
        <v>Slovenia</v>
      </c>
      <c r="C1174" s="46" t="str">
        <f>IFERROR(__xludf.DUMMYFUNCTION("""COMPUTED_VALUE"""),"Vegetables")</f>
        <v>Vegetables</v>
      </c>
      <c r="D1174" s="46">
        <f>IFERROR(__xludf.DUMMYFUNCTION("""COMPUTED_VALUE"""),36.0)</f>
        <v>36</v>
      </c>
      <c r="E1174" s="46">
        <f>IFERROR(__xludf.DUMMYFUNCTION("""COMPUTED_VALUE"""),8.86763894E8)</f>
        <v>886763894</v>
      </c>
      <c r="F1174" s="84">
        <f>IFERROR(__xludf.DUMMYFUNCTION("""COMPUTED_VALUE"""),307657.82)</f>
        <v>307657.82</v>
      </c>
      <c r="I1174" s="87"/>
    </row>
    <row r="1175">
      <c r="A1175" s="46" t="str">
        <f>IFERROR(__xludf.DUMMYFUNCTION("""COMPUTED_VALUE"""),"Europe")</f>
        <v>Europe</v>
      </c>
      <c r="B1175" s="46" t="str">
        <f>IFERROR(__xludf.DUMMYFUNCTION("""COMPUTED_VALUE"""),"United Kingdom")</f>
        <v>United Kingdom</v>
      </c>
      <c r="C1175" s="46" t="str">
        <f>IFERROR(__xludf.DUMMYFUNCTION("""COMPUTED_VALUE"""),"Cosmetics")</f>
        <v>Cosmetics</v>
      </c>
      <c r="D1175" s="46">
        <f>IFERROR(__xludf.DUMMYFUNCTION("""COMPUTED_VALUE"""),46.0)</f>
        <v>46</v>
      </c>
      <c r="E1175" s="46">
        <f>IFERROR(__xludf.DUMMYFUNCTION("""COMPUTED_VALUE"""),8.8750118E8)</f>
        <v>887501180</v>
      </c>
      <c r="F1175" s="84">
        <f>IFERROR(__xludf.DUMMYFUNCTION("""COMPUTED_VALUE"""),76947.2)</f>
        <v>76947.2</v>
      </c>
      <c r="I1175" s="87"/>
    </row>
    <row r="1176">
      <c r="A1176" s="46" t="str">
        <f>IFERROR(__xludf.DUMMYFUNCTION("""COMPUTED_VALUE"""),"Europe")</f>
        <v>Europe</v>
      </c>
      <c r="B1176" s="46" t="str">
        <f>IFERROR(__xludf.DUMMYFUNCTION("""COMPUTED_VALUE"""),"Finland")</f>
        <v>Finland</v>
      </c>
      <c r="C1176" s="46" t="str">
        <f>IFERROR(__xludf.DUMMYFUNCTION("""COMPUTED_VALUE"""),"Cereal")</f>
        <v>Cereal</v>
      </c>
      <c r="D1176" s="46">
        <f>IFERROR(__xludf.DUMMYFUNCTION("""COMPUTED_VALUE"""),40.0)</f>
        <v>40</v>
      </c>
      <c r="E1176" s="46">
        <f>IFERROR(__xludf.DUMMYFUNCTION("""COMPUTED_VALUE"""),8.89093768E8)</f>
        <v>889093768</v>
      </c>
      <c r="F1176" s="84">
        <f>IFERROR(__xludf.DUMMYFUNCTION("""COMPUTED_VALUE"""),299910.6)</f>
        <v>299910.6</v>
      </c>
      <c r="I1176" s="87"/>
    </row>
    <row r="1177">
      <c r="A1177" s="46" t="str">
        <f>IFERROR(__xludf.DUMMYFUNCTION("""COMPUTED_VALUE"""),"Europe")</f>
        <v>Europe</v>
      </c>
      <c r="B1177" s="46" t="str">
        <f>IFERROR(__xludf.DUMMYFUNCTION("""COMPUTED_VALUE"""),"Andorra")</f>
        <v>Andorra</v>
      </c>
      <c r="C1177" s="46" t="str">
        <f>IFERROR(__xludf.DUMMYFUNCTION("""COMPUTED_VALUE"""),"Fruits")</f>
        <v>Fruits</v>
      </c>
      <c r="D1177" s="46">
        <f>IFERROR(__xludf.DUMMYFUNCTION("""COMPUTED_VALUE"""),19.0)</f>
        <v>19</v>
      </c>
      <c r="E1177" s="46">
        <f>IFERROR(__xludf.DUMMYFUNCTION("""COMPUTED_VALUE"""),8.89125955E8)</f>
        <v>889125955</v>
      </c>
      <c r="F1177" s="84">
        <f>IFERROR(__xludf.DUMMYFUNCTION("""COMPUTED_VALUE"""),9171.39)</f>
        <v>9171.39</v>
      </c>
      <c r="I1177" s="87"/>
    </row>
    <row r="1178">
      <c r="A1178" s="46" t="str">
        <f>IFERROR(__xludf.DUMMYFUNCTION("""COMPUTED_VALUE"""),"Europe")</f>
        <v>Europe</v>
      </c>
      <c r="B1178" s="46" t="str">
        <f>IFERROR(__xludf.DUMMYFUNCTION("""COMPUTED_VALUE"""),"Bosnia and Herzegovina")</f>
        <v>Bosnia and Herzegovina</v>
      </c>
      <c r="C1178" s="46" t="str">
        <f>IFERROR(__xludf.DUMMYFUNCTION("""COMPUTED_VALUE"""),"Household")</f>
        <v>Household</v>
      </c>
      <c r="D1178" s="46">
        <f>IFERROR(__xludf.DUMMYFUNCTION("""COMPUTED_VALUE"""),26.0)</f>
        <v>26</v>
      </c>
      <c r="E1178" s="46">
        <f>IFERROR(__xludf.DUMMYFUNCTION("""COMPUTED_VALUE"""),8.91681563E8)</f>
        <v>891681563</v>
      </c>
      <c r="F1178" s="84">
        <f>IFERROR(__xludf.DUMMYFUNCTION("""COMPUTED_VALUE"""),4841616.149999999)</f>
        <v>4841616.15</v>
      </c>
      <c r="I1178" s="87"/>
    </row>
    <row r="1179">
      <c r="A1179" s="46" t="str">
        <f>IFERROR(__xludf.DUMMYFUNCTION("""COMPUTED_VALUE"""),"Europe")</f>
        <v>Europe</v>
      </c>
      <c r="B1179" s="46" t="str">
        <f>IFERROR(__xludf.DUMMYFUNCTION("""COMPUTED_VALUE"""),"Slovakia")</f>
        <v>Slovakia</v>
      </c>
      <c r="C1179" s="46" t="str">
        <f>IFERROR(__xludf.DUMMYFUNCTION("""COMPUTED_VALUE"""),"Baby Food")</f>
        <v>Baby Food</v>
      </c>
      <c r="D1179" s="46">
        <f>IFERROR(__xludf.DUMMYFUNCTION("""COMPUTED_VALUE"""),12.0)</f>
        <v>12</v>
      </c>
      <c r="E1179" s="46">
        <f>IFERROR(__xludf.DUMMYFUNCTION("""COMPUTED_VALUE"""),8.91808593E8)</f>
        <v>891808593</v>
      </c>
      <c r="F1179" s="84">
        <f>IFERROR(__xludf.DUMMYFUNCTION("""COMPUTED_VALUE"""),1234278.8)</f>
        <v>1234278.8</v>
      </c>
      <c r="I1179" s="87"/>
    </row>
    <row r="1180">
      <c r="A1180" s="46" t="str">
        <f>IFERROR(__xludf.DUMMYFUNCTION("""COMPUTED_VALUE"""),"Europe")</f>
        <v>Europe</v>
      </c>
      <c r="B1180" s="46" t="str">
        <f>IFERROR(__xludf.DUMMYFUNCTION("""COMPUTED_VALUE"""),"Poland")</f>
        <v>Poland</v>
      </c>
      <c r="C1180" s="46" t="str">
        <f>IFERROR(__xludf.DUMMYFUNCTION("""COMPUTED_VALUE"""),"Cosmetics")</f>
        <v>Cosmetics</v>
      </c>
      <c r="D1180" s="46">
        <f>IFERROR(__xludf.DUMMYFUNCTION("""COMPUTED_VALUE"""),29.0)</f>
        <v>29</v>
      </c>
      <c r="E1180" s="46">
        <f>IFERROR(__xludf.DUMMYFUNCTION("""COMPUTED_VALUE"""),8.92042911E8)</f>
        <v>892042911</v>
      </c>
      <c r="F1180" s="84">
        <f>IFERROR(__xludf.DUMMYFUNCTION("""COMPUTED_VALUE"""),1825310.0)</f>
        <v>1825310</v>
      </c>
      <c r="I1180" s="87"/>
    </row>
    <row r="1181">
      <c r="A1181" s="46" t="str">
        <f>IFERROR(__xludf.DUMMYFUNCTION("""COMPUTED_VALUE"""),"Europe")</f>
        <v>Europe</v>
      </c>
      <c r="B1181" s="46" t="str">
        <f>IFERROR(__xludf.DUMMYFUNCTION("""COMPUTED_VALUE"""),"Malta")</f>
        <v>Malta</v>
      </c>
      <c r="C1181" s="46" t="str">
        <f>IFERROR(__xludf.DUMMYFUNCTION("""COMPUTED_VALUE"""),"Vegetables")</f>
        <v>Vegetables</v>
      </c>
      <c r="D1181" s="46">
        <f>IFERROR(__xludf.DUMMYFUNCTION("""COMPUTED_VALUE"""),30.0)</f>
        <v>30</v>
      </c>
      <c r="E1181" s="46">
        <f>IFERROR(__xludf.DUMMYFUNCTION("""COMPUTED_VALUE"""),8.94589078E8)</f>
        <v>894589078</v>
      </c>
      <c r="F1181" s="84">
        <f>IFERROR(__xludf.DUMMYFUNCTION("""COMPUTED_VALUE"""),1177480.58)</f>
        <v>1177480.58</v>
      </c>
      <c r="I1181" s="87"/>
    </row>
    <row r="1182">
      <c r="A1182" s="46" t="str">
        <f>IFERROR(__xludf.DUMMYFUNCTION("""COMPUTED_VALUE"""),"Europe")</f>
        <v>Europe</v>
      </c>
      <c r="B1182" s="46" t="str">
        <f>IFERROR(__xludf.DUMMYFUNCTION("""COMPUTED_VALUE"""),"Italy")</f>
        <v>Italy</v>
      </c>
      <c r="C1182" s="46" t="str">
        <f>IFERROR(__xludf.DUMMYFUNCTION("""COMPUTED_VALUE"""),"Beverages")</f>
        <v>Beverages</v>
      </c>
      <c r="D1182" s="46">
        <f>IFERROR(__xludf.DUMMYFUNCTION("""COMPUTED_VALUE"""),19.0)</f>
        <v>19</v>
      </c>
      <c r="E1182" s="46">
        <f>IFERROR(__xludf.DUMMYFUNCTION("""COMPUTED_VALUE"""),8.97317206E8)</f>
        <v>897317206</v>
      </c>
      <c r="F1182" s="84">
        <f>IFERROR(__xludf.DUMMYFUNCTION("""COMPUTED_VALUE"""),235209.65000000002)</f>
        <v>235209.65</v>
      </c>
      <c r="I1182" s="87"/>
    </row>
    <row r="1183">
      <c r="A1183" s="46" t="str">
        <f>IFERROR(__xludf.DUMMYFUNCTION("""COMPUTED_VALUE"""),"Europe")</f>
        <v>Europe</v>
      </c>
      <c r="B1183" s="46" t="str">
        <f>IFERROR(__xludf.DUMMYFUNCTION("""COMPUTED_VALUE"""),"Portugal")</f>
        <v>Portugal</v>
      </c>
      <c r="C1183" s="46" t="str">
        <f>IFERROR(__xludf.DUMMYFUNCTION("""COMPUTED_VALUE"""),"Cereal")</f>
        <v>Cereal</v>
      </c>
      <c r="D1183" s="46">
        <f>IFERROR(__xludf.DUMMYFUNCTION("""COMPUTED_VALUE"""),24.0)</f>
        <v>24</v>
      </c>
      <c r="E1183" s="46">
        <f>IFERROR(__xludf.DUMMYFUNCTION("""COMPUTED_VALUE"""),8.97638213E8)</f>
        <v>897638213</v>
      </c>
      <c r="F1183" s="84">
        <f>IFERROR(__xludf.DUMMYFUNCTION("""COMPUTED_VALUE"""),2046715.0)</f>
        <v>2046715</v>
      </c>
      <c r="I1183" s="87"/>
    </row>
    <row r="1184">
      <c r="A1184" s="46" t="str">
        <f>IFERROR(__xludf.DUMMYFUNCTION("""COMPUTED_VALUE"""),"Asia")</f>
        <v>Asia</v>
      </c>
      <c r="B1184" s="46" t="str">
        <f>IFERROR(__xludf.DUMMYFUNCTION("""COMPUTED_VALUE"""),"Cyprus")</f>
        <v>Cyprus</v>
      </c>
      <c r="C1184" s="46" t="str">
        <f>IFERROR(__xludf.DUMMYFUNCTION("""COMPUTED_VALUE"""),"Office Supplies")</f>
        <v>Office Supplies</v>
      </c>
      <c r="D1184" s="46">
        <f>IFERROR(__xludf.DUMMYFUNCTION("""COMPUTED_VALUE"""),4.0)</f>
        <v>4</v>
      </c>
      <c r="E1184" s="46">
        <f>IFERROR(__xludf.DUMMYFUNCTION("""COMPUTED_VALUE"""),8.97785842E8)</f>
        <v>897785842</v>
      </c>
      <c r="F1184" s="84">
        <f>IFERROR(__xludf.DUMMYFUNCTION("""COMPUTED_VALUE"""),2367799.56)</f>
        <v>2367799.56</v>
      </c>
      <c r="I1184" s="87"/>
    </row>
    <row r="1185">
      <c r="A1185" s="46" t="str">
        <f>IFERROR(__xludf.DUMMYFUNCTION("""COMPUTED_VALUE"""),"Europe")</f>
        <v>Europe</v>
      </c>
      <c r="B1185" s="46" t="str">
        <f>IFERROR(__xludf.DUMMYFUNCTION("""COMPUTED_VALUE"""),"Estonia")</f>
        <v>Estonia</v>
      </c>
      <c r="C1185" s="46" t="str">
        <f>IFERROR(__xludf.DUMMYFUNCTION("""COMPUTED_VALUE"""),"Fruits")</f>
        <v>Fruits</v>
      </c>
      <c r="D1185" s="46">
        <f>IFERROR(__xludf.DUMMYFUNCTION("""COMPUTED_VALUE"""),15.0)</f>
        <v>15</v>
      </c>
      <c r="E1185" s="46">
        <f>IFERROR(__xludf.DUMMYFUNCTION("""COMPUTED_VALUE"""),8.98211562E8)</f>
        <v>898211562</v>
      </c>
      <c r="F1185" s="84">
        <f>IFERROR(__xludf.DUMMYFUNCTION("""COMPUTED_VALUE"""),89717.28)</f>
        <v>89717.28</v>
      </c>
      <c r="I1185" s="87"/>
    </row>
    <row r="1186">
      <c r="A1186" s="46" t="str">
        <f>IFERROR(__xludf.DUMMYFUNCTION("""COMPUTED_VALUE"""),"Undefined")</f>
        <v>Undefined</v>
      </c>
      <c r="B1186" s="46" t="str">
        <f>IFERROR(__xludf.DUMMYFUNCTION("""COMPUTED_VALUE"""),"Undefined")</f>
        <v>Undefined</v>
      </c>
      <c r="C1186" s="46" t="str">
        <f>IFERROR(__xludf.DUMMYFUNCTION("""COMPUTED_VALUE"""),"Fruits")</f>
        <v>Fruits</v>
      </c>
      <c r="D1186" s="46">
        <f>IFERROR(__xludf.DUMMYFUNCTION("""COMPUTED_VALUE"""),24.0)</f>
        <v>24</v>
      </c>
      <c r="E1186" s="46">
        <f>IFERROR(__xludf.DUMMYFUNCTION("""COMPUTED_VALUE"""),8.99868094E8)</f>
        <v>899868094</v>
      </c>
      <c r="F1186" s="84">
        <f>IFERROR(__xludf.DUMMYFUNCTION("""COMPUTED_VALUE"""),91629.93000000001)</f>
        <v>91629.93</v>
      </c>
      <c r="I1186" s="87"/>
    </row>
    <row r="1187">
      <c r="A1187" s="46" t="str">
        <f>IFERROR(__xludf.DUMMYFUNCTION("""COMPUTED_VALUE"""),"Europe")</f>
        <v>Europe</v>
      </c>
      <c r="B1187" s="46" t="str">
        <f>IFERROR(__xludf.DUMMYFUNCTION("""COMPUTED_VALUE"""),"Greece")</f>
        <v>Greece</v>
      </c>
      <c r="C1187" s="46" t="str">
        <f>IFERROR(__xludf.DUMMYFUNCTION("""COMPUTED_VALUE"""),"Cosmetics")</f>
        <v>Cosmetics</v>
      </c>
      <c r="D1187" s="46">
        <f>IFERROR(__xludf.DUMMYFUNCTION("""COMPUTED_VALUE"""),8.0)</f>
        <v>8</v>
      </c>
      <c r="E1187" s="46">
        <f>IFERROR(__xludf.DUMMYFUNCTION("""COMPUTED_VALUE"""),9.00808799E8)</f>
        <v>900808799</v>
      </c>
      <c r="F1187" s="84">
        <f>IFERROR(__xludf.DUMMYFUNCTION("""COMPUTED_VALUE"""),3583291.1999999997)</f>
        <v>3583291.2</v>
      </c>
      <c r="I1187" s="87"/>
    </row>
    <row r="1188">
      <c r="A1188" s="46" t="str">
        <f>IFERROR(__xludf.DUMMYFUNCTION("""COMPUTED_VALUE"""),"Europe")</f>
        <v>Europe</v>
      </c>
      <c r="B1188" s="46" t="str">
        <f>IFERROR(__xludf.DUMMYFUNCTION("""COMPUTED_VALUE"""),"Ireland")</f>
        <v>Ireland</v>
      </c>
      <c r="C1188" s="46" t="str">
        <f>IFERROR(__xludf.DUMMYFUNCTION("""COMPUTED_VALUE"""),"Vegetables")</f>
        <v>Vegetables</v>
      </c>
      <c r="D1188" s="46">
        <f>IFERROR(__xludf.DUMMYFUNCTION("""COMPUTED_VALUE"""),25.0)</f>
        <v>25</v>
      </c>
      <c r="E1188" s="46">
        <f>IFERROR(__xludf.DUMMYFUNCTION("""COMPUTED_VALUE"""),9.01670968E8)</f>
        <v>901670968</v>
      </c>
      <c r="F1188" s="84">
        <f>IFERROR(__xludf.DUMMYFUNCTION("""COMPUTED_VALUE"""),513173.86)</f>
        <v>513173.86</v>
      </c>
      <c r="I1188" s="87"/>
    </row>
    <row r="1189">
      <c r="A1189" s="46" t="str">
        <f>IFERROR(__xludf.DUMMYFUNCTION("""COMPUTED_VALUE"""),"Europe")</f>
        <v>Europe</v>
      </c>
      <c r="B1189" s="46" t="str">
        <f>IFERROR(__xludf.DUMMYFUNCTION("""COMPUTED_VALUE"""),"Malta")</f>
        <v>Malta</v>
      </c>
      <c r="C1189" s="46" t="str">
        <f>IFERROR(__xludf.DUMMYFUNCTION("""COMPUTED_VALUE"""),"Meat")</f>
        <v>Meat</v>
      </c>
      <c r="D1189" s="46">
        <f>IFERROR(__xludf.DUMMYFUNCTION("""COMPUTED_VALUE"""),42.0)</f>
        <v>42</v>
      </c>
      <c r="E1189" s="46">
        <f>IFERROR(__xludf.DUMMYFUNCTION("""COMPUTED_VALUE"""),9.01789844E8)</f>
        <v>901789844</v>
      </c>
      <c r="F1189" s="84">
        <f>IFERROR(__xludf.DUMMYFUNCTION("""COMPUTED_VALUE"""),3589862.01)</f>
        <v>3589862.01</v>
      </c>
      <c r="I1189" s="87"/>
    </row>
    <row r="1190">
      <c r="A1190" s="46" t="str">
        <f>IFERROR(__xludf.DUMMYFUNCTION("""COMPUTED_VALUE"""),"Europe")</f>
        <v>Europe</v>
      </c>
      <c r="B1190" s="46" t="str">
        <f>IFERROR(__xludf.DUMMYFUNCTION("""COMPUTED_VALUE"""),"San Marino")</f>
        <v>San Marino</v>
      </c>
      <c r="C1190" s="46" t="str">
        <f>IFERROR(__xludf.DUMMYFUNCTION("""COMPUTED_VALUE"""),"Office Supplies")</f>
        <v>Office Supplies</v>
      </c>
      <c r="D1190" s="46">
        <f>IFERROR(__xludf.DUMMYFUNCTION("""COMPUTED_VALUE"""),21.0)</f>
        <v>21</v>
      </c>
      <c r="E1190" s="46">
        <f>IFERROR(__xludf.DUMMYFUNCTION("""COMPUTED_VALUE"""),9.04589211E8)</f>
        <v>904589211</v>
      </c>
      <c r="F1190" s="84">
        <f>IFERROR(__xludf.DUMMYFUNCTION("""COMPUTED_VALUE"""),4496605.05)</f>
        <v>4496605.05</v>
      </c>
      <c r="I1190" s="87"/>
    </row>
    <row r="1191">
      <c r="A1191" s="46" t="str">
        <f>IFERROR(__xludf.DUMMYFUNCTION("""COMPUTED_VALUE"""),"Europe")</f>
        <v>Europe</v>
      </c>
      <c r="B1191" s="46" t="str">
        <f>IFERROR(__xludf.DUMMYFUNCTION("""COMPUTED_VALUE"""),"Romania")</f>
        <v>Romania</v>
      </c>
      <c r="C1191" s="46" t="str">
        <f>IFERROR(__xludf.DUMMYFUNCTION("""COMPUTED_VALUE"""),"Fruits")</f>
        <v>Fruits</v>
      </c>
      <c r="D1191" s="46">
        <f>IFERROR(__xludf.DUMMYFUNCTION("""COMPUTED_VALUE"""),46.0)</f>
        <v>46</v>
      </c>
      <c r="E1191" s="46">
        <f>IFERROR(__xludf.DUMMYFUNCTION("""COMPUTED_VALUE"""),9.048128E8)</f>
        <v>904812800</v>
      </c>
      <c r="F1191" s="84">
        <f>IFERROR(__xludf.DUMMYFUNCTION("""COMPUTED_VALUE"""),28633.77)</f>
        <v>28633.77</v>
      </c>
      <c r="I1191" s="87"/>
    </row>
    <row r="1192">
      <c r="A1192" s="46" t="str">
        <f>IFERROR(__xludf.DUMMYFUNCTION("""COMPUTED_VALUE"""),"Europe")</f>
        <v>Europe</v>
      </c>
      <c r="B1192" s="46" t="str">
        <f>IFERROR(__xludf.DUMMYFUNCTION("""COMPUTED_VALUE"""),"Poland")</f>
        <v>Poland</v>
      </c>
      <c r="C1192" s="46" t="str">
        <f>IFERROR(__xludf.DUMMYFUNCTION("""COMPUTED_VALUE"""),"Cereal")</f>
        <v>Cereal</v>
      </c>
      <c r="D1192" s="46">
        <f>IFERROR(__xludf.DUMMYFUNCTION("""COMPUTED_VALUE"""),19.0)</f>
        <v>19</v>
      </c>
      <c r="E1192" s="46">
        <f>IFERROR(__xludf.DUMMYFUNCTION("""COMPUTED_VALUE"""),9.05036389E8)</f>
        <v>905036389</v>
      </c>
      <c r="F1192" s="84">
        <f>IFERROR(__xludf.DUMMYFUNCTION("""COMPUTED_VALUE"""),1899433.7999999998)</f>
        <v>1899433.8</v>
      </c>
      <c r="I1192" s="87"/>
    </row>
    <row r="1193">
      <c r="A1193" s="46" t="str">
        <f>IFERROR(__xludf.DUMMYFUNCTION("""COMPUTED_VALUE"""),"Europe")</f>
        <v>Europe</v>
      </c>
      <c r="B1193" s="46" t="str">
        <f>IFERROR(__xludf.DUMMYFUNCTION("""COMPUTED_VALUE"""),"Macedonia")</f>
        <v>Macedonia</v>
      </c>
      <c r="C1193" s="46" t="str">
        <f>IFERROR(__xludf.DUMMYFUNCTION("""COMPUTED_VALUE"""),"Household")</f>
        <v>Household</v>
      </c>
      <c r="D1193" s="46">
        <f>IFERROR(__xludf.DUMMYFUNCTION("""COMPUTED_VALUE"""),7.0)</f>
        <v>7</v>
      </c>
      <c r="E1193" s="46">
        <f>IFERROR(__xludf.DUMMYFUNCTION("""COMPUTED_VALUE"""),9.05509746E8)</f>
        <v>905509746</v>
      </c>
      <c r="F1193" s="84">
        <f>IFERROR(__xludf.DUMMYFUNCTION("""COMPUTED_VALUE"""),6222261.97)</f>
        <v>6222261.97</v>
      </c>
      <c r="I1193" s="87"/>
    </row>
    <row r="1194">
      <c r="A1194" s="46" t="str">
        <f>IFERROR(__xludf.DUMMYFUNCTION("""COMPUTED_VALUE"""),"Europe")</f>
        <v>Europe</v>
      </c>
      <c r="B1194" s="46" t="str">
        <f>IFERROR(__xludf.DUMMYFUNCTION("""COMPUTED_VALUE"""),"Denmark")</f>
        <v>Denmark</v>
      </c>
      <c r="C1194" s="46" t="str">
        <f>IFERROR(__xludf.DUMMYFUNCTION("""COMPUTED_VALUE"""),"Cereal")</f>
        <v>Cereal</v>
      </c>
      <c r="D1194" s="46">
        <f>IFERROR(__xludf.DUMMYFUNCTION("""COMPUTED_VALUE"""),49.0)</f>
        <v>49</v>
      </c>
      <c r="E1194" s="46">
        <f>IFERROR(__xludf.DUMMYFUNCTION("""COMPUTED_VALUE"""),9.05947482E8)</f>
        <v>905947482</v>
      </c>
      <c r="F1194" s="84">
        <f>IFERROR(__xludf.DUMMYFUNCTION("""COMPUTED_VALUE"""),1819827.9)</f>
        <v>1819827.9</v>
      </c>
      <c r="I1194" s="87"/>
    </row>
    <row r="1195">
      <c r="A1195" s="46" t="str">
        <f>IFERROR(__xludf.DUMMYFUNCTION("""COMPUTED_VALUE"""),"Europe")</f>
        <v>Europe</v>
      </c>
      <c r="B1195" s="46" t="str">
        <f>IFERROR(__xludf.DUMMYFUNCTION("""COMPUTED_VALUE"""),"Netherlands")</f>
        <v>Netherlands</v>
      </c>
      <c r="C1195" s="46" t="str">
        <f>IFERROR(__xludf.DUMMYFUNCTION("""COMPUTED_VALUE"""),"Beverages")</f>
        <v>Beverages</v>
      </c>
      <c r="D1195" s="46">
        <f>IFERROR(__xludf.DUMMYFUNCTION("""COMPUTED_VALUE"""),34.0)</f>
        <v>34</v>
      </c>
      <c r="E1195" s="46">
        <f>IFERROR(__xludf.DUMMYFUNCTION("""COMPUTED_VALUE"""),9.06345736E8)</f>
        <v>906345736</v>
      </c>
      <c r="F1195" s="84">
        <f>IFERROR(__xludf.DUMMYFUNCTION("""COMPUTED_VALUE"""),317867.55000000005)</f>
        <v>317867.55</v>
      </c>
      <c r="I1195" s="87"/>
    </row>
    <row r="1196">
      <c r="A1196" s="46" t="str">
        <f>IFERROR(__xludf.DUMMYFUNCTION("""COMPUTED_VALUE"""),"Europe")</f>
        <v>Europe</v>
      </c>
      <c r="B1196" s="46" t="str">
        <f>IFERROR(__xludf.DUMMYFUNCTION("""COMPUTED_VALUE"""),"Croatia")</f>
        <v>Croatia</v>
      </c>
      <c r="C1196" s="46" t="str">
        <f>IFERROR(__xludf.DUMMYFUNCTION("""COMPUTED_VALUE"""),"Clothes")</f>
        <v>Clothes</v>
      </c>
      <c r="D1196" s="46">
        <f>IFERROR(__xludf.DUMMYFUNCTION("""COMPUTED_VALUE"""),10.0)</f>
        <v>10</v>
      </c>
      <c r="E1196" s="46">
        <f>IFERROR(__xludf.DUMMYFUNCTION("""COMPUTED_VALUE"""),9.06508815E8)</f>
        <v>906508815</v>
      </c>
      <c r="F1196" s="84">
        <f>IFERROR(__xludf.DUMMYFUNCTION("""COMPUTED_VALUE"""),541810.24)</f>
        <v>541810.24</v>
      </c>
      <c r="I1196" s="87"/>
    </row>
    <row r="1197">
      <c r="A1197" s="46" t="str">
        <f>IFERROR(__xludf.DUMMYFUNCTION("""COMPUTED_VALUE"""),"Europe")</f>
        <v>Europe</v>
      </c>
      <c r="B1197" s="46" t="str">
        <f>IFERROR(__xludf.DUMMYFUNCTION("""COMPUTED_VALUE"""),"Finland")</f>
        <v>Finland</v>
      </c>
      <c r="C1197" s="46" t="str">
        <f>IFERROR(__xludf.DUMMYFUNCTION("""COMPUTED_VALUE"""),"Clothes")</f>
        <v>Clothes</v>
      </c>
      <c r="D1197" s="46">
        <f>IFERROR(__xludf.DUMMYFUNCTION("""COMPUTED_VALUE"""),19.0)</f>
        <v>19</v>
      </c>
      <c r="E1197" s="46">
        <f>IFERROR(__xludf.DUMMYFUNCTION("""COMPUTED_VALUE"""),9.06794202E8)</f>
        <v>906794202</v>
      </c>
      <c r="F1197" s="84">
        <f>IFERROR(__xludf.DUMMYFUNCTION("""COMPUTED_VALUE"""),1028324.8)</f>
        <v>1028324.8</v>
      </c>
      <c r="I1197" s="87"/>
    </row>
    <row r="1198">
      <c r="A1198" s="46" t="str">
        <f>IFERROR(__xludf.DUMMYFUNCTION("""COMPUTED_VALUE"""),"Undefined")</f>
        <v>Undefined</v>
      </c>
      <c r="B1198" s="46" t="str">
        <f>IFERROR(__xludf.DUMMYFUNCTION("""COMPUTED_VALUE"""),"Undefined")</f>
        <v>Undefined</v>
      </c>
      <c r="C1198" s="46" t="str">
        <f>IFERROR(__xludf.DUMMYFUNCTION("""COMPUTED_VALUE"""),"Meat")</f>
        <v>Meat</v>
      </c>
      <c r="D1198" s="46">
        <f>IFERROR(__xludf.DUMMYFUNCTION("""COMPUTED_VALUE"""),49.0)</f>
        <v>49</v>
      </c>
      <c r="E1198" s="46">
        <f>IFERROR(__xludf.DUMMYFUNCTION("""COMPUTED_VALUE"""),9.07047402E8)</f>
        <v>907047402</v>
      </c>
      <c r="F1198" s="84">
        <f>IFERROR(__xludf.DUMMYFUNCTION("""COMPUTED_VALUE"""),1830158.8199999998)</f>
        <v>1830158.82</v>
      </c>
      <c r="I1198" s="87"/>
    </row>
    <row r="1199">
      <c r="A1199" s="46" t="str">
        <f>IFERROR(__xludf.DUMMYFUNCTION("""COMPUTED_VALUE"""),"Europe")</f>
        <v>Europe</v>
      </c>
      <c r="B1199" s="46" t="str">
        <f>IFERROR(__xludf.DUMMYFUNCTION("""COMPUTED_VALUE"""),"Iceland")</f>
        <v>Iceland</v>
      </c>
      <c r="C1199" s="46" t="str">
        <f>IFERROR(__xludf.DUMMYFUNCTION("""COMPUTED_VALUE"""),"Cosmetics")</f>
        <v>Cosmetics</v>
      </c>
      <c r="D1199" s="46">
        <f>IFERROR(__xludf.DUMMYFUNCTION("""COMPUTED_VALUE"""),41.0)</f>
        <v>41</v>
      </c>
      <c r="E1199" s="46">
        <f>IFERROR(__xludf.DUMMYFUNCTION("""COMPUTED_VALUE"""),9.07349526E8)</f>
        <v>907349526</v>
      </c>
      <c r="F1199" s="84">
        <f>IFERROR(__xludf.DUMMYFUNCTION("""COMPUTED_VALUE"""),1636439.5999999999)</f>
        <v>1636439.6</v>
      </c>
      <c r="I1199" s="87"/>
    </row>
    <row r="1200">
      <c r="A1200" s="46" t="str">
        <f>IFERROR(__xludf.DUMMYFUNCTION("""COMPUTED_VALUE"""),"Europe")</f>
        <v>Europe</v>
      </c>
      <c r="B1200" s="46" t="str">
        <f>IFERROR(__xludf.DUMMYFUNCTION("""COMPUTED_VALUE"""),"Lithuania")</f>
        <v>Lithuania</v>
      </c>
      <c r="C1200" s="46" t="str">
        <f>IFERROR(__xludf.DUMMYFUNCTION("""COMPUTED_VALUE"""),"Cereal")</f>
        <v>Cereal</v>
      </c>
      <c r="D1200" s="46">
        <f>IFERROR(__xludf.DUMMYFUNCTION("""COMPUTED_VALUE"""),31.0)</f>
        <v>31</v>
      </c>
      <c r="E1200" s="46">
        <f>IFERROR(__xludf.DUMMYFUNCTION("""COMPUTED_VALUE"""),9.07691991E8)</f>
        <v>907691991</v>
      </c>
      <c r="F1200" s="84">
        <f>IFERROR(__xludf.DUMMYFUNCTION("""COMPUTED_VALUE"""),1046190.2)</f>
        <v>1046190.2</v>
      </c>
      <c r="I1200" s="87"/>
    </row>
    <row r="1201">
      <c r="A1201" s="46" t="str">
        <f>IFERROR(__xludf.DUMMYFUNCTION("""COMPUTED_VALUE"""),"Europe")</f>
        <v>Europe</v>
      </c>
      <c r="B1201" s="46" t="str">
        <f>IFERROR(__xludf.DUMMYFUNCTION("""COMPUTED_VALUE"""),"Sweden")</f>
        <v>Sweden</v>
      </c>
      <c r="C1201" s="46" t="str">
        <f>IFERROR(__xludf.DUMMYFUNCTION("""COMPUTED_VALUE"""),"Cosmetics")</f>
        <v>Cosmetics</v>
      </c>
      <c r="D1201" s="46">
        <f>IFERROR(__xludf.DUMMYFUNCTION("""COMPUTED_VALUE"""),28.0)</f>
        <v>28</v>
      </c>
      <c r="E1201" s="46">
        <f>IFERROR(__xludf.DUMMYFUNCTION("""COMPUTED_VALUE"""),9.10610234E8)</f>
        <v>910610234</v>
      </c>
      <c r="F1201" s="84">
        <f>IFERROR(__xludf.DUMMYFUNCTION("""COMPUTED_VALUE"""),3785714.8)</f>
        <v>3785714.8</v>
      </c>
      <c r="I1201" s="87"/>
    </row>
    <row r="1202">
      <c r="A1202" s="46" t="str">
        <f>IFERROR(__xludf.DUMMYFUNCTION("""COMPUTED_VALUE"""),"Europe")</f>
        <v>Europe</v>
      </c>
      <c r="B1202" s="46" t="str">
        <f>IFERROR(__xludf.DUMMYFUNCTION("""COMPUTED_VALUE"""),"Romania")</f>
        <v>Romania</v>
      </c>
      <c r="C1202" s="46" t="str">
        <f>IFERROR(__xludf.DUMMYFUNCTION("""COMPUTED_VALUE"""),"Beverages")</f>
        <v>Beverages</v>
      </c>
      <c r="D1202" s="46">
        <f>IFERROR(__xludf.DUMMYFUNCTION("""COMPUTED_VALUE"""),31.0)</f>
        <v>31</v>
      </c>
      <c r="E1202" s="46">
        <f>IFERROR(__xludf.DUMMYFUNCTION("""COMPUTED_VALUE"""),9.1088618E8)</f>
        <v>910886180</v>
      </c>
      <c r="F1202" s="84">
        <f>IFERROR(__xludf.DUMMYFUNCTION("""COMPUTED_VALUE"""),15041.650000000001)</f>
        <v>15041.65</v>
      </c>
      <c r="I1202" s="87"/>
    </row>
    <row r="1203">
      <c r="A1203" s="46" t="str">
        <f>IFERROR(__xludf.DUMMYFUNCTION("""COMPUTED_VALUE"""),"Europe")</f>
        <v>Europe</v>
      </c>
      <c r="B1203" s="46" t="str">
        <f>IFERROR(__xludf.DUMMYFUNCTION("""COMPUTED_VALUE"""),"Bulgaria")</f>
        <v>Bulgaria</v>
      </c>
      <c r="C1203" s="46" t="str">
        <f>IFERROR(__xludf.DUMMYFUNCTION("""COMPUTED_VALUE"""),"Fruits")</f>
        <v>Fruits</v>
      </c>
      <c r="D1203" s="46">
        <f>IFERROR(__xludf.DUMMYFUNCTION("""COMPUTED_VALUE"""),24.0)</f>
        <v>24</v>
      </c>
      <c r="E1203" s="46">
        <f>IFERROR(__xludf.DUMMYFUNCTION("""COMPUTED_VALUE"""),9.11891257E8)</f>
        <v>911891257</v>
      </c>
      <c r="F1203" s="84">
        <f>IFERROR(__xludf.DUMMYFUNCTION("""COMPUTED_VALUE"""),72232.86)</f>
        <v>72232.86</v>
      </c>
      <c r="I1203" s="87"/>
    </row>
    <row r="1204">
      <c r="A1204" s="46" t="str">
        <f>IFERROR(__xludf.DUMMYFUNCTION("""COMPUTED_VALUE"""),"Europe")</f>
        <v>Europe</v>
      </c>
      <c r="B1204" s="46" t="str">
        <f>IFERROR(__xludf.DUMMYFUNCTION("""COMPUTED_VALUE"""),"Latvia")</f>
        <v>Latvia</v>
      </c>
      <c r="C1204" s="46" t="str">
        <f>IFERROR(__xludf.DUMMYFUNCTION("""COMPUTED_VALUE"""),"Personal Care")</f>
        <v>Personal Care</v>
      </c>
      <c r="D1204" s="46">
        <f>IFERROR(__xludf.DUMMYFUNCTION("""COMPUTED_VALUE"""),45.0)</f>
        <v>45</v>
      </c>
      <c r="E1204" s="46">
        <f>IFERROR(__xludf.DUMMYFUNCTION("""COMPUTED_VALUE"""),9.13074433E8)</f>
        <v>913074433</v>
      </c>
      <c r="F1204" s="84">
        <f>IFERROR(__xludf.DUMMYFUNCTION("""COMPUTED_VALUE"""),643215.1)</f>
        <v>643215.1</v>
      </c>
      <c r="I1204" s="87"/>
    </row>
    <row r="1205">
      <c r="A1205" s="46" t="str">
        <f>IFERROR(__xludf.DUMMYFUNCTION("""COMPUTED_VALUE"""),"Asia")</f>
        <v>Asia</v>
      </c>
      <c r="B1205" s="46" t="str">
        <f>IFERROR(__xludf.DUMMYFUNCTION("""COMPUTED_VALUE"""),"Georgia")</f>
        <v>Georgia</v>
      </c>
      <c r="C1205" s="46" t="str">
        <f>IFERROR(__xludf.DUMMYFUNCTION("""COMPUTED_VALUE"""),"Meat")</f>
        <v>Meat</v>
      </c>
      <c r="D1205" s="46">
        <f>IFERROR(__xludf.DUMMYFUNCTION("""COMPUTED_VALUE"""),21.0)</f>
        <v>21</v>
      </c>
      <c r="E1205" s="46">
        <f>IFERROR(__xludf.DUMMYFUNCTION("""COMPUTED_VALUE"""),9.13729751E8)</f>
        <v>913729751</v>
      </c>
      <c r="F1205" s="84">
        <f>IFERROR(__xludf.DUMMYFUNCTION("""COMPUTED_VALUE"""),756448.77)</f>
        <v>756448.77</v>
      </c>
      <c r="I1205" s="87"/>
    </row>
    <row r="1206">
      <c r="A1206" s="46" t="str">
        <f>IFERROR(__xludf.DUMMYFUNCTION("""COMPUTED_VALUE"""),"Europe")</f>
        <v>Europe</v>
      </c>
      <c r="B1206" s="46" t="str">
        <f>IFERROR(__xludf.DUMMYFUNCTION("""COMPUTED_VALUE"""),"Belgium")</f>
        <v>Belgium</v>
      </c>
      <c r="C1206" s="46" t="str">
        <f>IFERROR(__xludf.DUMMYFUNCTION("""COMPUTED_VALUE"""),"Cosmetics")</f>
        <v>Cosmetics</v>
      </c>
      <c r="D1206" s="46">
        <f>IFERROR(__xludf.DUMMYFUNCTION("""COMPUTED_VALUE"""),31.0)</f>
        <v>31</v>
      </c>
      <c r="E1206" s="46">
        <f>IFERROR(__xludf.DUMMYFUNCTION("""COMPUTED_VALUE"""),9.16089236E8)</f>
        <v>916089236</v>
      </c>
      <c r="F1206" s="84">
        <f>IFERROR(__xludf.DUMMYFUNCTION("""COMPUTED_VALUE"""),7432.4)</f>
        <v>7432.4</v>
      </c>
      <c r="I1206" s="87"/>
    </row>
    <row r="1207">
      <c r="A1207" s="46" t="str">
        <f>IFERROR(__xludf.DUMMYFUNCTION("""COMPUTED_VALUE"""),"Europe")</f>
        <v>Europe</v>
      </c>
      <c r="B1207" s="46" t="str">
        <f>IFERROR(__xludf.DUMMYFUNCTION("""COMPUTED_VALUE"""),"Latvia")</f>
        <v>Latvia</v>
      </c>
      <c r="C1207" s="46" t="str">
        <f>IFERROR(__xludf.DUMMYFUNCTION("""COMPUTED_VALUE"""),"Baby Food")</f>
        <v>Baby Food</v>
      </c>
      <c r="D1207" s="46">
        <f>IFERROR(__xludf.DUMMYFUNCTION("""COMPUTED_VALUE"""),32.0)</f>
        <v>32</v>
      </c>
      <c r="E1207" s="46">
        <f>IFERROR(__xludf.DUMMYFUNCTION("""COMPUTED_VALUE"""),9.17485272E8)</f>
        <v>917485272</v>
      </c>
      <c r="F1207" s="84">
        <f>IFERROR(__xludf.DUMMYFUNCTION("""COMPUTED_VALUE"""),800558.08)</f>
        <v>800558.08</v>
      </c>
      <c r="I1207" s="87"/>
    </row>
    <row r="1208">
      <c r="A1208" s="46" t="str">
        <f>IFERROR(__xludf.DUMMYFUNCTION("""COMPUTED_VALUE"""),"Europe")</f>
        <v>Europe</v>
      </c>
      <c r="B1208" s="46" t="str">
        <f>IFERROR(__xludf.DUMMYFUNCTION("""COMPUTED_VALUE"""),"Serbia")</f>
        <v>Serbia</v>
      </c>
      <c r="C1208" s="46" t="str">
        <f>IFERROR(__xludf.DUMMYFUNCTION("""COMPUTED_VALUE"""),"Vegetables")</f>
        <v>Vegetables</v>
      </c>
      <c r="D1208" s="46">
        <f>IFERROR(__xludf.DUMMYFUNCTION("""COMPUTED_VALUE"""),44.0)</f>
        <v>44</v>
      </c>
      <c r="E1208" s="46">
        <f>IFERROR(__xludf.DUMMYFUNCTION("""COMPUTED_VALUE"""),9.17639768E8)</f>
        <v>917639768</v>
      </c>
      <c r="F1208" s="84">
        <f>IFERROR(__xludf.DUMMYFUNCTION("""COMPUTED_VALUE"""),1364047.24)</f>
        <v>1364047.24</v>
      </c>
      <c r="I1208" s="87"/>
    </row>
    <row r="1209">
      <c r="A1209" s="46" t="str">
        <f>IFERROR(__xludf.DUMMYFUNCTION("""COMPUTED_VALUE"""),"Europe")</f>
        <v>Europe</v>
      </c>
      <c r="B1209" s="46" t="str">
        <f>IFERROR(__xludf.DUMMYFUNCTION("""COMPUTED_VALUE"""),"Iceland")</f>
        <v>Iceland</v>
      </c>
      <c r="C1209" s="46" t="str">
        <f>IFERROR(__xludf.DUMMYFUNCTION("""COMPUTED_VALUE"""),"Clothes")</f>
        <v>Clothes</v>
      </c>
      <c r="D1209" s="46">
        <f>IFERROR(__xludf.DUMMYFUNCTION("""COMPUTED_VALUE"""),27.0)</f>
        <v>27</v>
      </c>
      <c r="E1209" s="46">
        <f>IFERROR(__xludf.DUMMYFUNCTION("""COMPUTED_VALUE"""),9.17792117E8)</f>
        <v>917792117</v>
      </c>
      <c r="F1209" s="84">
        <f>IFERROR(__xludf.DUMMYFUNCTION("""COMPUTED_VALUE"""),430344.64)</f>
        <v>430344.64</v>
      </c>
      <c r="I1209" s="87"/>
    </row>
    <row r="1210">
      <c r="A1210" s="46" t="str">
        <f>IFERROR(__xludf.DUMMYFUNCTION("""COMPUTED_VALUE"""),"Europe")</f>
        <v>Europe</v>
      </c>
      <c r="B1210" s="46" t="str">
        <f>IFERROR(__xludf.DUMMYFUNCTION("""COMPUTED_VALUE"""),"Austria")</f>
        <v>Austria</v>
      </c>
      <c r="C1210" s="46" t="str">
        <f>IFERROR(__xludf.DUMMYFUNCTION("""COMPUTED_VALUE"""),"Vegetables")</f>
        <v>Vegetables</v>
      </c>
      <c r="D1210" s="46">
        <f>IFERROR(__xludf.DUMMYFUNCTION("""COMPUTED_VALUE"""),50.0)</f>
        <v>50</v>
      </c>
      <c r="E1210" s="46">
        <f>IFERROR(__xludf.DUMMYFUNCTION("""COMPUTED_VALUE"""),9.17835032E8)</f>
        <v>917835032</v>
      </c>
      <c r="F1210" s="84">
        <f>IFERROR(__xludf.DUMMYFUNCTION("""COMPUTED_VALUE"""),1022496.22)</f>
        <v>1022496.22</v>
      </c>
      <c r="I1210" s="87"/>
    </row>
    <row r="1211">
      <c r="A1211" s="46" t="str">
        <f>IFERROR(__xludf.DUMMYFUNCTION("""COMPUTED_VALUE"""),"Europe")</f>
        <v>Europe</v>
      </c>
      <c r="B1211" s="46" t="str">
        <f>IFERROR(__xludf.DUMMYFUNCTION("""COMPUTED_VALUE"""),"Norway")</f>
        <v>Norway</v>
      </c>
      <c r="C1211" s="46" t="str">
        <f>IFERROR(__xludf.DUMMYFUNCTION("""COMPUTED_VALUE"""),"Meat")</f>
        <v>Meat</v>
      </c>
      <c r="D1211" s="46">
        <f>IFERROR(__xludf.DUMMYFUNCTION("""COMPUTED_VALUE"""),11.0)</f>
        <v>11</v>
      </c>
      <c r="E1211" s="46">
        <f>IFERROR(__xludf.DUMMYFUNCTION("""COMPUTED_VALUE"""),9.17874085E8)</f>
        <v>917874085</v>
      </c>
      <c r="F1211" s="84">
        <f>IFERROR(__xludf.DUMMYFUNCTION("""COMPUTED_VALUE"""),3456966.6599999997)</f>
        <v>3456966.66</v>
      </c>
      <c r="I1211" s="87"/>
    </row>
    <row r="1212">
      <c r="A1212" s="46" t="str">
        <f>IFERROR(__xludf.DUMMYFUNCTION("""COMPUTED_VALUE"""),"Europe")</f>
        <v>Europe</v>
      </c>
      <c r="B1212" s="46" t="str">
        <f>IFERROR(__xludf.DUMMYFUNCTION("""COMPUTED_VALUE"""),"Romania")</f>
        <v>Romania</v>
      </c>
      <c r="C1212" s="46" t="str">
        <f>IFERROR(__xludf.DUMMYFUNCTION("""COMPUTED_VALUE"""),"Personal Care")</f>
        <v>Personal Care</v>
      </c>
      <c r="D1212" s="46">
        <f>IFERROR(__xludf.DUMMYFUNCTION("""COMPUTED_VALUE"""),3.0)</f>
        <v>3</v>
      </c>
      <c r="E1212" s="46">
        <f>IFERROR(__xludf.DUMMYFUNCTION("""COMPUTED_VALUE"""),9.17904984E8)</f>
        <v>917904984</v>
      </c>
      <c r="F1212" s="84">
        <f>IFERROR(__xludf.DUMMYFUNCTION("""COMPUTED_VALUE"""),599734.74)</f>
        <v>599734.74</v>
      </c>
      <c r="I1212" s="87"/>
    </row>
    <row r="1213">
      <c r="A1213" s="46" t="str">
        <f>IFERROR(__xludf.DUMMYFUNCTION("""COMPUTED_VALUE"""),"Europe")</f>
        <v>Europe</v>
      </c>
      <c r="B1213" s="46" t="str">
        <f>IFERROR(__xludf.DUMMYFUNCTION("""COMPUTED_VALUE"""),"Finland")</f>
        <v>Finland</v>
      </c>
      <c r="C1213" s="46" t="str">
        <f>IFERROR(__xludf.DUMMYFUNCTION("""COMPUTED_VALUE"""),"Snacks")</f>
        <v>Snacks</v>
      </c>
      <c r="D1213" s="46">
        <f>IFERROR(__xludf.DUMMYFUNCTION("""COMPUTED_VALUE"""),32.0)</f>
        <v>32</v>
      </c>
      <c r="E1213" s="46">
        <f>IFERROR(__xludf.DUMMYFUNCTION("""COMPUTED_VALUE"""),9.18364179E8)</f>
        <v>918364179</v>
      </c>
      <c r="F1213" s="84">
        <f>IFERROR(__xludf.DUMMYFUNCTION("""COMPUTED_VALUE"""),491765.34)</f>
        <v>491765.34</v>
      </c>
      <c r="I1213" s="87"/>
    </row>
    <row r="1214">
      <c r="A1214" s="46" t="str">
        <f>IFERROR(__xludf.DUMMYFUNCTION("""COMPUTED_VALUE"""),"Europe")</f>
        <v>Europe</v>
      </c>
      <c r="B1214" s="46" t="str">
        <f>IFERROR(__xludf.DUMMYFUNCTION("""COMPUTED_VALUE"""),"Bosnia and Herzegovina")</f>
        <v>Bosnia and Herzegovina</v>
      </c>
      <c r="C1214" s="46" t="str">
        <f>IFERROR(__xludf.DUMMYFUNCTION("""COMPUTED_VALUE"""),"Clothes")</f>
        <v>Clothes</v>
      </c>
      <c r="D1214" s="46">
        <f>IFERROR(__xludf.DUMMYFUNCTION("""COMPUTED_VALUE"""),21.0)</f>
        <v>21</v>
      </c>
      <c r="E1214" s="46">
        <f>IFERROR(__xludf.DUMMYFUNCTION("""COMPUTED_VALUE"""),9.19133651E8)</f>
        <v>919133651</v>
      </c>
      <c r="F1214" s="84">
        <f>IFERROR(__xludf.DUMMYFUNCTION("""COMPUTED_VALUE"""),101302.56)</f>
        <v>101302.56</v>
      </c>
      <c r="I1214" s="87"/>
    </row>
    <row r="1215">
      <c r="A1215" s="46" t="str">
        <f>IFERROR(__xludf.DUMMYFUNCTION("""COMPUTED_VALUE"""),"Undefined")</f>
        <v>Undefined</v>
      </c>
      <c r="B1215" s="46" t="str">
        <f>IFERROR(__xludf.DUMMYFUNCTION("""COMPUTED_VALUE"""),"Undefined")</f>
        <v>Undefined</v>
      </c>
      <c r="C1215" s="46" t="str">
        <f>IFERROR(__xludf.DUMMYFUNCTION("""COMPUTED_VALUE"""),"Fruits")</f>
        <v>Fruits</v>
      </c>
      <c r="D1215" s="46">
        <f>IFERROR(__xludf.DUMMYFUNCTION("""COMPUTED_VALUE"""),22.0)</f>
        <v>22</v>
      </c>
      <c r="E1215" s="46">
        <f>IFERROR(__xludf.DUMMYFUNCTION("""COMPUTED_VALUE"""),9.19922006E8)</f>
        <v>919922006</v>
      </c>
      <c r="F1215" s="84">
        <f>IFERROR(__xludf.DUMMYFUNCTION("""COMPUTED_VALUE"""),39363.27)</f>
        <v>39363.27</v>
      </c>
      <c r="I1215" s="87"/>
    </row>
    <row r="1216">
      <c r="A1216" s="46" t="str">
        <f>IFERROR(__xludf.DUMMYFUNCTION("""COMPUTED_VALUE"""),"Europe")</f>
        <v>Europe</v>
      </c>
      <c r="B1216" s="46" t="str">
        <f>IFERROR(__xludf.DUMMYFUNCTION("""COMPUTED_VALUE"""),"Czech Republic")</f>
        <v>Czech Republic</v>
      </c>
      <c r="C1216" s="46" t="str">
        <f>IFERROR(__xludf.DUMMYFUNCTION("""COMPUTED_VALUE"""),"Meat")</f>
        <v>Meat</v>
      </c>
      <c r="D1216" s="46">
        <f>IFERROR(__xludf.DUMMYFUNCTION("""COMPUTED_VALUE"""),34.0)</f>
        <v>34</v>
      </c>
      <c r="E1216" s="46">
        <f>IFERROR(__xludf.DUMMYFUNCTION("""COMPUTED_VALUE"""),9.2001127E8)</f>
        <v>920011270</v>
      </c>
      <c r="F1216" s="84">
        <f>IFERROR(__xludf.DUMMYFUNCTION("""COMPUTED_VALUE"""),267478.26)</f>
        <v>267478.26</v>
      </c>
      <c r="I1216" s="87"/>
    </row>
    <row r="1217">
      <c r="A1217" s="46" t="str">
        <f>IFERROR(__xludf.DUMMYFUNCTION("""COMPUTED_VALUE"""),"Europe")</f>
        <v>Europe</v>
      </c>
      <c r="B1217" s="46" t="str">
        <f>IFERROR(__xludf.DUMMYFUNCTION("""COMPUTED_VALUE"""),"Ukraine")</f>
        <v>Ukraine</v>
      </c>
      <c r="C1217" s="46" t="str">
        <f>IFERROR(__xludf.DUMMYFUNCTION("""COMPUTED_VALUE"""),"Baby Food")</f>
        <v>Baby Food</v>
      </c>
      <c r="D1217" s="46">
        <f>IFERROR(__xludf.DUMMYFUNCTION("""COMPUTED_VALUE"""),38.0)</f>
        <v>38</v>
      </c>
      <c r="E1217" s="46">
        <f>IFERROR(__xludf.DUMMYFUNCTION("""COMPUTED_VALUE"""),9.20688903E8)</f>
        <v>920688903</v>
      </c>
      <c r="F1217" s="84">
        <f>IFERROR(__xludf.DUMMYFUNCTION("""COMPUTED_VALUE"""),296380.08)</f>
        <v>296380.08</v>
      </c>
      <c r="I1217" s="87"/>
    </row>
    <row r="1218">
      <c r="A1218" s="46" t="str">
        <f>IFERROR(__xludf.DUMMYFUNCTION("""COMPUTED_VALUE"""),"Europe")</f>
        <v>Europe</v>
      </c>
      <c r="B1218" s="46" t="str">
        <f>IFERROR(__xludf.DUMMYFUNCTION("""COMPUTED_VALUE"""),"Belgium")</f>
        <v>Belgium</v>
      </c>
      <c r="C1218" s="46" t="str">
        <f>IFERROR(__xludf.DUMMYFUNCTION("""COMPUTED_VALUE"""),"Snacks")</f>
        <v>Snacks</v>
      </c>
      <c r="D1218" s="46">
        <f>IFERROR(__xludf.DUMMYFUNCTION("""COMPUTED_VALUE"""),6.0)</f>
        <v>6</v>
      </c>
      <c r="E1218" s="46">
        <f>IFERROR(__xludf.DUMMYFUNCTION("""COMPUTED_VALUE"""),9.21133935E8)</f>
        <v>921133935</v>
      </c>
      <c r="F1218" s="84">
        <f>IFERROR(__xludf.DUMMYFUNCTION("""COMPUTED_VALUE"""),435768.48000000004)</f>
        <v>435768.48</v>
      </c>
      <c r="I1218" s="87"/>
    </row>
    <row r="1219">
      <c r="A1219" s="46" t="str">
        <f>IFERROR(__xludf.DUMMYFUNCTION("""COMPUTED_VALUE"""),"Europe")</f>
        <v>Europe</v>
      </c>
      <c r="B1219" s="46" t="str">
        <f>IFERROR(__xludf.DUMMYFUNCTION("""COMPUTED_VALUE"""),"Portugal")</f>
        <v>Portugal</v>
      </c>
      <c r="C1219" s="46" t="str">
        <f>IFERROR(__xludf.DUMMYFUNCTION("""COMPUTED_VALUE"""),"Baby Food")</f>
        <v>Baby Food</v>
      </c>
      <c r="D1219" s="46">
        <f>IFERROR(__xludf.DUMMYFUNCTION("""COMPUTED_VALUE"""),50.0)</f>
        <v>50</v>
      </c>
      <c r="E1219" s="46">
        <f>IFERROR(__xludf.DUMMYFUNCTION("""COMPUTED_VALUE"""),9.21230065E8)</f>
        <v>921230065</v>
      </c>
      <c r="F1219" s="84">
        <f>IFERROR(__xludf.DUMMYFUNCTION("""COMPUTED_VALUE"""),332629.84)</f>
        <v>332629.84</v>
      </c>
      <c r="I1219" s="87"/>
    </row>
    <row r="1220">
      <c r="A1220" s="46" t="str">
        <f>IFERROR(__xludf.DUMMYFUNCTION("""COMPUTED_VALUE"""),"Europe")</f>
        <v>Europe</v>
      </c>
      <c r="B1220" s="46" t="str">
        <f>IFERROR(__xludf.DUMMYFUNCTION("""COMPUTED_VALUE"""),"Greece")</f>
        <v>Greece</v>
      </c>
      <c r="C1220" s="46" t="str">
        <f>IFERROR(__xludf.DUMMYFUNCTION("""COMPUTED_VALUE"""),"Vegetables")</f>
        <v>Vegetables</v>
      </c>
      <c r="D1220" s="46">
        <f>IFERROR(__xludf.DUMMYFUNCTION("""COMPUTED_VALUE"""),31.0)</f>
        <v>31</v>
      </c>
      <c r="E1220" s="46">
        <f>IFERROR(__xludf.DUMMYFUNCTION("""COMPUTED_VALUE"""),9.2169398E8)</f>
        <v>921693980</v>
      </c>
      <c r="F1220" s="84">
        <f>IFERROR(__xludf.DUMMYFUNCTION("""COMPUTED_VALUE"""),1322759.16)</f>
        <v>1322759.16</v>
      </c>
      <c r="I1220" s="87"/>
    </row>
    <row r="1221">
      <c r="A1221" s="46" t="str">
        <f>IFERROR(__xludf.DUMMYFUNCTION("""COMPUTED_VALUE"""),"Europe")</f>
        <v>Europe</v>
      </c>
      <c r="B1221" s="46" t="str">
        <f>IFERROR(__xludf.DUMMYFUNCTION("""COMPUTED_VALUE"""),"Luxembourg")</f>
        <v>Luxembourg</v>
      </c>
      <c r="C1221" s="46" t="str">
        <f>IFERROR(__xludf.DUMMYFUNCTION("""COMPUTED_VALUE"""),"Clothes")</f>
        <v>Clothes</v>
      </c>
      <c r="D1221" s="46">
        <f>IFERROR(__xludf.DUMMYFUNCTION("""COMPUTED_VALUE"""),16.0)</f>
        <v>16</v>
      </c>
      <c r="E1221" s="46">
        <f>IFERROR(__xludf.DUMMYFUNCTION("""COMPUTED_VALUE"""),9.2236346E8)</f>
        <v>922363460</v>
      </c>
      <c r="F1221" s="84">
        <f>IFERROR(__xludf.DUMMYFUNCTION("""COMPUTED_VALUE"""),732176.0)</f>
        <v>732176</v>
      </c>
      <c r="I1221" s="87"/>
    </row>
    <row r="1222">
      <c r="A1222" s="46" t="str">
        <f>IFERROR(__xludf.DUMMYFUNCTION("""COMPUTED_VALUE"""),"Undefined")</f>
        <v>Undefined</v>
      </c>
      <c r="B1222" s="46" t="str">
        <f>IFERROR(__xludf.DUMMYFUNCTION("""COMPUTED_VALUE"""),"Undefined")</f>
        <v>Undefined</v>
      </c>
      <c r="C1222" s="46" t="str">
        <f>IFERROR(__xludf.DUMMYFUNCTION("""COMPUTED_VALUE"""),"Household")</f>
        <v>Household</v>
      </c>
      <c r="D1222" s="46">
        <f>IFERROR(__xludf.DUMMYFUNCTION("""COMPUTED_VALUE"""),16.0)</f>
        <v>16</v>
      </c>
      <c r="E1222" s="46">
        <f>IFERROR(__xludf.DUMMYFUNCTION("""COMPUTED_VALUE"""),9.22564303E8)</f>
        <v>922564303</v>
      </c>
      <c r="F1222" s="84">
        <f>IFERROR(__xludf.DUMMYFUNCTION("""COMPUTED_VALUE"""),4099168.1799999997)</f>
        <v>4099168.18</v>
      </c>
      <c r="I1222" s="87"/>
    </row>
    <row r="1223">
      <c r="A1223" s="46" t="str">
        <f>IFERROR(__xludf.DUMMYFUNCTION("""COMPUTED_VALUE"""),"Europe")</f>
        <v>Europe</v>
      </c>
      <c r="B1223" s="46" t="str">
        <f>IFERROR(__xludf.DUMMYFUNCTION("""COMPUTED_VALUE"""),"Andorra")</f>
        <v>Andorra</v>
      </c>
      <c r="C1223" s="46" t="str">
        <f>IFERROR(__xludf.DUMMYFUNCTION("""COMPUTED_VALUE"""),"Clothes")</f>
        <v>Clothes</v>
      </c>
      <c r="D1223" s="46">
        <f>IFERROR(__xludf.DUMMYFUNCTION("""COMPUTED_VALUE"""),32.0)</f>
        <v>32</v>
      </c>
      <c r="E1223" s="46">
        <f>IFERROR(__xludf.DUMMYFUNCTION("""COMPUTED_VALUE"""),9.23160398E8)</f>
        <v>923160398</v>
      </c>
      <c r="F1223" s="84">
        <f>IFERROR(__xludf.DUMMYFUNCTION("""COMPUTED_VALUE"""),276587.68)</f>
        <v>276587.68</v>
      </c>
      <c r="I1223" s="87"/>
    </row>
    <row r="1224">
      <c r="A1224" s="46" t="str">
        <f>IFERROR(__xludf.DUMMYFUNCTION("""COMPUTED_VALUE"""),"Europe")</f>
        <v>Europe</v>
      </c>
      <c r="B1224" s="46" t="str">
        <f>IFERROR(__xludf.DUMMYFUNCTION("""COMPUTED_VALUE"""),"Ireland")</f>
        <v>Ireland</v>
      </c>
      <c r="C1224" s="46" t="str">
        <f>IFERROR(__xludf.DUMMYFUNCTION("""COMPUTED_VALUE"""),"Vegetables")</f>
        <v>Vegetables</v>
      </c>
      <c r="D1224" s="46">
        <f>IFERROR(__xludf.DUMMYFUNCTION("""COMPUTED_VALUE"""),44.0)</f>
        <v>44</v>
      </c>
      <c r="E1224" s="46">
        <f>IFERROR(__xludf.DUMMYFUNCTION("""COMPUTED_VALUE"""),9.23922574E8)</f>
        <v>923922574</v>
      </c>
      <c r="F1224" s="84">
        <f>IFERROR(__xludf.DUMMYFUNCTION("""COMPUTED_VALUE"""),1244188.56)</f>
        <v>1244188.56</v>
      </c>
      <c r="I1224" s="87"/>
    </row>
    <row r="1225">
      <c r="A1225" s="46" t="str">
        <f>IFERROR(__xludf.DUMMYFUNCTION("""COMPUTED_VALUE"""),"Europe")</f>
        <v>Europe</v>
      </c>
      <c r="B1225" s="46" t="str">
        <f>IFERROR(__xludf.DUMMYFUNCTION("""COMPUTED_VALUE"""),"Austria")</f>
        <v>Austria</v>
      </c>
      <c r="C1225" s="46" t="str">
        <f>IFERROR(__xludf.DUMMYFUNCTION("""COMPUTED_VALUE"""),"Office Supplies")</f>
        <v>Office Supplies</v>
      </c>
      <c r="D1225" s="46">
        <f>IFERROR(__xludf.DUMMYFUNCTION("""COMPUTED_VALUE"""),20.0)</f>
        <v>20</v>
      </c>
      <c r="E1225" s="46">
        <f>IFERROR(__xludf.DUMMYFUNCTION("""COMPUTED_VALUE"""),9.26064479E8)</f>
        <v>926064479</v>
      </c>
      <c r="F1225" s="84">
        <f>IFERROR(__xludf.DUMMYFUNCTION("""COMPUTED_VALUE"""),1245764.73)</f>
        <v>1245764.73</v>
      </c>
      <c r="I1225" s="87"/>
    </row>
    <row r="1226">
      <c r="A1226" s="46" t="str">
        <f>IFERROR(__xludf.DUMMYFUNCTION("""COMPUTED_VALUE"""),"Europe")</f>
        <v>Europe</v>
      </c>
      <c r="B1226" s="46" t="str">
        <f>IFERROR(__xludf.DUMMYFUNCTION("""COMPUTED_VALUE"""),"Lithuania")</f>
        <v>Lithuania</v>
      </c>
      <c r="C1226" s="46" t="str">
        <f>IFERROR(__xludf.DUMMYFUNCTION("""COMPUTED_VALUE"""),"Beverages")</f>
        <v>Beverages</v>
      </c>
      <c r="D1226" s="46">
        <f>IFERROR(__xludf.DUMMYFUNCTION("""COMPUTED_VALUE"""),16.0)</f>
        <v>16</v>
      </c>
      <c r="E1226" s="46">
        <f>IFERROR(__xludf.DUMMYFUNCTION("""COMPUTED_VALUE"""),9.26280772E8)</f>
        <v>926280772</v>
      </c>
      <c r="F1226" s="84">
        <f>IFERROR(__xludf.DUMMYFUNCTION("""COMPUTED_VALUE"""),280856.55)</f>
        <v>280856.55</v>
      </c>
      <c r="I1226" s="87"/>
    </row>
    <row r="1227">
      <c r="A1227" s="46" t="str">
        <f>IFERROR(__xludf.DUMMYFUNCTION("""COMPUTED_VALUE"""),"Europe")</f>
        <v>Europe</v>
      </c>
      <c r="B1227" s="46" t="str">
        <f>IFERROR(__xludf.DUMMYFUNCTION("""COMPUTED_VALUE"""),"Monaco")</f>
        <v>Monaco</v>
      </c>
      <c r="C1227" s="46" t="str">
        <f>IFERROR(__xludf.DUMMYFUNCTION("""COMPUTED_VALUE"""),"Clothes")</f>
        <v>Clothes</v>
      </c>
      <c r="D1227" s="46">
        <f>IFERROR(__xludf.DUMMYFUNCTION("""COMPUTED_VALUE"""),9.0)</f>
        <v>9</v>
      </c>
      <c r="E1227" s="46">
        <f>IFERROR(__xludf.DUMMYFUNCTION("""COMPUTED_VALUE"""),9.2676357E8)</f>
        <v>926763570</v>
      </c>
      <c r="F1227" s="84">
        <f>IFERROR(__xludf.DUMMYFUNCTION("""COMPUTED_VALUE"""),960571.2)</f>
        <v>960571.2</v>
      </c>
      <c r="I1227" s="87"/>
    </row>
    <row r="1228">
      <c r="A1228" s="46" t="str">
        <f>IFERROR(__xludf.DUMMYFUNCTION("""COMPUTED_VALUE"""),"Europe")</f>
        <v>Europe</v>
      </c>
      <c r="B1228" s="46" t="str">
        <f>IFERROR(__xludf.DUMMYFUNCTION("""COMPUTED_VALUE"""),"Italy")</f>
        <v>Italy</v>
      </c>
      <c r="C1228" s="46" t="str">
        <f>IFERROR(__xludf.DUMMYFUNCTION("""COMPUTED_VALUE"""),"Baby Food")</f>
        <v>Baby Food</v>
      </c>
      <c r="D1228" s="46">
        <f>IFERROR(__xludf.DUMMYFUNCTION("""COMPUTED_VALUE"""),32.0)</f>
        <v>32</v>
      </c>
      <c r="E1228" s="46">
        <f>IFERROR(__xludf.DUMMYFUNCTION("""COMPUTED_VALUE"""),9.26826655E8)</f>
        <v>926826655</v>
      </c>
      <c r="F1228" s="84">
        <f>IFERROR(__xludf.DUMMYFUNCTION("""COMPUTED_VALUE"""),1903878.24)</f>
        <v>1903878.24</v>
      </c>
      <c r="I1228" s="87"/>
    </row>
    <row r="1229">
      <c r="A1229" s="46" t="str">
        <f>IFERROR(__xludf.DUMMYFUNCTION("""COMPUTED_VALUE"""),"Europe")</f>
        <v>Europe</v>
      </c>
      <c r="B1229" s="46" t="str">
        <f>IFERROR(__xludf.DUMMYFUNCTION("""COMPUTED_VALUE"""),"Liechtenstein")</f>
        <v>Liechtenstein</v>
      </c>
      <c r="C1229" s="46" t="str">
        <f>IFERROR(__xludf.DUMMYFUNCTION("""COMPUTED_VALUE"""),"Vegetables")</f>
        <v>Vegetables</v>
      </c>
      <c r="D1229" s="46">
        <f>IFERROR(__xludf.DUMMYFUNCTION("""COMPUTED_VALUE"""),10.0)</f>
        <v>10</v>
      </c>
      <c r="E1229" s="46">
        <f>IFERROR(__xludf.DUMMYFUNCTION("""COMPUTED_VALUE"""),9.27351081E8)</f>
        <v>927351081</v>
      </c>
      <c r="F1229" s="84">
        <f>IFERROR(__xludf.DUMMYFUNCTION("""COMPUTED_VALUE"""),407796.82)</f>
        <v>407796.82</v>
      </c>
      <c r="I1229" s="87"/>
    </row>
    <row r="1230">
      <c r="A1230" s="46" t="str">
        <f>IFERROR(__xludf.DUMMYFUNCTION("""COMPUTED_VALUE"""),"Europe")</f>
        <v>Europe</v>
      </c>
      <c r="B1230" s="46" t="str">
        <f>IFERROR(__xludf.DUMMYFUNCTION("""COMPUTED_VALUE"""),"Bulgaria")</f>
        <v>Bulgaria</v>
      </c>
      <c r="C1230" s="46" t="str">
        <f>IFERROR(__xludf.DUMMYFUNCTION("""COMPUTED_VALUE"""),"Cereal")</f>
        <v>Cereal</v>
      </c>
      <c r="D1230" s="46">
        <f>IFERROR(__xludf.DUMMYFUNCTION("""COMPUTED_VALUE"""),26.0)</f>
        <v>26</v>
      </c>
      <c r="E1230" s="46">
        <f>IFERROR(__xludf.DUMMYFUNCTION("""COMPUTED_VALUE"""),9.28168189E8)</f>
        <v>928168189</v>
      </c>
      <c r="F1230" s="84">
        <f>IFERROR(__xludf.DUMMYFUNCTION("""COMPUTED_VALUE"""),914953.6)</f>
        <v>914953.6</v>
      </c>
      <c r="I1230" s="87"/>
    </row>
    <row r="1231">
      <c r="A1231" s="46" t="str">
        <f>IFERROR(__xludf.DUMMYFUNCTION("""COMPUTED_VALUE"""),"Europe")</f>
        <v>Europe</v>
      </c>
      <c r="B1231" s="46" t="str">
        <f>IFERROR(__xludf.DUMMYFUNCTION("""COMPUTED_VALUE"""),"Romania")</f>
        <v>Romania</v>
      </c>
      <c r="C1231" s="46" t="str">
        <f>IFERROR(__xludf.DUMMYFUNCTION("""COMPUTED_VALUE"""),"Meat")</f>
        <v>Meat</v>
      </c>
      <c r="D1231" s="46">
        <f>IFERROR(__xludf.DUMMYFUNCTION("""COMPUTED_VALUE"""),3.0)</f>
        <v>3</v>
      </c>
      <c r="E1231" s="46">
        <f>IFERROR(__xludf.DUMMYFUNCTION("""COMPUTED_VALUE"""),9.29812705E8)</f>
        <v>929812705</v>
      </c>
      <c r="F1231" s="84">
        <f>IFERROR(__xludf.DUMMYFUNCTION("""COMPUTED_VALUE"""),462813.32999999996)</f>
        <v>462813.33</v>
      </c>
      <c r="I1231" s="87"/>
    </row>
    <row r="1232">
      <c r="A1232" s="46" t="str">
        <f>IFERROR(__xludf.DUMMYFUNCTION("""COMPUTED_VALUE"""),"Europe")</f>
        <v>Europe</v>
      </c>
      <c r="B1232" s="46" t="str">
        <f>IFERROR(__xludf.DUMMYFUNCTION("""COMPUTED_VALUE"""),"Hungary")</f>
        <v>Hungary</v>
      </c>
      <c r="C1232" s="46" t="str">
        <f>IFERROR(__xludf.DUMMYFUNCTION("""COMPUTED_VALUE"""),"Beverages")</f>
        <v>Beverages</v>
      </c>
      <c r="D1232" s="46">
        <f>IFERROR(__xludf.DUMMYFUNCTION("""COMPUTED_VALUE"""),32.0)</f>
        <v>32</v>
      </c>
      <c r="E1232" s="46">
        <f>IFERROR(__xludf.DUMMYFUNCTION("""COMPUTED_VALUE"""),9.30136287E8)</f>
        <v>930136287</v>
      </c>
      <c r="F1232" s="84">
        <f>IFERROR(__xludf.DUMMYFUNCTION("""COMPUTED_VALUE"""),325127.4)</f>
        <v>325127.4</v>
      </c>
      <c r="I1232" s="87"/>
    </row>
    <row r="1233">
      <c r="A1233" s="46" t="str">
        <f>IFERROR(__xludf.DUMMYFUNCTION("""COMPUTED_VALUE"""),"Europe")</f>
        <v>Europe</v>
      </c>
      <c r="B1233" s="46" t="str">
        <f>IFERROR(__xludf.DUMMYFUNCTION("""COMPUTED_VALUE"""),"Lithuania")</f>
        <v>Lithuania</v>
      </c>
      <c r="C1233" s="46" t="str">
        <f>IFERROR(__xludf.DUMMYFUNCTION("""COMPUTED_VALUE"""),"Meat")</f>
        <v>Meat</v>
      </c>
      <c r="D1233" s="46">
        <f>IFERROR(__xludf.DUMMYFUNCTION("""COMPUTED_VALUE"""),34.0)</f>
        <v>34</v>
      </c>
      <c r="E1233" s="46">
        <f>IFERROR(__xludf.DUMMYFUNCTION("""COMPUTED_VALUE"""),9.3029679E8)</f>
        <v>930296790</v>
      </c>
      <c r="F1233" s="84">
        <f>IFERROR(__xludf.DUMMYFUNCTION("""COMPUTED_VALUE"""),1834377.72)</f>
        <v>1834377.72</v>
      </c>
      <c r="I1233" s="87"/>
    </row>
    <row r="1234">
      <c r="A1234" s="46" t="str">
        <f>IFERROR(__xludf.DUMMYFUNCTION("""COMPUTED_VALUE"""),"Europe")</f>
        <v>Europe</v>
      </c>
      <c r="B1234" s="46" t="str">
        <f>IFERROR(__xludf.DUMMYFUNCTION("""COMPUTED_VALUE"""),"Montenegro")</f>
        <v>Montenegro</v>
      </c>
      <c r="C1234" s="46" t="str">
        <f>IFERROR(__xludf.DUMMYFUNCTION("""COMPUTED_VALUE"""),"Cereal")</f>
        <v>Cereal</v>
      </c>
      <c r="D1234" s="46">
        <f>IFERROR(__xludf.DUMMYFUNCTION("""COMPUTED_VALUE"""),36.0)</f>
        <v>36</v>
      </c>
      <c r="E1234" s="46">
        <f>IFERROR(__xludf.DUMMYFUNCTION("""COMPUTED_VALUE"""),9.30457293E8)</f>
        <v>930457293</v>
      </c>
      <c r="F1234" s="84">
        <f>IFERROR(__xludf.DUMMYFUNCTION("""COMPUTED_VALUE"""),379516.5)</f>
        <v>379516.5</v>
      </c>
      <c r="I1234" s="87"/>
    </row>
    <row r="1235">
      <c r="A1235" s="46" t="str">
        <f>IFERROR(__xludf.DUMMYFUNCTION("""COMPUTED_VALUE"""),"Europe")</f>
        <v>Europe</v>
      </c>
      <c r="B1235" s="46" t="str">
        <f>IFERROR(__xludf.DUMMYFUNCTION("""COMPUTED_VALUE"""),"Norway")</f>
        <v>Norway</v>
      </c>
      <c r="C1235" s="46" t="str">
        <f>IFERROR(__xludf.DUMMYFUNCTION("""COMPUTED_VALUE"""),"Meat")</f>
        <v>Meat</v>
      </c>
      <c r="D1235" s="46">
        <f>IFERROR(__xludf.DUMMYFUNCTION("""COMPUTED_VALUE"""),17.0)</f>
        <v>17</v>
      </c>
      <c r="E1235" s="46">
        <f>IFERROR(__xludf.DUMMYFUNCTION("""COMPUTED_VALUE"""),9.30670154E8)</f>
        <v>930670154</v>
      </c>
      <c r="F1235" s="84">
        <f>IFERROR(__xludf.DUMMYFUNCTION("""COMPUTED_VALUE"""),2039838.15)</f>
        <v>2039838.15</v>
      </c>
      <c r="I1235" s="87"/>
    </row>
    <row r="1236">
      <c r="A1236" s="46" t="str">
        <f>IFERROR(__xludf.DUMMYFUNCTION("""COMPUTED_VALUE"""),"Europe")</f>
        <v>Europe</v>
      </c>
      <c r="B1236" s="46" t="str">
        <f>IFERROR(__xludf.DUMMYFUNCTION("""COMPUTED_VALUE"""),"Belgium")</f>
        <v>Belgium</v>
      </c>
      <c r="C1236" s="46" t="str">
        <f>IFERROR(__xludf.DUMMYFUNCTION("""COMPUTED_VALUE"""),"Beverages")</f>
        <v>Beverages</v>
      </c>
      <c r="D1236" s="46">
        <f>IFERROR(__xludf.DUMMYFUNCTION("""COMPUTED_VALUE"""),26.0)</f>
        <v>26</v>
      </c>
      <c r="E1236" s="46">
        <f>IFERROR(__xludf.DUMMYFUNCTION("""COMPUTED_VALUE"""),9.3147782E8)</f>
        <v>931477820</v>
      </c>
      <c r="F1236" s="84">
        <f>IFERROR(__xludf.DUMMYFUNCTION("""COMPUTED_VALUE"""),182255.45)</f>
        <v>182255.45</v>
      </c>
      <c r="I1236" s="87"/>
    </row>
    <row r="1237">
      <c r="A1237" s="46" t="str">
        <f>IFERROR(__xludf.DUMMYFUNCTION("""COMPUTED_VALUE"""),"Europe")</f>
        <v>Europe</v>
      </c>
      <c r="B1237" s="46" t="str">
        <f>IFERROR(__xludf.DUMMYFUNCTION("""COMPUTED_VALUE"""),"Hungary")</f>
        <v>Hungary</v>
      </c>
      <c r="C1237" s="46" t="str">
        <f>IFERROR(__xludf.DUMMYFUNCTION("""COMPUTED_VALUE"""),"Clothes")</f>
        <v>Clothes</v>
      </c>
      <c r="D1237" s="46">
        <f>IFERROR(__xludf.DUMMYFUNCTION("""COMPUTED_VALUE"""),10.0)</f>
        <v>10</v>
      </c>
      <c r="E1237" s="46">
        <f>IFERROR(__xludf.DUMMYFUNCTION("""COMPUTED_VALUE"""),9.31559789E8)</f>
        <v>931559789</v>
      </c>
      <c r="F1237" s="84">
        <f>IFERROR(__xludf.DUMMYFUNCTION("""COMPUTED_VALUE"""),884949.4400000001)</f>
        <v>884949.44</v>
      </c>
      <c r="I1237" s="87"/>
    </row>
    <row r="1238">
      <c r="A1238" s="46" t="str">
        <f>IFERROR(__xludf.DUMMYFUNCTION("""COMPUTED_VALUE"""),"Europe")</f>
        <v>Europe</v>
      </c>
      <c r="B1238" s="46" t="str">
        <f>IFERROR(__xludf.DUMMYFUNCTION("""COMPUTED_VALUE"""),"Andorra")</f>
        <v>Andorra</v>
      </c>
      <c r="C1238" s="46" t="str">
        <f>IFERROR(__xludf.DUMMYFUNCTION("""COMPUTED_VALUE"""),"Beverages")</f>
        <v>Beverages</v>
      </c>
      <c r="D1238" s="46">
        <f>IFERROR(__xludf.DUMMYFUNCTION("""COMPUTED_VALUE"""),43.0)</f>
        <v>43</v>
      </c>
      <c r="E1238" s="46">
        <f>IFERROR(__xludf.DUMMYFUNCTION("""COMPUTED_VALUE"""),9.32475602E8)</f>
        <v>932475602</v>
      </c>
      <c r="F1238" s="84">
        <f>IFERROR(__xludf.DUMMYFUNCTION("""COMPUTED_VALUE"""),432127.15)</f>
        <v>432127.15</v>
      </c>
      <c r="I1238" s="87"/>
    </row>
    <row r="1239">
      <c r="A1239" s="46" t="str">
        <f>IFERROR(__xludf.DUMMYFUNCTION("""COMPUTED_VALUE"""),"Europe")</f>
        <v>Europe</v>
      </c>
      <c r="B1239" s="46" t="str">
        <f>IFERROR(__xludf.DUMMYFUNCTION("""COMPUTED_VALUE"""),"Montenegro")</f>
        <v>Montenegro</v>
      </c>
      <c r="C1239" s="46" t="str">
        <f>IFERROR(__xludf.DUMMYFUNCTION("""COMPUTED_VALUE"""),"Personal Care")</f>
        <v>Personal Care</v>
      </c>
      <c r="D1239" s="46">
        <f>IFERROR(__xludf.DUMMYFUNCTION("""COMPUTED_VALUE"""),30.0)</f>
        <v>30</v>
      </c>
      <c r="E1239" s="46">
        <f>IFERROR(__xludf.DUMMYFUNCTION("""COMPUTED_VALUE"""),9.33642041E8)</f>
        <v>933642041</v>
      </c>
      <c r="F1239" s="84">
        <f>IFERROR(__xludf.DUMMYFUNCTION("""COMPUTED_VALUE"""),349967.86000000004)</f>
        <v>349967.86</v>
      </c>
      <c r="I1239" s="87"/>
    </row>
    <row r="1240">
      <c r="A1240" s="46" t="str">
        <f>IFERROR(__xludf.DUMMYFUNCTION("""COMPUTED_VALUE"""),"Europe")</f>
        <v>Europe</v>
      </c>
      <c r="B1240" s="46" t="str">
        <f>IFERROR(__xludf.DUMMYFUNCTION("""COMPUTED_VALUE"""),"Netherlands")</f>
        <v>Netherlands</v>
      </c>
      <c r="C1240" s="46" t="str">
        <f>IFERROR(__xludf.DUMMYFUNCTION("""COMPUTED_VALUE"""),"Personal Care")</f>
        <v>Personal Care</v>
      </c>
      <c r="D1240" s="46">
        <f>IFERROR(__xludf.DUMMYFUNCTION("""COMPUTED_VALUE"""),11.0)</f>
        <v>11</v>
      </c>
      <c r="E1240" s="46">
        <f>IFERROR(__xludf.DUMMYFUNCTION("""COMPUTED_VALUE"""),9.33699119E8)</f>
        <v>933699119</v>
      </c>
      <c r="F1240" s="84">
        <f>IFERROR(__xludf.DUMMYFUNCTION("""COMPUTED_VALUE"""),95869.29000000001)</f>
        <v>95869.29</v>
      </c>
      <c r="I1240" s="87"/>
    </row>
    <row r="1241">
      <c r="A1241" s="46" t="str">
        <f>IFERROR(__xludf.DUMMYFUNCTION("""COMPUTED_VALUE"""),"Europe")</f>
        <v>Europe</v>
      </c>
      <c r="B1241" s="46" t="str">
        <f>IFERROR(__xludf.DUMMYFUNCTION("""COMPUTED_VALUE"""),"Liechtenstein")</f>
        <v>Liechtenstein</v>
      </c>
      <c r="C1241" s="46" t="str">
        <f>IFERROR(__xludf.DUMMYFUNCTION("""COMPUTED_VALUE"""),"Vegetables")</f>
        <v>Vegetables</v>
      </c>
      <c r="D1241" s="46">
        <f>IFERROR(__xludf.DUMMYFUNCTION("""COMPUTED_VALUE"""),48.0)</f>
        <v>48</v>
      </c>
      <c r="E1241" s="46">
        <f>IFERROR(__xludf.DUMMYFUNCTION("""COMPUTED_VALUE"""),9.33720576E8)</f>
        <v>933720576</v>
      </c>
      <c r="F1241" s="84">
        <f>IFERROR(__xludf.DUMMYFUNCTION("""COMPUTED_VALUE"""),1158993.3800000001)</f>
        <v>1158993.38</v>
      </c>
      <c r="I1241" s="87"/>
    </row>
    <row r="1242">
      <c r="A1242" s="46" t="str">
        <f>IFERROR(__xludf.DUMMYFUNCTION("""COMPUTED_VALUE"""),"Europe")</f>
        <v>Europe</v>
      </c>
      <c r="B1242" s="46" t="str">
        <f>IFERROR(__xludf.DUMMYFUNCTION("""COMPUTED_VALUE"""),"Switzerland")</f>
        <v>Switzerland</v>
      </c>
      <c r="C1242" s="46" t="str">
        <f>IFERROR(__xludf.DUMMYFUNCTION("""COMPUTED_VALUE"""),"Clothes")</f>
        <v>Clothes</v>
      </c>
      <c r="D1242" s="46">
        <f>IFERROR(__xludf.DUMMYFUNCTION("""COMPUTED_VALUE"""),34.0)</f>
        <v>34</v>
      </c>
      <c r="E1242" s="46">
        <f>IFERROR(__xludf.DUMMYFUNCTION("""COMPUTED_VALUE"""),9.33963048E8)</f>
        <v>933963048</v>
      </c>
      <c r="F1242" s="84">
        <f>IFERROR(__xludf.DUMMYFUNCTION("""COMPUTED_VALUE"""),1013572.0)</f>
        <v>1013572</v>
      </c>
      <c r="I1242" s="87"/>
    </row>
    <row r="1243">
      <c r="A1243" s="46" t="str">
        <f>IFERROR(__xludf.DUMMYFUNCTION("""COMPUTED_VALUE"""),"Europe")</f>
        <v>Europe</v>
      </c>
      <c r="B1243" s="46" t="str">
        <f>IFERROR(__xludf.DUMMYFUNCTION("""COMPUTED_VALUE"""),"Ireland")</f>
        <v>Ireland</v>
      </c>
      <c r="C1243" s="46" t="str">
        <f>IFERROR(__xludf.DUMMYFUNCTION("""COMPUTED_VALUE"""),"Vegetables")</f>
        <v>Vegetables</v>
      </c>
      <c r="D1243" s="46">
        <f>IFERROR(__xludf.DUMMYFUNCTION("""COMPUTED_VALUE"""),14.0)</f>
        <v>14</v>
      </c>
      <c r="E1243" s="46">
        <f>IFERROR(__xludf.DUMMYFUNCTION("""COMPUTED_VALUE"""),9.34718358E8)</f>
        <v>934718358</v>
      </c>
      <c r="F1243" s="84">
        <f>IFERROR(__xludf.DUMMYFUNCTION("""COMPUTED_VALUE"""),429673.34)</f>
        <v>429673.34</v>
      </c>
      <c r="I1243" s="87"/>
    </row>
    <row r="1244">
      <c r="A1244" s="46" t="str">
        <f>IFERROR(__xludf.DUMMYFUNCTION("""COMPUTED_VALUE"""),"Europe")</f>
        <v>Europe</v>
      </c>
      <c r="B1244" s="46" t="str">
        <f>IFERROR(__xludf.DUMMYFUNCTION("""COMPUTED_VALUE"""),"Belarus")</f>
        <v>Belarus</v>
      </c>
      <c r="C1244" s="46" t="str">
        <f>IFERROR(__xludf.DUMMYFUNCTION("""COMPUTED_VALUE"""),"Beverages")</f>
        <v>Beverages</v>
      </c>
      <c r="D1244" s="46">
        <f>IFERROR(__xludf.DUMMYFUNCTION("""COMPUTED_VALUE"""),46.0)</f>
        <v>46</v>
      </c>
      <c r="E1244" s="46">
        <f>IFERROR(__xludf.DUMMYFUNCTION("""COMPUTED_VALUE"""),9.35789954E8)</f>
        <v>935789954</v>
      </c>
      <c r="F1244" s="84">
        <f>IFERROR(__xludf.DUMMYFUNCTION("""COMPUTED_VALUE"""),469660.10000000003)</f>
        <v>469660.1</v>
      </c>
      <c r="I1244" s="87"/>
    </row>
    <row r="1245">
      <c r="A1245" s="46" t="str">
        <f>IFERROR(__xludf.DUMMYFUNCTION("""COMPUTED_VALUE"""),"Europe")</f>
        <v>Europe</v>
      </c>
      <c r="B1245" s="46" t="str">
        <f>IFERROR(__xludf.DUMMYFUNCTION("""COMPUTED_VALUE"""),"Macedonia")</f>
        <v>Macedonia</v>
      </c>
      <c r="C1245" s="46" t="str">
        <f>IFERROR(__xludf.DUMMYFUNCTION("""COMPUTED_VALUE"""),"Beverages")</f>
        <v>Beverages</v>
      </c>
      <c r="D1245" s="46">
        <f>IFERROR(__xludf.DUMMYFUNCTION("""COMPUTED_VALUE"""),25.0)</f>
        <v>25</v>
      </c>
      <c r="E1245" s="46">
        <f>IFERROR(__xludf.DUMMYFUNCTION("""COMPUTED_VALUE"""),9.35907542E8)</f>
        <v>935907542</v>
      </c>
      <c r="F1245" s="84">
        <f>IFERROR(__xludf.DUMMYFUNCTION("""COMPUTED_VALUE"""),222777.75)</f>
        <v>222777.75</v>
      </c>
      <c r="I1245" s="87"/>
    </row>
    <row r="1246">
      <c r="A1246" s="46" t="str">
        <f>IFERROR(__xludf.DUMMYFUNCTION("""COMPUTED_VALUE"""),"Europe")</f>
        <v>Europe</v>
      </c>
      <c r="B1246" s="46" t="str">
        <f>IFERROR(__xludf.DUMMYFUNCTION("""COMPUTED_VALUE"""),"Latvia")</f>
        <v>Latvia</v>
      </c>
      <c r="C1246" s="46" t="str">
        <f>IFERROR(__xludf.DUMMYFUNCTION("""COMPUTED_VALUE"""),"Personal Care")</f>
        <v>Personal Care</v>
      </c>
      <c r="D1246" s="46">
        <f>IFERROR(__xludf.DUMMYFUNCTION("""COMPUTED_VALUE"""),4.0)</f>
        <v>4</v>
      </c>
      <c r="E1246" s="46">
        <f>IFERROR(__xludf.DUMMYFUNCTION("""COMPUTED_VALUE"""),9.36411798E8)</f>
        <v>936411798</v>
      </c>
      <c r="F1246" s="84">
        <f>IFERROR(__xludf.DUMMYFUNCTION("""COMPUTED_VALUE"""),319972.95)</f>
        <v>319972.95</v>
      </c>
      <c r="I1246" s="87"/>
    </row>
    <row r="1247">
      <c r="A1247" s="46" t="str">
        <f>IFERROR(__xludf.DUMMYFUNCTION("""COMPUTED_VALUE"""),"Europe")</f>
        <v>Europe</v>
      </c>
      <c r="B1247" s="46" t="str">
        <f>IFERROR(__xludf.DUMMYFUNCTION("""COMPUTED_VALUE"""),"Greece")</f>
        <v>Greece</v>
      </c>
      <c r="C1247" s="46" t="str">
        <f>IFERROR(__xludf.DUMMYFUNCTION("""COMPUTED_VALUE"""),"Vegetables")</f>
        <v>Vegetables</v>
      </c>
      <c r="D1247" s="46">
        <f>IFERROR(__xludf.DUMMYFUNCTION("""COMPUTED_VALUE"""),4.0)</f>
        <v>4</v>
      </c>
      <c r="E1247" s="46">
        <f>IFERROR(__xludf.DUMMYFUNCTION("""COMPUTED_VALUE"""),9.3654741E8)</f>
        <v>936547410</v>
      </c>
      <c r="F1247" s="84">
        <f>IFERROR(__xludf.DUMMYFUNCTION("""COMPUTED_VALUE"""),623326.76)</f>
        <v>623326.76</v>
      </c>
      <c r="I1247" s="87"/>
    </row>
    <row r="1248">
      <c r="A1248" s="46" t="str">
        <f>IFERROR(__xludf.DUMMYFUNCTION("""COMPUTED_VALUE"""),"Europe")</f>
        <v>Europe</v>
      </c>
      <c r="B1248" s="46" t="str">
        <f>IFERROR(__xludf.DUMMYFUNCTION("""COMPUTED_VALUE"""),"Slovakia")</f>
        <v>Slovakia</v>
      </c>
      <c r="C1248" s="46" t="str">
        <f>IFERROR(__xludf.DUMMYFUNCTION("""COMPUTED_VALUE"""),"Vegetables")</f>
        <v>Vegetables</v>
      </c>
      <c r="D1248" s="46">
        <f>IFERROR(__xludf.DUMMYFUNCTION("""COMPUTED_VALUE"""),34.0)</f>
        <v>34</v>
      </c>
      <c r="E1248" s="46">
        <f>IFERROR(__xludf.DUMMYFUNCTION("""COMPUTED_VALUE"""),9.36664998E8)</f>
        <v>936664998</v>
      </c>
      <c r="F1248" s="84">
        <f>IFERROR(__xludf.DUMMYFUNCTION("""COMPUTED_VALUE"""),1362352.58)</f>
        <v>1362352.58</v>
      </c>
      <c r="I1248" s="87"/>
    </row>
    <row r="1249">
      <c r="A1249" s="46" t="str">
        <f>IFERROR(__xludf.DUMMYFUNCTION("""COMPUTED_VALUE"""),"Europe")</f>
        <v>Europe</v>
      </c>
      <c r="B1249" s="46" t="str">
        <f>IFERROR(__xludf.DUMMYFUNCTION("""COMPUTED_VALUE"""),"San Marino")</f>
        <v>San Marino</v>
      </c>
      <c r="C1249" s="46" t="str">
        <f>IFERROR(__xludf.DUMMYFUNCTION("""COMPUTED_VALUE"""),"Clothes")</f>
        <v>Clothes</v>
      </c>
      <c r="D1249" s="46">
        <f>IFERROR(__xludf.DUMMYFUNCTION("""COMPUTED_VALUE"""),31.0)</f>
        <v>31</v>
      </c>
      <c r="E1249" s="46">
        <f>IFERROR(__xludf.DUMMYFUNCTION("""COMPUTED_VALUE"""),9.3787564E8)</f>
        <v>937875640</v>
      </c>
      <c r="F1249" s="84">
        <f>IFERROR(__xludf.DUMMYFUNCTION("""COMPUTED_VALUE"""),775669.4400000001)</f>
        <v>775669.44</v>
      </c>
      <c r="I1249" s="87"/>
    </row>
    <row r="1250">
      <c r="A1250" s="46" t="str">
        <f>IFERROR(__xludf.DUMMYFUNCTION("""COMPUTED_VALUE"""),"Europe")</f>
        <v>Europe</v>
      </c>
      <c r="B1250" s="46" t="str">
        <f>IFERROR(__xludf.DUMMYFUNCTION("""COMPUTED_VALUE"""),"Germany")</f>
        <v>Germany</v>
      </c>
      <c r="C1250" s="46" t="str">
        <f>IFERROR(__xludf.DUMMYFUNCTION("""COMPUTED_VALUE"""),"Personal Care")</f>
        <v>Personal Care</v>
      </c>
      <c r="D1250" s="46">
        <f>IFERROR(__xludf.DUMMYFUNCTION("""COMPUTED_VALUE"""),2.0)</f>
        <v>2</v>
      </c>
      <c r="E1250" s="46">
        <f>IFERROR(__xludf.DUMMYFUNCTION("""COMPUTED_VALUE"""),9.3820995E8)</f>
        <v>938209950</v>
      </c>
      <c r="F1250" s="84">
        <f>IFERROR(__xludf.DUMMYFUNCTION("""COMPUTED_VALUE"""),492668.44)</f>
        <v>492668.44</v>
      </c>
      <c r="I1250" s="87"/>
    </row>
    <row r="1251">
      <c r="A1251" s="46" t="str">
        <f>IFERROR(__xludf.DUMMYFUNCTION("""COMPUTED_VALUE"""),"Europe")</f>
        <v>Europe</v>
      </c>
      <c r="B1251" s="46" t="str">
        <f>IFERROR(__xludf.DUMMYFUNCTION("""COMPUTED_VALUE"""),"Liechtenstein")</f>
        <v>Liechtenstein</v>
      </c>
      <c r="C1251" s="46" t="str">
        <f>IFERROR(__xludf.DUMMYFUNCTION("""COMPUTED_VALUE"""),"Cereal")</f>
        <v>Cereal</v>
      </c>
      <c r="D1251" s="46">
        <f>IFERROR(__xludf.DUMMYFUNCTION("""COMPUTED_VALUE"""),39.0)</f>
        <v>39</v>
      </c>
      <c r="E1251" s="46">
        <f>IFERROR(__xludf.DUMMYFUNCTION("""COMPUTED_VALUE"""),9.40682303E8)</f>
        <v>940682303</v>
      </c>
      <c r="F1251" s="84">
        <f>IFERROR(__xludf.DUMMYFUNCTION("""COMPUTED_VALUE"""),1574016.4)</f>
        <v>1574016.4</v>
      </c>
      <c r="I1251" s="87"/>
    </row>
    <row r="1252">
      <c r="A1252" s="46" t="str">
        <f>IFERROR(__xludf.DUMMYFUNCTION("""COMPUTED_VALUE"""),"Undefined")</f>
        <v>Undefined</v>
      </c>
      <c r="B1252" s="46" t="str">
        <f>IFERROR(__xludf.DUMMYFUNCTION("""COMPUTED_VALUE"""),"Undefined")</f>
        <v>Undefined</v>
      </c>
      <c r="C1252" s="46" t="str">
        <f>IFERROR(__xludf.DUMMYFUNCTION("""COMPUTED_VALUE"""),"Vegetables")</f>
        <v>Vegetables</v>
      </c>
      <c r="D1252" s="46">
        <f>IFERROR(__xludf.DUMMYFUNCTION("""COMPUTED_VALUE"""),12.0)</f>
        <v>12</v>
      </c>
      <c r="E1252" s="46">
        <f>IFERROR(__xludf.DUMMYFUNCTION("""COMPUTED_VALUE"""),9.41061675E8)</f>
        <v>941061675</v>
      </c>
      <c r="F1252" s="84">
        <f>IFERROR(__xludf.DUMMYFUNCTION("""COMPUTED_VALUE"""),1527813.02)</f>
        <v>1527813.02</v>
      </c>
      <c r="I1252" s="87"/>
    </row>
    <row r="1253">
      <c r="A1253" s="46" t="str">
        <f>IFERROR(__xludf.DUMMYFUNCTION("""COMPUTED_VALUE"""),"Europe")</f>
        <v>Europe</v>
      </c>
      <c r="B1253" s="46" t="str">
        <f>IFERROR(__xludf.DUMMYFUNCTION("""COMPUTED_VALUE"""),"Ireland")</f>
        <v>Ireland</v>
      </c>
      <c r="C1253" s="46" t="str">
        <f>IFERROR(__xludf.DUMMYFUNCTION("""COMPUTED_VALUE"""),"Personal Care")</f>
        <v>Personal Care</v>
      </c>
      <c r="D1253" s="46">
        <f>IFERROR(__xludf.DUMMYFUNCTION("""COMPUTED_VALUE"""),6.0)</f>
        <v>6</v>
      </c>
      <c r="E1253" s="46">
        <f>IFERROR(__xludf.DUMMYFUNCTION("""COMPUTED_VALUE"""),9.41524302E8)</f>
        <v>941524302</v>
      </c>
      <c r="F1253" s="84">
        <f>IFERROR(__xludf.DUMMYFUNCTION("""COMPUTED_VALUE"""),557316.87)</f>
        <v>557316.87</v>
      </c>
      <c r="I1253" s="87"/>
    </row>
    <row r="1254">
      <c r="A1254" s="46" t="str">
        <f>IFERROR(__xludf.DUMMYFUNCTION("""COMPUTED_VALUE"""),"Europe")</f>
        <v>Europe</v>
      </c>
      <c r="B1254" s="46" t="str">
        <f>IFERROR(__xludf.DUMMYFUNCTION("""COMPUTED_VALUE"""),"Russia")</f>
        <v>Russia</v>
      </c>
      <c r="C1254" s="46" t="str">
        <f>IFERROR(__xludf.DUMMYFUNCTION("""COMPUTED_VALUE"""),"Snacks")</f>
        <v>Snacks</v>
      </c>
      <c r="D1254" s="46">
        <f>IFERROR(__xludf.DUMMYFUNCTION("""COMPUTED_VALUE"""),34.0)</f>
        <v>34</v>
      </c>
      <c r="E1254" s="46">
        <f>IFERROR(__xludf.DUMMYFUNCTION("""COMPUTED_VALUE"""),9.41933286E8)</f>
        <v>941933286</v>
      </c>
      <c r="F1254" s="84">
        <f>IFERROR(__xludf.DUMMYFUNCTION("""COMPUTED_VALUE"""),1197142.6800000002)</f>
        <v>1197142.68</v>
      </c>
      <c r="I1254" s="87"/>
    </row>
    <row r="1255">
      <c r="A1255" s="46" t="str">
        <f>IFERROR(__xludf.DUMMYFUNCTION("""COMPUTED_VALUE"""),"Europe")</f>
        <v>Europe</v>
      </c>
      <c r="B1255" s="46" t="str">
        <f>IFERROR(__xludf.DUMMYFUNCTION("""COMPUTED_VALUE"""),"Bosnia and Herzegovina")</f>
        <v>Bosnia and Herzegovina</v>
      </c>
      <c r="C1255" s="46" t="str">
        <f>IFERROR(__xludf.DUMMYFUNCTION("""COMPUTED_VALUE"""),"Vegetables")</f>
        <v>Vegetables</v>
      </c>
      <c r="D1255" s="46">
        <f>IFERROR(__xludf.DUMMYFUNCTION("""COMPUTED_VALUE"""),13.0)</f>
        <v>13</v>
      </c>
      <c r="E1255" s="46">
        <f>IFERROR(__xludf.DUMMYFUNCTION("""COMPUTED_VALUE"""),9.4237231E8)</f>
        <v>942372310</v>
      </c>
      <c r="F1255" s="84">
        <f>IFERROR(__xludf.DUMMYFUNCTION("""COMPUTED_VALUE"""),1195967.78)</f>
        <v>1195967.78</v>
      </c>
      <c r="I1255" s="87"/>
    </row>
    <row r="1256">
      <c r="A1256" s="46" t="str">
        <f>IFERROR(__xludf.DUMMYFUNCTION("""COMPUTED_VALUE"""),"Europe")</f>
        <v>Europe</v>
      </c>
      <c r="B1256" s="46" t="str">
        <f>IFERROR(__xludf.DUMMYFUNCTION("""COMPUTED_VALUE"""),"Iceland")</f>
        <v>Iceland</v>
      </c>
      <c r="C1256" s="46" t="str">
        <f>IFERROR(__xludf.DUMMYFUNCTION("""COMPUTED_VALUE"""),"Cosmetics")</f>
        <v>Cosmetics</v>
      </c>
      <c r="D1256" s="46">
        <f>IFERROR(__xludf.DUMMYFUNCTION("""COMPUTED_VALUE"""),48.0)</f>
        <v>48</v>
      </c>
      <c r="E1256" s="46">
        <f>IFERROR(__xludf.DUMMYFUNCTION("""COMPUTED_VALUE"""),9.42454278E8)</f>
        <v>942454278</v>
      </c>
      <c r="F1256" s="84">
        <f>IFERROR(__xludf.DUMMYFUNCTION("""COMPUTED_VALUE"""),882706.7999999999)</f>
        <v>882706.8</v>
      </c>
      <c r="I1256" s="87"/>
    </row>
    <row r="1257">
      <c r="A1257" s="46" t="str">
        <f>IFERROR(__xludf.DUMMYFUNCTION("""COMPUTED_VALUE"""),"Europe")</f>
        <v>Europe</v>
      </c>
      <c r="B1257" s="46" t="str">
        <f>IFERROR(__xludf.DUMMYFUNCTION("""COMPUTED_VALUE"""),"Latvia")</f>
        <v>Latvia</v>
      </c>
      <c r="C1257" s="46" t="str">
        <f>IFERROR(__xludf.DUMMYFUNCTION("""COMPUTED_VALUE"""),"Snacks")</f>
        <v>Snacks</v>
      </c>
      <c r="D1257" s="46">
        <f>IFERROR(__xludf.DUMMYFUNCTION("""COMPUTED_VALUE"""),28.0)</f>
        <v>28</v>
      </c>
      <c r="E1257" s="46">
        <f>IFERROR(__xludf.DUMMYFUNCTION("""COMPUTED_VALUE"""),9.43274819E8)</f>
        <v>943274819</v>
      </c>
      <c r="F1257" s="84">
        <f>IFERROR(__xludf.DUMMYFUNCTION("""COMPUTED_VALUE"""),737876.88)</f>
        <v>737876.88</v>
      </c>
      <c r="I1257" s="87"/>
    </row>
    <row r="1258">
      <c r="A1258" s="46" t="str">
        <f>IFERROR(__xludf.DUMMYFUNCTION("""COMPUTED_VALUE"""),"Europe")</f>
        <v>Europe</v>
      </c>
      <c r="B1258" s="46" t="str">
        <f>IFERROR(__xludf.DUMMYFUNCTION("""COMPUTED_VALUE"""),"Bulgaria")</f>
        <v>Bulgaria</v>
      </c>
      <c r="C1258" s="46" t="str">
        <f>IFERROR(__xludf.DUMMYFUNCTION("""COMPUTED_VALUE"""),"Baby Food")</f>
        <v>Baby Food</v>
      </c>
      <c r="D1258" s="46">
        <f>IFERROR(__xludf.DUMMYFUNCTION("""COMPUTED_VALUE"""),43.0)</f>
        <v>43</v>
      </c>
      <c r="E1258" s="46">
        <f>IFERROR(__xludf.DUMMYFUNCTION("""COMPUTED_VALUE"""),9.4424771E8)</f>
        <v>944247710</v>
      </c>
      <c r="F1258" s="84">
        <f>IFERROR(__xludf.DUMMYFUNCTION("""COMPUTED_VALUE"""),698446.08)</f>
        <v>698446.08</v>
      </c>
      <c r="I1258" s="87"/>
    </row>
    <row r="1259">
      <c r="A1259" s="46" t="str">
        <f>IFERROR(__xludf.DUMMYFUNCTION("""COMPUTED_VALUE"""),"Europe")</f>
        <v>Europe</v>
      </c>
      <c r="B1259" s="46" t="str">
        <f>IFERROR(__xludf.DUMMYFUNCTION("""COMPUTED_VALUE"""),"Portugal")</f>
        <v>Portugal</v>
      </c>
      <c r="C1259" s="46" t="str">
        <f>IFERROR(__xludf.DUMMYFUNCTION("""COMPUTED_VALUE"""),"Meat")</f>
        <v>Meat</v>
      </c>
      <c r="D1259" s="46">
        <f>IFERROR(__xludf.DUMMYFUNCTION("""COMPUTED_VALUE"""),45.0)</f>
        <v>45</v>
      </c>
      <c r="E1259" s="46">
        <f>IFERROR(__xludf.DUMMYFUNCTION("""COMPUTED_VALUE"""),9.44609057E8)</f>
        <v>944609057</v>
      </c>
      <c r="F1259" s="84">
        <f>IFERROR(__xludf.DUMMYFUNCTION("""COMPUTED_VALUE"""),4077988.7399999998)</f>
        <v>4077988.74</v>
      </c>
      <c r="I1259" s="87"/>
    </row>
    <row r="1260">
      <c r="A1260" s="46" t="str">
        <f>IFERROR(__xludf.DUMMYFUNCTION("""COMPUTED_VALUE"""),"Europe")</f>
        <v>Europe</v>
      </c>
      <c r="B1260" s="46" t="str">
        <f>IFERROR(__xludf.DUMMYFUNCTION("""COMPUTED_VALUE"""),"Ukraine")</f>
        <v>Ukraine</v>
      </c>
      <c r="C1260" s="46" t="str">
        <f>IFERROR(__xludf.DUMMYFUNCTION("""COMPUTED_VALUE"""),"Beverages")</f>
        <v>Beverages</v>
      </c>
      <c r="D1260" s="46">
        <f>IFERROR(__xludf.DUMMYFUNCTION("""COMPUTED_VALUE"""),2.0)</f>
        <v>2</v>
      </c>
      <c r="E1260" s="46">
        <f>IFERROR(__xludf.DUMMYFUNCTION("""COMPUTED_VALUE"""),9.46421372E8)</f>
        <v>946421372</v>
      </c>
      <c r="F1260" s="84">
        <f>IFERROR(__xludf.DUMMYFUNCTION("""COMPUTED_VALUE"""),283323.95)</f>
        <v>283323.95</v>
      </c>
      <c r="I1260" s="87"/>
    </row>
    <row r="1261">
      <c r="A1261" s="46" t="str">
        <f>IFERROR(__xludf.DUMMYFUNCTION("""COMPUTED_VALUE"""),"Europe")</f>
        <v>Europe</v>
      </c>
      <c r="B1261" s="46" t="str">
        <f>IFERROR(__xludf.DUMMYFUNCTION("""COMPUTED_VALUE"""),"Ireland")</f>
        <v>Ireland</v>
      </c>
      <c r="C1261" s="46" t="str">
        <f>IFERROR(__xludf.DUMMYFUNCTION("""COMPUTED_VALUE"""),"Cereal")</f>
        <v>Cereal</v>
      </c>
      <c r="D1261" s="46">
        <f>IFERROR(__xludf.DUMMYFUNCTION("""COMPUTED_VALUE"""),49.0)</f>
        <v>49</v>
      </c>
      <c r="E1261" s="46">
        <f>IFERROR(__xludf.DUMMYFUNCTION("""COMPUTED_VALUE"""),9.46823489E8)</f>
        <v>946823489</v>
      </c>
      <c r="F1261" s="84">
        <f>IFERROR(__xludf.DUMMYFUNCTION("""COMPUTED_VALUE"""),1021506.2)</f>
        <v>1021506.2</v>
      </c>
      <c r="I1261" s="87"/>
    </row>
    <row r="1262">
      <c r="A1262" s="46" t="str">
        <f>IFERROR(__xludf.DUMMYFUNCTION("""COMPUTED_VALUE"""),"Asia")</f>
        <v>Asia</v>
      </c>
      <c r="B1262" s="46" t="str">
        <f>IFERROR(__xludf.DUMMYFUNCTION("""COMPUTED_VALUE"""),"Georgia")</f>
        <v>Georgia</v>
      </c>
      <c r="C1262" s="46" t="str">
        <f>IFERROR(__xludf.DUMMYFUNCTION("""COMPUTED_VALUE"""),"Snacks")</f>
        <v>Snacks</v>
      </c>
      <c r="D1262" s="46">
        <f>IFERROR(__xludf.DUMMYFUNCTION("""COMPUTED_VALUE"""),12.0)</f>
        <v>12</v>
      </c>
      <c r="E1262" s="46">
        <f>IFERROR(__xludf.DUMMYFUNCTION("""COMPUTED_VALUE"""),9.47073256E8)</f>
        <v>947073256</v>
      </c>
      <c r="F1262" s="84">
        <f>IFERROR(__xludf.DUMMYFUNCTION("""COMPUTED_VALUE"""),1354605.2400000002)</f>
        <v>1354605.24</v>
      </c>
      <c r="I1262" s="87"/>
    </row>
    <row r="1263">
      <c r="A1263" s="46" t="str">
        <f>IFERROR(__xludf.DUMMYFUNCTION("""COMPUTED_VALUE"""),"Europe")</f>
        <v>Europe</v>
      </c>
      <c r="B1263" s="46" t="str">
        <f>IFERROR(__xludf.DUMMYFUNCTION("""COMPUTED_VALUE"""),"Ukraine")</f>
        <v>Ukraine</v>
      </c>
      <c r="C1263" s="46" t="str">
        <f>IFERROR(__xludf.DUMMYFUNCTION("""COMPUTED_VALUE"""),"Beverages")</f>
        <v>Beverages</v>
      </c>
      <c r="D1263" s="46">
        <f>IFERROR(__xludf.DUMMYFUNCTION("""COMPUTED_VALUE"""),43.0)</f>
        <v>43</v>
      </c>
      <c r="E1263" s="46">
        <f>IFERROR(__xludf.DUMMYFUNCTION("""COMPUTED_VALUE"""),9.47507131E8)</f>
        <v>947507131</v>
      </c>
      <c r="F1263" s="84">
        <f>IFERROR(__xludf.DUMMYFUNCTION("""COMPUTED_VALUE"""),345008.95)</f>
        <v>345008.95</v>
      </c>
      <c r="I1263" s="87"/>
    </row>
    <row r="1264">
      <c r="A1264" s="46" t="str">
        <f>IFERROR(__xludf.DUMMYFUNCTION("""COMPUTED_VALUE"""),"Europe")</f>
        <v>Europe</v>
      </c>
      <c r="B1264" s="46" t="str">
        <f>IFERROR(__xludf.DUMMYFUNCTION("""COMPUTED_VALUE"""),"Hungary")</f>
        <v>Hungary</v>
      </c>
      <c r="C1264" s="46" t="str">
        <f>IFERROR(__xludf.DUMMYFUNCTION("""COMPUTED_VALUE"""),"Beverages")</f>
        <v>Beverages</v>
      </c>
      <c r="D1264" s="46">
        <f>IFERROR(__xludf.DUMMYFUNCTION("""COMPUTED_VALUE"""),32.0)</f>
        <v>32</v>
      </c>
      <c r="E1264" s="46">
        <f>IFERROR(__xludf.DUMMYFUNCTION("""COMPUTED_VALUE"""),9.48075759E8)</f>
        <v>948075759</v>
      </c>
      <c r="F1264" s="84">
        <f>IFERROR(__xludf.DUMMYFUNCTION("""COMPUTED_VALUE"""),262873.0)</f>
        <v>262873</v>
      </c>
      <c r="I1264" s="87"/>
    </row>
    <row r="1265">
      <c r="A1265" s="46" t="str">
        <f>IFERROR(__xludf.DUMMYFUNCTION("""COMPUTED_VALUE"""),"Europe")</f>
        <v>Europe</v>
      </c>
      <c r="B1265" s="46" t="str">
        <f>IFERROR(__xludf.DUMMYFUNCTION("""COMPUTED_VALUE"""),"Bulgaria")</f>
        <v>Bulgaria</v>
      </c>
      <c r="C1265" s="46" t="str">
        <f>IFERROR(__xludf.DUMMYFUNCTION("""COMPUTED_VALUE"""),"Meat")</f>
        <v>Meat</v>
      </c>
      <c r="D1265" s="46">
        <f>IFERROR(__xludf.DUMMYFUNCTION("""COMPUTED_VALUE"""),27.0)</f>
        <v>27</v>
      </c>
      <c r="E1265" s="46">
        <f>IFERROR(__xludf.DUMMYFUNCTION("""COMPUTED_VALUE"""),9.48518216E8)</f>
        <v>948518216</v>
      </c>
      <c r="F1265" s="84">
        <f>IFERROR(__xludf.DUMMYFUNCTION("""COMPUTED_VALUE"""),2730893.9699999997)</f>
        <v>2730893.97</v>
      </c>
      <c r="I1265" s="87"/>
    </row>
    <row r="1266">
      <c r="A1266" s="46" t="str">
        <f>IFERROR(__xludf.DUMMYFUNCTION("""COMPUTED_VALUE"""),"Europe")</f>
        <v>Europe</v>
      </c>
      <c r="B1266" s="46" t="str">
        <f>IFERROR(__xludf.DUMMYFUNCTION("""COMPUTED_VALUE"""),"Russia")</f>
        <v>Russia</v>
      </c>
      <c r="C1266" s="46" t="str">
        <f>IFERROR(__xludf.DUMMYFUNCTION("""COMPUTED_VALUE"""),"Snacks")</f>
        <v>Snacks</v>
      </c>
      <c r="D1266" s="46">
        <f>IFERROR(__xludf.DUMMYFUNCTION("""COMPUTED_VALUE"""),12.0)</f>
        <v>12</v>
      </c>
      <c r="E1266" s="46">
        <f>IFERROR(__xludf.DUMMYFUNCTION("""COMPUTED_VALUE"""),9.49388539E8)</f>
        <v>949388539</v>
      </c>
      <c r="F1266" s="84">
        <f>IFERROR(__xludf.DUMMYFUNCTION("""COMPUTED_VALUE"""),613524.18)</f>
        <v>613524.18</v>
      </c>
      <c r="I1266" s="87"/>
    </row>
    <row r="1267">
      <c r="A1267" s="46" t="str">
        <f>IFERROR(__xludf.DUMMYFUNCTION("""COMPUTED_VALUE"""),"Europe")</f>
        <v>Europe</v>
      </c>
      <c r="B1267" s="46" t="str">
        <f>IFERROR(__xludf.DUMMYFUNCTION("""COMPUTED_VALUE"""),"Macedonia")</f>
        <v>Macedonia</v>
      </c>
      <c r="C1267" s="46" t="str">
        <f>IFERROR(__xludf.DUMMYFUNCTION("""COMPUTED_VALUE"""),"Beverages")</f>
        <v>Beverages</v>
      </c>
      <c r="D1267" s="46">
        <f>IFERROR(__xludf.DUMMYFUNCTION("""COMPUTED_VALUE"""),40.0)</f>
        <v>40</v>
      </c>
      <c r="E1267" s="46">
        <f>IFERROR(__xludf.DUMMYFUNCTION("""COMPUTED_VALUE"""),9.49732291E8)</f>
        <v>949732291</v>
      </c>
      <c r="F1267" s="84">
        <f>IFERROR(__xludf.DUMMYFUNCTION("""COMPUTED_VALUE"""),272600.25)</f>
        <v>272600.25</v>
      </c>
      <c r="I1267" s="87"/>
    </row>
    <row r="1268">
      <c r="A1268" s="46" t="str">
        <f>IFERROR(__xludf.DUMMYFUNCTION("""COMPUTED_VALUE"""),"Europe")</f>
        <v>Europe</v>
      </c>
      <c r="B1268" s="46" t="str">
        <f>IFERROR(__xludf.DUMMYFUNCTION("""COMPUTED_VALUE"""),"Slovenia")</f>
        <v>Slovenia</v>
      </c>
      <c r="C1268" s="46" t="str">
        <f>IFERROR(__xludf.DUMMYFUNCTION("""COMPUTED_VALUE"""),"Cosmetics")</f>
        <v>Cosmetics</v>
      </c>
      <c r="D1268" s="46">
        <f>IFERROR(__xludf.DUMMYFUNCTION("""COMPUTED_VALUE"""),41.0)</f>
        <v>41</v>
      </c>
      <c r="E1268" s="46">
        <f>IFERROR(__xludf.DUMMYFUNCTION("""COMPUTED_VALUE"""),9.49912965E8)</f>
        <v>949912965</v>
      </c>
      <c r="F1268" s="84">
        <f>IFERROR(__xludf.DUMMYFUNCTION("""COMPUTED_VALUE"""),4026612.0)</f>
        <v>4026612</v>
      </c>
      <c r="I1268" s="87"/>
    </row>
    <row r="1269">
      <c r="A1269" s="46" t="str">
        <f>IFERROR(__xludf.DUMMYFUNCTION("""COMPUTED_VALUE"""),"Asia")</f>
        <v>Asia</v>
      </c>
      <c r="B1269" s="46" t="str">
        <f>IFERROR(__xludf.DUMMYFUNCTION("""COMPUTED_VALUE"""),"Armenia")</f>
        <v>Armenia</v>
      </c>
      <c r="C1269" s="46" t="str">
        <f>IFERROR(__xludf.DUMMYFUNCTION("""COMPUTED_VALUE"""),"Snacks")</f>
        <v>Snacks</v>
      </c>
      <c r="D1269" s="46">
        <f>IFERROR(__xludf.DUMMYFUNCTION("""COMPUTED_VALUE"""),17.0)</f>
        <v>17</v>
      </c>
      <c r="E1269" s="46">
        <f>IFERROR(__xludf.DUMMYFUNCTION("""COMPUTED_VALUE"""),9.51698243E8)</f>
        <v>951698243</v>
      </c>
      <c r="F1269" s="84">
        <f>IFERROR(__xludf.DUMMYFUNCTION("""COMPUTED_VALUE"""),1146486.12)</f>
        <v>1146486.12</v>
      </c>
      <c r="I1269" s="87"/>
    </row>
    <row r="1270">
      <c r="A1270" s="46" t="str">
        <f>IFERROR(__xludf.DUMMYFUNCTION("""COMPUTED_VALUE"""),"Europe")</f>
        <v>Europe</v>
      </c>
      <c r="B1270" s="46" t="str">
        <f>IFERROR(__xludf.DUMMYFUNCTION("""COMPUTED_VALUE"""),"Bosnia and Herzegovina")</f>
        <v>Bosnia and Herzegovina</v>
      </c>
      <c r="C1270" s="46" t="str">
        <f>IFERROR(__xludf.DUMMYFUNCTION("""COMPUTED_VALUE"""),"Snacks")</f>
        <v>Snacks</v>
      </c>
      <c r="D1270" s="46">
        <f>IFERROR(__xludf.DUMMYFUNCTION("""COMPUTED_VALUE"""),44.0)</f>
        <v>44</v>
      </c>
      <c r="E1270" s="46">
        <f>IFERROR(__xludf.DUMMYFUNCTION("""COMPUTED_VALUE"""),9.54040992E8)</f>
        <v>954040992</v>
      </c>
      <c r="F1270" s="84">
        <f>IFERROR(__xludf.DUMMYFUNCTION("""COMPUTED_VALUE"""),119775.3)</f>
        <v>119775.3</v>
      </c>
      <c r="I1270" s="87"/>
    </row>
    <row r="1271">
      <c r="A1271" s="46" t="str">
        <f>IFERROR(__xludf.DUMMYFUNCTION("""COMPUTED_VALUE"""),"Europe")</f>
        <v>Europe</v>
      </c>
      <c r="B1271" s="46" t="str">
        <f>IFERROR(__xludf.DUMMYFUNCTION("""COMPUTED_VALUE"""),"Hungary")</f>
        <v>Hungary</v>
      </c>
      <c r="C1271" s="46" t="str">
        <f>IFERROR(__xludf.DUMMYFUNCTION("""COMPUTED_VALUE"""),"Household")</f>
        <v>Household</v>
      </c>
      <c r="D1271" s="46">
        <f>IFERROR(__xludf.DUMMYFUNCTION("""COMPUTED_VALUE"""),46.0)</f>
        <v>46</v>
      </c>
      <c r="E1271" s="46">
        <f>IFERROR(__xludf.DUMMYFUNCTION("""COMPUTED_VALUE"""),9.54065883E8)</f>
        <v>954065883</v>
      </c>
      <c r="F1271" s="84">
        <f>IFERROR(__xludf.DUMMYFUNCTION("""COMPUTED_VALUE"""),5447068.77)</f>
        <v>5447068.77</v>
      </c>
      <c r="I1271" s="87"/>
    </row>
    <row r="1272">
      <c r="A1272" s="46" t="str">
        <f>IFERROR(__xludf.DUMMYFUNCTION("""COMPUTED_VALUE"""),"Europe")</f>
        <v>Europe</v>
      </c>
      <c r="B1272" s="46" t="str">
        <f>IFERROR(__xludf.DUMMYFUNCTION("""COMPUTED_VALUE"""),"Denmark")</f>
        <v>Denmark</v>
      </c>
      <c r="C1272" s="46" t="str">
        <f>IFERROR(__xludf.DUMMYFUNCTION("""COMPUTED_VALUE"""),"Vegetables")</f>
        <v>Vegetables</v>
      </c>
      <c r="D1272" s="46">
        <f>IFERROR(__xludf.DUMMYFUNCTION("""COMPUTED_VALUE"""),49.0)</f>
        <v>49</v>
      </c>
      <c r="E1272" s="46">
        <f>IFERROR(__xludf.DUMMYFUNCTION("""COMPUTED_VALUE"""),9.54341828E8)</f>
        <v>954341828</v>
      </c>
      <c r="F1272" s="84">
        <f>IFERROR(__xludf.DUMMYFUNCTION("""COMPUTED_VALUE"""),1511174.54)</f>
        <v>1511174.54</v>
      </c>
      <c r="I1272" s="87"/>
    </row>
    <row r="1273">
      <c r="A1273" s="46" t="str">
        <f>IFERROR(__xludf.DUMMYFUNCTION("""COMPUTED_VALUE"""),"Europe")</f>
        <v>Europe</v>
      </c>
      <c r="B1273" s="46" t="str">
        <f>IFERROR(__xludf.DUMMYFUNCTION("""COMPUTED_VALUE"""),"Spain")</f>
        <v>Spain</v>
      </c>
      <c r="C1273" s="46" t="str">
        <f>IFERROR(__xludf.DUMMYFUNCTION("""COMPUTED_VALUE"""),"Personal Care")</f>
        <v>Personal Care</v>
      </c>
      <c r="D1273" s="46">
        <f>IFERROR(__xludf.DUMMYFUNCTION("""COMPUTED_VALUE"""),50.0)</f>
        <v>50</v>
      </c>
      <c r="E1273" s="46">
        <f>IFERROR(__xludf.DUMMYFUNCTION("""COMPUTED_VALUE"""),9.55466639E8)</f>
        <v>955466639</v>
      </c>
      <c r="F1273" s="84">
        <f>IFERROR(__xludf.DUMMYFUNCTION("""COMPUTED_VALUE"""),217892.18000000002)</f>
        <v>217892.18</v>
      </c>
      <c r="I1273" s="87"/>
    </row>
    <row r="1274">
      <c r="A1274" s="46" t="str">
        <f>IFERROR(__xludf.DUMMYFUNCTION("""COMPUTED_VALUE"""),"Europe")</f>
        <v>Europe</v>
      </c>
      <c r="B1274" s="46" t="str">
        <f>IFERROR(__xludf.DUMMYFUNCTION("""COMPUTED_VALUE"""),"Spain")</f>
        <v>Spain</v>
      </c>
      <c r="C1274" s="46" t="str">
        <f>IFERROR(__xludf.DUMMYFUNCTION("""COMPUTED_VALUE"""),"Baby Food")</f>
        <v>Baby Food</v>
      </c>
      <c r="D1274" s="46">
        <f>IFERROR(__xludf.DUMMYFUNCTION("""COMPUTED_VALUE"""),26.0)</f>
        <v>26</v>
      </c>
      <c r="E1274" s="46">
        <f>IFERROR(__xludf.DUMMYFUNCTION("""COMPUTED_VALUE"""),9.56594026E8)</f>
        <v>956594026</v>
      </c>
      <c r="F1274" s="84">
        <f>IFERROR(__xludf.DUMMYFUNCTION("""COMPUTED_VALUE"""),1604434.8)</f>
        <v>1604434.8</v>
      </c>
      <c r="I1274" s="87"/>
    </row>
    <row r="1275">
      <c r="A1275" s="46" t="str">
        <f>IFERROR(__xludf.DUMMYFUNCTION("""COMPUTED_VALUE"""),"Europe")</f>
        <v>Europe</v>
      </c>
      <c r="B1275" s="46" t="str">
        <f>IFERROR(__xludf.DUMMYFUNCTION("""COMPUTED_VALUE"""),"Ireland")</f>
        <v>Ireland</v>
      </c>
      <c r="C1275" s="46" t="str">
        <f>IFERROR(__xludf.DUMMYFUNCTION("""COMPUTED_VALUE"""),"Vegetables")</f>
        <v>Vegetables</v>
      </c>
      <c r="D1275" s="46">
        <f>IFERROR(__xludf.DUMMYFUNCTION("""COMPUTED_VALUE"""),33.0)</f>
        <v>33</v>
      </c>
      <c r="E1275" s="46">
        <f>IFERROR(__xludf.DUMMYFUNCTION("""COMPUTED_VALUE"""),9.56969964E8)</f>
        <v>956969964</v>
      </c>
      <c r="F1275" s="84">
        <f>IFERROR(__xludf.DUMMYFUNCTION("""COMPUTED_VALUE"""),1160533.98)</f>
        <v>1160533.98</v>
      </c>
      <c r="I1275" s="87"/>
    </row>
    <row r="1276">
      <c r="A1276" s="46" t="str">
        <f>IFERROR(__xludf.DUMMYFUNCTION("""COMPUTED_VALUE"""),"Europe")</f>
        <v>Europe</v>
      </c>
      <c r="B1276" s="46" t="str">
        <f>IFERROR(__xludf.DUMMYFUNCTION("""COMPUTED_VALUE"""),"Greece")</f>
        <v>Greece</v>
      </c>
      <c r="C1276" s="46" t="str">
        <f>IFERROR(__xludf.DUMMYFUNCTION("""COMPUTED_VALUE"""),"Snacks")</f>
        <v>Snacks</v>
      </c>
      <c r="D1276" s="46">
        <f>IFERROR(__xludf.DUMMYFUNCTION("""COMPUTED_VALUE"""),14.0)</f>
        <v>14</v>
      </c>
      <c r="E1276" s="46">
        <f>IFERROR(__xludf.DUMMYFUNCTION("""COMPUTED_VALUE"""),9.57926118E8)</f>
        <v>957926118</v>
      </c>
      <c r="F1276" s="84">
        <f>IFERROR(__xludf.DUMMYFUNCTION("""COMPUTED_VALUE"""),73238.40000000001)</f>
        <v>73238.4</v>
      </c>
      <c r="I1276" s="87"/>
    </row>
    <row r="1277">
      <c r="A1277" s="46" t="str">
        <f>IFERROR(__xludf.DUMMYFUNCTION("""COMPUTED_VALUE"""),"Europe")</f>
        <v>Europe</v>
      </c>
      <c r="B1277" s="46" t="str">
        <f>IFERROR(__xludf.DUMMYFUNCTION("""COMPUTED_VALUE"""),"Russia")</f>
        <v>Russia</v>
      </c>
      <c r="C1277" s="46" t="str">
        <f>IFERROR(__xludf.DUMMYFUNCTION("""COMPUTED_VALUE"""),"Cereal")</f>
        <v>Cereal</v>
      </c>
      <c r="D1277" s="46">
        <f>IFERROR(__xludf.DUMMYFUNCTION("""COMPUTED_VALUE"""),35.0)</f>
        <v>35</v>
      </c>
      <c r="E1277" s="46">
        <f>IFERROR(__xludf.DUMMYFUNCTION("""COMPUTED_VALUE"""),9.58366E8)</f>
        <v>958366000</v>
      </c>
      <c r="F1277" s="84">
        <f>IFERROR(__xludf.DUMMYFUNCTION("""COMPUTED_VALUE"""),133910.69999999998)</f>
        <v>133910.7</v>
      </c>
      <c r="I1277" s="87"/>
    </row>
    <row r="1278">
      <c r="A1278" s="46" t="str">
        <f>IFERROR(__xludf.DUMMYFUNCTION("""COMPUTED_VALUE"""),"Europe")</f>
        <v>Europe</v>
      </c>
      <c r="B1278" s="46" t="str">
        <f>IFERROR(__xludf.DUMMYFUNCTION("""COMPUTED_VALUE"""),"Belgium")</f>
        <v>Belgium</v>
      </c>
      <c r="C1278" s="46" t="str">
        <f>IFERROR(__xludf.DUMMYFUNCTION("""COMPUTED_VALUE"""),"Beverages")</f>
        <v>Beverages</v>
      </c>
      <c r="D1278" s="46">
        <f>IFERROR(__xludf.DUMMYFUNCTION("""COMPUTED_VALUE"""),46.0)</f>
        <v>46</v>
      </c>
      <c r="E1278" s="46">
        <f>IFERROR(__xludf.DUMMYFUNCTION("""COMPUTED_VALUE"""),9.60213077E8)</f>
        <v>960213077</v>
      </c>
      <c r="F1278" s="84">
        <f>IFERROR(__xludf.DUMMYFUNCTION("""COMPUTED_VALUE"""),343632.9)</f>
        <v>343632.9</v>
      </c>
      <c r="I1278" s="87"/>
    </row>
    <row r="1279">
      <c r="A1279" s="46" t="str">
        <f>IFERROR(__xludf.DUMMYFUNCTION("""COMPUTED_VALUE"""),"Asia")</f>
        <v>Asia</v>
      </c>
      <c r="B1279" s="46" t="str">
        <f>IFERROR(__xludf.DUMMYFUNCTION("""COMPUTED_VALUE"""),"Georgia")</f>
        <v>Georgia</v>
      </c>
      <c r="C1279" s="46" t="str">
        <f>IFERROR(__xludf.DUMMYFUNCTION("""COMPUTED_VALUE"""),"Cereal")</f>
        <v>Cereal</v>
      </c>
      <c r="D1279" s="46">
        <f>IFERROR(__xludf.DUMMYFUNCTION("""COMPUTED_VALUE"""),25.0)</f>
        <v>25</v>
      </c>
      <c r="E1279" s="46">
        <f>IFERROR(__xludf.DUMMYFUNCTION("""COMPUTED_VALUE"""),9.62560546E8)</f>
        <v>962560546</v>
      </c>
      <c r="F1279" s="84">
        <f>IFERROR(__xludf.DUMMYFUNCTION("""COMPUTED_VALUE"""),393092.69999999995)</f>
        <v>393092.7</v>
      </c>
      <c r="I1279" s="87"/>
    </row>
    <row r="1280">
      <c r="A1280" s="46" t="str">
        <f>IFERROR(__xludf.DUMMYFUNCTION("""COMPUTED_VALUE"""),"Europe")</f>
        <v>Europe</v>
      </c>
      <c r="B1280" s="46" t="str">
        <f>IFERROR(__xludf.DUMMYFUNCTION("""COMPUTED_VALUE"""),"Macedonia")</f>
        <v>Macedonia</v>
      </c>
      <c r="C1280" s="46" t="str">
        <f>IFERROR(__xludf.DUMMYFUNCTION("""COMPUTED_VALUE"""),"Cereal")</f>
        <v>Cereal</v>
      </c>
      <c r="D1280" s="46">
        <f>IFERROR(__xludf.DUMMYFUNCTION("""COMPUTED_VALUE"""),17.0)</f>
        <v>17</v>
      </c>
      <c r="E1280" s="46">
        <f>IFERROR(__xludf.DUMMYFUNCTION("""COMPUTED_VALUE"""),9.63219296E8)</f>
        <v>963219296</v>
      </c>
      <c r="F1280" s="84">
        <f>IFERROR(__xludf.DUMMYFUNCTION("""COMPUTED_VALUE"""),1409045.0)</f>
        <v>1409045</v>
      </c>
      <c r="I1280" s="87"/>
    </row>
    <row r="1281">
      <c r="A1281" s="46" t="str">
        <f>IFERROR(__xludf.DUMMYFUNCTION("""COMPUTED_VALUE"""),"Europe")</f>
        <v>Europe</v>
      </c>
      <c r="B1281" s="46" t="str">
        <f>IFERROR(__xludf.DUMMYFUNCTION("""COMPUTED_VALUE"""),"Lithuania")</f>
        <v>Lithuania</v>
      </c>
      <c r="C1281" s="46" t="str">
        <f>IFERROR(__xludf.DUMMYFUNCTION("""COMPUTED_VALUE"""),"Fruits")</f>
        <v>Fruits</v>
      </c>
      <c r="D1281" s="46">
        <f>IFERROR(__xludf.DUMMYFUNCTION("""COMPUTED_VALUE"""),10.0)</f>
        <v>10</v>
      </c>
      <c r="E1281" s="46">
        <f>IFERROR(__xludf.DUMMYFUNCTION("""COMPUTED_VALUE"""),9.65796363E8)</f>
        <v>965796363</v>
      </c>
      <c r="F1281" s="84">
        <f>IFERROR(__xludf.DUMMYFUNCTION("""COMPUTED_VALUE"""),88271.13)</f>
        <v>88271.13</v>
      </c>
      <c r="I1281" s="87"/>
    </row>
    <row r="1282">
      <c r="A1282" s="46" t="str">
        <f>IFERROR(__xludf.DUMMYFUNCTION("""COMPUTED_VALUE"""),"Europe")</f>
        <v>Europe</v>
      </c>
      <c r="B1282" s="46" t="str">
        <f>IFERROR(__xludf.DUMMYFUNCTION("""COMPUTED_VALUE"""),"Estonia")</f>
        <v>Estonia</v>
      </c>
      <c r="C1282" s="46" t="str">
        <f>IFERROR(__xludf.DUMMYFUNCTION("""COMPUTED_VALUE"""),"Meat")</f>
        <v>Meat</v>
      </c>
      <c r="D1282" s="46">
        <f>IFERROR(__xludf.DUMMYFUNCTION("""COMPUTED_VALUE"""),16.0)</f>
        <v>16</v>
      </c>
      <c r="E1282" s="46">
        <f>IFERROR(__xludf.DUMMYFUNCTION("""COMPUTED_VALUE"""),9.66800153E8)</f>
        <v>966800153</v>
      </c>
      <c r="F1282" s="84">
        <f>IFERROR(__xludf.DUMMYFUNCTION("""COMPUTED_VALUE"""),2744394.4499999997)</f>
        <v>2744394.45</v>
      </c>
      <c r="I1282" s="87"/>
    </row>
    <row r="1283">
      <c r="A1283" s="46" t="str">
        <f>IFERROR(__xludf.DUMMYFUNCTION("""COMPUTED_VALUE"""),"Europe")</f>
        <v>Europe</v>
      </c>
      <c r="B1283" s="46" t="str">
        <f>IFERROR(__xludf.DUMMYFUNCTION("""COMPUTED_VALUE"""),"Austria")</f>
        <v>Austria</v>
      </c>
      <c r="C1283" s="46" t="str">
        <f>IFERROR(__xludf.DUMMYFUNCTION("""COMPUTED_VALUE"""),"Personal Care")</f>
        <v>Personal Care</v>
      </c>
      <c r="D1283" s="46">
        <f>IFERROR(__xludf.DUMMYFUNCTION("""COMPUTED_VALUE"""),8.0)</f>
        <v>8</v>
      </c>
      <c r="E1283" s="46">
        <f>IFERROR(__xludf.DUMMYFUNCTION("""COMPUTED_VALUE"""),9.67258059E8)</f>
        <v>967258059</v>
      </c>
      <c r="F1283" s="84">
        <f>IFERROR(__xludf.DUMMYFUNCTION("""COMPUTED_VALUE"""),164195.57)</f>
        <v>164195.57</v>
      </c>
      <c r="I1283" s="87"/>
    </row>
    <row r="1284">
      <c r="A1284" s="46" t="str">
        <f>IFERROR(__xludf.DUMMYFUNCTION("""COMPUTED_VALUE"""),"Europe")</f>
        <v>Europe</v>
      </c>
      <c r="B1284" s="46" t="str">
        <f>IFERROR(__xludf.DUMMYFUNCTION("""COMPUTED_VALUE"""),"Andorra")</f>
        <v>Andorra</v>
      </c>
      <c r="C1284" s="46" t="str">
        <f>IFERROR(__xludf.DUMMYFUNCTION("""COMPUTED_VALUE"""),"Vegetables")</f>
        <v>Vegetables</v>
      </c>
      <c r="D1284" s="46">
        <f>IFERROR(__xludf.DUMMYFUNCTION("""COMPUTED_VALUE"""),16.0)</f>
        <v>16</v>
      </c>
      <c r="E1284" s="46">
        <f>IFERROR(__xludf.DUMMYFUNCTION("""COMPUTED_VALUE"""),9.67679059E8)</f>
        <v>967679059</v>
      </c>
      <c r="F1284" s="84">
        <f>IFERROR(__xludf.DUMMYFUNCTION("""COMPUTED_VALUE"""),1015563.52)</f>
        <v>1015563.52</v>
      </c>
      <c r="I1284" s="87"/>
    </row>
    <row r="1285">
      <c r="A1285" s="46" t="str">
        <f>IFERROR(__xludf.DUMMYFUNCTION("""COMPUTED_VALUE"""),"Europe")</f>
        <v>Europe</v>
      </c>
      <c r="B1285" s="46" t="str">
        <f>IFERROR(__xludf.DUMMYFUNCTION("""COMPUTED_VALUE"""),"Poland")</f>
        <v>Poland</v>
      </c>
      <c r="C1285" s="46" t="str">
        <f>IFERROR(__xludf.DUMMYFUNCTION("""COMPUTED_VALUE"""),"Snacks")</f>
        <v>Snacks</v>
      </c>
      <c r="D1285" s="46">
        <f>IFERROR(__xludf.DUMMYFUNCTION("""COMPUTED_VALUE"""),25.0)</f>
        <v>25</v>
      </c>
      <c r="E1285" s="46">
        <f>IFERROR(__xludf.DUMMYFUNCTION("""COMPUTED_VALUE"""),9.6818546E8)</f>
        <v>968185460</v>
      </c>
      <c r="F1285" s="84">
        <f>IFERROR(__xludf.DUMMYFUNCTION("""COMPUTED_VALUE"""),983835.8400000001)</f>
        <v>983835.84</v>
      </c>
      <c r="I1285" s="87"/>
    </row>
    <row r="1286">
      <c r="A1286" s="46" t="str">
        <f>IFERROR(__xludf.DUMMYFUNCTION("""COMPUTED_VALUE"""),"Europe")</f>
        <v>Europe</v>
      </c>
      <c r="B1286" s="46" t="str">
        <f>IFERROR(__xludf.DUMMYFUNCTION("""COMPUTED_VALUE"""),"Denmark")</f>
        <v>Denmark</v>
      </c>
      <c r="C1286" s="46" t="str">
        <f>IFERROR(__xludf.DUMMYFUNCTION("""COMPUTED_VALUE"""),"Vegetables")</f>
        <v>Vegetables</v>
      </c>
      <c r="D1286" s="46">
        <f>IFERROR(__xludf.DUMMYFUNCTION("""COMPUTED_VALUE"""),22.0)</f>
        <v>22</v>
      </c>
      <c r="E1286" s="46">
        <f>IFERROR(__xludf.DUMMYFUNCTION("""COMPUTED_VALUE"""),9.69195258E8)</f>
        <v>969195258</v>
      </c>
      <c r="F1286" s="84">
        <f>IFERROR(__xludf.DUMMYFUNCTION("""COMPUTED_VALUE"""),811742.14)</f>
        <v>811742.14</v>
      </c>
      <c r="I1286" s="87"/>
    </row>
    <row r="1287">
      <c r="A1287" s="46" t="str">
        <f>IFERROR(__xludf.DUMMYFUNCTION("""COMPUTED_VALUE"""),"Europe")</f>
        <v>Europe</v>
      </c>
      <c r="B1287" s="46" t="str">
        <f>IFERROR(__xludf.DUMMYFUNCTION("""COMPUTED_VALUE"""),"Greece")</f>
        <v>Greece</v>
      </c>
      <c r="C1287" s="46" t="str">
        <f>IFERROR(__xludf.DUMMYFUNCTION("""COMPUTED_VALUE"""),"Meat")</f>
        <v>Meat</v>
      </c>
      <c r="D1287" s="46">
        <f>IFERROR(__xludf.DUMMYFUNCTION("""COMPUTED_VALUE"""),25.0)</f>
        <v>25</v>
      </c>
      <c r="E1287" s="46">
        <f>IFERROR(__xludf.DUMMYFUNCTION("""COMPUTED_VALUE"""),9.69199979E8)</f>
        <v>969199979</v>
      </c>
      <c r="F1287" s="84">
        <f>IFERROR(__xludf.DUMMYFUNCTION("""COMPUTED_VALUE"""),2812318.7399999998)</f>
        <v>2812318.74</v>
      </c>
      <c r="I1287" s="87"/>
    </row>
    <row r="1288">
      <c r="A1288" s="46" t="str">
        <f>IFERROR(__xludf.DUMMYFUNCTION("""COMPUTED_VALUE"""),"Europe")</f>
        <v>Europe</v>
      </c>
      <c r="B1288" s="46" t="str">
        <f>IFERROR(__xludf.DUMMYFUNCTION("""COMPUTED_VALUE"""),"Bosnia and Herzegovina")</f>
        <v>Bosnia and Herzegovina</v>
      </c>
      <c r="C1288" s="46" t="str">
        <f>IFERROR(__xludf.DUMMYFUNCTION("""COMPUTED_VALUE"""),"Household")</f>
        <v>Household</v>
      </c>
      <c r="D1288" s="46">
        <f>IFERROR(__xludf.DUMMYFUNCTION("""COMPUTED_VALUE"""),36.0)</f>
        <v>36</v>
      </c>
      <c r="E1288" s="46">
        <f>IFERROR(__xludf.DUMMYFUNCTION("""COMPUTED_VALUE"""),9.69289243E8)</f>
        <v>969289243</v>
      </c>
      <c r="F1288" s="84">
        <f>IFERROR(__xludf.DUMMYFUNCTION("""COMPUTED_VALUE"""),2059608.14)</f>
        <v>2059608.14</v>
      </c>
      <c r="I1288" s="87"/>
    </row>
    <row r="1289">
      <c r="A1289" s="46" t="str">
        <f>IFERROR(__xludf.DUMMYFUNCTION("""COMPUTED_VALUE"""),"Asia")</f>
        <v>Asia</v>
      </c>
      <c r="B1289" s="46" t="str">
        <f>IFERROR(__xludf.DUMMYFUNCTION("""COMPUTED_VALUE"""),"Armenia")</f>
        <v>Armenia</v>
      </c>
      <c r="C1289" s="46" t="str">
        <f>IFERROR(__xludf.DUMMYFUNCTION("""COMPUTED_VALUE"""),"Meat")</f>
        <v>Meat</v>
      </c>
      <c r="D1289" s="46">
        <f>IFERROR(__xludf.DUMMYFUNCTION("""COMPUTED_VALUE"""),5.0)</f>
        <v>5</v>
      </c>
      <c r="E1289" s="46">
        <f>IFERROR(__xludf.DUMMYFUNCTION("""COMPUTED_VALUE"""),9.70427358E8)</f>
        <v>970427358</v>
      </c>
      <c r="F1289" s="84">
        <f>IFERROR(__xludf.DUMMYFUNCTION("""COMPUTED_VALUE"""),4166163.75)</f>
        <v>4166163.75</v>
      </c>
      <c r="I1289" s="87"/>
    </row>
    <row r="1290">
      <c r="A1290" s="46" t="str">
        <f>IFERROR(__xludf.DUMMYFUNCTION("""COMPUTED_VALUE"""),"Europe")</f>
        <v>Europe</v>
      </c>
      <c r="B1290" s="46" t="str">
        <f>IFERROR(__xludf.DUMMYFUNCTION("""COMPUTED_VALUE"""),"Monaco")</f>
        <v>Monaco</v>
      </c>
      <c r="C1290" s="46" t="str">
        <f>IFERROR(__xludf.DUMMYFUNCTION("""COMPUTED_VALUE"""),"Household")</f>
        <v>Household</v>
      </c>
      <c r="D1290" s="46">
        <f>IFERROR(__xludf.DUMMYFUNCTION("""COMPUTED_VALUE"""),47.0)</f>
        <v>47</v>
      </c>
      <c r="E1290" s="46">
        <f>IFERROR(__xludf.DUMMYFUNCTION("""COMPUTED_VALUE"""),9.71578347E8)</f>
        <v>971578347</v>
      </c>
      <c r="F1290" s="84">
        <f>IFERROR(__xludf.DUMMYFUNCTION("""COMPUTED_VALUE"""),319433.06)</f>
        <v>319433.06</v>
      </c>
      <c r="I1290" s="87"/>
    </row>
    <row r="1291">
      <c r="A1291" s="46" t="str">
        <f>IFERROR(__xludf.DUMMYFUNCTION("""COMPUTED_VALUE"""),"Europe")</f>
        <v>Europe</v>
      </c>
      <c r="B1291" s="46" t="str">
        <f>IFERROR(__xludf.DUMMYFUNCTION("""COMPUTED_VALUE"""),"Sweden")</f>
        <v>Sweden</v>
      </c>
      <c r="C1291" s="46" t="str">
        <f>IFERROR(__xludf.DUMMYFUNCTION("""COMPUTED_VALUE"""),"Snacks")</f>
        <v>Snacks</v>
      </c>
      <c r="D1291" s="46">
        <f>IFERROR(__xludf.DUMMYFUNCTION("""COMPUTED_VALUE"""),0.0)</f>
        <v>0</v>
      </c>
      <c r="E1291" s="46">
        <f>IFERROR(__xludf.DUMMYFUNCTION("""COMPUTED_VALUE"""),9.71899354E8)</f>
        <v>971899354</v>
      </c>
      <c r="F1291" s="84">
        <f>IFERROR(__xludf.DUMMYFUNCTION("""COMPUTED_VALUE"""),834765.18)</f>
        <v>834765.18</v>
      </c>
      <c r="I1291" s="87"/>
    </row>
    <row r="1292">
      <c r="A1292" s="46" t="str">
        <f>IFERROR(__xludf.DUMMYFUNCTION("""COMPUTED_VALUE"""),"Europe")</f>
        <v>Europe</v>
      </c>
      <c r="B1292" s="46" t="str">
        <f>IFERROR(__xludf.DUMMYFUNCTION("""COMPUTED_VALUE"""),"Slovenia")</f>
        <v>Slovenia</v>
      </c>
      <c r="C1292" s="46" t="str">
        <f>IFERROR(__xludf.DUMMYFUNCTION("""COMPUTED_VALUE"""),"Cereal")</f>
        <v>Cereal</v>
      </c>
      <c r="D1292" s="46">
        <f>IFERROR(__xludf.DUMMYFUNCTION("""COMPUTED_VALUE"""),26.0)</f>
        <v>26</v>
      </c>
      <c r="E1292" s="46">
        <f>IFERROR(__xludf.DUMMYFUNCTION("""COMPUTED_VALUE"""),9.72419059E8)</f>
        <v>972419059</v>
      </c>
      <c r="F1292" s="84">
        <f>IFERROR(__xludf.DUMMYFUNCTION("""COMPUTED_VALUE"""),1905604.7999999998)</f>
        <v>1905604.8</v>
      </c>
      <c r="I1292" s="87"/>
    </row>
    <row r="1293">
      <c r="A1293" s="46" t="str">
        <f>IFERROR(__xludf.DUMMYFUNCTION("""COMPUTED_VALUE"""),"Europe")</f>
        <v>Europe</v>
      </c>
      <c r="B1293" s="46" t="str">
        <f>IFERROR(__xludf.DUMMYFUNCTION("""COMPUTED_VALUE"""),"Finland")</f>
        <v>Finland</v>
      </c>
      <c r="C1293" s="46" t="str">
        <f>IFERROR(__xludf.DUMMYFUNCTION("""COMPUTED_VALUE"""),"Vegetables")</f>
        <v>Vegetables</v>
      </c>
      <c r="D1293" s="46">
        <f>IFERROR(__xludf.DUMMYFUNCTION("""COMPUTED_VALUE"""),43.0)</f>
        <v>43</v>
      </c>
      <c r="E1293" s="46">
        <f>IFERROR(__xludf.DUMMYFUNCTION("""COMPUTED_VALUE"""),9.72452533E8)</f>
        <v>972452533</v>
      </c>
      <c r="F1293" s="84">
        <f>IFERROR(__xludf.DUMMYFUNCTION("""COMPUTED_VALUE"""),1412576.1400000001)</f>
        <v>1412576.14</v>
      </c>
      <c r="I1293" s="87"/>
    </row>
    <row r="1294">
      <c r="A1294" s="46" t="str">
        <f>IFERROR(__xludf.DUMMYFUNCTION("""COMPUTED_VALUE"""),"Europe")</f>
        <v>Europe</v>
      </c>
      <c r="B1294" s="46" t="str">
        <f>IFERROR(__xludf.DUMMYFUNCTION("""COMPUTED_VALUE"""),"Latvia")</f>
        <v>Latvia</v>
      </c>
      <c r="C1294" s="46" t="str">
        <f>IFERROR(__xludf.DUMMYFUNCTION("""COMPUTED_VALUE"""),"Snacks")</f>
        <v>Snacks</v>
      </c>
      <c r="D1294" s="46">
        <f>IFERROR(__xludf.DUMMYFUNCTION("""COMPUTED_VALUE"""),25.0)</f>
        <v>25</v>
      </c>
      <c r="E1294" s="46">
        <f>IFERROR(__xludf.DUMMYFUNCTION("""COMPUTED_VALUE"""),9.72981679E8)</f>
        <v>972981679</v>
      </c>
      <c r="F1294" s="84">
        <f>IFERROR(__xludf.DUMMYFUNCTION("""COMPUTED_VALUE"""),878097.9)</f>
        <v>878097.9</v>
      </c>
      <c r="I1294" s="87"/>
    </row>
    <row r="1295">
      <c r="A1295" s="46" t="str">
        <f>IFERROR(__xludf.DUMMYFUNCTION("""COMPUTED_VALUE"""),"Europe")</f>
        <v>Europe</v>
      </c>
      <c r="B1295" s="46" t="str">
        <f>IFERROR(__xludf.DUMMYFUNCTION("""COMPUTED_VALUE"""),"Denmark")</f>
        <v>Denmark</v>
      </c>
      <c r="C1295" s="46" t="str">
        <f>IFERROR(__xludf.DUMMYFUNCTION("""COMPUTED_VALUE"""),"Beverages")</f>
        <v>Beverages</v>
      </c>
      <c r="D1295" s="46">
        <f>IFERROR(__xludf.DUMMYFUNCTION("""COMPUTED_VALUE"""),21.0)</f>
        <v>21</v>
      </c>
      <c r="E1295" s="46">
        <f>IFERROR(__xludf.DUMMYFUNCTION("""COMPUTED_VALUE"""),9.73268353E8)</f>
        <v>973268353</v>
      </c>
      <c r="F1295" s="84">
        <f>IFERROR(__xludf.DUMMYFUNCTION("""COMPUTED_VALUE"""),27948.050000000003)</f>
        <v>27948.05</v>
      </c>
      <c r="I1295" s="87"/>
    </row>
    <row r="1296">
      <c r="A1296" s="46" t="str">
        <f>IFERROR(__xludf.DUMMYFUNCTION("""COMPUTED_VALUE"""),"Europe")</f>
        <v>Europe</v>
      </c>
      <c r="B1296" s="46" t="str">
        <f>IFERROR(__xludf.DUMMYFUNCTION("""COMPUTED_VALUE"""),"Andorra")</f>
        <v>Andorra</v>
      </c>
      <c r="C1296" s="46" t="str">
        <f>IFERROR(__xludf.DUMMYFUNCTION("""COMPUTED_VALUE"""),"Clothes")</f>
        <v>Clothes</v>
      </c>
      <c r="D1296" s="46">
        <f>IFERROR(__xludf.DUMMYFUNCTION("""COMPUTED_VALUE"""),21.0)</f>
        <v>21</v>
      </c>
      <c r="E1296" s="46">
        <f>IFERROR(__xludf.DUMMYFUNCTION("""COMPUTED_VALUE"""),9.7414726E8)</f>
        <v>974147260</v>
      </c>
      <c r="F1296" s="84">
        <f>IFERROR(__xludf.DUMMYFUNCTION("""COMPUTED_VALUE"""),73982.56)</f>
        <v>73982.56</v>
      </c>
      <c r="I1296" s="87"/>
    </row>
    <row r="1297">
      <c r="A1297" s="46" t="str">
        <f>IFERROR(__xludf.DUMMYFUNCTION("""COMPUTED_VALUE"""),"Europe")</f>
        <v>Europe</v>
      </c>
      <c r="B1297" s="46" t="str">
        <f>IFERROR(__xludf.DUMMYFUNCTION("""COMPUTED_VALUE"""),"Liechtenstein")</f>
        <v>Liechtenstein</v>
      </c>
      <c r="C1297" s="46" t="str">
        <f>IFERROR(__xludf.DUMMYFUNCTION("""COMPUTED_VALUE"""),"Fruits")</f>
        <v>Fruits</v>
      </c>
      <c r="D1297" s="46">
        <f>IFERROR(__xludf.DUMMYFUNCTION("""COMPUTED_VALUE"""),50.0)</f>
        <v>50</v>
      </c>
      <c r="E1297" s="46">
        <f>IFERROR(__xludf.DUMMYFUNCTION("""COMPUTED_VALUE"""),9.7442063E8)</f>
        <v>974420630</v>
      </c>
      <c r="F1297" s="84">
        <f>IFERROR(__xludf.DUMMYFUNCTION("""COMPUTED_VALUE"""),14676.09)</f>
        <v>14676.09</v>
      </c>
      <c r="I1297" s="87"/>
    </row>
    <row r="1298">
      <c r="A1298" s="46" t="str">
        <f>IFERROR(__xludf.DUMMYFUNCTION("""COMPUTED_VALUE"""),"Undefined")</f>
        <v>Undefined</v>
      </c>
      <c r="B1298" s="46" t="str">
        <f>IFERROR(__xludf.DUMMYFUNCTION("""COMPUTED_VALUE"""),"Undefined")</f>
        <v>Undefined</v>
      </c>
      <c r="C1298" s="46" t="str">
        <f>IFERROR(__xludf.DUMMYFUNCTION("""COMPUTED_VALUE"""),"Vegetables")</f>
        <v>Vegetables</v>
      </c>
      <c r="D1298" s="46">
        <f>IFERROR(__xludf.DUMMYFUNCTION("""COMPUTED_VALUE"""),28.0)</f>
        <v>28</v>
      </c>
      <c r="E1298" s="46">
        <f>IFERROR(__xludf.DUMMYFUNCTION("""COMPUTED_VALUE"""),9.75080668E8)</f>
        <v>975080668</v>
      </c>
      <c r="F1298" s="84">
        <f>IFERROR(__xludf.DUMMYFUNCTION("""COMPUTED_VALUE"""),1061935.58)</f>
        <v>1061935.58</v>
      </c>
      <c r="I1298" s="87"/>
    </row>
    <row r="1299">
      <c r="A1299" s="46" t="str">
        <f>IFERROR(__xludf.DUMMYFUNCTION("""COMPUTED_VALUE"""),"Europe")</f>
        <v>Europe</v>
      </c>
      <c r="B1299" s="46" t="str">
        <f>IFERROR(__xludf.DUMMYFUNCTION("""COMPUTED_VALUE"""),"Greece")</f>
        <v>Greece</v>
      </c>
      <c r="C1299" s="46" t="str">
        <f>IFERROR(__xludf.DUMMYFUNCTION("""COMPUTED_VALUE"""),"Office Supplies")</f>
        <v>Office Supplies</v>
      </c>
      <c r="D1299" s="46">
        <f>IFERROR(__xludf.DUMMYFUNCTION("""COMPUTED_VALUE"""),28.0)</f>
        <v>28</v>
      </c>
      <c r="E1299" s="46">
        <f>IFERROR(__xludf.DUMMYFUNCTION("""COMPUTED_VALUE"""),9.75823962E8)</f>
        <v>975823962</v>
      </c>
      <c r="F1299" s="84">
        <f>IFERROR(__xludf.DUMMYFUNCTION("""COMPUTED_VALUE"""),4460788.5)</f>
        <v>4460788.5</v>
      </c>
      <c r="I1299" s="87"/>
    </row>
    <row r="1300">
      <c r="A1300" s="46" t="str">
        <f>IFERROR(__xludf.DUMMYFUNCTION("""COMPUTED_VALUE"""),"Europe")</f>
        <v>Europe</v>
      </c>
      <c r="B1300" s="46" t="str">
        <f>IFERROR(__xludf.DUMMYFUNCTION("""COMPUTED_VALUE"""),"Croatia")</f>
        <v>Croatia</v>
      </c>
      <c r="C1300" s="46" t="str">
        <f>IFERROR(__xludf.DUMMYFUNCTION("""COMPUTED_VALUE"""),"Beverages")</f>
        <v>Beverages</v>
      </c>
      <c r="D1300" s="46">
        <f>IFERROR(__xludf.DUMMYFUNCTION("""COMPUTED_VALUE"""),4.0)</f>
        <v>4</v>
      </c>
      <c r="E1300" s="46">
        <f>IFERROR(__xludf.DUMMYFUNCTION("""COMPUTED_VALUE"""),9.76323497E8)</f>
        <v>976323497</v>
      </c>
      <c r="F1300" s="84">
        <f>IFERROR(__xludf.DUMMYFUNCTION("""COMPUTED_VALUE"""),221781.30000000002)</f>
        <v>221781.3</v>
      </c>
      <c r="I1300" s="87"/>
    </row>
    <row r="1301">
      <c r="A1301" s="46" t="str">
        <f>IFERROR(__xludf.DUMMYFUNCTION("""COMPUTED_VALUE"""),"Europe")</f>
        <v>Europe</v>
      </c>
      <c r="B1301" s="46" t="str">
        <f>IFERROR(__xludf.DUMMYFUNCTION("""COMPUTED_VALUE"""),"Luxembourg")</f>
        <v>Luxembourg</v>
      </c>
      <c r="C1301" s="46" t="str">
        <f>IFERROR(__xludf.DUMMYFUNCTION("""COMPUTED_VALUE"""),"Snacks")</f>
        <v>Snacks</v>
      </c>
      <c r="D1301" s="46">
        <f>IFERROR(__xludf.DUMMYFUNCTION("""COMPUTED_VALUE"""),37.0)</f>
        <v>37</v>
      </c>
      <c r="E1301" s="46">
        <f>IFERROR(__xludf.DUMMYFUNCTION("""COMPUTED_VALUE"""),9.77324712E8)</f>
        <v>977324712</v>
      </c>
      <c r="F1301" s="84">
        <f>IFERROR(__xludf.DUMMYFUNCTION("""COMPUTED_VALUE"""),145713.90000000002)</f>
        <v>145713.9</v>
      </c>
      <c r="I1301" s="87"/>
    </row>
    <row r="1302">
      <c r="A1302" s="46" t="str">
        <f>IFERROR(__xludf.DUMMYFUNCTION("""COMPUTED_VALUE"""),"Europe")</f>
        <v>Europe</v>
      </c>
      <c r="B1302" s="46" t="str">
        <f>IFERROR(__xludf.DUMMYFUNCTION("""COMPUTED_VALUE"""),"Switzerland")</f>
        <v>Switzerland</v>
      </c>
      <c r="C1302" s="46" t="str">
        <f>IFERROR(__xludf.DUMMYFUNCTION("""COMPUTED_VALUE"""),"Baby Food")</f>
        <v>Baby Food</v>
      </c>
      <c r="D1302" s="46">
        <f>IFERROR(__xludf.DUMMYFUNCTION("""COMPUTED_VALUE"""),22.0)</f>
        <v>22</v>
      </c>
      <c r="E1302" s="46">
        <f>IFERROR(__xludf.DUMMYFUNCTION("""COMPUTED_VALUE"""),9.79073941E8)</f>
        <v>979073941</v>
      </c>
      <c r="F1302" s="84">
        <f>IFERROR(__xludf.DUMMYFUNCTION("""COMPUTED_VALUE"""),2193110.48)</f>
        <v>2193110.48</v>
      </c>
      <c r="I1302" s="87"/>
    </row>
    <row r="1303">
      <c r="A1303" s="46" t="str">
        <f>IFERROR(__xludf.DUMMYFUNCTION("""COMPUTED_VALUE"""),"Europe")</f>
        <v>Europe</v>
      </c>
      <c r="B1303" s="46" t="str">
        <f>IFERROR(__xludf.DUMMYFUNCTION("""COMPUTED_VALUE"""),"Macedonia")</f>
        <v>Macedonia</v>
      </c>
      <c r="C1303" s="46" t="str">
        <f>IFERROR(__xludf.DUMMYFUNCTION("""COMPUTED_VALUE"""),"Meat")</f>
        <v>Meat</v>
      </c>
      <c r="D1303" s="46">
        <f>IFERROR(__xludf.DUMMYFUNCTION("""COMPUTED_VALUE"""),16.0)</f>
        <v>16</v>
      </c>
      <c r="E1303" s="46">
        <f>IFERROR(__xludf.DUMMYFUNCTION("""COMPUTED_VALUE"""),9.79200112E8)</f>
        <v>979200112</v>
      </c>
      <c r="F1303" s="84">
        <f>IFERROR(__xludf.DUMMYFUNCTION("""COMPUTED_VALUE"""),2500963.92)</f>
        <v>2500963.92</v>
      </c>
      <c r="I1303" s="87"/>
    </row>
    <row r="1304">
      <c r="A1304" s="46" t="str">
        <f>IFERROR(__xludf.DUMMYFUNCTION("""COMPUTED_VALUE"""),"Europe")</f>
        <v>Europe</v>
      </c>
      <c r="B1304" s="46" t="str">
        <f>IFERROR(__xludf.DUMMYFUNCTION("""COMPUTED_VALUE"""),"Bulgaria")</f>
        <v>Bulgaria</v>
      </c>
      <c r="C1304" s="46" t="str">
        <f>IFERROR(__xludf.DUMMYFUNCTION("""COMPUTED_VALUE"""),"Baby Food")</f>
        <v>Baby Food</v>
      </c>
      <c r="D1304" s="46">
        <f>IFERROR(__xludf.DUMMYFUNCTION("""COMPUTED_VALUE"""),8.0)</f>
        <v>8</v>
      </c>
      <c r="E1304" s="46">
        <f>IFERROR(__xludf.DUMMYFUNCTION("""COMPUTED_VALUE"""),9.80381143E8)</f>
        <v>980381143</v>
      </c>
      <c r="F1304" s="84">
        <f>IFERROR(__xludf.DUMMYFUNCTION("""COMPUTED_VALUE"""),1383872.8800000001)</f>
        <v>1383872.88</v>
      </c>
      <c r="I1304" s="87"/>
    </row>
    <row r="1305">
      <c r="A1305" s="46" t="str">
        <f>IFERROR(__xludf.DUMMYFUNCTION("""COMPUTED_VALUE"""),"Europe")</f>
        <v>Europe</v>
      </c>
      <c r="B1305" s="46" t="str">
        <f>IFERROR(__xludf.DUMMYFUNCTION("""COMPUTED_VALUE"""),"France")</f>
        <v>France</v>
      </c>
      <c r="C1305" s="46" t="str">
        <f>IFERROR(__xludf.DUMMYFUNCTION("""COMPUTED_VALUE"""),"Personal Care")</f>
        <v>Personal Care</v>
      </c>
      <c r="D1305" s="46">
        <f>IFERROR(__xludf.DUMMYFUNCTION("""COMPUTED_VALUE"""),42.0)</f>
        <v>42</v>
      </c>
      <c r="E1305" s="46">
        <f>IFERROR(__xludf.DUMMYFUNCTION("""COMPUTED_VALUE"""),9.80598723E8)</f>
        <v>980598723</v>
      </c>
      <c r="F1305" s="84">
        <f>IFERROR(__xludf.DUMMYFUNCTION("""COMPUTED_VALUE"""),801607.8400000001)</f>
        <v>801607.84</v>
      </c>
      <c r="I1305" s="87"/>
    </row>
    <row r="1306">
      <c r="A1306" s="46" t="str">
        <f>IFERROR(__xludf.DUMMYFUNCTION("""COMPUTED_VALUE"""),"Europe")</f>
        <v>Europe</v>
      </c>
      <c r="B1306" s="46" t="str">
        <f>IFERROR(__xludf.DUMMYFUNCTION("""COMPUTED_VALUE"""),"Luxembourg")</f>
        <v>Luxembourg</v>
      </c>
      <c r="C1306" s="46" t="str">
        <f>IFERROR(__xludf.DUMMYFUNCTION("""COMPUTED_VALUE"""),"Cosmetics")</f>
        <v>Cosmetics</v>
      </c>
      <c r="D1306" s="46">
        <f>IFERROR(__xludf.DUMMYFUNCTION("""COMPUTED_VALUE"""),32.0)</f>
        <v>32</v>
      </c>
      <c r="E1306" s="46">
        <f>IFERROR(__xludf.DUMMYFUNCTION("""COMPUTED_VALUE"""),9.80961358E8)</f>
        <v>980961358</v>
      </c>
      <c r="F1306" s="84">
        <f>IFERROR(__xludf.DUMMYFUNCTION("""COMPUTED_VALUE"""),3112864.0)</f>
        <v>3112864</v>
      </c>
      <c r="I1306" s="87"/>
    </row>
    <row r="1307">
      <c r="A1307" s="46" t="str">
        <f>IFERROR(__xludf.DUMMYFUNCTION("""COMPUTED_VALUE"""),"Europe")</f>
        <v>Europe</v>
      </c>
      <c r="B1307" s="46" t="str">
        <f>IFERROR(__xludf.DUMMYFUNCTION("""COMPUTED_VALUE"""),"Italy")</f>
        <v>Italy</v>
      </c>
      <c r="C1307" s="46" t="str">
        <f>IFERROR(__xludf.DUMMYFUNCTION("""COMPUTED_VALUE"""),"Beverages")</f>
        <v>Beverages</v>
      </c>
      <c r="D1307" s="46">
        <f>IFERROR(__xludf.DUMMYFUNCTION("""COMPUTED_VALUE"""),13.0)</f>
        <v>13</v>
      </c>
      <c r="E1307" s="46">
        <f>IFERROR(__xludf.DUMMYFUNCTION("""COMPUTED_VALUE"""),9.81154048E8)</f>
        <v>981154048</v>
      </c>
      <c r="F1307" s="84">
        <f>IFERROR(__xludf.DUMMYFUNCTION("""COMPUTED_VALUE"""),196490.45)</f>
        <v>196490.45</v>
      </c>
      <c r="I1307" s="87"/>
    </row>
    <row r="1308">
      <c r="A1308" s="46" t="str">
        <f>IFERROR(__xludf.DUMMYFUNCTION("""COMPUTED_VALUE"""),"Europe")</f>
        <v>Europe</v>
      </c>
      <c r="B1308" s="46" t="str">
        <f>IFERROR(__xludf.DUMMYFUNCTION("""COMPUTED_VALUE"""),"Malta")</f>
        <v>Malta</v>
      </c>
      <c r="C1308" s="46" t="str">
        <f>IFERROR(__xludf.DUMMYFUNCTION("""COMPUTED_VALUE"""),"Snacks")</f>
        <v>Snacks</v>
      </c>
      <c r="D1308" s="46">
        <f>IFERROR(__xludf.DUMMYFUNCTION("""COMPUTED_VALUE"""),1.0)</f>
        <v>1</v>
      </c>
      <c r="E1308" s="46">
        <f>IFERROR(__xludf.DUMMYFUNCTION("""COMPUTED_VALUE"""),9.81808078E8)</f>
        <v>981808078</v>
      </c>
      <c r="F1308" s="84">
        <f>IFERROR(__xludf.DUMMYFUNCTION("""COMPUTED_VALUE"""),1172272.1400000001)</f>
        <v>1172272.14</v>
      </c>
      <c r="I1308" s="87"/>
    </row>
    <row r="1309">
      <c r="A1309" s="46" t="str">
        <f>IFERROR(__xludf.DUMMYFUNCTION("""COMPUTED_VALUE"""),"Europe")</f>
        <v>Europe</v>
      </c>
      <c r="B1309" s="46" t="str">
        <f>IFERROR(__xludf.DUMMYFUNCTION("""COMPUTED_VALUE"""),"Lithuania")</f>
        <v>Lithuania</v>
      </c>
      <c r="C1309" s="46" t="str">
        <f>IFERROR(__xludf.DUMMYFUNCTION("""COMPUTED_VALUE"""),"Office Supplies")</f>
        <v>Office Supplies</v>
      </c>
      <c r="D1309" s="46">
        <f>IFERROR(__xludf.DUMMYFUNCTION("""COMPUTED_VALUE"""),49.0)</f>
        <v>49</v>
      </c>
      <c r="E1309" s="46">
        <f>IFERROR(__xludf.DUMMYFUNCTION("""COMPUTED_VALUE"""),9.82566821E8)</f>
        <v>982566821</v>
      </c>
      <c r="F1309" s="84">
        <f>IFERROR(__xludf.DUMMYFUNCTION("""COMPUTED_VALUE"""),1440476.52)</f>
        <v>1440476.52</v>
      </c>
      <c r="I1309" s="87"/>
    </row>
    <row r="1310">
      <c r="A1310" s="46" t="str">
        <f>IFERROR(__xludf.DUMMYFUNCTION("""COMPUTED_VALUE"""),"Europe")</f>
        <v>Europe</v>
      </c>
      <c r="B1310" s="46" t="str">
        <f>IFERROR(__xludf.DUMMYFUNCTION("""COMPUTED_VALUE"""),"Netherlands")</f>
        <v>Netherlands</v>
      </c>
      <c r="C1310" s="46" t="str">
        <f>IFERROR(__xludf.DUMMYFUNCTION("""COMPUTED_VALUE"""),"Beverages")</f>
        <v>Beverages</v>
      </c>
      <c r="D1310" s="46">
        <f>IFERROR(__xludf.DUMMYFUNCTION("""COMPUTED_VALUE"""),34.0)</f>
        <v>34</v>
      </c>
      <c r="E1310" s="46">
        <f>IFERROR(__xludf.DUMMYFUNCTION("""COMPUTED_VALUE"""),9.85039174E8)</f>
        <v>985039174</v>
      </c>
      <c r="F1310" s="84">
        <f>IFERROR(__xludf.DUMMYFUNCTION("""COMPUTED_VALUE"""),182018.2)</f>
        <v>182018.2</v>
      </c>
      <c r="I1310" s="87"/>
    </row>
    <row r="1311">
      <c r="A1311" s="46" t="str">
        <f>IFERROR(__xludf.DUMMYFUNCTION("""COMPUTED_VALUE"""),"Europe")</f>
        <v>Europe</v>
      </c>
      <c r="B1311" s="46" t="str">
        <f>IFERROR(__xludf.DUMMYFUNCTION("""COMPUTED_VALUE"""),"United Kingdom")</f>
        <v>United Kingdom</v>
      </c>
      <c r="C1311" s="46" t="str">
        <f>IFERROR(__xludf.DUMMYFUNCTION("""COMPUTED_VALUE"""),"Cereal")</f>
        <v>Cereal</v>
      </c>
      <c r="D1311" s="46">
        <f>IFERROR(__xludf.DUMMYFUNCTION("""COMPUTED_VALUE"""),20.0)</f>
        <v>20</v>
      </c>
      <c r="E1311" s="46">
        <f>IFERROR(__xludf.DUMMYFUNCTION("""COMPUTED_VALUE"""),9.85417258E8)</f>
        <v>985417258</v>
      </c>
      <c r="F1311" s="84">
        <f>IFERROR(__xludf.DUMMYFUNCTION("""COMPUTED_VALUE"""),1176604.0)</f>
        <v>1176604</v>
      </c>
      <c r="I1311" s="87"/>
    </row>
    <row r="1312">
      <c r="A1312" s="46" t="str">
        <f>IFERROR(__xludf.DUMMYFUNCTION("""COMPUTED_VALUE"""),"Europe")</f>
        <v>Europe</v>
      </c>
      <c r="B1312" s="46" t="str">
        <f>IFERROR(__xludf.DUMMYFUNCTION("""COMPUTED_VALUE"""),"Albania")</f>
        <v>Albania</v>
      </c>
      <c r="C1312" s="46" t="str">
        <f>IFERROR(__xludf.DUMMYFUNCTION("""COMPUTED_VALUE"""),"Meat")</f>
        <v>Meat</v>
      </c>
      <c r="D1312" s="46">
        <f>IFERROR(__xludf.DUMMYFUNCTION("""COMPUTED_VALUE"""),41.0)</f>
        <v>41</v>
      </c>
      <c r="E1312" s="46">
        <f>IFERROR(__xludf.DUMMYFUNCTION("""COMPUTED_VALUE"""),9.86449801E8)</f>
        <v>986449801</v>
      </c>
      <c r="F1312" s="84">
        <f>IFERROR(__xludf.DUMMYFUNCTION("""COMPUTED_VALUE"""),536644.08)</f>
        <v>536644.08</v>
      </c>
      <c r="I1312" s="87"/>
    </row>
    <row r="1313">
      <c r="A1313" s="46" t="str">
        <f>IFERROR(__xludf.DUMMYFUNCTION("""COMPUTED_VALUE"""),"Europe")</f>
        <v>Europe</v>
      </c>
      <c r="B1313" s="46" t="str">
        <f>IFERROR(__xludf.DUMMYFUNCTION("""COMPUTED_VALUE"""),"Macedonia")</f>
        <v>Macedonia</v>
      </c>
      <c r="C1313" s="46" t="str">
        <f>IFERROR(__xludf.DUMMYFUNCTION("""COMPUTED_VALUE"""),"Vegetables")</f>
        <v>Vegetables</v>
      </c>
      <c r="D1313" s="46">
        <f>IFERROR(__xludf.DUMMYFUNCTION("""COMPUTED_VALUE"""),13.0)</f>
        <v>13</v>
      </c>
      <c r="E1313" s="46">
        <f>IFERROR(__xludf.DUMMYFUNCTION("""COMPUTED_VALUE"""),9.87050187E8)</f>
        <v>987050187</v>
      </c>
      <c r="F1313" s="84">
        <f>IFERROR(__xludf.DUMMYFUNCTION("""COMPUTED_VALUE"""),1377296.4)</f>
        <v>1377296.4</v>
      </c>
      <c r="I1313" s="87"/>
    </row>
    <row r="1314">
      <c r="A1314" s="46" t="str">
        <f>IFERROR(__xludf.DUMMYFUNCTION("""COMPUTED_VALUE"""),"Europe")</f>
        <v>Europe</v>
      </c>
      <c r="B1314" s="46" t="str">
        <f>IFERROR(__xludf.DUMMYFUNCTION("""COMPUTED_VALUE"""),"Austria")</f>
        <v>Austria</v>
      </c>
      <c r="C1314" s="46" t="str">
        <f>IFERROR(__xludf.DUMMYFUNCTION("""COMPUTED_VALUE"""),"Cereal")</f>
        <v>Cereal</v>
      </c>
      <c r="D1314" s="46">
        <f>IFERROR(__xludf.DUMMYFUNCTION("""COMPUTED_VALUE"""),24.0)</f>
        <v>24</v>
      </c>
      <c r="E1314" s="46">
        <f>IFERROR(__xludf.DUMMYFUNCTION("""COMPUTED_VALUE"""),9.87410676E8)</f>
        <v>987410676</v>
      </c>
      <c r="F1314" s="84">
        <f>IFERROR(__xludf.DUMMYFUNCTION("""COMPUTED_VALUE"""),1155211.2)</f>
        <v>1155211.2</v>
      </c>
      <c r="I1314" s="87"/>
    </row>
    <row r="1315">
      <c r="A1315" s="46" t="str">
        <f>IFERROR(__xludf.DUMMYFUNCTION("""COMPUTED_VALUE"""),"Europe")</f>
        <v>Europe</v>
      </c>
      <c r="B1315" s="46" t="str">
        <f>IFERROR(__xludf.DUMMYFUNCTION("""COMPUTED_VALUE"""),"Ukraine")</f>
        <v>Ukraine</v>
      </c>
      <c r="C1315" s="46" t="str">
        <f>IFERROR(__xludf.DUMMYFUNCTION("""COMPUTED_VALUE"""),"Personal Care")</f>
        <v>Personal Care</v>
      </c>
      <c r="D1315" s="46">
        <f>IFERROR(__xludf.DUMMYFUNCTION("""COMPUTED_VALUE"""),42.0)</f>
        <v>42</v>
      </c>
      <c r="E1315" s="46">
        <f>IFERROR(__xludf.DUMMYFUNCTION("""COMPUTED_VALUE"""),9.8745917E8)</f>
        <v>987459170</v>
      </c>
      <c r="F1315" s="84">
        <f>IFERROR(__xludf.DUMMYFUNCTION("""COMPUTED_VALUE"""),814602.91)</f>
        <v>814602.91</v>
      </c>
      <c r="I1315" s="87"/>
    </row>
    <row r="1316">
      <c r="A1316" s="46" t="str">
        <f>IFERROR(__xludf.DUMMYFUNCTION("""COMPUTED_VALUE"""),"Europe")</f>
        <v>Europe</v>
      </c>
      <c r="B1316" s="46" t="str">
        <f>IFERROR(__xludf.DUMMYFUNCTION("""COMPUTED_VALUE"""),"Lithuania")</f>
        <v>Lithuania</v>
      </c>
      <c r="C1316" s="46" t="str">
        <f>IFERROR(__xludf.DUMMYFUNCTION("""COMPUTED_VALUE"""),"Office Supplies")</f>
        <v>Office Supplies</v>
      </c>
      <c r="D1316" s="46">
        <f>IFERROR(__xludf.DUMMYFUNCTION("""COMPUTED_VALUE"""),24.0)</f>
        <v>24</v>
      </c>
      <c r="E1316" s="46">
        <f>IFERROR(__xludf.DUMMYFUNCTION("""COMPUTED_VALUE"""),9.87767302E8)</f>
        <v>987767302</v>
      </c>
      <c r="F1316" s="84">
        <f>IFERROR(__xludf.DUMMYFUNCTION("""COMPUTED_VALUE"""),748891.5)</f>
        <v>748891.5</v>
      </c>
      <c r="I1316" s="87"/>
    </row>
    <row r="1317">
      <c r="A1317" s="46" t="str">
        <f>IFERROR(__xludf.DUMMYFUNCTION("""COMPUTED_VALUE"""),"Europe")</f>
        <v>Europe</v>
      </c>
      <c r="B1317" s="46" t="str">
        <f>IFERROR(__xludf.DUMMYFUNCTION("""COMPUTED_VALUE"""),"Czech Republic")</f>
        <v>Czech Republic</v>
      </c>
      <c r="C1317" s="46" t="str">
        <f>IFERROR(__xludf.DUMMYFUNCTION("""COMPUTED_VALUE"""),"Household")</f>
        <v>Household</v>
      </c>
      <c r="D1317" s="46">
        <f>IFERROR(__xludf.DUMMYFUNCTION("""COMPUTED_VALUE"""),35.0)</f>
        <v>35</v>
      </c>
      <c r="E1317" s="46">
        <f>IFERROR(__xludf.DUMMYFUNCTION("""COMPUTED_VALUE"""),9.8859986E8)</f>
        <v>988599860</v>
      </c>
      <c r="F1317" s="84">
        <f>IFERROR(__xludf.DUMMYFUNCTION("""COMPUTED_VALUE"""),5026726.9399999995)</f>
        <v>5026726.94</v>
      </c>
      <c r="I1317" s="87"/>
    </row>
    <row r="1318">
      <c r="A1318" s="46" t="str">
        <f>IFERROR(__xludf.DUMMYFUNCTION("""COMPUTED_VALUE"""),"Europe")</f>
        <v>Europe</v>
      </c>
      <c r="B1318" s="46" t="str">
        <f>IFERROR(__xludf.DUMMYFUNCTION("""COMPUTED_VALUE"""),"Macedonia")</f>
        <v>Macedonia</v>
      </c>
      <c r="C1318" s="46" t="str">
        <f>IFERROR(__xludf.DUMMYFUNCTION("""COMPUTED_VALUE"""),"Cereal")</f>
        <v>Cereal</v>
      </c>
      <c r="D1318" s="46">
        <f>IFERROR(__xludf.DUMMYFUNCTION("""COMPUTED_VALUE"""),44.0)</f>
        <v>44</v>
      </c>
      <c r="E1318" s="46">
        <f>IFERROR(__xludf.DUMMYFUNCTION("""COMPUTED_VALUE"""),9.88614022E8)</f>
        <v>988614022</v>
      </c>
      <c r="F1318" s="84">
        <f>IFERROR(__xludf.DUMMYFUNCTION("""COMPUTED_VALUE"""),352364.1)</f>
        <v>352364.1</v>
      </c>
      <c r="I1318" s="87"/>
    </row>
    <row r="1319">
      <c r="A1319" s="46" t="str">
        <f>IFERROR(__xludf.DUMMYFUNCTION("""COMPUTED_VALUE"""),"Undefined")</f>
        <v>Undefined</v>
      </c>
      <c r="B1319" s="46" t="str">
        <f>IFERROR(__xludf.DUMMYFUNCTION("""COMPUTED_VALUE"""),"Undefined")</f>
        <v>Undefined</v>
      </c>
      <c r="C1319" s="46" t="str">
        <f>IFERROR(__xludf.DUMMYFUNCTION("""COMPUTED_VALUE"""),"Fruits")</f>
        <v>Fruits</v>
      </c>
      <c r="D1319" s="46">
        <f>IFERROR(__xludf.DUMMYFUNCTION("""COMPUTED_VALUE"""),27.0)</f>
        <v>27</v>
      </c>
      <c r="E1319" s="46">
        <f>IFERROR(__xludf.DUMMYFUNCTION("""COMPUTED_VALUE"""),9.89102828E8)</f>
        <v>989102828</v>
      </c>
      <c r="F1319" s="84">
        <f>IFERROR(__xludf.DUMMYFUNCTION("""COMPUTED_VALUE"""),59357.46)</f>
        <v>59357.46</v>
      </c>
      <c r="I1319" s="87"/>
    </row>
    <row r="1320">
      <c r="A1320" s="46" t="str">
        <f>IFERROR(__xludf.DUMMYFUNCTION("""COMPUTED_VALUE"""),"Europe")</f>
        <v>Europe</v>
      </c>
      <c r="B1320" s="46" t="str">
        <f>IFERROR(__xludf.DUMMYFUNCTION("""COMPUTED_VALUE"""),"Macedonia")</f>
        <v>Macedonia</v>
      </c>
      <c r="C1320" s="46" t="str">
        <f>IFERROR(__xludf.DUMMYFUNCTION("""COMPUTED_VALUE"""),"Clothes")</f>
        <v>Clothes</v>
      </c>
      <c r="D1320" s="46">
        <f>IFERROR(__xludf.DUMMYFUNCTION("""COMPUTED_VALUE"""),33.0)</f>
        <v>33</v>
      </c>
      <c r="E1320" s="46">
        <f>IFERROR(__xludf.DUMMYFUNCTION("""COMPUTED_VALUE"""),9.89403665E8)</f>
        <v>989403665</v>
      </c>
      <c r="F1320" s="84">
        <f>IFERROR(__xludf.DUMMYFUNCTION("""COMPUTED_VALUE"""),588582.08)</f>
        <v>588582.08</v>
      </c>
      <c r="I1320" s="87"/>
    </row>
    <row r="1321">
      <c r="A1321" s="46" t="str">
        <f>IFERROR(__xludf.DUMMYFUNCTION("""COMPUTED_VALUE"""),"Europe")</f>
        <v>Europe</v>
      </c>
      <c r="B1321" s="46" t="str">
        <f>IFERROR(__xludf.DUMMYFUNCTION("""COMPUTED_VALUE"""),"Belarus")</f>
        <v>Belarus</v>
      </c>
      <c r="C1321" s="46" t="str">
        <f>IFERROR(__xludf.DUMMYFUNCTION("""COMPUTED_VALUE"""),"Household")</f>
        <v>Household</v>
      </c>
      <c r="D1321" s="46">
        <f>IFERROR(__xludf.DUMMYFUNCTION("""COMPUTED_VALUE"""),14.0)</f>
        <v>14</v>
      </c>
      <c r="E1321" s="46">
        <f>IFERROR(__xludf.DUMMYFUNCTION("""COMPUTED_VALUE"""),9.9045509E8)</f>
        <v>990455090</v>
      </c>
      <c r="F1321" s="84">
        <f>IFERROR(__xludf.DUMMYFUNCTION("""COMPUTED_VALUE"""),4361130.02)</f>
        <v>4361130.02</v>
      </c>
      <c r="I1321" s="87"/>
    </row>
    <row r="1322">
      <c r="A1322" s="46" t="str">
        <f>IFERROR(__xludf.DUMMYFUNCTION("""COMPUTED_VALUE"""),"Europe")</f>
        <v>Europe</v>
      </c>
      <c r="B1322" s="46" t="str">
        <f>IFERROR(__xludf.DUMMYFUNCTION("""COMPUTED_VALUE"""),"Netherlands")</f>
        <v>Netherlands</v>
      </c>
      <c r="C1322" s="46" t="str">
        <f>IFERROR(__xludf.DUMMYFUNCTION("""COMPUTED_VALUE"""),"Household")</f>
        <v>Household</v>
      </c>
      <c r="D1322" s="46">
        <f>IFERROR(__xludf.DUMMYFUNCTION("""COMPUTED_VALUE"""),32.0)</f>
        <v>32</v>
      </c>
      <c r="E1322" s="46">
        <f>IFERROR(__xludf.DUMMYFUNCTION("""COMPUTED_VALUE"""),9.9077481E8)</f>
        <v>990774810</v>
      </c>
      <c r="F1322" s="84">
        <f>IFERROR(__xludf.DUMMYFUNCTION("""COMPUTED_VALUE"""),760491.26)</f>
        <v>760491.26</v>
      </c>
      <c r="I1322" s="87"/>
    </row>
    <row r="1323">
      <c r="A1323" s="46" t="str">
        <f>IFERROR(__xludf.DUMMYFUNCTION("""COMPUTED_VALUE"""),"Europe")</f>
        <v>Europe</v>
      </c>
      <c r="B1323" s="46" t="str">
        <f>IFERROR(__xludf.DUMMYFUNCTION("""COMPUTED_VALUE"""),"Norway")</f>
        <v>Norway</v>
      </c>
      <c r="C1323" s="46" t="str">
        <f>IFERROR(__xludf.DUMMYFUNCTION("""COMPUTED_VALUE"""),"Fruits")</f>
        <v>Fruits</v>
      </c>
      <c r="D1323" s="46">
        <f>IFERROR(__xludf.DUMMYFUNCTION("""COMPUTED_VALUE"""),4.0)</f>
        <v>4</v>
      </c>
      <c r="E1323" s="46">
        <f>IFERROR(__xludf.DUMMYFUNCTION("""COMPUTED_VALUE"""),9.91761863E8)</f>
        <v>991761863</v>
      </c>
      <c r="F1323" s="84">
        <f>IFERROR(__xludf.DUMMYFUNCTION("""COMPUTED_VALUE"""),30126.57)</f>
        <v>30126.57</v>
      </c>
      <c r="I1323" s="87"/>
    </row>
    <row r="1324">
      <c r="A1324" s="46" t="str">
        <f>IFERROR(__xludf.DUMMYFUNCTION("""COMPUTED_VALUE"""),"Europe")</f>
        <v>Europe</v>
      </c>
      <c r="B1324" s="46" t="str">
        <f>IFERROR(__xludf.DUMMYFUNCTION("""COMPUTED_VALUE"""),"Serbia")</f>
        <v>Serbia</v>
      </c>
      <c r="C1324" s="46" t="str">
        <f>IFERROR(__xludf.DUMMYFUNCTION("""COMPUTED_VALUE"""),"Vegetables")</f>
        <v>Vegetables</v>
      </c>
      <c r="D1324" s="46">
        <f>IFERROR(__xludf.DUMMYFUNCTION("""COMPUTED_VALUE"""),1.0)</f>
        <v>1</v>
      </c>
      <c r="E1324" s="46">
        <f>IFERROR(__xludf.DUMMYFUNCTION("""COMPUTED_VALUE"""),9.92992675E8)</f>
        <v>992992675</v>
      </c>
      <c r="F1324" s="84">
        <f>IFERROR(__xludf.DUMMYFUNCTION("""COMPUTED_VALUE"""),1148363.24)</f>
        <v>1148363.24</v>
      </c>
      <c r="I1324" s="87"/>
    </row>
    <row r="1325">
      <c r="A1325" s="46" t="str">
        <f>IFERROR(__xludf.DUMMYFUNCTION("""COMPUTED_VALUE"""),"Europe")</f>
        <v>Europe</v>
      </c>
      <c r="B1325" s="46" t="str">
        <f>IFERROR(__xludf.DUMMYFUNCTION("""COMPUTED_VALUE"""),"Germany")</f>
        <v>Germany</v>
      </c>
      <c r="C1325" s="46" t="str">
        <f>IFERROR(__xludf.DUMMYFUNCTION("""COMPUTED_VALUE"""),"Personal Care")</f>
        <v>Personal Care</v>
      </c>
      <c r="D1325" s="46">
        <f>IFERROR(__xludf.DUMMYFUNCTION("""COMPUTED_VALUE"""),8.0)</f>
        <v>8</v>
      </c>
      <c r="E1325" s="46">
        <f>IFERROR(__xludf.DUMMYFUNCTION("""COMPUTED_VALUE"""),9.93368613E8)</f>
        <v>993368613</v>
      </c>
      <c r="F1325" s="84">
        <f>IFERROR(__xludf.DUMMYFUNCTION("""COMPUTED_VALUE"""),711214.4600000001)</f>
        <v>711214.46</v>
      </c>
      <c r="I1325" s="87"/>
    </row>
    <row r="1326">
      <c r="A1326" s="46" t="str">
        <f>IFERROR(__xludf.DUMMYFUNCTION("""COMPUTED_VALUE"""),"Europe")</f>
        <v>Europe</v>
      </c>
      <c r="B1326" s="46" t="str">
        <f>IFERROR(__xludf.DUMMYFUNCTION("""COMPUTED_VALUE"""),"Malta")</f>
        <v>Malta</v>
      </c>
      <c r="C1326" s="46" t="str">
        <f>IFERROR(__xludf.DUMMYFUNCTION("""COMPUTED_VALUE"""),"Beverages")</f>
        <v>Beverages</v>
      </c>
      <c r="D1326" s="46">
        <f>IFERROR(__xludf.DUMMYFUNCTION("""COMPUTED_VALUE"""),23.0)</f>
        <v>23</v>
      </c>
      <c r="E1326" s="46">
        <f>IFERROR(__xludf.DUMMYFUNCTION("""COMPUTED_VALUE"""),9.94406735E8)</f>
        <v>994406735</v>
      </c>
      <c r="F1326" s="84">
        <f>IFERROR(__xludf.DUMMYFUNCTION("""COMPUTED_VALUE"""),280239.7)</f>
        <v>280239.7</v>
      </c>
      <c r="I1326" s="87"/>
    </row>
    <row r="1327">
      <c r="A1327" s="46" t="str">
        <f>IFERROR(__xludf.DUMMYFUNCTION("""COMPUTED_VALUE"""),"Europe")</f>
        <v>Europe</v>
      </c>
      <c r="B1327" s="46" t="str">
        <f>IFERROR(__xludf.DUMMYFUNCTION("""COMPUTED_VALUE"""),"Sweden")</f>
        <v>Sweden</v>
      </c>
      <c r="C1327" s="46" t="str">
        <f>IFERROR(__xludf.DUMMYFUNCTION("""COMPUTED_VALUE"""),"Fruits")</f>
        <v>Fruits</v>
      </c>
      <c r="D1327" s="46">
        <f>IFERROR(__xludf.DUMMYFUNCTION("""COMPUTED_VALUE"""),3.0)</f>
        <v>3</v>
      </c>
      <c r="E1327" s="46">
        <f>IFERROR(__xludf.DUMMYFUNCTION("""COMPUTED_VALUE"""),9.94504153E8)</f>
        <v>994504153</v>
      </c>
      <c r="F1327" s="84">
        <f>IFERROR(__xludf.DUMMYFUNCTION("""COMPUTED_VALUE"""),44168.22)</f>
        <v>44168.22</v>
      </c>
      <c r="I1327" s="87"/>
    </row>
    <row r="1328">
      <c r="A1328" s="46" t="str">
        <f>IFERROR(__xludf.DUMMYFUNCTION("""COMPUTED_VALUE"""),"Europe")</f>
        <v>Europe</v>
      </c>
      <c r="B1328" s="46" t="str">
        <f>IFERROR(__xludf.DUMMYFUNCTION("""COMPUTED_VALUE"""),"Italy")</f>
        <v>Italy</v>
      </c>
      <c r="C1328" s="46" t="str">
        <f>IFERROR(__xludf.DUMMYFUNCTION("""COMPUTED_VALUE"""),"Beverages")</f>
        <v>Beverages</v>
      </c>
      <c r="D1328" s="46">
        <f>IFERROR(__xludf.DUMMYFUNCTION("""COMPUTED_VALUE"""),28.0)</f>
        <v>28</v>
      </c>
      <c r="E1328" s="46">
        <f>IFERROR(__xludf.DUMMYFUNCTION("""COMPUTED_VALUE"""),9.94978797E8)</f>
        <v>994978797</v>
      </c>
      <c r="F1328" s="84">
        <f>IFERROR(__xludf.DUMMYFUNCTION("""COMPUTED_VALUE"""),246360.40000000002)</f>
        <v>246360.4</v>
      </c>
      <c r="I1328" s="87"/>
    </row>
    <row r="1329">
      <c r="A1329" s="46" t="str">
        <f>IFERROR(__xludf.DUMMYFUNCTION("""COMPUTED_VALUE"""),"Europe")</f>
        <v>Europe</v>
      </c>
      <c r="B1329" s="46" t="str">
        <f>IFERROR(__xludf.DUMMYFUNCTION("""COMPUTED_VALUE"""),"Russia")</f>
        <v>Russia</v>
      </c>
      <c r="C1329" s="46" t="str">
        <f>IFERROR(__xludf.DUMMYFUNCTION("""COMPUTED_VALUE"""),"Baby Food")</f>
        <v>Baby Food</v>
      </c>
      <c r="D1329" s="46">
        <f>IFERROR(__xludf.DUMMYFUNCTION("""COMPUTED_VALUE"""),2.0)</f>
        <v>2</v>
      </c>
      <c r="E1329" s="46">
        <f>IFERROR(__xludf.DUMMYFUNCTION("""COMPUTED_VALUE"""),9.96754205E8)</f>
        <v>996754205</v>
      </c>
      <c r="F1329" s="84">
        <f>IFERROR(__xludf.DUMMYFUNCTION("""COMPUTED_VALUE"""),146530.72)</f>
        <v>146530.72</v>
      </c>
      <c r="I1329" s="87"/>
    </row>
    <row r="1330">
      <c r="A1330" s="46" t="str">
        <f>IFERROR(__xludf.DUMMYFUNCTION("""COMPUTED_VALUE"""),"Europe")</f>
        <v>Europe</v>
      </c>
      <c r="B1330" s="46" t="str">
        <f>IFERROR(__xludf.DUMMYFUNCTION("""COMPUTED_VALUE"""),"Malta")</f>
        <v>Malta</v>
      </c>
      <c r="C1330" s="46" t="str">
        <f>IFERROR(__xludf.DUMMYFUNCTION("""COMPUTED_VALUE"""),"Cosmetics")</f>
        <v>Cosmetics</v>
      </c>
      <c r="D1330" s="46">
        <f>IFERROR(__xludf.DUMMYFUNCTION("""COMPUTED_VALUE"""),18.0)</f>
        <v>18</v>
      </c>
      <c r="E1330" s="46">
        <f>IFERROR(__xludf.DUMMYFUNCTION("""COMPUTED_VALUE"""),9.98043382E8)</f>
        <v>998043382</v>
      </c>
      <c r="F1330" s="84">
        <f>IFERROR(__xludf.DUMMYFUNCTION("""COMPUTED_VALUE"""),905004.0)</f>
        <v>905004</v>
      </c>
      <c r="I1330" s="87"/>
    </row>
    <row r="1331">
      <c r="A1331" s="46" t="str">
        <f>IFERROR(__xludf.DUMMYFUNCTION("""COMPUTED_VALUE"""),"Europe")</f>
        <v>Europe</v>
      </c>
      <c r="B1331" s="46" t="str">
        <f>IFERROR(__xludf.DUMMYFUNCTION("""COMPUTED_VALUE"""),"Albania")</f>
        <v>Albania</v>
      </c>
      <c r="C1331" s="46" t="str">
        <f>IFERROR(__xludf.DUMMYFUNCTION("""COMPUTED_VALUE"""),"Household")</f>
        <v>Household</v>
      </c>
      <c r="D1331" s="46">
        <f>IFERROR(__xludf.DUMMYFUNCTION("""COMPUTED_VALUE"""),36.0)</f>
        <v>36</v>
      </c>
      <c r="E1331" s="46">
        <f>IFERROR(__xludf.DUMMYFUNCTION("""COMPUTED_VALUE"""),9.99879729E8)</f>
        <v>999879729</v>
      </c>
      <c r="F1331" s="84">
        <f>IFERROR(__xludf.DUMMYFUNCTION("""COMPUTED_VALUE"""),3666129.2199999997)</f>
        <v>3666129.22</v>
      </c>
      <c r="I1331" s="87"/>
    </row>
    <row r="1332">
      <c r="I1332" s="87"/>
    </row>
    <row r="1333">
      <c r="I1333" s="87"/>
    </row>
    <row r="1334">
      <c r="I1334" s="87"/>
    </row>
    <row r="1335">
      <c r="I1335" s="87"/>
    </row>
    <row r="1336">
      <c r="I1336" s="87"/>
    </row>
    <row r="1337">
      <c r="I1337" s="87"/>
    </row>
    <row r="1338">
      <c r="I1338" s="87"/>
    </row>
    <row r="1339">
      <c r="I1339" s="87"/>
    </row>
    <row r="1340">
      <c r="I1340" s="87"/>
    </row>
    <row r="1341">
      <c r="I1341" s="87"/>
    </row>
    <row r="1342">
      <c r="I1342" s="87"/>
    </row>
    <row r="1343">
      <c r="I1343" s="87"/>
    </row>
    <row r="1344">
      <c r="I1344" s="87"/>
    </row>
    <row r="1345">
      <c r="I1345" s="87"/>
    </row>
    <row r="1346">
      <c r="I1346" s="87"/>
    </row>
    <row r="1347">
      <c r="I1347" s="87"/>
    </row>
    <row r="1348">
      <c r="I1348" s="87"/>
    </row>
    <row r="1349">
      <c r="I1349" s="87"/>
    </row>
    <row r="1350">
      <c r="I1350" s="87"/>
    </row>
    <row r="1351">
      <c r="I1351" s="87"/>
    </row>
    <row r="1352">
      <c r="I1352" s="87"/>
    </row>
    <row r="1353">
      <c r="I1353" s="87"/>
    </row>
    <row r="1354">
      <c r="I1354" s="87"/>
    </row>
    <row r="1355">
      <c r="I1355" s="87"/>
    </row>
    <row r="1356">
      <c r="I1356" s="87"/>
    </row>
    <row r="1357">
      <c r="I1357" s="87"/>
    </row>
    <row r="1358">
      <c r="I1358" s="87"/>
    </row>
    <row r="1359">
      <c r="I1359" s="87"/>
    </row>
    <row r="1360">
      <c r="I1360" s="87"/>
    </row>
    <row r="1361">
      <c r="I1361" s="87"/>
    </row>
    <row r="1362">
      <c r="I1362" s="87"/>
    </row>
    <row r="1363">
      <c r="I1363" s="87"/>
    </row>
    <row r="1364">
      <c r="I1364" s="87"/>
    </row>
    <row r="1365">
      <c r="I1365" s="87"/>
    </row>
    <row r="1366">
      <c r="I1366" s="87"/>
    </row>
    <row r="1367">
      <c r="I1367" s="87"/>
    </row>
    <row r="1368">
      <c r="I1368" s="87"/>
    </row>
    <row r="1369">
      <c r="I1369" s="87"/>
    </row>
    <row r="1370">
      <c r="I1370" s="87"/>
    </row>
    <row r="1371">
      <c r="I1371" s="87"/>
    </row>
    <row r="1372">
      <c r="I1372" s="87"/>
    </row>
    <row r="1373">
      <c r="I1373" s="87"/>
    </row>
    <row r="1374">
      <c r="I1374" s="87"/>
    </row>
    <row r="1375">
      <c r="I1375" s="87"/>
    </row>
    <row r="1376">
      <c r="I1376" s="87"/>
    </row>
    <row r="1377">
      <c r="I1377" s="87"/>
    </row>
    <row r="1378">
      <c r="I1378" s="87"/>
    </row>
    <row r="1379">
      <c r="I1379" s="87"/>
    </row>
    <row r="1380">
      <c r="I1380" s="87"/>
    </row>
    <row r="1381">
      <c r="I1381" s="87"/>
    </row>
    <row r="1382">
      <c r="I1382" s="87"/>
    </row>
    <row r="1383">
      <c r="I1383" s="87"/>
    </row>
    <row r="1384">
      <c r="I1384" s="87"/>
    </row>
    <row r="1385">
      <c r="I1385" s="87"/>
    </row>
    <row r="1386">
      <c r="I1386" s="87"/>
    </row>
    <row r="1387">
      <c r="I1387" s="87"/>
    </row>
    <row r="1388">
      <c r="I1388" s="87"/>
    </row>
    <row r="1389">
      <c r="I1389" s="87"/>
    </row>
    <row r="1390">
      <c r="I1390" s="87"/>
    </row>
    <row r="1391">
      <c r="I1391" s="87"/>
    </row>
    <row r="1392">
      <c r="I1392" s="87"/>
    </row>
    <row r="1393">
      <c r="I1393" s="87"/>
    </row>
    <row r="1394">
      <c r="I1394" s="87"/>
    </row>
    <row r="1395">
      <c r="I1395" s="87"/>
    </row>
    <row r="1396">
      <c r="I1396" s="87"/>
    </row>
    <row r="1397">
      <c r="I1397" s="87"/>
    </row>
    <row r="1398">
      <c r="I1398" s="87"/>
    </row>
    <row r="1399">
      <c r="I1399" s="87"/>
    </row>
    <row r="1400">
      <c r="I1400" s="87"/>
    </row>
    <row r="1401">
      <c r="I1401" s="87"/>
    </row>
    <row r="1402">
      <c r="I1402" s="87"/>
    </row>
    <row r="1403">
      <c r="I1403" s="87"/>
    </row>
    <row r="1404">
      <c r="I1404" s="87"/>
    </row>
    <row r="1405">
      <c r="I1405" s="87"/>
    </row>
    <row r="1406">
      <c r="I1406" s="87"/>
    </row>
    <row r="1407">
      <c r="I1407" s="87"/>
    </row>
    <row r="1408">
      <c r="I1408" s="87"/>
    </row>
    <row r="1409">
      <c r="I1409" s="87"/>
    </row>
    <row r="1410">
      <c r="I1410" s="87"/>
    </row>
    <row r="1411">
      <c r="I1411" s="87"/>
    </row>
    <row r="1412">
      <c r="I1412" s="87"/>
    </row>
    <row r="1413">
      <c r="I1413" s="87"/>
    </row>
    <row r="1414">
      <c r="I1414" s="87"/>
    </row>
    <row r="1415">
      <c r="I1415" s="87"/>
    </row>
    <row r="1416">
      <c r="I1416" s="87"/>
    </row>
    <row r="1417">
      <c r="I1417" s="87"/>
    </row>
    <row r="1418">
      <c r="I1418" s="87"/>
    </row>
    <row r="1419">
      <c r="I1419" s="87"/>
    </row>
    <row r="1420">
      <c r="I1420" s="87"/>
    </row>
    <row r="1421">
      <c r="I1421" s="87"/>
    </row>
    <row r="1422">
      <c r="I1422" s="87"/>
    </row>
    <row r="1423">
      <c r="I1423" s="87"/>
    </row>
    <row r="1424">
      <c r="I1424" s="87"/>
    </row>
    <row r="1425">
      <c r="I1425" s="87"/>
    </row>
    <row r="1426">
      <c r="I1426" s="87"/>
    </row>
    <row r="1427">
      <c r="I1427" s="87"/>
    </row>
    <row r="1428">
      <c r="I1428" s="87"/>
    </row>
    <row r="1429">
      <c r="I1429" s="87"/>
    </row>
    <row r="1430">
      <c r="I1430" s="87"/>
    </row>
    <row r="1431">
      <c r="I1431" s="87"/>
    </row>
    <row r="1432">
      <c r="I1432" s="87"/>
    </row>
    <row r="1433">
      <c r="I1433" s="87"/>
    </row>
    <row r="1434">
      <c r="I1434" s="87"/>
    </row>
    <row r="1435">
      <c r="I1435" s="87"/>
    </row>
    <row r="1436">
      <c r="I1436" s="87"/>
    </row>
    <row r="1437">
      <c r="I1437" s="87"/>
    </row>
    <row r="1438">
      <c r="I1438" s="87"/>
    </row>
    <row r="1439">
      <c r="I1439" s="87"/>
    </row>
    <row r="1440">
      <c r="I1440" s="87"/>
    </row>
    <row r="1441">
      <c r="I1441" s="87"/>
    </row>
    <row r="1442">
      <c r="I1442" s="87"/>
    </row>
    <row r="1443">
      <c r="I1443" s="87"/>
    </row>
    <row r="1444">
      <c r="I1444" s="87"/>
    </row>
    <row r="1445">
      <c r="I1445" s="87"/>
    </row>
    <row r="1446">
      <c r="I1446" s="87"/>
    </row>
    <row r="1447">
      <c r="I1447" s="87"/>
    </row>
    <row r="1448">
      <c r="I1448" s="87"/>
    </row>
    <row r="1449">
      <c r="I1449" s="87"/>
    </row>
    <row r="1450">
      <c r="I1450" s="87"/>
    </row>
    <row r="1451">
      <c r="I1451" s="87"/>
    </row>
    <row r="1452">
      <c r="I1452" s="87"/>
    </row>
    <row r="1453">
      <c r="I1453" s="87"/>
    </row>
    <row r="1454">
      <c r="I1454" s="87"/>
    </row>
    <row r="1455">
      <c r="I1455" s="87"/>
    </row>
    <row r="1456">
      <c r="I1456" s="87"/>
    </row>
    <row r="1457">
      <c r="I1457" s="87"/>
    </row>
    <row r="1458">
      <c r="I1458" s="87"/>
    </row>
    <row r="1459">
      <c r="I1459" s="87"/>
    </row>
    <row r="1460">
      <c r="I1460" s="87"/>
    </row>
    <row r="1461">
      <c r="I1461" s="87"/>
    </row>
    <row r="1462">
      <c r="I1462" s="87"/>
    </row>
    <row r="1463">
      <c r="I1463" s="87"/>
    </row>
    <row r="1464">
      <c r="I1464" s="87"/>
    </row>
    <row r="1465">
      <c r="I1465" s="87"/>
    </row>
    <row r="1466">
      <c r="I1466" s="87"/>
    </row>
    <row r="1467">
      <c r="I1467" s="87"/>
    </row>
    <row r="1468">
      <c r="I1468" s="87"/>
    </row>
    <row r="1469">
      <c r="I1469" s="87"/>
    </row>
    <row r="1470">
      <c r="I1470" s="87"/>
    </row>
    <row r="1471">
      <c r="I1471" s="87"/>
    </row>
    <row r="1472">
      <c r="I1472" s="87"/>
    </row>
    <row r="1473">
      <c r="I1473" s="87"/>
    </row>
    <row r="1474">
      <c r="I1474" s="87"/>
    </row>
    <row r="1475">
      <c r="I1475" s="87"/>
    </row>
    <row r="1476">
      <c r="I1476" s="87"/>
    </row>
    <row r="1477">
      <c r="I1477" s="87"/>
    </row>
    <row r="1478">
      <c r="I1478" s="87"/>
    </row>
    <row r="1479">
      <c r="I1479" s="87"/>
    </row>
    <row r="1480">
      <c r="I1480" s="87"/>
    </row>
    <row r="1481">
      <c r="I1481" s="87"/>
    </row>
    <row r="1482">
      <c r="I1482" s="87"/>
    </row>
    <row r="1483">
      <c r="I1483" s="87"/>
    </row>
    <row r="1484">
      <c r="I1484" s="87"/>
    </row>
    <row r="1485">
      <c r="I1485" s="87"/>
    </row>
    <row r="1486">
      <c r="I1486" s="87"/>
    </row>
    <row r="1487">
      <c r="I1487" s="87"/>
    </row>
    <row r="1488">
      <c r="I1488" s="87"/>
    </row>
    <row r="1489">
      <c r="I1489" s="87"/>
    </row>
    <row r="1490">
      <c r="I1490" s="87"/>
    </row>
    <row r="1491">
      <c r="I1491" s="87"/>
    </row>
    <row r="1492">
      <c r="I1492" s="87"/>
    </row>
    <row r="1493">
      <c r="I1493" s="87"/>
    </row>
    <row r="1494">
      <c r="I1494" s="87"/>
    </row>
    <row r="1495">
      <c r="I1495" s="87"/>
    </row>
    <row r="1496">
      <c r="I1496" s="87"/>
    </row>
    <row r="1497">
      <c r="I1497" s="87"/>
    </row>
    <row r="1498">
      <c r="I1498" s="87"/>
    </row>
    <row r="1499">
      <c r="I1499" s="87"/>
    </row>
    <row r="1500">
      <c r="I1500" s="87"/>
    </row>
    <row r="1501">
      <c r="I1501" s="87"/>
    </row>
    <row r="1502">
      <c r="I1502" s="87"/>
    </row>
    <row r="1503">
      <c r="I1503" s="87"/>
    </row>
    <row r="1504">
      <c r="I1504" s="87"/>
    </row>
    <row r="1505">
      <c r="I1505" s="87"/>
    </row>
    <row r="1506">
      <c r="I1506" s="87"/>
    </row>
    <row r="1507">
      <c r="I1507" s="87"/>
    </row>
    <row r="1508">
      <c r="I1508" s="87"/>
    </row>
    <row r="1509">
      <c r="I1509" s="87"/>
    </row>
    <row r="1510">
      <c r="I1510" s="87"/>
    </row>
    <row r="1511">
      <c r="I1511" s="87"/>
    </row>
    <row r="1512">
      <c r="I1512" s="87"/>
    </row>
    <row r="1513">
      <c r="I1513" s="87"/>
    </row>
    <row r="1514">
      <c r="I1514" s="87"/>
    </row>
    <row r="1515">
      <c r="I1515" s="87"/>
    </row>
    <row r="1516">
      <c r="I1516" s="87"/>
    </row>
    <row r="1517">
      <c r="I1517" s="87"/>
    </row>
    <row r="1518">
      <c r="I1518" s="87"/>
    </row>
    <row r="1519">
      <c r="I1519" s="87"/>
    </row>
    <row r="1520">
      <c r="I1520" s="87"/>
    </row>
    <row r="1521">
      <c r="I1521" s="87"/>
    </row>
    <row r="1522">
      <c r="I1522" s="87"/>
    </row>
    <row r="1523">
      <c r="I1523" s="87"/>
    </row>
    <row r="1524">
      <c r="I1524" s="87"/>
    </row>
    <row r="1525">
      <c r="I1525" s="87"/>
    </row>
    <row r="1526">
      <c r="I1526" s="87"/>
    </row>
    <row r="1527">
      <c r="I1527" s="87"/>
    </row>
    <row r="1528">
      <c r="I1528" s="87"/>
    </row>
    <row r="1529">
      <c r="I1529" s="87"/>
    </row>
    <row r="1530">
      <c r="I1530" s="87"/>
    </row>
    <row r="1531">
      <c r="I1531" s="87"/>
    </row>
    <row r="1532">
      <c r="I1532" s="87"/>
    </row>
    <row r="1533">
      <c r="I1533" s="87"/>
    </row>
    <row r="1534">
      <c r="I1534" s="87"/>
    </row>
    <row r="1535">
      <c r="I1535" s="87"/>
    </row>
    <row r="1536">
      <c r="I1536" s="87"/>
    </row>
    <row r="1537">
      <c r="I1537" s="87"/>
    </row>
    <row r="1538">
      <c r="I1538" s="87"/>
    </row>
    <row r="1539">
      <c r="I1539" s="87"/>
    </row>
    <row r="1540">
      <c r="I1540" s="87"/>
    </row>
    <row r="1541">
      <c r="I1541" s="87"/>
    </row>
    <row r="1542">
      <c r="I1542" s="87"/>
    </row>
    <row r="1543">
      <c r="I1543" s="87"/>
    </row>
    <row r="1544">
      <c r="I1544" s="87"/>
    </row>
    <row r="1545">
      <c r="I1545" s="87"/>
    </row>
    <row r="1546">
      <c r="I1546" s="87"/>
    </row>
    <row r="1547">
      <c r="I1547" s="87"/>
    </row>
    <row r="1548">
      <c r="I1548" s="87"/>
    </row>
    <row r="1549">
      <c r="I1549" s="87"/>
    </row>
    <row r="1550">
      <c r="I1550" s="87"/>
    </row>
    <row r="1551">
      <c r="I1551" s="87"/>
    </row>
    <row r="1552">
      <c r="I1552" s="87"/>
    </row>
    <row r="1553">
      <c r="I1553" s="87"/>
    </row>
    <row r="1554">
      <c r="I1554" s="87"/>
    </row>
    <row r="1555">
      <c r="I1555" s="87"/>
    </row>
    <row r="1556">
      <c r="I1556" s="87"/>
    </row>
    <row r="1557">
      <c r="I1557" s="87"/>
    </row>
    <row r="1558">
      <c r="I1558" s="87"/>
    </row>
    <row r="1559">
      <c r="I1559" s="87"/>
    </row>
    <row r="1560">
      <c r="I1560" s="87"/>
    </row>
    <row r="1561">
      <c r="I1561" s="87"/>
    </row>
    <row r="1562">
      <c r="I1562" s="87"/>
    </row>
    <row r="1563">
      <c r="I1563" s="87"/>
    </row>
    <row r="1564">
      <c r="I1564" s="87"/>
    </row>
    <row r="1565">
      <c r="I1565" s="87"/>
    </row>
    <row r="1566">
      <c r="I1566" s="87"/>
    </row>
    <row r="1567">
      <c r="I1567" s="87"/>
    </row>
    <row r="1568">
      <c r="I1568" s="87"/>
    </row>
    <row r="1569">
      <c r="I1569" s="87"/>
    </row>
    <row r="1570">
      <c r="I1570" s="87"/>
    </row>
    <row r="1571">
      <c r="I1571" s="87"/>
    </row>
    <row r="1572">
      <c r="I1572" s="87"/>
    </row>
    <row r="1573">
      <c r="I1573" s="87"/>
    </row>
    <row r="1574">
      <c r="I1574" s="87"/>
    </row>
    <row r="1575">
      <c r="I1575" s="87"/>
    </row>
    <row r="1576">
      <c r="I1576" s="87"/>
    </row>
    <row r="1577">
      <c r="I1577" s="87"/>
    </row>
    <row r="1578">
      <c r="I1578" s="87"/>
    </row>
    <row r="1579">
      <c r="I1579" s="87"/>
    </row>
    <row r="1580">
      <c r="I1580" s="87"/>
    </row>
    <row r="1581">
      <c r="I1581" s="87"/>
    </row>
    <row r="1582">
      <c r="I1582" s="87"/>
    </row>
    <row r="1583">
      <c r="I1583" s="87"/>
    </row>
    <row r="1584">
      <c r="I1584" s="87"/>
    </row>
    <row r="1585">
      <c r="I1585" s="87"/>
    </row>
    <row r="1586">
      <c r="I1586" s="87"/>
    </row>
    <row r="1587">
      <c r="I1587" s="87"/>
    </row>
    <row r="1588">
      <c r="I1588" s="87"/>
    </row>
    <row r="1589">
      <c r="I1589" s="87"/>
    </row>
    <row r="1590">
      <c r="I1590" s="87"/>
    </row>
    <row r="1591">
      <c r="I1591" s="87"/>
    </row>
    <row r="1592">
      <c r="I1592" s="87"/>
    </row>
    <row r="1593">
      <c r="I1593" s="87"/>
    </row>
    <row r="1594">
      <c r="I1594" s="87"/>
    </row>
    <row r="1595">
      <c r="I1595" s="87"/>
    </row>
    <row r="1596">
      <c r="I1596" s="87"/>
    </row>
    <row r="1597">
      <c r="I1597" s="87"/>
    </row>
    <row r="1598">
      <c r="I1598" s="87"/>
    </row>
    <row r="1599">
      <c r="I1599" s="87"/>
    </row>
    <row r="1600">
      <c r="I1600" s="87"/>
    </row>
    <row r="1601">
      <c r="I1601" s="87"/>
    </row>
    <row r="1602">
      <c r="I1602" s="87"/>
    </row>
    <row r="1603">
      <c r="I1603" s="87"/>
    </row>
    <row r="1604">
      <c r="I1604" s="87"/>
    </row>
    <row r="1605">
      <c r="I1605" s="87"/>
    </row>
    <row r="1606">
      <c r="I1606" s="87"/>
    </row>
    <row r="1607">
      <c r="I1607" s="87"/>
    </row>
    <row r="1608">
      <c r="I1608" s="87"/>
    </row>
    <row r="1609">
      <c r="I1609" s="87"/>
    </row>
    <row r="1610">
      <c r="I1610" s="87"/>
    </row>
    <row r="1611">
      <c r="I1611" s="87"/>
    </row>
    <row r="1612">
      <c r="I1612" s="87"/>
    </row>
    <row r="1613">
      <c r="I1613" s="87"/>
    </row>
    <row r="1614">
      <c r="I1614" s="87"/>
    </row>
    <row r="1615">
      <c r="I1615" s="87"/>
    </row>
    <row r="1616">
      <c r="I1616" s="87"/>
    </row>
    <row r="1617">
      <c r="I1617" s="87"/>
    </row>
    <row r="1618">
      <c r="I1618" s="87"/>
    </row>
    <row r="1619">
      <c r="I1619" s="87"/>
    </row>
    <row r="1620">
      <c r="I1620" s="87"/>
    </row>
    <row r="1621">
      <c r="I1621" s="87"/>
    </row>
    <row r="1622">
      <c r="I1622" s="87"/>
    </row>
    <row r="1623">
      <c r="I1623" s="87"/>
    </row>
    <row r="1624">
      <c r="I1624" s="87"/>
    </row>
    <row r="1625">
      <c r="I1625" s="87"/>
    </row>
    <row r="1626">
      <c r="I1626" s="87"/>
    </row>
    <row r="1627">
      <c r="I1627" s="87"/>
    </row>
    <row r="1628">
      <c r="I1628" s="87"/>
    </row>
    <row r="1629">
      <c r="I1629" s="87"/>
    </row>
    <row r="1630">
      <c r="I1630" s="87"/>
    </row>
    <row r="1631">
      <c r="I1631" s="87"/>
    </row>
    <row r="1632">
      <c r="I1632" s="87"/>
    </row>
    <row r="1633">
      <c r="I1633" s="87"/>
    </row>
    <row r="1634">
      <c r="I1634" s="87"/>
    </row>
    <row r="1635">
      <c r="I1635" s="87"/>
    </row>
    <row r="1636">
      <c r="I1636" s="87"/>
    </row>
    <row r="1637">
      <c r="I1637" s="87"/>
    </row>
    <row r="1638">
      <c r="I1638" s="87"/>
    </row>
    <row r="1639">
      <c r="I1639" s="87"/>
    </row>
    <row r="1640">
      <c r="I1640" s="87"/>
    </row>
    <row r="1641">
      <c r="I1641" s="87"/>
    </row>
    <row r="1642">
      <c r="I1642" s="87"/>
    </row>
    <row r="1643">
      <c r="I1643" s="87"/>
    </row>
    <row r="1644">
      <c r="I1644" s="87"/>
    </row>
    <row r="1645">
      <c r="I1645" s="87"/>
    </row>
    <row r="1646">
      <c r="I1646" s="87"/>
    </row>
    <row r="1647">
      <c r="I1647" s="87"/>
    </row>
    <row r="1648">
      <c r="I1648" s="87"/>
    </row>
    <row r="1649">
      <c r="I1649" s="87"/>
    </row>
    <row r="1650">
      <c r="I1650" s="87"/>
    </row>
    <row r="1651">
      <c r="I1651" s="87"/>
    </row>
    <row r="1652">
      <c r="I1652" s="87"/>
    </row>
    <row r="1653">
      <c r="I1653" s="87"/>
    </row>
    <row r="1654">
      <c r="I1654" s="87"/>
    </row>
    <row r="1655">
      <c r="I1655" s="87"/>
    </row>
    <row r="1656">
      <c r="I1656" s="87"/>
    </row>
    <row r="1657">
      <c r="I1657" s="87"/>
    </row>
    <row r="1658">
      <c r="I1658" s="87"/>
    </row>
    <row r="1659">
      <c r="I1659" s="87"/>
    </row>
    <row r="1660">
      <c r="I1660" s="87"/>
    </row>
    <row r="1661">
      <c r="I1661" s="87"/>
    </row>
    <row r="1662">
      <c r="I1662" s="87"/>
    </row>
    <row r="1663">
      <c r="I1663" s="87"/>
    </row>
    <row r="1664">
      <c r="I1664" s="87"/>
    </row>
    <row r="1665">
      <c r="I1665" s="87"/>
    </row>
    <row r="1666">
      <c r="I1666" s="87"/>
    </row>
    <row r="1667">
      <c r="I1667" s="87"/>
    </row>
    <row r="1668">
      <c r="I1668" s="87"/>
    </row>
    <row r="1669">
      <c r="I1669" s="87"/>
    </row>
    <row r="1670">
      <c r="I1670" s="87"/>
    </row>
    <row r="1671">
      <c r="I1671" s="87"/>
    </row>
    <row r="1672">
      <c r="I1672" s="87"/>
    </row>
    <row r="1673">
      <c r="I1673" s="87"/>
    </row>
    <row r="1674">
      <c r="I1674" s="87"/>
    </row>
    <row r="1675">
      <c r="I1675" s="87"/>
    </row>
    <row r="1676">
      <c r="I1676" s="87"/>
    </row>
    <row r="1677">
      <c r="I1677" s="87"/>
    </row>
    <row r="1678">
      <c r="I1678" s="87"/>
    </row>
    <row r="1679">
      <c r="I1679" s="87"/>
    </row>
    <row r="1680">
      <c r="I1680" s="87"/>
    </row>
    <row r="1681">
      <c r="I1681" s="87"/>
    </row>
    <row r="1682">
      <c r="I1682" s="87"/>
    </row>
    <row r="1683">
      <c r="I1683" s="87"/>
    </row>
    <row r="1684">
      <c r="I1684" s="87"/>
    </row>
    <row r="1685">
      <c r="I1685" s="87"/>
    </row>
    <row r="1686">
      <c r="I1686" s="87"/>
    </row>
    <row r="1687">
      <c r="I1687" s="87"/>
    </row>
    <row r="1688">
      <c r="I1688" s="87"/>
    </row>
    <row r="1689">
      <c r="I1689" s="87"/>
    </row>
    <row r="1690">
      <c r="I1690" s="87"/>
    </row>
    <row r="1691">
      <c r="I1691" s="87"/>
    </row>
    <row r="1692">
      <c r="I1692" s="87"/>
    </row>
    <row r="1693">
      <c r="I1693" s="87"/>
    </row>
    <row r="1694">
      <c r="I1694" s="87"/>
    </row>
    <row r="1695">
      <c r="I1695" s="87"/>
    </row>
    <row r="1696">
      <c r="I1696" s="87"/>
    </row>
    <row r="1697">
      <c r="I1697" s="87"/>
    </row>
    <row r="1698">
      <c r="I1698" s="87"/>
    </row>
    <row r="1699">
      <c r="I1699" s="87"/>
    </row>
    <row r="1700">
      <c r="I1700" s="87"/>
    </row>
    <row r="1701">
      <c r="I1701" s="87"/>
    </row>
    <row r="1702">
      <c r="I1702" s="87"/>
    </row>
    <row r="1703">
      <c r="I1703" s="87"/>
    </row>
    <row r="1704">
      <c r="I1704" s="87"/>
    </row>
    <row r="1705">
      <c r="I1705" s="87"/>
    </row>
    <row r="1706">
      <c r="I1706" s="87"/>
    </row>
    <row r="1707">
      <c r="I1707" s="87"/>
    </row>
    <row r="1708">
      <c r="I1708" s="87"/>
    </row>
    <row r="1709">
      <c r="I1709" s="87"/>
    </row>
    <row r="1710">
      <c r="I1710" s="87"/>
    </row>
    <row r="1711">
      <c r="I1711" s="87"/>
    </row>
    <row r="1712">
      <c r="I1712" s="87"/>
    </row>
    <row r="1713">
      <c r="I1713" s="87"/>
    </row>
    <row r="1714">
      <c r="I1714" s="87"/>
    </row>
    <row r="1715">
      <c r="I1715" s="87"/>
    </row>
    <row r="1716">
      <c r="I1716" s="87"/>
    </row>
    <row r="1717">
      <c r="I1717" s="87"/>
    </row>
    <row r="1718">
      <c r="I1718" s="87"/>
    </row>
    <row r="1719">
      <c r="I1719" s="87"/>
    </row>
    <row r="1720">
      <c r="I1720" s="87"/>
    </row>
    <row r="1721">
      <c r="I1721" s="87"/>
    </row>
    <row r="1722">
      <c r="I1722" s="87"/>
    </row>
    <row r="1723">
      <c r="I1723" s="87"/>
    </row>
    <row r="1724">
      <c r="I1724" s="87"/>
    </row>
    <row r="1725">
      <c r="I1725" s="87"/>
    </row>
    <row r="1726">
      <c r="I1726" s="87"/>
    </row>
    <row r="1727">
      <c r="I1727" s="87"/>
    </row>
    <row r="1728">
      <c r="I1728" s="87"/>
    </row>
    <row r="1729">
      <c r="I1729" s="87"/>
    </row>
    <row r="1730">
      <c r="I1730" s="87"/>
    </row>
    <row r="1731">
      <c r="I1731" s="87"/>
    </row>
    <row r="1732">
      <c r="I1732" s="87"/>
    </row>
    <row r="1733">
      <c r="I1733" s="87"/>
    </row>
    <row r="1734">
      <c r="I1734" s="87"/>
    </row>
    <row r="1735">
      <c r="I1735" s="87"/>
    </row>
    <row r="1736">
      <c r="I1736" s="87"/>
    </row>
    <row r="1737">
      <c r="I1737" s="87"/>
    </row>
    <row r="1738">
      <c r="I1738" s="87"/>
    </row>
    <row r="1739">
      <c r="I1739" s="87"/>
    </row>
    <row r="1740">
      <c r="I1740" s="87"/>
    </row>
    <row r="1741">
      <c r="I1741" s="87"/>
    </row>
    <row r="1742">
      <c r="I1742" s="87"/>
    </row>
    <row r="1743">
      <c r="I1743" s="87"/>
    </row>
    <row r="1744">
      <c r="I1744" s="87"/>
    </row>
    <row r="1745">
      <c r="I1745" s="87"/>
    </row>
    <row r="1746">
      <c r="I1746" s="87"/>
    </row>
    <row r="1747">
      <c r="I1747" s="87"/>
    </row>
    <row r="1748">
      <c r="I1748" s="87"/>
    </row>
    <row r="1749">
      <c r="I1749" s="87"/>
    </row>
    <row r="1750">
      <c r="I1750" s="87"/>
    </row>
    <row r="1751">
      <c r="I1751" s="87"/>
    </row>
    <row r="1752">
      <c r="I1752" s="87"/>
    </row>
    <row r="1753">
      <c r="I1753" s="87"/>
    </row>
    <row r="1754">
      <c r="I1754" s="87"/>
    </row>
    <row r="1755">
      <c r="I1755" s="87"/>
    </row>
    <row r="1756">
      <c r="I1756" s="87"/>
    </row>
    <row r="1757">
      <c r="I1757" s="87"/>
    </row>
    <row r="1758">
      <c r="I1758" s="87"/>
    </row>
    <row r="1759">
      <c r="I1759" s="87"/>
    </row>
    <row r="1760">
      <c r="I1760" s="87"/>
    </row>
    <row r="1761">
      <c r="I1761" s="87"/>
    </row>
    <row r="1762">
      <c r="I1762" s="87"/>
    </row>
    <row r="1763">
      <c r="I1763" s="87"/>
    </row>
    <row r="1764">
      <c r="I1764" s="87"/>
    </row>
    <row r="1765">
      <c r="I1765" s="87"/>
    </row>
    <row r="1766">
      <c r="I1766" s="87"/>
    </row>
    <row r="1767">
      <c r="I1767" s="87"/>
    </row>
    <row r="1768">
      <c r="I1768" s="87"/>
    </row>
    <row r="1769">
      <c r="I1769" s="87"/>
    </row>
    <row r="1770">
      <c r="I1770" s="87"/>
    </row>
    <row r="1771">
      <c r="I1771" s="87"/>
    </row>
    <row r="1772">
      <c r="I1772" s="87"/>
    </row>
    <row r="1773">
      <c r="I1773" s="87"/>
    </row>
    <row r="1774">
      <c r="I1774" s="87"/>
    </row>
    <row r="1775">
      <c r="I1775" s="87"/>
    </row>
    <row r="1776">
      <c r="I1776" s="87"/>
    </row>
    <row r="1777">
      <c r="I1777" s="87"/>
    </row>
    <row r="1778">
      <c r="I1778" s="87"/>
    </row>
    <row r="1779">
      <c r="I1779" s="87"/>
    </row>
    <row r="1780">
      <c r="I1780" s="87"/>
    </row>
    <row r="1781">
      <c r="I1781" s="87"/>
    </row>
    <row r="1782">
      <c r="I1782" s="87"/>
    </row>
    <row r="1783">
      <c r="I1783" s="87"/>
    </row>
    <row r="1784">
      <c r="I1784" s="87"/>
    </row>
    <row r="1785">
      <c r="I1785" s="87"/>
    </row>
    <row r="1786">
      <c r="I1786" s="87"/>
    </row>
    <row r="1787">
      <c r="I1787" s="87"/>
    </row>
    <row r="1788">
      <c r="I1788" s="87"/>
    </row>
    <row r="1789">
      <c r="I1789" s="87"/>
    </row>
    <row r="1790">
      <c r="I1790" s="87"/>
    </row>
    <row r="1791">
      <c r="I1791" s="87"/>
    </row>
    <row r="1792">
      <c r="I1792" s="87"/>
    </row>
    <row r="1793">
      <c r="I1793" s="87"/>
    </row>
    <row r="1794">
      <c r="I1794" s="87"/>
    </row>
    <row r="1795">
      <c r="I1795" s="87"/>
    </row>
    <row r="1796">
      <c r="I1796" s="87"/>
    </row>
    <row r="1797">
      <c r="I1797" s="87"/>
    </row>
    <row r="1798">
      <c r="I1798" s="87"/>
    </row>
    <row r="1799">
      <c r="I1799" s="87"/>
    </row>
    <row r="1800">
      <c r="I1800" s="87"/>
    </row>
    <row r="1801">
      <c r="I1801" s="87"/>
    </row>
    <row r="1802">
      <c r="I1802" s="87"/>
    </row>
    <row r="1803">
      <c r="I1803" s="87"/>
    </row>
    <row r="1804">
      <c r="I1804" s="87"/>
    </row>
    <row r="1805">
      <c r="I1805" s="87"/>
    </row>
    <row r="1806">
      <c r="I1806" s="87"/>
    </row>
    <row r="1807">
      <c r="I1807" s="87"/>
    </row>
    <row r="1808">
      <c r="I1808" s="87"/>
    </row>
    <row r="1809">
      <c r="I1809" s="87"/>
    </row>
    <row r="1810">
      <c r="I1810" s="87"/>
    </row>
    <row r="1811">
      <c r="I1811" s="87"/>
    </row>
    <row r="1812">
      <c r="I1812" s="87"/>
    </row>
    <row r="1813">
      <c r="I1813" s="87"/>
    </row>
    <row r="1814">
      <c r="I1814" s="87"/>
    </row>
    <row r="1815">
      <c r="I1815" s="87"/>
    </row>
    <row r="1816">
      <c r="I1816" s="87"/>
    </row>
    <row r="1817">
      <c r="I1817" s="87"/>
    </row>
    <row r="1818">
      <c r="I1818" s="87"/>
    </row>
    <row r="1819">
      <c r="I1819" s="87"/>
    </row>
    <row r="1820">
      <c r="I1820" s="87"/>
    </row>
    <row r="1821">
      <c r="I1821" s="87"/>
    </row>
    <row r="1822">
      <c r="I1822" s="87"/>
    </row>
    <row r="1823">
      <c r="I1823" s="87"/>
    </row>
    <row r="1824">
      <c r="I1824" s="87"/>
    </row>
    <row r="1825">
      <c r="I1825" s="87"/>
    </row>
    <row r="1826">
      <c r="I1826" s="87"/>
    </row>
    <row r="1827">
      <c r="I1827" s="87"/>
    </row>
    <row r="1828">
      <c r="I1828" s="87"/>
    </row>
    <row r="1829">
      <c r="I1829" s="87"/>
    </row>
    <row r="1830">
      <c r="I1830" s="87"/>
    </row>
  </sheetData>
  <dataValidations>
    <dataValidation type="list" allowBlank="1" showErrorMessage="1" sqref="H2">
      <formula1>'Aging &amp; revenue'!$A$1:$C$1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1" max="11" width="12.63"/>
    <col customWidth="1" min="12" max="12" width="0.38"/>
  </cols>
  <sheetData>
    <row r="1">
      <c r="A1" s="46" t="str">
        <f>IFERROR(__xludf.DUMMYFUNCTION("QUERY('years and month чоровий'!A2:S1331, ""select M,N,O,R,C,count(A),sum(I),sum(J),sum(K),sum(L) group by M,N,O,R,C order by R desc label M'category', N'country', O'region', R'month', C'year', count(A)'order', sum(I)'units_sold', sum(J)'revenue', sum(K)'"&amp;"cost', sum(L)'profit'"")"),"category")</f>
        <v>category</v>
      </c>
      <c r="B1" s="46" t="str">
        <f>IFERROR(__xludf.DUMMYFUNCTION("""COMPUTED_VALUE"""),"country")</f>
        <v>country</v>
      </c>
      <c r="C1" s="46" t="str">
        <f>IFERROR(__xludf.DUMMYFUNCTION("""COMPUTED_VALUE"""),"region")</f>
        <v>region</v>
      </c>
      <c r="D1" s="90" t="str">
        <f>IFERROR(__xludf.DUMMYFUNCTION("""COMPUTED_VALUE"""),"month")</f>
        <v>month</v>
      </c>
      <c r="E1" s="46" t="str">
        <f>IFERROR(__xludf.DUMMYFUNCTION("""COMPUTED_VALUE"""),"year")</f>
        <v>year</v>
      </c>
      <c r="F1" s="46" t="str">
        <f>IFERROR(__xludf.DUMMYFUNCTION("""COMPUTED_VALUE"""),"order")</f>
        <v>order</v>
      </c>
      <c r="G1" s="46" t="str">
        <f>IFERROR(__xludf.DUMMYFUNCTION("""COMPUTED_VALUE"""),"units_sold")</f>
        <v>units_sold</v>
      </c>
      <c r="H1" s="46" t="str">
        <f>IFERROR(__xludf.DUMMYFUNCTION("""COMPUTED_VALUE"""),"revenue")</f>
        <v>revenue</v>
      </c>
      <c r="I1" s="46" t="str">
        <f>IFERROR(__xludf.DUMMYFUNCTION("""COMPUTED_VALUE"""),"cost")</f>
        <v>cost</v>
      </c>
      <c r="J1" s="46" t="str">
        <f>IFERROR(__xludf.DUMMYFUNCTION("""COMPUTED_VALUE"""),"profit")</f>
        <v>profit</v>
      </c>
    </row>
    <row r="2">
      <c r="A2" s="46" t="str">
        <f>IFERROR(__xludf.DUMMYFUNCTION("""COMPUTED_VALUE"""),"Beverages")</f>
        <v>Beverages</v>
      </c>
      <c r="B2" s="46" t="str">
        <f>IFERROR(__xludf.DUMMYFUNCTION("""COMPUTED_VALUE"""),"Macedonia")</f>
        <v>Macedonia</v>
      </c>
      <c r="C2" s="46" t="str">
        <f>IFERROR(__xludf.DUMMYFUNCTION("""COMPUTED_VALUE"""),"Europe")</f>
        <v>Europe</v>
      </c>
      <c r="D2" s="90">
        <f>IFERROR(__xludf.DUMMYFUNCTION("""COMPUTED_VALUE"""),42917.0)</f>
        <v>42917</v>
      </c>
      <c r="E2" s="46">
        <f>IFERROR(__xludf.DUMMYFUNCTION("""COMPUTED_VALUE"""),2017.0)</f>
        <v>2017</v>
      </c>
      <c r="F2" s="46">
        <f>IFERROR(__xludf.DUMMYFUNCTION("""COMPUTED_VALUE"""),2.0)</f>
        <v>2</v>
      </c>
      <c r="G2" s="46">
        <f>IFERROR(__xludf.DUMMYFUNCTION("""COMPUTED_VALUE"""),15085.0)</f>
        <v>15085</v>
      </c>
      <c r="H2" s="46">
        <f>IFERROR(__xludf.DUMMYFUNCTION("""COMPUTED_VALUE"""),715783.25)</f>
        <v>715783.25</v>
      </c>
      <c r="I2" s="46">
        <f>IFERROR(__xludf.DUMMYFUNCTION("""COMPUTED_VALUE"""),479552.14999999997)</f>
        <v>479552.15</v>
      </c>
      <c r="J2" s="46">
        <f>IFERROR(__xludf.DUMMYFUNCTION("""COMPUTED_VALUE"""),236231.10000000003)</f>
        <v>236231.1</v>
      </c>
      <c r="K2" s="46" t="str">
        <f t="array" ref="K2">TEXT(D2, "mmmm")</f>
        <v>July</v>
      </c>
      <c r="M2" s="56" t="s">
        <v>31</v>
      </c>
    </row>
    <row r="3">
      <c r="A3" s="46" t="str">
        <f>IFERROR(__xludf.DUMMYFUNCTION("""COMPUTED_VALUE"""),"Beverages")</f>
        <v>Beverages</v>
      </c>
      <c r="B3" s="46" t="str">
        <f>IFERROR(__xludf.DUMMYFUNCTION("""COMPUTED_VALUE"""),"Netherlands")</f>
        <v>Netherlands</v>
      </c>
      <c r="C3" s="46" t="str">
        <f>IFERROR(__xludf.DUMMYFUNCTION("""COMPUTED_VALUE"""),"Europe")</f>
        <v>Europe</v>
      </c>
      <c r="D3" s="90">
        <f>IFERROR(__xludf.DUMMYFUNCTION("""COMPUTED_VALUE"""),42917.0)</f>
        <v>42917</v>
      </c>
      <c r="E3" s="46">
        <f>IFERROR(__xludf.DUMMYFUNCTION("""COMPUTED_VALUE"""),2017.0)</f>
        <v>2017</v>
      </c>
      <c r="F3" s="46">
        <f>IFERROR(__xludf.DUMMYFUNCTION("""COMPUTED_VALUE"""),1.0)</f>
        <v>1</v>
      </c>
      <c r="G3" s="46">
        <f>IFERROR(__xludf.DUMMYFUNCTION("""COMPUTED_VALUE"""),7939.0)</f>
        <v>7939</v>
      </c>
      <c r="H3" s="46">
        <f>IFERROR(__xludf.DUMMYFUNCTION("""COMPUTED_VALUE"""),376705.55000000005)</f>
        <v>376705.55</v>
      </c>
      <c r="I3" s="46">
        <f>IFERROR(__xludf.DUMMYFUNCTION("""COMPUTED_VALUE"""),252380.81)</f>
        <v>252380.81</v>
      </c>
      <c r="J3" s="46">
        <f>IFERROR(__xludf.DUMMYFUNCTION("""COMPUTED_VALUE"""),124324.74000000005)</f>
        <v>124324.74</v>
      </c>
      <c r="K3" s="46" t="str">
        <f t="array" ref="K3">TEXT(D3, "mmmm")</f>
        <v>July</v>
      </c>
      <c r="L3" s="91"/>
      <c r="M3" s="92" t="str">
        <f>IFERROR(__xludf.DUMMYFUNCTION("IF($M$2=$A$1, QUERY(year_month_cat, ""select A,D,sum(F),sum(G),sum(H),sum(I),sum(J) group by A,D order  by D, A label D'month', sum(F)'order_count', sum(G)'units_sold', sum(H)'revenue', sum(I)'cost', sum(J)'profit'""), IF($M$2=$B$1, QUERY(year_month_cat,"&amp;"""select B,D,sum(F),sum(G),sum(H),sum(I),sum(J)  where B is not null group by B,D order by D label D'month', sum(F)'order_count', sum(G)'units_sold', sum(H)'revenue', sum(I)'cost', sum(J)'profit'""), QUERY(year_month_cat, ""select C,D, sum(F),sum(G),sum(H"&amp;"),sum(I),sum(J) where C is not null group by C,D order by D label D'month', sum(F)'order_count', sum(G)'units_sold', sum(H)'revenue', sum(I)'cost', sum(J)'profit'"" )))"),"country")</f>
        <v>country</v>
      </c>
      <c r="N3" s="93" t="str">
        <f>IFERROR(__xludf.DUMMYFUNCTION("""COMPUTED_VALUE"""),"month")</f>
        <v>month</v>
      </c>
      <c r="O3" s="93" t="str">
        <f>IFERROR(__xludf.DUMMYFUNCTION("""COMPUTED_VALUE"""),"order_count")</f>
        <v>order_count</v>
      </c>
      <c r="P3" s="93" t="str">
        <f>IFERROR(__xludf.DUMMYFUNCTION("""COMPUTED_VALUE"""),"units_sold")</f>
        <v>units_sold</v>
      </c>
      <c r="Q3" s="93" t="str">
        <f>IFERROR(__xludf.DUMMYFUNCTION("""COMPUTED_VALUE"""),"revenue")</f>
        <v>revenue</v>
      </c>
      <c r="R3" s="93" t="str">
        <f>IFERROR(__xludf.DUMMYFUNCTION("""COMPUTED_VALUE"""),"cost")</f>
        <v>cost</v>
      </c>
      <c r="S3" s="93" t="str">
        <f>IFERROR(__xludf.DUMMYFUNCTION("""COMPUTED_VALUE"""),"profit")</f>
        <v>profit</v>
      </c>
      <c r="T3" s="92"/>
      <c r="Z3" s="56" t="s">
        <v>51</v>
      </c>
    </row>
    <row r="4">
      <c r="A4" s="46" t="str">
        <f>IFERROR(__xludf.DUMMYFUNCTION("""COMPUTED_VALUE"""),"Cereal")</f>
        <v>Cereal</v>
      </c>
      <c r="B4" s="46" t="str">
        <f>IFERROR(__xludf.DUMMYFUNCTION("""COMPUTED_VALUE"""),"Undefined")</f>
        <v>Undefined</v>
      </c>
      <c r="C4" s="46" t="str">
        <f>IFERROR(__xludf.DUMMYFUNCTION("""COMPUTED_VALUE"""),"Undefined")</f>
        <v>Undefined</v>
      </c>
      <c r="D4" s="90">
        <f>IFERROR(__xludf.DUMMYFUNCTION("""COMPUTED_VALUE"""),42917.0)</f>
        <v>42917</v>
      </c>
      <c r="E4" s="46">
        <f>IFERROR(__xludf.DUMMYFUNCTION("""COMPUTED_VALUE"""),2017.0)</f>
        <v>2017</v>
      </c>
      <c r="F4" s="46">
        <f>IFERROR(__xludf.DUMMYFUNCTION("""COMPUTED_VALUE"""),1.0)</f>
        <v>1</v>
      </c>
      <c r="G4" s="46">
        <f>IFERROR(__xludf.DUMMYFUNCTION("""COMPUTED_VALUE"""),3346.0)</f>
        <v>3346</v>
      </c>
      <c r="H4" s="46">
        <f>IFERROR(__xludf.DUMMYFUNCTION("""COMPUTED_VALUE"""),688272.2)</f>
        <v>688272.2</v>
      </c>
      <c r="I4" s="46">
        <f>IFERROR(__xludf.DUMMYFUNCTION("""COMPUTED_VALUE"""),391850.06)</f>
        <v>391850.06</v>
      </c>
      <c r="J4" s="46">
        <f>IFERROR(__xludf.DUMMYFUNCTION("""COMPUTED_VALUE"""),296422.13999999996)</f>
        <v>296422.14</v>
      </c>
      <c r="K4" s="46" t="str">
        <f t="array" ref="K4">TEXT(D4, "mmmm")</f>
        <v>July</v>
      </c>
      <c r="L4" s="46"/>
      <c r="M4" s="46" t="str">
        <f>IFERROR(__xludf.DUMMYFUNCTION("""COMPUTED_VALUE"""),"Andorra")</f>
        <v>Andorra</v>
      </c>
      <c r="N4" s="94">
        <f>IFERROR(__xludf.DUMMYFUNCTION("""COMPUTED_VALUE"""),40179.0)</f>
        <v>40179</v>
      </c>
      <c r="O4" s="46">
        <f>IFERROR(__xludf.DUMMYFUNCTION("""COMPUTED_VALUE"""),2.0)</f>
        <v>2</v>
      </c>
      <c r="P4" s="46">
        <f>IFERROR(__xludf.DUMMYFUNCTION("""COMPUTED_VALUE"""),10303.0)</f>
        <v>10303</v>
      </c>
      <c r="Q4" s="46">
        <f>IFERROR(__xludf.DUMMYFUNCTION("""COMPUTED_VALUE"""),1440093.59)</f>
        <v>1440093.59</v>
      </c>
      <c r="R4" s="46">
        <f>IFERROR(__xludf.DUMMYFUNCTION("""COMPUTED_VALUE"""),921533.57)</f>
        <v>921533.57</v>
      </c>
      <c r="S4" s="46">
        <f>IFERROR(__xludf.DUMMYFUNCTION("""COMPUTED_VALUE"""),518560.0200000001)</f>
        <v>518560.02</v>
      </c>
    </row>
    <row r="5">
      <c r="A5" s="46" t="str">
        <f>IFERROR(__xludf.DUMMYFUNCTION("""COMPUTED_VALUE"""),"Cosmetics")</f>
        <v>Cosmetics</v>
      </c>
      <c r="B5" s="46" t="str">
        <f>IFERROR(__xludf.DUMMYFUNCTION("""COMPUTED_VALUE"""),"Sweden")</f>
        <v>Sweden</v>
      </c>
      <c r="C5" s="46" t="str">
        <f>IFERROR(__xludf.DUMMYFUNCTION("""COMPUTED_VALUE"""),"Europe")</f>
        <v>Europe</v>
      </c>
      <c r="D5" s="90">
        <f>IFERROR(__xludf.DUMMYFUNCTION("""COMPUTED_VALUE"""),42917.0)</f>
        <v>42917</v>
      </c>
      <c r="E5" s="46">
        <f>IFERROR(__xludf.DUMMYFUNCTION("""COMPUTED_VALUE"""),2017.0)</f>
        <v>2017</v>
      </c>
      <c r="F5" s="46">
        <f>IFERROR(__xludf.DUMMYFUNCTION("""COMPUTED_VALUE"""),1.0)</f>
        <v>1</v>
      </c>
      <c r="G5" s="46">
        <f>IFERROR(__xludf.DUMMYFUNCTION("""COMPUTED_VALUE"""),8659.0)</f>
        <v>8659</v>
      </c>
      <c r="H5" s="46">
        <f>IFERROR(__xludf.DUMMYFUNCTION("""COMPUTED_VALUE"""),3785714.8)</f>
        <v>3785714.8</v>
      </c>
      <c r="I5" s="46">
        <f>IFERROR(__xludf.DUMMYFUNCTION("""COMPUTED_VALUE"""),2280174.4699999997)</f>
        <v>2280174.47</v>
      </c>
      <c r="J5" s="46">
        <f>IFERROR(__xludf.DUMMYFUNCTION("""COMPUTED_VALUE"""),1505540.33)</f>
        <v>1505540.33</v>
      </c>
      <c r="K5" s="46" t="str">
        <f t="array" ref="K5">TEXT(D5, "mmmm")</f>
        <v>July</v>
      </c>
      <c r="L5" s="46"/>
      <c r="M5" s="46" t="str">
        <f>IFERROR(__xludf.DUMMYFUNCTION("""COMPUTED_VALUE"""),"Armenia")</f>
        <v>Armenia</v>
      </c>
      <c r="N5" s="94">
        <f>IFERROR(__xludf.DUMMYFUNCTION("""COMPUTED_VALUE"""),40179.0)</f>
        <v>40179</v>
      </c>
      <c r="O5" s="46">
        <f>IFERROR(__xludf.DUMMYFUNCTION("""COMPUTED_VALUE"""),3.0)</f>
        <v>3</v>
      </c>
      <c r="P5" s="46">
        <f>IFERROR(__xludf.DUMMYFUNCTION("""COMPUTED_VALUE"""),11327.0)</f>
        <v>11327</v>
      </c>
      <c r="Q5" s="46">
        <f>IFERROR(__xludf.DUMMYFUNCTION("""COMPUTED_VALUE"""),1858575.21)</f>
        <v>1858575.21</v>
      </c>
      <c r="R5" s="46">
        <f>IFERROR(__xludf.DUMMYFUNCTION("""COMPUTED_VALUE"""),1085961.5)</f>
        <v>1085961.5</v>
      </c>
      <c r="S5" s="46">
        <f>IFERROR(__xludf.DUMMYFUNCTION("""COMPUTED_VALUE"""),772613.71)</f>
        <v>772613.71</v>
      </c>
    </row>
    <row r="6">
      <c r="A6" s="46" t="str">
        <f>IFERROR(__xludf.DUMMYFUNCTION("""COMPUTED_VALUE"""),"Cosmetics")</f>
        <v>Cosmetics</v>
      </c>
      <c r="B6" s="46" t="str">
        <f>IFERROR(__xludf.DUMMYFUNCTION("""COMPUTED_VALUE"""),"Switzerland")</f>
        <v>Switzerland</v>
      </c>
      <c r="C6" s="46" t="str">
        <f>IFERROR(__xludf.DUMMYFUNCTION("""COMPUTED_VALUE"""),"Europe")</f>
        <v>Europe</v>
      </c>
      <c r="D6" s="90">
        <f>IFERROR(__xludf.DUMMYFUNCTION("""COMPUTED_VALUE"""),42917.0)</f>
        <v>42917</v>
      </c>
      <c r="E6" s="46">
        <f>IFERROR(__xludf.DUMMYFUNCTION("""COMPUTED_VALUE"""),2017.0)</f>
        <v>2017</v>
      </c>
      <c r="F6" s="46">
        <f>IFERROR(__xludf.DUMMYFUNCTION("""COMPUTED_VALUE"""),1.0)</f>
        <v>1</v>
      </c>
      <c r="G6" s="46">
        <f>IFERROR(__xludf.DUMMYFUNCTION("""COMPUTED_VALUE"""),8792.0)</f>
        <v>8792</v>
      </c>
      <c r="H6" s="46">
        <f>IFERROR(__xludf.DUMMYFUNCTION("""COMPUTED_VALUE"""),3843862.4)</f>
        <v>3843862.4</v>
      </c>
      <c r="I6" s="46">
        <f>IFERROR(__xludf.DUMMYFUNCTION("""COMPUTED_VALUE"""),2315197.36)</f>
        <v>2315197.36</v>
      </c>
      <c r="J6" s="46">
        <f>IFERROR(__xludf.DUMMYFUNCTION("""COMPUTED_VALUE"""),1528665.04)</f>
        <v>1528665.04</v>
      </c>
      <c r="K6" s="46" t="str">
        <f t="array" ref="K6">TEXT(D6, "mmmm")</f>
        <v>July</v>
      </c>
      <c r="L6" s="91"/>
      <c r="M6" s="46" t="str">
        <f>IFERROR(__xludf.DUMMYFUNCTION("""COMPUTED_VALUE"""),"Belarus")</f>
        <v>Belarus</v>
      </c>
      <c r="N6" s="94">
        <f>IFERROR(__xludf.DUMMYFUNCTION("""COMPUTED_VALUE"""),40179.0)</f>
        <v>40179</v>
      </c>
      <c r="O6" s="46">
        <f>IFERROR(__xludf.DUMMYFUNCTION("""COMPUTED_VALUE"""),1.0)</f>
        <v>1</v>
      </c>
      <c r="P6" s="46">
        <f>IFERROR(__xludf.DUMMYFUNCTION("""COMPUTED_VALUE"""),2979.0)</f>
        <v>2979</v>
      </c>
      <c r="Q6" s="46">
        <f>IFERROR(__xludf.DUMMYFUNCTION("""COMPUTED_VALUE"""),1302418.8)</f>
        <v>1302418.8</v>
      </c>
      <c r="R6" s="46">
        <f>IFERROR(__xludf.DUMMYFUNCTION("""COMPUTED_VALUE"""),784460.07)</f>
        <v>784460.07</v>
      </c>
      <c r="S6" s="46">
        <f>IFERROR(__xludf.DUMMYFUNCTION("""COMPUTED_VALUE"""),517958.7300000001)</f>
        <v>517958.73</v>
      </c>
    </row>
    <row r="7">
      <c r="A7" s="46" t="str">
        <f>IFERROR(__xludf.DUMMYFUNCTION("""COMPUTED_VALUE"""),"Fruits")</f>
        <v>Fruits</v>
      </c>
      <c r="B7" s="46" t="str">
        <f>IFERROR(__xludf.DUMMYFUNCTION("""COMPUTED_VALUE"""),"Greece")</f>
        <v>Greece</v>
      </c>
      <c r="C7" s="46" t="str">
        <f>IFERROR(__xludf.DUMMYFUNCTION("""COMPUTED_VALUE"""),"Europe")</f>
        <v>Europe</v>
      </c>
      <c r="D7" s="90">
        <f>IFERROR(__xludf.DUMMYFUNCTION("""COMPUTED_VALUE"""),42917.0)</f>
        <v>42917</v>
      </c>
      <c r="E7" s="46">
        <f>IFERROR(__xludf.DUMMYFUNCTION("""COMPUTED_VALUE"""),2017.0)</f>
        <v>2017</v>
      </c>
      <c r="F7" s="46">
        <f>IFERROR(__xludf.DUMMYFUNCTION("""COMPUTED_VALUE"""),1.0)</f>
        <v>1</v>
      </c>
      <c r="G7" s="46">
        <f>IFERROR(__xludf.DUMMYFUNCTION("""COMPUTED_VALUE"""),9560.0)</f>
        <v>9560</v>
      </c>
      <c r="H7" s="46">
        <f>IFERROR(__xludf.DUMMYFUNCTION("""COMPUTED_VALUE"""),89194.8)</f>
        <v>89194.8</v>
      </c>
      <c r="I7" s="46">
        <f>IFERROR(__xludf.DUMMYFUNCTION("""COMPUTED_VALUE"""),66155.2)</f>
        <v>66155.2</v>
      </c>
      <c r="J7" s="46">
        <f>IFERROR(__xludf.DUMMYFUNCTION("""COMPUTED_VALUE"""),23039.600000000006)</f>
        <v>23039.6</v>
      </c>
      <c r="K7" s="46" t="str">
        <f t="array" ref="K7">TEXT(D7, "mmmm")</f>
        <v>July</v>
      </c>
      <c r="L7" s="95"/>
      <c r="M7" s="46" t="str">
        <f>IFERROR(__xludf.DUMMYFUNCTION("""COMPUTED_VALUE"""),"Bosnia and Herzegovina")</f>
        <v>Bosnia and Herzegovina</v>
      </c>
      <c r="N7" s="94">
        <f>IFERROR(__xludf.DUMMYFUNCTION("""COMPUTED_VALUE"""),40179.0)</f>
        <v>40179</v>
      </c>
      <c r="O7" s="46">
        <f>IFERROR(__xludf.DUMMYFUNCTION("""COMPUTED_VALUE"""),1.0)</f>
        <v>1</v>
      </c>
      <c r="P7" s="46">
        <f>IFERROR(__xludf.DUMMYFUNCTION("""COMPUTED_VALUE"""),9528.0)</f>
        <v>9528</v>
      </c>
      <c r="Q7" s="46">
        <f>IFERROR(__xludf.DUMMYFUNCTION("""COMPUTED_VALUE"""),778723.4400000001)</f>
        <v>778723.44</v>
      </c>
      <c r="R7" s="46">
        <f>IFERROR(__xludf.DUMMYFUNCTION("""COMPUTED_VALUE"""),539951.76)</f>
        <v>539951.76</v>
      </c>
      <c r="S7" s="46">
        <f>IFERROR(__xludf.DUMMYFUNCTION("""COMPUTED_VALUE"""),238771.68000000005)</f>
        <v>238771.68</v>
      </c>
    </row>
    <row r="8">
      <c r="A8" s="46" t="str">
        <f>IFERROR(__xludf.DUMMYFUNCTION("""COMPUTED_VALUE"""),"Fruits")</f>
        <v>Fruits</v>
      </c>
      <c r="B8" s="46" t="str">
        <f>IFERROR(__xludf.DUMMYFUNCTION("""COMPUTED_VALUE"""),"San Marino")</f>
        <v>San Marino</v>
      </c>
      <c r="C8" s="46" t="str">
        <f>IFERROR(__xludf.DUMMYFUNCTION("""COMPUTED_VALUE"""),"Europe")</f>
        <v>Europe</v>
      </c>
      <c r="D8" s="90">
        <f>IFERROR(__xludf.DUMMYFUNCTION("""COMPUTED_VALUE"""),42917.0)</f>
        <v>42917</v>
      </c>
      <c r="E8" s="46">
        <f>IFERROR(__xludf.DUMMYFUNCTION("""COMPUTED_VALUE"""),2017.0)</f>
        <v>2017</v>
      </c>
      <c r="F8" s="46">
        <f>IFERROR(__xludf.DUMMYFUNCTION("""COMPUTED_VALUE"""),1.0)</f>
        <v>1</v>
      </c>
      <c r="G8" s="46">
        <f>IFERROR(__xludf.DUMMYFUNCTION("""COMPUTED_VALUE"""),6574.0)</f>
        <v>6574</v>
      </c>
      <c r="H8" s="46">
        <f>IFERROR(__xludf.DUMMYFUNCTION("""COMPUTED_VALUE"""),61335.42)</f>
        <v>61335.42</v>
      </c>
      <c r="I8" s="46">
        <f>IFERROR(__xludf.DUMMYFUNCTION("""COMPUTED_VALUE"""),45492.08)</f>
        <v>45492.08</v>
      </c>
      <c r="J8" s="46">
        <f>IFERROR(__xludf.DUMMYFUNCTION("""COMPUTED_VALUE"""),15843.339999999997)</f>
        <v>15843.34</v>
      </c>
      <c r="K8" s="46" t="str">
        <f t="array" ref="K8">TEXT(D8, "mmmm")</f>
        <v>July</v>
      </c>
      <c r="M8" s="46" t="str">
        <f>IFERROR(__xludf.DUMMYFUNCTION("""COMPUTED_VALUE"""),"Bulgaria")</f>
        <v>Bulgaria</v>
      </c>
      <c r="N8" s="94">
        <f>IFERROR(__xludf.DUMMYFUNCTION("""COMPUTED_VALUE"""),40179.0)</f>
        <v>40179</v>
      </c>
      <c r="O8" s="46">
        <f>IFERROR(__xludf.DUMMYFUNCTION("""COMPUTED_VALUE"""),1.0)</f>
        <v>1</v>
      </c>
      <c r="P8" s="46">
        <f>IFERROR(__xludf.DUMMYFUNCTION("""COMPUTED_VALUE"""),5427.0)</f>
        <v>5427</v>
      </c>
      <c r="Q8" s="46">
        <f>IFERROR(__xludf.DUMMYFUNCTION("""COMPUTED_VALUE"""),836083.62)</f>
        <v>836083.62</v>
      </c>
      <c r="R8" s="46">
        <f>IFERROR(__xludf.DUMMYFUNCTION("""COMPUTED_VALUE"""),493477.11000000004)</f>
        <v>493477.11</v>
      </c>
      <c r="S8" s="46">
        <f>IFERROR(__xludf.DUMMYFUNCTION("""COMPUTED_VALUE"""),342606.50999999995)</f>
        <v>342606.51</v>
      </c>
    </row>
    <row r="9">
      <c r="A9" s="46" t="str">
        <f>IFERROR(__xludf.DUMMYFUNCTION("""COMPUTED_VALUE"""),"Household")</f>
        <v>Household</v>
      </c>
      <c r="B9" s="46" t="str">
        <f>IFERROR(__xludf.DUMMYFUNCTION("""COMPUTED_VALUE"""),"Albania")</f>
        <v>Albania</v>
      </c>
      <c r="C9" s="46" t="str">
        <f>IFERROR(__xludf.DUMMYFUNCTION("""COMPUTED_VALUE"""),"Europe")</f>
        <v>Europe</v>
      </c>
      <c r="D9" s="90">
        <f>IFERROR(__xludf.DUMMYFUNCTION("""COMPUTED_VALUE"""),42917.0)</f>
        <v>42917</v>
      </c>
      <c r="E9" s="46">
        <f>IFERROR(__xludf.DUMMYFUNCTION("""COMPUTED_VALUE"""),2017.0)</f>
        <v>2017</v>
      </c>
      <c r="F9" s="46">
        <f>IFERROR(__xludf.DUMMYFUNCTION("""COMPUTED_VALUE"""),1.0)</f>
        <v>1</v>
      </c>
      <c r="G9" s="46">
        <f>IFERROR(__xludf.DUMMYFUNCTION("""COMPUTED_VALUE"""),1749.0)</f>
        <v>1749</v>
      </c>
      <c r="H9" s="46">
        <f>IFERROR(__xludf.DUMMYFUNCTION("""COMPUTED_VALUE"""),1168804.23)</f>
        <v>1168804.23</v>
      </c>
      <c r="I9" s="46">
        <f>IFERROR(__xludf.DUMMYFUNCTION("""COMPUTED_VALUE"""),878942.4600000001)</f>
        <v>878942.46</v>
      </c>
      <c r="J9" s="46">
        <f>IFERROR(__xludf.DUMMYFUNCTION("""COMPUTED_VALUE"""),289861.7699999999)</f>
        <v>289861.77</v>
      </c>
      <c r="K9" s="46" t="str">
        <f t="array" ref="K9">TEXT(D9, "mmmm")</f>
        <v>July</v>
      </c>
      <c r="M9" s="46" t="str">
        <f>IFERROR(__xludf.DUMMYFUNCTION("""COMPUTED_VALUE"""),"Cyprus")</f>
        <v>Cyprus</v>
      </c>
      <c r="N9" s="94">
        <f>IFERROR(__xludf.DUMMYFUNCTION("""COMPUTED_VALUE"""),40179.0)</f>
        <v>40179</v>
      </c>
      <c r="O9" s="46">
        <f>IFERROR(__xludf.DUMMYFUNCTION("""COMPUTED_VALUE"""),1.0)</f>
        <v>1</v>
      </c>
      <c r="P9" s="46">
        <f>IFERROR(__xludf.DUMMYFUNCTION("""COMPUTED_VALUE"""),649.0)</f>
        <v>649</v>
      </c>
      <c r="Q9" s="46">
        <f>IFERROR(__xludf.DUMMYFUNCTION("""COMPUTED_VALUE"""),165676.72)</f>
        <v>165676.72</v>
      </c>
      <c r="R9" s="46">
        <f>IFERROR(__xludf.DUMMYFUNCTION("""COMPUTED_VALUE"""),103463.57999999999)</f>
        <v>103463.58</v>
      </c>
      <c r="S9" s="46">
        <f>IFERROR(__xludf.DUMMYFUNCTION("""COMPUTED_VALUE"""),62213.140000000014)</f>
        <v>62213.14</v>
      </c>
    </row>
    <row r="10">
      <c r="A10" s="46" t="str">
        <f>IFERROR(__xludf.DUMMYFUNCTION("""COMPUTED_VALUE"""),"Household")</f>
        <v>Household</v>
      </c>
      <c r="B10" s="46" t="str">
        <f>IFERROR(__xludf.DUMMYFUNCTION("""COMPUTED_VALUE"""),"Poland")</f>
        <v>Poland</v>
      </c>
      <c r="C10" s="46" t="str">
        <f>IFERROR(__xludf.DUMMYFUNCTION("""COMPUTED_VALUE"""),"Europe")</f>
        <v>Europe</v>
      </c>
      <c r="D10" s="90">
        <f>IFERROR(__xludf.DUMMYFUNCTION("""COMPUTED_VALUE"""),42917.0)</f>
        <v>42917</v>
      </c>
      <c r="E10" s="46">
        <f>IFERROR(__xludf.DUMMYFUNCTION("""COMPUTED_VALUE"""),2017.0)</f>
        <v>2017</v>
      </c>
      <c r="F10" s="46">
        <f>IFERROR(__xludf.DUMMYFUNCTION("""COMPUTED_VALUE"""),1.0)</f>
        <v>1</v>
      </c>
      <c r="G10" s="46">
        <f>IFERROR(__xludf.DUMMYFUNCTION("""COMPUTED_VALUE"""),905.0)</f>
        <v>905</v>
      </c>
      <c r="H10" s="46">
        <f>IFERROR(__xludf.DUMMYFUNCTION("""COMPUTED_VALUE"""),604784.35)</f>
        <v>604784.35</v>
      </c>
      <c r="I10" s="46">
        <f>IFERROR(__xludf.DUMMYFUNCTION("""COMPUTED_VALUE"""),454798.7)</f>
        <v>454798.7</v>
      </c>
      <c r="J10" s="46">
        <f>IFERROR(__xludf.DUMMYFUNCTION("""COMPUTED_VALUE"""),149985.64999999997)</f>
        <v>149985.65</v>
      </c>
      <c r="K10" s="46" t="str">
        <f t="array" ref="K10">TEXT(D10, "mmmm")</f>
        <v>July</v>
      </c>
      <c r="M10" s="46" t="str">
        <f>IFERROR(__xludf.DUMMYFUNCTION("""COMPUTED_VALUE"""),"Greece")</f>
        <v>Greece</v>
      </c>
      <c r="N10" s="94">
        <f>IFERROR(__xludf.DUMMYFUNCTION("""COMPUTED_VALUE"""),40179.0)</f>
        <v>40179</v>
      </c>
      <c r="O10" s="46">
        <f>IFERROR(__xludf.DUMMYFUNCTION("""COMPUTED_VALUE"""),1.0)</f>
        <v>1</v>
      </c>
      <c r="P10" s="46">
        <f>IFERROR(__xludf.DUMMYFUNCTION("""COMPUTED_VALUE"""),8367.0)</f>
        <v>8367</v>
      </c>
      <c r="Q10" s="46">
        <f>IFERROR(__xludf.DUMMYFUNCTION("""COMPUTED_VALUE"""),1721091.9)</f>
        <v>1721091.9</v>
      </c>
      <c r="R10" s="46">
        <f>IFERROR(__xludf.DUMMYFUNCTION("""COMPUTED_VALUE"""),979859.37)</f>
        <v>979859.37</v>
      </c>
      <c r="S10" s="46">
        <f>IFERROR(__xludf.DUMMYFUNCTION("""COMPUTED_VALUE"""),741232.5299999999)</f>
        <v>741232.53</v>
      </c>
    </row>
    <row r="11">
      <c r="A11" s="46" t="str">
        <f>IFERROR(__xludf.DUMMYFUNCTION("""COMPUTED_VALUE"""),"Household")</f>
        <v>Household</v>
      </c>
      <c r="B11" s="46" t="str">
        <f>IFERROR(__xludf.DUMMYFUNCTION("""COMPUTED_VALUE"""),"Russia")</f>
        <v>Russia</v>
      </c>
      <c r="C11" s="46" t="str">
        <f>IFERROR(__xludf.DUMMYFUNCTION("""COMPUTED_VALUE"""),"Europe")</f>
        <v>Europe</v>
      </c>
      <c r="D11" s="90">
        <f>IFERROR(__xludf.DUMMYFUNCTION("""COMPUTED_VALUE"""),42917.0)</f>
        <v>42917</v>
      </c>
      <c r="E11" s="46">
        <f>IFERROR(__xludf.DUMMYFUNCTION("""COMPUTED_VALUE"""),2017.0)</f>
        <v>2017</v>
      </c>
      <c r="F11" s="46">
        <f>IFERROR(__xludf.DUMMYFUNCTION("""COMPUTED_VALUE"""),1.0)</f>
        <v>1</v>
      </c>
      <c r="G11" s="46">
        <f>IFERROR(__xludf.DUMMYFUNCTION("""COMPUTED_VALUE"""),72.0)</f>
        <v>72</v>
      </c>
      <c r="H11" s="46">
        <f>IFERROR(__xludf.DUMMYFUNCTION("""COMPUTED_VALUE"""),48115.44)</f>
        <v>48115.44</v>
      </c>
      <c r="I11" s="46">
        <f>IFERROR(__xludf.DUMMYFUNCTION("""COMPUTED_VALUE"""),36182.880000000005)</f>
        <v>36182.88</v>
      </c>
      <c r="J11" s="46">
        <f>IFERROR(__xludf.DUMMYFUNCTION("""COMPUTED_VALUE"""),11932.559999999998)</f>
        <v>11932.56</v>
      </c>
      <c r="K11" s="46" t="str">
        <f t="array" ref="K11">TEXT(D11, "mmmm")</f>
        <v>July</v>
      </c>
      <c r="M11" s="46" t="str">
        <f>IFERROR(__xludf.DUMMYFUNCTION("""COMPUTED_VALUE"""),"Hungary")</f>
        <v>Hungary</v>
      </c>
      <c r="N11" s="94">
        <f>IFERROR(__xludf.DUMMYFUNCTION("""COMPUTED_VALUE"""),40179.0)</f>
        <v>40179</v>
      </c>
      <c r="O11" s="46">
        <f>IFERROR(__xludf.DUMMYFUNCTION("""COMPUTED_VALUE"""),1.0)</f>
        <v>1</v>
      </c>
      <c r="P11" s="46">
        <f>IFERROR(__xludf.DUMMYFUNCTION("""COMPUTED_VALUE"""),9367.0)</f>
        <v>9367</v>
      </c>
      <c r="Q11" s="46">
        <f>IFERROR(__xludf.DUMMYFUNCTION("""COMPUTED_VALUE"""),2391207.7600000002)</f>
        <v>2391207.76</v>
      </c>
      <c r="R11" s="46">
        <f>IFERROR(__xludf.DUMMYFUNCTION("""COMPUTED_VALUE"""),1493287.14)</f>
        <v>1493287.14</v>
      </c>
      <c r="S11" s="46">
        <f>IFERROR(__xludf.DUMMYFUNCTION("""COMPUTED_VALUE"""),897920.6200000003)</f>
        <v>897920.62</v>
      </c>
    </row>
    <row r="12">
      <c r="A12" s="46" t="str">
        <f>IFERROR(__xludf.DUMMYFUNCTION("""COMPUTED_VALUE"""),"Office Supplies")</f>
        <v>Office Supplies</v>
      </c>
      <c r="B12" s="46" t="str">
        <f>IFERROR(__xludf.DUMMYFUNCTION("""COMPUTED_VALUE"""),"Macedonia")</f>
        <v>Macedonia</v>
      </c>
      <c r="C12" s="46" t="str">
        <f>IFERROR(__xludf.DUMMYFUNCTION("""COMPUTED_VALUE"""),"Europe")</f>
        <v>Europe</v>
      </c>
      <c r="D12" s="90">
        <f>IFERROR(__xludf.DUMMYFUNCTION("""COMPUTED_VALUE"""),42917.0)</f>
        <v>42917</v>
      </c>
      <c r="E12" s="46">
        <f>IFERROR(__xludf.DUMMYFUNCTION("""COMPUTED_VALUE"""),2017.0)</f>
        <v>2017</v>
      </c>
      <c r="F12" s="46">
        <f>IFERROR(__xludf.DUMMYFUNCTION("""COMPUTED_VALUE"""),1.0)</f>
        <v>1</v>
      </c>
      <c r="G12" s="46">
        <f>IFERROR(__xludf.DUMMYFUNCTION("""COMPUTED_VALUE"""),7410.0)</f>
        <v>7410</v>
      </c>
      <c r="H12" s="46">
        <f>IFERROR(__xludf.DUMMYFUNCTION("""COMPUTED_VALUE"""),4825466.100000001)</f>
        <v>4825466.1</v>
      </c>
      <c r="I12" s="46">
        <f>IFERROR(__xludf.DUMMYFUNCTION("""COMPUTED_VALUE"""),3889953.6)</f>
        <v>3889953.6</v>
      </c>
      <c r="J12" s="46">
        <f>IFERROR(__xludf.DUMMYFUNCTION("""COMPUTED_VALUE"""),935512.5000000005)</f>
        <v>935512.5</v>
      </c>
      <c r="K12" s="46" t="str">
        <f t="array" ref="K12">TEXT(D12, "mmmm")</f>
        <v>July</v>
      </c>
      <c r="M12" s="46" t="str">
        <f>IFERROR(__xludf.DUMMYFUNCTION("""COMPUTED_VALUE"""),"Italy")</f>
        <v>Italy</v>
      </c>
      <c r="N12" s="94">
        <f>IFERROR(__xludf.DUMMYFUNCTION("""COMPUTED_VALUE"""),40179.0)</f>
        <v>40179</v>
      </c>
      <c r="O12" s="46">
        <f>IFERROR(__xludf.DUMMYFUNCTION("""COMPUTED_VALUE"""),1.0)</f>
        <v>1</v>
      </c>
      <c r="P12" s="46">
        <f>IFERROR(__xludf.DUMMYFUNCTION("""COMPUTED_VALUE"""),4011.0)</f>
        <v>4011</v>
      </c>
      <c r="Q12" s="46">
        <f>IFERROR(__xludf.DUMMYFUNCTION("""COMPUTED_VALUE"""),438322.08)</f>
        <v>438322.08</v>
      </c>
      <c r="R12" s="46">
        <f>IFERROR(__xludf.DUMMYFUNCTION("""COMPUTED_VALUE"""),143754.24000000002)</f>
        <v>143754.24</v>
      </c>
      <c r="S12" s="46">
        <f>IFERROR(__xludf.DUMMYFUNCTION("""COMPUTED_VALUE"""),294567.83999999997)</f>
        <v>294567.84</v>
      </c>
    </row>
    <row r="13">
      <c r="A13" s="46" t="str">
        <f>IFERROR(__xludf.DUMMYFUNCTION("""COMPUTED_VALUE"""),"Office Supplies")</f>
        <v>Office Supplies</v>
      </c>
      <c r="B13" s="46" t="str">
        <f>IFERROR(__xludf.DUMMYFUNCTION("""COMPUTED_VALUE"""),"Spain")</f>
        <v>Spain</v>
      </c>
      <c r="C13" s="46" t="str">
        <f>IFERROR(__xludf.DUMMYFUNCTION("""COMPUTED_VALUE"""),"Europe")</f>
        <v>Europe</v>
      </c>
      <c r="D13" s="90">
        <f>IFERROR(__xludf.DUMMYFUNCTION("""COMPUTED_VALUE"""),42917.0)</f>
        <v>42917</v>
      </c>
      <c r="E13" s="46">
        <f>IFERROR(__xludf.DUMMYFUNCTION("""COMPUTED_VALUE"""),2017.0)</f>
        <v>2017</v>
      </c>
      <c r="F13" s="46">
        <f>IFERROR(__xludf.DUMMYFUNCTION("""COMPUTED_VALUE"""),1.0)</f>
        <v>1</v>
      </c>
      <c r="G13" s="46">
        <f>IFERROR(__xludf.DUMMYFUNCTION("""COMPUTED_VALUE"""),4437.0)</f>
        <v>4437</v>
      </c>
      <c r="H13" s="46">
        <f>IFERROR(__xludf.DUMMYFUNCTION("""COMPUTED_VALUE"""),2889418.77)</f>
        <v>2889418.77</v>
      </c>
      <c r="I13" s="46">
        <f>IFERROR(__xludf.DUMMYFUNCTION("""COMPUTED_VALUE"""),2329247.52)</f>
        <v>2329247.52</v>
      </c>
      <c r="J13" s="46">
        <f>IFERROR(__xludf.DUMMYFUNCTION("""COMPUTED_VALUE"""),560171.25)</f>
        <v>560171.25</v>
      </c>
      <c r="K13" s="46" t="str">
        <f t="array" ref="K13">TEXT(D13, "mmmm")</f>
        <v>July</v>
      </c>
      <c r="M13" s="46" t="str">
        <f>IFERROR(__xludf.DUMMYFUNCTION("""COMPUTED_VALUE"""),"Liechtenstein")</f>
        <v>Liechtenstein</v>
      </c>
      <c r="N13" s="94">
        <f>IFERROR(__xludf.DUMMYFUNCTION("""COMPUTED_VALUE"""),40179.0)</f>
        <v>40179</v>
      </c>
      <c r="O13" s="46">
        <f>IFERROR(__xludf.DUMMYFUNCTION("""COMPUTED_VALUE"""),1.0)</f>
        <v>1</v>
      </c>
      <c r="P13" s="46">
        <f>IFERROR(__xludf.DUMMYFUNCTION("""COMPUTED_VALUE"""),7652.0)</f>
        <v>7652</v>
      </c>
      <c r="Q13" s="46">
        <f>IFERROR(__xludf.DUMMYFUNCTION("""COMPUTED_VALUE"""),1574016.4)</f>
        <v>1574016.4</v>
      </c>
      <c r="R13" s="46">
        <f>IFERROR(__xludf.DUMMYFUNCTION("""COMPUTED_VALUE"""),896125.72)</f>
        <v>896125.72</v>
      </c>
      <c r="S13" s="46">
        <f>IFERROR(__xludf.DUMMYFUNCTION("""COMPUTED_VALUE"""),677890.6799999999)</f>
        <v>677890.68</v>
      </c>
    </row>
    <row r="14">
      <c r="A14" s="46" t="str">
        <f>IFERROR(__xludf.DUMMYFUNCTION("""COMPUTED_VALUE"""),"Personal Care")</f>
        <v>Personal Care</v>
      </c>
      <c r="B14" s="46" t="str">
        <f>IFERROR(__xludf.DUMMYFUNCTION("""COMPUTED_VALUE"""),"Austria")</f>
        <v>Austria</v>
      </c>
      <c r="C14" s="46" t="str">
        <f>IFERROR(__xludf.DUMMYFUNCTION("""COMPUTED_VALUE"""),"Europe")</f>
        <v>Europe</v>
      </c>
      <c r="D14" s="90">
        <f>IFERROR(__xludf.DUMMYFUNCTION("""COMPUTED_VALUE"""),42917.0)</f>
        <v>42917</v>
      </c>
      <c r="E14" s="46">
        <f>IFERROR(__xludf.DUMMYFUNCTION("""COMPUTED_VALUE"""),2017.0)</f>
        <v>2017</v>
      </c>
      <c r="F14" s="46">
        <f>IFERROR(__xludf.DUMMYFUNCTION("""COMPUTED_VALUE"""),1.0)</f>
        <v>1</v>
      </c>
      <c r="G14" s="46">
        <f>IFERROR(__xludf.DUMMYFUNCTION("""COMPUTED_VALUE"""),1205.0)</f>
        <v>1205</v>
      </c>
      <c r="H14" s="46">
        <f>IFERROR(__xludf.DUMMYFUNCTION("""COMPUTED_VALUE"""),98484.65000000001)</f>
        <v>98484.65</v>
      </c>
      <c r="I14" s="46">
        <f>IFERROR(__xludf.DUMMYFUNCTION("""COMPUTED_VALUE"""),68287.35)</f>
        <v>68287.35</v>
      </c>
      <c r="J14" s="46">
        <f>IFERROR(__xludf.DUMMYFUNCTION("""COMPUTED_VALUE"""),30197.300000000003)</f>
        <v>30197.3</v>
      </c>
      <c r="K14" s="46" t="str">
        <f t="array" ref="K14">TEXT(D14, "mmmm")</f>
        <v>July</v>
      </c>
      <c r="M14" s="46" t="str">
        <f>IFERROR(__xludf.DUMMYFUNCTION("""COMPUTED_VALUE"""),"Portugal")</f>
        <v>Portugal</v>
      </c>
      <c r="N14" s="94">
        <f>IFERROR(__xludf.DUMMYFUNCTION("""COMPUTED_VALUE"""),40179.0)</f>
        <v>40179</v>
      </c>
      <c r="O14" s="46">
        <f>IFERROR(__xludf.DUMMYFUNCTION("""COMPUTED_VALUE"""),1.0)</f>
        <v>1</v>
      </c>
      <c r="P14" s="46">
        <f>IFERROR(__xludf.DUMMYFUNCTION("""COMPUTED_VALUE"""),6238.0)</f>
        <v>6238</v>
      </c>
      <c r="Q14" s="46">
        <f>IFERROR(__xludf.DUMMYFUNCTION("""COMPUTED_VALUE"""),1592436.64)</f>
        <v>1592436.64</v>
      </c>
      <c r="R14" s="46">
        <f>IFERROR(__xludf.DUMMYFUNCTION("""COMPUTED_VALUE"""),994461.96)</f>
        <v>994461.96</v>
      </c>
      <c r="S14" s="46">
        <f>IFERROR(__xludf.DUMMYFUNCTION("""COMPUTED_VALUE"""),597974.6799999999)</f>
        <v>597974.68</v>
      </c>
    </row>
    <row r="15">
      <c r="A15" s="46" t="str">
        <f>IFERROR(__xludf.DUMMYFUNCTION("""COMPUTED_VALUE"""),"Snacks")</f>
        <v>Snacks</v>
      </c>
      <c r="B15" s="46" t="str">
        <f>IFERROR(__xludf.DUMMYFUNCTION("""COMPUTED_VALUE"""),"Macedonia")</f>
        <v>Macedonia</v>
      </c>
      <c r="C15" s="46" t="str">
        <f>IFERROR(__xludf.DUMMYFUNCTION("""COMPUTED_VALUE"""),"Europe")</f>
        <v>Europe</v>
      </c>
      <c r="D15" s="90">
        <f>IFERROR(__xludf.DUMMYFUNCTION("""COMPUTED_VALUE"""),42917.0)</f>
        <v>42917</v>
      </c>
      <c r="E15" s="46">
        <f>IFERROR(__xludf.DUMMYFUNCTION("""COMPUTED_VALUE"""),2017.0)</f>
        <v>2017</v>
      </c>
      <c r="F15" s="46">
        <f>IFERROR(__xludf.DUMMYFUNCTION("""COMPUTED_VALUE"""),1.0)</f>
        <v>1</v>
      </c>
      <c r="G15" s="46">
        <f>IFERROR(__xludf.DUMMYFUNCTION("""COMPUTED_VALUE"""),9653.0)</f>
        <v>9653</v>
      </c>
      <c r="H15" s="46">
        <f>IFERROR(__xludf.DUMMYFUNCTION("""COMPUTED_VALUE"""),1472854.7400000002)</f>
        <v>1472854.74</v>
      </c>
      <c r="I15" s="46">
        <f>IFERROR(__xludf.DUMMYFUNCTION("""COMPUTED_VALUE"""),940588.32)</f>
        <v>940588.32</v>
      </c>
      <c r="J15" s="46">
        <f>IFERROR(__xludf.DUMMYFUNCTION("""COMPUTED_VALUE"""),532266.4200000003)</f>
        <v>532266.42</v>
      </c>
      <c r="K15" s="46" t="str">
        <f t="array" ref="K15">TEXT(D15, "mmmm")</f>
        <v>July</v>
      </c>
      <c r="M15" s="46" t="str">
        <f>IFERROR(__xludf.DUMMYFUNCTION("""COMPUTED_VALUE"""),"Romania")</f>
        <v>Romania</v>
      </c>
      <c r="N15" s="94">
        <f>IFERROR(__xludf.DUMMYFUNCTION("""COMPUTED_VALUE"""),40179.0)</f>
        <v>40179</v>
      </c>
      <c r="O15" s="46">
        <f>IFERROR(__xludf.DUMMYFUNCTION("""COMPUTED_VALUE"""),1.0)</f>
        <v>1</v>
      </c>
      <c r="P15" s="46">
        <f>IFERROR(__xludf.DUMMYFUNCTION("""COMPUTED_VALUE"""),8517.0)</f>
        <v>8517</v>
      </c>
      <c r="Q15" s="46">
        <f>IFERROR(__xludf.DUMMYFUNCTION("""COMPUTED_VALUE"""),1299523.86)</f>
        <v>1299523.86</v>
      </c>
      <c r="R15" s="46">
        <f>IFERROR(__xludf.DUMMYFUNCTION("""COMPUTED_VALUE"""),829896.48)</f>
        <v>829896.48</v>
      </c>
      <c r="S15" s="46">
        <f>IFERROR(__xludf.DUMMYFUNCTION("""COMPUTED_VALUE"""),469627.3800000001)</f>
        <v>469627.38</v>
      </c>
    </row>
    <row r="16">
      <c r="A16" s="46" t="str">
        <f>IFERROR(__xludf.DUMMYFUNCTION("""COMPUTED_VALUE"""),"Snacks")</f>
        <v>Snacks</v>
      </c>
      <c r="B16" s="46" t="str">
        <f>IFERROR(__xludf.DUMMYFUNCTION("""COMPUTED_VALUE"""),"San Marino")</f>
        <v>San Marino</v>
      </c>
      <c r="C16" s="46" t="str">
        <f>IFERROR(__xludf.DUMMYFUNCTION("""COMPUTED_VALUE"""),"Europe")</f>
        <v>Europe</v>
      </c>
      <c r="D16" s="90">
        <f>IFERROR(__xludf.DUMMYFUNCTION("""COMPUTED_VALUE"""),42917.0)</f>
        <v>42917</v>
      </c>
      <c r="E16" s="46">
        <f>IFERROR(__xludf.DUMMYFUNCTION("""COMPUTED_VALUE"""),2017.0)</f>
        <v>2017</v>
      </c>
      <c r="F16" s="46">
        <f>IFERROR(__xludf.DUMMYFUNCTION("""COMPUTED_VALUE"""),1.0)</f>
        <v>1</v>
      </c>
      <c r="G16" s="46">
        <f>IFERROR(__xludf.DUMMYFUNCTION("""COMPUTED_VALUE"""),2099.0)</f>
        <v>2099</v>
      </c>
      <c r="H16" s="46">
        <f>IFERROR(__xludf.DUMMYFUNCTION("""COMPUTED_VALUE"""),320265.42000000004)</f>
        <v>320265.42</v>
      </c>
      <c r="I16" s="46">
        <f>IFERROR(__xludf.DUMMYFUNCTION("""COMPUTED_VALUE"""),204526.56)</f>
        <v>204526.56</v>
      </c>
      <c r="J16" s="46">
        <f>IFERROR(__xludf.DUMMYFUNCTION("""COMPUTED_VALUE"""),115738.86000000004)</f>
        <v>115738.86</v>
      </c>
      <c r="K16" s="46" t="str">
        <f t="array" ref="K16">TEXT(D16, "mmmm")</f>
        <v>July</v>
      </c>
      <c r="M16" s="46" t="str">
        <f>IFERROR(__xludf.DUMMYFUNCTION("""COMPUTED_VALUE"""),"Serbia")</f>
        <v>Serbia</v>
      </c>
      <c r="N16" s="94">
        <f>IFERROR(__xludf.DUMMYFUNCTION("""COMPUTED_VALUE"""),40179.0)</f>
        <v>40179</v>
      </c>
      <c r="O16" s="46">
        <f>IFERROR(__xludf.DUMMYFUNCTION("""COMPUTED_VALUE"""),1.0)</f>
        <v>1</v>
      </c>
      <c r="P16" s="46">
        <f>IFERROR(__xludf.DUMMYFUNCTION("""COMPUTED_VALUE"""),5742.0)</f>
        <v>5742</v>
      </c>
      <c r="Q16" s="46">
        <f>IFERROR(__xludf.DUMMYFUNCTION("""COMPUTED_VALUE"""),627485.76)</f>
        <v>627485.76</v>
      </c>
      <c r="R16" s="46">
        <f>IFERROR(__xludf.DUMMYFUNCTION("""COMPUTED_VALUE"""),205793.28000000003)</f>
        <v>205793.28</v>
      </c>
      <c r="S16" s="46">
        <f>IFERROR(__xludf.DUMMYFUNCTION("""COMPUTED_VALUE"""),421692.48)</f>
        <v>421692.48</v>
      </c>
    </row>
    <row r="17">
      <c r="A17" s="46" t="str">
        <f>IFERROR(__xludf.DUMMYFUNCTION("""COMPUTED_VALUE"""),"Vegetables")</f>
        <v>Vegetables</v>
      </c>
      <c r="B17" s="46" t="str">
        <f>IFERROR(__xludf.DUMMYFUNCTION("""COMPUTED_VALUE"""),"Macedonia")</f>
        <v>Macedonia</v>
      </c>
      <c r="C17" s="46" t="str">
        <f>IFERROR(__xludf.DUMMYFUNCTION("""COMPUTED_VALUE"""),"Europe")</f>
        <v>Europe</v>
      </c>
      <c r="D17" s="90">
        <f>IFERROR(__xludf.DUMMYFUNCTION("""COMPUTED_VALUE"""),42917.0)</f>
        <v>42917</v>
      </c>
      <c r="E17" s="46">
        <f>IFERROR(__xludf.DUMMYFUNCTION("""COMPUTED_VALUE"""),2017.0)</f>
        <v>2017</v>
      </c>
      <c r="F17" s="46">
        <f>IFERROR(__xludf.DUMMYFUNCTION("""COMPUTED_VALUE"""),1.0)</f>
        <v>1</v>
      </c>
      <c r="G17" s="46">
        <f>IFERROR(__xludf.DUMMYFUNCTION("""COMPUTED_VALUE"""),9641.0)</f>
        <v>9641</v>
      </c>
      <c r="H17" s="46">
        <f>IFERROR(__xludf.DUMMYFUNCTION("""COMPUTED_VALUE"""),1485292.46)</f>
        <v>1485292.46</v>
      </c>
      <c r="I17" s="46">
        <f>IFERROR(__xludf.DUMMYFUNCTION("""COMPUTED_VALUE"""),876656.1300000001)</f>
        <v>876656.13</v>
      </c>
      <c r="J17" s="46">
        <f>IFERROR(__xludf.DUMMYFUNCTION("""COMPUTED_VALUE"""),608636.3299999998)</f>
        <v>608636.33</v>
      </c>
      <c r="K17" s="46" t="str">
        <f t="array" ref="K17">TEXT(D17, "mmmm")</f>
        <v>July</v>
      </c>
      <c r="M17" s="46" t="str">
        <f>IFERROR(__xludf.DUMMYFUNCTION("""COMPUTED_VALUE"""),"Slovenia")</f>
        <v>Slovenia</v>
      </c>
      <c r="N17" s="94">
        <f>IFERROR(__xludf.DUMMYFUNCTION("""COMPUTED_VALUE"""),40179.0)</f>
        <v>40179</v>
      </c>
      <c r="O17" s="46">
        <f>IFERROR(__xludf.DUMMYFUNCTION("""COMPUTED_VALUE"""),1.0)</f>
        <v>1</v>
      </c>
      <c r="P17" s="46">
        <f>IFERROR(__xludf.DUMMYFUNCTION("""COMPUTED_VALUE"""),723.0)</f>
        <v>723</v>
      </c>
      <c r="Q17" s="46">
        <f>IFERROR(__xludf.DUMMYFUNCTION("""COMPUTED_VALUE"""),6745.59)</f>
        <v>6745.59</v>
      </c>
      <c r="R17" s="46">
        <f>IFERROR(__xludf.DUMMYFUNCTION("""COMPUTED_VALUE"""),5003.16)</f>
        <v>5003.16</v>
      </c>
      <c r="S17" s="46">
        <f>IFERROR(__xludf.DUMMYFUNCTION("""COMPUTED_VALUE"""),1742.4300000000003)</f>
        <v>1742.43</v>
      </c>
    </row>
    <row r="18">
      <c r="A18" s="46" t="str">
        <f>IFERROR(__xludf.DUMMYFUNCTION("""COMPUTED_VALUE"""),"Vegetables")</f>
        <v>Vegetables</v>
      </c>
      <c r="B18" s="46" t="str">
        <f>IFERROR(__xludf.DUMMYFUNCTION("""COMPUTED_VALUE"""),"Undefined")</f>
        <v>Undefined</v>
      </c>
      <c r="C18" s="46" t="str">
        <f>IFERROR(__xludf.DUMMYFUNCTION("""COMPUTED_VALUE"""),"Undefined")</f>
        <v>Undefined</v>
      </c>
      <c r="D18" s="90">
        <f>IFERROR(__xludf.DUMMYFUNCTION("""COMPUTED_VALUE"""),42917.0)</f>
        <v>42917</v>
      </c>
      <c r="E18" s="46">
        <f>IFERROR(__xludf.DUMMYFUNCTION("""COMPUTED_VALUE"""),2017.0)</f>
        <v>2017</v>
      </c>
      <c r="F18" s="46">
        <f>IFERROR(__xludf.DUMMYFUNCTION("""COMPUTED_VALUE"""),1.0)</f>
        <v>1</v>
      </c>
      <c r="G18" s="46">
        <f>IFERROR(__xludf.DUMMYFUNCTION("""COMPUTED_VALUE"""),6893.0)</f>
        <v>6893</v>
      </c>
      <c r="H18" s="46">
        <f>IFERROR(__xludf.DUMMYFUNCTION("""COMPUTED_VALUE"""),1061935.58)</f>
        <v>1061935.58</v>
      </c>
      <c r="I18" s="46">
        <f>IFERROR(__xludf.DUMMYFUNCTION("""COMPUTED_VALUE"""),626780.49)</f>
        <v>626780.49</v>
      </c>
      <c r="J18" s="46">
        <f>IFERROR(__xludf.DUMMYFUNCTION("""COMPUTED_VALUE"""),435155.0900000001)</f>
        <v>435155.09</v>
      </c>
      <c r="K18" s="46" t="str">
        <f t="array" ref="K18">TEXT(D18, "mmmm")</f>
        <v>July</v>
      </c>
      <c r="M18" s="46" t="str">
        <f>IFERROR(__xludf.DUMMYFUNCTION("""COMPUTED_VALUE"""),"Sweden")</f>
        <v>Sweden</v>
      </c>
      <c r="N18" s="94">
        <f>IFERROR(__xludf.DUMMYFUNCTION("""COMPUTED_VALUE"""),40179.0)</f>
        <v>40179</v>
      </c>
      <c r="O18" s="46">
        <f>IFERROR(__xludf.DUMMYFUNCTION("""COMPUTED_VALUE"""),1.0)</f>
        <v>1</v>
      </c>
      <c r="P18" s="46">
        <f>IFERROR(__xludf.DUMMYFUNCTION("""COMPUTED_VALUE"""),9492.0)</f>
        <v>9492</v>
      </c>
      <c r="Q18" s="46">
        <f>IFERROR(__xludf.DUMMYFUNCTION("""COMPUTED_VALUE"""),4149902.4)</f>
        <v>4149902.4</v>
      </c>
      <c r="R18" s="46">
        <f>IFERROR(__xludf.DUMMYFUNCTION("""COMPUTED_VALUE"""),2499528.36)</f>
        <v>2499528.36</v>
      </c>
      <c r="S18" s="46">
        <f>IFERROR(__xludf.DUMMYFUNCTION("""COMPUTED_VALUE"""),1650374.04)</f>
        <v>1650374.04</v>
      </c>
    </row>
    <row r="19">
      <c r="A19" s="46" t="str">
        <f>IFERROR(__xludf.DUMMYFUNCTION("""COMPUTED_VALUE"""),"Baby Food")</f>
        <v>Baby Food</v>
      </c>
      <c r="B19" s="46" t="str">
        <f>IFERROR(__xludf.DUMMYFUNCTION("""COMPUTED_VALUE"""),"Andorra")</f>
        <v>Andorra</v>
      </c>
      <c r="C19" s="46" t="str">
        <f>IFERROR(__xludf.DUMMYFUNCTION("""COMPUTED_VALUE"""),"Europe")</f>
        <v>Europe</v>
      </c>
      <c r="D19" s="90">
        <f>IFERROR(__xludf.DUMMYFUNCTION("""COMPUTED_VALUE"""),42887.0)</f>
        <v>42887</v>
      </c>
      <c r="E19" s="46">
        <f>IFERROR(__xludf.DUMMYFUNCTION("""COMPUTED_VALUE"""),2017.0)</f>
        <v>2017</v>
      </c>
      <c r="F19" s="46">
        <f>IFERROR(__xludf.DUMMYFUNCTION("""COMPUTED_VALUE"""),1.0)</f>
        <v>1</v>
      </c>
      <c r="G19" s="46">
        <f>IFERROR(__xludf.DUMMYFUNCTION("""COMPUTED_VALUE"""),1085.0)</f>
        <v>1085</v>
      </c>
      <c r="H19" s="46">
        <f>IFERROR(__xludf.DUMMYFUNCTION("""COMPUTED_VALUE"""),276978.8)</f>
        <v>276978.8</v>
      </c>
      <c r="I19" s="46">
        <f>IFERROR(__xludf.DUMMYFUNCTION("""COMPUTED_VALUE"""),172970.69999999998)</f>
        <v>172970.7</v>
      </c>
      <c r="J19" s="46">
        <f>IFERROR(__xludf.DUMMYFUNCTION("""COMPUTED_VALUE"""),104008.1)</f>
        <v>104008.1</v>
      </c>
      <c r="K19" s="46" t="str">
        <f t="array" ref="K19">TEXT(D19, "mmmm")</f>
        <v>June</v>
      </c>
      <c r="M19" s="46" t="str">
        <f>IFERROR(__xludf.DUMMYFUNCTION("""COMPUTED_VALUE"""),"Switzerland")</f>
        <v>Switzerland</v>
      </c>
      <c r="N19" s="94">
        <f>IFERROR(__xludf.DUMMYFUNCTION("""COMPUTED_VALUE"""),40179.0)</f>
        <v>40179</v>
      </c>
      <c r="O19" s="46">
        <f>IFERROR(__xludf.DUMMYFUNCTION("""COMPUTED_VALUE"""),1.0)</f>
        <v>1</v>
      </c>
      <c r="P19" s="46">
        <f>IFERROR(__xludf.DUMMYFUNCTION("""COMPUTED_VALUE"""),5391.0)</f>
        <v>5391</v>
      </c>
      <c r="Q19" s="46">
        <f>IFERROR(__xludf.DUMMYFUNCTION("""COMPUTED_VALUE"""),255802.95)</f>
        <v>255802.95</v>
      </c>
      <c r="R19" s="46">
        <f>IFERROR(__xludf.DUMMYFUNCTION("""COMPUTED_VALUE"""),171379.88999999998)</f>
        <v>171379.89</v>
      </c>
      <c r="S19" s="46">
        <f>IFERROR(__xludf.DUMMYFUNCTION("""COMPUTED_VALUE"""),84423.06000000003)</f>
        <v>84423.06</v>
      </c>
    </row>
    <row r="20">
      <c r="A20" s="46" t="str">
        <f>IFERROR(__xludf.DUMMYFUNCTION("""COMPUTED_VALUE"""),"Baby Food")</f>
        <v>Baby Food</v>
      </c>
      <c r="B20" s="46" t="str">
        <f>IFERROR(__xludf.DUMMYFUNCTION("""COMPUTED_VALUE"""),"Undefined")</f>
        <v>Undefined</v>
      </c>
      <c r="C20" s="46" t="str">
        <f>IFERROR(__xludf.DUMMYFUNCTION("""COMPUTED_VALUE"""),"Undefined")</f>
        <v>Undefined</v>
      </c>
      <c r="D20" s="90">
        <f>IFERROR(__xludf.DUMMYFUNCTION("""COMPUTED_VALUE"""),42887.0)</f>
        <v>42887</v>
      </c>
      <c r="E20" s="46">
        <f>IFERROR(__xludf.DUMMYFUNCTION("""COMPUTED_VALUE"""),2017.0)</f>
        <v>2017</v>
      </c>
      <c r="F20" s="46">
        <f>IFERROR(__xludf.DUMMYFUNCTION("""COMPUTED_VALUE"""),1.0)</f>
        <v>1</v>
      </c>
      <c r="G20" s="46">
        <f>IFERROR(__xludf.DUMMYFUNCTION("""COMPUTED_VALUE"""),1534.0)</f>
        <v>1534</v>
      </c>
      <c r="H20" s="46">
        <f>IFERROR(__xludf.DUMMYFUNCTION("""COMPUTED_VALUE"""),391599.52)</f>
        <v>391599.52</v>
      </c>
      <c r="I20" s="46">
        <f>IFERROR(__xludf.DUMMYFUNCTION("""COMPUTED_VALUE"""),244550.27999999997)</f>
        <v>244550.28</v>
      </c>
      <c r="J20" s="46">
        <f>IFERROR(__xludf.DUMMYFUNCTION("""COMPUTED_VALUE"""),147049.24000000005)</f>
        <v>147049.24</v>
      </c>
      <c r="K20" s="46" t="str">
        <f t="array" ref="K20">TEXT(D20, "mmmm")</f>
        <v>June</v>
      </c>
      <c r="M20" s="46" t="str">
        <f>IFERROR(__xludf.DUMMYFUNCTION("""COMPUTED_VALUE"""),"Undefined")</f>
        <v>Undefined</v>
      </c>
      <c r="N20" s="94">
        <f>IFERROR(__xludf.DUMMYFUNCTION("""COMPUTED_VALUE"""),40179.0)</f>
        <v>40179</v>
      </c>
      <c r="O20" s="46">
        <f>IFERROR(__xludf.DUMMYFUNCTION("""COMPUTED_VALUE"""),1.0)</f>
        <v>1</v>
      </c>
      <c r="P20" s="46">
        <f>IFERROR(__xludf.DUMMYFUNCTION("""COMPUTED_VALUE"""),4396.0)</f>
        <v>4396</v>
      </c>
      <c r="Q20" s="46">
        <f>IFERROR(__xludf.DUMMYFUNCTION("""COMPUTED_VALUE"""),677247.76)</f>
        <v>677247.76</v>
      </c>
      <c r="R20" s="46">
        <f>IFERROR(__xludf.DUMMYFUNCTION("""COMPUTED_VALUE"""),399728.28)</f>
        <v>399728.28</v>
      </c>
      <c r="S20" s="46">
        <f>IFERROR(__xludf.DUMMYFUNCTION("""COMPUTED_VALUE"""),277519.48)</f>
        <v>277519.48</v>
      </c>
    </row>
    <row r="21">
      <c r="A21" s="46" t="str">
        <f>IFERROR(__xludf.DUMMYFUNCTION("""COMPUTED_VALUE"""),"Cereal")</f>
        <v>Cereal</v>
      </c>
      <c r="B21" s="46" t="str">
        <f>IFERROR(__xludf.DUMMYFUNCTION("""COMPUTED_VALUE"""),"Monaco")</f>
        <v>Monaco</v>
      </c>
      <c r="C21" s="46" t="str">
        <f>IFERROR(__xludf.DUMMYFUNCTION("""COMPUTED_VALUE"""),"Europe")</f>
        <v>Europe</v>
      </c>
      <c r="D21" s="90">
        <f>IFERROR(__xludf.DUMMYFUNCTION("""COMPUTED_VALUE"""),42887.0)</f>
        <v>42887</v>
      </c>
      <c r="E21" s="46">
        <f>IFERROR(__xludf.DUMMYFUNCTION("""COMPUTED_VALUE"""),2017.0)</f>
        <v>2017</v>
      </c>
      <c r="F21" s="46">
        <f>IFERROR(__xludf.DUMMYFUNCTION("""COMPUTED_VALUE"""),1.0)</f>
        <v>1</v>
      </c>
      <c r="G21" s="46">
        <f>IFERROR(__xludf.DUMMYFUNCTION("""COMPUTED_VALUE"""),2197.0)</f>
        <v>2197</v>
      </c>
      <c r="H21" s="46">
        <f>IFERROR(__xludf.DUMMYFUNCTION("""COMPUTED_VALUE"""),451922.89999999997)</f>
        <v>451922.9</v>
      </c>
      <c r="I21" s="46">
        <f>IFERROR(__xludf.DUMMYFUNCTION("""COMPUTED_VALUE"""),257290.67)</f>
        <v>257290.67</v>
      </c>
      <c r="J21" s="46">
        <f>IFERROR(__xludf.DUMMYFUNCTION("""COMPUTED_VALUE"""),194632.22999999995)</f>
        <v>194632.23</v>
      </c>
      <c r="K21" s="46" t="str">
        <f t="array" ref="K21">TEXT(D21, "mmmm")</f>
        <v>June</v>
      </c>
      <c r="M21" s="46" t="str">
        <f>IFERROR(__xludf.DUMMYFUNCTION("""COMPUTED_VALUE"""),"Armenia")</f>
        <v>Armenia</v>
      </c>
      <c r="N21" s="94">
        <f>IFERROR(__xludf.DUMMYFUNCTION("""COMPUTED_VALUE"""),40210.0)</f>
        <v>40210</v>
      </c>
      <c r="O21" s="46">
        <f>IFERROR(__xludf.DUMMYFUNCTION("""COMPUTED_VALUE"""),1.0)</f>
        <v>1</v>
      </c>
      <c r="P21" s="46">
        <f>IFERROR(__xludf.DUMMYFUNCTION("""COMPUTED_VALUE"""),4983.0)</f>
        <v>4983</v>
      </c>
      <c r="Q21" s="46">
        <f>IFERROR(__xludf.DUMMYFUNCTION("""COMPUTED_VALUE"""),1272060.24)</f>
        <v>1272060.24</v>
      </c>
      <c r="R21" s="46">
        <f>IFERROR(__xludf.DUMMYFUNCTION("""COMPUTED_VALUE"""),794389.86)</f>
        <v>794389.86</v>
      </c>
      <c r="S21" s="46">
        <f>IFERROR(__xludf.DUMMYFUNCTION("""COMPUTED_VALUE"""),477670.38)</f>
        <v>477670.38</v>
      </c>
    </row>
    <row r="22">
      <c r="A22" s="46" t="str">
        <f>IFERROR(__xludf.DUMMYFUNCTION("""COMPUTED_VALUE"""),"Clothes")</f>
        <v>Clothes</v>
      </c>
      <c r="B22" s="46" t="str">
        <f>IFERROR(__xludf.DUMMYFUNCTION("""COMPUTED_VALUE"""),"Andorra")</f>
        <v>Andorra</v>
      </c>
      <c r="C22" s="46" t="str">
        <f>IFERROR(__xludf.DUMMYFUNCTION("""COMPUTED_VALUE"""),"Europe")</f>
        <v>Europe</v>
      </c>
      <c r="D22" s="90">
        <f>IFERROR(__xludf.DUMMYFUNCTION("""COMPUTED_VALUE"""),42887.0)</f>
        <v>42887</v>
      </c>
      <c r="E22" s="46">
        <f>IFERROR(__xludf.DUMMYFUNCTION("""COMPUTED_VALUE"""),2017.0)</f>
        <v>2017</v>
      </c>
      <c r="F22" s="46">
        <f>IFERROR(__xludf.DUMMYFUNCTION("""COMPUTED_VALUE"""),1.0)</f>
        <v>1</v>
      </c>
      <c r="G22" s="46">
        <f>IFERROR(__xludf.DUMMYFUNCTION("""COMPUTED_VALUE"""),4909.0)</f>
        <v>4909</v>
      </c>
      <c r="H22" s="46">
        <f>IFERROR(__xludf.DUMMYFUNCTION("""COMPUTED_VALUE"""),536455.52)</f>
        <v>536455.52</v>
      </c>
      <c r="I22" s="46">
        <f>IFERROR(__xludf.DUMMYFUNCTION("""COMPUTED_VALUE"""),175938.56000000003)</f>
        <v>175938.56</v>
      </c>
      <c r="J22" s="46">
        <f>IFERROR(__xludf.DUMMYFUNCTION("""COMPUTED_VALUE"""),360516.95999999996)</f>
        <v>360516.96</v>
      </c>
      <c r="K22" s="46" t="str">
        <f t="array" ref="K22">TEXT(D22, "mmmm")</f>
        <v>June</v>
      </c>
      <c r="M22" s="46" t="str">
        <f>IFERROR(__xludf.DUMMYFUNCTION("""COMPUTED_VALUE"""),"Austria")</f>
        <v>Austria</v>
      </c>
      <c r="N22" s="94">
        <f>IFERROR(__xludf.DUMMYFUNCTION("""COMPUTED_VALUE"""),40210.0)</f>
        <v>40210</v>
      </c>
      <c r="O22" s="46">
        <f>IFERROR(__xludf.DUMMYFUNCTION("""COMPUTED_VALUE"""),1.0)</f>
        <v>1</v>
      </c>
      <c r="P22" s="46">
        <f>IFERROR(__xludf.DUMMYFUNCTION("""COMPUTED_VALUE"""),6672.0)</f>
        <v>6672</v>
      </c>
      <c r="Q22" s="46">
        <f>IFERROR(__xludf.DUMMYFUNCTION("""COMPUTED_VALUE"""),4344873.12)</f>
        <v>4344873.12</v>
      </c>
      <c r="R22" s="46">
        <f>IFERROR(__xludf.DUMMYFUNCTION("""COMPUTED_VALUE"""),3502533.12)</f>
        <v>3502533.12</v>
      </c>
      <c r="S22" s="46">
        <f>IFERROR(__xludf.DUMMYFUNCTION("""COMPUTED_VALUE"""),842340.0)</f>
        <v>842340</v>
      </c>
    </row>
    <row r="23">
      <c r="A23" s="46" t="str">
        <f>IFERROR(__xludf.DUMMYFUNCTION("""COMPUTED_VALUE"""),"Cosmetics")</f>
        <v>Cosmetics</v>
      </c>
      <c r="B23" s="46" t="str">
        <f>IFERROR(__xludf.DUMMYFUNCTION("""COMPUTED_VALUE"""),"Czech Republic")</f>
        <v>Czech Republic</v>
      </c>
      <c r="C23" s="46" t="str">
        <f>IFERROR(__xludf.DUMMYFUNCTION("""COMPUTED_VALUE"""),"Europe")</f>
        <v>Europe</v>
      </c>
      <c r="D23" s="90">
        <f>IFERROR(__xludf.DUMMYFUNCTION("""COMPUTED_VALUE"""),42887.0)</f>
        <v>42887</v>
      </c>
      <c r="E23" s="46">
        <f>IFERROR(__xludf.DUMMYFUNCTION("""COMPUTED_VALUE"""),2017.0)</f>
        <v>2017</v>
      </c>
      <c r="F23" s="46">
        <f>IFERROR(__xludf.DUMMYFUNCTION("""COMPUTED_VALUE"""),1.0)</f>
        <v>1</v>
      </c>
      <c r="G23" s="46">
        <f>IFERROR(__xludf.DUMMYFUNCTION("""COMPUTED_VALUE"""),5581.0)</f>
        <v>5581</v>
      </c>
      <c r="H23" s="46">
        <f>IFERROR(__xludf.DUMMYFUNCTION("""COMPUTED_VALUE"""),2440013.1999999997)</f>
        <v>2440013.2</v>
      </c>
      <c r="I23" s="46">
        <f>IFERROR(__xludf.DUMMYFUNCTION("""COMPUTED_VALUE"""),1469644.73)</f>
        <v>1469644.73</v>
      </c>
      <c r="J23" s="46">
        <f>IFERROR(__xludf.DUMMYFUNCTION("""COMPUTED_VALUE"""),970368.4699999997)</f>
        <v>970368.47</v>
      </c>
      <c r="K23" s="46" t="str">
        <f t="array" ref="K23">TEXT(D23, "mmmm")</f>
        <v>June</v>
      </c>
      <c r="M23" s="46" t="str">
        <f>IFERROR(__xludf.DUMMYFUNCTION("""COMPUTED_VALUE"""),"Bosnia and Herzegovina")</f>
        <v>Bosnia and Herzegovina</v>
      </c>
      <c r="N23" s="94">
        <f>IFERROR(__xludf.DUMMYFUNCTION("""COMPUTED_VALUE"""),40210.0)</f>
        <v>40210</v>
      </c>
      <c r="O23" s="46">
        <f>IFERROR(__xludf.DUMMYFUNCTION("""COMPUTED_VALUE"""),1.0)</f>
        <v>1</v>
      </c>
      <c r="P23" s="46">
        <f>IFERROR(__xludf.DUMMYFUNCTION("""COMPUTED_VALUE"""),6742.0)</f>
        <v>6742</v>
      </c>
      <c r="Q23" s="46">
        <f>IFERROR(__xludf.DUMMYFUNCTION("""COMPUTED_VALUE"""),551023.66)</f>
        <v>551023.66</v>
      </c>
      <c r="R23" s="46">
        <f>IFERROR(__xludf.DUMMYFUNCTION("""COMPUTED_VALUE"""),382069.14)</f>
        <v>382069.14</v>
      </c>
      <c r="S23" s="46">
        <f>IFERROR(__xludf.DUMMYFUNCTION("""COMPUTED_VALUE"""),168954.52000000002)</f>
        <v>168954.52</v>
      </c>
    </row>
    <row r="24">
      <c r="A24" s="46" t="str">
        <f>IFERROR(__xludf.DUMMYFUNCTION("""COMPUTED_VALUE"""),"Cosmetics")</f>
        <v>Cosmetics</v>
      </c>
      <c r="B24" s="46" t="str">
        <f>IFERROR(__xludf.DUMMYFUNCTION("""COMPUTED_VALUE"""),"Greece")</f>
        <v>Greece</v>
      </c>
      <c r="C24" s="46" t="str">
        <f>IFERROR(__xludf.DUMMYFUNCTION("""COMPUTED_VALUE"""),"Europe")</f>
        <v>Europe</v>
      </c>
      <c r="D24" s="90">
        <f>IFERROR(__xludf.DUMMYFUNCTION("""COMPUTED_VALUE"""),42887.0)</f>
        <v>42887</v>
      </c>
      <c r="E24" s="46">
        <f>IFERROR(__xludf.DUMMYFUNCTION("""COMPUTED_VALUE"""),2017.0)</f>
        <v>2017</v>
      </c>
      <c r="F24" s="46">
        <f>IFERROR(__xludf.DUMMYFUNCTION("""COMPUTED_VALUE"""),1.0)</f>
        <v>1</v>
      </c>
      <c r="G24" s="46">
        <f>IFERROR(__xludf.DUMMYFUNCTION("""COMPUTED_VALUE"""),8196.0)</f>
        <v>8196</v>
      </c>
      <c r="H24" s="46">
        <f>IFERROR(__xludf.DUMMYFUNCTION("""COMPUTED_VALUE"""),3583291.1999999997)</f>
        <v>3583291.2</v>
      </c>
      <c r="I24" s="46">
        <f>IFERROR(__xludf.DUMMYFUNCTION("""COMPUTED_VALUE"""),2158252.6799999997)</f>
        <v>2158252.68</v>
      </c>
      <c r="J24" s="46">
        <f>IFERROR(__xludf.DUMMYFUNCTION("""COMPUTED_VALUE"""),1425038.52)</f>
        <v>1425038.52</v>
      </c>
      <c r="K24" s="46" t="str">
        <f t="array" ref="K24">TEXT(D24, "mmmm")</f>
        <v>June</v>
      </c>
      <c r="M24" s="46" t="str">
        <f>IFERROR(__xludf.DUMMYFUNCTION("""COMPUTED_VALUE"""),"Czech Republic")</f>
        <v>Czech Republic</v>
      </c>
      <c r="N24" s="94">
        <f>IFERROR(__xludf.DUMMYFUNCTION("""COMPUTED_VALUE"""),40210.0)</f>
        <v>40210</v>
      </c>
      <c r="O24" s="46">
        <f>IFERROR(__xludf.DUMMYFUNCTION("""COMPUTED_VALUE"""),1.0)</f>
        <v>1</v>
      </c>
      <c r="P24" s="46">
        <f>IFERROR(__xludf.DUMMYFUNCTION("""COMPUTED_VALUE"""),5957.0)</f>
        <v>5957</v>
      </c>
      <c r="Q24" s="46">
        <f>IFERROR(__xludf.DUMMYFUNCTION("""COMPUTED_VALUE"""),3879257.97)</f>
        <v>3879257.97</v>
      </c>
      <c r="R24" s="46">
        <f>IFERROR(__xludf.DUMMYFUNCTION("""COMPUTED_VALUE"""),3127186.72)</f>
        <v>3127186.72</v>
      </c>
      <c r="S24" s="46">
        <f>IFERROR(__xludf.DUMMYFUNCTION("""COMPUTED_VALUE"""),752071.25)</f>
        <v>752071.25</v>
      </c>
    </row>
    <row r="25">
      <c r="A25" s="46" t="str">
        <f>IFERROR(__xludf.DUMMYFUNCTION("""COMPUTED_VALUE"""),"Cosmetics")</f>
        <v>Cosmetics</v>
      </c>
      <c r="B25" s="46" t="str">
        <f>IFERROR(__xludf.DUMMYFUNCTION("""COMPUTED_VALUE"""),"Ukraine")</f>
        <v>Ukraine</v>
      </c>
      <c r="C25" s="46" t="str">
        <f>IFERROR(__xludf.DUMMYFUNCTION("""COMPUTED_VALUE"""),"Europe")</f>
        <v>Europe</v>
      </c>
      <c r="D25" s="90">
        <f>IFERROR(__xludf.DUMMYFUNCTION("""COMPUTED_VALUE"""),42887.0)</f>
        <v>42887</v>
      </c>
      <c r="E25" s="46">
        <f>IFERROR(__xludf.DUMMYFUNCTION("""COMPUTED_VALUE"""),2017.0)</f>
        <v>2017</v>
      </c>
      <c r="F25" s="46">
        <f>IFERROR(__xludf.DUMMYFUNCTION("""COMPUTED_VALUE"""),1.0)</f>
        <v>1</v>
      </c>
      <c r="G25" s="46">
        <f>IFERROR(__xludf.DUMMYFUNCTION("""COMPUTED_VALUE"""),1975.0)</f>
        <v>1975</v>
      </c>
      <c r="H25" s="46">
        <f>IFERROR(__xludf.DUMMYFUNCTION("""COMPUTED_VALUE"""),863470.0)</f>
        <v>863470</v>
      </c>
      <c r="I25" s="46">
        <f>IFERROR(__xludf.DUMMYFUNCTION("""COMPUTED_VALUE"""),520076.74999999994)</f>
        <v>520076.75</v>
      </c>
      <c r="J25" s="46">
        <f>IFERROR(__xludf.DUMMYFUNCTION("""COMPUTED_VALUE"""),343393.25000000006)</f>
        <v>343393.25</v>
      </c>
      <c r="K25" s="46" t="str">
        <f t="array" ref="K25">TEXT(D25, "mmmm")</f>
        <v>June</v>
      </c>
      <c r="M25" s="46" t="str">
        <f>IFERROR(__xludf.DUMMYFUNCTION("""COMPUTED_VALUE"""),"Georgia")</f>
        <v>Georgia</v>
      </c>
      <c r="N25" s="94">
        <f>IFERROR(__xludf.DUMMYFUNCTION("""COMPUTED_VALUE"""),40210.0)</f>
        <v>40210</v>
      </c>
      <c r="O25" s="46">
        <f>IFERROR(__xludf.DUMMYFUNCTION("""COMPUTED_VALUE"""),1.0)</f>
        <v>1</v>
      </c>
      <c r="P25" s="46">
        <f>IFERROR(__xludf.DUMMYFUNCTION("""COMPUTED_VALUE"""),8416.0)</f>
        <v>8416</v>
      </c>
      <c r="Q25" s="46">
        <f>IFERROR(__xludf.DUMMYFUNCTION("""COMPUTED_VALUE"""),3550626.2399999998)</f>
        <v>3550626.24</v>
      </c>
      <c r="R25" s="46">
        <f>IFERROR(__xludf.DUMMYFUNCTION("""COMPUTED_VALUE"""),3069231.04)</f>
        <v>3069231.04</v>
      </c>
      <c r="S25" s="46">
        <f>IFERROR(__xludf.DUMMYFUNCTION("""COMPUTED_VALUE"""),481395.1999999997)</f>
        <v>481395.2</v>
      </c>
    </row>
    <row r="26">
      <c r="A26" s="46" t="str">
        <f>IFERROR(__xludf.DUMMYFUNCTION("""COMPUTED_VALUE"""),"Meat")</f>
        <v>Meat</v>
      </c>
      <c r="B26" s="46" t="str">
        <f>IFERROR(__xludf.DUMMYFUNCTION("""COMPUTED_VALUE"""),"Cyprus")</f>
        <v>Cyprus</v>
      </c>
      <c r="C26" s="46" t="str">
        <f>IFERROR(__xludf.DUMMYFUNCTION("""COMPUTED_VALUE"""),"Asia")</f>
        <v>Asia</v>
      </c>
      <c r="D26" s="90">
        <f>IFERROR(__xludf.DUMMYFUNCTION("""COMPUTED_VALUE"""),42887.0)</f>
        <v>42887</v>
      </c>
      <c r="E26" s="46">
        <f>IFERROR(__xludf.DUMMYFUNCTION("""COMPUTED_VALUE"""),2017.0)</f>
        <v>2017</v>
      </c>
      <c r="F26" s="46">
        <f>IFERROR(__xludf.DUMMYFUNCTION("""COMPUTED_VALUE"""),2.0)</f>
        <v>2</v>
      </c>
      <c r="G26" s="46">
        <f>IFERROR(__xludf.DUMMYFUNCTION("""COMPUTED_VALUE"""),10149.0)</f>
        <v>10149</v>
      </c>
      <c r="H26" s="46">
        <f>IFERROR(__xludf.DUMMYFUNCTION("""COMPUTED_VALUE"""),4281761.61)</f>
        <v>4281761.61</v>
      </c>
      <c r="I26" s="46">
        <f>IFERROR(__xludf.DUMMYFUNCTION("""COMPUTED_VALUE"""),3701238.8099999996)</f>
        <v>3701238.81</v>
      </c>
      <c r="J26" s="46">
        <f>IFERROR(__xludf.DUMMYFUNCTION("""COMPUTED_VALUE"""),580522.8)</f>
        <v>580522.8</v>
      </c>
      <c r="K26" s="46" t="str">
        <f t="array" ref="K26">TEXT(D26, "mmmm")</f>
        <v>June</v>
      </c>
      <c r="M26" s="46" t="str">
        <f>IFERROR(__xludf.DUMMYFUNCTION("""COMPUTED_VALUE"""),"Germany")</f>
        <v>Germany</v>
      </c>
      <c r="N26" s="94">
        <f>IFERROR(__xludf.DUMMYFUNCTION("""COMPUTED_VALUE"""),40210.0)</f>
        <v>40210</v>
      </c>
      <c r="O26" s="46">
        <f>IFERROR(__xludf.DUMMYFUNCTION("""COMPUTED_VALUE"""),1.0)</f>
        <v>1</v>
      </c>
      <c r="P26" s="46">
        <f>IFERROR(__xludf.DUMMYFUNCTION("""COMPUTED_VALUE"""),4629.0)</f>
        <v>4629</v>
      </c>
      <c r="Q26" s="46">
        <f>IFERROR(__xludf.DUMMYFUNCTION("""COMPUTED_VALUE"""),952185.2999999999)</f>
        <v>952185.3</v>
      </c>
      <c r="R26" s="46">
        <f>IFERROR(__xludf.DUMMYFUNCTION("""COMPUTED_VALUE"""),542102.19)</f>
        <v>542102.19</v>
      </c>
      <c r="S26" s="46">
        <f>IFERROR(__xludf.DUMMYFUNCTION("""COMPUTED_VALUE"""),410083.11)</f>
        <v>410083.11</v>
      </c>
    </row>
    <row r="27">
      <c r="A27" s="46" t="str">
        <f>IFERROR(__xludf.DUMMYFUNCTION("""COMPUTED_VALUE"""),"Office Supplies")</f>
        <v>Office Supplies</v>
      </c>
      <c r="B27" s="46" t="str">
        <f>IFERROR(__xludf.DUMMYFUNCTION("""COMPUTED_VALUE"""),"Belarus")</f>
        <v>Belarus</v>
      </c>
      <c r="C27" s="46" t="str">
        <f>IFERROR(__xludf.DUMMYFUNCTION("""COMPUTED_VALUE"""),"Europe")</f>
        <v>Europe</v>
      </c>
      <c r="D27" s="90">
        <f>IFERROR(__xludf.DUMMYFUNCTION("""COMPUTED_VALUE"""),42887.0)</f>
        <v>42887</v>
      </c>
      <c r="E27" s="46">
        <f>IFERROR(__xludf.DUMMYFUNCTION("""COMPUTED_VALUE"""),2017.0)</f>
        <v>2017</v>
      </c>
      <c r="F27" s="46">
        <f>IFERROR(__xludf.DUMMYFUNCTION("""COMPUTED_VALUE"""),1.0)</f>
        <v>1</v>
      </c>
      <c r="G27" s="46">
        <f>IFERROR(__xludf.DUMMYFUNCTION("""COMPUTED_VALUE"""),2206.0)</f>
        <v>2206</v>
      </c>
      <c r="H27" s="46">
        <f>IFERROR(__xludf.DUMMYFUNCTION("""COMPUTED_VALUE"""),1436569.26)</f>
        <v>1436569.26</v>
      </c>
      <c r="I27" s="46">
        <f>IFERROR(__xludf.DUMMYFUNCTION("""COMPUTED_VALUE"""),1158061.76)</f>
        <v>1158061.76</v>
      </c>
      <c r="J27" s="46">
        <f>IFERROR(__xludf.DUMMYFUNCTION("""COMPUTED_VALUE"""),278507.5)</f>
        <v>278507.5</v>
      </c>
      <c r="K27" s="46" t="str">
        <f t="array" ref="K27">TEXT(D27, "mmmm")</f>
        <v>June</v>
      </c>
      <c r="M27" s="46" t="str">
        <f>IFERROR(__xludf.DUMMYFUNCTION("""COMPUTED_VALUE"""),"Greece")</f>
        <v>Greece</v>
      </c>
      <c r="N27" s="94">
        <f>IFERROR(__xludf.DUMMYFUNCTION("""COMPUTED_VALUE"""),40210.0)</f>
        <v>40210</v>
      </c>
      <c r="O27" s="46">
        <f>IFERROR(__xludf.DUMMYFUNCTION("""COMPUTED_VALUE"""),1.0)</f>
        <v>1</v>
      </c>
      <c r="P27" s="46">
        <f>IFERROR(__xludf.DUMMYFUNCTION("""COMPUTED_VALUE"""),8850.0)</f>
        <v>8850</v>
      </c>
      <c r="Q27" s="46">
        <f>IFERROR(__xludf.DUMMYFUNCTION("""COMPUTED_VALUE"""),419932.5)</f>
        <v>419932.5</v>
      </c>
      <c r="R27" s="46">
        <f>IFERROR(__xludf.DUMMYFUNCTION("""COMPUTED_VALUE"""),281341.5)</f>
        <v>281341.5</v>
      </c>
      <c r="S27" s="46">
        <f>IFERROR(__xludf.DUMMYFUNCTION("""COMPUTED_VALUE"""),138591.0)</f>
        <v>138591</v>
      </c>
    </row>
    <row r="28">
      <c r="A28" s="46" t="str">
        <f>IFERROR(__xludf.DUMMYFUNCTION("""COMPUTED_VALUE"""),"Snacks")</f>
        <v>Snacks</v>
      </c>
      <c r="B28" s="46" t="str">
        <f>IFERROR(__xludf.DUMMYFUNCTION("""COMPUTED_VALUE"""),"Armenia")</f>
        <v>Armenia</v>
      </c>
      <c r="C28" s="46" t="str">
        <f>IFERROR(__xludf.DUMMYFUNCTION("""COMPUTED_VALUE"""),"Asia")</f>
        <v>Asia</v>
      </c>
      <c r="D28" s="90">
        <f>IFERROR(__xludf.DUMMYFUNCTION("""COMPUTED_VALUE"""),42887.0)</f>
        <v>42887</v>
      </c>
      <c r="E28" s="46">
        <f>IFERROR(__xludf.DUMMYFUNCTION("""COMPUTED_VALUE"""),2017.0)</f>
        <v>2017</v>
      </c>
      <c r="F28" s="46">
        <f>IFERROR(__xludf.DUMMYFUNCTION("""COMPUTED_VALUE"""),1.0)</f>
        <v>1</v>
      </c>
      <c r="G28" s="46">
        <f>IFERROR(__xludf.DUMMYFUNCTION("""COMPUTED_VALUE"""),7514.0)</f>
        <v>7514</v>
      </c>
      <c r="H28" s="46">
        <f>IFERROR(__xludf.DUMMYFUNCTION("""COMPUTED_VALUE"""),1146486.12)</f>
        <v>1146486.12</v>
      </c>
      <c r="I28" s="46">
        <f>IFERROR(__xludf.DUMMYFUNCTION("""COMPUTED_VALUE"""),732164.16)</f>
        <v>732164.16</v>
      </c>
      <c r="J28" s="46">
        <f>IFERROR(__xludf.DUMMYFUNCTION("""COMPUTED_VALUE"""),414321.9600000001)</f>
        <v>414321.96</v>
      </c>
      <c r="K28" s="46" t="str">
        <f t="array" ref="K28">TEXT(D28, "mmmm")</f>
        <v>June</v>
      </c>
      <c r="M28" s="46" t="str">
        <f>IFERROR(__xludf.DUMMYFUNCTION("""COMPUTED_VALUE"""),"Lithuania")</f>
        <v>Lithuania</v>
      </c>
      <c r="N28" s="94">
        <f>IFERROR(__xludf.DUMMYFUNCTION("""COMPUTED_VALUE"""),40210.0)</f>
        <v>40210</v>
      </c>
      <c r="O28" s="46">
        <f>IFERROR(__xludf.DUMMYFUNCTION("""COMPUTED_VALUE"""),1.0)</f>
        <v>1</v>
      </c>
      <c r="P28" s="46">
        <f>IFERROR(__xludf.DUMMYFUNCTION("""COMPUTED_VALUE"""),4348.0)</f>
        <v>4348</v>
      </c>
      <c r="Q28" s="46">
        <f>IFERROR(__xludf.DUMMYFUNCTION("""COMPUTED_VALUE"""),1834377.72)</f>
        <v>1834377.72</v>
      </c>
      <c r="R28" s="46">
        <f>IFERROR(__xludf.DUMMYFUNCTION("""COMPUTED_VALUE"""),1585672.1199999999)</f>
        <v>1585672.12</v>
      </c>
      <c r="S28" s="46">
        <f>IFERROR(__xludf.DUMMYFUNCTION("""COMPUTED_VALUE"""),248705.6000000001)</f>
        <v>248705.6</v>
      </c>
    </row>
    <row r="29">
      <c r="A29" s="46" t="str">
        <f>IFERROR(__xludf.DUMMYFUNCTION("""COMPUTED_VALUE"""),"Snacks")</f>
        <v>Snacks</v>
      </c>
      <c r="B29" s="46" t="str">
        <f>IFERROR(__xludf.DUMMYFUNCTION("""COMPUTED_VALUE"""),"Finland")</f>
        <v>Finland</v>
      </c>
      <c r="C29" s="46" t="str">
        <f>IFERROR(__xludf.DUMMYFUNCTION("""COMPUTED_VALUE"""),"Europe")</f>
        <v>Europe</v>
      </c>
      <c r="D29" s="90">
        <f>IFERROR(__xludf.DUMMYFUNCTION("""COMPUTED_VALUE"""),42887.0)</f>
        <v>42887</v>
      </c>
      <c r="E29" s="46">
        <f>IFERROR(__xludf.DUMMYFUNCTION("""COMPUTED_VALUE"""),2017.0)</f>
        <v>2017</v>
      </c>
      <c r="F29" s="46">
        <f>IFERROR(__xludf.DUMMYFUNCTION("""COMPUTED_VALUE"""),1.0)</f>
        <v>1</v>
      </c>
      <c r="G29" s="46">
        <f>IFERROR(__xludf.DUMMYFUNCTION("""COMPUTED_VALUE"""),2191.0)</f>
        <v>2191</v>
      </c>
      <c r="H29" s="46">
        <f>IFERROR(__xludf.DUMMYFUNCTION("""COMPUTED_VALUE"""),334302.78)</f>
        <v>334302.78</v>
      </c>
      <c r="I29" s="46">
        <f>IFERROR(__xludf.DUMMYFUNCTION("""COMPUTED_VALUE"""),213491.04)</f>
        <v>213491.04</v>
      </c>
      <c r="J29" s="46">
        <f>IFERROR(__xludf.DUMMYFUNCTION("""COMPUTED_VALUE"""),120811.74000000002)</f>
        <v>120811.74</v>
      </c>
      <c r="K29" s="46" t="str">
        <f t="array" ref="K29">TEXT(D29, "mmmm")</f>
        <v>June</v>
      </c>
      <c r="M29" s="46" t="str">
        <f>IFERROR(__xludf.DUMMYFUNCTION("""COMPUTED_VALUE"""),"Luxembourg")</f>
        <v>Luxembourg</v>
      </c>
      <c r="N29" s="94">
        <f>IFERROR(__xludf.DUMMYFUNCTION("""COMPUTED_VALUE"""),40210.0)</f>
        <v>40210</v>
      </c>
      <c r="O29" s="46">
        <f>IFERROR(__xludf.DUMMYFUNCTION("""COMPUTED_VALUE"""),1.0)</f>
        <v>1</v>
      </c>
      <c r="P29" s="46">
        <f>IFERROR(__xludf.DUMMYFUNCTION("""COMPUTED_VALUE"""),7291.0)</f>
        <v>7291</v>
      </c>
      <c r="Q29" s="46">
        <f>IFERROR(__xludf.DUMMYFUNCTION("""COMPUTED_VALUE"""),1123251.46)</f>
        <v>1123251.46</v>
      </c>
      <c r="R29" s="46">
        <f>IFERROR(__xludf.DUMMYFUNCTION("""COMPUTED_VALUE"""),662970.63)</f>
        <v>662970.63</v>
      </c>
      <c r="S29" s="46">
        <f>IFERROR(__xludf.DUMMYFUNCTION("""COMPUTED_VALUE"""),460280.82999999996)</f>
        <v>460280.83</v>
      </c>
    </row>
    <row r="30">
      <c r="A30" s="46" t="str">
        <f>IFERROR(__xludf.DUMMYFUNCTION("""COMPUTED_VALUE"""),"Vegetables")</f>
        <v>Vegetables</v>
      </c>
      <c r="B30" s="46" t="str">
        <f>IFERROR(__xludf.DUMMYFUNCTION("""COMPUTED_VALUE"""),"Belarus")</f>
        <v>Belarus</v>
      </c>
      <c r="C30" s="46" t="str">
        <f>IFERROR(__xludf.DUMMYFUNCTION("""COMPUTED_VALUE"""),"Europe")</f>
        <v>Europe</v>
      </c>
      <c r="D30" s="90">
        <f>IFERROR(__xludf.DUMMYFUNCTION("""COMPUTED_VALUE"""),42887.0)</f>
        <v>42887</v>
      </c>
      <c r="E30" s="46">
        <f>IFERROR(__xludf.DUMMYFUNCTION("""COMPUTED_VALUE"""),2017.0)</f>
        <v>2017</v>
      </c>
      <c r="F30" s="46">
        <f>IFERROR(__xludf.DUMMYFUNCTION("""COMPUTED_VALUE"""),1.0)</f>
        <v>1</v>
      </c>
      <c r="G30" s="46">
        <f>IFERROR(__xludf.DUMMYFUNCTION("""COMPUTED_VALUE"""),5016.0)</f>
        <v>5016</v>
      </c>
      <c r="H30" s="46">
        <f>IFERROR(__xludf.DUMMYFUNCTION("""COMPUTED_VALUE"""),772764.96)</f>
        <v>772764.96</v>
      </c>
      <c r="I30" s="46">
        <f>IFERROR(__xludf.DUMMYFUNCTION("""COMPUTED_VALUE"""),456104.88000000006)</f>
        <v>456104.88</v>
      </c>
      <c r="J30" s="46">
        <f>IFERROR(__xludf.DUMMYFUNCTION("""COMPUTED_VALUE"""),316660.0799999999)</f>
        <v>316660.08</v>
      </c>
      <c r="K30" s="46" t="str">
        <f t="array" ref="K30">TEXT(D30, "mmmm")</f>
        <v>June</v>
      </c>
      <c r="M30" s="46" t="str">
        <f>IFERROR(__xludf.DUMMYFUNCTION("""COMPUTED_VALUE"""),"Malta")</f>
        <v>Malta</v>
      </c>
      <c r="N30" s="94">
        <f>IFERROR(__xludf.DUMMYFUNCTION("""COMPUTED_VALUE"""),40210.0)</f>
        <v>40210</v>
      </c>
      <c r="O30" s="46">
        <f>IFERROR(__xludf.DUMMYFUNCTION("""COMPUTED_VALUE"""),1.0)</f>
        <v>1</v>
      </c>
      <c r="P30" s="46">
        <f>IFERROR(__xludf.DUMMYFUNCTION("""COMPUTED_VALUE"""),6349.0)</f>
        <v>6349</v>
      </c>
      <c r="Q30" s="46">
        <f>IFERROR(__xludf.DUMMYFUNCTION("""COMPUTED_VALUE"""),59236.17)</f>
        <v>59236.17</v>
      </c>
      <c r="R30" s="46">
        <f>IFERROR(__xludf.DUMMYFUNCTION("""COMPUTED_VALUE"""),43935.08)</f>
        <v>43935.08</v>
      </c>
      <c r="S30" s="46">
        <f>IFERROR(__xludf.DUMMYFUNCTION("""COMPUTED_VALUE"""),15301.089999999997)</f>
        <v>15301.09</v>
      </c>
    </row>
    <row r="31">
      <c r="A31" s="46" t="str">
        <f>IFERROR(__xludf.DUMMYFUNCTION("""COMPUTED_VALUE"""),"Vegetables")</f>
        <v>Vegetables</v>
      </c>
      <c r="B31" s="46" t="str">
        <f>IFERROR(__xludf.DUMMYFUNCTION("""COMPUTED_VALUE"""),"Finland")</f>
        <v>Finland</v>
      </c>
      <c r="C31" s="46" t="str">
        <f>IFERROR(__xludf.DUMMYFUNCTION("""COMPUTED_VALUE"""),"Europe")</f>
        <v>Europe</v>
      </c>
      <c r="D31" s="90">
        <f>IFERROR(__xludf.DUMMYFUNCTION("""COMPUTED_VALUE"""),42887.0)</f>
        <v>42887</v>
      </c>
      <c r="E31" s="46">
        <f>IFERROR(__xludf.DUMMYFUNCTION("""COMPUTED_VALUE"""),2017.0)</f>
        <v>2017</v>
      </c>
      <c r="F31" s="46">
        <f>IFERROR(__xludf.DUMMYFUNCTION("""COMPUTED_VALUE"""),1.0)</f>
        <v>1</v>
      </c>
      <c r="G31" s="46">
        <f>IFERROR(__xludf.DUMMYFUNCTION("""COMPUTED_VALUE"""),2203.0)</f>
        <v>2203</v>
      </c>
      <c r="H31" s="46">
        <f>IFERROR(__xludf.DUMMYFUNCTION("""COMPUTED_VALUE"""),339394.18)</f>
        <v>339394.18</v>
      </c>
      <c r="I31" s="46">
        <f>IFERROR(__xludf.DUMMYFUNCTION("""COMPUTED_VALUE"""),200318.79)</f>
        <v>200318.79</v>
      </c>
      <c r="J31" s="46">
        <f>IFERROR(__xludf.DUMMYFUNCTION("""COMPUTED_VALUE"""),139075.38999999998)</f>
        <v>139075.39</v>
      </c>
      <c r="K31" s="46" t="str">
        <f t="array" ref="K31">TEXT(D31, "mmmm")</f>
        <v>June</v>
      </c>
      <c r="M31" s="46" t="str">
        <f>IFERROR(__xludf.DUMMYFUNCTION("""COMPUTED_VALUE"""),"Romania")</f>
        <v>Romania</v>
      </c>
      <c r="N31" s="94">
        <f>IFERROR(__xludf.DUMMYFUNCTION("""COMPUTED_VALUE"""),40210.0)</f>
        <v>40210</v>
      </c>
      <c r="O31" s="46">
        <f>IFERROR(__xludf.DUMMYFUNCTION("""COMPUTED_VALUE"""),1.0)</f>
        <v>1</v>
      </c>
      <c r="P31" s="46">
        <f>IFERROR(__xludf.DUMMYFUNCTION("""COMPUTED_VALUE"""),3199.0)</f>
        <v>3199</v>
      </c>
      <c r="Q31" s="46">
        <f>IFERROR(__xludf.DUMMYFUNCTION("""COMPUTED_VALUE"""),1349626.1099999999)</f>
        <v>1349626.11</v>
      </c>
      <c r="R31" s="46">
        <f>IFERROR(__xludf.DUMMYFUNCTION("""COMPUTED_VALUE"""),1166643.31)</f>
        <v>1166643.31</v>
      </c>
      <c r="S31" s="46">
        <f>IFERROR(__xludf.DUMMYFUNCTION("""COMPUTED_VALUE"""),182982.7999999998)</f>
        <v>182982.8</v>
      </c>
    </row>
    <row r="32">
      <c r="A32" s="46" t="str">
        <f>IFERROR(__xludf.DUMMYFUNCTION("""COMPUTED_VALUE"""),"Baby Food")</f>
        <v>Baby Food</v>
      </c>
      <c r="B32" s="46" t="str">
        <f>IFERROR(__xludf.DUMMYFUNCTION("""COMPUTED_VALUE"""),"Ireland")</f>
        <v>Ireland</v>
      </c>
      <c r="C32" s="46" t="str">
        <f>IFERROR(__xludf.DUMMYFUNCTION("""COMPUTED_VALUE"""),"Europe")</f>
        <v>Europe</v>
      </c>
      <c r="D32" s="90">
        <f>IFERROR(__xludf.DUMMYFUNCTION("""COMPUTED_VALUE"""),42856.0)</f>
        <v>42856</v>
      </c>
      <c r="E32" s="46">
        <f>IFERROR(__xludf.DUMMYFUNCTION("""COMPUTED_VALUE"""),2017.0)</f>
        <v>2017</v>
      </c>
      <c r="F32" s="46">
        <f>IFERROR(__xludf.DUMMYFUNCTION("""COMPUTED_VALUE"""),1.0)</f>
        <v>1</v>
      </c>
      <c r="G32" s="46">
        <f>IFERROR(__xludf.DUMMYFUNCTION("""COMPUTED_VALUE"""),462.0)</f>
        <v>462</v>
      </c>
      <c r="H32" s="46">
        <f>IFERROR(__xludf.DUMMYFUNCTION("""COMPUTED_VALUE"""),117939.36)</f>
        <v>117939.36</v>
      </c>
      <c r="I32" s="46">
        <f>IFERROR(__xludf.DUMMYFUNCTION("""COMPUTED_VALUE"""),73652.04)</f>
        <v>73652.04</v>
      </c>
      <c r="J32" s="46">
        <f>IFERROR(__xludf.DUMMYFUNCTION("""COMPUTED_VALUE"""),44287.32000000001)</f>
        <v>44287.32</v>
      </c>
      <c r="K32" s="46" t="str">
        <f t="array" ref="K32">TEXT(D32, "mmmm")</f>
        <v>May</v>
      </c>
      <c r="M32" s="46" t="str">
        <f>IFERROR(__xludf.DUMMYFUNCTION("""COMPUTED_VALUE"""),"Slovakia")</f>
        <v>Slovakia</v>
      </c>
      <c r="N32" s="94">
        <f>IFERROR(__xludf.DUMMYFUNCTION("""COMPUTED_VALUE"""),40210.0)</f>
        <v>40210</v>
      </c>
      <c r="O32" s="46">
        <f>IFERROR(__xludf.DUMMYFUNCTION("""COMPUTED_VALUE"""),1.0)</f>
        <v>1</v>
      </c>
      <c r="P32" s="46">
        <f>IFERROR(__xludf.DUMMYFUNCTION("""COMPUTED_VALUE"""),773.0)</f>
        <v>773</v>
      </c>
      <c r="Q32" s="46">
        <f>IFERROR(__xludf.DUMMYFUNCTION("""COMPUTED_VALUE"""),516572.70999999996)</f>
        <v>516572.71</v>
      </c>
      <c r="R32" s="46">
        <f>IFERROR(__xludf.DUMMYFUNCTION("""COMPUTED_VALUE"""),388463.42000000004)</f>
        <v>388463.42</v>
      </c>
      <c r="S32" s="46">
        <f>IFERROR(__xludf.DUMMYFUNCTION("""COMPUTED_VALUE"""),128109.28999999992)</f>
        <v>128109.29</v>
      </c>
    </row>
    <row r="33">
      <c r="A33" s="46" t="str">
        <f>IFERROR(__xludf.DUMMYFUNCTION("""COMPUTED_VALUE"""),"Baby Food")</f>
        <v>Baby Food</v>
      </c>
      <c r="B33" s="46" t="str">
        <f>IFERROR(__xludf.DUMMYFUNCTION("""COMPUTED_VALUE"""),"Undefined")</f>
        <v>Undefined</v>
      </c>
      <c r="C33" s="46" t="str">
        <f>IFERROR(__xludf.DUMMYFUNCTION("""COMPUTED_VALUE"""),"Undefined")</f>
        <v>Undefined</v>
      </c>
      <c r="D33" s="90">
        <f>IFERROR(__xludf.DUMMYFUNCTION("""COMPUTED_VALUE"""),42856.0)</f>
        <v>42856</v>
      </c>
      <c r="E33" s="46">
        <f>IFERROR(__xludf.DUMMYFUNCTION("""COMPUTED_VALUE"""),2017.0)</f>
        <v>2017</v>
      </c>
      <c r="F33" s="46">
        <f>IFERROR(__xludf.DUMMYFUNCTION("""COMPUTED_VALUE"""),1.0)</f>
        <v>1</v>
      </c>
      <c r="G33" s="46">
        <f>IFERROR(__xludf.DUMMYFUNCTION("""COMPUTED_VALUE"""),5762.0)</f>
        <v>5762</v>
      </c>
      <c r="H33" s="46">
        <f>IFERROR(__xludf.DUMMYFUNCTION("""COMPUTED_VALUE"""),1470923.36)</f>
        <v>1470923.36</v>
      </c>
      <c r="I33" s="46">
        <f>IFERROR(__xludf.DUMMYFUNCTION("""COMPUTED_VALUE"""),918578.0399999999)</f>
        <v>918578.04</v>
      </c>
      <c r="J33" s="46">
        <f>IFERROR(__xludf.DUMMYFUNCTION("""COMPUTED_VALUE"""),552345.3200000002)</f>
        <v>552345.32</v>
      </c>
      <c r="K33" s="46" t="str">
        <f t="array" ref="K33">TEXT(D33, "mmmm")</f>
        <v>May</v>
      </c>
      <c r="M33" s="46" t="str">
        <f>IFERROR(__xludf.DUMMYFUNCTION("""COMPUTED_VALUE"""),"Andorra")</f>
        <v>Andorra</v>
      </c>
      <c r="N33" s="94">
        <f>IFERROR(__xludf.DUMMYFUNCTION("""COMPUTED_VALUE"""),40238.0)</f>
        <v>40238</v>
      </c>
      <c r="O33" s="46">
        <f>IFERROR(__xludf.DUMMYFUNCTION("""COMPUTED_VALUE"""),1.0)</f>
        <v>1</v>
      </c>
      <c r="P33" s="46">
        <f>IFERROR(__xludf.DUMMYFUNCTION("""COMPUTED_VALUE"""),9278.0)</f>
        <v>9278</v>
      </c>
      <c r="Q33" s="46">
        <f>IFERROR(__xludf.DUMMYFUNCTION("""COMPUTED_VALUE"""),1908484.5999999999)</f>
        <v>1908484.6</v>
      </c>
      <c r="R33" s="46">
        <f>IFERROR(__xludf.DUMMYFUNCTION("""COMPUTED_VALUE"""),1086546.58)</f>
        <v>1086546.58</v>
      </c>
      <c r="S33" s="46">
        <f>IFERROR(__xludf.DUMMYFUNCTION("""COMPUTED_VALUE"""),821938.0199999998)</f>
        <v>821938.02</v>
      </c>
    </row>
    <row r="34">
      <c r="A34" s="46" t="str">
        <f>IFERROR(__xludf.DUMMYFUNCTION("""COMPUTED_VALUE"""),"Beverages")</f>
        <v>Beverages</v>
      </c>
      <c r="B34" s="46" t="str">
        <f>IFERROR(__xludf.DUMMYFUNCTION("""COMPUTED_VALUE"""),"Slovakia")</f>
        <v>Slovakia</v>
      </c>
      <c r="C34" s="46" t="str">
        <f>IFERROR(__xludf.DUMMYFUNCTION("""COMPUTED_VALUE"""),"Europe")</f>
        <v>Europe</v>
      </c>
      <c r="D34" s="90">
        <f>IFERROR(__xludf.DUMMYFUNCTION("""COMPUTED_VALUE"""),42856.0)</f>
        <v>42856</v>
      </c>
      <c r="E34" s="46">
        <f>IFERROR(__xludf.DUMMYFUNCTION("""COMPUTED_VALUE"""),2017.0)</f>
        <v>2017</v>
      </c>
      <c r="F34" s="46">
        <f>IFERROR(__xludf.DUMMYFUNCTION("""COMPUTED_VALUE"""),1.0)</f>
        <v>1</v>
      </c>
      <c r="G34" s="46">
        <f>IFERROR(__xludf.DUMMYFUNCTION("""COMPUTED_VALUE"""),673.0)</f>
        <v>673</v>
      </c>
      <c r="H34" s="46">
        <f>IFERROR(__xludf.DUMMYFUNCTION("""COMPUTED_VALUE"""),31933.850000000002)</f>
        <v>31933.85</v>
      </c>
      <c r="I34" s="46">
        <f>IFERROR(__xludf.DUMMYFUNCTION("""COMPUTED_VALUE"""),21394.67)</f>
        <v>21394.67</v>
      </c>
      <c r="J34" s="46">
        <f>IFERROR(__xludf.DUMMYFUNCTION("""COMPUTED_VALUE"""),10539.180000000004)</f>
        <v>10539.18</v>
      </c>
      <c r="K34" s="46" t="str">
        <f t="array" ref="K34">TEXT(D34, "mmmm")</f>
        <v>May</v>
      </c>
      <c r="M34" s="46" t="str">
        <f>IFERROR(__xludf.DUMMYFUNCTION("""COMPUTED_VALUE"""),"Belarus")</f>
        <v>Belarus</v>
      </c>
      <c r="N34" s="94">
        <f>IFERROR(__xludf.DUMMYFUNCTION("""COMPUTED_VALUE"""),40238.0)</f>
        <v>40238</v>
      </c>
      <c r="O34" s="46">
        <f>IFERROR(__xludf.DUMMYFUNCTION("""COMPUTED_VALUE"""),1.0)</f>
        <v>1</v>
      </c>
      <c r="P34" s="46">
        <f>IFERROR(__xludf.DUMMYFUNCTION("""COMPUTED_VALUE"""),2908.0)</f>
        <v>2908</v>
      </c>
      <c r="Q34" s="46">
        <f>IFERROR(__xludf.DUMMYFUNCTION("""COMPUTED_VALUE"""),137984.6)</f>
        <v>137984.6</v>
      </c>
      <c r="R34" s="46">
        <f>IFERROR(__xludf.DUMMYFUNCTION("""COMPUTED_VALUE"""),92445.31999999999)</f>
        <v>92445.32</v>
      </c>
      <c r="S34" s="46">
        <f>IFERROR(__xludf.DUMMYFUNCTION("""COMPUTED_VALUE"""),45539.28000000001)</f>
        <v>45539.28</v>
      </c>
    </row>
    <row r="35">
      <c r="A35" s="46" t="str">
        <f>IFERROR(__xludf.DUMMYFUNCTION("""COMPUTED_VALUE"""),"Clothes")</f>
        <v>Clothes</v>
      </c>
      <c r="B35" s="46" t="str">
        <f>IFERROR(__xludf.DUMMYFUNCTION("""COMPUTED_VALUE"""),"Andorra")</f>
        <v>Andorra</v>
      </c>
      <c r="C35" s="46" t="str">
        <f>IFERROR(__xludf.DUMMYFUNCTION("""COMPUTED_VALUE"""),"Europe")</f>
        <v>Europe</v>
      </c>
      <c r="D35" s="90">
        <f>IFERROR(__xludf.DUMMYFUNCTION("""COMPUTED_VALUE"""),42856.0)</f>
        <v>42856</v>
      </c>
      <c r="E35" s="46">
        <f>IFERROR(__xludf.DUMMYFUNCTION("""COMPUTED_VALUE"""),2017.0)</f>
        <v>2017</v>
      </c>
      <c r="F35" s="46">
        <f>IFERROR(__xludf.DUMMYFUNCTION("""COMPUTED_VALUE"""),1.0)</f>
        <v>1</v>
      </c>
      <c r="G35" s="46">
        <f>IFERROR(__xludf.DUMMYFUNCTION("""COMPUTED_VALUE"""),2531.0)</f>
        <v>2531</v>
      </c>
      <c r="H35" s="46">
        <f>IFERROR(__xludf.DUMMYFUNCTION("""COMPUTED_VALUE"""),276587.68)</f>
        <v>276587.68</v>
      </c>
      <c r="I35" s="46">
        <f>IFERROR(__xludf.DUMMYFUNCTION("""COMPUTED_VALUE"""),90711.04000000001)</f>
        <v>90711.04</v>
      </c>
      <c r="J35" s="46">
        <f>IFERROR(__xludf.DUMMYFUNCTION("""COMPUTED_VALUE"""),185876.63999999998)</f>
        <v>185876.64</v>
      </c>
      <c r="K35" s="46" t="str">
        <f t="array" ref="K35">TEXT(D35, "mmmm")</f>
        <v>May</v>
      </c>
      <c r="M35" s="46" t="str">
        <f>IFERROR(__xludf.DUMMYFUNCTION("""COMPUTED_VALUE"""),"Bulgaria")</f>
        <v>Bulgaria</v>
      </c>
      <c r="N35" s="94">
        <f>IFERROR(__xludf.DUMMYFUNCTION("""COMPUTED_VALUE"""),40238.0)</f>
        <v>40238</v>
      </c>
      <c r="O35" s="46">
        <f>IFERROR(__xludf.DUMMYFUNCTION("""COMPUTED_VALUE"""),2.0)</f>
        <v>2</v>
      </c>
      <c r="P35" s="46">
        <f>IFERROR(__xludf.DUMMYFUNCTION("""COMPUTED_VALUE"""),8926.0)</f>
        <v>8926</v>
      </c>
      <c r="Q35" s="46">
        <f>IFERROR(__xludf.DUMMYFUNCTION("""COMPUTED_VALUE"""),993705.88)</f>
        <v>993705.88</v>
      </c>
      <c r="R35" s="46">
        <f>IFERROR(__xludf.DUMMYFUNCTION("""COMPUTED_VALUE"""),345903.04000000004)</f>
        <v>345903.04</v>
      </c>
      <c r="S35" s="46">
        <f>IFERROR(__xludf.DUMMYFUNCTION("""COMPUTED_VALUE"""),647802.84)</f>
        <v>647802.84</v>
      </c>
    </row>
    <row r="36">
      <c r="A36" s="46" t="str">
        <f>IFERROR(__xludf.DUMMYFUNCTION("""COMPUTED_VALUE"""),"Clothes")</f>
        <v>Clothes</v>
      </c>
      <c r="B36" s="46" t="str">
        <f>IFERROR(__xludf.DUMMYFUNCTION("""COMPUTED_VALUE"""),"Montenegro")</f>
        <v>Montenegro</v>
      </c>
      <c r="C36" s="46" t="str">
        <f>IFERROR(__xludf.DUMMYFUNCTION("""COMPUTED_VALUE"""),"Europe")</f>
        <v>Europe</v>
      </c>
      <c r="D36" s="90">
        <f>IFERROR(__xludf.DUMMYFUNCTION("""COMPUTED_VALUE"""),42856.0)</f>
        <v>42856</v>
      </c>
      <c r="E36" s="46">
        <f>IFERROR(__xludf.DUMMYFUNCTION("""COMPUTED_VALUE"""),2017.0)</f>
        <v>2017</v>
      </c>
      <c r="F36" s="46">
        <f>IFERROR(__xludf.DUMMYFUNCTION("""COMPUTED_VALUE"""),1.0)</f>
        <v>1</v>
      </c>
      <c r="G36" s="46">
        <f>IFERROR(__xludf.DUMMYFUNCTION("""COMPUTED_VALUE"""),1171.0)</f>
        <v>1171</v>
      </c>
      <c r="H36" s="46">
        <f>IFERROR(__xludf.DUMMYFUNCTION("""COMPUTED_VALUE"""),127966.88)</f>
        <v>127966.88</v>
      </c>
      <c r="I36" s="46">
        <f>IFERROR(__xludf.DUMMYFUNCTION("""COMPUTED_VALUE"""),41968.64000000001)</f>
        <v>41968.64</v>
      </c>
      <c r="J36" s="46">
        <f>IFERROR(__xludf.DUMMYFUNCTION("""COMPUTED_VALUE"""),85998.23999999999)</f>
        <v>85998.24</v>
      </c>
      <c r="K36" s="46" t="str">
        <f t="array" ref="K36">TEXT(D36, "mmmm")</f>
        <v>May</v>
      </c>
      <c r="M36" s="46" t="str">
        <f>IFERROR(__xludf.DUMMYFUNCTION("""COMPUTED_VALUE"""),"Germany")</f>
        <v>Germany</v>
      </c>
      <c r="N36" s="94">
        <f>IFERROR(__xludf.DUMMYFUNCTION("""COMPUTED_VALUE"""),40238.0)</f>
        <v>40238</v>
      </c>
      <c r="O36" s="46">
        <f>IFERROR(__xludf.DUMMYFUNCTION("""COMPUTED_VALUE"""),1.0)</f>
        <v>1</v>
      </c>
      <c r="P36" s="46">
        <f>IFERROR(__xludf.DUMMYFUNCTION("""COMPUTED_VALUE"""),6028.0)</f>
        <v>6028</v>
      </c>
      <c r="Q36" s="46">
        <f>IFERROR(__xludf.DUMMYFUNCTION("""COMPUTED_VALUE"""),492668.44)</f>
        <v>492668.44</v>
      </c>
      <c r="R36" s="46">
        <f>IFERROR(__xludf.DUMMYFUNCTION("""COMPUTED_VALUE"""),341606.76)</f>
        <v>341606.76</v>
      </c>
      <c r="S36" s="46">
        <f>IFERROR(__xludf.DUMMYFUNCTION("""COMPUTED_VALUE"""),151061.68)</f>
        <v>151061.68</v>
      </c>
    </row>
    <row r="37">
      <c r="A37" s="46" t="str">
        <f>IFERROR(__xludf.DUMMYFUNCTION("""COMPUTED_VALUE"""),"Cosmetics")</f>
        <v>Cosmetics</v>
      </c>
      <c r="B37" s="46" t="str">
        <f>IFERROR(__xludf.DUMMYFUNCTION("""COMPUTED_VALUE"""),"Bulgaria")</f>
        <v>Bulgaria</v>
      </c>
      <c r="C37" s="46" t="str">
        <f>IFERROR(__xludf.DUMMYFUNCTION("""COMPUTED_VALUE"""),"Europe")</f>
        <v>Europe</v>
      </c>
      <c r="D37" s="90">
        <f>IFERROR(__xludf.DUMMYFUNCTION("""COMPUTED_VALUE"""),42856.0)</f>
        <v>42856</v>
      </c>
      <c r="E37" s="46">
        <f>IFERROR(__xludf.DUMMYFUNCTION("""COMPUTED_VALUE"""),2017.0)</f>
        <v>2017</v>
      </c>
      <c r="F37" s="46">
        <f>IFERROR(__xludf.DUMMYFUNCTION("""COMPUTED_VALUE"""),1.0)</f>
        <v>1</v>
      </c>
      <c r="G37" s="46">
        <f>IFERROR(__xludf.DUMMYFUNCTION("""COMPUTED_VALUE"""),7258.0)</f>
        <v>7258</v>
      </c>
      <c r="H37" s="46">
        <f>IFERROR(__xludf.DUMMYFUNCTION("""COMPUTED_VALUE"""),3173197.6)</f>
        <v>3173197.6</v>
      </c>
      <c r="I37" s="46">
        <f>IFERROR(__xludf.DUMMYFUNCTION("""COMPUTED_VALUE"""),1911249.14)</f>
        <v>1911249.14</v>
      </c>
      <c r="J37" s="46">
        <f>IFERROR(__xludf.DUMMYFUNCTION("""COMPUTED_VALUE"""),1261948.4600000002)</f>
        <v>1261948.46</v>
      </c>
      <c r="K37" s="46" t="str">
        <f t="array" ref="K37">TEXT(D37, "mmmm")</f>
        <v>May</v>
      </c>
      <c r="M37" s="46" t="str">
        <f>IFERROR(__xludf.DUMMYFUNCTION("""COMPUTED_VALUE"""),"Malta")</f>
        <v>Malta</v>
      </c>
      <c r="N37" s="94">
        <f>IFERROR(__xludf.DUMMYFUNCTION("""COMPUTED_VALUE"""),40238.0)</f>
        <v>40238</v>
      </c>
      <c r="O37" s="46">
        <f>IFERROR(__xludf.DUMMYFUNCTION("""COMPUTED_VALUE"""),1.0)</f>
        <v>1</v>
      </c>
      <c r="P37" s="46">
        <f>IFERROR(__xludf.DUMMYFUNCTION("""COMPUTED_VALUE"""),6833.0)</f>
        <v>6833</v>
      </c>
      <c r="Q37" s="46">
        <f>IFERROR(__xludf.DUMMYFUNCTION("""COMPUTED_VALUE"""),1744328.24)</f>
        <v>1744328.24</v>
      </c>
      <c r="R37" s="46">
        <f>IFERROR(__xludf.DUMMYFUNCTION("""COMPUTED_VALUE"""),1089316.8599999999)</f>
        <v>1089316.86</v>
      </c>
      <c r="S37" s="46">
        <f>IFERROR(__xludf.DUMMYFUNCTION("""COMPUTED_VALUE"""),655011.3800000001)</f>
        <v>655011.38</v>
      </c>
    </row>
    <row r="38">
      <c r="A38" s="46" t="str">
        <f>IFERROR(__xludf.DUMMYFUNCTION("""COMPUTED_VALUE"""),"Cosmetics")</f>
        <v>Cosmetics</v>
      </c>
      <c r="B38" s="46" t="str">
        <f>IFERROR(__xludf.DUMMYFUNCTION("""COMPUTED_VALUE"""),"United Kingdom")</f>
        <v>United Kingdom</v>
      </c>
      <c r="C38" s="46" t="str">
        <f>IFERROR(__xludf.DUMMYFUNCTION("""COMPUTED_VALUE"""),"Europe")</f>
        <v>Europe</v>
      </c>
      <c r="D38" s="90">
        <f>IFERROR(__xludf.DUMMYFUNCTION("""COMPUTED_VALUE"""),42856.0)</f>
        <v>42856</v>
      </c>
      <c r="E38" s="46">
        <f>IFERROR(__xludf.DUMMYFUNCTION("""COMPUTED_VALUE"""),2017.0)</f>
        <v>2017</v>
      </c>
      <c r="F38" s="46">
        <f>IFERROR(__xludf.DUMMYFUNCTION("""COMPUTED_VALUE"""),1.0)</f>
        <v>1</v>
      </c>
      <c r="G38" s="46">
        <f>IFERROR(__xludf.DUMMYFUNCTION("""COMPUTED_VALUE"""),176.0)</f>
        <v>176</v>
      </c>
      <c r="H38" s="46">
        <f>IFERROR(__xludf.DUMMYFUNCTION("""COMPUTED_VALUE"""),76947.2)</f>
        <v>76947.2</v>
      </c>
      <c r="I38" s="46">
        <f>IFERROR(__xludf.DUMMYFUNCTION("""COMPUTED_VALUE"""),46346.079999999994)</f>
        <v>46346.08</v>
      </c>
      <c r="J38" s="46">
        <f>IFERROR(__xludf.DUMMYFUNCTION("""COMPUTED_VALUE"""),30601.120000000003)</f>
        <v>30601.12</v>
      </c>
      <c r="K38" s="46" t="str">
        <f t="array" ref="K38">TEXT(D38, "mmmm")</f>
        <v>May</v>
      </c>
      <c r="M38" s="46" t="str">
        <f>IFERROR(__xludf.DUMMYFUNCTION("""COMPUTED_VALUE"""),"Netherlands")</f>
        <v>Netherlands</v>
      </c>
      <c r="N38" s="94">
        <f>IFERROR(__xludf.DUMMYFUNCTION("""COMPUTED_VALUE"""),40238.0)</f>
        <v>40238</v>
      </c>
      <c r="O38" s="46">
        <f>IFERROR(__xludf.DUMMYFUNCTION("""COMPUTED_VALUE"""),1.0)</f>
        <v>1</v>
      </c>
      <c r="P38" s="46">
        <f>IFERROR(__xludf.DUMMYFUNCTION("""COMPUTED_VALUE"""),3092.0)</f>
        <v>3092</v>
      </c>
      <c r="Q38" s="46">
        <f>IFERROR(__xludf.DUMMYFUNCTION("""COMPUTED_VALUE"""),146715.40000000002)</f>
        <v>146715.4</v>
      </c>
      <c r="R38" s="46">
        <f>IFERROR(__xludf.DUMMYFUNCTION("""COMPUTED_VALUE"""),98294.68)</f>
        <v>98294.68</v>
      </c>
      <c r="S38" s="46">
        <f>IFERROR(__xludf.DUMMYFUNCTION("""COMPUTED_VALUE"""),48420.72000000003)</f>
        <v>48420.72</v>
      </c>
    </row>
    <row r="39">
      <c r="A39" s="46" t="str">
        <f>IFERROR(__xludf.DUMMYFUNCTION("""COMPUTED_VALUE"""),"Household")</f>
        <v>Household</v>
      </c>
      <c r="B39" s="46" t="str">
        <f>IFERROR(__xludf.DUMMYFUNCTION("""COMPUTED_VALUE"""),"Bulgaria")</f>
        <v>Bulgaria</v>
      </c>
      <c r="C39" s="46" t="str">
        <f>IFERROR(__xludf.DUMMYFUNCTION("""COMPUTED_VALUE"""),"Europe")</f>
        <v>Europe</v>
      </c>
      <c r="D39" s="90">
        <f>IFERROR(__xludf.DUMMYFUNCTION("""COMPUTED_VALUE"""),42856.0)</f>
        <v>42856</v>
      </c>
      <c r="E39" s="46">
        <f>IFERROR(__xludf.DUMMYFUNCTION("""COMPUTED_VALUE"""),2017.0)</f>
        <v>2017</v>
      </c>
      <c r="F39" s="46">
        <f>IFERROR(__xludf.DUMMYFUNCTION("""COMPUTED_VALUE"""),1.0)</f>
        <v>1</v>
      </c>
      <c r="G39" s="46">
        <f>IFERROR(__xludf.DUMMYFUNCTION("""COMPUTED_VALUE"""),600.0)</f>
        <v>600</v>
      </c>
      <c r="H39" s="46">
        <f>IFERROR(__xludf.DUMMYFUNCTION("""COMPUTED_VALUE"""),400962.0)</f>
        <v>400962</v>
      </c>
      <c r="I39" s="46">
        <f>IFERROR(__xludf.DUMMYFUNCTION("""COMPUTED_VALUE"""),301524.0)</f>
        <v>301524</v>
      </c>
      <c r="J39" s="46">
        <f>IFERROR(__xludf.DUMMYFUNCTION("""COMPUTED_VALUE"""),99438.0)</f>
        <v>99438</v>
      </c>
      <c r="K39" s="46" t="str">
        <f t="array" ref="K39">TEXT(D39, "mmmm")</f>
        <v>May</v>
      </c>
      <c r="M39" s="46" t="str">
        <f>IFERROR(__xludf.DUMMYFUNCTION("""COMPUTED_VALUE"""),"Norway")</f>
        <v>Norway</v>
      </c>
      <c r="N39" s="94">
        <f>IFERROR(__xludf.DUMMYFUNCTION("""COMPUTED_VALUE"""),40238.0)</f>
        <v>40238</v>
      </c>
      <c r="O39" s="46">
        <f>IFERROR(__xludf.DUMMYFUNCTION("""COMPUTED_VALUE"""),1.0)</f>
        <v>1</v>
      </c>
      <c r="P39" s="46">
        <f>IFERROR(__xludf.DUMMYFUNCTION("""COMPUTED_VALUE"""),933.0)</f>
        <v>933</v>
      </c>
      <c r="Q39" s="46">
        <f>IFERROR(__xludf.DUMMYFUNCTION("""COMPUTED_VALUE"""),623495.91)</f>
        <v>623495.91</v>
      </c>
      <c r="R39" s="46">
        <f>IFERROR(__xludf.DUMMYFUNCTION("""COMPUTED_VALUE"""),468869.82)</f>
        <v>468869.82</v>
      </c>
      <c r="S39" s="46">
        <f>IFERROR(__xludf.DUMMYFUNCTION("""COMPUTED_VALUE"""),154626.09000000003)</f>
        <v>154626.09</v>
      </c>
    </row>
    <row r="40">
      <c r="A40" s="46" t="str">
        <f>IFERROR(__xludf.DUMMYFUNCTION("""COMPUTED_VALUE"""),"Meat")</f>
        <v>Meat</v>
      </c>
      <c r="B40" s="46" t="str">
        <f>IFERROR(__xludf.DUMMYFUNCTION("""COMPUTED_VALUE"""),"Czech Republic")</f>
        <v>Czech Republic</v>
      </c>
      <c r="C40" s="46" t="str">
        <f>IFERROR(__xludf.DUMMYFUNCTION("""COMPUTED_VALUE"""),"Europe")</f>
        <v>Europe</v>
      </c>
      <c r="D40" s="90">
        <f>IFERROR(__xludf.DUMMYFUNCTION("""COMPUTED_VALUE"""),42856.0)</f>
        <v>42856</v>
      </c>
      <c r="E40" s="46">
        <f>IFERROR(__xludf.DUMMYFUNCTION("""COMPUTED_VALUE"""),2017.0)</f>
        <v>2017</v>
      </c>
      <c r="F40" s="46">
        <f>IFERROR(__xludf.DUMMYFUNCTION("""COMPUTED_VALUE"""),1.0)</f>
        <v>1</v>
      </c>
      <c r="G40" s="46">
        <f>IFERROR(__xludf.DUMMYFUNCTION("""COMPUTED_VALUE"""),634.0)</f>
        <v>634</v>
      </c>
      <c r="H40" s="46">
        <f>IFERROR(__xludf.DUMMYFUNCTION("""COMPUTED_VALUE"""),267478.26)</f>
        <v>267478.26</v>
      </c>
      <c r="I40" s="46">
        <f>IFERROR(__xludf.DUMMYFUNCTION("""COMPUTED_VALUE"""),231213.46)</f>
        <v>231213.46</v>
      </c>
      <c r="J40" s="46">
        <f>IFERROR(__xludf.DUMMYFUNCTION("""COMPUTED_VALUE"""),36264.80000000002)</f>
        <v>36264.8</v>
      </c>
      <c r="K40" s="46" t="str">
        <f t="array" ref="K40">TEXT(D40, "mmmm")</f>
        <v>May</v>
      </c>
      <c r="M40" s="46" t="str">
        <f>IFERROR(__xludf.DUMMYFUNCTION("""COMPUTED_VALUE"""),"Slovakia")</f>
        <v>Slovakia</v>
      </c>
      <c r="N40" s="94">
        <f>IFERROR(__xludf.DUMMYFUNCTION("""COMPUTED_VALUE"""),40238.0)</f>
        <v>40238</v>
      </c>
      <c r="O40" s="46">
        <f>IFERROR(__xludf.DUMMYFUNCTION("""COMPUTED_VALUE"""),2.0)</f>
        <v>2</v>
      </c>
      <c r="P40" s="46">
        <f>IFERROR(__xludf.DUMMYFUNCTION("""COMPUTED_VALUE"""),3283.0)</f>
        <v>3283</v>
      </c>
      <c r="Q40" s="46">
        <f>IFERROR(__xludf.DUMMYFUNCTION("""COMPUTED_VALUE"""),2031773.47)</f>
        <v>2031773.47</v>
      </c>
      <c r="R40" s="46">
        <f>IFERROR(__xludf.DUMMYFUNCTION("""COMPUTED_VALUE"""),1593675.2)</f>
        <v>1593675.2</v>
      </c>
      <c r="S40" s="46">
        <f>IFERROR(__xludf.DUMMYFUNCTION("""COMPUTED_VALUE"""),438098.27)</f>
        <v>438098.27</v>
      </c>
    </row>
    <row r="41">
      <c r="A41" s="46" t="str">
        <f>IFERROR(__xludf.DUMMYFUNCTION("""COMPUTED_VALUE"""),"Meat")</f>
        <v>Meat</v>
      </c>
      <c r="B41" s="46" t="str">
        <f>IFERROR(__xludf.DUMMYFUNCTION("""COMPUTED_VALUE"""),"Germany")</f>
        <v>Germany</v>
      </c>
      <c r="C41" s="46" t="str">
        <f>IFERROR(__xludf.DUMMYFUNCTION("""COMPUTED_VALUE"""),"Europe")</f>
        <v>Europe</v>
      </c>
      <c r="D41" s="90">
        <f>IFERROR(__xludf.DUMMYFUNCTION("""COMPUTED_VALUE"""),42856.0)</f>
        <v>42856</v>
      </c>
      <c r="E41" s="46">
        <f>IFERROR(__xludf.DUMMYFUNCTION("""COMPUTED_VALUE"""),2017.0)</f>
        <v>2017</v>
      </c>
      <c r="F41" s="46">
        <f>IFERROR(__xludf.DUMMYFUNCTION("""COMPUTED_VALUE"""),2.0)</f>
        <v>2</v>
      </c>
      <c r="G41" s="46">
        <f>IFERROR(__xludf.DUMMYFUNCTION("""COMPUTED_VALUE"""),5656.0)</f>
        <v>5656</v>
      </c>
      <c r="H41" s="46">
        <f>IFERROR(__xludf.DUMMYFUNCTION("""COMPUTED_VALUE"""),2386209.84)</f>
        <v>2386209.84</v>
      </c>
      <c r="I41" s="46">
        <f>IFERROR(__xludf.DUMMYFUNCTION("""COMPUTED_VALUE"""),2062686.64)</f>
        <v>2062686.64</v>
      </c>
      <c r="J41" s="46">
        <f>IFERROR(__xludf.DUMMYFUNCTION("""COMPUTED_VALUE"""),323523.19999999995)</f>
        <v>323523.2</v>
      </c>
      <c r="K41" s="46" t="str">
        <f t="array" ref="K41">TEXT(D41, "mmmm")</f>
        <v>May</v>
      </c>
      <c r="M41" s="46" t="str">
        <f>IFERROR(__xludf.DUMMYFUNCTION("""COMPUTED_VALUE"""),"Slovenia")</f>
        <v>Slovenia</v>
      </c>
      <c r="N41" s="94">
        <f>IFERROR(__xludf.DUMMYFUNCTION("""COMPUTED_VALUE"""),40238.0)</f>
        <v>40238</v>
      </c>
      <c r="O41" s="46">
        <f>IFERROR(__xludf.DUMMYFUNCTION("""COMPUTED_VALUE"""),1.0)</f>
        <v>1</v>
      </c>
      <c r="P41" s="46">
        <f>IFERROR(__xludf.DUMMYFUNCTION("""COMPUTED_VALUE"""),8337.0)</f>
        <v>8337</v>
      </c>
      <c r="Q41" s="46">
        <f>IFERROR(__xludf.DUMMYFUNCTION("""COMPUTED_VALUE"""),395590.65)</f>
        <v>395590.65</v>
      </c>
      <c r="R41" s="46">
        <f>IFERROR(__xludf.DUMMYFUNCTION("""COMPUTED_VALUE"""),265033.23)</f>
        <v>265033.23</v>
      </c>
      <c r="S41" s="46">
        <f>IFERROR(__xludf.DUMMYFUNCTION("""COMPUTED_VALUE"""),130557.42000000004)</f>
        <v>130557.42</v>
      </c>
    </row>
    <row r="42">
      <c r="A42" s="46" t="str">
        <f>IFERROR(__xludf.DUMMYFUNCTION("""COMPUTED_VALUE"""),"Meat")</f>
        <v>Meat</v>
      </c>
      <c r="B42" s="46" t="str">
        <f>IFERROR(__xludf.DUMMYFUNCTION("""COMPUTED_VALUE"""),"Liechtenstein")</f>
        <v>Liechtenstein</v>
      </c>
      <c r="C42" s="46" t="str">
        <f>IFERROR(__xludf.DUMMYFUNCTION("""COMPUTED_VALUE"""),"Europe")</f>
        <v>Europe</v>
      </c>
      <c r="D42" s="90">
        <f>IFERROR(__xludf.DUMMYFUNCTION("""COMPUTED_VALUE"""),42856.0)</f>
        <v>42856</v>
      </c>
      <c r="E42" s="46">
        <f>IFERROR(__xludf.DUMMYFUNCTION("""COMPUTED_VALUE"""),2017.0)</f>
        <v>2017</v>
      </c>
      <c r="F42" s="46">
        <f>IFERROR(__xludf.DUMMYFUNCTION("""COMPUTED_VALUE"""),1.0)</f>
        <v>1</v>
      </c>
      <c r="G42" s="46">
        <f>IFERROR(__xludf.DUMMYFUNCTION("""COMPUTED_VALUE"""),1957.0)</f>
        <v>1957</v>
      </c>
      <c r="H42" s="46">
        <f>IFERROR(__xludf.DUMMYFUNCTION("""COMPUTED_VALUE"""),825638.73)</f>
        <v>825638.73</v>
      </c>
      <c r="I42" s="46">
        <f>IFERROR(__xludf.DUMMYFUNCTION("""COMPUTED_VALUE"""),713698.33)</f>
        <v>713698.33</v>
      </c>
      <c r="J42" s="46">
        <f>IFERROR(__xludf.DUMMYFUNCTION("""COMPUTED_VALUE"""),111940.40000000002)</f>
        <v>111940.4</v>
      </c>
      <c r="K42" s="46" t="str">
        <f t="array" ref="K42">TEXT(D42, "mmmm")</f>
        <v>May</v>
      </c>
      <c r="M42" s="46" t="str">
        <f>IFERROR(__xludf.DUMMYFUNCTION("""COMPUTED_VALUE"""),"Finland")</f>
        <v>Finland</v>
      </c>
      <c r="N42" s="94">
        <f>IFERROR(__xludf.DUMMYFUNCTION("""COMPUTED_VALUE"""),40269.0)</f>
        <v>40269</v>
      </c>
      <c r="O42" s="46">
        <f>IFERROR(__xludf.DUMMYFUNCTION("""COMPUTED_VALUE"""),1.0)</f>
        <v>1</v>
      </c>
      <c r="P42" s="46">
        <f>IFERROR(__xludf.DUMMYFUNCTION("""COMPUTED_VALUE"""),1458.0)</f>
        <v>1458</v>
      </c>
      <c r="Q42" s="46">
        <f>IFERROR(__xludf.DUMMYFUNCTION("""COMPUTED_VALUE"""),299910.6)</f>
        <v>299910.6</v>
      </c>
      <c r="R42" s="46">
        <f>IFERROR(__xludf.DUMMYFUNCTION("""COMPUTED_VALUE"""),170746.38)</f>
        <v>170746.38</v>
      </c>
      <c r="S42" s="46">
        <f>IFERROR(__xludf.DUMMYFUNCTION("""COMPUTED_VALUE"""),129164.21999999997)</f>
        <v>129164.22</v>
      </c>
    </row>
    <row r="43">
      <c r="A43" s="46" t="str">
        <f>IFERROR(__xludf.DUMMYFUNCTION("""COMPUTED_VALUE"""),"Meat")</f>
        <v>Meat</v>
      </c>
      <c r="B43" s="46" t="str">
        <f>IFERROR(__xludf.DUMMYFUNCTION("""COMPUTED_VALUE"""),"Romania")</f>
        <v>Romania</v>
      </c>
      <c r="C43" s="46" t="str">
        <f>IFERROR(__xludf.DUMMYFUNCTION("""COMPUTED_VALUE"""),"Europe")</f>
        <v>Europe</v>
      </c>
      <c r="D43" s="90">
        <f>IFERROR(__xludf.DUMMYFUNCTION("""COMPUTED_VALUE"""),42856.0)</f>
        <v>42856</v>
      </c>
      <c r="E43" s="46">
        <f>IFERROR(__xludf.DUMMYFUNCTION("""COMPUTED_VALUE"""),2017.0)</f>
        <v>2017</v>
      </c>
      <c r="F43" s="46">
        <f>IFERROR(__xludf.DUMMYFUNCTION("""COMPUTED_VALUE"""),1.0)</f>
        <v>1</v>
      </c>
      <c r="G43" s="46">
        <f>IFERROR(__xludf.DUMMYFUNCTION("""COMPUTED_VALUE"""),1097.0)</f>
        <v>1097</v>
      </c>
      <c r="H43" s="46">
        <f>IFERROR(__xludf.DUMMYFUNCTION("""COMPUTED_VALUE"""),462813.32999999996)</f>
        <v>462813.33</v>
      </c>
      <c r="I43" s="46">
        <f>IFERROR(__xludf.DUMMYFUNCTION("""COMPUTED_VALUE"""),400064.93)</f>
        <v>400064.93</v>
      </c>
      <c r="J43" s="46">
        <f>IFERROR(__xludf.DUMMYFUNCTION("""COMPUTED_VALUE"""),62748.399999999965)</f>
        <v>62748.4</v>
      </c>
      <c r="K43" s="46" t="str">
        <f t="array" ref="K43">TEXT(D43, "mmmm")</f>
        <v>May</v>
      </c>
      <c r="M43" s="46" t="str">
        <f>IFERROR(__xludf.DUMMYFUNCTION("""COMPUTED_VALUE"""),"Italy")</f>
        <v>Italy</v>
      </c>
      <c r="N43" s="94">
        <f>IFERROR(__xludf.DUMMYFUNCTION("""COMPUTED_VALUE"""),40269.0)</f>
        <v>40269</v>
      </c>
      <c r="O43" s="46">
        <f>IFERROR(__xludf.DUMMYFUNCTION("""COMPUTED_VALUE"""),1.0)</f>
        <v>1</v>
      </c>
      <c r="P43" s="46">
        <f>IFERROR(__xludf.DUMMYFUNCTION("""COMPUTED_VALUE"""),6667.0)</f>
        <v>6667</v>
      </c>
      <c r="Q43" s="46">
        <f>IFERROR(__xludf.DUMMYFUNCTION("""COMPUTED_VALUE"""),728569.76)</f>
        <v>728569.76</v>
      </c>
      <c r="R43" s="46">
        <f>IFERROR(__xludf.DUMMYFUNCTION("""COMPUTED_VALUE"""),238945.28000000003)</f>
        <v>238945.28</v>
      </c>
      <c r="S43" s="46">
        <f>IFERROR(__xludf.DUMMYFUNCTION("""COMPUTED_VALUE"""),489624.48)</f>
        <v>489624.48</v>
      </c>
    </row>
    <row r="44">
      <c r="A44" s="46" t="str">
        <f>IFERROR(__xludf.DUMMYFUNCTION("""COMPUTED_VALUE"""),"Office Supplies")</f>
        <v>Office Supplies</v>
      </c>
      <c r="B44" s="46" t="str">
        <f>IFERROR(__xludf.DUMMYFUNCTION("""COMPUTED_VALUE"""),"Latvia")</f>
        <v>Latvia</v>
      </c>
      <c r="C44" s="46" t="str">
        <f>IFERROR(__xludf.DUMMYFUNCTION("""COMPUTED_VALUE"""),"Europe")</f>
        <v>Europe</v>
      </c>
      <c r="D44" s="90">
        <f>IFERROR(__xludf.DUMMYFUNCTION("""COMPUTED_VALUE"""),42856.0)</f>
        <v>42856</v>
      </c>
      <c r="E44" s="46">
        <f>IFERROR(__xludf.DUMMYFUNCTION("""COMPUTED_VALUE"""),2017.0)</f>
        <v>2017</v>
      </c>
      <c r="F44" s="46">
        <f>IFERROR(__xludf.DUMMYFUNCTION("""COMPUTED_VALUE"""),1.0)</f>
        <v>1</v>
      </c>
      <c r="G44" s="46">
        <f>IFERROR(__xludf.DUMMYFUNCTION("""COMPUTED_VALUE"""),6287.0)</f>
        <v>6287</v>
      </c>
      <c r="H44" s="46">
        <f>IFERROR(__xludf.DUMMYFUNCTION("""COMPUTED_VALUE"""),4094157.27)</f>
        <v>4094157.27</v>
      </c>
      <c r="I44" s="46">
        <f>IFERROR(__xludf.DUMMYFUNCTION("""COMPUTED_VALUE"""),3300423.52)</f>
        <v>3300423.52</v>
      </c>
      <c r="J44" s="46">
        <f>IFERROR(__xludf.DUMMYFUNCTION("""COMPUTED_VALUE"""),793733.75)</f>
        <v>793733.75</v>
      </c>
      <c r="K44" s="46" t="str">
        <f t="array" ref="K44">TEXT(D44, "mmmm")</f>
        <v>May</v>
      </c>
      <c r="M44" s="46" t="str">
        <f>IFERROR(__xludf.DUMMYFUNCTION("""COMPUTED_VALUE"""),"Lithuania")</f>
        <v>Lithuania</v>
      </c>
      <c r="N44" s="94">
        <f>IFERROR(__xludf.DUMMYFUNCTION("""COMPUTED_VALUE"""),40269.0)</f>
        <v>40269</v>
      </c>
      <c r="O44" s="46">
        <f>IFERROR(__xludf.DUMMYFUNCTION("""COMPUTED_VALUE"""),1.0)</f>
        <v>1</v>
      </c>
      <c r="P44" s="46">
        <f>IFERROR(__xludf.DUMMYFUNCTION("""COMPUTED_VALUE"""),4567.0)</f>
        <v>4567</v>
      </c>
      <c r="Q44" s="46">
        <f>IFERROR(__xludf.DUMMYFUNCTION("""COMPUTED_VALUE"""),42610.11)</f>
        <v>42610.11</v>
      </c>
      <c r="R44" s="46">
        <f>IFERROR(__xludf.DUMMYFUNCTION("""COMPUTED_VALUE"""),31603.64)</f>
        <v>31603.64</v>
      </c>
      <c r="S44" s="46">
        <f>IFERROR(__xludf.DUMMYFUNCTION("""COMPUTED_VALUE"""),11006.470000000001)</f>
        <v>11006.47</v>
      </c>
    </row>
    <row r="45">
      <c r="A45" s="46" t="str">
        <f>IFERROR(__xludf.DUMMYFUNCTION("""COMPUTED_VALUE"""),"Office Supplies")</f>
        <v>Office Supplies</v>
      </c>
      <c r="B45" s="46" t="str">
        <f>IFERROR(__xludf.DUMMYFUNCTION("""COMPUTED_VALUE"""),"Ukraine")</f>
        <v>Ukraine</v>
      </c>
      <c r="C45" s="46" t="str">
        <f>IFERROR(__xludf.DUMMYFUNCTION("""COMPUTED_VALUE"""),"Europe")</f>
        <v>Europe</v>
      </c>
      <c r="D45" s="90">
        <f>IFERROR(__xludf.DUMMYFUNCTION("""COMPUTED_VALUE"""),42856.0)</f>
        <v>42856</v>
      </c>
      <c r="E45" s="46">
        <f>IFERROR(__xludf.DUMMYFUNCTION("""COMPUTED_VALUE"""),2017.0)</f>
        <v>2017</v>
      </c>
      <c r="F45" s="46">
        <f>IFERROR(__xludf.DUMMYFUNCTION("""COMPUTED_VALUE"""),1.0)</f>
        <v>1</v>
      </c>
      <c r="G45" s="46">
        <f>IFERROR(__xludf.DUMMYFUNCTION("""COMPUTED_VALUE"""),7872.0)</f>
        <v>7872</v>
      </c>
      <c r="H45" s="46">
        <f>IFERROR(__xludf.DUMMYFUNCTION("""COMPUTED_VALUE"""),5126325.12)</f>
        <v>5126325.12</v>
      </c>
      <c r="I45" s="46">
        <f>IFERROR(__xludf.DUMMYFUNCTION("""COMPUTED_VALUE"""),4132485.12)</f>
        <v>4132485.12</v>
      </c>
      <c r="J45" s="46">
        <f>IFERROR(__xludf.DUMMYFUNCTION("""COMPUTED_VALUE"""),993840.0)</f>
        <v>993840</v>
      </c>
      <c r="K45" s="46" t="str">
        <f t="array" ref="K45">TEXT(D45, "mmmm")</f>
        <v>May</v>
      </c>
      <c r="M45" s="46" t="str">
        <f>IFERROR(__xludf.DUMMYFUNCTION("""COMPUTED_VALUE"""),"Romania")</f>
        <v>Romania</v>
      </c>
      <c r="N45" s="94">
        <f>IFERROR(__xludf.DUMMYFUNCTION("""COMPUTED_VALUE"""),40269.0)</f>
        <v>40269</v>
      </c>
      <c r="O45" s="46">
        <f>IFERROR(__xludf.DUMMYFUNCTION("""COMPUTED_VALUE"""),1.0)</f>
        <v>1</v>
      </c>
      <c r="P45" s="46">
        <f>IFERROR(__xludf.DUMMYFUNCTION("""COMPUTED_VALUE"""),7338.0)</f>
        <v>7338</v>
      </c>
      <c r="Q45" s="46">
        <f>IFERROR(__xludf.DUMMYFUNCTION("""COMPUTED_VALUE"""),599734.74)</f>
        <v>599734.74</v>
      </c>
      <c r="R45" s="46">
        <f>IFERROR(__xludf.DUMMYFUNCTION("""COMPUTED_VALUE"""),415844.46)</f>
        <v>415844.46</v>
      </c>
      <c r="S45" s="46">
        <f>IFERROR(__xludf.DUMMYFUNCTION("""COMPUTED_VALUE"""),183890.27999999997)</f>
        <v>183890.28</v>
      </c>
    </row>
    <row r="46">
      <c r="A46" s="46" t="str">
        <f>IFERROR(__xludf.DUMMYFUNCTION("""COMPUTED_VALUE"""),"Vegetables")</f>
        <v>Vegetables</v>
      </c>
      <c r="B46" s="46" t="str">
        <f>IFERROR(__xludf.DUMMYFUNCTION("""COMPUTED_VALUE"""),"Belgium")</f>
        <v>Belgium</v>
      </c>
      <c r="C46" s="46" t="str">
        <f>IFERROR(__xludf.DUMMYFUNCTION("""COMPUTED_VALUE"""),"Europe")</f>
        <v>Europe</v>
      </c>
      <c r="D46" s="90">
        <f>IFERROR(__xludf.DUMMYFUNCTION("""COMPUTED_VALUE"""),42856.0)</f>
        <v>42856</v>
      </c>
      <c r="E46" s="46">
        <f>IFERROR(__xludf.DUMMYFUNCTION("""COMPUTED_VALUE"""),2017.0)</f>
        <v>2017</v>
      </c>
      <c r="F46" s="46">
        <f>IFERROR(__xludf.DUMMYFUNCTION("""COMPUTED_VALUE"""),1.0)</f>
        <v>1</v>
      </c>
      <c r="G46" s="46">
        <f>IFERROR(__xludf.DUMMYFUNCTION("""COMPUTED_VALUE"""),2349.0)</f>
        <v>2349</v>
      </c>
      <c r="H46" s="46">
        <f>IFERROR(__xludf.DUMMYFUNCTION("""COMPUTED_VALUE"""),361886.94)</f>
        <v>361886.94</v>
      </c>
      <c r="I46" s="46">
        <f>IFERROR(__xludf.DUMMYFUNCTION("""COMPUTED_VALUE"""),213594.57)</f>
        <v>213594.57</v>
      </c>
      <c r="J46" s="46">
        <f>IFERROR(__xludf.DUMMYFUNCTION("""COMPUTED_VALUE"""),148292.37)</f>
        <v>148292.37</v>
      </c>
      <c r="K46" s="46" t="str">
        <f t="array" ref="K46">TEXT(D46, "mmmm")</f>
        <v>May</v>
      </c>
      <c r="M46" s="46" t="str">
        <f>IFERROR(__xludf.DUMMYFUNCTION("""COMPUTED_VALUE"""),"Serbia")</f>
        <v>Serbia</v>
      </c>
      <c r="N46" s="94">
        <f>IFERROR(__xludf.DUMMYFUNCTION("""COMPUTED_VALUE"""),40269.0)</f>
        <v>40269</v>
      </c>
      <c r="O46" s="46">
        <f>IFERROR(__xludf.DUMMYFUNCTION("""COMPUTED_VALUE"""),1.0)</f>
        <v>1</v>
      </c>
      <c r="P46" s="46">
        <f>IFERROR(__xludf.DUMMYFUNCTION("""COMPUTED_VALUE"""),4852.0)</f>
        <v>4852</v>
      </c>
      <c r="Q46" s="46">
        <f>IFERROR(__xludf.DUMMYFUNCTION("""COMPUTED_VALUE"""),2047010.28)</f>
        <v>2047010.28</v>
      </c>
      <c r="R46" s="46">
        <f>IFERROR(__xludf.DUMMYFUNCTION("""COMPUTED_VALUE"""),1769475.88)</f>
        <v>1769475.88</v>
      </c>
      <c r="S46" s="46">
        <f>IFERROR(__xludf.DUMMYFUNCTION("""COMPUTED_VALUE"""),277534.40000000014)</f>
        <v>277534.4</v>
      </c>
    </row>
    <row r="47">
      <c r="A47" s="46" t="str">
        <f>IFERROR(__xludf.DUMMYFUNCTION("""COMPUTED_VALUE"""),"Vegetables")</f>
        <v>Vegetables</v>
      </c>
      <c r="B47" s="46" t="str">
        <f>IFERROR(__xludf.DUMMYFUNCTION("""COMPUTED_VALUE"""),"Lithuania")</f>
        <v>Lithuania</v>
      </c>
      <c r="C47" s="46" t="str">
        <f>IFERROR(__xludf.DUMMYFUNCTION("""COMPUTED_VALUE"""),"Europe")</f>
        <v>Europe</v>
      </c>
      <c r="D47" s="90">
        <f>IFERROR(__xludf.DUMMYFUNCTION("""COMPUTED_VALUE"""),42856.0)</f>
        <v>42856</v>
      </c>
      <c r="E47" s="46">
        <f>IFERROR(__xludf.DUMMYFUNCTION("""COMPUTED_VALUE"""),2017.0)</f>
        <v>2017</v>
      </c>
      <c r="F47" s="46">
        <f>IFERROR(__xludf.DUMMYFUNCTION("""COMPUTED_VALUE"""),1.0)</f>
        <v>1</v>
      </c>
      <c r="G47" s="46">
        <f>IFERROR(__xludf.DUMMYFUNCTION("""COMPUTED_VALUE"""),6999.0)</f>
        <v>6999</v>
      </c>
      <c r="H47" s="46">
        <f>IFERROR(__xludf.DUMMYFUNCTION("""COMPUTED_VALUE"""),1078265.94)</f>
        <v>1078265.94</v>
      </c>
      <c r="I47" s="46">
        <f>IFERROR(__xludf.DUMMYFUNCTION("""COMPUTED_VALUE"""),636419.0700000001)</f>
        <v>636419.07</v>
      </c>
      <c r="J47" s="46">
        <f>IFERROR(__xludf.DUMMYFUNCTION("""COMPUTED_VALUE"""),441846.8699999999)</f>
        <v>441846.87</v>
      </c>
      <c r="K47" s="46" t="str">
        <f t="array" ref="K47">TEXT(D47, "mmmm")</f>
        <v>May</v>
      </c>
      <c r="M47" s="46" t="str">
        <f>IFERROR(__xludf.DUMMYFUNCTION("""COMPUTED_VALUE"""),"Slovenia")</f>
        <v>Slovenia</v>
      </c>
      <c r="N47" s="94">
        <f>IFERROR(__xludf.DUMMYFUNCTION("""COMPUTED_VALUE"""),40269.0)</f>
        <v>40269</v>
      </c>
      <c r="O47" s="46">
        <f>IFERROR(__xludf.DUMMYFUNCTION("""COMPUTED_VALUE"""),1.0)</f>
        <v>1</v>
      </c>
      <c r="P47" s="46">
        <f>IFERROR(__xludf.DUMMYFUNCTION("""COMPUTED_VALUE"""),9736.0)</f>
        <v>9736</v>
      </c>
      <c r="Q47" s="46">
        <f>IFERROR(__xludf.DUMMYFUNCTION("""COMPUTED_VALUE"""),6340180.5600000005)</f>
        <v>6340180.56</v>
      </c>
      <c r="R47" s="46">
        <f>IFERROR(__xludf.DUMMYFUNCTION("""COMPUTED_VALUE"""),5111010.5600000005)</f>
        <v>5111010.56</v>
      </c>
      <c r="S47" s="46">
        <f>IFERROR(__xludf.DUMMYFUNCTION("""COMPUTED_VALUE"""),1229170.0)</f>
        <v>1229170</v>
      </c>
    </row>
    <row r="48">
      <c r="A48" s="46" t="str">
        <f>IFERROR(__xludf.DUMMYFUNCTION("""COMPUTED_VALUE"""),"Baby Food")</f>
        <v>Baby Food</v>
      </c>
      <c r="B48" s="46" t="str">
        <f>IFERROR(__xludf.DUMMYFUNCTION("""COMPUTED_VALUE"""),"Finland")</f>
        <v>Finland</v>
      </c>
      <c r="C48" s="46" t="str">
        <f>IFERROR(__xludf.DUMMYFUNCTION("""COMPUTED_VALUE"""),"Europe")</f>
        <v>Europe</v>
      </c>
      <c r="D48" s="90">
        <f>IFERROR(__xludf.DUMMYFUNCTION("""COMPUTED_VALUE"""),42826.0)</f>
        <v>42826</v>
      </c>
      <c r="E48" s="46">
        <f>IFERROR(__xludf.DUMMYFUNCTION("""COMPUTED_VALUE"""),2017.0)</f>
        <v>2017</v>
      </c>
      <c r="F48" s="46">
        <f>IFERROR(__xludf.DUMMYFUNCTION("""COMPUTED_VALUE"""),1.0)</f>
        <v>1</v>
      </c>
      <c r="G48" s="46">
        <f>IFERROR(__xludf.DUMMYFUNCTION("""COMPUTED_VALUE"""),343.0)</f>
        <v>343</v>
      </c>
      <c r="H48" s="46">
        <f>IFERROR(__xludf.DUMMYFUNCTION("""COMPUTED_VALUE"""),87561.04)</f>
        <v>87561.04</v>
      </c>
      <c r="I48" s="46">
        <f>IFERROR(__xludf.DUMMYFUNCTION("""COMPUTED_VALUE"""),54681.06)</f>
        <v>54681.06</v>
      </c>
      <c r="J48" s="46">
        <f>IFERROR(__xludf.DUMMYFUNCTION("""COMPUTED_VALUE"""),32879.979999999996)</f>
        <v>32879.98</v>
      </c>
      <c r="K48" s="46" t="str">
        <f t="array" ref="K48">TEXT(D48, "mmmm")</f>
        <v>April</v>
      </c>
      <c r="M48" s="46" t="str">
        <f>IFERROR(__xludf.DUMMYFUNCTION("""COMPUTED_VALUE"""),"Andorra")</f>
        <v>Andorra</v>
      </c>
      <c r="N48" s="94">
        <f>IFERROR(__xludf.DUMMYFUNCTION("""COMPUTED_VALUE"""),40299.0)</f>
        <v>40299</v>
      </c>
      <c r="O48" s="46">
        <f>IFERROR(__xludf.DUMMYFUNCTION("""COMPUTED_VALUE"""),1.0)</f>
        <v>1</v>
      </c>
      <c r="P48" s="46">
        <f>IFERROR(__xludf.DUMMYFUNCTION("""COMPUTED_VALUE"""),3646.0)</f>
        <v>3646</v>
      </c>
      <c r="Q48" s="46">
        <f>IFERROR(__xludf.DUMMYFUNCTION("""COMPUTED_VALUE"""),556306.68)</f>
        <v>556306.68</v>
      </c>
      <c r="R48" s="46">
        <f>IFERROR(__xludf.DUMMYFUNCTION("""COMPUTED_VALUE"""),355266.24)</f>
        <v>355266.24</v>
      </c>
      <c r="S48" s="46">
        <f>IFERROR(__xludf.DUMMYFUNCTION("""COMPUTED_VALUE"""),201040.44000000006)</f>
        <v>201040.44</v>
      </c>
    </row>
    <row r="49">
      <c r="A49" s="46" t="str">
        <f>IFERROR(__xludf.DUMMYFUNCTION("""COMPUTED_VALUE"""),"Beverages")</f>
        <v>Beverages</v>
      </c>
      <c r="B49" s="46" t="str">
        <f>IFERROR(__xludf.DUMMYFUNCTION("""COMPUTED_VALUE"""),"Greece")</f>
        <v>Greece</v>
      </c>
      <c r="C49" s="46" t="str">
        <f>IFERROR(__xludf.DUMMYFUNCTION("""COMPUTED_VALUE"""),"Europe")</f>
        <v>Europe</v>
      </c>
      <c r="D49" s="90">
        <f>IFERROR(__xludf.DUMMYFUNCTION("""COMPUTED_VALUE"""),42826.0)</f>
        <v>42826</v>
      </c>
      <c r="E49" s="46">
        <f>IFERROR(__xludf.DUMMYFUNCTION("""COMPUTED_VALUE"""),2017.0)</f>
        <v>2017</v>
      </c>
      <c r="F49" s="46">
        <f>IFERROR(__xludf.DUMMYFUNCTION("""COMPUTED_VALUE"""),1.0)</f>
        <v>1</v>
      </c>
      <c r="G49" s="46">
        <f>IFERROR(__xludf.DUMMYFUNCTION("""COMPUTED_VALUE"""),7990.0)</f>
        <v>7990</v>
      </c>
      <c r="H49" s="46">
        <f>IFERROR(__xludf.DUMMYFUNCTION("""COMPUTED_VALUE"""),379125.5)</f>
        <v>379125.5</v>
      </c>
      <c r="I49" s="46">
        <f>IFERROR(__xludf.DUMMYFUNCTION("""COMPUTED_VALUE"""),254002.1)</f>
        <v>254002.1</v>
      </c>
      <c r="J49" s="46">
        <f>IFERROR(__xludf.DUMMYFUNCTION("""COMPUTED_VALUE"""),125123.4)</f>
        <v>125123.4</v>
      </c>
      <c r="K49" s="46" t="str">
        <f t="array" ref="K49">TEXT(D49, "mmmm")</f>
        <v>April</v>
      </c>
      <c r="M49" s="46" t="str">
        <f>IFERROR(__xludf.DUMMYFUNCTION("""COMPUTED_VALUE"""),"Austria")</f>
        <v>Austria</v>
      </c>
      <c r="N49" s="94">
        <f>IFERROR(__xludf.DUMMYFUNCTION("""COMPUTED_VALUE"""),40299.0)</f>
        <v>40299</v>
      </c>
      <c r="O49" s="46">
        <f>IFERROR(__xludf.DUMMYFUNCTION("""COMPUTED_VALUE"""),2.0)</f>
        <v>2</v>
      </c>
      <c r="P49" s="46">
        <f>IFERROR(__xludf.DUMMYFUNCTION("""COMPUTED_VALUE"""),14650.0)</f>
        <v>14650</v>
      </c>
      <c r="Q49" s="46">
        <f>IFERROR(__xludf.DUMMYFUNCTION("""COMPUTED_VALUE"""),2226543.44)</f>
        <v>2226543.44</v>
      </c>
      <c r="R49" s="46">
        <f>IFERROR(__xludf.DUMMYFUNCTION("""COMPUTED_VALUE"""),1331988.38)</f>
        <v>1331988.38</v>
      </c>
      <c r="S49" s="46">
        <f>IFERROR(__xludf.DUMMYFUNCTION("""COMPUTED_VALUE"""),894555.0599999999)</f>
        <v>894555.06</v>
      </c>
    </row>
    <row r="50">
      <c r="A50" s="46" t="str">
        <f>IFERROR(__xludf.DUMMYFUNCTION("""COMPUTED_VALUE"""),"Beverages")</f>
        <v>Beverages</v>
      </c>
      <c r="B50" s="46" t="str">
        <f>IFERROR(__xludf.DUMMYFUNCTION("""COMPUTED_VALUE"""),"Montenegro")</f>
        <v>Montenegro</v>
      </c>
      <c r="C50" s="46" t="str">
        <f>IFERROR(__xludf.DUMMYFUNCTION("""COMPUTED_VALUE"""),"Europe")</f>
        <v>Europe</v>
      </c>
      <c r="D50" s="90">
        <f>IFERROR(__xludf.DUMMYFUNCTION("""COMPUTED_VALUE"""),42826.0)</f>
        <v>42826</v>
      </c>
      <c r="E50" s="46">
        <f>IFERROR(__xludf.DUMMYFUNCTION("""COMPUTED_VALUE"""),2017.0)</f>
        <v>2017</v>
      </c>
      <c r="F50" s="46">
        <f>IFERROR(__xludf.DUMMYFUNCTION("""COMPUTED_VALUE"""),1.0)</f>
        <v>1</v>
      </c>
      <c r="G50" s="46">
        <f>IFERROR(__xludf.DUMMYFUNCTION("""COMPUTED_VALUE"""),4041.0)</f>
        <v>4041</v>
      </c>
      <c r="H50" s="46">
        <f>IFERROR(__xludf.DUMMYFUNCTION("""COMPUTED_VALUE"""),191745.45)</f>
        <v>191745.45</v>
      </c>
      <c r="I50" s="46">
        <f>IFERROR(__xludf.DUMMYFUNCTION("""COMPUTED_VALUE"""),128463.39)</f>
        <v>128463.39</v>
      </c>
      <c r="J50" s="46">
        <f>IFERROR(__xludf.DUMMYFUNCTION("""COMPUTED_VALUE"""),63282.06000000001)</f>
        <v>63282.06</v>
      </c>
      <c r="K50" s="46" t="str">
        <f t="array" ref="K50">TEXT(D50, "mmmm")</f>
        <v>April</v>
      </c>
      <c r="M50" s="46" t="str">
        <f>IFERROR(__xludf.DUMMYFUNCTION("""COMPUTED_VALUE"""),"Bosnia and Herzegovina")</f>
        <v>Bosnia and Herzegovina</v>
      </c>
      <c r="N50" s="94">
        <f>IFERROR(__xludf.DUMMYFUNCTION("""COMPUTED_VALUE"""),40299.0)</f>
        <v>40299</v>
      </c>
      <c r="O50" s="46">
        <f>IFERROR(__xludf.DUMMYFUNCTION("""COMPUTED_VALUE"""),1.0)</f>
        <v>1</v>
      </c>
      <c r="P50" s="46">
        <f>IFERROR(__xludf.DUMMYFUNCTION("""COMPUTED_VALUE"""),2.0)</f>
        <v>2</v>
      </c>
      <c r="Q50" s="46">
        <f>IFERROR(__xludf.DUMMYFUNCTION("""COMPUTED_VALUE"""),1302.42)</f>
        <v>1302.42</v>
      </c>
      <c r="R50" s="46">
        <f>IFERROR(__xludf.DUMMYFUNCTION("""COMPUTED_VALUE"""),1049.92)</f>
        <v>1049.92</v>
      </c>
      <c r="S50" s="46">
        <f>IFERROR(__xludf.DUMMYFUNCTION("""COMPUTED_VALUE"""),252.5)</f>
        <v>252.5</v>
      </c>
    </row>
    <row r="51">
      <c r="A51" s="46" t="str">
        <f>IFERROR(__xludf.DUMMYFUNCTION("""COMPUTED_VALUE"""),"Beverages")</f>
        <v>Beverages</v>
      </c>
      <c r="B51" s="46" t="str">
        <f>IFERROR(__xludf.DUMMYFUNCTION("""COMPUTED_VALUE"""),"Switzerland")</f>
        <v>Switzerland</v>
      </c>
      <c r="C51" s="46" t="str">
        <f>IFERROR(__xludf.DUMMYFUNCTION("""COMPUTED_VALUE"""),"Europe")</f>
        <v>Europe</v>
      </c>
      <c r="D51" s="90">
        <f>IFERROR(__xludf.DUMMYFUNCTION("""COMPUTED_VALUE"""),42826.0)</f>
        <v>42826</v>
      </c>
      <c r="E51" s="46">
        <f>IFERROR(__xludf.DUMMYFUNCTION("""COMPUTED_VALUE"""),2017.0)</f>
        <v>2017</v>
      </c>
      <c r="F51" s="46">
        <f>IFERROR(__xludf.DUMMYFUNCTION("""COMPUTED_VALUE"""),1.0)</f>
        <v>1</v>
      </c>
      <c r="G51" s="46">
        <f>IFERROR(__xludf.DUMMYFUNCTION("""COMPUTED_VALUE"""),4133.0)</f>
        <v>4133</v>
      </c>
      <c r="H51" s="46">
        <f>IFERROR(__xludf.DUMMYFUNCTION("""COMPUTED_VALUE"""),196110.85)</f>
        <v>196110.85</v>
      </c>
      <c r="I51" s="46">
        <f>IFERROR(__xludf.DUMMYFUNCTION("""COMPUTED_VALUE"""),131388.07)</f>
        <v>131388.07</v>
      </c>
      <c r="J51" s="46">
        <f>IFERROR(__xludf.DUMMYFUNCTION("""COMPUTED_VALUE"""),64722.78)</f>
        <v>64722.78</v>
      </c>
      <c r="K51" s="46" t="str">
        <f t="array" ref="K51">TEXT(D51, "mmmm")</f>
        <v>April</v>
      </c>
      <c r="M51" s="46" t="str">
        <f>IFERROR(__xludf.DUMMYFUNCTION("""COMPUTED_VALUE"""),"Bulgaria")</f>
        <v>Bulgaria</v>
      </c>
      <c r="N51" s="94">
        <f>IFERROR(__xludf.DUMMYFUNCTION("""COMPUTED_VALUE"""),40299.0)</f>
        <v>40299</v>
      </c>
      <c r="O51" s="46">
        <f>IFERROR(__xludf.DUMMYFUNCTION("""COMPUTED_VALUE"""),2.0)</f>
        <v>2</v>
      </c>
      <c r="P51" s="46">
        <f>IFERROR(__xludf.DUMMYFUNCTION("""COMPUTED_VALUE"""),11463.0)</f>
        <v>11463</v>
      </c>
      <c r="Q51" s="46">
        <f>IFERROR(__xludf.DUMMYFUNCTION("""COMPUTED_VALUE"""),1482599.6400000001)</f>
        <v>1482599.64</v>
      </c>
      <c r="R51" s="46">
        <f>IFERROR(__xludf.DUMMYFUNCTION("""COMPUTED_VALUE"""),737929.9199999999)</f>
        <v>737929.92</v>
      </c>
      <c r="S51" s="46">
        <f>IFERROR(__xludf.DUMMYFUNCTION("""COMPUTED_VALUE"""),744669.72)</f>
        <v>744669.72</v>
      </c>
    </row>
    <row r="52">
      <c r="A52" s="46" t="str">
        <f>IFERROR(__xludf.DUMMYFUNCTION("""COMPUTED_VALUE"""),"Beverages")</f>
        <v>Beverages</v>
      </c>
      <c r="B52" s="46" t="str">
        <f>IFERROR(__xludf.DUMMYFUNCTION("""COMPUTED_VALUE"""),"United Kingdom")</f>
        <v>United Kingdom</v>
      </c>
      <c r="C52" s="46" t="str">
        <f>IFERROR(__xludf.DUMMYFUNCTION("""COMPUTED_VALUE"""),"Europe")</f>
        <v>Europe</v>
      </c>
      <c r="D52" s="90">
        <f>IFERROR(__xludf.DUMMYFUNCTION("""COMPUTED_VALUE"""),42826.0)</f>
        <v>42826</v>
      </c>
      <c r="E52" s="46">
        <f>IFERROR(__xludf.DUMMYFUNCTION("""COMPUTED_VALUE"""),2017.0)</f>
        <v>2017</v>
      </c>
      <c r="F52" s="46">
        <f>IFERROR(__xludf.DUMMYFUNCTION("""COMPUTED_VALUE"""),1.0)</f>
        <v>1</v>
      </c>
      <c r="G52" s="46">
        <f>IFERROR(__xludf.DUMMYFUNCTION("""COMPUTED_VALUE"""),5242.0)</f>
        <v>5242</v>
      </c>
      <c r="H52" s="46">
        <f>IFERROR(__xludf.DUMMYFUNCTION("""COMPUTED_VALUE"""),248732.90000000002)</f>
        <v>248732.9</v>
      </c>
      <c r="I52" s="46">
        <f>IFERROR(__xludf.DUMMYFUNCTION("""COMPUTED_VALUE"""),166643.18)</f>
        <v>166643.18</v>
      </c>
      <c r="J52" s="46">
        <f>IFERROR(__xludf.DUMMYFUNCTION("""COMPUTED_VALUE"""),82089.72000000003)</f>
        <v>82089.72</v>
      </c>
      <c r="K52" s="46" t="str">
        <f t="array" ref="K52">TEXT(D52, "mmmm")</f>
        <v>April</v>
      </c>
      <c r="M52" s="46" t="str">
        <f>IFERROR(__xludf.DUMMYFUNCTION("""COMPUTED_VALUE"""),"Czech Republic")</f>
        <v>Czech Republic</v>
      </c>
      <c r="N52" s="94">
        <f>IFERROR(__xludf.DUMMYFUNCTION("""COMPUTED_VALUE"""),40299.0)</f>
        <v>40299</v>
      </c>
      <c r="O52" s="46">
        <f>IFERROR(__xludf.DUMMYFUNCTION("""COMPUTED_VALUE"""),1.0)</f>
        <v>1</v>
      </c>
      <c r="P52" s="46">
        <f>IFERROR(__xludf.DUMMYFUNCTION("""COMPUTED_VALUE"""),1785.0)</f>
        <v>1785</v>
      </c>
      <c r="Q52" s="46">
        <f>IFERROR(__xludf.DUMMYFUNCTION("""COMPUTED_VALUE"""),84698.25)</f>
        <v>84698.25</v>
      </c>
      <c r="R52" s="46">
        <f>IFERROR(__xludf.DUMMYFUNCTION("""COMPUTED_VALUE"""),56745.15)</f>
        <v>56745.15</v>
      </c>
      <c r="S52" s="46">
        <f>IFERROR(__xludf.DUMMYFUNCTION("""COMPUTED_VALUE"""),27953.1)</f>
        <v>27953.1</v>
      </c>
    </row>
    <row r="53">
      <c r="A53" s="46" t="str">
        <f>IFERROR(__xludf.DUMMYFUNCTION("""COMPUTED_VALUE"""),"Cosmetics")</f>
        <v>Cosmetics</v>
      </c>
      <c r="B53" s="46" t="str">
        <f>IFERROR(__xludf.DUMMYFUNCTION("""COMPUTED_VALUE"""),"Iceland")</f>
        <v>Iceland</v>
      </c>
      <c r="C53" s="46" t="str">
        <f>IFERROR(__xludf.DUMMYFUNCTION("""COMPUTED_VALUE"""),"Europe")</f>
        <v>Europe</v>
      </c>
      <c r="D53" s="90">
        <f>IFERROR(__xludf.DUMMYFUNCTION("""COMPUTED_VALUE"""),42826.0)</f>
        <v>42826</v>
      </c>
      <c r="E53" s="46">
        <f>IFERROR(__xludf.DUMMYFUNCTION("""COMPUTED_VALUE"""),2017.0)</f>
        <v>2017</v>
      </c>
      <c r="F53" s="46">
        <f>IFERROR(__xludf.DUMMYFUNCTION("""COMPUTED_VALUE"""),1.0)</f>
        <v>1</v>
      </c>
      <c r="G53" s="46">
        <f>IFERROR(__xludf.DUMMYFUNCTION("""COMPUTED_VALUE"""),1234.0)</f>
        <v>1234</v>
      </c>
      <c r="H53" s="46">
        <f>IFERROR(__xludf.DUMMYFUNCTION("""COMPUTED_VALUE"""),539504.7999999999)</f>
        <v>539504.8</v>
      </c>
      <c r="I53" s="46">
        <f>IFERROR(__xludf.DUMMYFUNCTION("""COMPUTED_VALUE"""),324949.22)</f>
        <v>324949.22</v>
      </c>
      <c r="J53" s="46">
        <f>IFERROR(__xludf.DUMMYFUNCTION("""COMPUTED_VALUE"""),214555.57999999996)</f>
        <v>214555.58</v>
      </c>
      <c r="K53" s="46" t="str">
        <f t="array" ref="K53">TEXT(D53, "mmmm")</f>
        <v>April</v>
      </c>
      <c r="M53" s="46" t="str">
        <f>IFERROR(__xludf.DUMMYFUNCTION("""COMPUTED_VALUE"""),"Denmark")</f>
        <v>Denmark</v>
      </c>
      <c r="N53" s="94">
        <f>IFERROR(__xludf.DUMMYFUNCTION("""COMPUTED_VALUE"""),40299.0)</f>
        <v>40299</v>
      </c>
      <c r="O53" s="46">
        <f>IFERROR(__xludf.DUMMYFUNCTION("""COMPUTED_VALUE"""),1.0)</f>
        <v>1</v>
      </c>
      <c r="P53" s="46">
        <f>IFERROR(__xludf.DUMMYFUNCTION("""COMPUTED_VALUE"""),7684.0)</f>
        <v>7684</v>
      </c>
      <c r="Q53" s="46">
        <f>IFERROR(__xludf.DUMMYFUNCTION("""COMPUTED_VALUE"""),5134986.68)</f>
        <v>5134986.68</v>
      </c>
      <c r="R53" s="46">
        <f>IFERROR(__xludf.DUMMYFUNCTION("""COMPUTED_VALUE"""),3861517.3600000003)</f>
        <v>3861517.36</v>
      </c>
      <c r="S53" s="46">
        <f>IFERROR(__xludf.DUMMYFUNCTION("""COMPUTED_VALUE"""),1273469.3199999994)</f>
        <v>1273469.32</v>
      </c>
    </row>
    <row r="54">
      <c r="A54" s="46" t="str">
        <f>IFERROR(__xludf.DUMMYFUNCTION("""COMPUTED_VALUE"""),"Household")</f>
        <v>Household</v>
      </c>
      <c r="B54" s="46" t="str">
        <f>IFERROR(__xludf.DUMMYFUNCTION("""COMPUTED_VALUE"""),"Russia")</f>
        <v>Russia</v>
      </c>
      <c r="C54" s="46" t="str">
        <f>IFERROR(__xludf.DUMMYFUNCTION("""COMPUTED_VALUE"""),"Europe")</f>
        <v>Europe</v>
      </c>
      <c r="D54" s="90">
        <f>IFERROR(__xludf.DUMMYFUNCTION("""COMPUTED_VALUE"""),42826.0)</f>
        <v>42826</v>
      </c>
      <c r="E54" s="46">
        <f>IFERROR(__xludf.DUMMYFUNCTION("""COMPUTED_VALUE"""),2017.0)</f>
        <v>2017</v>
      </c>
      <c r="F54" s="46">
        <f>IFERROR(__xludf.DUMMYFUNCTION("""COMPUTED_VALUE"""),1.0)</f>
        <v>1</v>
      </c>
      <c r="G54" s="46">
        <f>IFERROR(__xludf.DUMMYFUNCTION("""COMPUTED_VALUE"""),7416.0)</f>
        <v>7416</v>
      </c>
      <c r="H54" s="46">
        <f>IFERROR(__xludf.DUMMYFUNCTION("""COMPUTED_VALUE"""),4955890.32)</f>
        <v>4955890.32</v>
      </c>
      <c r="I54" s="46">
        <f>IFERROR(__xludf.DUMMYFUNCTION("""COMPUTED_VALUE"""),3726836.64)</f>
        <v>3726836.64</v>
      </c>
      <c r="J54" s="46">
        <f>IFERROR(__xludf.DUMMYFUNCTION("""COMPUTED_VALUE"""),1229053.6800000002)</f>
        <v>1229053.68</v>
      </c>
      <c r="K54" s="46" t="str">
        <f t="array" ref="K54">TEXT(D54, "mmmm")</f>
        <v>April</v>
      </c>
      <c r="M54" s="46" t="str">
        <f>IFERROR(__xludf.DUMMYFUNCTION("""COMPUTED_VALUE"""),"Georgia")</f>
        <v>Georgia</v>
      </c>
      <c r="N54" s="94">
        <f>IFERROR(__xludf.DUMMYFUNCTION("""COMPUTED_VALUE"""),40299.0)</f>
        <v>40299</v>
      </c>
      <c r="O54" s="46">
        <f>IFERROR(__xludf.DUMMYFUNCTION("""COMPUTED_VALUE"""),1.0)</f>
        <v>1</v>
      </c>
      <c r="P54" s="46">
        <f>IFERROR(__xludf.DUMMYFUNCTION("""COMPUTED_VALUE"""),8878.0)</f>
        <v>8878</v>
      </c>
      <c r="Q54" s="46">
        <f>IFERROR(__xludf.DUMMYFUNCTION("""COMPUTED_VALUE"""),1354605.2400000002)</f>
        <v>1354605.24</v>
      </c>
      <c r="R54" s="46">
        <f>IFERROR(__xludf.DUMMYFUNCTION("""COMPUTED_VALUE"""),865072.32)</f>
        <v>865072.32</v>
      </c>
      <c r="S54" s="46">
        <f>IFERROR(__xludf.DUMMYFUNCTION("""COMPUTED_VALUE"""),489532.9200000003)</f>
        <v>489532.92</v>
      </c>
    </row>
    <row r="55">
      <c r="A55" s="46" t="str">
        <f>IFERROR(__xludf.DUMMYFUNCTION("""COMPUTED_VALUE"""),"Meat")</f>
        <v>Meat</v>
      </c>
      <c r="B55" s="46" t="str">
        <f>IFERROR(__xludf.DUMMYFUNCTION("""COMPUTED_VALUE"""),"Ukraine")</f>
        <v>Ukraine</v>
      </c>
      <c r="C55" s="46" t="str">
        <f>IFERROR(__xludf.DUMMYFUNCTION("""COMPUTED_VALUE"""),"Europe")</f>
        <v>Europe</v>
      </c>
      <c r="D55" s="90">
        <f>IFERROR(__xludf.DUMMYFUNCTION("""COMPUTED_VALUE"""),42826.0)</f>
        <v>42826</v>
      </c>
      <c r="E55" s="46">
        <f>IFERROR(__xludf.DUMMYFUNCTION("""COMPUTED_VALUE"""),2017.0)</f>
        <v>2017</v>
      </c>
      <c r="F55" s="46">
        <f>IFERROR(__xludf.DUMMYFUNCTION("""COMPUTED_VALUE"""),1.0)</f>
        <v>1</v>
      </c>
      <c r="G55" s="46">
        <f>IFERROR(__xludf.DUMMYFUNCTION("""COMPUTED_VALUE"""),2022.0)</f>
        <v>2022</v>
      </c>
      <c r="H55" s="46">
        <f>IFERROR(__xludf.DUMMYFUNCTION("""COMPUTED_VALUE"""),853061.58)</f>
        <v>853061.58</v>
      </c>
      <c r="I55" s="46">
        <f>IFERROR(__xludf.DUMMYFUNCTION("""COMPUTED_VALUE"""),737403.18)</f>
        <v>737403.18</v>
      </c>
      <c r="J55" s="46">
        <f>IFERROR(__xludf.DUMMYFUNCTION("""COMPUTED_VALUE"""),115658.3999999999)</f>
        <v>115658.4</v>
      </c>
      <c r="K55" s="46" t="str">
        <f t="array" ref="K55">TEXT(D55, "mmmm")</f>
        <v>April</v>
      </c>
      <c r="M55" s="46" t="str">
        <f>IFERROR(__xludf.DUMMYFUNCTION("""COMPUTED_VALUE"""),"Greece")</f>
        <v>Greece</v>
      </c>
      <c r="N55" s="94">
        <f>IFERROR(__xludf.DUMMYFUNCTION("""COMPUTED_VALUE"""),40299.0)</f>
        <v>40299</v>
      </c>
      <c r="O55" s="46">
        <f>IFERROR(__xludf.DUMMYFUNCTION("""COMPUTED_VALUE"""),1.0)</f>
        <v>1</v>
      </c>
      <c r="P55" s="46">
        <f>IFERROR(__xludf.DUMMYFUNCTION("""COMPUTED_VALUE"""),7948.0)</f>
        <v>7948</v>
      </c>
      <c r="Q55" s="46">
        <f>IFERROR(__xludf.DUMMYFUNCTION("""COMPUTED_VALUE"""),3474865.6)</f>
        <v>3474865.6</v>
      </c>
      <c r="R55" s="46">
        <f>IFERROR(__xludf.DUMMYFUNCTION("""COMPUTED_VALUE"""),2092946.8399999999)</f>
        <v>2092946.84</v>
      </c>
      <c r="S55" s="46">
        <f>IFERROR(__xludf.DUMMYFUNCTION("""COMPUTED_VALUE"""),1381918.7600000002)</f>
        <v>1381918.76</v>
      </c>
    </row>
    <row r="56">
      <c r="A56" s="46" t="str">
        <f>IFERROR(__xludf.DUMMYFUNCTION("""COMPUTED_VALUE"""),"Office Supplies")</f>
        <v>Office Supplies</v>
      </c>
      <c r="B56" s="46" t="str">
        <f>IFERROR(__xludf.DUMMYFUNCTION("""COMPUTED_VALUE"""),"Finland")</f>
        <v>Finland</v>
      </c>
      <c r="C56" s="46" t="str">
        <f>IFERROR(__xludf.DUMMYFUNCTION("""COMPUTED_VALUE"""),"Europe")</f>
        <v>Europe</v>
      </c>
      <c r="D56" s="90">
        <f>IFERROR(__xludf.DUMMYFUNCTION("""COMPUTED_VALUE"""),42826.0)</f>
        <v>42826</v>
      </c>
      <c r="E56" s="46">
        <f>IFERROR(__xludf.DUMMYFUNCTION("""COMPUTED_VALUE"""),2017.0)</f>
        <v>2017</v>
      </c>
      <c r="F56" s="46">
        <f>IFERROR(__xludf.DUMMYFUNCTION("""COMPUTED_VALUE"""),1.0)</f>
        <v>1</v>
      </c>
      <c r="G56" s="46">
        <f>IFERROR(__xludf.DUMMYFUNCTION("""COMPUTED_VALUE"""),4529.0)</f>
        <v>4529</v>
      </c>
      <c r="H56" s="46">
        <f>IFERROR(__xludf.DUMMYFUNCTION("""COMPUTED_VALUE"""),2949330.0900000003)</f>
        <v>2949330.09</v>
      </c>
      <c r="I56" s="46">
        <f>IFERROR(__xludf.DUMMYFUNCTION("""COMPUTED_VALUE"""),2377543.8400000003)</f>
        <v>2377543.84</v>
      </c>
      <c r="J56" s="46">
        <f>IFERROR(__xludf.DUMMYFUNCTION("""COMPUTED_VALUE"""),571786.25)</f>
        <v>571786.25</v>
      </c>
      <c r="K56" s="46" t="str">
        <f t="array" ref="K56">TEXT(D56, "mmmm")</f>
        <v>April</v>
      </c>
      <c r="M56" s="46" t="str">
        <f>IFERROR(__xludf.DUMMYFUNCTION("""COMPUTED_VALUE"""),"Ireland")</f>
        <v>Ireland</v>
      </c>
      <c r="N56" s="94">
        <f>IFERROR(__xludf.DUMMYFUNCTION("""COMPUTED_VALUE"""),40299.0)</f>
        <v>40299</v>
      </c>
      <c r="O56" s="46">
        <f>IFERROR(__xludf.DUMMYFUNCTION("""COMPUTED_VALUE"""),2.0)</f>
        <v>2</v>
      </c>
      <c r="P56" s="46">
        <f>IFERROR(__xludf.DUMMYFUNCTION("""COMPUTED_VALUE"""),7812.0)</f>
        <v>7812</v>
      </c>
      <c r="Q56" s="46">
        <f>IFERROR(__xludf.DUMMYFUNCTION("""COMPUTED_VALUE"""),146082.36)</f>
        <v>146082.36</v>
      </c>
      <c r="R56" s="46">
        <f>IFERROR(__xludf.DUMMYFUNCTION("""COMPUTED_VALUE"""),104356.29000000001)</f>
        <v>104356.29</v>
      </c>
      <c r="S56" s="46">
        <f>IFERROR(__xludf.DUMMYFUNCTION("""COMPUTED_VALUE"""),41726.07)</f>
        <v>41726.07</v>
      </c>
    </row>
    <row r="57">
      <c r="A57" s="46" t="str">
        <f>IFERROR(__xludf.DUMMYFUNCTION("""COMPUTED_VALUE"""),"Personal Care")</f>
        <v>Personal Care</v>
      </c>
      <c r="B57" s="46" t="str">
        <f>IFERROR(__xludf.DUMMYFUNCTION("""COMPUTED_VALUE"""),"Greece")</f>
        <v>Greece</v>
      </c>
      <c r="C57" s="46" t="str">
        <f>IFERROR(__xludf.DUMMYFUNCTION("""COMPUTED_VALUE"""),"Europe")</f>
        <v>Europe</v>
      </c>
      <c r="D57" s="90">
        <f>IFERROR(__xludf.DUMMYFUNCTION("""COMPUTED_VALUE"""),42826.0)</f>
        <v>42826</v>
      </c>
      <c r="E57" s="46">
        <f>IFERROR(__xludf.DUMMYFUNCTION("""COMPUTED_VALUE"""),2017.0)</f>
        <v>2017</v>
      </c>
      <c r="F57" s="46">
        <f>IFERROR(__xludf.DUMMYFUNCTION("""COMPUTED_VALUE"""),1.0)</f>
        <v>1</v>
      </c>
      <c r="G57" s="46">
        <f>IFERROR(__xludf.DUMMYFUNCTION("""COMPUTED_VALUE"""),161.0)</f>
        <v>161</v>
      </c>
      <c r="H57" s="46">
        <f>IFERROR(__xludf.DUMMYFUNCTION("""COMPUTED_VALUE"""),13158.53)</f>
        <v>13158.53</v>
      </c>
      <c r="I57" s="46">
        <f>IFERROR(__xludf.DUMMYFUNCTION("""COMPUTED_VALUE"""),9123.87)</f>
        <v>9123.87</v>
      </c>
      <c r="J57" s="46">
        <f>IFERROR(__xludf.DUMMYFUNCTION("""COMPUTED_VALUE"""),4034.66)</f>
        <v>4034.66</v>
      </c>
      <c r="K57" s="46" t="str">
        <f t="array" ref="K57">TEXT(D57, "mmmm")</f>
        <v>April</v>
      </c>
      <c r="M57" s="46" t="str">
        <f>IFERROR(__xludf.DUMMYFUNCTION("""COMPUTED_VALUE"""),"Latvia")</f>
        <v>Latvia</v>
      </c>
      <c r="N57" s="94">
        <f>IFERROR(__xludf.DUMMYFUNCTION("""COMPUTED_VALUE"""),40299.0)</f>
        <v>40299</v>
      </c>
      <c r="O57" s="46">
        <f>IFERROR(__xludf.DUMMYFUNCTION("""COMPUTED_VALUE"""),1.0)</f>
        <v>1</v>
      </c>
      <c r="P57" s="46">
        <f>IFERROR(__xludf.DUMMYFUNCTION("""COMPUTED_VALUE"""),4375.0)</f>
        <v>4375</v>
      </c>
      <c r="Q57" s="46">
        <f>IFERROR(__xludf.DUMMYFUNCTION("""COMPUTED_VALUE"""),2849043.75)</f>
        <v>2849043.75</v>
      </c>
      <c r="R57" s="46">
        <f>IFERROR(__xludf.DUMMYFUNCTION("""COMPUTED_VALUE"""),2296700.0)</f>
        <v>2296700</v>
      </c>
      <c r="S57" s="46">
        <f>IFERROR(__xludf.DUMMYFUNCTION("""COMPUTED_VALUE"""),552343.75)</f>
        <v>552343.75</v>
      </c>
    </row>
    <row r="58">
      <c r="A58" s="46" t="str">
        <f>IFERROR(__xludf.DUMMYFUNCTION("""COMPUTED_VALUE"""),"Personal Care")</f>
        <v>Personal Care</v>
      </c>
      <c r="B58" s="46" t="str">
        <f>IFERROR(__xludf.DUMMYFUNCTION("""COMPUTED_VALUE"""),"Malta")</f>
        <v>Malta</v>
      </c>
      <c r="C58" s="46" t="str">
        <f>IFERROR(__xludf.DUMMYFUNCTION("""COMPUTED_VALUE"""),"Europe")</f>
        <v>Europe</v>
      </c>
      <c r="D58" s="90">
        <f>IFERROR(__xludf.DUMMYFUNCTION("""COMPUTED_VALUE"""),42826.0)</f>
        <v>42826</v>
      </c>
      <c r="E58" s="46">
        <f>IFERROR(__xludf.DUMMYFUNCTION("""COMPUTED_VALUE"""),2017.0)</f>
        <v>2017</v>
      </c>
      <c r="F58" s="46">
        <f>IFERROR(__xludf.DUMMYFUNCTION("""COMPUTED_VALUE"""),1.0)</f>
        <v>1</v>
      </c>
      <c r="G58" s="46">
        <f>IFERROR(__xludf.DUMMYFUNCTION("""COMPUTED_VALUE"""),7069.0)</f>
        <v>7069</v>
      </c>
      <c r="H58" s="46">
        <f>IFERROR(__xludf.DUMMYFUNCTION("""COMPUTED_VALUE"""),577749.37)</f>
        <v>577749.37</v>
      </c>
      <c r="I58" s="46">
        <f>IFERROR(__xludf.DUMMYFUNCTION("""COMPUTED_VALUE"""),400600.23000000004)</f>
        <v>400600.23</v>
      </c>
      <c r="J58" s="46">
        <f>IFERROR(__xludf.DUMMYFUNCTION("""COMPUTED_VALUE"""),177149.13999999996)</f>
        <v>177149.14</v>
      </c>
      <c r="K58" s="46" t="str">
        <f t="array" ref="K58">TEXT(D58, "mmmm")</f>
        <v>April</v>
      </c>
      <c r="M58" s="46" t="str">
        <f>IFERROR(__xludf.DUMMYFUNCTION("""COMPUTED_VALUE"""),"Netherlands")</f>
        <v>Netherlands</v>
      </c>
      <c r="N58" s="94">
        <f>IFERROR(__xludf.DUMMYFUNCTION("""COMPUTED_VALUE"""),40299.0)</f>
        <v>40299</v>
      </c>
      <c r="O58" s="46">
        <f>IFERROR(__xludf.DUMMYFUNCTION("""COMPUTED_VALUE"""),1.0)</f>
        <v>1</v>
      </c>
      <c r="P58" s="46">
        <f>IFERROR(__xludf.DUMMYFUNCTION("""COMPUTED_VALUE"""),3045.0)</f>
        <v>3045</v>
      </c>
      <c r="Q58" s="46">
        <f>IFERROR(__xludf.DUMMYFUNCTION("""COMPUTED_VALUE"""),248867.85)</f>
        <v>248867.85</v>
      </c>
      <c r="R58" s="46">
        <f>IFERROR(__xludf.DUMMYFUNCTION("""COMPUTED_VALUE"""),172560.15)</f>
        <v>172560.15</v>
      </c>
      <c r="S58" s="46">
        <f>IFERROR(__xludf.DUMMYFUNCTION("""COMPUTED_VALUE"""),76307.70000000001)</f>
        <v>76307.7</v>
      </c>
    </row>
    <row r="59">
      <c r="A59" s="46" t="str">
        <f>IFERROR(__xludf.DUMMYFUNCTION("""COMPUTED_VALUE"""),"Personal Care")</f>
        <v>Personal Care</v>
      </c>
      <c r="B59" s="46" t="str">
        <f>IFERROR(__xludf.DUMMYFUNCTION("""COMPUTED_VALUE"""),"Ukraine")</f>
        <v>Ukraine</v>
      </c>
      <c r="C59" s="46" t="str">
        <f>IFERROR(__xludf.DUMMYFUNCTION("""COMPUTED_VALUE"""),"Europe")</f>
        <v>Europe</v>
      </c>
      <c r="D59" s="90">
        <f>IFERROR(__xludf.DUMMYFUNCTION("""COMPUTED_VALUE"""),42826.0)</f>
        <v>42826</v>
      </c>
      <c r="E59" s="46">
        <f>IFERROR(__xludf.DUMMYFUNCTION("""COMPUTED_VALUE"""),2017.0)</f>
        <v>2017</v>
      </c>
      <c r="F59" s="46">
        <f>IFERROR(__xludf.DUMMYFUNCTION("""COMPUTED_VALUE"""),1.0)</f>
        <v>1</v>
      </c>
      <c r="G59" s="46">
        <f>IFERROR(__xludf.DUMMYFUNCTION("""COMPUTED_VALUE"""),6171.0)</f>
        <v>6171</v>
      </c>
      <c r="H59" s="46">
        <f>IFERROR(__xludf.DUMMYFUNCTION("""COMPUTED_VALUE"""),504355.83)</f>
        <v>504355.83</v>
      </c>
      <c r="I59" s="46">
        <f>IFERROR(__xludf.DUMMYFUNCTION("""COMPUTED_VALUE"""),349710.57)</f>
        <v>349710.57</v>
      </c>
      <c r="J59" s="46">
        <f>IFERROR(__xludf.DUMMYFUNCTION("""COMPUTED_VALUE"""),154645.26)</f>
        <v>154645.26</v>
      </c>
      <c r="K59" s="46" t="str">
        <f t="array" ref="K59">TEXT(D59, "mmmm")</f>
        <v>April</v>
      </c>
      <c r="M59" s="46" t="str">
        <f>IFERROR(__xludf.DUMMYFUNCTION("""COMPUTED_VALUE"""),"San Marino")</f>
        <v>San Marino</v>
      </c>
      <c r="N59" s="94">
        <f>IFERROR(__xludf.DUMMYFUNCTION("""COMPUTED_VALUE"""),40299.0)</f>
        <v>40299</v>
      </c>
      <c r="O59" s="46">
        <f>IFERROR(__xludf.DUMMYFUNCTION("""COMPUTED_VALUE"""),1.0)</f>
        <v>1</v>
      </c>
      <c r="P59" s="46">
        <f>IFERROR(__xludf.DUMMYFUNCTION("""COMPUTED_VALUE"""),6916.0)</f>
        <v>6916</v>
      </c>
      <c r="Q59" s="46">
        <f>IFERROR(__xludf.DUMMYFUNCTION("""COMPUTED_VALUE"""),565244.68)</f>
        <v>565244.68</v>
      </c>
      <c r="R59" s="46">
        <f>IFERROR(__xludf.DUMMYFUNCTION("""COMPUTED_VALUE"""),391929.72000000003)</f>
        <v>391929.72</v>
      </c>
      <c r="S59" s="46">
        <f>IFERROR(__xludf.DUMMYFUNCTION("""COMPUTED_VALUE"""),173314.96000000002)</f>
        <v>173314.96</v>
      </c>
    </row>
    <row r="60">
      <c r="A60" s="46" t="str">
        <f>IFERROR(__xludf.DUMMYFUNCTION("""COMPUTED_VALUE"""),"Snacks")</f>
        <v>Snacks</v>
      </c>
      <c r="B60" s="46" t="str">
        <f>IFERROR(__xludf.DUMMYFUNCTION("""COMPUTED_VALUE"""),"Latvia")</f>
        <v>Latvia</v>
      </c>
      <c r="C60" s="46" t="str">
        <f>IFERROR(__xludf.DUMMYFUNCTION("""COMPUTED_VALUE"""),"Europe")</f>
        <v>Europe</v>
      </c>
      <c r="D60" s="90">
        <f>IFERROR(__xludf.DUMMYFUNCTION("""COMPUTED_VALUE"""),42826.0)</f>
        <v>42826</v>
      </c>
      <c r="E60" s="46">
        <f>IFERROR(__xludf.DUMMYFUNCTION("""COMPUTED_VALUE"""),2017.0)</f>
        <v>2017</v>
      </c>
      <c r="F60" s="46">
        <f>IFERROR(__xludf.DUMMYFUNCTION("""COMPUTED_VALUE"""),1.0)</f>
        <v>1</v>
      </c>
      <c r="G60" s="46">
        <f>IFERROR(__xludf.DUMMYFUNCTION("""COMPUTED_VALUE"""),9085.0)</f>
        <v>9085</v>
      </c>
      <c r="H60" s="46">
        <f>IFERROR(__xludf.DUMMYFUNCTION("""COMPUTED_VALUE"""),1386189.3)</f>
        <v>1386189.3</v>
      </c>
      <c r="I60" s="46">
        <f>IFERROR(__xludf.DUMMYFUNCTION("""COMPUTED_VALUE"""),885242.4)</f>
        <v>885242.4</v>
      </c>
      <c r="J60" s="46">
        <f>IFERROR(__xludf.DUMMYFUNCTION("""COMPUTED_VALUE"""),500946.9)</f>
        <v>500946.9</v>
      </c>
      <c r="K60" s="46" t="str">
        <f t="array" ref="K60">TEXT(D60, "mmmm")</f>
        <v>April</v>
      </c>
      <c r="M60" s="46" t="str">
        <f>IFERROR(__xludf.DUMMYFUNCTION("""COMPUTED_VALUE"""),"Sweden")</f>
        <v>Sweden</v>
      </c>
      <c r="N60" s="94">
        <f>IFERROR(__xludf.DUMMYFUNCTION("""COMPUTED_VALUE"""),40299.0)</f>
        <v>40299</v>
      </c>
      <c r="O60" s="46">
        <f>IFERROR(__xludf.DUMMYFUNCTION("""COMPUTED_VALUE"""),1.0)</f>
        <v>1</v>
      </c>
      <c r="P60" s="46">
        <f>IFERROR(__xludf.DUMMYFUNCTION("""COMPUTED_VALUE"""),4840.0)</f>
        <v>4840</v>
      </c>
      <c r="Q60" s="46">
        <f>IFERROR(__xludf.DUMMYFUNCTION("""COMPUTED_VALUE"""),1235555.2)</f>
        <v>1235555.2</v>
      </c>
      <c r="R60" s="46">
        <f>IFERROR(__xludf.DUMMYFUNCTION("""COMPUTED_VALUE"""),771592.7999999999)</f>
        <v>771592.8</v>
      </c>
      <c r="S60" s="46">
        <f>IFERROR(__xludf.DUMMYFUNCTION("""COMPUTED_VALUE"""),463962.4)</f>
        <v>463962.4</v>
      </c>
    </row>
    <row r="61">
      <c r="A61" s="46" t="str">
        <f>IFERROR(__xludf.DUMMYFUNCTION("""COMPUTED_VALUE"""),"Snacks")</f>
        <v>Snacks</v>
      </c>
      <c r="B61" s="46" t="str">
        <f>IFERROR(__xludf.DUMMYFUNCTION("""COMPUTED_VALUE"""),"Luxembourg")</f>
        <v>Luxembourg</v>
      </c>
      <c r="C61" s="46" t="str">
        <f>IFERROR(__xludf.DUMMYFUNCTION("""COMPUTED_VALUE"""),"Europe")</f>
        <v>Europe</v>
      </c>
      <c r="D61" s="90">
        <f>IFERROR(__xludf.DUMMYFUNCTION("""COMPUTED_VALUE"""),42826.0)</f>
        <v>42826</v>
      </c>
      <c r="E61" s="46">
        <f>IFERROR(__xludf.DUMMYFUNCTION("""COMPUTED_VALUE"""),2017.0)</f>
        <v>2017</v>
      </c>
      <c r="F61" s="46">
        <f>IFERROR(__xludf.DUMMYFUNCTION("""COMPUTED_VALUE"""),1.0)</f>
        <v>1</v>
      </c>
      <c r="G61" s="46">
        <f>IFERROR(__xludf.DUMMYFUNCTION("""COMPUTED_VALUE"""),9929.0)</f>
        <v>9929</v>
      </c>
      <c r="H61" s="46">
        <f>IFERROR(__xludf.DUMMYFUNCTION("""COMPUTED_VALUE"""),1514966.82)</f>
        <v>1514966.82</v>
      </c>
      <c r="I61" s="46">
        <f>IFERROR(__xludf.DUMMYFUNCTION("""COMPUTED_VALUE"""),967481.76)</f>
        <v>967481.76</v>
      </c>
      <c r="J61" s="46">
        <f>IFERROR(__xludf.DUMMYFUNCTION("""COMPUTED_VALUE"""),547485.06)</f>
        <v>547485.06</v>
      </c>
      <c r="K61" s="46" t="str">
        <f t="array" ref="K61">TEXT(D61, "mmmm")</f>
        <v>April</v>
      </c>
      <c r="M61" s="46" t="str">
        <f>IFERROR(__xludf.DUMMYFUNCTION("""COMPUTED_VALUE"""),"Undefined")</f>
        <v>Undefined</v>
      </c>
      <c r="N61" s="94">
        <f>IFERROR(__xludf.DUMMYFUNCTION("""COMPUTED_VALUE"""),40299.0)</f>
        <v>40299</v>
      </c>
      <c r="O61" s="46">
        <f>IFERROR(__xludf.DUMMYFUNCTION("""COMPUTED_VALUE"""),2.0)</f>
        <v>2</v>
      </c>
      <c r="P61" s="46">
        <f>IFERROR(__xludf.DUMMYFUNCTION("""COMPUTED_VALUE"""),12560.0)</f>
        <v>12560</v>
      </c>
      <c r="Q61" s="46">
        <f>IFERROR(__xludf.DUMMYFUNCTION("""COMPUTED_VALUE"""),944023.8000000002)</f>
        <v>944023.8</v>
      </c>
      <c r="R61" s="46">
        <f>IFERROR(__xludf.DUMMYFUNCTION("""COMPUTED_VALUE"""),609396.6399999999)</f>
        <v>609396.64</v>
      </c>
      <c r="S61" s="46">
        <f>IFERROR(__xludf.DUMMYFUNCTION("""COMPUTED_VALUE"""),334627.1600000002)</f>
        <v>334627.16</v>
      </c>
    </row>
    <row r="62">
      <c r="A62" s="46" t="str">
        <f>IFERROR(__xludf.DUMMYFUNCTION("""COMPUTED_VALUE"""),"Baby Food")</f>
        <v>Baby Food</v>
      </c>
      <c r="B62" s="46" t="str">
        <f>IFERROR(__xludf.DUMMYFUNCTION("""COMPUTED_VALUE"""),"Italy")</f>
        <v>Italy</v>
      </c>
      <c r="C62" s="46" t="str">
        <f>IFERROR(__xludf.DUMMYFUNCTION("""COMPUTED_VALUE"""),"Europe")</f>
        <v>Europe</v>
      </c>
      <c r="D62" s="90">
        <f>IFERROR(__xludf.DUMMYFUNCTION("""COMPUTED_VALUE"""),42795.0)</f>
        <v>42795</v>
      </c>
      <c r="E62" s="46">
        <f>IFERROR(__xludf.DUMMYFUNCTION("""COMPUTED_VALUE"""),2017.0)</f>
        <v>2017</v>
      </c>
      <c r="F62" s="46">
        <f>IFERROR(__xludf.DUMMYFUNCTION("""COMPUTED_VALUE"""),1.0)</f>
        <v>1</v>
      </c>
      <c r="G62" s="46">
        <f>IFERROR(__xludf.DUMMYFUNCTION("""COMPUTED_VALUE"""),4755.0)</f>
        <v>4755</v>
      </c>
      <c r="H62" s="46">
        <f>IFERROR(__xludf.DUMMYFUNCTION("""COMPUTED_VALUE"""),1213856.4)</f>
        <v>1213856.4</v>
      </c>
      <c r="I62" s="46">
        <f>IFERROR(__xludf.DUMMYFUNCTION("""COMPUTED_VALUE"""),758042.1)</f>
        <v>758042.1</v>
      </c>
      <c r="J62" s="46">
        <f>IFERROR(__xludf.DUMMYFUNCTION("""COMPUTED_VALUE"""),455814.29999999993)</f>
        <v>455814.3</v>
      </c>
      <c r="K62" s="46" t="str">
        <f t="array" ref="K62">TEXT(D62, "mmmm")</f>
        <v>March</v>
      </c>
      <c r="M62" s="46" t="str">
        <f>IFERROR(__xludf.DUMMYFUNCTION("""COMPUTED_VALUE"""),"Andorra")</f>
        <v>Andorra</v>
      </c>
      <c r="N62" s="94">
        <f>IFERROR(__xludf.DUMMYFUNCTION("""COMPUTED_VALUE"""),40330.0)</f>
        <v>40330</v>
      </c>
      <c r="O62" s="46">
        <f>IFERROR(__xludf.DUMMYFUNCTION("""COMPUTED_VALUE"""),1.0)</f>
        <v>1</v>
      </c>
      <c r="P62" s="46">
        <f>IFERROR(__xludf.DUMMYFUNCTION("""COMPUTED_VALUE"""),4419.0)</f>
        <v>4419</v>
      </c>
      <c r="Q62" s="46">
        <f>IFERROR(__xludf.DUMMYFUNCTION("""COMPUTED_VALUE"""),361164.87)</f>
        <v>361164.87</v>
      </c>
      <c r="R62" s="46">
        <f>IFERROR(__xludf.DUMMYFUNCTION("""COMPUTED_VALUE"""),250424.73)</f>
        <v>250424.73</v>
      </c>
      <c r="S62" s="46">
        <f>IFERROR(__xludf.DUMMYFUNCTION("""COMPUTED_VALUE"""),110740.13999999998)</f>
        <v>110740.14</v>
      </c>
    </row>
    <row r="63">
      <c r="A63" s="46" t="str">
        <f>IFERROR(__xludf.DUMMYFUNCTION("""COMPUTED_VALUE"""),"Beverages")</f>
        <v>Beverages</v>
      </c>
      <c r="B63" s="46" t="str">
        <f>IFERROR(__xludf.DUMMYFUNCTION("""COMPUTED_VALUE"""),"Belarus")</f>
        <v>Belarus</v>
      </c>
      <c r="C63" s="46" t="str">
        <f>IFERROR(__xludf.DUMMYFUNCTION("""COMPUTED_VALUE"""),"Europe")</f>
        <v>Europe</v>
      </c>
      <c r="D63" s="90">
        <f>IFERROR(__xludf.DUMMYFUNCTION("""COMPUTED_VALUE"""),42795.0)</f>
        <v>42795</v>
      </c>
      <c r="E63" s="46">
        <f>IFERROR(__xludf.DUMMYFUNCTION("""COMPUTED_VALUE"""),2017.0)</f>
        <v>2017</v>
      </c>
      <c r="F63" s="46">
        <f>IFERROR(__xludf.DUMMYFUNCTION("""COMPUTED_VALUE"""),1.0)</f>
        <v>1</v>
      </c>
      <c r="G63" s="46">
        <f>IFERROR(__xludf.DUMMYFUNCTION("""COMPUTED_VALUE"""),7619.0)</f>
        <v>7619</v>
      </c>
      <c r="H63" s="46">
        <f>IFERROR(__xludf.DUMMYFUNCTION("""COMPUTED_VALUE"""),361521.55000000005)</f>
        <v>361521.55</v>
      </c>
      <c r="I63" s="46">
        <f>IFERROR(__xludf.DUMMYFUNCTION("""COMPUTED_VALUE"""),242208.00999999998)</f>
        <v>242208.01</v>
      </c>
      <c r="J63" s="46">
        <f>IFERROR(__xludf.DUMMYFUNCTION("""COMPUTED_VALUE"""),119313.54000000007)</f>
        <v>119313.54</v>
      </c>
      <c r="K63" s="46" t="str">
        <f t="array" ref="K63">TEXT(D63, "mmmm")</f>
        <v>March</v>
      </c>
      <c r="M63" s="46" t="str">
        <f>IFERROR(__xludf.DUMMYFUNCTION("""COMPUTED_VALUE"""),"Croatia")</f>
        <v>Croatia</v>
      </c>
      <c r="N63" s="94">
        <f>IFERROR(__xludf.DUMMYFUNCTION("""COMPUTED_VALUE"""),40330.0)</f>
        <v>40330</v>
      </c>
      <c r="O63" s="46">
        <f>IFERROR(__xludf.DUMMYFUNCTION("""COMPUTED_VALUE"""),1.0)</f>
        <v>1</v>
      </c>
      <c r="P63" s="46">
        <f>IFERROR(__xludf.DUMMYFUNCTION("""COMPUTED_VALUE"""),1522.0)</f>
        <v>1522</v>
      </c>
      <c r="Q63" s="46">
        <f>IFERROR(__xludf.DUMMYFUNCTION("""COMPUTED_VALUE"""),991141.6200000001)</f>
        <v>991141.62</v>
      </c>
      <c r="R63" s="46">
        <f>IFERROR(__xludf.DUMMYFUNCTION("""COMPUTED_VALUE"""),798989.1200000001)</f>
        <v>798989.12</v>
      </c>
      <c r="S63" s="46">
        <f>IFERROR(__xludf.DUMMYFUNCTION("""COMPUTED_VALUE"""),192152.5)</f>
        <v>192152.5</v>
      </c>
    </row>
    <row r="64">
      <c r="A64" s="46" t="str">
        <f>IFERROR(__xludf.DUMMYFUNCTION("""COMPUTED_VALUE"""),"Beverages")</f>
        <v>Beverages</v>
      </c>
      <c r="B64" s="46" t="str">
        <f>IFERROR(__xludf.DUMMYFUNCTION("""COMPUTED_VALUE"""),"Croatia")</f>
        <v>Croatia</v>
      </c>
      <c r="C64" s="46" t="str">
        <f>IFERROR(__xludf.DUMMYFUNCTION("""COMPUTED_VALUE"""),"Europe")</f>
        <v>Europe</v>
      </c>
      <c r="D64" s="90">
        <f>IFERROR(__xludf.DUMMYFUNCTION("""COMPUTED_VALUE"""),42795.0)</f>
        <v>42795</v>
      </c>
      <c r="E64" s="46">
        <f>IFERROR(__xludf.DUMMYFUNCTION("""COMPUTED_VALUE"""),2017.0)</f>
        <v>2017</v>
      </c>
      <c r="F64" s="46">
        <f>IFERROR(__xludf.DUMMYFUNCTION("""COMPUTED_VALUE"""),1.0)</f>
        <v>1</v>
      </c>
      <c r="G64" s="46">
        <f>IFERROR(__xludf.DUMMYFUNCTION("""COMPUTED_VALUE"""),5796.0)</f>
        <v>5796</v>
      </c>
      <c r="H64" s="46">
        <f>IFERROR(__xludf.DUMMYFUNCTION("""COMPUTED_VALUE"""),275020.2)</f>
        <v>275020.2</v>
      </c>
      <c r="I64" s="46">
        <f>IFERROR(__xludf.DUMMYFUNCTION("""COMPUTED_VALUE"""),184254.84)</f>
        <v>184254.84</v>
      </c>
      <c r="J64" s="46">
        <f>IFERROR(__xludf.DUMMYFUNCTION("""COMPUTED_VALUE"""),90765.36000000002)</f>
        <v>90765.36</v>
      </c>
      <c r="K64" s="46" t="str">
        <f t="array" ref="K64">TEXT(D64, "mmmm")</f>
        <v>March</v>
      </c>
      <c r="M64" s="46" t="str">
        <f>IFERROR(__xludf.DUMMYFUNCTION("""COMPUTED_VALUE"""),"Czech Republic")</f>
        <v>Czech Republic</v>
      </c>
      <c r="N64" s="94">
        <f>IFERROR(__xludf.DUMMYFUNCTION("""COMPUTED_VALUE"""),40330.0)</f>
        <v>40330</v>
      </c>
      <c r="O64" s="46">
        <f>IFERROR(__xludf.DUMMYFUNCTION("""COMPUTED_VALUE"""),1.0)</f>
        <v>1</v>
      </c>
      <c r="P64" s="46">
        <f>IFERROR(__xludf.DUMMYFUNCTION("""COMPUTED_VALUE"""),3886.0)</f>
        <v>3886</v>
      </c>
      <c r="Q64" s="46">
        <f>IFERROR(__xludf.DUMMYFUNCTION("""COMPUTED_VALUE"""),2530602.06)</f>
        <v>2530602.06</v>
      </c>
      <c r="R64" s="46">
        <f>IFERROR(__xludf.DUMMYFUNCTION("""COMPUTED_VALUE"""),2039994.56)</f>
        <v>2039994.56</v>
      </c>
      <c r="S64" s="46">
        <f>IFERROR(__xludf.DUMMYFUNCTION("""COMPUTED_VALUE"""),490607.5)</f>
        <v>490607.5</v>
      </c>
    </row>
    <row r="65">
      <c r="A65" s="46" t="str">
        <f>IFERROR(__xludf.DUMMYFUNCTION("""COMPUTED_VALUE"""),"Fruits")</f>
        <v>Fruits</v>
      </c>
      <c r="B65" s="46" t="str">
        <f>IFERROR(__xludf.DUMMYFUNCTION("""COMPUTED_VALUE"""),"France")</f>
        <v>France</v>
      </c>
      <c r="C65" s="46" t="str">
        <f>IFERROR(__xludf.DUMMYFUNCTION("""COMPUTED_VALUE"""),"Europe")</f>
        <v>Europe</v>
      </c>
      <c r="D65" s="90">
        <f>IFERROR(__xludf.DUMMYFUNCTION("""COMPUTED_VALUE"""),42795.0)</f>
        <v>42795</v>
      </c>
      <c r="E65" s="46">
        <f>IFERROR(__xludf.DUMMYFUNCTION("""COMPUTED_VALUE"""),2017.0)</f>
        <v>2017</v>
      </c>
      <c r="F65" s="46">
        <f>IFERROR(__xludf.DUMMYFUNCTION("""COMPUTED_VALUE"""),1.0)</f>
        <v>1</v>
      </c>
      <c r="G65" s="46">
        <f>IFERROR(__xludf.DUMMYFUNCTION("""COMPUTED_VALUE"""),6373.0)</f>
        <v>6373</v>
      </c>
      <c r="H65" s="46">
        <f>IFERROR(__xludf.DUMMYFUNCTION("""COMPUTED_VALUE"""),59460.090000000004)</f>
        <v>59460.09</v>
      </c>
      <c r="I65" s="46">
        <f>IFERROR(__xludf.DUMMYFUNCTION("""COMPUTED_VALUE"""),44101.159999999996)</f>
        <v>44101.16</v>
      </c>
      <c r="J65" s="46">
        <f>IFERROR(__xludf.DUMMYFUNCTION("""COMPUTED_VALUE"""),15358.930000000008)</f>
        <v>15358.93</v>
      </c>
      <c r="K65" s="46" t="str">
        <f t="array" ref="K65">TEXT(D65, "mmmm")</f>
        <v>March</v>
      </c>
      <c r="M65" s="46" t="str">
        <f>IFERROR(__xludf.DUMMYFUNCTION("""COMPUTED_VALUE"""),"France")</f>
        <v>France</v>
      </c>
      <c r="N65" s="94">
        <f>IFERROR(__xludf.DUMMYFUNCTION("""COMPUTED_VALUE"""),40330.0)</f>
        <v>40330</v>
      </c>
      <c r="O65" s="46">
        <f>IFERROR(__xludf.DUMMYFUNCTION("""COMPUTED_VALUE"""),1.0)</f>
        <v>1</v>
      </c>
      <c r="P65" s="46">
        <f>IFERROR(__xludf.DUMMYFUNCTION("""COMPUTED_VALUE"""),5682.0)</f>
        <v>5682</v>
      </c>
      <c r="Q65" s="46">
        <f>IFERROR(__xludf.DUMMYFUNCTION("""COMPUTED_VALUE"""),3700175.22)</f>
        <v>3700175.22</v>
      </c>
      <c r="R65" s="46">
        <f>IFERROR(__xludf.DUMMYFUNCTION("""COMPUTED_VALUE"""),2982822.72)</f>
        <v>2982822.72</v>
      </c>
      <c r="S65" s="46">
        <f>IFERROR(__xludf.DUMMYFUNCTION("""COMPUTED_VALUE"""),717352.5)</f>
        <v>717352.5</v>
      </c>
    </row>
    <row r="66">
      <c r="A66" s="46" t="str">
        <f>IFERROR(__xludf.DUMMYFUNCTION("""COMPUTED_VALUE"""),"Fruits")</f>
        <v>Fruits</v>
      </c>
      <c r="B66" s="46" t="str">
        <f>IFERROR(__xludf.DUMMYFUNCTION("""COMPUTED_VALUE"""),"Latvia")</f>
        <v>Latvia</v>
      </c>
      <c r="C66" s="46" t="str">
        <f>IFERROR(__xludf.DUMMYFUNCTION("""COMPUTED_VALUE"""),"Europe")</f>
        <v>Europe</v>
      </c>
      <c r="D66" s="90">
        <f>IFERROR(__xludf.DUMMYFUNCTION("""COMPUTED_VALUE"""),42795.0)</f>
        <v>42795</v>
      </c>
      <c r="E66" s="46">
        <f>IFERROR(__xludf.DUMMYFUNCTION("""COMPUTED_VALUE"""),2017.0)</f>
        <v>2017</v>
      </c>
      <c r="F66" s="46">
        <f>IFERROR(__xludf.DUMMYFUNCTION("""COMPUTED_VALUE"""),1.0)</f>
        <v>1</v>
      </c>
      <c r="G66" s="46">
        <f>IFERROR(__xludf.DUMMYFUNCTION("""COMPUTED_VALUE"""),5792.0)</f>
        <v>5792</v>
      </c>
      <c r="H66" s="46">
        <f>IFERROR(__xludf.DUMMYFUNCTION("""COMPUTED_VALUE"""),54039.36)</f>
        <v>54039.36</v>
      </c>
      <c r="I66" s="46">
        <f>IFERROR(__xludf.DUMMYFUNCTION("""COMPUTED_VALUE"""),40080.64)</f>
        <v>40080.64</v>
      </c>
      <c r="J66" s="46">
        <f>IFERROR(__xludf.DUMMYFUNCTION("""COMPUTED_VALUE"""),13958.720000000001)</f>
        <v>13958.72</v>
      </c>
      <c r="K66" s="46" t="str">
        <f t="array" ref="K66">TEXT(D66, "mmmm")</f>
        <v>March</v>
      </c>
      <c r="M66" s="46" t="str">
        <f>IFERROR(__xludf.DUMMYFUNCTION("""COMPUTED_VALUE"""),"Iceland")</f>
        <v>Iceland</v>
      </c>
      <c r="N66" s="94">
        <f>IFERROR(__xludf.DUMMYFUNCTION("""COMPUTED_VALUE"""),40330.0)</f>
        <v>40330</v>
      </c>
      <c r="O66" s="46">
        <f>IFERROR(__xludf.DUMMYFUNCTION("""COMPUTED_VALUE"""),1.0)</f>
        <v>1</v>
      </c>
      <c r="P66" s="46">
        <f>IFERROR(__xludf.DUMMYFUNCTION("""COMPUTED_VALUE"""),3931.0)</f>
        <v>3931</v>
      </c>
      <c r="Q66" s="46">
        <f>IFERROR(__xludf.DUMMYFUNCTION("""COMPUTED_VALUE"""),808606.7)</f>
        <v>808606.7</v>
      </c>
      <c r="R66" s="46">
        <f>IFERROR(__xludf.DUMMYFUNCTION("""COMPUTED_VALUE"""),460359.41)</f>
        <v>460359.41</v>
      </c>
      <c r="S66" s="46">
        <f>IFERROR(__xludf.DUMMYFUNCTION("""COMPUTED_VALUE"""),348247.29)</f>
        <v>348247.29</v>
      </c>
    </row>
    <row r="67">
      <c r="A67" s="46" t="str">
        <f>IFERROR(__xludf.DUMMYFUNCTION("""COMPUTED_VALUE"""),"Household")</f>
        <v>Household</v>
      </c>
      <c r="B67" s="46" t="str">
        <f>IFERROR(__xludf.DUMMYFUNCTION("""COMPUTED_VALUE"""),"Undefined")</f>
        <v>Undefined</v>
      </c>
      <c r="C67" s="46" t="str">
        <f>IFERROR(__xludf.DUMMYFUNCTION("""COMPUTED_VALUE"""),"Undefined")</f>
        <v>Undefined</v>
      </c>
      <c r="D67" s="90">
        <f>IFERROR(__xludf.DUMMYFUNCTION("""COMPUTED_VALUE"""),42795.0)</f>
        <v>42795</v>
      </c>
      <c r="E67" s="46">
        <f>IFERROR(__xludf.DUMMYFUNCTION("""COMPUTED_VALUE"""),2017.0)</f>
        <v>2017</v>
      </c>
      <c r="F67" s="46">
        <f>IFERROR(__xludf.DUMMYFUNCTION("""COMPUTED_VALUE"""),1.0)</f>
        <v>1</v>
      </c>
      <c r="G67" s="46">
        <f>IFERROR(__xludf.DUMMYFUNCTION("""COMPUTED_VALUE"""),6134.0)</f>
        <v>6134</v>
      </c>
      <c r="H67" s="46">
        <f>IFERROR(__xludf.DUMMYFUNCTION("""COMPUTED_VALUE"""),4099168.1799999997)</f>
        <v>4099168.18</v>
      </c>
      <c r="I67" s="46">
        <f>IFERROR(__xludf.DUMMYFUNCTION("""COMPUTED_VALUE"""),3082580.3600000003)</f>
        <v>3082580.36</v>
      </c>
      <c r="J67" s="46">
        <f>IFERROR(__xludf.DUMMYFUNCTION("""COMPUTED_VALUE"""),1016587.8199999994)</f>
        <v>1016587.82</v>
      </c>
      <c r="K67" s="46" t="str">
        <f t="array" ref="K67">TEXT(D67, "mmmm")</f>
        <v>March</v>
      </c>
      <c r="M67" s="46" t="str">
        <f>IFERROR(__xludf.DUMMYFUNCTION("""COMPUTED_VALUE"""),"Italy")</f>
        <v>Italy</v>
      </c>
      <c r="N67" s="94">
        <f>IFERROR(__xludf.DUMMYFUNCTION("""COMPUTED_VALUE"""),40330.0)</f>
        <v>40330</v>
      </c>
      <c r="O67" s="46">
        <f>IFERROR(__xludf.DUMMYFUNCTION("""COMPUTED_VALUE"""),1.0)</f>
        <v>1</v>
      </c>
      <c r="P67" s="46">
        <f>IFERROR(__xludf.DUMMYFUNCTION("""COMPUTED_VALUE"""),4377.0)</f>
        <v>4377</v>
      </c>
      <c r="Q67" s="46">
        <f>IFERROR(__xludf.DUMMYFUNCTION("""COMPUTED_VALUE"""),1117360.56)</f>
        <v>1117360.56</v>
      </c>
      <c r="R67" s="46">
        <f>IFERROR(__xludf.DUMMYFUNCTION("""COMPUTED_VALUE"""),697781.34)</f>
        <v>697781.34</v>
      </c>
      <c r="S67" s="46">
        <f>IFERROR(__xludf.DUMMYFUNCTION("""COMPUTED_VALUE"""),419579.2200000001)</f>
        <v>419579.22</v>
      </c>
    </row>
    <row r="68">
      <c r="A68" s="46" t="str">
        <f>IFERROR(__xludf.DUMMYFUNCTION("""COMPUTED_VALUE"""),"Meat")</f>
        <v>Meat</v>
      </c>
      <c r="B68" s="46" t="str">
        <f>IFERROR(__xludf.DUMMYFUNCTION("""COMPUTED_VALUE"""),"Netherlands")</f>
        <v>Netherlands</v>
      </c>
      <c r="C68" s="46" t="str">
        <f>IFERROR(__xludf.DUMMYFUNCTION("""COMPUTED_VALUE"""),"Europe")</f>
        <v>Europe</v>
      </c>
      <c r="D68" s="90">
        <f>IFERROR(__xludf.DUMMYFUNCTION("""COMPUTED_VALUE"""),42795.0)</f>
        <v>42795</v>
      </c>
      <c r="E68" s="46">
        <f>IFERROR(__xludf.DUMMYFUNCTION("""COMPUTED_VALUE"""),2017.0)</f>
        <v>2017</v>
      </c>
      <c r="F68" s="46">
        <f>IFERROR(__xludf.DUMMYFUNCTION("""COMPUTED_VALUE"""),1.0)</f>
        <v>1</v>
      </c>
      <c r="G68" s="46">
        <f>IFERROR(__xludf.DUMMYFUNCTION("""COMPUTED_VALUE"""),1916.0)</f>
        <v>1916</v>
      </c>
      <c r="H68" s="46">
        <f>IFERROR(__xludf.DUMMYFUNCTION("""COMPUTED_VALUE"""),808341.24)</f>
        <v>808341.24</v>
      </c>
      <c r="I68" s="46">
        <f>IFERROR(__xludf.DUMMYFUNCTION("""COMPUTED_VALUE"""),698746.04)</f>
        <v>698746.04</v>
      </c>
      <c r="J68" s="46">
        <f>IFERROR(__xludf.DUMMYFUNCTION("""COMPUTED_VALUE"""),109595.19999999995)</f>
        <v>109595.2</v>
      </c>
      <c r="K68" s="46" t="str">
        <f t="array" ref="K68">TEXT(D68, "mmmm")</f>
        <v>March</v>
      </c>
      <c r="M68" s="46" t="str">
        <f>IFERROR(__xludf.DUMMYFUNCTION("""COMPUTED_VALUE"""),"Latvia")</f>
        <v>Latvia</v>
      </c>
      <c r="N68" s="94">
        <f>IFERROR(__xludf.DUMMYFUNCTION("""COMPUTED_VALUE"""),40330.0)</f>
        <v>40330</v>
      </c>
      <c r="O68" s="46">
        <f>IFERROR(__xludf.DUMMYFUNCTION("""COMPUTED_VALUE"""),1.0)</f>
        <v>1</v>
      </c>
      <c r="P68" s="46">
        <f>IFERROR(__xludf.DUMMYFUNCTION("""COMPUTED_VALUE"""),5462.0)</f>
        <v>5462</v>
      </c>
      <c r="Q68" s="46">
        <f>IFERROR(__xludf.DUMMYFUNCTION("""COMPUTED_VALUE"""),1123533.4)</f>
        <v>1123533.4</v>
      </c>
      <c r="R68" s="46">
        <f>IFERROR(__xludf.DUMMYFUNCTION("""COMPUTED_VALUE"""),639654.82)</f>
        <v>639654.82</v>
      </c>
      <c r="S68" s="46">
        <f>IFERROR(__xludf.DUMMYFUNCTION("""COMPUTED_VALUE"""),483878.57999999996)</f>
        <v>483878.58</v>
      </c>
    </row>
    <row r="69">
      <c r="A69" s="46" t="str">
        <f>IFERROR(__xludf.DUMMYFUNCTION("""COMPUTED_VALUE"""),"Meat")</f>
        <v>Meat</v>
      </c>
      <c r="B69" s="46" t="str">
        <f>IFERROR(__xludf.DUMMYFUNCTION("""COMPUTED_VALUE"""),"Norway")</f>
        <v>Norway</v>
      </c>
      <c r="C69" s="46" t="str">
        <f>IFERROR(__xludf.DUMMYFUNCTION("""COMPUTED_VALUE"""),"Europe")</f>
        <v>Europe</v>
      </c>
      <c r="D69" s="90">
        <f>IFERROR(__xludf.DUMMYFUNCTION("""COMPUTED_VALUE"""),42795.0)</f>
        <v>42795</v>
      </c>
      <c r="E69" s="46">
        <f>IFERROR(__xludf.DUMMYFUNCTION("""COMPUTED_VALUE"""),2017.0)</f>
        <v>2017</v>
      </c>
      <c r="F69" s="46">
        <f>IFERROR(__xludf.DUMMYFUNCTION("""COMPUTED_VALUE"""),1.0)</f>
        <v>1</v>
      </c>
      <c r="G69" s="46">
        <f>IFERROR(__xludf.DUMMYFUNCTION("""COMPUTED_VALUE"""),661.0)</f>
        <v>661</v>
      </c>
      <c r="H69" s="46">
        <f>IFERROR(__xludf.DUMMYFUNCTION("""COMPUTED_VALUE"""),278869.29)</f>
        <v>278869.29</v>
      </c>
      <c r="I69" s="46">
        <f>IFERROR(__xludf.DUMMYFUNCTION("""COMPUTED_VALUE"""),241060.09)</f>
        <v>241060.09</v>
      </c>
      <c r="J69" s="46">
        <f>IFERROR(__xludf.DUMMYFUNCTION("""COMPUTED_VALUE"""),37809.19999999998)</f>
        <v>37809.2</v>
      </c>
      <c r="K69" s="46" t="str">
        <f t="array" ref="K69">TEXT(D69, "mmmm")</f>
        <v>March</v>
      </c>
      <c r="M69" s="46" t="str">
        <f>IFERROR(__xludf.DUMMYFUNCTION("""COMPUTED_VALUE"""),"Malta")</f>
        <v>Malta</v>
      </c>
      <c r="N69" s="94">
        <f>IFERROR(__xludf.DUMMYFUNCTION("""COMPUTED_VALUE"""),40330.0)</f>
        <v>40330</v>
      </c>
      <c r="O69" s="46">
        <f>IFERROR(__xludf.DUMMYFUNCTION("""COMPUTED_VALUE"""),1.0)</f>
        <v>1</v>
      </c>
      <c r="P69" s="46">
        <f>IFERROR(__xludf.DUMMYFUNCTION("""COMPUTED_VALUE"""),2070.0)</f>
        <v>2070</v>
      </c>
      <c r="Q69" s="46">
        <f>IFERROR(__xludf.DUMMYFUNCTION("""COMPUTED_VALUE"""),905004.0)</f>
        <v>905004</v>
      </c>
      <c r="R69" s="46">
        <f>IFERROR(__xludf.DUMMYFUNCTION("""COMPUTED_VALUE"""),545093.1)</f>
        <v>545093.1</v>
      </c>
      <c r="S69" s="46">
        <f>IFERROR(__xludf.DUMMYFUNCTION("""COMPUTED_VALUE"""),359910.9)</f>
        <v>359910.9</v>
      </c>
    </row>
    <row r="70">
      <c r="A70" s="46" t="str">
        <f>IFERROR(__xludf.DUMMYFUNCTION("""COMPUTED_VALUE"""),"Office Supplies")</f>
        <v>Office Supplies</v>
      </c>
      <c r="B70" s="46" t="str">
        <f>IFERROR(__xludf.DUMMYFUNCTION("""COMPUTED_VALUE"""),"San Marino")</f>
        <v>San Marino</v>
      </c>
      <c r="C70" s="46" t="str">
        <f>IFERROR(__xludf.DUMMYFUNCTION("""COMPUTED_VALUE"""),"Europe")</f>
        <v>Europe</v>
      </c>
      <c r="D70" s="90">
        <f>IFERROR(__xludf.DUMMYFUNCTION("""COMPUTED_VALUE"""),42795.0)</f>
        <v>42795</v>
      </c>
      <c r="E70" s="46">
        <f>IFERROR(__xludf.DUMMYFUNCTION("""COMPUTED_VALUE"""),2017.0)</f>
        <v>2017</v>
      </c>
      <c r="F70" s="46">
        <f>IFERROR(__xludf.DUMMYFUNCTION("""COMPUTED_VALUE"""),1.0)</f>
        <v>1</v>
      </c>
      <c r="G70" s="46">
        <f>IFERROR(__xludf.DUMMYFUNCTION("""COMPUTED_VALUE"""),8597.0)</f>
        <v>8597</v>
      </c>
      <c r="H70" s="46">
        <f>IFERROR(__xludf.DUMMYFUNCTION("""COMPUTED_VALUE"""),5598452.37)</f>
        <v>5598452.37</v>
      </c>
      <c r="I70" s="46">
        <f>IFERROR(__xludf.DUMMYFUNCTION("""COMPUTED_VALUE"""),4513081.12)</f>
        <v>4513081.12</v>
      </c>
      <c r="J70" s="46">
        <f>IFERROR(__xludf.DUMMYFUNCTION("""COMPUTED_VALUE"""),1085371.25)</f>
        <v>1085371.25</v>
      </c>
      <c r="K70" s="46" t="str">
        <f t="array" ref="K70">TEXT(D70, "mmmm")</f>
        <v>March</v>
      </c>
      <c r="M70" s="46" t="str">
        <f>IFERROR(__xludf.DUMMYFUNCTION("""COMPUTED_VALUE"""),"Montenegro")</f>
        <v>Montenegro</v>
      </c>
      <c r="N70" s="94">
        <f>IFERROR(__xludf.DUMMYFUNCTION("""COMPUTED_VALUE"""),40330.0)</f>
        <v>40330</v>
      </c>
      <c r="O70" s="46">
        <f>IFERROR(__xludf.DUMMYFUNCTION("""COMPUTED_VALUE"""),1.0)</f>
        <v>1</v>
      </c>
      <c r="P70" s="46">
        <f>IFERROR(__xludf.DUMMYFUNCTION("""COMPUTED_VALUE"""),7642.0)</f>
        <v>7642</v>
      </c>
      <c r="Q70" s="46">
        <f>IFERROR(__xludf.DUMMYFUNCTION("""COMPUTED_VALUE"""),1571959.4)</f>
        <v>1571959.4</v>
      </c>
      <c r="R70" s="46">
        <f>IFERROR(__xludf.DUMMYFUNCTION("""COMPUTED_VALUE"""),894954.62)</f>
        <v>894954.62</v>
      </c>
      <c r="S70" s="46">
        <f>IFERROR(__xludf.DUMMYFUNCTION("""COMPUTED_VALUE"""),677004.7799999999)</f>
        <v>677004.78</v>
      </c>
    </row>
    <row r="71">
      <c r="A71" s="46" t="str">
        <f>IFERROR(__xludf.DUMMYFUNCTION("""COMPUTED_VALUE"""),"Office Supplies")</f>
        <v>Office Supplies</v>
      </c>
      <c r="B71" s="46" t="str">
        <f>IFERROR(__xludf.DUMMYFUNCTION("""COMPUTED_VALUE"""),"Serbia")</f>
        <v>Serbia</v>
      </c>
      <c r="C71" s="46" t="str">
        <f>IFERROR(__xludf.DUMMYFUNCTION("""COMPUTED_VALUE"""),"Europe")</f>
        <v>Europe</v>
      </c>
      <c r="D71" s="90">
        <f>IFERROR(__xludf.DUMMYFUNCTION("""COMPUTED_VALUE"""),42795.0)</f>
        <v>42795</v>
      </c>
      <c r="E71" s="46">
        <f>IFERROR(__xludf.DUMMYFUNCTION("""COMPUTED_VALUE"""),2017.0)</f>
        <v>2017</v>
      </c>
      <c r="F71" s="46">
        <f>IFERROR(__xludf.DUMMYFUNCTION("""COMPUTED_VALUE"""),1.0)</f>
        <v>1</v>
      </c>
      <c r="G71" s="46">
        <f>IFERROR(__xludf.DUMMYFUNCTION("""COMPUTED_VALUE"""),9284.0)</f>
        <v>9284</v>
      </c>
      <c r="H71" s="46">
        <f>IFERROR(__xludf.DUMMYFUNCTION("""COMPUTED_VALUE"""),6045833.640000001)</f>
        <v>6045833.64</v>
      </c>
      <c r="I71" s="46">
        <f>IFERROR(__xludf.DUMMYFUNCTION("""COMPUTED_VALUE"""),4873728.640000001)</f>
        <v>4873728.64</v>
      </c>
      <c r="J71" s="46">
        <f>IFERROR(__xludf.DUMMYFUNCTION("""COMPUTED_VALUE"""),1172105.0)</f>
        <v>1172105</v>
      </c>
      <c r="K71" s="46" t="str">
        <f t="array" ref="K71">TEXT(D71, "mmmm")</f>
        <v>March</v>
      </c>
      <c r="M71" s="46" t="str">
        <f>IFERROR(__xludf.DUMMYFUNCTION("""COMPUTED_VALUE"""),"Portugal")</f>
        <v>Portugal</v>
      </c>
      <c r="N71" s="94">
        <f>IFERROR(__xludf.DUMMYFUNCTION("""COMPUTED_VALUE"""),40330.0)</f>
        <v>40330</v>
      </c>
      <c r="O71" s="46">
        <f>IFERROR(__xludf.DUMMYFUNCTION("""COMPUTED_VALUE"""),1.0)</f>
        <v>1</v>
      </c>
      <c r="P71" s="46">
        <f>IFERROR(__xludf.DUMMYFUNCTION("""COMPUTED_VALUE"""),6592.0)</f>
        <v>6592</v>
      </c>
      <c r="Q71" s="46">
        <f>IFERROR(__xludf.DUMMYFUNCTION("""COMPUTED_VALUE"""),1005807.3600000001)</f>
        <v>1005807.36</v>
      </c>
      <c r="R71" s="46">
        <f>IFERROR(__xludf.DUMMYFUNCTION("""COMPUTED_VALUE"""),642324.48)</f>
        <v>642324.48</v>
      </c>
      <c r="S71" s="46">
        <f>IFERROR(__xludf.DUMMYFUNCTION("""COMPUTED_VALUE"""),363482.8800000001)</f>
        <v>363482.88</v>
      </c>
    </row>
    <row r="72">
      <c r="A72" s="46" t="str">
        <f>IFERROR(__xludf.DUMMYFUNCTION("""COMPUTED_VALUE"""),"Personal Care")</f>
        <v>Personal Care</v>
      </c>
      <c r="B72" s="46" t="str">
        <f>IFERROR(__xludf.DUMMYFUNCTION("""COMPUTED_VALUE"""),"France")</f>
        <v>France</v>
      </c>
      <c r="C72" s="46" t="str">
        <f>IFERROR(__xludf.DUMMYFUNCTION("""COMPUTED_VALUE"""),"Europe")</f>
        <v>Europe</v>
      </c>
      <c r="D72" s="90">
        <f>IFERROR(__xludf.DUMMYFUNCTION("""COMPUTED_VALUE"""),42795.0)</f>
        <v>42795</v>
      </c>
      <c r="E72" s="46">
        <f>IFERROR(__xludf.DUMMYFUNCTION("""COMPUTED_VALUE"""),2017.0)</f>
        <v>2017</v>
      </c>
      <c r="F72" s="46">
        <f>IFERROR(__xludf.DUMMYFUNCTION("""COMPUTED_VALUE"""),1.0)</f>
        <v>1</v>
      </c>
      <c r="G72" s="46">
        <f>IFERROR(__xludf.DUMMYFUNCTION("""COMPUTED_VALUE"""),7954.0)</f>
        <v>7954</v>
      </c>
      <c r="H72" s="46">
        <f>IFERROR(__xludf.DUMMYFUNCTION("""COMPUTED_VALUE"""),650080.42)</f>
        <v>650080.42</v>
      </c>
      <c r="I72" s="46">
        <f>IFERROR(__xludf.DUMMYFUNCTION("""COMPUTED_VALUE"""),450753.18)</f>
        <v>450753.18</v>
      </c>
      <c r="J72" s="46">
        <f>IFERROR(__xludf.DUMMYFUNCTION("""COMPUTED_VALUE"""),199327.24000000005)</f>
        <v>199327.24</v>
      </c>
      <c r="K72" s="46" t="str">
        <f t="array" ref="K72">TEXT(D72, "mmmm")</f>
        <v>March</v>
      </c>
      <c r="M72" s="46" t="str">
        <f>IFERROR(__xludf.DUMMYFUNCTION("""COMPUTED_VALUE"""),"Slovenia")</f>
        <v>Slovenia</v>
      </c>
      <c r="N72" s="94">
        <f>IFERROR(__xludf.DUMMYFUNCTION("""COMPUTED_VALUE"""),40330.0)</f>
        <v>40330</v>
      </c>
      <c r="O72" s="46">
        <f>IFERROR(__xludf.DUMMYFUNCTION("""COMPUTED_VALUE"""),1.0)</f>
        <v>1</v>
      </c>
      <c r="P72" s="46">
        <f>IFERROR(__xludf.DUMMYFUNCTION("""COMPUTED_VALUE"""),3851.0)</f>
        <v>3851</v>
      </c>
      <c r="Q72" s="46">
        <f>IFERROR(__xludf.DUMMYFUNCTION("""COMPUTED_VALUE"""),314742.23000000004)</f>
        <v>314742.23</v>
      </c>
      <c r="R72" s="46">
        <f>IFERROR(__xludf.DUMMYFUNCTION("""COMPUTED_VALUE"""),218236.17)</f>
        <v>218236.17</v>
      </c>
      <c r="S72" s="46">
        <f>IFERROR(__xludf.DUMMYFUNCTION("""COMPUTED_VALUE"""),96506.06000000003)</f>
        <v>96506.06</v>
      </c>
    </row>
    <row r="73">
      <c r="A73" s="46" t="str">
        <f>IFERROR(__xludf.DUMMYFUNCTION("""COMPUTED_VALUE"""),"Snacks")</f>
        <v>Snacks</v>
      </c>
      <c r="B73" s="46" t="str">
        <f>IFERROR(__xludf.DUMMYFUNCTION("""COMPUTED_VALUE"""),"Bulgaria")</f>
        <v>Bulgaria</v>
      </c>
      <c r="C73" s="46" t="str">
        <f>IFERROR(__xludf.DUMMYFUNCTION("""COMPUTED_VALUE"""),"Europe")</f>
        <v>Europe</v>
      </c>
      <c r="D73" s="90">
        <f>IFERROR(__xludf.DUMMYFUNCTION("""COMPUTED_VALUE"""),42795.0)</f>
        <v>42795</v>
      </c>
      <c r="E73" s="46">
        <f>IFERROR(__xludf.DUMMYFUNCTION("""COMPUTED_VALUE"""),2017.0)</f>
        <v>2017</v>
      </c>
      <c r="F73" s="46">
        <f>IFERROR(__xludf.DUMMYFUNCTION("""COMPUTED_VALUE"""),1.0)</f>
        <v>1</v>
      </c>
      <c r="G73" s="46">
        <f>IFERROR(__xludf.DUMMYFUNCTION("""COMPUTED_VALUE"""),1225.0)</f>
        <v>1225</v>
      </c>
      <c r="H73" s="46">
        <f>IFERROR(__xludf.DUMMYFUNCTION("""COMPUTED_VALUE"""),186910.50000000003)</f>
        <v>186910.5</v>
      </c>
      <c r="I73" s="46">
        <f>IFERROR(__xludf.DUMMYFUNCTION("""COMPUTED_VALUE"""),119364.0)</f>
        <v>119364</v>
      </c>
      <c r="J73" s="46">
        <f>IFERROR(__xludf.DUMMYFUNCTION("""COMPUTED_VALUE"""),67546.50000000003)</f>
        <v>67546.5</v>
      </c>
      <c r="K73" s="46" t="str">
        <f t="array" ref="K73">TEXT(D73, "mmmm")</f>
        <v>March</v>
      </c>
      <c r="M73" s="46" t="str">
        <f>IFERROR(__xludf.DUMMYFUNCTION("""COMPUTED_VALUE"""),"Sweden")</f>
        <v>Sweden</v>
      </c>
      <c r="N73" s="94">
        <f>IFERROR(__xludf.DUMMYFUNCTION("""COMPUTED_VALUE"""),40330.0)</f>
        <v>40330</v>
      </c>
      <c r="O73" s="46">
        <f>IFERROR(__xludf.DUMMYFUNCTION("""COMPUTED_VALUE"""),1.0)</f>
        <v>1</v>
      </c>
      <c r="P73" s="46">
        <f>IFERROR(__xludf.DUMMYFUNCTION("""COMPUTED_VALUE"""),5926.0)</f>
        <v>5926</v>
      </c>
      <c r="Q73" s="46">
        <f>IFERROR(__xludf.DUMMYFUNCTION("""COMPUTED_VALUE"""),3960168.02)</f>
        <v>3960168.02</v>
      </c>
      <c r="R73" s="46">
        <f>IFERROR(__xludf.DUMMYFUNCTION("""COMPUTED_VALUE"""),2978052.04)</f>
        <v>2978052.04</v>
      </c>
      <c r="S73" s="46">
        <f>IFERROR(__xludf.DUMMYFUNCTION("""COMPUTED_VALUE"""),982115.98)</f>
        <v>982115.98</v>
      </c>
    </row>
    <row r="74">
      <c r="A74" s="46" t="str">
        <f>IFERROR(__xludf.DUMMYFUNCTION("""COMPUTED_VALUE"""),"Snacks")</f>
        <v>Snacks</v>
      </c>
      <c r="B74" s="46" t="str">
        <f>IFERROR(__xludf.DUMMYFUNCTION("""COMPUTED_VALUE"""),"Latvia")</f>
        <v>Latvia</v>
      </c>
      <c r="C74" s="46" t="str">
        <f>IFERROR(__xludf.DUMMYFUNCTION("""COMPUTED_VALUE"""),"Europe")</f>
        <v>Europe</v>
      </c>
      <c r="D74" s="90">
        <f>IFERROR(__xludf.DUMMYFUNCTION("""COMPUTED_VALUE"""),42795.0)</f>
        <v>42795</v>
      </c>
      <c r="E74" s="46">
        <f>IFERROR(__xludf.DUMMYFUNCTION("""COMPUTED_VALUE"""),2017.0)</f>
        <v>2017</v>
      </c>
      <c r="F74" s="46">
        <f>IFERROR(__xludf.DUMMYFUNCTION("""COMPUTED_VALUE"""),2.0)</f>
        <v>2</v>
      </c>
      <c r="G74" s="46">
        <f>IFERROR(__xludf.DUMMYFUNCTION("""COMPUTED_VALUE"""),15395.0)</f>
        <v>15395</v>
      </c>
      <c r="H74" s="46">
        <f>IFERROR(__xludf.DUMMYFUNCTION("""COMPUTED_VALUE"""),2348969.1)</f>
        <v>2348969.1</v>
      </c>
      <c r="I74" s="46">
        <f>IFERROR(__xludf.DUMMYFUNCTION("""COMPUTED_VALUE"""),1500088.7999999998)</f>
        <v>1500088.8</v>
      </c>
      <c r="J74" s="46">
        <f>IFERROR(__xludf.DUMMYFUNCTION("""COMPUTED_VALUE"""),848880.3000000003)</f>
        <v>848880.3</v>
      </c>
      <c r="K74" s="46" t="str">
        <f t="array" ref="K74">TEXT(D74, "mmmm")</f>
        <v>March</v>
      </c>
      <c r="M74" s="46" t="str">
        <f>IFERROR(__xludf.DUMMYFUNCTION("""COMPUTED_VALUE"""),"Switzerland")</f>
        <v>Switzerland</v>
      </c>
      <c r="N74" s="94">
        <f>IFERROR(__xludf.DUMMYFUNCTION("""COMPUTED_VALUE"""),40330.0)</f>
        <v>40330</v>
      </c>
      <c r="O74" s="46">
        <f>IFERROR(__xludf.DUMMYFUNCTION("""COMPUTED_VALUE"""),1.0)</f>
        <v>1</v>
      </c>
      <c r="P74" s="46">
        <f>IFERROR(__xludf.DUMMYFUNCTION("""COMPUTED_VALUE"""),8591.0)</f>
        <v>8591</v>
      </c>
      <c r="Q74" s="46">
        <f>IFERROR(__xludf.DUMMYFUNCTION("""COMPUTED_VALUE"""),2193110.48)</f>
        <v>2193110.48</v>
      </c>
      <c r="R74" s="46">
        <f>IFERROR(__xludf.DUMMYFUNCTION("""COMPUTED_VALUE"""),1369577.22)</f>
        <v>1369577.22</v>
      </c>
      <c r="S74" s="46">
        <f>IFERROR(__xludf.DUMMYFUNCTION("""COMPUTED_VALUE"""),823533.26)</f>
        <v>823533.26</v>
      </c>
    </row>
    <row r="75">
      <c r="A75" s="46" t="str">
        <f>IFERROR(__xludf.DUMMYFUNCTION("""COMPUTED_VALUE"""),"Vegetables")</f>
        <v>Vegetables</v>
      </c>
      <c r="B75" s="46" t="str">
        <f>IFERROR(__xludf.DUMMYFUNCTION("""COMPUTED_VALUE"""),"Netherlands")</f>
        <v>Netherlands</v>
      </c>
      <c r="C75" s="46" t="str">
        <f>IFERROR(__xludf.DUMMYFUNCTION("""COMPUTED_VALUE"""),"Europe")</f>
        <v>Europe</v>
      </c>
      <c r="D75" s="90">
        <f>IFERROR(__xludf.DUMMYFUNCTION("""COMPUTED_VALUE"""),42795.0)</f>
        <v>42795</v>
      </c>
      <c r="E75" s="46">
        <f>IFERROR(__xludf.DUMMYFUNCTION("""COMPUTED_VALUE"""),2017.0)</f>
        <v>2017</v>
      </c>
      <c r="F75" s="46">
        <f>IFERROR(__xludf.DUMMYFUNCTION("""COMPUTED_VALUE"""),1.0)</f>
        <v>1</v>
      </c>
      <c r="G75" s="46">
        <f>IFERROR(__xludf.DUMMYFUNCTION("""COMPUTED_VALUE"""),22.0)</f>
        <v>22</v>
      </c>
      <c r="H75" s="46">
        <f>IFERROR(__xludf.DUMMYFUNCTION("""COMPUTED_VALUE"""),3389.32)</f>
        <v>3389.32</v>
      </c>
      <c r="I75" s="46">
        <f>IFERROR(__xludf.DUMMYFUNCTION("""COMPUTED_VALUE"""),2000.46)</f>
        <v>2000.46</v>
      </c>
      <c r="J75" s="46">
        <f>IFERROR(__xludf.DUMMYFUNCTION("""COMPUTED_VALUE"""),1388.8600000000001)</f>
        <v>1388.86</v>
      </c>
      <c r="K75" s="46" t="str">
        <f t="array" ref="K75">TEXT(D75, "mmmm")</f>
        <v>March</v>
      </c>
      <c r="M75" s="46" t="str">
        <f>IFERROR(__xludf.DUMMYFUNCTION("""COMPUTED_VALUE"""),"Undefined")</f>
        <v>Undefined</v>
      </c>
      <c r="N75" s="94">
        <f>IFERROR(__xludf.DUMMYFUNCTION("""COMPUTED_VALUE"""),40330.0)</f>
        <v>40330</v>
      </c>
      <c r="O75" s="46">
        <f>IFERROR(__xludf.DUMMYFUNCTION("""COMPUTED_VALUE"""),2.0)</f>
        <v>2</v>
      </c>
      <c r="P75" s="46">
        <f>IFERROR(__xludf.DUMMYFUNCTION("""COMPUTED_VALUE"""),10618.0)</f>
        <v>10618</v>
      </c>
      <c r="Q75" s="46">
        <f>IFERROR(__xludf.DUMMYFUNCTION("""COMPUTED_VALUE"""),4479628.02)</f>
        <v>4479628.02</v>
      </c>
      <c r="R75" s="46">
        <f>IFERROR(__xludf.DUMMYFUNCTION("""COMPUTED_VALUE"""),3872278.42)</f>
        <v>3872278.42</v>
      </c>
      <c r="S75" s="46">
        <f>IFERROR(__xludf.DUMMYFUNCTION("""COMPUTED_VALUE"""),607349.5999999994)</f>
        <v>607349.6</v>
      </c>
    </row>
    <row r="76">
      <c r="A76" s="46" t="str">
        <f>IFERROR(__xludf.DUMMYFUNCTION("""COMPUTED_VALUE"""),"Vegetables")</f>
        <v>Vegetables</v>
      </c>
      <c r="B76" s="46" t="str">
        <f>IFERROR(__xludf.DUMMYFUNCTION("""COMPUTED_VALUE"""),"Spain")</f>
        <v>Spain</v>
      </c>
      <c r="C76" s="46" t="str">
        <f>IFERROR(__xludf.DUMMYFUNCTION("""COMPUTED_VALUE"""),"Europe")</f>
        <v>Europe</v>
      </c>
      <c r="D76" s="90">
        <f>IFERROR(__xludf.DUMMYFUNCTION("""COMPUTED_VALUE"""),42795.0)</f>
        <v>42795</v>
      </c>
      <c r="E76" s="46">
        <f>IFERROR(__xludf.DUMMYFUNCTION("""COMPUTED_VALUE"""),2017.0)</f>
        <v>2017</v>
      </c>
      <c r="F76" s="46">
        <f>IFERROR(__xludf.DUMMYFUNCTION("""COMPUTED_VALUE"""),1.0)</f>
        <v>1</v>
      </c>
      <c r="G76" s="46">
        <f>IFERROR(__xludf.DUMMYFUNCTION("""COMPUTED_VALUE"""),3747.0)</f>
        <v>3747</v>
      </c>
      <c r="H76" s="46">
        <f>IFERROR(__xludf.DUMMYFUNCTION("""COMPUTED_VALUE"""),577262.8200000001)</f>
        <v>577262.82</v>
      </c>
      <c r="I76" s="46">
        <f>IFERROR(__xludf.DUMMYFUNCTION("""COMPUTED_VALUE"""),340714.71)</f>
        <v>340714.71</v>
      </c>
      <c r="J76" s="46">
        <f>IFERROR(__xludf.DUMMYFUNCTION("""COMPUTED_VALUE"""),236548.11000000004)</f>
        <v>236548.11</v>
      </c>
      <c r="K76" s="46" t="str">
        <f t="array" ref="K76">TEXT(D76, "mmmm")</f>
        <v>March</v>
      </c>
      <c r="M76" s="46" t="str">
        <f>IFERROR(__xludf.DUMMYFUNCTION("""COMPUTED_VALUE"""),"Austria")</f>
        <v>Austria</v>
      </c>
      <c r="N76" s="94">
        <f>IFERROR(__xludf.DUMMYFUNCTION("""COMPUTED_VALUE"""),40360.0)</f>
        <v>40360</v>
      </c>
      <c r="O76" s="46">
        <f>IFERROR(__xludf.DUMMYFUNCTION("""COMPUTED_VALUE"""),1.0)</f>
        <v>1</v>
      </c>
      <c r="P76" s="46">
        <f>IFERROR(__xludf.DUMMYFUNCTION("""COMPUTED_VALUE"""),7604.0)</f>
        <v>7604</v>
      </c>
      <c r="Q76" s="46">
        <f>IFERROR(__xludf.DUMMYFUNCTION("""COMPUTED_VALUE"""),3324468.8)</f>
        <v>3324468.8</v>
      </c>
      <c r="R76" s="46">
        <f>IFERROR(__xludf.DUMMYFUNCTION("""COMPUTED_VALUE"""),2002361.3199999998)</f>
        <v>2002361.32</v>
      </c>
      <c r="S76" s="46">
        <f>IFERROR(__xludf.DUMMYFUNCTION("""COMPUTED_VALUE"""),1322107.48)</f>
        <v>1322107.48</v>
      </c>
    </row>
    <row r="77">
      <c r="A77" s="46" t="str">
        <f>IFERROR(__xludf.DUMMYFUNCTION("""COMPUTED_VALUE"""),"Vegetables")</f>
        <v>Vegetables</v>
      </c>
      <c r="B77" s="46" t="str">
        <f>IFERROR(__xludf.DUMMYFUNCTION("""COMPUTED_VALUE"""),"Undefined")</f>
        <v>Undefined</v>
      </c>
      <c r="C77" s="46" t="str">
        <f>IFERROR(__xludf.DUMMYFUNCTION("""COMPUTED_VALUE"""),"Undefined")</f>
        <v>Undefined</v>
      </c>
      <c r="D77" s="90">
        <f>IFERROR(__xludf.DUMMYFUNCTION("""COMPUTED_VALUE"""),42795.0)</f>
        <v>42795</v>
      </c>
      <c r="E77" s="46">
        <f>IFERROR(__xludf.DUMMYFUNCTION("""COMPUTED_VALUE"""),2017.0)</f>
        <v>2017</v>
      </c>
      <c r="F77" s="46">
        <f>IFERROR(__xludf.DUMMYFUNCTION("""COMPUTED_VALUE"""),1.0)</f>
        <v>1</v>
      </c>
      <c r="G77" s="46">
        <f>IFERROR(__xludf.DUMMYFUNCTION("""COMPUTED_VALUE"""),9917.0)</f>
        <v>9917</v>
      </c>
      <c r="H77" s="46">
        <f>IFERROR(__xludf.DUMMYFUNCTION("""COMPUTED_VALUE"""),1527813.02)</f>
        <v>1527813.02</v>
      </c>
      <c r="I77" s="46">
        <f>IFERROR(__xludf.DUMMYFUNCTION("""COMPUTED_VALUE"""),901752.81)</f>
        <v>901752.81</v>
      </c>
      <c r="J77" s="46">
        <f>IFERROR(__xludf.DUMMYFUNCTION("""COMPUTED_VALUE"""),626060.21)</f>
        <v>626060.21</v>
      </c>
      <c r="K77" s="46" t="str">
        <f t="array" ref="K77">TEXT(D77, "mmmm")</f>
        <v>March</v>
      </c>
      <c r="M77" s="46" t="str">
        <f>IFERROR(__xludf.DUMMYFUNCTION("""COMPUTED_VALUE"""),"Bulgaria")</f>
        <v>Bulgaria</v>
      </c>
      <c r="N77" s="94">
        <f>IFERROR(__xludf.DUMMYFUNCTION("""COMPUTED_VALUE"""),40360.0)</f>
        <v>40360</v>
      </c>
      <c r="O77" s="46">
        <f>IFERROR(__xludf.DUMMYFUNCTION("""COMPUTED_VALUE"""),1.0)</f>
        <v>1</v>
      </c>
      <c r="P77" s="46">
        <f>IFERROR(__xludf.DUMMYFUNCTION("""COMPUTED_VALUE"""),1644.0)</f>
        <v>1644</v>
      </c>
      <c r="Q77" s="46">
        <f>IFERROR(__xludf.DUMMYFUNCTION("""COMPUTED_VALUE"""),693587.16)</f>
        <v>693587.16</v>
      </c>
      <c r="R77" s="46">
        <f>IFERROR(__xludf.DUMMYFUNCTION("""COMPUTED_VALUE"""),599550.36)</f>
        <v>599550.36</v>
      </c>
      <c r="S77" s="46">
        <f>IFERROR(__xludf.DUMMYFUNCTION("""COMPUTED_VALUE"""),94036.80000000005)</f>
        <v>94036.8</v>
      </c>
    </row>
    <row r="78">
      <c r="A78" s="46" t="str">
        <f>IFERROR(__xludf.DUMMYFUNCTION("""COMPUTED_VALUE"""),"Beverages")</f>
        <v>Beverages</v>
      </c>
      <c r="B78" s="46" t="str">
        <f>IFERROR(__xludf.DUMMYFUNCTION("""COMPUTED_VALUE"""),"Croatia")</f>
        <v>Croatia</v>
      </c>
      <c r="C78" s="46" t="str">
        <f>IFERROR(__xludf.DUMMYFUNCTION("""COMPUTED_VALUE"""),"Europe")</f>
        <v>Europe</v>
      </c>
      <c r="D78" s="90">
        <f>IFERROR(__xludf.DUMMYFUNCTION("""COMPUTED_VALUE"""),42767.0)</f>
        <v>42767</v>
      </c>
      <c r="E78" s="46">
        <f>IFERROR(__xludf.DUMMYFUNCTION("""COMPUTED_VALUE"""),2017.0)</f>
        <v>2017</v>
      </c>
      <c r="F78" s="46">
        <f>IFERROR(__xludf.DUMMYFUNCTION("""COMPUTED_VALUE"""),1.0)</f>
        <v>1</v>
      </c>
      <c r="G78" s="46">
        <f>IFERROR(__xludf.DUMMYFUNCTION("""COMPUTED_VALUE"""),4674.0)</f>
        <v>4674</v>
      </c>
      <c r="H78" s="46">
        <f>IFERROR(__xludf.DUMMYFUNCTION("""COMPUTED_VALUE"""),221781.30000000002)</f>
        <v>221781.3</v>
      </c>
      <c r="I78" s="46">
        <f>IFERROR(__xludf.DUMMYFUNCTION("""COMPUTED_VALUE"""),148586.46)</f>
        <v>148586.46</v>
      </c>
      <c r="J78" s="46">
        <f>IFERROR(__xludf.DUMMYFUNCTION("""COMPUTED_VALUE"""),73194.84000000003)</f>
        <v>73194.84</v>
      </c>
      <c r="K78" s="46" t="str">
        <f t="array" ref="K78">TEXT(D78, "mmmm")</f>
        <v>February</v>
      </c>
      <c r="M78" s="46" t="str">
        <f>IFERROR(__xludf.DUMMYFUNCTION("""COMPUTED_VALUE"""),"Ireland")</f>
        <v>Ireland</v>
      </c>
      <c r="N78" s="94">
        <f>IFERROR(__xludf.DUMMYFUNCTION("""COMPUTED_VALUE"""),40360.0)</f>
        <v>40360</v>
      </c>
      <c r="O78" s="46">
        <f>IFERROR(__xludf.DUMMYFUNCTION("""COMPUTED_VALUE"""),1.0)</f>
        <v>1</v>
      </c>
      <c r="P78" s="46">
        <f>IFERROR(__xludf.DUMMYFUNCTION("""COMPUTED_VALUE"""),3135.0)</f>
        <v>3135</v>
      </c>
      <c r="Q78" s="46">
        <f>IFERROR(__xludf.DUMMYFUNCTION("""COMPUTED_VALUE"""),800302.8)</f>
        <v>800302.8</v>
      </c>
      <c r="R78" s="46">
        <f>IFERROR(__xludf.DUMMYFUNCTION("""COMPUTED_VALUE"""),499781.69999999995)</f>
        <v>499781.7</v>
      </c>
      <c r="S78" s="46">
        <f>IFERROR(__xludf.DUMMYFUNCTION("""COMPUTED_VALUE"""),300521.1000000001)</f>
        <v>300521.1</v>
      </c>
    </row>
    <row r="79">
      <c r="A79" s="46" t="str">
        <f>IFERROR(__xludf.DUMMYFUNCTION("""COMPUTED_VALUE"""),"Beverages")</f>
        <v>Beverages</v>
      </c>
      <c r="B79" s="46" t="str">
        <f>IFERROR(__xludf.DUMMYFUNCTION("""COMPUTED_VALUE"""),"Estonia")</f>
        <v>Estonia</v>
      </c>
      <c r="C79" s="46" t="str">
        <f>IFERROR(__xludf.DUMMYFUNCTION("""COMPUTED_VALUE"""),"Europe")</f>
        <v>Europe</v>
      </c>
      <c r="D79" s="90">
        <f>IFERROR(__xludf.DUMMYFUNCTION("""COMPUTED_VALUE"""),42767.0)</f>
        <v>42767</v>
      </c>
      <c r="E79" s="46">
        <f>IFERROR(__xludf.DUMMYFUNCTION("""COMPUTED_VALUE"""),2017.0)</f>
        <v>2017</v>
      </c>
      <c r="F79" s="46">
        <f>IFERROR(__xludf.DUMMYFUNCTION("""COMPUTED_VALUE"""),1.0)</f>
        <v>1</v>
      </c>
      <c r="G79" s="46">
        <f>IFERROR(__xludf.DUMMYFUNCTION("""COMPUTED_VALUE"""),8412.0)</f>
        <v>8412</v>
      </c>
      <c r="H79" s="46">
        <f>IFERROR(__xludf.DUMMYFUNCTION("""COMPUTED_VALUE"""),399149.4)</f>
        <v>399149.4</v>
      </c>
      <c r="I79" s="46">
        <f>IFERROR(__xludf.DUMMYFUNCTION("""COMPUTED_VALUE"""),267417.48)</f>
        <v>267417.48</v>
      </c>
      <c r="J79" s="46">
        <f>IFERROR(__xludf.DUMMYFUNCTION("""COMPUTED_VALUE"""),131731.92000000004)</f>
        <v>131731.92</v>
      </c>
      <c r="K79" s="46" t="str">
        <f t="array" ref="K79">TEXT(D79, "mmmm")</f>
        <v>February</v>
      </c>
      <c r="M79" s="46" t="str">
        <f>IFERROR(__xludf.DUMMYFUNCTION("""COMPUTED_VALUE"""),"Liechtenstein")</f>
        <v>Liechtenstein</v>
      </c>
      <c r="N79" s="94">
        <f>IFERROR(__xludf.DUMMYFUNCTION("""COMPUTED_VALUE"""),40360.0)</f>
        <v>40360</v>
      </c>
      <c r="O79" s="46">
        <f>IFERROR(__xludf.DUMMYFUNCTION("""COMPUTED_VALUE"""),1.0)</f>
        <v>1</v>
      </c>
      <c r="P79" s="46">
        <f>IFERROR(__xludf.DUMMYFUNCTION("""COMPUTED_VALUE"""),7151.0)</f>
        <v>7151</v>
      </c>
      <c r="Q79" s="46">
        <f>IFERROR(__xludf.DUMMYFUNCTION("""COMPUTED_VALUE"""),3016935.39)</f>
        <v>3016935.39</v>
      </c>
      <c r="R79" s="46">
        <f>IFERROR(__xludf.DUMMYFUNCTION("""COMPUTED_VALUE"""),2607898.19)</f>
        <v>2607898.19</v>
      </c>
      <c r="S79" s="46">
        <f>IFERROR(__xludf.DUMMYFUNCTION("""COMPUTED_VALUE"""),409037.2000000002)</f>
        <v>409037.2</v>
      </c>
    </row>
    <row r="80">
      <c r="A80" s="46" t="str">
        <f>IFERROR(__xludf.DUMMYFUNCTION("""COMPUTED_VALUE"""),"Beverages")</f>
        <v>Beverages</v>
      </c>
      <c r="B80" s="46" t="str">
        <f>IFERROR(__xludf.DUMMYFUNCTION("""COMPUTED_VALUE"""),"Iceland")</f>
        <v>Iceland</v>
      </c>
      <c r="C80" s="46" t="str">
        <f>IFERROR(__xludf.DUMMYFUNCTION("""COMPUTED_VALUE"""),"Europe")</f>
        <v>Europe</v>
      </c>
      <c r="D80" s="90">
        <f>IFERROR(__xludf.DUMMYFUNCTION("""COMPUTED_VALUE"""),42767.0)</f>
        <v>42767</v>
      </c>
      <c r="E80" s="46">
        <f>IFERROR(__xludf.DUMMYFUNCTION("""COMPUTED_VALUE"""),2017.0)</f>
        <v>2017</v>
      </c>
      <c r="F80" s="46">
        <f>IFERROR(__xludf.DUMMYFUNCTION("""COMPUTED_VALUE"""),1.0)</f>
        <v>1</v>
      </c>
      <c r="G80" s="46">
        <f>IFERROR(__xludf.DUMMYFUNCTION("""COMPUTED_VALUE"""),9350.0)</f>
        <v>9350</v>
      </c>
      <c r="H80" s="46">
        <f>IFERROR(__xludf.DUMMYFUNCTION("""COMPUTED_VALUE"""),443657.5)</f>
        <v>443657.5</v>
      </c>
      <c r="I80" s="46">
        <f>IFERROR(__xludf.DUMMYFUNCTION("""COMPUTED_VALUE"""),297236.5)</f>
        <v>297236.5</v>
      </c>
      <c r="J80" s="46">
        <f>IFERROR(__xludf.DUMMYFUNCTION("""COMPUTED_VALUE"""),146421.0)</f>
        <v>146421</v>
      </c>
      <c r="K80" s="46" t="str">
        <f t="array" ref="K80">TEXT(D80, "mmmm")</f>
        <v>February</v>
      </c>
      <c r="M80" s="46" t="str">
        <f>IFERROR(__xludf.DUMMYFUNCTION("""COMPUTED_VALUE"""),"Malta")</f>
        <v>Malta</v>
      </c>
      <c r="N80" s="94">
        <f>IFERROR(__xludf.DUMMYFUNCTION("""COMPUTED_VALUE"""),40360.0)</f>
        <v>40360</v>
      </c>
      <c r="O80" s="46">
        <f>IFERROR(__xludf.DUMMYFUNCTION("""COMPUTED_VALUE"""),1.0)</f>
        <v>1</v>
      </c>
      <c r="P80" s="46">
        <f>IFERROR(__xludf.DUMMYFUNCTION("""COMPUTED_VALUE"""),4159.0)</f>
        <v>4159</v>
      </c>
      <c r="Q80" s="46">
        <f>IFERROR(__xludf.DUMMYFUNCTION("""COMPUTED_VALUE"""),38803.47)</f>
        <v>38803.47</v>
      </c>
      <c r="R80" s="46">
        <f>IFERROR(__xludf.DUMMYFUNCTION("""COMPUTED_VALUE"""),28780.28)</f>
        <v>28780.28</v>
      </c>
      <c r="S80" s="46">
        <f>IFERROR(__xludf.DUMMYFUNCTION("""COMPUTED_VALUE"""),10023.190000000002)</f>
        <v>10023.19</v>
      </c>
    </row>
    <row r="81">
      <c r="A81" s="46" t="str">
        <f>IFERROR(__xludf.DUMMYFUNCTION("""COMPUTED_VALUE"""),"Clothes")</f>
        <v>Clothes</v>
      </c>
      <c r="B81" s="46" t="str">
        <f>IFERROR(__xludf.DUMMYFUNCTION("""COMPUTED_VALUE"""),"Armenia")</f>
        <v>Armenia</v>
      </c>
      <c r="C81" s="46" t="str">
        <f>IFERROR(__xludf.DUMMYFUNCTION("""COMPUTED_VALUE"""),"Asia")</f>
        <v>Asia</v>
      </c>
      <c r="D81" s="90">
        <f>IFERROR(__xludf.DUMMYFUNCTION("""COMPUTED_VALUE"""),42767.0)</f>
        <v>42767</v>
      </c>
      <c r="E81" s="46">
        <f>IFERROR(__xludf.DUMMYFUNCTION("""COMPUTED_VALUE"""),2017.0)</f>
        <v>2017</v>
      </c>
      <c r="F81" s="46">
        <f>IFERROR(__xludf.DUMMYFUNCTION("""COMPUTED_VALUE"""),1.0)</f>
        <v>1</v>
      </c>
      <c r="G81" s="46">
        <f>IFERROR(__xludf.DUMMYFUNCTION("""COMPUTED_VALUE"""),5436.0)</f>
        <v>5436</v>
      </c>
      <c r="H81" s="46">
        <f>IFERROR(__xludf.DUMMYFUNCTION("""COMPUTED_VALUE"""),594046.08)</f>
        <v>594046.08</v>
      </c>
      <c r="I81" s="46">
        <f>IFERROR(__xludf.DUMMYFUNCTION("""COMPUTED_VALUE"""),194826.24000000002)</f>
        <v>194826.24</v>
      </c>
      <c r="J81" s="46">
        <f>IFERROR(__xludf.DUMMYFUNCTION("""COMPUTED_VALUE"""),399219.83999999997)</f>
        <v>399219.84</v>
      </c>
      <c r="K81" s="46" t="str">
        <f t="array" ref="K81">TEXT(D81, "mmmm")</f>
        <v>February</v>
      </c>
      <c r="M81" s="46" t="str">
        <f>IFERROR(__xludf.DUMMYFUNCTION("""COMPUTED_VALUE"""),"Romania")</f>
        <v>Romania</v>
      </c>
      <c r="N81" s="94">
        <f>IFERROR(__xludf.DUMMYFUNCTION("""COMPUTED_VALUE"""),40360.0)</f>
        <v>40360</v>
      </c>
      <c r="O81" s="46">
        <f>IFERROR(__xludf.DUMMYFUNCTION("""COMPUTED_VALUE"""),2.0)</f>
        <v>2</v>
      </c>
      <c r="P81" s="46">
        <f>IFERROR(__xludf.DUMMYFUNCTION("""COMPUTED_VALUE"""),16658.0)</f>
        <v>16658</v>
      </c>
      <c r="Q81" s="46">
        <f>IFERROR(__xludf.DUMMYFUNCTION("""COMPUTED_VALUE"""),410823.14)</f>
        <v>410823.14</v>
      </c>
      <c r="R81" s="46">
        <f>IFERROR(__xludf.DUMMYFUNCTION("""COMPUTED_VALUE"""),281902.36)</f>
        <v>281902.36</v>
      </c>
      <c r="S81" s="46">
        <f>IFERROR(__xludf.DUMMYFUNCTION("""COMPUTED_VALUE"""),128920.78)</f>
        <v>128920.78</v>
      </c>
    </row>
    <row r="82">
      <c r="A82" s="46" t="str">
        <f>IFERROR(__xludf.DUMMYFUNCTION("""COMPUTED_VALUE"""),"Clothes")</f>
        <v>Clothes</v>
      </c>
      <c r="B82" s="46" t="str">
        <f>IFERROR(__xludf.DUMMYFUNCTION("""COMPUTED_VALUE"""),"United Kingdom")</f>
        <v>United Kingdom</v>
      </c>
      <c r="C82" s="46" t="str">
        <f>IFERROR(__xludf.DUMMYFUNCTION("""COMPUTED_VALUE"""),"Europe")</f>
        <v>Europe</v>
      </c>
      <c r="D82" s="90">
        <f>IFERROR(__xludf.DUMMYFUNCTION("""COMPUTED_VALUE"""),42767.0)</f>
        <v>42767</v>
      </c>
      <c r="E82" s="46">
        <f>IFERROR(__xludf.DUMMYFUNCTION("""COMPUTED_VALUE"""),2017.0)</f>
        <v>2017</v>
      </c>
      <c r="F82" s="46">
        <f>IFERROR(__xludf.DUMMYFUNCTION("""COMPUTED_VALUE"""),1.0)</f>
        <v>1</v>
      </c>
      <c r="G82" s="46">
        <f>IFERROR(__xludf.DUMMYFUNCTION("""COMPUTED_VALUE"""),548.0)</f>
        <v>548</v>
      </c>
      <c r="H82" s="46">
        <f>IFERROR(__xludf.DUMMYFUNCTION("""COMPUTED_VALUE"""),59885.44)</f>
        <v>59885.44</v>
      </c>
      <c r="I82" s="46">
        <f>IFERROR(__xludf.DUMMYFUNCTION("""COMPUTED_VALUE"""),19640.320000000003)</f>
        <v>19640.32</v>
      </c>
      <c r="J82" s="46">
        <f>IFERROR(__xludf.DUMMYFUNCTION("""COMPUTED_VALUE"""),40245.119999999995)</f>
        <v>40245.12</v>
      </c>
      <c r="K82" s="46" t="str">
        <f t="array" ref="K82">TEXT(D82, "mmmm")</f>
        <v>February</v>
      </c>
      <c r="M82" s="46" t="str">
        <f>IFERROR(__xludf.DUMMYFUNCTION("""COMPUTED_VALUE"""),"Russia")</f>
        <v>Russia</v>
      </c>
      <c r="N82" s="94">
        <f>IFERROR(__xludf.DUMMYFUNCTION("""COMPUTED_VALUE"""),40360.0)</f>
        <v>40360</v>
      </c>
      <c r="O82" s="46">
        <f>IFERROR(__xludf.DUMMYFUNCTION("""COMPUTED_VALUE"""),1.0)</f>
        <v>1</v>
      </c>
      <c r="P82" s="46">
        <f>IFERROR(__xludf.DUMMYFUNCTION("""COMPUTED_VALUE"""),8980.0)</f>
        <v>8980</v>
      </c>
      <c r="Q82" s="46">
        <f>IFERROR(__xludf.DUMMYFUNCTION("""COMPUTED_VALUE"""),981334.4)</f>
        <v>981334.4</v>
      </c>
      <c r="R82" s="46">
        <f>IFERROR(__xludf.DUMMYFUNCTION("""COMPUTED_VALUE"""),321843.2)</f>
        <v>321843.2</v>
      </c>
      <c r="S82" s="46">
        <f>IFERROR(__xludf.DUMMYFUNCTION("""COMPUTED_VALUE"""),659491.2)</f>
        <v>659491.2</v>
      </c>
    </row>
    <row r="83">
      <c r="A83" s="46" t="str">
        <f>IFERROR(__xludf.DUMMYFUNCTION("""COMPUTED_VALUE"""),"Household")</f>
        <v>Household</v>
      </c>
      <c r="B83" s="46" t="str">
        <f>IFERROR(__xludf.DUMMYFUNCTION("""COMPUTED_VALUE"""),"Liechtenstein")</f>
        <v>Liechtenstein</v>
      </c>
      <c r="C83" s="46" t="str">
        <f>IFERROR(__xludf.DUMMYFUNCTION("""COMPUTED_VALUE"""),"Europe")</f>
        <v>Europe</v>
      </c>
      <c r="D83" s="90">
        <f>IFERROR(__xludf.DUMMYFUNCTION("""COMPUTED_VALUE"""),42767.0)</f>
        <v>42767</v>
      </c>
      <c r="E83" s="46">
        <f>IFERROR(__xludf.DUMMYFUNCTION("""COMPUTED_VALUE"""),2017.0)</f>
        <v>2017</v>
      </c>
      <c r="F83" s="46">
        <f>IFERROR(__xludf.DUMMYFUNCTION("""COMPUTED_VALUE"""),1.0)</f>
        <v>1</v>
      </c>
      <c r="G83" s="46">
        <f>IFERROR(__xludf.DUMMYFUNCTION("""COMPUTED_VALUE"""),5368.0)</f>
        <v>5368</v>
      </c>
      <c r="H83" s="46">
        <f>IFERROR(__xludf.DUMMYFUNCTION("""COMPUTED_VALUE"""),3587273.36)</f>
        <v>3587273.36</v>
      </c>
      <c r="I83" s="46">
        <f>IFERROR(__xludf.DUMMYFUNCTION("""COMPUTED_VALUE"""),2697634.72)</f>
        <v>2697634.72</v>
      </c>
      <c r="J83" s="46">
        <f>IFERROR(__xludf.DUMMYFUNCTION("""COMPUTED_VALUE"""),889638.6399999997)</f>
        <v>889638.64</v>
      </c>
      <c r="K83" s="46" t="str">
        <f t="array" ref="K83">TEXT(D83, "mmmm")</f>
        <v>February</v>
      </c>
      <c r="M83" s="46" t="str">
        <f>IFERROR(__xludf.DUMMYFUNCTION("""COMPUTED_VALUE"""),"Sweden")</f>
        <v>Sweden</v>
      </c>
      <c r="N83" s="94">
        <f>IFERROR(__xludf.DUMMYFUNCTION("""COMPUTED_VALUE"""),40360.0)</f>
        <v>40360</v>
      </c>
      <c r="O83" s="46">
        <f>IFERROR(__xludf.DUMMYFUNCTION("""COMPUTED_VALUE"""),1.0)</f>
        <v>1</v>
      </c>
      <c r="P83" s="46">
        <f>IFERROR(__xludf.DUMMYFUNCTION("""COMPUTED_VALUE"""),1210.0)</f>
        <v>1210</v>
      </c>
      <c r="Q83" s="46">
        <f>IFERROR(__xludf.DUMMYFUNCTION("""COMPUTED_VALUE"""),248897.0)</f>
        <v>248897</v>
      </c>
      <c r="R83" s="46">
        <f>IFERROR(__xludf.DUMMYFUNCTION("""COMPUTED_VALUE"""),141703.1)</f>
        <v>141703.1</v>
      </c>
      <c r="S83" s="46">
        <f>IFERROR(__xludf.DUMMYFUNCTION("""COMPUTED_VALUE"""),107193.9)</f>
        <v>107193.9</v>
      </c>
    </row>
    <row r="84">
      <c r="A84" s="46" t="str">
        <f>IFERROR(__xludf.DUMMYFUNCTION("""COMPUTED_VALUE"""),"Household")</f>
        <v>Household</v>
      </c>
      <c r="B84" s="46" t="str">
        <f>IFERROR(__xludf.DUMMYFUNCTION("""COMPUTED_VALUE"""),"Macedonia")</f>
        <v>Macedonia</v>
      </c>
      <c r="C84" s="46" t="str">
        <f>IFERROR(__xludf.DUMMYFUNCTION("""COMPUTED_VALUE"""),"Europe")</f>
        <v>Europe</v>
      </c>
      <c r="D84" s="90">
        <f>IFERROR(__xludf.DUMMYFUNCTION("""COMPUTED_VALUE"""),42767.0)</f>
        <v>42767</v>
      </c>
      <c r="E84" s="46">
        <f>IFERROR(__xludf.DUMMYFUNCTION("""COMPUTED_VALUE"""),2017.0)</f>
        <v>2017</v>
      </c>
      <c r="F84" s="46">
        <f>IFERROR(__xludf.DUMMYFUNCTION("""COMPUTED_VALUE"""),1.0)</f>
        <v>1</v>
      </c>
      <c r="G84" s="46">
        <f>IFERROR(__xludf.DUMMYFUNCTION("""COMPUTED_VALUE"""),2304.0)</f>
        <v>2304</v>
      </c>
      <c r="H84" s="46">
        <f>IFERROR(__xludf.DUMMYFUNCTION("""COMPUTED_VALUE"""),1539694.08)</f>
        <v>1539694.08</v>
      </c>
      <c r="I84" s="46">
        <f>IFERROR(__xludf.DUMMYFUNCTION("""COMPUTED_VALUE"""),1157852.1600000001)</f>
        <v>1157852.16</v>
      </c>
      <c r="J84" s="46">
        <f>IFERROR(__xludf.DUMMYFUNCTION("""COMPUTED_VALUE"""),381841.9199999999)</f>
        <v>381841.92</v>
      </c>
      <c r="K84" s="46" t="str">
        <f t="array" ref="K84">TEXT(D84, "mmmm")</f>
        <v>February</v>
      </c>
      <c r="M84" s="46" t="str">
        <f>IFERROR(__xludf.DUMMYFUNCTION("""COMPUTED_VALUE"""),"Ukraine")</f>
        <v>Ukraine</v>
      </c>
      <c r="N84" s="94">
        <f>IFERROR(__xludf.DUMMYFUNCTION("""COMPUTED_VALUE"""),40360.0)</f>
        <v>40360</v>
      </c>
      <c r="O84" s="46">
        <f>IFERROR(__xludf.DUMMYFUNCTION("""COMPUTED_VALUE"""),2.0)</f>
        <v>2</v>
      </c>
      <c r="P84" s="46">
        <f>IFERROR(__xludf.DUMMYFUNCTION("""COMPUTED_VALUE"""),13529.0)</f>
        <v>13529</v>
      </c>
      <c r="Q84" s="46">
        <f>IFERROR(__xludf.DUMMYFUNCTION("""COMPUTED_VALUE"""),3194980.65)</f>
        <v>3194980.65</v>
      </c>
      <c r="R84" s="46">
        <f>IFERROR(__xludf.DUMMYFUNCTION("""COMPUTED_VALUE"""),2354877.37)</f>
        <v>2354877.37</v>
      </c>
      <c r="S84" s="46">
        <f>IFERROR(__xludf.DUMMYFUNCTION("""COMPUTED_VALUE"""),840103.2799999998)</f>
        <v>840103.28</v>
      </c>
    </row>
    <row r="85">
      <c r="A85" s="46" t="str">
        <f>IFERROR(__xludf.DUMMYFUNCTION("""COMPUTED_VALUE"""),"Household")</f>
        <v>Household</v>
      </c>
      <c r="B85" s="46" t="str">
        <f>IFERROR(__xludf.DUMMYFUNCTION("""COMPUTED_VALUE"""),"Slovenia")</f>
        <v>Slovenia</v>
      </c>
      <c r="C85" s="46" t="str">
        <f>IFERROR(__xludf.DUMMYFUNCTION("""COMPUTED_VALUE"""),"Europe")</f>
        <v>Europe</v>
      </c>
      <c r="D85" s="90">
        <f>IFERROR(__xludf.DUMMYFUNCTION("""COMPUTED_VALUE"""),42767.0)</f>
        <v>42767</v>
      </c>
      <c r="E85" s="46">
        <f>IFERROR(__xludf.DUMMYFUNCTION("""COMPUTED_VALUE"""),2017.0)</f>
        <v>2017</v>
      </c>
      <c r="F85" s="46">
        <f>IFERROR(__xludf.DUMMYFUNCTION("""COMPUTED_VALUE"""),1.0)</f>
        <v>1</v>
      </c>
      <c r="G85" s="46">
        <f>IFERROR(__xludf.DUMMYFUNCTION("""COMPUTED_VALUE"""),8644.0)</f>
        <v>8644</v>
      </c>
      <c r="H85" s="46">
        <f>IFERROR(__xludf.DUMMYFUNCTION("""COMPUTED_VALUE"""),5776525.88)</f>
        <v>5776525.88</v>
      </c>
      <c r="I85" s="46">
        <f>IFERROR(__xludf.DUMMYFUNCTION("""COMPUTED_VALUE"""),4343955.76)</f>
        <v>4343955.76</v>
      </c>
      <c r="J85" s="46">
        <f>IFERROR(__xludf.DUMMYFUNCTION("""COMPUTED_VALUE"""),1432570.12)</f>
        <v>1432570.12</v>
      </c>
      <c r="K85" s="46" t="str">
        <f t="array" ref="K85">TEXT(D85, "mmmm")</f>
        <v>February</v>
      </c>
      <c r="M85" s="46" t="str">
        <f>IFERROR(__xludf.DUMMYFUNCTION("""COMPUTED_VALUE"""),"Albania")</f>
        <v>Albania</v>
      </c>
      <c r="N85" s="94">
        <f>IFERROR(__xludf.DUMMYFUNCTION("""COMPUTED_VALUE"""),40391.0)</f>
        <v>40391</v>
      </c>
      <c r="O85" s="46">
        <f>IFERROR(__xludf.DUMMYFUNCTION("""COMPUTED_VALUE"""),1.0)</f>
        <v>1</v>
      </c>
      <c r="P85" s="46">
        <f>IFERROR(__xludf.DUMMYFUNCTION("""COMPUTED_VALUE"""),9560.0)</f>
        <v>9560</v>
      </c>
      <c r="Q85" s="46">
        <f>IFERROR(__xludf.DUMMYFUNCTION("""COMPUTED_VALUE"""),4179632.0)</f>
        <v>4179632</v>
      </c>
      <c r="R85" s="46">
        <f>IFERROR(__xludf.DUMMYFUNCTION("""COMPUTED_VALUE"""),2517434.8)</f>
        <v>2517434.8</v>
      </c>
      <c r="S85" s="46">
        <f>IFERROR(__xludf.DUMMYFUNCTION("""COMPUTED_VALUE"""),1662197.2000000002)</f>
        <v>1662197.2</v>
      </c>
    </row>
    <row r="86">
      <c r="A86" s="46" t="str">
        <f>IFERROR(__xludf.DUMMYFUNCTION("""COMPUTED_VALUE"""),"Meat")</f>
        <v>Meat</v>
      </c>
      <c r="B86" s="46" t="str">
        <f>IFERROR(__xludf.DUMMYFUNCTION("""COMPUTED_VALUE"""),"Georgia")</f>
        <v>Georgia</v>
      </c>
      <c r="C86" s="46" t="str">
        <f>IFERROR(__xludf.DUMMYFUNCTION("""COMPUTED_VALUE"""),"Asia")</f>
        <v>Asia</v>
      </c>
      <c r="D86" s="90">
        <f>IFERROR(__xludf.DUMMYFUNCTION("""COMPUTED_VALUE"""),42767.0)</f>
        <v>42767</v>
      </c>
      <c r="E86" s="46">
        <f>IFERROR(__xludf.DUMMYFUNCTION("""COMPUTED_VALUE"""),2017.0)</f>
        <v>2017</v>
      </c>
      <c r="F86" s="46">
        <f>IFERROR(__xludf.DUMMYFUNCTION("""COMPUTED_VALUE"""),1.0)</f>
        <v>1</v>
      </c>
      <c r="G86" s="46">
        <f>IFERROR(__xludf.DUMMYFUNCTION("""COMPUTED_VALUE"""),1162.0)</f>
        <v>1162</v>
      </c>
      <c r="H86" s="46">
        <f>IFERROR(__xludf.DUMMYFUNCTION("""COMPUTED_VALUE"""),490236.18)</f>
        <v>490236.18</v>
      </c>
      <c r="I86" s="46">
        <f>IFERROR(__xludf.DUMMYFUNCTION("""COMPUTED_VALUE"""),423769.77999999997)</f>
        <v>423769.78</v>
      </c>
      <c r="J86" s="46">
        <f>IFERROR(__xludf.DUMMYFUNCTION("""COMPUTED_VALUE"""),66466.40000000002)</f>
        <v>66466.4</v>
      </c>
      <c r="K86" s="46" t="str">
        <f t="array" ref="K86">TEXT(D86, "mmmm")</f>
        <v>February</v>
      </c>
      <c r="M86" s="46" t="str">
        <f>IFERROR(__xludf.DUMMYFUNCTION("""COMPUTED_VALUE"""),"Andorra")</f>
        <v>Andorra</v>
      </c>
      <c r="N86" s="94">
        <f>IFERROR(__xludf.DUMMYFUNCTION("""COMPUTED_VALUE"""),40391.0)</f>
        <v>40391</v>
      </c>
      <c r="O86" s="46">
        <f>IFERROR(__xludf.DUMMYFUNCTION("""COMPUTED_VALUE"""),1.0)</f>
        <v>1</v>
      </c>
      <c r="P86" s="46">
        <f>IFERROR(__xludf.DUMMYFUNCTION("""COMPUTED_VALUE"""),7955.0)</f>
        <v>7955</v>
      </c>
      <c r="Q86" s="46">
        <f>IFERROR(__xludf.DUMMYFUNCTION("""COMPUTED_VALUE"""),377464.75)</f>
        <v>377464.75</v>
      </c>
      <c r="R86" s="46">
        <f>IFERROR(__xludf.DUMMYFUNCTION("""COMPUTED_VALUE"""),252889.44999999998)</f>
        <v>252889.45</v>
      </c>
      <c r="S86" s="46">
        <f>IFERROR(__xludf.DUMMYFUNCTION("""COMPUTED_VALUE"""),124575.30000000002)</f>
        <v>124575.3</v>
      </c>
    </row>
    <row r="87">
      <c r="A87" s="46" t="str">
        <f>IFERROR(__xludf.DUMMYFUNCTION("""COMPUTED_VALUE"""),"Meat")</f>
        <v>Meat</v>
      </c>
      <c r="B87" s="46" t="str">
        <f>IFERROR(__xludf.DUMMYFUNCTION("""COMPUTED_VALUE"""),"Macedonia")</f>
        <v>Macedonia</v>
      </c>
      <c r="C87" s="46" t="str">
        <f>IFERROR(__xludf.DUMMYFUNCTION("""COMPUTED_VALUE"""),"Europe")</f>
        <v>Europe</v>
      </c>
      <c r="D87" s="90">
        <f>IFERROR(__xludf.DUMMYFUNCTION("""COMPUTED_VALUE"""),42767.0)</f>
        <v>42767</v>
      </c>
      <c r="E87" s="46">
        <f>IFERROR(__xludf.DUMMYFUNCTION("""COMPUTED_VALUE"""),2017.0)</f>
        <v>2017</v>
      </c>
      <c r="F87" s="46">
        <f>IFERROR(__xludf.DUMMYFUNCTION("""COMPUTED_VALUE"""),1.0)</f>
        <v>1</v>
      </c>
      <c r="G87" s="46">
        <f>IFERROR(__xludf.DUMMYFUNCTION("""COMPUTED_VALUE"""),6791.0)</f>
        <v>6791</v>
      </c>
      <c r="H87" s="46">
        <f>IFERROR(__xludf.DUMMYFUNCTION("""COMPUTED_VALUE"""),2865054.9899999998)</f>
        <v>2865054.99</v>
      </c>
      <c r="I87" s="46">
        <f>IFERROR(__xludf.DUMMYFUNCTION("""COMPUTED_VALUE"""),2476609.79)</f>
        <v>2476609.79</v>
      </c>
      <c r="J87" s="46">
        <f>IFERROR(__xludf.DUMMYFUNCTION("""COMPUTED_VALUE"""),388445.1999999997)</f>
        <v>388445.2</v>
      </c>
      <c r="K87" s="46" t="str">
        <f t="array" ref="K87">TEXT(D87, "mmmm")</f>
        <v>February</v>
      </c>
      <c r="M87" s="46" t="str">
        <f>IFERROR(__xludf.DUMMYFUNCTION("""COMPUTED_VALUE"""),"Austria")</f>
        <v>Austria</v>
      </c>
      <c r="N87" s="94">
        <f>IFERROR(__xludf.DUMMYFUNCTION("""COMPUTED_VALUE"""),40391.0)</f>
        <v>40391</v>
      </c>
      <c r="O87" s="46">
        <f>IFERROR(__xludf.DUMMYFUNCTION("""COMPUTED_VALUE"""),1.0)</f>
        <v>1</v>
      </c>
      <c r="P87" s="46">
        <f>IFERROR(__xludf.DUMMYFUNCTION("""COMPUTED_VALUE"""),2599.0)</f>
        <v>2599</v>
      </c>
      <c r="Q87" s="46">
        <f>IFERROR(__xludf.DUMMYFUNCTION("""COMPUTED_VALUE"""),1736833.73)</f>
        <v>1736833.73</v>
      </c>
      <c r="R87" s="46">
        <f>IFERROR(__xludf.DUMMYFUNCTION("""COMPUTED_VALUE"""),1306101.46)</f>
        <v>1306101.46</v>
      </c>
      <c r="S87" s="46">
        <f>IFERROR(__xludf.DUMMYFUNCTION("""COMPUTED_VALUE"""),430732.27)</f>
        <v>430732.27</v>
      </c>
    </row>
    <row r="88">
      <c r="A88" s="46" t="str">
        <f>IFERROR(__xludf.DUMMYFUNCTION("""COMPUTED_VALUE"""),"Meat")</f>
        <v>Meat</v>
      </c>
      <c r="B88" s="46" t="str">
        <f>IFERROR(__xludf.DUMMYFUNCTION("""COMPUTED_VALUE"""),"Norway")</f>
        <v>Norway</v>
      </c>
      <c r="C88" s="46" t="str">
        <f>IFERROR(__xludf.DUMMYFUNCTION("""COMPUTED_VALUE"""),"Europe")</f>
        <v>Europe</v>
      </c>
      <c r="D88" s="90">
        <f>IFERROR(__xludf.DUMMYFUNCTION("""COMPUTED_VALUE"""),42767.0)</f>
        <v>42767</v>
      </c>
      <c r="E88" s="46">
        <f>IFERROR(__xludf.DUMMYFUNCTION("""COMPUTED_VALUE"""),2017.0)</f>
        <v>2017</v>
      </c>
      <c r="F88" s="46">
        <f>IFERROR(__xludf.DUMMYFUNCTION("""COMPUTED_VALUE"""),1.0)</f>
        <v>1</v>
      </c>
      <c r="G88" s="46">
        <f>IFERROR(__xludf.DUMMYFUNCTION("""COMPUTED_VALUE"""),4835.0)</f>
        <v>4835</v>
      </c>
      <c r="H88" s="46">
        <f>IFERROR(__xludf.DUMMYFUNCTION("""COMPUTED_VALUE"""),2039838.15)</f>
        <v>2039838.15</v>
      </c>
      <c r="I88" s="46">
        <f>IFERROR(__xludf.DUMMYFUNCTION("""COMPUTED_VALUE"""),1763276.15)</f>
        <v>1763276.15</v>
      </c>
      <c r="J88" s="46">
        <f>IFERROR(__xludf.DUMMYFUNCTION("""COMPUTED_VALUE"""),276562.0)</f>
        <v>276562</v>
      </c>
      <c r="K88" s="46" t="str">
        <f t="array" ref="K88">TEXT(D88, "mmmm")</f>
        <v>February</v>
      </c>
      <c r="M88" s="46" t="str">
        <f>IFERROR(__xludf.DUMMYFUNCTION("""COMPUTED_VALUE"""),"Belarus")</f>
        <v>Belarus</v>
      </c>
      <c r="N88" s="94">
        <f>IFERROR(__xludf.DUMMYFUNCTION("""COMPUTED_VALUE"""),40391.0)</f>
        <v>40391</v>
      </c>
      <c r="O88" s="46">
        <f>IFERROR(__xludf.DUMMYFUNCTION("""COMPUTED_VALUE"""),2.0)</f>
        <v>2</v>
      </c>
      <c r="P88" s="46">
        <f>IFERROR(__xludf.DUMMYFUNCTION("""COMPUTED_VALUE"""),5100.0)</f>
        <v>5100</v>
      </c>
      <c r="Q88" s="46">
        <f>IFERROR(__xludf.DUMMYFUNCTION("""COMPUTED_VALUE"""),170100.68000000002)</f>
        <v>170100.68</v>
      </c>
      <c r="R88" s="46">
        <f>IFERROR(__xludf.DUMMYFUNCTION("""COMPUTED_VALUE"""),115224.18)</f>
        <v>115224.18</v>
      </c>
      <c r="S88" s="46">
        <f>IFERROR(__xludf.DUMMYFUNCTION("""COMPUTED_VALUE"""),54876.50000000002)</f>
        <v>54876.5</v>
      </c>
    </row>
    <row r="89">
      <c r="A89" s="46" t="str">
        <f>IFERROR(__xludf.DUMMYFUNCTION("""COMPUTED_VALUE"""),"Office Supplies")</f>
        <v>Office Supplies</v>
      </c>
      <c r="B89" s="46" t="str">
        <f>IFERROR(__xludf.DUMMYFUNCTION("""COMPUTED_VALUE"""),"Austria")</f>
        <v>Austria</v>
      </c>
      <c r="C89" s="46" t="str">
        <f>IFERROR(__xludf.DUMMYFUNCTION("""COMPUTED_VALUE"""),"Europe")</f>
        <v>Europe</v>
      </c>
      <c r="D89" s="90">
        <f>IFERROR(__xludf.DUMMYFUNCTION("""COMPUTED_VALUE"""),42767.0)</f>
        <v>42767</v>
      </c>
      <c r="E89" s="46">
        <f>IFERROR(__xludf.DUMMYFUNCTION("""COMPUTED_VALUE"""),2017.0)</f>
        <v>2017</v>
      </c>
      <c r="F89" s="46">
        <f>IFERROR(__xludf.DUMMYFUNCTION("""COMPUTED_VALUE"""),1.0)</f>
        <v>1</v>
      </c>
      <c r="G89" s="46">
        <f>IFERROR(__xludf.DUMMYFUNCTION("""COMPUTED_VALUE"""),1913.0)</f>
        <v>1913</v>
      </c>
      <c r="H89" s="46">
        <f>IFERROR(__xludf.DUMMYFUNCTION("""COMPUTED_VALUE"""),1245764.73)</f>
        <v>1245764.73</v>
      </c>
      <c r="I89" s="46">
        <f>IFERROR(__xludf.DUMMYFUNCTION("""COMPUTED_VALUE"""),1004248.4800000001)</f>
        <v>1004248.48</v>
      </c>
      <c r="J89" s="46">
        <f>IFERROR(__xludf.DUMMYFUNCTION("""COMPUTED_VALUE"""),241516.24999999988)</f>
        <v>241516.25</v>
      </c>
      <c r="K89" s="46" t="str">
        <f t="array" ref="K89">TEXT(D89, "mmmm")</f>
        <v>February</v>
      </c>
      <c r="M89" s="46" t="str">
        <f>IFERROR(__xludf.DUMMYFUNCTION("""COMPUTED_VALUE"""),"Bulgaria")</f>
        <v>Bulgaria</v>
      </c>
      <c r="N89" s="94">
        <f>IFERROR(__xludf.DUMMYFUNCTION("""COMPUTED_VALUE"""),40391.0)</f>
        <v>40391</v>
      </c>
      <c r="O89" s="46">
        <f>IFERROR(__xludf.DUMMYFUNCTION("""COMPUTED_VALUE"""),1.0)</f>
        <v>1</v>
      </c>
      <c r="P89" s="46">
        <f>IFERROR(__xludf.DUMMYFUNCTION("""COMPUTED_VALUE"""),8267.0)</f>
        <v>8267</v>
      </c>
      <c r="Q89" s="46">
        <f>IFERROR(__xludf.DUMMYFUNCTION("""COMPUTED_VALUE"""),77131.11)</f>
        <v>77131.11</v>
      </c>
      <c r="R89" s="46">
        <f>IFERROR(__xludf.DUMMYFUNCTION("""COMPUTED_VALUE"""),57207.64)</f>
        <v>57207.64</v>
      </c>
      <c r="S89" s="46">
        <f>IFERROR(__xludf.DUMMYFUNCTION("""COMPUTED_VALUE"""),19923.47)</f>
        <v>19923.47</v>
      </c>
    </row>
    <row r="90">
      <c r="A90" s="46" t="str">
        <f>IFERROR(__xludf.DUMMYFUNCTION("""COMPUTED_VALUE"""),"Personal Care")</f>
        <v>Personal Care</v>
      </c>
      <c r="B90" s="46" t="str">
        <f>IFERROR(__xludf.DUMMYFUNCTION("""COMPUTED_VALUE"""),"Ireland")</f>
        <v>Ireland</v>
      </c>
      <c r="C90" s="46" t="str">
        <f>IFERROR(__xludf.DUMMYFUNCTION("""COMPUTED_VALUE"""),"Europe")</f>
        <v>Europe</v>
      </c>
      <c r="D90" s="90">
        <f>IFERROR(__xludf.DUMMYFUNCTION("""COMPUTED_VALUE"""),42767.0)</f>
        <v>42767</v>
      </c>
      <c r="E90" s="46">
        <f>IFERROR(__xludf.DUMMYFUNCTION("""COMPUTED_VALUE"""),2017.0)</f>
        <v>2017</v>
      </c>
      <c r="F90" s="46">
        <f>IFERROR(__xludf.DUMMYFUNCTION("""COMPUTED_VALUE"""),1.0)</f>
        <v>1</v>
      </c>
      <c r="G90" s="46">
        <f>IFERROR(__xludf.DUMMYFUNCTION("""COMPUTED_VALUE"""),3331.0)</f>
        <v>3331</v>
      </c>
      <c r="H90" s="46">
        <f>IFERROR(__xludf.DUMMYFUNCTION("""COMPUTED_VALUE"""),272242.63)</f>
        <v>272242.63</v>
      </c>
      <c r="I90" s="46">
        <f>IFERROR(__xludf.DUMMYFUNCTION("""COMPUTED_VALUE"""),188767.77000000002)</f>
        <v>188767.77</v>
      </c>
      <c r="J90" s="46">
        <f>IFERROR(__xludf.DUMMYFUNCTION("""COMPUTED_VALUE"""),83474.85999999999)</f>
        <v>83474.86</v>
      </c>
      <c r="K90" s="46" t="str">
        <f t="array" ref="K90">TEXT(D90, "mmmm")</f>
        <v>February</v>
      </c>
      <c r="M90" s="46" t="str">
        <f>IFERROR(__xludf.DUMMYFUNCTION("""COMPUTED_VALUE"""),"Czech Republic")</f>
        <v>Czech Republic</v>
      </c>
      <c r="N90" s="94">
        <f>IFERROR(__xludf.DUMMYFUNCTION("""COMPUTED_VALUE"""),40391.0)</f>
        <v>40391</v>
      </c>
      <c r="O90" s="46">
        <f>IFERROR(__xludf.DUMMYFUNCTION("""COMPUTED_VALUE"""),1.0)</f>
        <v>1</v>
      </c>
      <c r="P90" s="46">
        <f>IFERROR(__xludf.DUMMYFUNCTION("""COMPUTED_VALUE"""),9340.0)</f>
        <v>9340</v>
      </c>
      <c r="Q90" s="46">
        <f>IFERROR(__xludf.DUMMYFUNCTION("""COMPUTED_VALUE"""),1425097.2000000002)</f>
        <v>1425097.2</v>
      </c>
      <c r="R90" s="46">
        <f>IFERROR(__xludf.DUMMYFUNCTION("""COMPUTED_VALUE"""),910089.6)</f>
        <v>910089.6</v>
      </c>
      <c r="S90" s="46">
        <f>IFERROR(__xludf.DUMMYFUNCTION("""COMPUTED_VALUE"""),515007.6000000002)</f>
        <v>515007.6</v>
      </c>
    </row>
    <row r="91">
      <c r="A91" s="46" t="str">
        <f>IFERROR(__xludf.DUMMYFUNCTION("""COMPUTED_VALUE"""),"Snacks")</f>
        <v>Snacks</v>
      </c>
      <c r="B91" s="46" t="str">
        <f>IFERROR(__xludf.DUMMYFUNCTION("""COMPUTED_VALUE"""),"Hungary")</f>
        <v>Hungary</v>
      </c>
      <c r="C91" s="46" t="str">
        <f>IFERROR(__xludf.DUMMYFUNCTION("""COMPUTED_VALUE"""),"Europe")</f>
        <v>Europe</v>
      </c>
      <c r="D91" s="90">
        <f>IFERROR(__xludf.DUMMYFUNCTION("""COMPUTED_VALUE"""),42767.0)</f>
        <v>42767</v>
      </c>
      <c r="E91" s="46">
        <f>IFERROR(__xludf.DUMMYFUNCTION("""COMPUTED_VALUE"""),2017.0)</f>
        <v>2017</v>
      </c>
      <c r="F91" s="46">
        <f>IFERROR(__xludf.DUMMYFUNCTION("""COMPUTED_VALUE"""),1.0)</f>
        <v>1</v>
      </c>
      <c r="G91" s="46">
        <f>IFERROR(__xludf.DUMMYFUNCTION("""COMPUTED_VALUE"""),3126.0)</f>
        <v>3126</v>
      </c>
      <c r="H91" s="46">
        <f>IFERROR(__xludf.DUMMYFUNCTION("""COMPUTED_VALUE"""),476965.08)</f>
        <v>476965.08</v>
      </c>
      <c r="I91" s="46">
        <f>IFERROR(__xludf.DUMMYFUNCTION("""COMPUTED_VALUE"""),304597.44)</f>
        <v>304597.44</v>
      </c>
      <c r="J91" s="46">
        <f>IFERROR(__xludf.DUMMYFUNCTION("""COMPUTED_VALUE"""),172367.64)</f>
        <v>172367.64</v>
      </c>
      <c r="K91" s="46" t="str">
        <f t="array" ref="K91">TEXT(D91, "mmmm")</f>
        <v>February</v>
      </c>
      <c r="M91" s="46" t="str">
        <f>IFERROR(__xludf.DUMMYFUNCTION("""COMPUTED_VALUE"""),"Estonia")</f>
        <v>Estonia</v>
      </c>
      <c r="N91" s="94">
        <f>IFERROR(__xludf.DUMMYFUNCTION("""COMPUTED_VALUE"""),40391.0)</f>
        <v>40391</v>
      </c>
      <c r="O91" s="46">
        <f>IFERROR(__xludf.DUMMYFUNCTION("""COMPUTED_VALUE"""),1.0)</f>
        <v>1</v>
      </c>
      <c r="P91" s="46">
        <f>IFERROR(__xludf.DUMMYFUNCTION("""COMPUTED_VALUE"""),6505.0)</f>
        <v>6505</v>
      </c>
      <c r="Q91" s="46">
        <f>IFERROR(__xludf.DUMMYFUNCTION("""COMPUTED_VALUE"""),2744394.4499999997)</f>
        <v>2744394.45</v>
      </c>
      <c r="R91" s="46">
        <f>IFERROR(__xludf.DUMMYFUNCTION("""COMPUTED_VALUE"""),2372308.45)</f>
        <v>2372308.45</v>
      </c>
      <c r="S91" s="46">
        <f>IFERROR(__xludf.DUMMYFUNCTION("""COMPUTED_VALUE"""),372085.99999999953)</f>
        <v>372086</v>
      </c>
    </row>
    <row r="92">
      <c r="A92" s="46" t="str">
        <f>IFERROR(__xludf.DUMMYFUNCTION("""COMPUTED_VALUE"""),"Snacks")</f>
        <v>Snacks</v>
      </c>
      <c r="B92" s="46" t="str">
        <f>IFERROR(__xludf.DUMMYFUNCTION("""COMPUTED_VALUE"""),"Spain")</f>
        <v>Spain</v>
      </c>
      <c r="C92" s="46" t="str">
        <f>IFERROR(__xludf.DUMMYFUNCTION("""COMPUTED_VALUE"""),"Europe")</f>
        <v>Europe</v>
      </c>
      <c r="D92" s="90">
        <f>IFERROR(__xludf.DUMMYFUNCTION("""COMPUTED_VALUE"""),42767.0)</f>
        <v>42767</v>
      </c>
      <c r="E92" s="46">
        <f>IFERROR(__xludf.DUMMYFUNCTION("""COMPUTED_VALUE"""),2017.0)</f>
        <v>2017</v>
      </c>
      <c r="F92" s="46">
        <f>IFERROR(__xludf.DUMMYFUNCTION("""COMPUTED_VALUE"""),1.0)</f>
        <v>1</v>
      </c>
      <c r="G92" s="46">
        <f>IFERROR(__xludf.DUMMYFUNCTION("""COMPUTED_VALUE"""),4844.0)</f>
        <v>4844</v>
      </c>
      <c r="H92" s="46">
        <f>IFERROR(__xludf.DUMMYFUNCTION("""COMPUTED_VALUE"""),739097.52)</f>
        <v>739097.52</v>
      </c>
      <c r="I92" s="46">
        <f>IFERROR(__xludf.DUMMYFUNCTION("""COMPUTED_VALUE"""),471999.36)</f>
        <v>471999.36</v>
      </c>
      <c r="J92" s="46">
        <f>IFERROR(__xludf.DUMMYFUNCTION("""COMPUTED_VALUE"""),267098.16000000003)</f>
        <v>267098.16</v>
      </c>
      <c r="K92" s="46" t="str">
        <f t="array" ref="K92">TEXT(D92, "mmmm")</f>
        <v>February</v>
      </c>
      <c r="M92" s="46" t="str">
        <f>IFERROR(__xludf.DUMMYFUNCTION("""COMPUTED_VALUE"""),"France")</f>
        <v>France</v>
      </c>
      <c r="N92" s="94">
        <f>IFERROR(__xludf.DUMMYFUNCTION("""COMPUTED_VALUE"""),40391.0)</f>
        <v>40391</v>
      </c>
      <c r="O92" s="46">
        <f>IFERROR(__xludf.DUMMYFUNCTION("""COMPUTED_VALUE"""),1.0)</f>
        <v>1</v>
      </c>
      <c r="P92" s="46">
        <f>IFERROR(__xludf.DUMMYFUNCTION("""COMPUTED_VALUE"""),1462.0)</f>
        <v>1462</v>
      </c>
      <c r="Q92" s="46">
        <f>IFERROR(__xludf.DUMMYFUNCTION("""COMPUTED_VALUE"""),300733.39999999997)</f>
        <v>300733.4</v>
      </c>
      <c r="R92" s="46">
        <f>IFERROR(__xludf.DUMMYFUNCTION("""COMPUTED_VALUE"""),171214.82)</f>
        <v>171214.82</v>
      </c>
      <c r="S92" s="46">
        <f>IFERROR(__xludf.DUMMYFUNCTION("""COMPUTED_VALUE"""),129518.57999999996)</f>
        <v>129518.58</v>
      </c>
    </row>
    <row r="93">
      <c r="A93" s="46" t="str">
        <f>IFERROR(__xludf.DUMMYFUNCTION("""COMPUTED_VALUE"""),"Baby Food")</f>
        <v>Baby Food</v>
      </c>
      <c r="B93" s="46" t="str">
        <f>IFERROR(__xludf.DUMMYFUNCTION("""COMPUTED_VALUE"""),"Germany")</f>
        <v>Germany</v>
      </c>
      <c r="C93" s="46" t="str">
        <f>IFERROR(__xludf.DUMMYFUNCTION("""COMPUTED_VALUE"""),"Europe")</f>
        <v>Europe</v>
      </c>
      <c r="D93" s="90">
        <f>IFERROR(__xludf.DUMMYFUNCTION("""COMPUTED_VALUE"""),42736.0)</f>
        <v>42736</v>
      </c>
      <c r="E93" s="46">
        <f>IFERROR(__xludf.DUMMYFUNCTION("""COMPUTED_VALUE"""),2017.0)</f>
        <v>2017</v>
      </c>
      <c r="F93" s="46">
        <f>IFERROR(__xludf.DUMMYFUNCTION("""COMPUTED_VALUE"""),1.0)</f>
        <v>1</v>
      </c>
      <c r="G93" s="46">
        <f>IFERROR(__xludf.DUMMYFUNCTION("""COMPUTED_VALUE"""),9061.0)</f>
        <v>9061</v>
      </c>
      <c r="H93" s="46">
        <f>IFERROR(__xludf.DUMMYFUNCTION("""COMPUTED_VALUE"""),2313092.08)</f>
        <v>2313092.08</v>
      </c>
      <c r="I93" s="46">
        <f>IFERROR(__xludf.DUMMYFUNCTION("""COMPUTED_VALUE"""),1444504.6199999999)</f>
        <v>1444504.62</v>
      </c>
      <c r="J93" s="46">
        <f>IFERROR(__xludf.DUMMYFUNCTION("""COMPUTED_VALUE"""),868587.4600000002)</f>
        <v>868587.46</v>
      </c>
      <c r="K93" s="46" t="str">
        <f t="array" ref="K93">TEXT(D93, "mmmm")</f>
        <v>January</v>
      </c>
      <c r="M93" s="46" t="str">
        <f>IFERROR(__xludf.DUMMYFUNCTION("""COMPUTED_VALUE"""),"Germany")</f>
        <v>Germany</v>
      </c>
      <c r="N93" s="94">
        <f>IFERROR(__xludf.DUMMYFUNCTION("""COMPUTED_VALUE"""),40391.0)</f>
        <v>40391</v>
      </c>
      <c r="O93" s="46">
        <f>IFERROR(__xludf.DUMMYFUNCTION("""COMPUTED_VALUE"""),1.0)</f>
        <v>1</v>
      </c>
      <c r="P93" s="46">
        <f>IFERROR(__xludf.DUMMYFUNCTION("""COMPUTED_VALUE"""),532.0)</f>
        <v>532</v>
      </c>
      <c r="Q93" s="46">
        <f>IFERROR(__xludf.DUMMYFUNCTION("""COMPUTED_VALUE"""),346443.72000000003)</f>
        <v>346443.72</v>
      </c>
      <c r="R93" s="46">
        <f>IFERROR(__xludf.DUMMYFUNCTION("""COMPUTED_VALUE"""),279278.72000000003)</f>
        <v>279278.72</v>
      </c>
      <c r="S93" s="46">
        <f>IFERROR(__xludf.DUMMYFUNCTION("""COMPUTED_VALUE"""),67165.0)</f>
        <v>67165</v>
      </c>
    </row>
    <row r="94">
      <c r="A94" s="46" t="str">
        <f>IFERROR(__xludf.DUMMYFUNCTION("""COMPUTED_VALUE"""),"Clothes")</f>
        <v>Clothes</v>
      </c>
      <c r="B94" s="46" t="str">
        <f>IFERROR(__xludf.DUMMYFUNCTION("""COMPUTED_VALUE"""),"Romania")</f>
        <v>Romania</v>
      </c>
      <c r="C94" s="46" t="str">
        <f>IFERROR(__xludf.DUMMYFUNCTION("""COMPUTED_VALUE"""),"Europe")</f>
        <v>Europe</v>
      </c>
      <c r="D94" s="90">
        <f>IFERROR(__xludf.DUMMYFUNCTION("""COMPUTED_VALUE"""),42736.0)</f>
        <v>42736</v>
      </c>
      <c r="E94" s="46">
        <f>IFERROR(__xludf.DUMMYFUNCTION("""COMPUTED_VALUE"""),2017.0)</f>
        <v>2017</v>
      </c>
      <c r="F94" s="46">
        <f>IFERROR(__xludf.DUMMYFUNCTION("""COMPUTED_VALUE"""),1.0)</f>
        <v>1</v>
      </c>
      <c r="G94" s="46">
        <f>IFERROR(__xludf.DUMMYFUNCTION("""COMPUTED_VALUE"""),9610.0)</f>
        <v>9610</v>
      </c>
      <c r="H94" s="46">
        <f>IFERROR(__xludf.DUMMYFUNCTION("""COMPUTED_VALUE"""),1050180.8)</f>
        <v>1050180.8</v>
      </c>
      <c r="I94" s="46">
        <f>IFERROR(__xludf.DUMMYFUNCTION("""COMPUTED_VALUE"""),344422.4)</f>
        <v>344422.4</v>
      </c>
      <c r="J94" s="46">
        <f>IFERROR(__xludf.DUMMYFUNCTION("""COMPUTED_VALUE"""),705758.4)</f>
        <v>705758.4</v>
      </c>
      <c r="K94" s="46" t="str">
        <f t="array" ref="K94">TEXT(D94, "mmmm")</f>
        <v>January</v>
      </c>
      <c r="M94" s="46" t="str">
        <f>IFERROR(__xludf.DUMMYFUNCTION("""COMPUTED_VALUE"""),"Romania")</f>
        <v>Romania</v>
      </c>
      <c r="N94" s="94">
        <f>IFERROR(__xludf.DUMMYFUNCTION("""COMPUTED_VALUE"""),40391.0)</f>
        <v>40391</v>
      </c>
      <c r="O94" s="46">
        <f>IFERROR(__xludf.DUMMYFUNCTION("""COMPUTED_VALUE"""),1.0)</f>
        <v>1</v>
      </c>
      <c r="P94" s="46">
        <f>IFERROR(__xludf.DUMMYFUNCTION("""COMPUTED_VALUE"""),1044.0)</f>
        <v>1044</v>
      </c>
      <c r="Q94" s="46">
        <f>IFERROR(__xludf.DUMMYFUNCTION("""COMPUTED_VALUE"""),159293.52000000002)</f>
        <v>159293.52</v>
      </c>
      <c r="R94" s="46">
        <f>IFERROR(__xludf.DUMMYFUNCTION("""COMPUTED_VALUE"""),101727.36)</f>
        <v>101727.36</v>
      </c>
      <c r="S94" s="46">
        <f>IFERROR(__xludf.DUMMYFUNCTION("""COMPUTED_VALUE"""),57566.16000000002)</f>
        <v>57566.16</v>
      </c>
    </row>
    <row r="95">
      <c r="A95" s="46" t="str">
        <f>IFERROR(__xludf.DUMMYFUNCTION("""COMPUTED_VALUE"""),"Cosmetics")</f>
        <v>Cosmetics</v>
      </c>
      <c r="B95" s="46" t="str">
        <f>IFERROR(__xludf.DUMMYFUNCTION("""COMPUTED_VALUE"""),"Estonia")</f>
        <v>Estonia</v>
      </c>
      <c r="C95" s="46" t="str">
        <f>IFERROR(__xludf.DUMMYFUNCTION("""COMPUTED_VALUE"""),"Europe")</f>
        <v>Europe</v>
      </c>
      <c r="D95" s="90">
        <f>IFERROR(__xludf.DUMMYFUNCTION("""COMPUTED_VALUE"""),42736.0)</f>
        <v>42736</v>
      </c>
      <c r="E95" s="46">
        <f>IFERROR(__xludf.DUMMYFUNCTION("""COMPUTED_VALUE"""),2017.0)</f>
        <v>2017</v>
      </c>
      <c r="F95" s="46">
        <f>IFERROR(__xludf.DUMMYFUNCTION("""COMPUTED_VALUE"""),1.0)</f>
        <v>1</v>
      </c>
      <c r="G95" s="46">
        <f>IFERROR(__xludf.DUMMYFUNCTION("""COMPUTED_VALUE"""),3755.0)</f>
        <v>3755</v>
      </c>
      <c r="H95" s="46">
        <f>IFERROR(__xludf.DUMMYFUNCTION("""COMPUTED_VALUE"""),1641686.0)</f>
        <v>1641686</v>
      </c>
      <c r="I95" s="46">
        <f>IFERROR(__xludf.DUMMYFUNCTION("""COMPUTED_VALUE"""),988804.1499999999)</f>
        <v>988804.15</v>
      </c>
      <c r="J95" s="46">
        <f>IFERROR(__xludf.DUMMYFUNCTION("""COMPUTED_VALUE"""),652881.8500000001)</f>
        <v>652881.85</v>
      </c>
      <c r="K95" s="46" t="str">
        <f t="array" ref="K95">TEXT(D95, "mmmm")</f>
        <v>January</v>
      </c>
      <c r="M95" s="46" t="str">
        <f>IFERROR(__xludf.DUMMYFUNCTION("""COMPUTED_VALUE"""),"Spain")</f>
        <v>Spain</v>
      </c>
      <c r="N95" s="94">
        <f>IFERROR(__xludf.DUMMYFUNCTION("""COMPUTED_VALUE"""),40391.0)</f>
        <v>40391</v>
      </c>
      <c r="O95" s="46">
        <f>IFERROR(__xludf.DUMMYFUNCTION("""COMPUTED_VALUE"""),1.0)</f>
        <v>1</v>
      </c>
      <c r="P95" s="46">
        <f>IFERROR(__xludf.DUMMYFUNCTION("""COMPUTED_VALUE"""),7701.0)</f>
        <v>7701</v>
      </c>
      <c r="Q95" s="46">
        <f>IFERROR(__xludf.DUMMYFUNCTION("""COMPUTED_VALUE"""),841565.28)</f>
        <v>841565.28</v>
      </c>
      <c r="R95" s="46">
        <f>IFERROR(__xludf.DUMMYFUNCTION("""COMPUTED_VALUE"""),276003.84)</f>
        <v>276003.84</v>
      </c>
      <c r="S95" s="46">
        <f>IFERROR(__xludf.DUMMYFUNCTION("""COMPUTED_VALUE"""),565561.44)</f>
        <v>565561.44</v>
      </c>
    </row>
    <row r="96">
      <c r="A96" s="46" t="str">
        <f>IFERROR(__xludf.DUMMYFUNCTION("""COMPUTED_VALUE"""),"Cosmetics")</f>
        <v>Cosmetics</v>
      </c>
      <c r="B96" s="46" t="str">
        <f>IFERROR(__xludf.DUMMYFUNCTION("""COMPUTED_VALUE"""),"Luxembourg")</f>
        <v>Luxembourg</v>
      </c>
      <c r="C96" s="46" t="str">
        <f>IFERROR(__xludf.DUMMYFUNCTION("""COMPUTED_VALUE"""),"Europe")</f>
        <v>Europe</v>
      </c>
      <c r="D96" s="90">
        <f>IFERROR(__xludf.DUMMYFUNCTION("""COMPUTED_VALUE"""),42736.0)</f>
        <v>42736</v>
      </c>
      <c r="E96" s="46">
        <f>IFERROR(__xludf.DUMMYFUNCTION("""COMPUTED_VALUE"""),2017.0)</f>
        <v>2017</v>
      </c>
      <c r="F96" s="46">
        <f>IFERROR(__xludf.DUMMYFUNCTION("""COMPUTED_VALUE"""),1.0)</f>
        <v>1</v>
      </c>
      <c r="G96" s="46">
        <f>IFERROR(__xludf.DUMMYFUNCTION("""COMPUTED_VALUE"""),5077.0)</f>
        <v>5077</v>
      </c>
      <c r="H96" s="46">
        <f>IFERROR(__xludf.DUMMYFUNCTION("""COMPUTED_VALUE"""),2219664.4)</f>
        <v>2219664.4</v>
      </c>
      <c r="I96" s="46">
        <f>IFERROR(__xludf.DUMMYFUNCTION("""COMPUTED_VALUE"""),1336926.41)</f>
        <v>1336926.41</v>
      </c>
      <c r="J96" s="46">
        <f>IFERROR(__xludf.DUMMYFUNCTION("""COMPUTED_VALUE"""),882737.99)</f>
        <v>882737.99</v>
      </c>
      <c r="K96" s="46" t="str">
        <f t="array" ref="K96">TEXT(D96, "mmmm")</f>
        <v>January</v>
      </c>
      <c r="M96" s="46" t="str">
        <f>IFERROR(__xludf.DUMMYFUNCTION("""COMPUTED_VALUE"""),"Andorra")</f>
        <v>Andorra</v>
      </c>
      <c r="N96" s="94">
        <f>IFERROR(__xludf.DUMMYFUNCTION("""COMPUTED_VALUE"""),40422.0)</f>
        <v>40422</v>
      </c>
      <c r="O96" s="46">
        <f>IFERROR(__xludf.DUMMYFUNCTION("""COMPUTED_VALUE"""),2.0)</f>
        <v>2</v>
      </c>
      <c r="P96" s="46">
        <f>IFERROR(__xludf.DUMMYFUNCTION("""COMPUTED_VALUE"""),9146.0)</f>
        <v>9146</v>
      </c>
      <c r="Q96" s="46">
        <f>IFERROR(__xludf.DUMMYFUNCTION("""COMPUTED_VALUE"""),5820013.49)</f>
        <v>5820013.49</v>
      </c>
      <c r="R96" s="46">
        <f>IFERROR(__xludf.DUMMYFUNCTION("""COMPUTED_VALUE"""),4353645.000000001)</f>
        <v>4353645</v>
      </c>
      <c r="S96" s="46">
        <f>IFERROR(__xludf.DUMMYFUNCTION("""COMPUTED_VALUE"""),1466368.4899999998)</f>
        <v>1466368.49</v>
      </c>
    </row>
    <row r="97">
      <c r="A97" s="46" t="str">
        <f>IFERROR(__xludf.DUMMYFUNCTION("""COMPUTED_VALUE"""),"Cosmetics")</f>
        <v>Cosmetics</v>
      </c>
      <c r="B97" s="46" t="str">
        <f>IFERROR(__xludf.DUMMYFUNCTION("""COMPUTED_VALUE"""),"Slovenia")</f>
        <v>Slovenia</v>
      </c>
      <c r="C97" s="46" t="str">
        <f>IFERROR(__xludf.DUMMYFUNCTION("""COMPUTED_VALUE"""),"Europe")</f>
        <v>Europe</v>
      </c>
      <c r="D97" s="90">
        <f>IFERROR(__xludf.DUMMYFUNCTION("""COMPUTED_VALUE"""),42736.0)</f>
        <v>42736</v>
      </c>
      <c r="E97" s="46">
        <f>IFERROR(__xludf.DUMMYFUNCTION("""COMPUTED_VALUE"""),2017.0)</f>
        <v>2017</v>
      </c>
      <c r="F97" s="46">
        <f>IFERROR(__xludf.DUMMYFUNCTION("""COMPUTED_VALUE"""),1.0)</f>
        <v>1</v>
      </c>
      <c r="G97" s="46">
        <f>IFERROR(__xludf.DUMMYFUNCTION("""COMPUTED_VALUE"""),9210.0)</f>
        <v>9210</v>
      </c>
      <c r="H97" s="46">
        <f>IFERROR(__xludf.DUMMYFUNCTION("""COMPUTED_VALUE"""),4026612.0)</f>
        <v>4026612</v>
      </c>
      <c r="I97" s="46">
        <f>IFERROR(__xludf.DUMMYFUNCTION("""COMPUTED_VALUE"""),2425269.3)</f>
        <v>2425269.3</v>
      </c>
      <c r="J97" s="46">
        <f>IFERROR(__xludf.DUMMYFUNCTION("""COMPUTED_VALUE"""),1601342.7000000002)</f>
        <v>1601342.7</v>
      </c>
      <c r="K97" s="46" t="str">
        <f t="array" ref="K97">TEXT(D97, "mmmm")</f>
        <v>January</v>
      </c>
      <c r="M97" s="46" t="str">
        <f>IFERROR(__xludf.DUMMYFUNCTION("""COMPUTED_VALUE"""),"Bulgaria")</f>
        <v>Bulgaria</v>
      </c>
      <c r="N97" s="94">
        <f>IFERROR(__xludf.DUMMYFUNCTION("""COMPUTED_VALUE"""),40422.0)</f>
        <v>40422</v>
      </c>
      <c r="O97" s="46">
        <f>IFERROR(__xludf.DUMMYFUNCTION("""COMPUTED_VALUE"""),1.0)</f>
        <v>1</v>
      </c>
      <c r="P97" s="46">
        <f>IFERROR(__xludf.DUMMYFUNCTION("""COMPUTED_VALUE"""),5421.0)</f>
        <v>5421</v>
      </c>
      <c r="Q97" s="46">
        <f>IFERROR(__xludf.DUMMYFUNCTION("""COMPUTED_VALUE"""),1383872.8800000001)</f>
        <v>1383872.88</v>
      </c>
      <c r="R97" s="46">
        <f>IFERROR(__xludf.DUMMYFUNCTION("""COMPUTED_VALUE"""),864215.82)</f>
        <v>864215.82</v>
      </c>
      <c r="S97" s="46">
        <f>IFERROR(__xludf.DUMMYFUNCTION("""COMPUTED_VALUE"""),519657.0600000002)</f>
        <v>519657.06</v>
      </c>
    </row>
    <row r="98">
      <c r="A98" s="46" t="str">
        <f>IFERROR(__xludf.DUMMYFUNCTION("""COMPUTED_VALUE"""),"Cosmetics")</f>
        <v>Cosmetics</v>
      </c>
      <c r="B98" s="46" t="str">
        <f>IFERROR(__xludf.DUMMYFUNCTION("""COMPUTED_VALUE"""),"Spain")</f>
        <v>Spain</v>
      </c>
      <c r="C98" s="46" t="str">
        <f>IFERROR(__xludf.DUMMYFUNCTION("""COMPUTED_VALUE"""),"Europe")</f>
        <v>Europe</v>
      </c>
      <c r="D98" s="90">
        <f>IFERROR(__xludf.DUMMYFUNCTION("""COMPUTED_VALUE"""),42736.0)</f>
        <v>42736</v>
      </c>
      <c r="E98" s="46">
        <f>IFERROR(__xludf.DUMMYFUNCTION("""COMPUTED_VALUE"""),2017.0)</f>
        <v>2017</v>
      </c>
      <c r="F98" s="46">
        <f>IFERROR(__xludf.DUMMYFUNCTION("""COMPUTED_VALUE"""),1.0)</f>
        <v>1</v>
      </c>
      <c r="G98" s="46">
        <f>IFERROR(__xludf.DUMMYFUNCTION("""COMPUTED_VALUE"""),2394.0)</f>
        <v>2394</v>
      </c>
      <c r="H98" s="46">
        <f>IFERROR(__xludf.DUMMYFUNCTION("""COMPUTED_VALUE"""),1046656.7999999999)</f>
        <v>1046656.8</v>
      </c>
      <c r="I98" s="46">
        <f>IFERROR(__xludf.DUMMYFUNCTION("""COMPUTED_VALUE"""),630412.02)</f>
        <v>630412.02</v>
      </c>
      <c r="J98" s="46">
        <f>IFERROR(__xludf.DUMMYFUNCTION("""COMPUTED_VALUE"""),416244.7799999999)</f>
        <v>416244.78</v>
      </c>
      <c r="K98" s="46" t="str">
        <f t="array" ref="K98">TEXT(D98, "mmmm")</f>
        <v>January</v>
      </c>
      <c r="M98" s="46" t="str">
        <f>IFERROR(__xludf.DUMMYFUNCTION("""COMPUTED_VALUE"""),"Denmark")</f>
        <v>Denmark</v>
      </c>
      <c r="N98" s="94">
        <f>IFERROR(__xludf.DUMMYFUNCTION("""COMPUTED_VALUE"""),40422.0)</f>
        <v>40422</v>
      </c>
      <c r="O98" s="46">
        <f>IFERROR(__xludf.DUMMYFUNCTION("""COMPUTED_VALUE"""),1.0)</f>
        <v>1</v>
      </c>
      <c r="P98" s="46">
        <f>IFERROR(__xludf.DUMMYFUNCTION("""COMPUTED_VALUE"""),1126.0)</f>
        <v>1126</v>
      </c>
      <c r="Q98" s="46">
        <f>IFERROR(__xludf.DUMMYFUNCTION("""COMPUTED_VALUE"""),53428.700000000004)</f>
        <v>53428.7</v>
      </c>
      <c r="R98" s="46">
        <f>IFERROR(__xludf.DUMMYFUNCTION("""COMPUTED_VALUE"""),35795.54)</f>
        <v>35795.54</v>
      </c>
      <c r="S98" s="46">
        <f>IFERROR(__xludf.DUMMYFUNCTION("""COMPUTED_VALUE"""),17633.160000000003)</f>
        <v>17633.16</v>
      </c>
    </row>
    <row r="99">
      <c r="A99" s="46" t="str">
        <f>IFERROR(__xludf.DUMMYFUNCTION("""COMPUTED_VALUE"""),"Fruits")</f>
        <v>Fruits</v>
      </c>
      <c r="B99" s="46" t="str">
        <f>IFERROR(__xludf.DUMMYFUNCTION("""COMPUTED_VALUE"""),"Georgia")</f>
        <v>Georgia</v>
      </c>
      <c r="C99" s="46" t="str">
        <f>IFERROR(__xludf.DUMMYFUNCTION("""COMPUTED_VALUE"""),"Asia")</f>
        <v>Asia</v>
      </c>
      <c r="D99" s="90">
        <f>IFERROR(__xludf.DUMMYFUNCTION("""COMPUTED_VALUE"""),42736.0)</f>
        <v>42736</v>
      </c>
      <c r="E99" s="46">
        <f>IFERROR(__xludf.DUMMYFUNCTION("""COMPUTED_VALUE"""),2017.0)</f>
        <v>2017</v>
      </c>
      <c r="F99" s="46">
        <f>IFERROR(__xludf.DUMMYFUNCTION("""COMPUTED_VALUE"""),1.0)</f>
        <v>1</v>
      </c>
      <c r="G99" s="46">
        <f>IFERROR(__xludf.DUMMYFUNCTION("""COMPUTED_VALUE"""),8169.0)</f>
        <v>8169</v>
      </c>
      <c r="H99" s="46">
        <f>IFERROR(__xludf.DUMMYFUNCTION("""COMPUTED_VALUE"""),76216.77)</f>
        <v>76216.77</v>
      </c>
      <c r="I99" s="46">
        <f>IFERROR(__xludf.DUMMYFUNCTION("""COMPUTED_VALUE"""),56529.479999999996)</f>
        <v>56529.48</v>
      </c>
      <c r="J99" s="46">
        <f>IFERROR(__xludf.DUMMYFUNCTION("""COMPUTED_VALUE"""),19687.290000000008)</f>
        <v>19687.29</v>
      </c>
      <c r="K99" s="46" t="str">
        <f t="array" ref="K99">TEXT(D99, "mmmm")</f>
        <v>January</v>
      </c>
      <c r="M99" s="46" t="str">
        <f>IFERROR(__xludf.DUMMYFUNCTION("""COMPUTED_VALUE"""),"Finland")</f>
        <v>Finland</v>
      </c>
      <c r="N99" s="94">
        <f>IFERROR(__xludf.DUMMYFUNCTION("""COMPUTED_VALUE"""),40422.0)</f>
        <v>40422</v>
      </c>
      <c r="O99" s="46">
        <f>IFERROR(__xludf.DUMMYFUNCTION("""COMPUTED_VALUE"""),1.0)</f>
        <v>1</v>
      </c>
      <c r="P99" s="46">
        <f>IFERROR(__xludf.DUMMYFUNCTION("""COMPUTED_VALUE"""),4080.0)</f>
        <v>4080</v>
      </c>
      <c r="Q99" s="46">
        <f>IFERROR(__xludf.DUMMYFUNCTION("""COMPUTED_VALUE"""),38066.4)</f>
        <v>38066.4</v>
      </c>
      <c r="R99" s="46">
        <f>IFERROR(__xludf.DUMMYFUNCTION("""COMPUTED_VALUE"""),28233.6)</f>
        <v>28233.6</v>
      </c>
      <c r="S99" s="46">
        <f>IFERROR(__xludf.DUMMYFUNCTION("""COMPUTED_VALUE"""),9832.800000000003)</f>
        <v>9832.8</v>
      </c>
    </row>
    <row r="100">
      <c r="A100" s="46" t="str">
        <f>IFERROR(__xludf.DUMMYFUNCTION("""COMPUTED_VALUE"""),"Fruits")</f>
        <v>Fruits</v>
      </c>
      <c r="B100" s="46" t="str">
        <f>IFERROR(__xludf.DUMMYFUNCTION("""COMPUTED_VALUE"""),"Sweden")</f>
        <v>Sweden</v>
      </c>
      <c r="C100" s="46" t="str">
        <f>IFERROR(__xludf.DUMMYFUNCTION("""COMPUTED_VALUE"""),"Europe")</f>
        <v>Europe</v>
      </c>
      <c r="D100" s="90">
        <f>IFERROR(__xludf.DUMMYFUNCTION("""COMPUTED_VALUE"""),42736.0)</f>
        <v>42736</v>
      </c>
      <c r="E100" s="46">
        <f>IFERROR(__xludf.DUMMYFUNCTION("""COMPUTED_VALUE"""),2017.0)</f>
        <v>2017</v>
      </c>
      <c r="F100" s="46">
        <f>IFERROR(__xludf.DUMMYFUNCTION("""COMPUTED_VALUE"""),1.0)</f>
        <v>1</v>
      </c>
      <c r="G100" s="46">
        <f>IFERROR(__xludf.DUMMYFUNCTION("""COMPUTED_VALUE"""),4734.0)</f>
        <v>4734</v>
      </c>
      <c r="H100" s="46">
        <f>IFERROR(__xludf.DUMMYFUNCTION("""COMPUTED_VALUE"""),44168.22)</f>
        <v>44168.22</v>
      </c>
      <c r="I100" s="46">
        <f>IFERROR(__xludf.DUMMYFUNCTION("""COMPUTED_VALUE"""),32759.28)</f>
        <v>32759.28</v>
      </c>
      <c r="J100" s="46">
        <f>IFERROR(__xludf.DUMMYFUNCTION("""COMPUTED_VALUE"""),11408.940000000002)</f>
        <v>11408.94</v>
      </c>
      <c r="K100" s="46" t="str">
        <f t="array" ref="K100">TEXT(D100, "mmmm")</f>
        <v>January</v>
      </c>
      <c r="M100" s="46" t="str">
        <f>IFERROR(__xludf.DUMMYFUNCTION("""COMPUTED_VALUE"""),"Iceland")</f>
        <v>Iceland</v>
      </c>
      <c r="N100" s="94">
        <f>IFERROR(__xludf.DUMMYFUNCTION("""COMPUTED_VALUE"""),40422.0)</f>
        <v>40422</v>
      </c>
      <c r="O100" s="46">
        <f>IFERROR(__xludf.DUMMYFUNCTION("""COMPUTED_VALUE"""),1.0)</f>
        <v>1</v>
      </c>
      <c r="P100" s="46">
        <f>IFERROR(__xludf.DUMMYFUNCTION("""COMPUTED_VALUE"""),2715.0)</f>
        <v>2715</v>
      </c>
      <c r="Q100" s="46">
        <f>IFERROR(__xludf.DUMMYFUNCTION("""COMPUTED_VALUE"""),221896.95)</f>
        <v>221896.95</v>
      </c>
      <c r="R100" s="46">
        <f>IFERROR(__xludf.DUMMYFUNCTION("""COMPUTED_VALUE"""),153859.05000000002)</f>
        <v>153859.05</v>
      </c>
      <c r="S100" s="46">
        <f>IFERROR(__xludf.DUMMYFUNCTION("""COMPUTED_VALUE"""),68037.9)</f>
        <v>68037.9</v>
      </c>
    </row>
    <row r="101">
      <c r="A101" s="46" t="str">
        <f>IFERROR(__xludf.DUMMYFUNCTION("""COMPUTED_VALUE"""),"Meat")</f>
        <v>Meat</v>
      </c>
      <c r="B101" s="46" t="str">
        <f>IFERROR(__xludf.DUMMYFUNCTION("""COMPUTED_VALUE"""),"Germany")</f>
        <v>Germany</v>
      </c>
      <c r="C101" s="46" t="str">
        <f>IFERROR(__xludf.DUMMYFUNCTION("""COMPUTED_VALUE"""),"Europe")</f>
        <v>Europe</v>
      </c>
      <c r="D101" s="90">
        <f>IFERROR(__xludf.DUMMYFUNCTION("""COMPUTED_VALUE"""),42736.0)</f>
        <v>42736</v>
      </c>
      <c r="E101" s="46">
        <f>IFERROR(__xludf.DUMMYFUNCTION("""COMPUTED_VALUE"""),2017.0)</f>
        <v>2017</v>
      </c>
      <c r="F101" s="46">
        <f>IFERROR(__xludf.DUMMYFUNCTION("""COMPUTED_VALUE"""),1.0)</f>
        <v>1</v>
      </c>
      <c r="G101" s="46">
        <f>IFERROR(__xludf.DUMMYFUNCTION("""COMPUTED_VALUE"""),6842.0)</f>
        <v>6842</v>
      </c>
      <c r="H101" s="46">
        <f>IFERROR(__xludf.DUMMYFUNCTION("""COMPUTED_VALUE"""),2886571.38)</f>
        <v>2886571.38</v>
      </c>
      <c r="I101" s="46">
        <f>IFERROR(__xludf.DUMMYFUNCTION("""COMPUTED_VALUE"""),2495208.98)</f>
        <v>2495208.98</v>
      </c>
      <c r="J101" s="46">
        <f>IFERROR(__xludf.DUMMYFUNCTION("""COMPUTED_VALUE"""),391362.3999999999)</f>
        <v>391362.4</v>
      </c>
      <c r="K101" s="46" t="str">
        <f t="array" ref="K101">TEXT(D101, "mmmm")</f>
        <v>January</v>
      </c>
      <c r="M101" s="46" t="str">
        <f>IFERROR(__xludf.DUMMYFUNCTION("""COMPUTED_VALUE"""),"Latvia")</f>
        <v>Latvia</v>
      </c>
      <c r="N101" s="94">
        <f>IFERROR(__xludf.DUMMYFUNCTION("""COMPUTED_VALUE"""),40422.0)</f>
        <v>40422</v>
      </c>
      <c r="O101" s="46">
        <f>IFERROR(__xludf.DUMMYFUNCTION("""COMPUTED_VALUE"""),1.0)</f>
        <v>1</v>
      </c>
      <c r="P101" s="46">
        <f>IFERROR(__xludf.DUMMYFUNCTION("""COMPUTED_VALUE"""),3136.0)</f>
        <v>3136</v>
      </c>
      <c r="Q101" s="46">
        <f>IFERROR(__xludf.DUMMYFUNCTION("""COMPUTED_VALUE"""),800558.08)</f>
        <v>800558.08</v>
      </c>
      <c r="R101" s="46">
        <f>IFERROR(__xludf.DUMMYFUNCTION("""COMPUTED_VALUE"""),499941.11999999994)</f>
        <v>499941.12</v>
      </c>
      <c r="S101" s="46">
        <f>IFERROR(__xludf.DUMMYFUNCTION("""COMPUTED_VALUE"""),300616.96)</f>
        <v>300616.96</v>
      </c>
    </row>
    <row r="102">
      <c r="A102" s="46" t="str">
        <f>IFERROR(__xludf.DUMMYFUNCTION("""COMPUTED_VALUE"""),"Snacks")</f>
        <v>Snacks</v>
      </c>
      <c r="B102" s="46" t="str">
        <f>IFERROR(__xludf.DUMMYFUNCTION("""COMPUTED_VALUE"""),"Georgia")</f>
        <v>Georgia</v>
      </c>
      <c r="C102" s="46" t="str">
        <f>IFERROR(__xludf.DUMMYFUNCTION("""COMPUTED_VALUE"""),"Asia")</f>
        <v>Asia</v>
      </c>
      <c r="D102" s="90">
        <f>IFERROR(__xludf.DUMMYFUNCTION("""COMPUTED_VALUE"""),42736.0)</f>
        <v>42736</v>
      </c>
      <c r="E102" s="46">
        <f>IFERROR(__xludf.DUMMYFUNCTION("""COMPUTED_VALUE"""),2017.0)</f>
        <v>2017</v>
      </c>
      <c r="F102" s="46">
        <f>IFERROR(__xludf.DUMMYFUNCTION("""COMPUTED_VALUE"""),1.0)</f>
        <v>1</v>
      </c>
      <c r="G102" s="46">
        <f>IFERROR(__xludf.DUMMYFUNCTION("""COMPUTED_VALUE"""),6191.0)</f>
        <v>6191</v>
      </c>
      <c r="H102" s="46">
        <f>IFERROR(__xludf.DUMMYFUNCTION("""COMPUTED_VALUE"""),944622.78)</f>
        <v>944622.78</v>
      </c>
      <c r="I102" s="46">
        <f>IFERROR(__xludf.DUMMYFUNCTION("""COMPUTED_VALUE"""),603251.04)</f>
        <v>603251.04</v>
      </c>
      <c r="J102" s="46">
        <f>IFERROR(__xludf.DUMMYFUNCTION("""COMPUTED_VALUE"""),341371.74)</f>
        <v>341371.74</v>
      </c>
      <c r="K102" s="46" t="str">
        <f t="array" ref="K102">TEXT(D102, "mmmm")</f>
        <v>January</v>
      </c>
      <c r="M102" s="46" t="str">
        <f>IFERROR(__xludf.DUMMYFUNCTION("""COMPUTED_VALUE"""),"Luxembourg")</f>
        <v>Luxembourg</v>
      </c>
      <c r="N102" s="94">
        <f>IFERROR(__xludf.DUMMYFUNCTION("""COMPUTED_VALUE"""),40422.0)</f>
        <v>40422</v>
      </c>
      <c r="O102" s="46">
        <f>IFERROR(__xludf.DUMMYFUNCTION("""COMPUTED_VALUE"""),1.0)</f>
        <v>1</v>
      </c>
      <c r="P102" s="46">
        <f>IFERROR(__xludf.DUMMYFUNCTION("""COMPUTED_VALUE"""),2326.0)</f>
        <v>2326</v>
      </c>
      <c r="Q102" s="46">
        <f>IFERROR(__xludf.DUMMYFUNCTION("""COMPUTED_VALUE"""),354901.08)</f>
        <v>354901.08</v>
      </c>
      <c r="R102" s="46">
        <f>IFERROR(__xludf.DUMMYFUNCTION("""COMPUTED_VALUE"""),226645.44)</f>
        <v>226645.44</v>
      </c>
      <c r="S102" s="46">
        <f>IFERROR(__xludf.DUMMYFUNCTION("""COMPUTED_VALUE"""),128255.64000000001)</f>
        <v>128255.64</v>
      </c>
    </row>
    <row r="103">
      <c r="A103" s="46" t="str">
        <f>IFERROR(__xludf.DUMMYFUNCTION("""COMPUTED_VALUE"""),"Snacks")</f>
        <v>Snacks</v>
      </c>
      <c r="B103" s="46" t="str">
        <f>IFERROR(__xludf.DUMMYFUNCTION("""COMPUTED_VALUE"""),"San Marino")</f>
        <v>San Marino</v>
      </c>
      <c r="C103" s="46" t="str">
        <f>IFERROR(__xludf.DUMMYFUNCTION("""COMPUTED_VALUE"""),"Europe")</f>
        <v>Europe</v>
      </c>
      <c r="D103" s="90">
        <f>IFERROR(__xludf.DUMMYFUNCTION("""COMPUTED_VALUE"""),42736.0)</f>
        <v>42736</v>
      </c>
      <c r="E103" s="46">
        <f>IFERROR(__xludf.DUMMYFUNCTION("""COMPUTED_VALUE"""),2017.0)</f>
        <v>2017</v>
      </c>
      <c r="F103" s="46">
        <f>IFERROR(__xludf.DUMMYFUNCTION("""COMPUTED_VALUE"""),1.0)</f>
        <v>1</v>
      </c>
      <c r="G103" s="46">
        <f>IFERROR(__xludf.DUMMYFUNCTION("""COMPUTED_VALUE"""),2902.0)</f>
        <v>2902</v>
      </c>
      <c r="H103" s="46">
        <f>IFERROR(__xludf.DUMMYFUNCTION("""COMPUTED_VALUE"""),442787.16000000003)</f>
        <v>442787.16</v>
      </c>
      <c r="I103" s="46">
        <f>IFERROR(__xludf.DUMMYFUNCTION("""COMPUTED_VALUE"""),282770.88)</f>
        <v>282770.88</v>
      </c>
      <c r="J103" s="46">
        <f>IFERROR(__xludf.DUMMYFUNCTION("""COMPUTED_VALUE"""),160016.28000000003)</f>
        <v>160016.28</v>
      </c>
      <c r="K103" s="46" t="str">
        <f t="array" ref="K103">TEXT(D103, "mmmm")</f>
        <v>January</v>
      </c>
      <c r="M103" s="46" t="str">
        <f>IFERROR(__xludf.DUMMYFUNCTION("""COMPUTED_VALUE"""),"Macedonia")</f>
        <v>Macedonia</v>
      </c>
      <c r="N103" s="94">
        <f>IFERROR(__xludf.DUMMYFUNCTION("""COMPUTED_VALUE"""),40422.0)</f>
        <v>40422</v>
      </c>
      <c r="O103" s="46">
        <f>IFERROR(__xludf.DUMMYFUNCTION("""COMPUTED_VALUE"""),1.0)</f>
        <v>1</v>
      </c>
      <c r="P103" s="46">
        <f>IFERROR(__xludf.DUMMYFUNCTION("""COMPUTED_VALUE"""),6850.0)</f>
        <v>6850</v>
      </c>
      <c r="Q103" s="46">
        <f>IFERROR(__xludf.DUMMYFUNCTION("""COMPUTED_VALUE"""),1409045.0)</f>
        <v>1409045</v>
      </c>
      <c r="R103" s="46">
        <f>IFERROR(__xludf.DUMMYFUNCTION("""COMPUTED_VALUE"""),802203.5)</f>
        <v>802203.5</v>
      </c>
      <c r="S103" s="46">
        <f>IFERROR(__xludf.DUMMYFUNCTION("""COMPUTED_VALUE"""),606841.5)</f>
        <v>606841.5</v>
      </c>
    </row>
    <row r="104">
      <c r="A104" s="46" t="str">
        <f>IFERROR(__xludf.DUMMYFUNCTION("""COMPUTED_VALUE"""),"Baby Food")</f>
        <v>Baby Food</v>
      </c>
      <c r="B104" s="46" t="str">
        <f>IFERROR(__xludf.DUMMYFUNCTION("""COMPUTED_VALUE"""),"Undefined")</f>
        <v>Undefined</v>
      </c>
      <c r="C104" s="46" t="str">
        <f>IFERROR(__xludf.DUMMYFUNCTION("""COMPUTED_VALUE"""),"Undefined")</f>
        <v>Undefined</v>
      </c>
      <c r="D104" s="90">
        <f>IFERROR(__xludf.DUMMYFUNCTION("""COMPUTED_VALUE"""),42705.0)</f>
        <v>42705</v>
      </c>
      <c r="E104" s="46">
        <f>IFERROR(__xludf.DUMMYFUNCTION("""COMPUTED_VALUE"""),2016.0)</f>
        <v>2016</v>
      </c>
      <c r="F104" s="46">
        <f>IFERROR(__xludf.DUMMYFUNCTION("""COMPUTED_VALUE"""),1.0)</f>
        <v>1</v>
      </c>
      <c r="G104" s="46">
        <f>IFERROR(__xludf.DUMMYFUNCTION("""COMPUTED_VALUE"""),4728.0)</f>
        <v>4728</v>
      </c>
      <c r="H104" s="46">
        <f>IFERROR(__xludf.DUMMYFUNCTION("""COMPUTED_VALUE"""),1206963.84)</f>
        <v>1206963.84</v>
      </c>
      <c r="I104" s="46">
        <f>IFERROR(__xludf.DUMMYFUNCTION("""COMPUTED_VALUE"""),753737.7599999999)</f>
        <v>753737.76</v>
      </c>
      <c r="J104" s="46">
        <f>IFERROR(__xludf.DUMMYFUNCTION("""COMPUTED_VALUE"""),453226.0800000002)</f>
        <v>453226.08</v>
      </c>
      <c r="K104" s="46" t="str">
        <f t="array" ref="K104">TEXT(D104, "mmmm")</f>
        <v>December</v>
      </c>
      <c r="M104" s="46" t="str">
        <f>IFERROR(__xludf.DUMMYFUNCTION("""COMPUTED_VALUE"""),"Malta")</f>
        <v>Malta</v>
      </c>
      <c r="N104" s="94">
        <f>IFERROR(__xludf.DUMMYFUNCTION("""COMPUTED_VALUE"""),40422.0)</f>
        <v>40422</v>
      </c>
      <c r="O104" s="46">
        <f>IFERROR(__xludf.DUMMYFUNCTION("""COMPUTED_VALUE"""),1.0)</f>
        <v>1</v>
      </c>
      <c r="P104" s="46">
        <f>IFERROR(__xludf.DUMMYFUNCTION("""COMPUTED_VALUE"""),3062.0)</f>
        <v>3062</v>
      </c>
      <c r="Q104" s="46">
        <f>IFERROR(__xludf.DUMMYFUNCTION("""COMPUTED_VALUE"""),2046242.74)</f>
        <v>2046242.74</v>
      </c>
      <c r="R104" s="46">
        <f>IFERROR(__xludf.DUMMYFUNCTION("""COMPUTED_VALUE"""),1538777.48)</f>
        <v>1538777.48</v>
      </c>
      <c r="S104" s="46">
        <f>IFERROR(__xludf.DUMMYFUNCTION("""COMPUTED_VALUE"""),507465.26)</f>
        <v>507465.26</v>
      </c>
    </row>
    <row r="105">
      <c r="A105" s="46" t="str">
        <f>IFERROR(__xludf.DUMMYFUNCTION("""COMPUTED_VALUE"""),"Beverages")</f>
        <v>Beverages</v>
      </c>
      <c r="B105" s="46" t="str">
        <f>IFERROR(__xludf.DUMMYFUNCTION("""COMPUTED_VALUE"""),"Belgium")</f>
        <v>Belgium</v>
      </c>
      <c r="C105" s="46" t="str">
        <f>IFERROR(__xludf.DUMMYFUNCTION("""COMPUTED_VALUE"""),"Europe")</f>
        <v>Europe</v>
      </c>
      <c r="D105" s="90">
        <f>IFERROR(__xludf.DUMMYFUNCTION("""COMPUTED_VALUE"""),42705.0)</f>
        <v>42705</v>
      </c>
      <c r="E105" s="46">
        <f>IFERROR(__xludf.DUMMYFUNCTION("""COMPUTED_VALUE"""),2016.0)</f>
        <v>2016</v>
      </c>
      <c r="F105" s="46">
        <f>IFERROR(__xludf.DUMMYFUNCTION("""COMPUTED_VALUE"""),1.0)</f>
        <v>1</v>
      </c>
      <c r="G105" s="46">
        <f>IFERROR(__xludf.DUMMYFUNCTION("""COMPUTED_VALUE"""),789.0)</f>
        <v>789</v>
      </c>
      <c r="H105" s="46">
        <f>IFERROR(__xludf.DUMMYFUNCTION("""COMPUTED_VALUE"""),37438.05)</f>
        <v>37438.05</v>
      </c>
      <c r="I105" s="46">
        <f>IFERROR(__xludf.DUMMYFUNCTION("""COMPUTED_VALUE"""),25082.309999999998)</f>
        <v>25082.31</v>
      </c>
      <c r="J105" s="46">
        <f>IFERROR(__xludf.DUMMYFUNCTION("""COMPUTED_VALUE"""),12355.740000000005)</f>
        <v>12355.74</v>
      </c>
      <c r="K105" s="46" t="str">
        <f t="array" ref="K105">TEXT(D105, "mmmm")</f>
        <v>December</v>
      </c>
      <c r="M105" s="46" t="str">
        <f>IFERROR(__xludf.DUMMYFUNCTION("""COMPUTED_VALUE"""),"Monaco")</f>
        <v>Monaco</v>
      </c>
      <c r="N105" s="94">
        <f>IFERROR(__xludf.DUMMYFUNCTION("""COMPUTED_VALUE"""),40422.0)</f>
        <v>40422</v>
      </c>
      <c r="O105" s="46">
        <f>IFERROR(__xludf.DUMMYFUNCTION("""COMPUTED_VALUE"""),1.0)</f>
        <v>1</v>
      </c>
      <c r="P105" s="46">
        <f>IFERROR(__xludf.DUMMYFUNCTION("""COMPUTED_VALUE"""),3206.0)</f>
        <v>3206</v>
      </c>
      <c r="Q105" s="46">
        <f>IFERROR(__xludf.DUMMYFUNCTION("""COMPUTED_VALUE"""),1401663.2)</f>
        <v>1401663.2</v>
      </c>
      <c r="R105" s="46">
        <f>IFERROR(__xludf.DUMMYFUNCTION("""COMPUTED_VALUE"""),844235.98)</f>
        <v>844235.98</v>
      </c>
      <c r="S105" s="46">
        <f>IFERROR(__xludf.DUMMYFUNCTION("""COMPUTED_VALUE"""),557427.22)</f>
        <v>557427.22</v>
      </c>
    </row>
    <row r="106">
      <c r="A106" s="46" t="str">
        <f>IFERROR(__xludf.DUMMYFUNCTION("""COMPUTED_VALUE"""),"Clothes")</f>
        <v>Clothes</v>
      </c>
      <c r="B106" s="46" t="str">
        <f>IFERROR(__xludf.DUMMYFUNCTION("""COMPUTED_VALUE"""),"Belarus")</f>
        <v>Belarus</v>
      </c>
      <c r="C106" s="46" t="str">
        <f>IFERROR(__xludf.DUMMYFUNCTION("""COMPUTED_VALUE"""),"Europe")</f>
        <v>Europe</v>
      </c>
      <c r="D106" s="90">
        <f>IFERROR(__xludf.DUMMYFUNCTION("""COMPUTED_VALUE"""),42705.0)</f>
        <v>42705</v>
      </c>
      <c r="E106" s="46">
        <f>IFERROR(__xludf.DUMMYFUNCTION("""COMPUTED_VALUE"""),2016.0)</f>
        <v>2016</v>
      </c>
      <c r="F106" s="46">
        <f>IFERROR(__xludf.DUMMYFUNCTION("""COMPUTED_VALUE"""),1.0)</f>
        <v>1</v>
      </c>
      <c r="G106" s="46">
        <f>IFERROR(__xludf.DUMMYFUNCTION("""COMPUTED_VALUE"""),6266.0)</f>
        <v>6266</v>
      </c>
      <c r="H106" s="46">
        <f>IFERROR(__xludf.DUMMYFUNCTION("""COMPUTED_VALUE"""),684748.48)</f>
        <v>684748.48</v>
      </c>
      <c r="I106" s="46">
        <f>IFERROR(__xludf.DUMMYFUNCTION("""COMPUTED_VALUE"""),224573.44000000003)</f>
        <v>224573.44</v>
      </c>
      <c r="J106" s="46">
        <f>IFERROR(__xludf.DUMMYFUNCTION("""COMPUTED_VALUE"""),460175.0399999999)</f>
        <v>460175.04</v>
      </c>
      <c r="K106" s="46" t="str">
        <f t="array" ref="K106">TEXT(D106, "mmmm")</f>
        <v>December</v>
      </c>
      <c r="M106" s="46" t="str">
        <f>IFERROR(__xludf.DUMMYFUNCTION("""COMPUTED_VALUE"""),"Russia")</f>
        <v>Russia</v>
      </c>
      <c r="N106" s="94">
        <f>IFERROR(__xludf.DUMMYFUNCTION("""COMPUTED_VALUE"""),40422.0)</f>
        <v>40422</v>
      </c>
      <c r="O106" s="46">
        <f>IFERROR(__xludf.DUMMYFUNCTION("""COMPUTED_VALUE"""),1.0)</f>
        <v>1</v>
      </c>
      <c r="P106" s="46">
        <f>IFERROR(__xludf.DUMMYFUNCTION("""COMPUTED_VALUE"""),574.0)</f>
        <v>574</v>
      </c>
      <c r="Q106" s="46">
        <f>IFERROR(__xludf.DUMMYFUNCTION("""COMPUTED_VALUE"""),146530.72)</f>
        <v>146530.72</v>
      </c>
      <c r="R106" s="46">
        <f>IFERROR(__xludf.DUMMYFUNCTION("""COMPUTED_VALUE"""),91507.07999999999)</f>
        <v>91507.08</v>
      </c>
      <c r="S106" s="46">
        <f>IFERROR(__xludf.DUMMYFUNCTION("""COMPUTED_VALUE"""),55023.640000000014)</f>
        <v>55023.64</v>
      </c>
    </row>
    <row r="107">
      <c r="A107" s="46" t="str">
        <f>IFERROR(__xludf.DUMMYFUNCTION("""COMPUTED_VALUE"""),"Clothes")</f>
        <v>Clothes</v>
      </c>
      <c r="B107" s="46" t="str">
        <f>IFERROR(__xludf.DUMMYFUNCTION("""COMPUTED_VALUE"""),"Estonia")</f>
        <v>Estonia</v>
      </c>
      <c r="C107" s="46" t="str">
        <f>IFERROR(__xludf.DUMMYFUNCTION("""COMPUTED_VALUE"""),"Europe")</f>
        <v>Europe</v>
      </c>
      <c r="D107" s="90">
        <f>IFERROR(__xludf.DUMMYFUNCTION("""COMPUTED_VALUE"""),42705.0)</f>
        <v>42705</v>
      </c>
      <c r="E107" s="46">
        <f>IFERROR(__xludf.DUMMYFUNCTION("""COMPUTED_VALUE"""),2016.0)</f>
        <v>2016</v>
      </c>
      <c r="F107" s="46">
        <f>IFERROR(__xludf.DUMMYFUNCTION("""COMPUTED_VALUE"""),1.0)</f>
        <v>1</v>
      </c>
      <c r="G107" s="46">
        <f>IFERROR(__xludf.DUMMYFUNCTION("""COMPUTED_VALUE"""),123.0)</f>
        <v>123</v>
      </c>
      <c r="H107" s="46">
        <f>IFERROR(__xludf.DUMMYFUNCTION("""COMPUTED_VALUE"""),13441.44)</f>
        <v>13441.44</v>
      </c>
      <c r="I107" s="46">
        <f>IFERROR(__xludf.DUMMYFUNCTION("""COMPUTED_VALUE"""),4408.320000000001)</f>
        <v>4408.32</v>
      </c>
      <c r="J107" s="46">
        <f>IFERROR(__xludf.DUMMYFUNCTION("""COMPUTED_VALUE"""),9033.119999999999)</f>
        <v>9033.12</v>
      </c>
      <c r="K107" s="46" t="str">
        <f t="array" ref="K107">TEXT(D107, "mmmm")</f>
        <v>December</v>
      </c>
      <c r="M107" s="46" t="str">
        <f>IFERROR(__xludf.DUMMYFUNCTION("""COMPUTED_VALUE"""),"San Marino")</f>
        <v>San Marino</v>
      </c>
      <c r="N107" s="94">
        <f>IFERROR(__xludf.DUMMYFUNCTION("""COMPUTED_VALUE"""),40422.0)</f>
        <v>40422</v>
      </c>
      <c r="O107" s="46">
        <f>IFERROR(__xludf.DUMMYFUNCTION("""COMPUTED_VALUE"""),1.0)</f>
        <v>1</v>
      </c>
      <c r="P107" s="46">
        <f>IFERROR(__xludf.DUMMYFUNCTION("""COMPUTED_VALUE"""),2902.0)</f>
        <v>2902</v>
      </c>
      <c r="Q107" s="46">
        <f>IFERROR(__xludf.DUMMYFUNCTION("""COMPUTED_VALUE"""),237180.46000000002)</f>
        <v>237180.46</v>
      </c>
      <c r="R107" s="46">
        <f>IFERROR(__xludf.DUMMYFUNCTION("""COMPUTED_VALUE"""),164456.34)</f>
        <v>164456.34</v>
      </c>
      <c r="S107" s="46">
        <f>IFERROR(__xludf.DUMMYFUNCTION("""COMPUTED_VALUE"""),72724.12000000002)</f>
        <v>72724.12</v>
      </c>
    </row>
    <row r="108">
      <c r="A108" s="46" t="str">
        <f>IFERROR(__xludf.DUMMYFUNCTION("""COMPUTED_VALUE"""),"Fruits")</f>
        <v>Fruits</v>
      </c>
      <c r="B108" s="46" t="str">
        <f>IFERROR(__xludf.DUMMYFUNCTION("""COMPUTED_VALUE"""),"Georgia")</f>
        <v>Georgia</v>
      </c>
      <c r="C108" s="46" t="str">
        <f>IFERROR(__xludf.DUMMYFUNCTION("""COMPUTED_VALUE"""),"Asia")</f>
        <v>Asia</v>
      </c>
      <c r="D108" s="90">
        <f>IFERROR(__xludf.DUMMYFUNCTION("""COMPUTED_VALUE"""),42705.0)</f>
        <v>42705</v>
      </c>
      <c r="E108" s="46">
        <f>IFERROR(__xludf.DUMMYFUNCTION("""COMPUTED_VALUE"""),2016.0)</f>
        <v>2016</v>
      </c>
      <c r="F108" s="46">
        <f>IFERROR(__xludf.DUMMYFUNCTION("""COMPUTED_VALUE"""),1.0)</f>
        <v>1</v>
      </c>
      <c r="G108" s="46">
        <f>IFERROR(__xludf.DUMMYFUNCTION("""COMPUTED_VALUE"""),1775.0)</f>
        <v>1775</v>
      </c>
      <c r="H108" s="46">
        <f>IFERROR(__xludf.DUMMYFUNCTION("""COMPUTED_VALUE"""),16560.75)</f>
        <v>16560.75</v>
      </c>
      <c r="I108" s="46">
        <f>IFERROR(__xludf.DUMMYFUNCTION("""COMPUTED_VALUE"""),12283.0)</f>
        <v>12283</v>
      </c>
      <c r="J108" s="46">
        <f>IFERROR(__xludf.DUMMYFUNCTION("""COMPUTED_VALUE"""),4277.75)</f>
        <v>4277.75</v>
      </c>
      <c r="K108" s="46" t="str">
        <f t="array" ref="K108">TEXT(D108, "mmmm")</f>
        <v>December</v>
      </c>
      <c r="M108" s="46" t="str">
        <f>IFERROR(__xludf.DUMMYFUNCTION("""COMPUTED_VALUE"""),"Sweden")</f>
        <v>Sweden</v>
      </c>
      <c r="N108" s="94">
        <f>IFERROR(__xludf.DUMMYFUNCTION("""COMPUTED_VALUE"""),40422.0)</f>
        <v>40422</v>
      </c>
      <c r="O108" s="46">
        <f>IFERROR(__xludf.DUMMYFUNCTION("""COMPUTED_VALUE"""),1.0)</f>
        <v>1</v>
      </c>
      <c r="P108" s="46">
        <f>IFERROR(__xludf.DUMMYFUNCTION("""COMPUTED_VALUE"""),1151.0)</f>
        <v>1151</v>
      </c>
      <c r="Q108" s="46">
        <f>IFERROR(__xludf.DUMMYFUNCTION("""COMPUTED_VALUE"""),177323.06)</f>
        <v>177323.06</v>
      </c>
      <c r="R108" s="46">
        <f>IFERROR(__xludf.DUMMYFUNCTION("""COMPUTED_VALUE"""),104660.43000000001)</f>
        <v>104660.43</v>
      </c>
      <c r="S108" s="46">
        <f>IFERROR(__xludf.DUMMYFUNCTION("""COMPUTED_VALUE"""),72662.62999999999)</f>
        <v>72662.63</v>
      </c>
    </row>
    <row r="109">
      <c r="A109" s="46" t="str">
        <f>IFERROR(__xludf.DUMMYFUNCTION("""COMPUTED_VALUE"""),"Fruits")</f>
        <v>Fruits</v>
      </c>
      <c r="B109" s="46" t="str">
        <f>IFERROR(__xludf.DUMMYFUNCTION("""COMPUTED_VALUE"""),"Luxembourg")</f>
        <v>Luxembourg</v>
      </c>
      <c r="C109" s="46" t="str">
        <f>IFERROR(__xludf.DUMMYFUNCTION("""COMPUTED_VALUE"""),"Europe")</f>
        <v>Europe</v>
      </c>
      <c r="D109" s="90">
        <f>IFERROR(__xludf.DUMMYFUNCTION("""COMPUTED_VALUE"""),42705.0)</f>
        <v>42705</v>
      </c>
      <c r="E109" s="46">
        <f>IFERROR(__xludf.DUMMYFUNCTION("""COMPUTED_VALUE"""),2016.0)</f>
        <v>2016</v>
      </c>
      <c r="F109" s="46">
        <f>IFERROR(__xludf.DUMMYFUNCTION("""COMPUTED_VALUE"""),1.0)</f>
        <v>1</v>
      </c>
      <c r="G109" s="46">
        <f>IFERROR(__xludf.DUMMYFUNCTION("""COMPUTED_VALUE"""),1723.0)</f>
        <v>1723</v>
      </c>
      <c r="H109" s="46">
        <f>IFERROR(__xludf.DUMMYFUNCTION("""COMPUTED_VALUE"""),16075.59)</f>
        <v>16075.59</v>
      </c>
      <c r="I109" s="46">
        <f>IFERROR(__xludf.DUMMYFUNCTION("""COMPUTED_VALUE"""),11923.16)</f>
        <v>11923.16</v>
      </c>
      <c r="J109" s="46">
        <f>IFERROR(__xludf.DUMMYFUNCTION("""COMPUTED_VALUE"""),4152.43)</f>
        <v>4152.43</v>
      </c>
      <c r="K109" s="46" t="str">
        <f t="array" ref="K109">TEXT(D109, "mmmm")</f>
        <v>December</v>
      </c>
      <c r="M109" s="46" t="str">
        <f>IFERROR(__xludf.DUMMYFUNCTION("""COMPUTED_VALUE"""),"Switzerland")</f>
        <v>Switzerland</v>
      </c>
      <c r="N109" s="94">
        <f>IFERROR(__xludf.DUMMYFUNCTION("""COMPUTED_VALUE"""),40422.0)</f>
        <v>40422</v>
      </c>
      <c r="O109" s="46">
        <f>IFERROR(__xludf.DUMMYFUNCTION("""COMPUTED_VALUE"""),1.0)</f>
        <v>1</v>
      </c>
      <c r="P109" s="46">
        <f>IFERROR(__xludf.DUMMYFUNCTION("""COMPUTED_VALUE"""),7918.0)</f>
        <v>7918</v>
      </c>
      <c r="Q109" s="46">
        <f>IFERROR(__xludf.DUMMYFUNCTION("""COMPUTED_VALUE"""),2021307.04)</f>
        <v>2021307.04</v>
      </c>
      <c r="R109" s="46">
        <f>IFERROR(__xludf.DUMMYFUNCTION("""COMPUTED_VALUE"""),1262287.5599999998)</f>
        <v>1262287.56</v>
      </c>
      <c r="S109" s="46">
        <f>IFERROR(__xludf.DUMMYFUNCTION("""COMPUTED_VALUE"""),759019.4800000002)</f>
        <v>759019.48</v>
      </c>
    </row>
    <row r="110">
      <c r="A110" s="46" t="str">
        <f>IFERROR(__xludf.DUMMYFUNCTION("""COMPUTED_VALUE"""),"Household")</f>
        <v>Household</v>
      </c>
      <c r="B110" s="46" t="str">
        <f>IFERROR(__xludf.DUMMYFUNCTION("""COMPUTED_VALUE"""),"Italy")</f>
        <v>Italy</v>
      </c>
      <c r="C110" s="46" t="str">
        <f>IFERROR(__xludf.DUMMYFUNCTION("""COMPUTED_VALUE"""),"Europe")</f>
        <v>Europe</v>
      </c>
      <c r="D110" s="90">
        <f>IFERROR(__xludf.DUMMYFUNCTION("""COMPUTED_VALUE"""),42705.0)</f>
        <v>42705</v>
      </c>
      <c r="E110" s="46">
        <f>IFERROR(__xludf.DUMMYFUNCTION("""COMPUTED_VALUE"""),2016.0)</f>
        <v>2016</v>
      </c>
      <c r="F110" s="46">
        <f>IFERROR(__xludf.DUMMYFUNCTION("""COMPUTED_VALUE"""),1.0)</f>
        <v>1</v>
      </c>
      <c r="G110" s="46">
        <f>IFERROR(__xludf.DUMMYFUNCTION("""COMPUTED_VALUE"""),5657.0)</f>
        <v>5657</v>
      </c>
      <c r="H110" s="46">
        <f>IFERROR(__xludf.DUMMYFUNCTION("""COMPUTED_VALUE"""),3780403.3899999997)</f>
        <v>3780403.39</v>
      </c>
      <c r="I110" s="46">
        <f>IFERROR(__xludf.DUMMYFUNCTION("""COMPUTED_VALUE"""),2842868.7800000003)</f>
        <v>2842868.78</v>
      </c>
      <c r="J110" s="46">
        <f>IFERROR(__xludf.DUMMYFUNCTION("""COMPUTED_VALUE"""),937534.6099999994)</f>
        <v>937534.61</v>
      </c>
      <c r="K110" s="46" t="str">
        <f t="array" ref="K110">TEXT(D110, "mmmm")</f>
        <v>December</v>
      </c>
      <c r="M110" s="46" t="str">
        <f>IFERROR(__xludf.DUMMYFUNCTION("""COMPUTED_VALUE"""),"Undefined")</f>
        <v>Undefined</v>
      </c>
      <c r="N110" s="94">
        <f>IFERROR(__xludf.DUMMYFUNCTION("""COMPUTED_VALUE"""),40422.0)</f>
        <v>40422</v>
      </c>
      <c r="O110" s="46">
        <f>IFERROR(__xludf.DUMMYFUNCTION("""COMPUTED_VALUE"""),2.0)</f>
        <v>2</v>
      </c>
      <c r="P110" s="46">
        <f>IFERROR(__xludf.DUMMYFUNCTION("""COMPUTED_VALUE"""),8853.0)</f>
        <v>8853</v>
      </c>
      <c r="Q110" s="46">
        <f>IFERROR(__xludf.DUMMYFUNCTION("""COMPUTED_VALUE"""),1026915.6000000001)</f>
        <v>1026915.6</v>
      </c>
      <c r="R110" s="46">
        <f>IFERROR(__xludf.DUMMYFUNCTION("""COMPUTED_VALUE"""),641944.65)</f>
        <v>641944.65</v>
      </c>
      <c r="S110" s="46">
        <f>IFERROR(__xludf.DUMMYFUNCTION("""COMPUTED_VALUE"""),384970.95000000007)</f>
        <v>384970.95</v>
      </c>
    </row>
    <row r="111">
      <c r="A111" s="46" t="str">
        <f>IFERROR(__xludf.DUMMYFUNCTION("""COMPUTED_VALUE"""),"Meat")</f>
        <v>Meat</v>
      </c>
      <c r="B111" s="46" t="str">
        <f>IFERROR(__xludf.DUMMYFUNCTION("""COMPUTED_VALUE"""),"Sweden")</f>
        <v>Sweden</v>
      </c>
      <c r="C111" s="46" t="str">
        <f>IFERROR(__xludf.DUMMYFUNCTION("""COMPUTED_VALUE"""),"Europe")</f>
        <v>Europe</v>
      </c>
      <c r="D111" s="90">
        <f>IFERROR(__xludf.DUMMYFUNCTION("""COMPUTED_VALUE"""),42705.0)</f>
        <v>42705</v>
      </c>
      <c r="E111" s="46">
        <f>IFERROR(__xludf.DUMMYFUNCTION("""COMPUTED_VALUE"""),2016.0)</f>
        <v>2016</v>
      </c>
      <c r="F111" s="46">
        <f>IFERROR(__xludf.DUMMYFUNCTION("""COMPUTED_VALUE"""),1.0)</f>
        <v>1</v>
      </c>
      <c r="G111" s="46">
        <f>IFERROR(__xludf.DUMMYFUNCTION("""COMPUTED_VALUE"""),9787.0)</f>
        <v>9787</v>
      </c>
      <c r="H111" s="46">
        <f>IFERROR(__xludf.DUMMYFUNCTION("""COMPUTED_VALUE"""),4129037.4299999997)</f>
        <v>4129037.43</v>
      </c>
      <c r="I111" s="46">
        <f>IFERROR(__xludf.DUMMYFUNCTION("""COMPUTED_VALUE"""),3569221.03)</f>
        <v>3569221.03</v>
      </c>
      <c r="J111" s="46">
        <f>IFERROR(__xludf.DUMMYFUNCTION("""COMPUTED_VALUE"""),559816.3999999999)</f>
        <v>559816.4</v>
      </c>
      <c r="K111" s="46" t="str">
        <f t="array" ref="K111">TEXT(D111, "mmmm")</f>
        <v>December</v>
      </c>
      <c r="M111" s="46" t="str">
        <f>IFERROR(__xludf.DUMMYFUNCTION("""COMPUTED_VALUE"""),"United Kingdom")</f>
        <v>United Kingdom</v>
      </c>
      <c r="N111" s="94">
        <f>IFERROR(__xludf.DUMMYFUNCTION("""COMPUTED_VALUE"""),40422.0)</f>
        <v>40422</v>
      </c>
      <c r="O111" s="46">
        <f>IFERROR(__xludf.DUMMYFUNCTION("""COMPUTED_VALUE"""),2.0)</f>
        <v>2</v>
      </c>
      <c r="P111" s="46">
        <f>IFERROR(__xludf.DUMMYFUNCTION("""COMPUTED_VALUE"""),13699.0)</f>
        <v>13699</v>
      </c>
      <c r="Q111" s="46">
        <f>IFERROR(__xludf.DUMMYFUNCTION("""COMPUTED_VALUE"""),1710045.1800000002)</f>
        <v>1710045.18</v>
      </c>
      <c r="R111" s="46">
        <f>IFERROR(__xludf.DUMMYFUNCTION("""COMPUTED_VALUE"""),753035.29)</f>
        <v>753035.29</v>
      </c>
      <c r="S111" s="46">
        <f>IFERROR(__xludf.DUMMYFUNCTION("""COMPUTED_VALUE"""),957009.89)</f>
        <v>957009.89</v>
      </c>
    </row>
    <row r="112">
      <c r="A112" s="46" t="str">
        <f>IFERROR(__xludf.DUMMYFUNCTION("""COMPUTED_VALUE"""),"Office Supplies")</f>
        <v>Office Supplies</v>
      </c>
      <c r="B112" s="46" t="str">
        <f>IFERROR(__xludf.DUMMYFUNCTION("""COMPUTED_VALUE"""),"Ireland")</f>
        <v>Ireland</v>
      </c>
      <c r="C112" s="46" t="str">
        <f>IFERROR(__xludf.DUMMYFUNCTION("""COMPUTED_VALUE"""),"Europe")</f>
        <v>Europe</v>
      </c>
      <c r="D112" s="90">
        <f>IFERROR(__xludf.DUMMYFUNCTION("""COMPUTED_VALUE"""),42705.0)</f>
        <v>42705</v>
      </c>
      <c r="E112" s="46">
        <f>IFERROR(__xludf.DUMMYFUNCTION("""COMPUTED_VALUE"""),2016.0)</f>
        <v>2016</v>
      </c>
      <c r="F112" s="46">
        <f>IFERROR(__xludf.DUMMYFUNCTION("""COMPUTED_VALUE"""),1.0)</f>
        <v>1</v>
      </c>
      <c r="G112" s="46">
        <f>IFERROR(__xludf.DUMMYFUNCTION("""COMPUTED_VALUE"""),5597.0)</f>
        <v>5597</v>
      </c>
      <c r="H112" s="46">
        <f>IFERROR(__xludf.DUMMYFUNCTION("""COMPUTED_VALUE"""),3644822.37)</f>
        <v>3644822.37</v>
      </c>
      <c r="I112" s="46">
        <f>IFERROR(__xludf.DUMMYFUNCTION("""COMPUTED_VALUE"""),2938201.12)</f>
        <v>2938201.12</v>
      </c>
      <c r="J112" s="46">
        <f>IFERROR(__xludf.DUMMYFUNCTION("""COMPUTED_VALUE"""),706621.25)</f>
        <v>706621.25</v>
      </c>
      <c r="K112" s="46" t="str">
        <f t="array" ref="K112">TEXT(D112, "mmmm")</f>
        <v>December</v>
      </c>
      <c r="M112" s="46" t="str">
        <f>IFERROR(__xludf.DUMMYFUNCTION("""COMPUTED_VALUE"""),"Armenia")</f>
        <v>Armenia</v>
      </c>
      <c r="N112" s="94">
        <f>IFERROR(__xludf.DUMMYFUNCTION("""COMPUTED_VALUE"""),40452.0)</f>
        <v>40452</v>
      </c>
      <c r="O112" s="46">
        <f>IFERROR(__xludf.DUMMYFUNCTION("""COMPUTED_VALUE"""),1.0)</f>
        <v>1</v>
      </c>
      <c r="P112" s="46">
        <f>IFERROR(__xludf.DUMMYFUNCTION("""COMPUTED_VALUE"""),9875.0)</f>
        <v>9875</v>
      </c>
      <c r="Q112" s="46">
        <f>IFERROR(__xludf.DUMMYFUNCTION("""COMPUTED_VALUE"""),4166163.75)</f>
        <v>4166163.75</v>
      </c>
      <c r="R112" s="46">
        <f>IFERROR(__xludf.DUMMYFUNCTION("""COMPUTED_VALUE"""),3601313.75)</f>
        <v>3601313.75</v>
      </c>
      <c r="S112" s="46">
        <f>IFERROR(__xludf.DUMMYFUNCTION("""COMPUTED_VALUE"""),564850.0)</f>
        <v>564850</v>
      </c>
    </row>
    <row r="113">
      <c r="A113" s="46" t="str">
        <f>IFERROR(__xludf.DUMMYFUNCTION("""COMPUTED_VALUE"""),"Office Supplies")</f>
        <v>Office Supplies</v>
      </c>
      <c r="B113" s="46" t="str">
        <f>IFERROR(__xludf.DUMMYFUNCTION("""COMPUTED_VALUE"""),"Lithuania")</f>
        <v>Lithuania</v>
      </c>
      <c r="C113" s="46" t="str">
        <f>IFERROR(__xludf.DUMMYFUNCTION("""COMPUTED_VALUE"""),"Europe")</f>
        <v>Europe</v>
      </c>
      <c r="D113" s="90">
        <f>IFERROR(__xludf.DUMMYFUNCTION("""COMPUTED_VALUE"""),42705.0)</f>
        <v>42705</v>
      </c>
      <c r="E113" s="46">
        <f>IFERROR(__xludf.DUMMYFUNCTION("""COMPUTED_VALUE"""),2016.0)</f>
        <v>2016</v>
      </c>
      <c r="F113" s="46">
        <f>IFERROR(__xludf.DUMMYFUNCTION("""COMPUTED_VALUE"""),1.0)</f>
        <v>1</v>
      </c>
      <c r="G113" s="46">
        <f>IFERROR(__xludf.DUMMYFUNCTION("""COMPUTED_VALUE"""),22.0)</f>
        <v>22</v>
      </c>
      <c r="H113" s="46">
        <f>IFERROR(__xludf.DUMMYFUNCTION("""COMPUTED_VALUE"""),14326.62)</f>
        <v>14326.62</v>
      </c>
      <c r="I113" s="46">
        <f>IFERROR(__xludf.DUMMYFUNCTION("""COMPUTED_VALUE"""),11549.12)</f>
        <v>11549.12</v>
      </c>
      <c r="J113" s="46">
        <f>IFERROR(__xludf.DUMMYFUNCTION("""COMPUTED_VALUE"""),2777.5)</f>
        <v>2777.5</v>
      </c>
      <c r="K113" s="46" t="str">
        <f t="array" ref="K113">TEXT(D113, "mmmm")</f>
        <v>December</v>
      </c>
      <c r="M113" s="46" t="str">
        <f>IFERROR(__xludf.DUMMYFUNCTION("""COMPUTED_VALUE"""),"Belarus")</f>
        <v>Belarus</v>
      </c>
      <c r="N113" s="94">
        <f>IFERROR(__xludf.DUMMYFUNCTION("""COMPUTED_VALUE"""),40452.0)</f>
        <v>40452</v>
      </c>
      <c r="O113" s="46">
        <f>IFERROR(__xludf.DUMMYFUNCTION("""COMPUTED_VALUE"""),1.0)</f>
        <v>1</v>
      </c>
      <c r="P113" s="46">
        <f>IFERROR(__xludf.DUMMYFUNCTION("""COMPUTED_VALUE"""),9898.0)</f>
        <v>9898</v>
      </c>
      <c r="Q113" s="46">
        <f>IFERROR(__xludf.DUMMYFUNCTION("""COMPUTED_VALUE"""),469660.10000000003)</f>
        <v>469660.1</v>
      </c>
      <c r="R113" s="46">
        <f>IFERROR(__xludf.DUMMYFUNCTION("""COMPUTED_VALUE"""),314657.42)</f>
        <v>314657.42</v>
      </c>
      <c r="S113" s="46">
        <f>IFERROR(__xludf.DUMMYFUNCTION("""COMPUTED_VALUE"""),155002.68000000005)</f>
        <v>155002.68</v>
      </c>
    </row>
    <row r="114">
      <c r="A114" s="46" t="str">
        <f>IFERROR(__xludf.DUMMYFUNCTION("""COMPUTED_VALUE"""),"Personal Care")</f>
        <v>Personal Care</v>
      </c>
      <c r="B114" s="46" t="str">
        <f>IFERROR(__xludf.DUMMYFUNCTION("""COMPUTED_VALUE"""),"Armenia")</f>
        <v>Armenia</v>
      </c>
      <c r="C114" s="46" t="str">
        <f>IFERROR(__xludf.DUMMYFUNCTION("""COMPUTED_VALUE"""),"Asia")</f>
        <v>Asia</v>
      </c>
      <c r="D114" s="90">
        <f>IFERROR(__xludf.DUMMYFUNCTION("""COMPUTED_VALUE"""),42705.0)</f>
        <v>42705</v>
      </c>
      <c r="E114" s="46">
        <f>IFERROR(__xludf.DUMMYFUNCTION("""COMPUTED_VALUE"""),2016.0)</f>
        <v>2016</v>
      </c>
      <c r="F114" s="46">
        <f>IFERROR(__xludf.DUMMYFUNCTION("""COMPUTED_VALUE"""),1.0)</f>
        <v>1</v>
      </c>
      <c r="G114" s="46">
        <f>IFERROR(__xludf.DUMMYFUNCTION("""COMPUTED_VALUE"""),6447.0)</f>
        <v>6447</v>
      </c>
      <c r="H114" s="46">
        <f>IFERROR(__xludf.DUMMYFUNCTION("""COMPUTED_VALUE"""),526913.31)</f>
        <v>526913.31</v>
      </c>
      <c r="I114" s="46">
        <f>IFERROR(__xludf.DUMMYFUNCTION("""COMPUTED_VALUE"""),365351.49)</f>
        <v>365351.49</v>
      </c>
      <c r="J114" s="46">
        <f>IFERROR(__xludf.DUMMYFUNCTION("""COMPUTED_VALUE"""),161561.82000000007)</f>
        <v>161561.82</v>
      </c>
      <c r="K114" s="46" t="str">
        <f t="array" ref="K114">TEXT(D114, "mmmm")</f>
        <v>December</v>
      </c>
      <c r="M114" s="46" t="str">
        <f>IFERROR(__xludf.DUMMYFUNCTION("""COMPUTED_VALUE"""),"Bulgaria")</f>
        <v>Bulgaria</v>
      </c>
      <c r="N114" s="94">
        <f>IFERROR(__xludf.DUMMYFUNCTION("""COMPUTED_VALUE"""),40452.0)</f>
        <v>40452</v>
      </c>
      <c r="O114" s="46">
        <f>IFERROR(__xludf.DUMMYFUNCTION("""COMPUTED_VALUE"""),1.0)</f>
        <v>1</v>
      </c>
      <c r="P114" s="46">
        <f>IFERROR(__xludf.DUMMYFUNCTION("""COMPUTED_VALUE"""),6266.0)</f>
        <v>6266</v>
      </c>
      <c r="Q114" s="46">
        <f>IFERROR(__xludf.DUMMYFUNCTION("""COMPUTED_VALUE"""),4080481.8600000003)</f>
        <v>4080481.86</v>
      </c>
      <c r="R114" s="46">
        <f>IFERROR(__xludf.DUMMYFUNCTION("""COMPUTED_VALUE"""),3289399.3600000003)</f>
        <v>3289399.36</v>
      </c>
      <c r="S114" s="46">
        <f>IFERROR(__xludf.DUMMYFUNCTION("""COMPUTED_VALUE"""),791082.5)</f>
        <v>791082.5</v>
      </c>
    </row>
    <row r="115">
      <c r="A115" s="46" t="str">
        <f>IFERROR(__xludf.DUMMYFUNCTION("""COMPUTED_VALUE"""),"Personal Care")</f>
        <v>Personal Care</v>
      </c>
      <c r="B115" s="46" t="str">
        <f>IFERROR(__xludf.DUMMYFUNCTION("""COMPUTED_VALUE"""),"Slovakia")</f>
        <v>Slovakia</v>
      </c>
      <c r="C115" s="46" t="str">
        <f>IFERROR(__xludf.DUMMYFUNCTION("""COMPUTED_VALUE"""),"Europe")</f>
        <v>Europe</v>
      </c>
      <c r="D115" s="90">
        <f>IFERROR(__xludf.DUMMYFUNCTION("""COMPUTED_VALUE"""),42705.0)</f>
        <v>42705</v>
      </c>
      <c r="E115" s="46">
        <f>IFERROR(__xludf.DUMMYFUNCTION("""COMPUTED_VALUE"""),2016.0)</f>
        <v>2016</v>
      </c>
      <c r="F115" s="46">
        <f>IFERROR(__xludf.DUMMYFUNCTION("""COMPUTED_VALUE"""),1.0)</f>
        <v>1</v>
      </c>
      <c r="G115" s="46">
        <f>IFERROR(__xludf.DUMMYFUNCTION("""COMPUTED_VALUE"""),6158.0)</f>
        <v>6158</v>
      </c>
      <c r="H115" s="46">
        <f>IFERROR(__xludf.DUMMYFUNCTION("""COMPUTED_VALUE"""),503293.34)</f>
        <v>503293.34</v>
      </c>
      <c r="I115" s="46">
        <f>IFERROR(__xludf.DUMMYFUNCTION("""COMPUTED_VALUE"""),348973.86)</f>
        <v>348973.86</v>
      </c>
      <c r="J115" s="46">
        <f>IFERROR(__xludf.DUMMYFUNCTION("""COMPUTED_VALUE"""),154319.48000000004)</f>
        <v>154319.48</v>
      </c>
      <c r="K115" s="46" t="str">
        <f t="array" ref="K115">TEXT(D115, "mmmm")</f>
        <v>December</v>
      </c>
      <c r="M115" s="46" t="str">
        <f>IFERROR(__xludf.DUMMYFUNCTION("""COMPUTED_VALUE"""),"Finland")</f>
        <v>Finland</v>
      </c>
      <c r="N115" s="94">
        <f>IFERROR(__xludf.DUMMYFUNCTION("""COMPUTED_VALUE"""),40452.0)</f>
        <v>40452</v>
      </c>
      <c r="O115" s="46">
        <f>IFERROR(__xludf.DUMMYFUNCTION("""COMPUTED_VALUE"""),1.0)</f>
        <v>1</v>
      </c>
      <c r="P115" s="46">
        <f>IFERROR(__xludf.DUMMYFUNCTION("""COMPUTED_VALUE"""),5118.0)</f>
        <v>5118</v>
      </c>
      <c r="Q115" s="46">
        <f>IFERROR(__xludf.DUMMYFUNCTION("""COMPUTED_VALUE"""),1306523.04)</f>
        <v>1306523.04</v>
      </c>
      <c r="R115" s="46">
        <f>IFERROR(__xludf.DUMMYFUNCTION("""COMPUTED_VALUE"""),815911.5599999999)</f>
        <v>815911.56</v>
      </c>
      <c r="S115" s="46">
        <f>IFERROR(__xludf.DUMMYFUNCTION("""COMPUTED_VALUE"""),490611.4800000001)</f>
        <v>490611.48</v>
      </c>
    </row>
    <row r="116">
      <c r="A116" s="46" t="str">
        <f>IFERROR(__xludf.DUMMYFUNCTION("""COMPUTED_VALUE"""),"Snacks")</f>
        <v>Snacks</v>
      </c>
      <c r="B116" s="46" t="str">
        <f>IFERROR(__xludf.DUMMYFUNCTION("""COMPUTED_VALUE"""),"Iceland")</f>
        <v>Iceland</v>
      </c>
      <c r="C116" s="46" t="str">
        <f>IFERROR(__xludf.DUMMYFUNCTION("""COMPUTED_VALUE"""),"Europe")</f>
        <v>Europe</v>
      </c>
      <c r="D116" s="90">
        <f>IFERROR(__xludf.DUMMYFUNCTION("""COMPUTED_VALUE"""),42705.0)</f>
        <v>42705</v>
      </c>
      <c r="E116" s="46">
        <f>IFERROR(__xludf.DUMMYFUNCTION("""COMPUTED_VALUE"""),2016.0)</f>
        <v>2016</v>
      </c>
      <c r="F116" s="46">
        <f>IFERROR(__xludf.DUMMYFUNCTION("""COMPUTED_VALUE"""),1.0)</f>
        <v>1</v>
      </c>
      <c r="G116" s="46">
        <f>IFERROR(__xludf.DUMMYFUNCTION("""COMPUTED_VALUE"""),4922.0)</f>
        <v>4922</v>
      </c>
      <c r="H116" s="46">
        <f>IFERROR(__xludf.DUMMYFUNCTION("""COMPUTED_VALUE"""),750998.76)</f>
        <v>750998.76</v>
      </c>
      <c r="I116" s="46">
        <f>IFERROR(__xludf.DUMMYFUNCTION("""COMPUTED_VALUE"""),479599.68)</f>
        <v>479599.68</v>
      </c>
      <c r="J116" s="46">
        <f>IFERROR(__xludf.DUMMYFUNCTION("""COMPUTED_VALUE"""),271399.08)</f>
        <v>271399.08</v>
      </c>
      <c r="K116" s="46" t="str">
        <f t="array" ref="K116">TEXT(D116, "mmmm")</f>
        <v>December</v>
      </c>
      <c r="M116" s="46" t="str">
        <f>IFERROR(__xludf.DUMMYFUNCTION("""COMPUTED_VALUE"""),"France")</f>
        <v>France</v>
      </c>
      <c r="N116" s="94">
        <f>IFERROR(__xludf.DUMMYFUNCTION("""COMPUTED_VALUE"""),40452.0)</f>
        <v>40452</v>
      </c>
      <c r="O116" s="46">
        <f>IFERROR(__xludf.DUMMYFUNCTION("""COMPUTED_VALUE"""),1.0)</f>
        <v>1</v>
      </c>
      <c r="P116" s="46">
        <f>IFERROR(__xludf.DUMMYFUNCTION("""COMPUTED_VALUE"""),5504.0)</f>
        <v>5504</v>
      </c>
      <c r="Q116" s="46">
        <f>IFERROR(__xludf.DUMMYFUNCTION("""COMPUTED_VALUE"""),449841.92000000004)</f>
        <v>449841.92</v>
      </c>
      <c r="R116" s="46">
        <f>IFERROR(__xludf.DUMMYFUNCTION("""COMPUTED_VALUE"""),311911.68)</f>
        <v>311911.68</v>
      </c>
      <c r="S116" s="46">
        <f>IFERROR(__xludf.DUMMYFUNCTION("""COMPUTED_VALUE"""),137930.24000000005)</f>
        <v>137930.24</v>
      </c>
    </row>
    <row r="117">
      <c r="A117" s="46" t="str">
        <f>IFERROR(__xludf.DUMMYFUNCTION("""COMPUTED_VALUE"""),"Vegetables")</f>
        <v>Vegetables</v>
      </c>
      <c r="B117" s="46" t="str">
        <f>IFERROR(__xludf.DUMMYFUNCTION("""COMPUTED_VALUE"""),"Armenia")</f>
        <v>Armenia</v>
      </c>
      <c r="C117" s="46" t="str">
        <f>IFERROR(__xludf.DUMMYFUNCTION("""COMPUTED_VALUE"""),"Asia")</f>
        <v>Asia</v>
      </c>
      <c r="D117" s="90">
        <f>IFERROR(__xludf.DUMMYFUNCTION("""COMPUTED_VALUE"""),42705.0)</f>
        <v>42705</v>
      </c>
      <c r="E117" s="46">
        <f>IFERROR(__xludf.DUMMYFUNCTION("""COMPUTED_VALUE"""),2016.0)</f>
        <v>2016</v>
      </c>
      <c r="F117" s="46">
        <f>IFERROR(__xludf.DUMMYFUNCTION("""COMPUTED_VALUE"""),1.0)</f>
        <v>1</v>
      </c>
      <c r="G117" s="46">
        <f>IFERROR(__xludf.DUMMYFUNCTION("""COMPUTED_VALUE"""),6097.0)</f>
        <v>6097</v>
      </c>
      <c r="H117" s="46">
        <f>IFERROR(__xludf.DUMMYFUNCTION("""COMPUTED_VALUE"""),939303.8200000001)</f>
        <v>939303.82</v>
      </c>
      <c r="I117" s="46">
        <f>IFERROR(__xludf.DUMMYFUNCTION("""COMPUTED_VALUE"""),554400.2100000001)</f>
        <v>554400.21</v>
      </c>
      <c r="J117" s="46">
        <f>IFERROR(__xludf.DUMMYFUNCTION("""COMPUTED_VALUE"""),384903.61)</f>
        <v>384903.61</v>
      </c>
      <c r="K117" s="46" t="str">
        <f t="array" ref="K117">TEXT(D117, "mmmm")</f>
        <v>December</v>
      </c>
      <c r="M117" s="46" t="str">
        <f>IFERROR(__xludf.DUMMYFUNCTION("""COMPUTED_VALUE"""),"Hungary")</f>
        <v>Hungary</v>
      </c>
      <c r="N117" s="94">
        <f>IFERROR(__xludf.DUMMYFUNCTION("""COMPUTED_VALUE"""),40452.0)</f>
        <v>40452</v>
      </c>
      <c r="O117" s="46">
        <f>IFERROR(__xludf.DUMMYFUNCTION("""COMPUTED_VALUE"""),1.0)</f>
        <v>1</v>
      </c>
      <c r="P117" s="46">
        <f>IFERROR(__xludf.DUMMYFUNCTION("""COMPUTED_VALUE"""),9495.0)</f>
        <v>9495</v>
      </c>
      <c r="Q117" s="46">
        <f>IFERROR(__xludf.DUMMYFUNCTION("""COMPUTED_VALUE"""),4151214.0)</f>
        <v>4151214</v>
      </c>
      <c r="R117" s="46">
        <f>IFERROR(__xludf.DUMMYFUNCTION("""COMPUTED_VALUE"""),2500318.3499999996)</f>
        <v>2500318.35</v>
      </c>
      <c r="S117" s="46">
        <f>IFERROR(__xludf.DUMMYFUNCTION("""COMPUTED_VALUE"""),1650895.6500000004)</f>
        <v>1650895.65</v>
      </c>
    </row>
    <row r="118">
      <c r="A118" s="46" t="str">
        <f>IFERROR(__xludf.DUMMYFUNCTION("""COMPUTED_VALUE"""),"Vegetables")</f>
        <v>Vegetables</v>
      </c>
      <c r="B118" s="46" t="str">
        <f>IFERROR(__xludf.DUMMYFUNCTION("""COMPUTED_VALUE"""),"Sweden")</f>
        <v>Sweden</v>
      </c>
      <c r="C118" s="46" t="str">
        <f>IFERROR(__xludf.DUMMYFUNCTION("""COMPUTED_VALUE"""),"Europe")</f>
        <v>Europe</v>
      </c>
      <c r="D118" s="90">
        <f>IFERROR(__xludf.DUMMYFUNCTION("""COMPUTED_VALUE"""),42705.0)</f>
        <v>42705</v>
      </c>
      <c r="E118" s="46">
        <f>IFERROR(__xludf.DUMMYFUNCTION("""COMPUTED_VALUE"""),2016.0)</f>
        <v>2016</v>
      </c>
      <c r="F118" s="46">
        <f>IFERROR(__xludf.DUMMYFUNCTION("""COMPUTED_VALUE"""),1.0)</f>
        <v>1</v>
      </c>
      <c r="G118" s="46">
        <f>IFERROR(__xludf.DUMMYFUNCTION("""COMPUTED_VALUE"""),101.0)</f>
        <v>101</v>
      </c>
      <c r="H118" s="46">
        <f>IFERROR(__xludf.DUMMYFUNCTION("""COMPUTED_VALUE"""),15560.06)</f>
        <v>15560.06</v>
      </c>
      <c r="I118" s="46">
        <f>IFERROR(__xludf.DUMMYFUNCTION("""COMPUTED_VALUE"""),9183.93)</f>
        <v>9183.93</v>
      </c>
      <c r="J118" s="46">
        <f>IFERROR(__xludf.DUMMYFUNCTION("""COMPUTED_VALUE"""),6376.129999999999)</f>
        <v>6376.13</v>
      </c>
      <c r="K118" s="46" t="str">
        <f t="array" ref="K118">TEXT(D118, "mmmm")</f>
        <v>December</v>
      </c>
      <c r="M118" s="46" t="str">
        <f>IFERROR(__xludf.DUMMYFUNCTION("""COMPUTED_VALUE"""),"Luxembourg")</f>
        <v>Luxembourg</v>
      </c>
      <c r="N118" s="94">
        <f>IFERROR(__xludf.DUMMYFUNCTION("""COMPUTED_VALUE"""),40452.0)</f>
        <v>40452</v>
      </c>
      <c r="O118" s="46">
        <f>IFERROR(__xludf.DUMMYFUNCTION("""COMPUTED_VALUE"""),1.0)</f>
        <v>1</v>
      </c>
      <c r="P118" s="46">
        <f>IFERROR(__xludf.DUMMYFUNCTION("""COMPUTED_VALUE"""),4752.0)</f>
        <v>4752</v>
      </c>
      <c r="Q118" s="46">
        <f>IFERROR(__xludf.DUMMYFUNCTION("""COMPUTED_VALUE"""),3175619.04)</f>
        <v>3175619.04</v>
      </c>
      <c r="R118" s="46">
        <f>IFERROR(__xludf.DUMMYFUNCTION("""COMPUTED_VALUE"""),2388070.08)</f>
        <v>2388070.08</v>
      </c>
      <c r="S118" s="46">
        <f>IFERROR(__xludf.DUMMYFUNCTION("""COMPUTED_VALUE"""),787548.96)</f>
        <v>787548.96</v>
      </c>
    </row>
    <row r="119">
      <c r="A119" s="46" t="str">
        <f>IFERROR(__xludf.DUMMYFUNCTION("""COMPUTED_VALUE"""),"Beverages")</f>
        <v>Beverages</v>
      </c>
      <c r="B119" s="46" t="str">
        <f>IFERROR(__xludf.DUMMYFUNCTION("""COMPUTED_VALUE"""),"Austria")</f>
        <v>Austria</v>
      </c>
      <c r="C119" s="46" t="str">
        <f>IFERROR(__xludf.DUMMYFUNCTION("""COMPUTED_VALUE"""),"Europe")</f>
        <v>Europe</v>
      </c>
      <c r="D119" s="90">
        <f>IFERROR(__xludf.DUMMYFUNCTION("""COMPUTED_VALUE"""),42675.0)</f>
        <v>42675</v>
      </c>
      <c r="E119" s="46">
        <f>IFERROR(__xludf.DUMMYFUNCTION("""COMPUTED_VALUE"""),2016.0)</f>
        <v>2016</v>
      </c>
      <c r="F119" s="46">
        <f>IFERROR(__xludf.DUMMYFUNCTION("""COMPUTED_VALUE"""),1.0)</f>
        <v>1</v>
      </c>
      <c r="G119" s="46">
        <f>IFERROR(__xludf.DUMMYFUNCTION("""COMPUTED_VALUE"""),9269.0)</f>
        <v>9269</v>
      </c>
      <c r="H119" s="46">
        <f>IFERROR(__xludf.DUMMYFUNCTION("""COMPUTED_VALUE"""),439814.05000000005)</f>
        <v>439814.05</v>
      </c>
      <c r="I119" s="46">
        <f>IFERROR(__xludf.DUMMYFUNCTION("""COMPUTED_VALUE"""),294661.51)</f>
        <v>294661.51</v>
      </c>
      <c r="J119" s="46">
        <f>IFERROR(__xludf.DUMMYFUNCTION("""COMPUTED_VALUE"""),145152.54000000004)</f>
        <v>145152.54</v>
      </c>
      <c r="K119" s="46" t="str">
        <f t="array" ref="K119">TEXT(D119, "mmmm")</f>
        <v>November</v>
      </c>
      <c r="M119" s="46" t="str">
        <f>IFERROR(__xludf.DUMMYFUNCTION("""COMPUTED_VALUE"""),"Macedonia")</f>
        <v>Macedonia</v>
      </c>
      <c r="N119" s="94">
        <f>IFERROR(__xludf.DUMMYFUNCTION("""COMPUTED_VALUE"""),40452.0)</f>
        <v>40452</v>
      </c>
      <c r="O119" s="46">
        <f>IFERROR(__xludf.DUMMYFUNCTION("""COMPUTED_VALUE"""),1.0)</f>
        <v>1</v>
      </c>
      <c r="P119" s="46">
        <f>IFERROR(__xludf.DUMMYFUNCTION("""COMPUTED_VALUE"""),7080.0)</f>
        <v>7080</v>
      </c>
      <c r="Q119" s="46">
        <f>IFERROR(__xludf.DUMMYFUNCTION("""COMPUTED_VALUE"""),66056.4)</f>
        <v>66056.4</v>
      </c>
      <c r="R119" s="46">
        <f>IFERROR(__xludf.DUMMYFUNCTION("""COMPUTED_VALUE"""),48993.6)</f>
        <v>48993.6</v>
      </c>
      <c r="S119" s="46">
        <f>IFERROR(__xludf.DUMMYFUNCTION("""COMPUTED_VALUE"""),17062.799999999996)</f>
        <v>17062.8</v>
      </c>
    </row>
    <row r="120">
      <c r="A120" s="46" t="str">
        <f>IFERROR(__xludf.DUMMYFUNCTION("""COMPUTED_VALUE"""),"Beverages")</f>
        <v>Beverages</v>
      </c>
      <c r="B120" s="46" t="str">
        <f>IFERROR(__xludf.DUMMYFUNCTION("""COMPUTED_VALUE"""),"Denmark")</f>
        <v>Denmark</v>
      </c>
      <c r="C120" s="46" t="str">
        <f>IFERROR(__xludf.DUMMYFUNCTION("""COMPUTED_VALUE"""),"Europe")</f>
        <v>Europe</v>
      </c>
      <c r="D120" s="90">
        <f>IFERROR(__xludf.DUMMYFUNCTION("""COMPUTED_VALUE"""),42675.0)</f>
        <v>42675</v>
      </c>
      <c r="E120" s="46">
        <f>IFERROR(__xludf.DUMMYFUNCTION("""COMPUTED_VALUE"""),2016.0)</f>
        <v>2016</v>
      </c>
      <c r="F120" s="46">
        <f>IFERROR(__xludf.DUMMYFUNCTION("""COMPUTED_VALUE"""),1.0)</f>
        <v>1</v>
      </c>
      <c r="G120" s="46">
        <f>IFERROR(__xludf.DUMMYFUNCTION("""COMPUTED_VALUE"""),8687.0)</f>
        <v>8687</v>
      </c>
      <c r="H120" s="46">
        <f>IFERROR(__xludf.DUMMYFUNCTION("""COMPUTED_VALUE"""),412198.15)</f>
        <v>412198.15</v>
      </c>
      <c r="I120" s="46">
        <f>IFERROR(__xludf.DUMMYFUNCTION("""COMPUTED_VALUE"""),276159.73)</f>
        <v>276159.73</v>
      </c>
      <c r="J120" s="46">
        <f>IFERROR(__xludf.DUMMYFUNCTION("""COMPUTED_VALUE"""),136038.42000000004)</f>
        <v>136038.42</v>
      </c>
      <c r="K120" s="46" t="str">
        <f t="array" ref="K120">TEXT(D120, "mmmm")</f>
        <v>November</v>
      </c>
      <c r="M120" s="46" t="str">
        <f>IFERROR(__xludf.DUMMYFUNCTION("""COMPUTED_VALUE"""),"Netherlands")</f>
        <v>Netherlands</v>
      </c>
      <c r="N120" s="94">
        <f>IFERROR(__xludf.DUMMYFUNCTION("""COMPUTED_VALUE"""),40452.0)</f>
        <v>40452</v>
      </c>
      <c r="O120" s="46">
        <f>IFERROR(__xludf.DUMMYFUNCTION("""COMPUTED_VALUE"""),1.0)</f>
        <v>1</v>
      </c>
      <c r="P120" s="46">
        <f>IFERROR(__xludf.DUMMYFUNCTION("""COMPUTED_VALUE"""),3664.0)</f>
        <v>3664</v>
      </c>
      <c r="Q120" s="46">
        <f>IFERROR(__xludf.DUMMYFUNCTION("""COMPUTED_VALUE"""),1545804.96)</f>
        <v>1545804.96</v>
      </c>
      <c r="R120" s="46">
        <f>IFERROR(__xludf.DUMMYFUNCTION("""COMPUTED_VALUE"""),1336224.16)</f>
        <v>1336224.16</v>
      </c>
      <c r="S120" s="46">
        <f>IFERROR(__xludf.DUMMYFUNCTION("""COMPUTED_VALUE"""),209580.80000000005)</f>
        <v>209580.8</v>
      </c>
    </row>
    <row r="121">
      <c r="A121" s="46" t="str">
        <f>IFERROR(__xludf.DUMMYFUNCTION("""COMPUTED_VALUE"""),"Beverages")</f>
        <v>Beverages</v>
      </c>
      <c r="B121" s="46" t="str">
        <f>IFERROR(__xludf.DUMMYFUNCTION("""COMPUTED_VALUE"""),"Estonia")</f>
        <v>Estonia</v>
      </c>
      <c r="C121" s="46" t="str">
        <f>IFERROR(__xludf.DUMMYFUNCTION("""COMPUTED_VALUE"""),"Europe")</f>
        <v>Europe</v>
      </c>
      <c r="D121" s="90">
        <f>IFERROR(__xludf.DUMMYFUNCTION("""COMPUTED_VALUE"""),42675.0)</f>
        <v>42675</v>
      </c>
      <c r="E121" s="46">
        <f>IFERROR(__xludf.DUMMYFUNCTION("""COMPUTED_VALUE"""),2016.0)</f>
        <v>2016</v>
      </c>
      <c r="F121" s="46">
        <f>IFERROR(__xludf.DUMMYFUNCTION("""COMPUTED_VALUE"""),1.0)</f>
        <v>1</v>
      </c>
      <c r="G121" s="46">
        <f>IFERROR(__xludf.DUMMYFUNCTION("""COMPUTED_VALUE"""),1027.0)</f>
        <v>1027</v>
      </c>
      <c r="H121" s="46">
        <f>IFERROR(__xludf.DUMMYFUNCTION("""COMPUTED_VALUE"""),48731.15)</f>
        <v>48731.15</v>
      </c>
      <c r="I121" s="46">
        <f>IFERROR(__xludf.DUMMYFUNCTION("""COMPUTED_VALUE"""),32648.329999999998)</f>
        <v>32648.33</v>
      </c>
      <c r="J121" s="46">
        <f>IFERROR(__xludf.DUMMYFUNCTION("""COMPUTED_VALUE"""),16082.820000000003)</f>
        <v>16082.82</v>
      </c>
      <c r="K121" s="46" t="str">
        <f t="array" ref="K121">TEXT(D121, "mmmm")</f>
        <v>November</v>
      </c>
      <c r="M121" s="46" t="str">
        <f>IFERROR(__xludf.DUMMYFUNCTION("""COMPUTED_VALUE"""),"Poland")</f>
        <v>Poland</v>
      </c>
      <c r="N121" s="94">
        <f>IFERROR(__xludf.DUMMYFUNCTION("""COMPUTED_VALUE"""),40452.0)</f>
        <v>40452</v>
      </c>
      <c r="O121" s="46">
        <f>IFERROR(__xludf.DUMMYFUNCTION("""COMPUTED_VALUE"""),1.0)</f>
        <v>1</v>
      </c>
      <c r="P121" s="46">
        <f>IFERROR(__xludf.DUMMYFUNCTION("""COMPUTED_VALUE"""),2735.0)</f>
        <v>2735</v>
      </c>
      <c r="Q121" s="46">
        <f>IFERROR(__xludf.DUMMYFUNCTION("""COMPUTED_VALUE"""),298880.8)</f>
        <v>298880.8</v>
      </c>
      <c r="R121" s="46">
        <f>IFERROR(__xludf.DUMMYFUNCTION("""COMPUTED_VALUE"""),98022.40000000001)</f>
        <v>98022.4</v>
      </c>
      <c r="S121" s="46">
        <f>IFERROR(__xludf.DUMMYFUNCTION("""COMPUTED_VALUE"""),200858.39999999997)</f>
        <v>200858.4</v>
      </c>
    </row>
    <row r="122">
      <c r="A122" s="46" t="str">
        <f>IFERROR(__xludf.DUMMYFUNCTION("""COMPUTED_VALUE"""),"Beverages")</f>
        <v>Beverages</v>
      </c>
      <c r="B122" s="46" t="str">
        <f>IFERROR(__xludf.DUMMYFUNCTION("""COMPUTED_VALUE"""),"Serbia")</f>
        <v>Serbia</v>
      </c>
      <c r="C122" s="46" t="str">
        <f>IFERROR(__xludf.DUMMYFUNCTION("""COMPUTED_VALUE"""),"Europe")</f>
        <v>Europe</v>
      </c>
      <c r="D122" s="90">
        <f>IFERROR(__xludf.DUMMYFUNCTION("""COMPUTED_VALUE"""),42675.0)</f>
        <v>42675</v>
      </c>
      <c r="E122" s="46">
        <f>IFERROR(__xludf.DUMMYFUNCTION("""COMPUTED_VALUE"""),2016.0)</f>
        <v>2016</v>
      </c>
      <c r="F122" s="46">
        <f>IFERROR(__xludf.DUMMYFUNCTION("""COMPUTED_VALUE"""),1.0)</f>
        <v>1</v>
      </c>
      <c r="G122" s="46">
        <f>IFERROR(__xludf.DUMMYFUNCTION("""COMPUTED_VALUE"""),2466.0)</f>
        <v>2466</v>
      </c>
      <c r="H122" s="46">
        <f>IFERROR(__xludf.DUMMYFUNCTION("""COMPUTED_VALUE"""),117011.70000000001)</f>
        <v>117011.7</v>
      </c>
      <c r="I122" s="46">
        <f>IFERROR(__xludf.DUMMYFUNCTION("""COMPUTED_VALUE"""),78394.14)</f>
        <v>78394.14</v>
      </c>
      <c r="J122" s="46">
        <f>IFERROR(__xludf.DUMMYFUNCTION("""COMPUTED_VALUE"""),38617.56000000001)</f>
        <v>38617.56</v>
      </c>
      <c r="K122" s="46" t="str">
        <f t="array" ref="K122">TEXT(D122, "mmmm")</f>
        <v>November</v>
      </c>
      <c r="M122" s="46" t="str">
        <f>IFERROR(__xludf.DUMMYFUNCTION("""COMPUTED_VALUE"""),"Portugal")</f>
        <v>Portugal</v>
      </c>
      <c r="N122" s="94">
        <f>IFERROR(__xludf.DUMMYFUNCTION("""COMPUTED_VALUE"""),40452.0)</f>
        <v>40452</v>
      </c>
      <c r="O122" s="46">
        <f>IFERROR(__xludf.DUMMYFUNCTION("""COMPUTED_VALUE"""),1.0)</f>
        <v>1</v>
      </c>
      <c r="P122" s="46">
        <f>IFERROR(__xludf.DUMMYFUNCTION("""COMPUTED_VALUE"""),5075.0)</f>
        <v>5075</v>
      </c>
      <c r="Q122" s="46">
        <f>IFERROR(__xludf.DUMMYFUNCTION("""COMPUTED_VALUE"""),774343.5000000001)</f>
        <v>774343.5</v>
      </c>
      <c r="R122" s="46">
        <f>IFERROR(__xludf.DUMMYFUNCTION("""COMPUTED_VALUE"""),494508.0)</f>
        <v>494508</v>
      </c>
      <c r="S122" s="46">
        <f>IFERROR(__xludf.DUMMYFUNCTION("""COMPUTED_VALUE"""),279835.5000000001)</f>
        <v>279835.5</v>
      </c>
    </row>
    <row r="123">
      <c r="A123" s="46" t="str">
        <f>IFERROR(__xludf.DUMMYFUNCTION("""COMPUTED_VALUE"""),"Cereal")</f>
        <v>Cereal</v>
      </c>
      <c r="B123" s="46" t="str">
        <f>IFERROR(__xludf.DUMMYFUNCTION("""COMPUTED_VALUE"""),"Georgia")</f>
        <v>Georgia</v>
      </c>
      <c r="C123" s="46" t="str">
        <f>IFERROR(__xludf.DUMMYFUNCTION("""COMPUTED_VALUE"""),"Asia")</f>
        <v>Asia</v>
      </c>
      <c r="D123" s="90">
        <f>IFERROR(__xludf.DUMMYFUNCTION("""COMPUTED_VALUE"""),42675.0)</f>
        <v>42675</v>
      </c>
      <c r="E123" s="46">
        <f>IFERROR(__xludf.DUMMYFUNCTION("""COMPUTED_VALUE"""),2016.0)</f>
        <v>2016</v>
      </c>
      <c r="F123" s="46">
        <f>IFERROR(__xludf.DUMMYFUNCTION("""COMPUTED_VALUE"""),1.0)</f>
        <v>1</v>
      </c>
      <c r="G123" s="46">
        <f>IFERROR(__xludf.DUMMYFUNCTION("""COMPUTED_VALUE"""),5972.0)</f>
        <v>5972</v>
      </c>
      <c r="H123" s="46">
        <f>IFERROR(__xludf.DUMMYFUNCTION("""COMPUTED_VALUE"""),1228440.4)</f>
        <v>1228440.4</v>
      </c>
      <c r="I123" s="46">
        <f>IFERROR(__xludf.DUMMYFUNCTION("""COMPUTED_VALUE"""),699380.92)</f>
        <v>699380.92</v>
      </c>
      <c r="J123" s="46">
        <f>IFERROR(__xludf.DUMMYFUNCTION("""COMPUTED_VALUE"""),529059.4799999999)</f>
        <v>529059.48</v>
      </c>
      <c r="K123" s="46" t="str">
        <f t="array" ref="K123">TEXT(D123, "mmmm")</f>
        <v>November</v>
      </c>
      <c r="M123" s="46" t="str">
        <f>IFERROR(__xludf.DUMMYFUNCTION("""COMPUTED_VALUE"""),"Russia")</f>
        <v>Russia</v>
      </c>
      <c r="N123" s="94">
        <f>IFERROR(__xludf.DUMMYFUNCTION("""COMPUTED_VALUE"""),40452.0)</f>
        <v>40452</v>
      </c>
      <c r="O123" s="46">
        <f>IFERROR(__xludf.DUMMYFUNCTION("""COMPUTED_VALUE"""),1.0)</f>
        <v>1</v>
      </c>
      <c r="P123" s="46">
        <f>IFERROR(__xludf.DUMMYFUNCTION("""COMPUTED_VALUE"""),3325.0)</f>
        <v>3325</v>
      </c>
      <c r="Q123" s="46">
        <f>IFERROR(__xludf.DUMMYFUNCTION("""COMPUTED_VALUE"""),1453690.0)</f>
        <v>1453690</v>
      </c>
      <c r="R123" s="46">
        <f>IFERROR(__xludf.DUMMYFUNCTION("""COMPUTED_VALUE"""),875572.25)</f>
        <v>875572.25</v>
      </c>
      <c r="S123" s="46">
        <f>IFERROR(__xludf.DUMMYFUNCTION("""COMPUTED_VALUE"""),578117.75)</f>
        <v>578117.75</v>
      </c>
    </row>
    <row r="124">
      <c r="A124" s="46" t="str">
        <f>IFERROR(__xludf.DUMMYFUNCTION("""COMPUTED_VALUE"""),"Cereal")</f>
        <v>Cereal</v>
      </c>
      <c r="B124" s="46" t="str">
        <f>IFERROR(__xludf.DUMMYFUNCTION("""COMPUTED_VALUE"""),"Poland")</f>
        <v>Poland</v>
      </c>
      <c r="C124" s="46" t="str">
        <f>IFERROR(__xludf.DUMMYFUNCTION("""COMPUTED_VALUE"""),"Europe")</f>
        <v>Europe</v>
      </c>
      <c r="D124" s="90">
        <f>IFERROR(__xludf.DUMMYFUNCTION("""COMPUTED_VALUE"""),42675.0)</f>
        <v>42675</v>
      </c>
      <c r="E124" s="46">
        <f>IFERROR(__xludf.DUMMYFUNCTION("""COMPUTED_VALUE"""),2016.0)</f>
        <v>2016</v>
      </c>
      <c r="F124" s="46">
        <f>IFERROR(__xludf.DUMMYFUNCTION("""COMPUTED_VALUE"""),1.0)</f>
        <v>1</v>
      </c>
      <c r="G124" s="46">
        <f>IFERROR(__xludf.DUMMYFUNCTION("""COMPUTED_VALUE"""),9234.0)</f>
        <v>9234</v>
      </c>
      <c r="H124" s="46">
        <f>IFERROR(__xludf.DUMMYFUNCTION("""COMPUTED_VALUE"""),1899433.7999999998)</f>
        <v>1899433.8</v>
      </c>
      <c r="I124" s="46">
        <f>IFERROR(__xludf.DUMMYFUNCTION("""COMPUTED_VALUE"""),1081393.74)</f>
        <v>1081393.74</v>
      </c>
      <c r="J124" s="46">
        <f>IFERROR(__xludf.DUMMYFUNCTION("""COMPUTED_VALUE"""),818040.0599999998)</f>
        <v>818040.06</v>
      </c>
      <c r="K124" s="46" t="str">
        <f t="array" ref="K124">TEXT(D124, "mmmm")</f>
        <v>November</v>
      </c>
      <c r="M124" s="46" t="str">
        <f>IFERROR(__xludf.DUMMYFUNCTION("""COMPUTED_VALUE"""),"San Marino")</f>
        <v>San Marino</v>
      </c>
      <c r="N124" s="94">
        <f>IFERROR(__xludf.DUMMYFUNCTION("""COMPUTED_VALUE"""),40452.0)</f>
        <v>40452</v>
      </c>
      <c r="O124" s="46">
        <f>IFERROR(__xludf.DUMMYFUNCTION("""COMPUTED_VALUE"""),2.0)</f>
        <v>2</v>
      </c>
      <c r="P124" s="46">
        <f>IFERROR(__xludf.DUMMYFUNCTION("""COMPUTED_VALUE"""),9557.0)</f>
        <v>9557</v>
      </c>
      <c r="Q124" s="46">
        <f>IFERROR(__xludf.DUMMYFUNCTION("""COMPUTED_VALUE"""),1585521.93)</f>
        <v>1585521.93</v>
      </c>
      <c r="R124" s="46">
        <f>IFERROR(__xludf.DUMMYFUNCTION("""COMPUTED_VALUE"""),1363766.23)</f>
        <v>1363766.23</v>
      </c>
      <c r="S124" s="46">
        <f>IFERROR(__xludf.DUMMYFUNCTION("""COMPUTED_VALUE"""),221755.70000000013)</f>
        <v>221755.7</v>
      </c>
    </row>
    <row r="125">
      <c r="A125" s="46" t="str">
        <f>IFERROR(__xludf.DUMMYFUNCTION("""COMPUTED_VALUE"""),"Clothes")</f>
        <v>Clothes</v>
      </c>
      <c r="B125" s="46" t="str">
        <f>IFERROR(__xludf.DUMMYFUNCTION("""COMPUTED_VALUE"""),"Monaco")</f>
        <v>Monaco</v>
      </c>
      <c r="C125" s="46" t="str">
        <f>IFERROR(__xludf.DUMMYFUNCTION("""COMPUTED_VALUE"""),"Europe")</f>
        <v>Europe</v>
      </c>
      <c r="D125" s="90">
        <f>IFERROR(__xludf.DUMMYFUNCTION("""COMPUTED_VALUE"""),42675.0)</f>
        <v>42675</v>
      </c>
      <c r="E125" s="46">
        <f>IFERROR(__xludf.DUMMYFUNCTION("""COMPUTED_VALUE"""),2016.0)</f>
        <v>2016</v>
      </c>
      <c r="F125" s="46">
        <f>IFERROR(__xludf.DUMMYFUNCTION("""COMPUTED_VALUE"""),1.0)</f>
        <v>1</v>
      </c>
      <c r="G125" s="46">
        <f>IFERROR(__xludf.DUMMYFUNCTION("""COMPUTED_VALUE"""),8790.0)</f>
        <v>8790</v>
      </c>
      <c r="H125" s="46">
        <f>IFERROR(__xludf.DUMMYFUNCTION("""COMPUTED_VALUE"""),960571.2)</f>
        <v>960571.2</v>
      </c>
      <c r="I125" s="46">
        <f>IFERROR(__xludf.DUMMYFUNCTION("""COMPUTED_VALUE"""),315033.60000000003)</f>
        <v>315033.6</v>
      </c>
      <c r="J125" s="46">
        <f>IFERROR(__xludf.DUMMYFUNCTION("""COMPUTED_VALUE"""),645537.5999999999)</f>
        <v>645537.6</v>
      </c>
      <c r="K125" s="46" t="str">
        <f t="array" ref="K125">TEXT(D125, "mmmm")</f>
        <v>November</v>
      </c>
      <c r="M125" s="46" t="str">
        <f>IFERROR(__xludf.DUMMYFUNCTION("""COMPUTED_VALUE"""),"Serbia")</f>
        <v>Serbia</v>
      </c>
      <c r="N125" s="94">
        <f>IFERROR(__xludf.DUMMYFUNCTION("""COMPUTED_VALUE"""),40452.0)</f>
        <v>40452</v>
      </c>
      <c r="O125" s="46">
        <f>IFERROR(__xludf.DUMMYFUNCTION("""COMPUTED_VALUE"""),1.0)</f>
        <v>1</v>
      </c>
      <c r="P125" s="46">
        <f>IFERROR(__xludf.DUMMYFUNCTION("""COMPUTED_VALUE"""),4615.0)</f>
        <v>4615</v>
      </c>
      <c r="Q125" s="46">
        <f>IFERROR(__xludf.DUMMYFUNCTION("""COMPUTED_VALUE"""),218981.75)</f>
        <v>218981.75</v>
      </c>
      <c r="R125" s="46">
        <f>IFERROR(__xludf.DUMMYFUNCTION("""COMPUTED_VALUE"""),146710.85)</f>
        <v>146710.85</v>
      </c>
      <c r="S125" s="46">
        <f>IFERROR(__xludf.DUMMYFUNCTION("""COMPUTED_VALUE"""),72270.9)</f>
        <v>72270.9</v>
      </c>
    </row>
    <row r="126">
      <c r="A126" s="46" t="str">
        <f>IFERROR(__xludf.DUMMYFUNCTION("""COMPUTED_VALUE"""),"Clothes")</f>
        <v>Clothes</v>
      </c>
      <c r="B126" s="46" t="str">
        <f>IFERROR(__xludf.DUMMYFUNCTION("""COMPUTED_VALUE"""),"United Kingdom")</f>
        <v>United Kingdom</v>
      </c>
      <c r="C126" s="46" t="str">
        <f>IFERROR(__xludf.DUMMYFUNCTION("""COMPUTED_VALUE"""),"Europe")</f>
        <v>Europe</v>
      </c>
      <c r="D126" s="90">
        <f>IFERROR(__xludf.DUMMYFUNCTION("""COMPUTED_VALUE"""),42675.0)</f>
        <v>42675</v>
      </c>
      <c r="E126" s="46">
        <f>IFERROR(__xludf.DUMMYFUNCTION("""COMPUTED_VALUE"""),2016.0)</f>
        <v>2016</v>
      </c>
      <c r="F126" s="46">
        <f>IFERROR(__xludf.DUMMYFUNCTION("""COMPUTED_VALUE"""),1.0)</f>
        <v>1</v>
      </c>
      <c r="G126" s="46">
        <f>IFERROR(__xludf.DUMMYFUNCTION("""COMPUTED_VALUE"""),123.0)</f>
        <v>123</v>
      </c>
      <c r="H126" s="46">
        <f>IFERROR(__xludf.DUMMYFUNCTION("""COMPUTED_VALUE"""),13441.44)</f>
        <v>13441.44</v>
      </c>
      <c r="I126" s="46">
        <f>IFERROR(__xludf.DUMMYFUNCTION("""COMPUTED_VALUE"""),4408.320000000001)</f>
        <v>4408.32</v>
      </c>
      <c r="J126" s="46">
        <f>IFERROR(__xludf.DUMMYFUNCTION("""COMPUTED_VALUE"""),9033.119999999999)</f>
        <v>9033.12</v>
      </c>
      <c r="K126" s="46" t="str">
        <f t="array" ref="K126">TEXT(D126, "mmmm")</f>
        <v>November</v>
      </c>
      <c r="M126" s="46" t="str">
        <f>IFERROR(__xludf.DUMMYFUNCTION("""COMPUTED_VALUE"""),"Sweden")</f>
        <v>Sweden</v>
      </c>
      <c r="N126" s="94">
        <f>IFERROR(__xludf.DUMMYFUNCTION("""COMPUTED_VALUE"""),40452.0)</f>
        <v>40452</v>
      </c>
      <c r="O126" s="46">
        <f>IFERROR(__xludf.DUMMYFUNCTION("""COMPUTED_VALUE"""),1.0)</f>
        <v>1</v>
      </c>
      <c r="P126" s="46">
        <f>IFERROR(__xludf.DUMMYFUNCTION("""COMPUTED_VALUE"""),235.0)</f>
        <v>235</v>
      </c>
      <c r="Q126" s="46">
        <f>IFERROR(__xludf.DUMMYFUNCTION("""COMPUTED_VALUE"""),157043.44999999998)</f>
        <v>157043.45</v>
      </c>
      <c r="R126" s="46">
        <f>IFERROR(__xludf.DUMMYFUNCTION("""COMPUTED_VALUE"""),118096.90000000001)</f>
        <v>118096.9</v>
      </c>
      <c r="S126" s="46">
        <f>IFERROR(__xludf.DUMMYFUNCTION("""COMPUTED_VALUE"""),38946.549999999974)</f>
        <v>38946.55</v>
      </c>
    </row>
    <row r="127">
      <c r="A127" s="46" t="str">
        <f>IFERROR(__xludf.DUMMYFUNCTION("""COMPUTED_VALUE"""),"Fruits")</f>
        <v>Fruits</v>
      </c>
      <c r="B127" s="46" t="str">
        <f>IFERROR(__xludf.DUMMYFUNCTION("""COMPUTED_VALUE"""),"Italy")</f>
        <v>Italy</v>
      </c>
      <c r="C127" s="46" t="str">
        <f>IFERROR(__xludf.DUMMYFUNCTION("""COMPUTED_VALUE"""),"Europe")</f>
        <v>Europe</v>
      </c>
      <c r="D127" s="90">
        <f>IFERROR(__xludf.DUMMYFUNCTION("""COMPUTED_VALUE"""),42675.0)</f>
        <v>42675</v>
      </c>
      <c r="E127" s="46">
        <f>IFERROR(__xludf.DUMMYFUNCTION("""COMPUTED_VALUE"""),2016.0)</f>
        <v>2016</v>
      </c>
      <c r="F127" s="46">
        <f>IFERROR(__xludf.DUMMYFUNCTION("""COMPUTED_VALUE"""),1.0)</f>
        <v>1</v>
      </c>
      <c r="G127" s="46">
        <f>IFERROR(__xludf.DUMMYFUNCTION("""COMPUTED_VALUE"""),7152.0)</f>
        <v>7152</v>
      </c>
      <c r="H127" s="46">
        <f>IFERROR(__xludf.DUMMYFUNCTION("""COMPUTED_VALUE"""),66728.16)</f>
        <v>66728.16</v>
      </c>
      <c r="I127" s="46">
        <f>IFERROR(__xludf.DUMMYFUNCTION("""COMPUTED_VALUE"""),49491.84)</f>
        <v>49491.84</v>
      </c>
      <c r="J127" s="46">
        <f>IFERROR(__xludf.DUMMYFUNCTION("""COMPUTED_VALUE"""),17236.320000000007)</f>
        <v>17236.32</v>
      </c>
      <c r="K127" s="46" t="str">
        <f t="array" ref="K127">TEXT(D127, "mmmm")</f>
        <v>November</v>
      </c>
      <c r="M127" s="46" t="str">
        <f>IFERROR(__xludf.DUMMYFUNCTION("""COMPUTED_VALUE"""),"Albania")</f>
        <v>Albania</v>
      </c>
      <c r="N127" s="94">
        <f>IFERROR(__xludf.DUMMYFUNCTION("""COMPUTED_VALUE"""),40483.0)</f>
        <v>40483</v>
      </c>
      <c r="O127" s="46">
        <f>IFERROR(__xludf.DUMMYFUNCTION("""COMPUTED_VALUE"""),1.0)</f>
        <v>1</v>
      </c>
      <c r="P127" s="46">
        <f>IFERROR(__xludf.DUMMYFUNCTION("""COMPUTED_VALUE"""),865.0)</f>
        <v>865</v>
      </c>
      <c r="Q127" s="46">
        <f>IFERROR(__xludf.DUMMYFUNCTION("""COMPUTED_VALUE"""),364934.85)</f>
        <v>364934.85</v>
      </c>
      <c r="R127" s="46">
        <f>IFERROR(__xludf.DUMMYFUNCTION("""COMPUTED_VALUE"""),315456.85)</f>
        <v>315456.85</v>
      </c>
      <c r="S127" s="46">
        <f>IFERROR(__xludf.DUMMYFUNCTION("""COMPUTED_VALUE"""),49478.0)</f>
        <v>49478</v>
      </c>
    </row>
    <row r="128">
      <c r="A128" s="46" t="str">
        <f>IFERROR(__xludf.DUMMYFUNCTION("""COMPUTED_VALUE"""),"Fruits")</f>
        <v>Fruits</v>
      </c>
      <c r="B128" s="46" t="str">
        <f>IFERROR(__xludf.DUMMYFUNCTION("""COMPUTED_VALUE"""),"Malta")</f>
        <v>Malta</v>
      </c>
      <c r="C128" s="46" t="str">
        <f>IFERROR(__xludf.DUMMYFUNCTION("""COMPUTED_VALUE"""),"Europe")</f>
        <v>Europe</v>
      </c>
      <c r="D128" s="90">
        <f>IFERROR(__xludf.DUMMYFUNCTION("""COMPUTED_VALUE"""),42675.0)</f>
        <v>42675</v>
      </c>
      <c r="E128" s="46">
        <f>IFERROR(__xludf.DUMMYFUNCTION("""COMPUTED_VALUE"""),2016.0)</f>
        <v>2016</v>
      </c>
      <c r="F128" s="46">
        <f>IFERROR(__xludf.DUMMYFUNCTION("""COMPUTED_VALUE"""),1.0)</f>
        <v>1</v>
      </c>
      <c r="G128" s="46">
        <f>IFERROR(__xludf.DUMMYFUNCTION("""COMPUTED_VALUE"""),8115.0)</f>
        <v>8115</v>
      </c>
      <c r="H128" s="46">
        <f>IFERROR(__xludf.DUMMYFUNCTION("""COMPUTED_VALUE"""),75712.95)</f>
        <v>75712.95</v>
      </c>
      <c r="I128" s="46">
        <f>IFERROR(__xludf.DUMMYFUNCTION("""COMPUTED_VALUE"""),56155.8)</f>
        <v>56155.8</v>
      </c>
      <c r="J128" s="46">
        <f>IFERROR(__xludf.DUMMYFUNCTION("""COMPUTED_VALUE"""),19557.149999999994)</f>
        <v>19557.15</v>
      </c>
      <c r="K128" s="46" t="str">
        <f t="array" ref="K128">TEXT(D128, "mmmm")</f>
        <v>November</v>
      </c>
      <c r="M128" s="46" t="str">
        <f>IFERROR(__xludf.DUMMYFUNCTION("""COMPUTED_VALUE"""),"Belgium")</f>
        <v>Belgium</v>
      </c>
      <c r="N128" s="94">
        <f>IFERROR(__xludf.DUMMYFUNCTION("""COMPUTED_VALUE"""),40483.0)</f>
        <v>40483</v>
      </c>
      <c r="O128" s="46">
        <f>IFERROR(__xludf.DUMMYFUNCTION("""COMPUTED_VALUE"""),1.0)</f>
        <v>1</v>
      </c>
      <c r="P128" s="46">
        <f>IFERROR(__xludf.DUMMYFUNCTION("""COMPUTED_VALUE"""),8524.0)</f>
        <v>8524</v>
      </c>
      <c r="Q128" s="46">
        <f>IFERROR(__xludf.DUMMYFUNCTION("""COMPUTED_VALUE"""),1300591.9200000002)</f>
        <v>1300591.92</v>
      </c>
      <c r="R128" s="46">
        <f>IFERROR(__xludf.DUMMYFUNCTION("""COMPUTED_VALUE"""),830578.5599999999)</f>
        <v>830578.56</v>
      </c>
      <c r="S128" s="46">
        <f>IFERROR(__xludf.DUMMYFUNCTION("""COMPUTED_VALUE"""),470013.3600000002)</f>
        <v>470013.36</v>
      </c>
    </row>
    <row r="129">
      <c r="A129" s="46" t="str">
        <f>IFERROR(__xludf.DUMMYFUNCTION("""COMPUTED_VALUE"""),"Household")</f>
        <v>Household</v>
      </c>
      <c r="B129" s="46" t="str">
        <f>IFERROR(__xludf.DUMMYFUNCTION("""COMPUTED_VALUE"""),"Andorra")</f>
        <v>Andorra</v>
      </c>
      <c r="C129" s="46" t="str">
        <f>IFERROR(__xludf.DUMMYFUNCTION("""COMPUTED_VALUE"""),"Europe")</f>
        <v>Europe</v>
      </c>
      <c r="D129" s="90">
        <f>IFERROR(__xludf.DUMMYFUNCTION("""COMPUTED_VALUE"""),42675.0)</f>
        <v>42675</v>
      </c>
      <c r="E129" s="46">
        <f>IFERROR(__xludf.DUMMYFUNCTION("""COMPUTED_VALUE"""),2016.0)</f>
        <v>2016</v>
      </c>
      <c r="F129" s="46">
        <f>IFERROR(__xludf.DUMMYFUNCTION("""COMPUTED_VALUE"""),1.0)</f>
        <v>1</v>
      </c>
      <c r="G129" s="46">
        <f>IFERROR(__xludf.DUMMYFUNCTION("""COMPUTED_VALUE"""),4348.0)</f>
        <v>4348</v>
      </c>
      <c r="H129" s="46">
        <f>IFERROR(__xludf.DUMMYFUNCTION("""COMPUTED_VALUE"""),2905637.96)</f>
        <v>2905637.96</v>
      </c>
      <c r="I129" s="46">
        <f>IFERROR(__xludf.DUMMYFUNCTION("""COMPUTED_VALUE"""),2185043.92)</f>
        <v>2185043.92</v>
      </c>
      <c r="J129" s="46">
        <f>IFERROR(__xludf.DUMMYFUNCTION("""COMPUTED_VALUE"""),720594.04)</f>
        <v>720594.04</v>
      </c>
      <c r="K129" s="46" t="str">
        <f t="array" ref="K129">TEXT(D129, "mmmm")</f>
        <v>November</v>
      </c>
      <c r="M129" s="46" t="str">
        <f>IFERROR(__xludf.DUMMYFUNCTION("""COMPUTED_VALUE"""),"Germany")</f>
        <v>Germany</v>
      </c>
      <c r="N129" s="94">
        <f>IFERROR(__xludf.DUMMYFUNCTION("""COMPUTED_VALUE"""),40483.0)</f>
        <v>40483</v>
      </c>
      <c r="O129" s="46">
        <f>IFERROR(__xludf.DUMMYFUNCTION("""COMPUTED_VALUE"""),1.0)</f>
        <v>1</v>
      </c>
      <c r="P129" s="46">
        <f>IFERROR(__xludf.DUMMYFUNCTION("""COMPUTED_VALUE"""),9895.0)</f>
        <v>9895</v>
      </c>
      <c r="Q129" s="46">
        <f>IFERROR(__xludf.DUMMYFUNCTION("""COMPUTED_VALUE"""),1081325.6)</f>
        <v>1081325.6</v>
      </c>
      <c r="R129" s="46">
        <f>IFERROR(__xludf.DUMMYFUNCTION("""COMPUTED_VALUE"""),354636.80000000005)</f>
        <v>354636.8</v>
      </c>
      <c r="S129" s="46">
        <f>IFERROR(__xludf.DUMMYFUNCTION("""COMPUTED_VALUE"""),726688.8)</f>
        <v>726688.8</v>
      </c>
    </row>
    <row r="130">
      <c r="A130" s="46" t="str">
        <f>IFERROR(__xludf.DUMMYFUNCTION("""COMPUTED_VALUE"""),"Household")</f>
        <v>Household</v>
      </c>
      <c r="B130" s="46" t="str">
        <f>IFERROR(__xludf.DUMMYFUNCTION("""COMPUTED_VALUE"""),"Netherlands")</f>
        <v>Netherlands</v>
      </c>
      <c r="C130" s="46" t="str">
        <f>IFERROR(__xludf.DUMMYFUNCTION("""COMPUTED_VALUE"""),"Europe")</f>
        <v>Europe</v>
      </c>
      <c r="D130" s="90">
        <f>IFERROR(__xludf.DUMMYFUNCTION("""COMPUTED_VALUE"""),42675.0)</f>
        <v>42675</v>
      </c>
      <c r="E130" s="46">
        <f>IFERROR(__xludf.DUMMYFUNCTION("""COMPUTED_VALUE"""),2016.0)</f>
        <v>2016</v>
      </c>
      <c r="F130" s="46">
        <f>IFERROR(__xludf.DUMMYFUNCTION("""COMPUTED_VALUE"""),1.0)</f>
        <v>1</v>
      </c>
      <c r="G130" s="46">
        <f>IFERROR(__xludf.DUMMYFUNCTION("""COMPUTED_VALUE"""),477.0)</f>
        <v>477</v>
      </c>
      <c r="H130" s="46">
        <f>IFERROR(__xludf.DUMMYFUNCTION("""COMPUTED_VALUE"""),318764.79)</f>
        <v>318764.79</v>
      </c>
      <c r="I130" s="46">
        <f>IFERROR(__xludf.DUMMYFUNCTION("""COMPUTED_VALUE"""),239711.58000000002)</f>
        <v>239711.58</v>
      </c>
      <c r="J130" s="46">
        <f>IFERROR(__xludf.DUMMYFUNCTION("""COMPUTED_VALUE"""),79053.20999999996)</f>
        <v>79053.21</v>
      </c>
      <c r="K130" s="46" t="str">
        <f t="array" ref="K130">TEXT(D130, "mmmm")</f>
        <v>November</v>
      </c>
      <c r="M130" s="46" t="str">
        <f>IFERROR(__xludf.DUMMYFUNCTION("""COMPUTED_VALUE"""),"Iceland")</f>
        <v>Iceland</v>
      </c>
      <c r="N130" s="94">
        <f>IFERROR(__xludf.DUMMYFUNCTION("""COMPUTED_VALUE"""),40483.0)</f>
        <v>40483</v>
      </c>
      <c r="O130" s="46">
        <f>IFERROR(__xludf.DUMMYFUNCTION("""COMPUTED_VALUE"""),1.0)</f>
        <v>1</v>
      </c>
      <c r="P130" s="46">
        <f>IFERROR(__xludf.DUMMYFUNCTION("""COMPUTED_VALUE"""),1004.0)</f>
        <v>1004</v>
      </c>
      <c r="Q130" s="46">
        <f>IFERROR(__xludf.DUMMYFUNCTION("""COMPUTED_VALUE"""),109717.12)</f>
        <v>109717.12</v>
      </c>
      <c r="R130" s="46">
        <f>IFERROR(__xludf.DUMMYFUNCTION("""COMPUTED_VALUE"""),35983.36)</f>
        <v>35983.36</v>
      </c>
      <c r="S130" s="46">
        <f>IFERROR(__xludf.DUMMYFUNCTION("""COMPUTED_VALUE"""),73733.76)</f>
        <v>73733.76</v>
      </c>
    </row>
    <row r="131">
      <c r="A131" s="46" t="str">
        <f>IFERROR(__xludf.DUMMYFUNCTION("""COMPUTED_VALUE"""),"Office Supplies")</f>
        <v>Office Supplies</v>
      </c>
      <c r="B131" s="46" t="str">
        <f>IFERROR(__xludf.DUMMYFUNCTION("""COMPUTED_VALUE"""),"Portugal")</f>
        <v>Portugal</v>
      </c>
      <c r="C131" s="46" t="str">
        <f>IFERROR(__xludf.DUMMYFUNCTION("""COMPUTED_VALUE"""),"Europe")</f>
        <v>Europe</v>
      </c>
      <c r="D131" s="90">
        <f>IFERROR(__xludf.DUMMYFUNCTION("""COMPUTED_VALUE"""),42675.0)</f>
        <v>42675</v>
      </c>
      <c r="E131" s="46">
        <f>IFERROR(__xludf.DUMMYFUNCTION("""COMPUTED_VALUE"""),2016.0)</f>
        <v>2016</v>
      </c>
      <c r="F131" s="46">
        <f>IFERROR(__xludf.DUMMYFUNCTION("""COMPUTED_VALUE"""),1.0)</f>
        <v>1</v>
      </c>
      <c r="G131" s="46">
        <f>IFERROR(__xludf.DUMMYFUNCTION("""COMPUTED_VALUE"""),4832.0)</f>
        <v>4832</v>
      </c>
      <c r="H131" s="46">
        <f>IFERROR(__xludf.DUMMYFUNCTION("""COMPUTED_VALUE"""),3146646.72)</f>
        <v>3146646.72</v>
      </c>
      <c r="I131" s="46">
        <f>IFERROR(__xludf.DUMMYFUNCTION("""COMPUTED_VALUE"""),2536606.72)</f>
        <v>2536606.72</v>
      </c>
      <c r="J131" s="46">
        <f>IFERROR(__xludf.DUMMYFUNCTION("""COMPUTED_VALUE"""),610040.0)</f>
        <v>610040</v>
      </c>
      <c r="K131" s="46" t="str">
        <f t="array" ref="K131">TEXT(D131, "mmmm")</f>
        <v>November</v>
      </c>
      <c r="M131" s="46" t="str">
        <f>IFERROR(__xludf.DUMMYFUNCTION("""COMPUTED_VALUE"""),"Ireland")</f>
        <v>Ireland</v>
      </c>
      <c r="N131" s="94">
        <f>IFERROR(__xludf.DUMMYFUNCTION("""COMPUTED_VALUE"""),40483.0)</f>
        <v>40483</v>
      </c>
      <c r="O131" s="46">
        <f>IFERROR(__xludf.DUMMYFUNCTION("""COMPUTED_VALUE"""),1.0)</f>
        <v>1</v>
      </c>
      <c r="P131" s="46">
        <f>IFERROR(__xludf.DUMMYFUNCTION("""COMPUTED_VALUE"""),3331.0)</f>
        <v>3331</v>
      </c>
      <c r="Q131" s="46">
        <f>IFERROR(__xludf.DUMMYFUNCTION("""COMPUTED_VALUE"""),513173.86)</f>
        <v>513173.86</v>
      </c>
      <c r="R131" s="46">
        <f>IFERROR(__xludf.DUMMYFUNCTION("""COMPUTED_VALUE"""),302887.83)</f>
        <v>302887.83</v>
      </c>
      <c r="S131" s="46">
        <f>IFERROR(__xludf.DUMMYFUNCTION("""COMPUTED_VALUE"""),210286.02999999997)</f>
        <v>210286.03</v>
      </c>
    </row>
    <row r="132">
      <c r="A132" s="46" t="str">
        <f>IFERROR(__xludf.DUMMYFUNCTION("""COMPUTED_VALUE"""),"Office Supplies")</f>
        <v>Office Supplies</v>
      </c>
      <c r="B132" s="46" t="str">
        <f>IFERROR(__xludf.DUMMYFUNCTION("""COMPUTED_VALUE"""),"Undefined")</f>
        <v>Undefined</v>
      </c>
      <c r="C132" s="46" t="str">
        <f>IFERROR(__xludf.DUMMYFUNCTION("""COMPUTED_VALUE"""),"Undefined")</f>
        <v>Undefined</v>
      </c>
      <c r="D132" s="90">
        <f>IFERROR(__xludf.DUMMYFUNCTION("""COMPUTED_VALUE"""),42675.0)</f>
        <v>42675</v>
      </c>
      <c r="E132" s="46">
        <f>IFERROR(__xludf.DUMMYFUNCTION("""COMPUTED_VALUE"""),2016.0)</f>
        <v>2016</v>
      </c>
      <c r="F132" s="46">
        <f>IFERROR(__xludf.DUMMYFUNCTION("""COMPUTED_VALUE"""),1.0)</f>
        <v>1</v>
      </c>
      <c r="G132" s="46">
        <f>IFERROR(__xludf.DUMMYFUNCTION("""COMPUTED_VALUE"""),2162.0)</f>
        <v>2162</v>
      </c>
      <c r="H132" s="46">
        <f>IFERROR(__xludf.DUMMYFUNCTION("""COMPUTED_VALUE"""),1407916.02)</f>
        <v>1407916.02</v>
      </c>
      <c r="I132" s="46">
        <f>IFERROR(__xludf.DUMMYFUNCTION("""COMPUTED_VALUE"""),1134963.52)</f>
        <v>1134963.52</v>
      </c>
      <c r="J132" s="46">
        <f>IFERROR(__xludf.DUMMYFUNCTION("""COMPUTED_VALUE"""),272952.5)</f>
        <v>272952.5</v>
      </c>
      <c r="K132" s="46" t="str">
        <f t="array" ref="K132">TEXT(D132, "mmmm")</f>
        <v>November</v>
      </c>
      <c r="M132" s="46" t="str">
        <f>IFERROR(__xludf.DUMMYFUNCTION("""COMPUTED_VALUE"""),"Macedonia")</f>
        <v>Macedonia</v>
      </c>
      <c r="N132" s="94">
        <f>IFERROR(__xludf.DUMMYFUNCTION("""COMPUTED_VALUE"""),40483.0)</f>
        <v>40483</v>
      </c>
      <c r="O132" s="46">
        <f>IFERROR(__xludf.DUMMYFUNCTION("""COMPUTED_VALUE"""),1.0)</f>
        <v>1</v>
      </c>
      <c r="P132" s="46">
        <f>IFERROR(__xludf.DUMMYFUNCTION("""COMPUTED_VALUE"""),1713.0)</f>
        <v>1713</v>
      </c>
      <c r="Q132" s="46">
        <f>IFERROR(__xludf.DUMMYFUNCTION("""COMPUTED_VALUE"""),352364.1)</f>
        <v>352364.1</v>
      </c>
      <c r="R132" s="46">
        <f>IFERROR(__xludf.DUMMYFUNCTION("""COMPUTED_VALUE"""),200609.43)</f>
        <v>200609.43</v>
      </c>
      <c r="S132" s="46">
        <f>IFERROR(__xludf.DUMMYFUNCTION("""COMPUTED_VALUE"""),151754.66999999998)</f>
        <v>151754.67</v>
      </c>
    </row>
    <row r="133">
      <c r="A133" s="46" t="str">
        <f>IFERROR(__xludf.DUMMYFUNCTION("""COMPUTED_VALUE"""),"Personal Care")</f>
        <v>Personal Care</v>
      </c>
      <c r="B133" s="46" t="str">
        <f>IFERROR(__xludf.DUMMYFUNCTION("""COMPUTED_VALUE"""),"Montenegro")</f>
        <v>Montenegro</v>
      </c>
      <c r="C133" s="46" t="str">
        <f>IFERROR(__xludf.DUMMYFUNCTION("""COMPUTED_VALUE"""),"Europe")</f>
        <v>Europe</v>
      </c>
      <c r="D133" s="90">
        <f>IFERROR(__xludf.DUMMYFUNCTION("""COMPUTED_VALUE"""),42675.0)</f>
        <v>42675</v>
      </c>
      <c r="E133" s="46">
        <f>IFERROR(__xludf.DUMMYFUNCTION("""COMPUTED_VALUE"""),2016.0)</f>
        <v>2016</v>
      </c>
      <c r="F133" s="46">
        <f>IFERROR(__xludf.DUMMYFUNCTION("""COMPUTED_VALUE"""),1.0)</f>
        <v>1</v>
      </c>
      <c r="G133" s="46">
        <f>IFERROR(__xludf.DUMMYFUNCTION("""COMPUTED_VALUE"""),3699.0)</f>
        <v>3699</v>
      </c>
      <c r="H133" s="46">
        <f>IFERROR(__xludf.DUMMYFUNCTION("""COMPUTED_VALUE"""),302319.27)</f>
        <v>302319.27</v>
      </c>
      <c r="I133" s="46">
        <f>IFERROR(__xludf.DUMMYFUNCTION("""COMPUTED_VALUE"""),209622.33000000002)</f>
        <v>209622.33</v>
      </c>
      <c r="J133" s="46">
        <f>IFERROR(__xludf.DUMMYFUNCTION("""COMPUTED_VALUE"""),92696.94)</f>
        <v>92696.94</v>
      </c>
      <c r="K133" s="46" t="str">
        <f t="array" ref="K133">TEXT(D133, "mmmm")</f>
        <v>November</v>
      </c>
      <c r="M133" s="46" t="str">
        <f>IFERROR(__xludf.DUMMYFUNCTION("""COMPUTED_VALUE"""),"Montenegro")</f>
        <v>Montenegro</v>
      </c>
      <c r="N133" s="94">
        <f>IFERROR(__xludf.DUMMYFUNCTION("""COMPUTED_VALUE"""),40483.0)</f>
        <v>40483</v>
      </c>
      <c r="O133" s="46">
        <f>IFERROR(__xludf.DUMMYFUNCTION("""COMPUTED_VALUE"""),1.0)</f>
        <v>1</v>
      </c>
      <c r="P133" s="46">
        <f>IFERROR(__xludf.DUMMYFUNCTION("""COMPUTED_VALUE"""),3473.0)</f>
        <v>3473</v>
      </c>
      <c r="Q133" s="46">
        <f>IFERROR(__xludf.DUMMYFUNCTION("""COMPUTED_VALUE"""),2320901.71)</f>
        <v>2320901.71</v>
      </c>
      <c r="R133" s="46">
        <f>IFERROR(__xludf.DUMMYFUNCTION("""COMPUTED_VALUE"""),1745321.4200000002)</f>
        <v>1745321.42</v>
      </c>
      <c r="S133" s="46">
        <f>IFERROR(__xludf.DUMMYFUNCTION("""COMPUTED_VALUE"""),575580.2899999998)</f>
        <v>575580.29</v>
      </c>
    </row>
    <row r="134">
      <c r="A134" s="46" t="str">
        <f>IFERROR(__xludf.DUMMYFUNCTION("""COMPUTED_VALUE"""),"Snacks")</f>
        <v>Snacks</v>
      </c>
      <c r="B134" s="46" t="str">
        <f>IFERROR(__xludf.DUMMYFUNCTION("""COMPUTED_VALUE"""),"Norway")</f>
        <v>Norway</v>
      </c>
      <c r="C134" s="46" t="str">
        <f>IFERROR(__xludf.DUMMYFUNCTION("""COMPUTED_VALUE"""),"Europe")</f>
        <v>Europe</v>
      </c>
      <c r="D134" s="90">
        <f>IFERROR(__xludf.DUMMYFUNCTION("""COMPUTED_VALUE"""),42675.0)</f>
        <v>42675</v>
      </c>
      <c r="E134" s="46">
        <f>IFERROR(__xludf.DUMMYFUNCTION("""COMPUTED_VALUE"""),2016.0)</f>
        <v>2016</v>
      </c>
      <c r="F134" s="46">
        <f>IFERROR(__xludf.DUMMYFUNCTION("""COMPUTED_VALUE"""),1.0)</f>
        <v>1</v>
      </c>
      <c r="G134" s="46">
        <f>IFERROR(__xludf.DUMMYFUNCTION("""COMPUTED_VALUE"""),562.0)</f>
        <v>562</v>
      </c>
      <c r="H134" s="46">
        <f>IFERROR(__xludf.DUMMYFUNCTION("""COMPUTED_VALUE"""),85749.96)</f>
        <v>85749.96</v>
      </c>
      <c r="I134" s="46">
        <f>IFERROR(__xludf.DUMMYFUNCTION("""COMPUTED_VALUE"""),54761.28)</f>
        <v>54761.28</v>
      </c>
      <c r="J134" s="46">
        <f>IFERROR(__xludf.DUMMYFUNCTION("""COMPUTED_VALUE"""),30988.680000000008)</f>
        <v>30988.68</v>
      </c>
      <c r="K134" s="46" t="str">
        <f t="array" ref="K134">TEXT(D134, "mmmm")</f>
        <v>November</v>
      </c>
      <c r="M134" s="46" t="str">
        <f>IFERROR(__xludf.DUMMYFUNCTION("""COMPUTED_VALUE"""),"Albania")</f>
        <v>Albania</v>
      </c>
      <c r="N134" s="94">
        <f>IFERROR(__xludf.DUMMYFUNCTION("""COMPUTED_VALUE"""),40513.0)</f>
        <v>40513</v>
      </c>
      <c r="O134" s="46">
        <f>IFERROR(__xludf.DUMMYFUNCTION("""COMPUTED_VALUE"""),2.0)</f>
        <v>2</v>
      </c>
      <c r="P134" s="46">
        <f>IFERROR(__xludf.DUMMYFUNCTION("""COMPUTED_VALUE"""),7425.0)</f>
        <v>7425</v>
      </c>
      <c r="Q134" s="46">
        <f>IFERROR(__xludf.DUMMYFUNCTION("""COMPUTED_VALUE"""),3986734.96)</f>
        <v>3986734.96</v>
      </c>
      <c r="R134" s="46">
        <f>IFERROR(__xludf.DUMMYFUNCTION("""COMPUTED_VALUE"""),2965315.4000000004)</f>
        <v>2965315.4</v>
      </c>
      <c r="S134" s="46">
        <f>IFERROR(__xludf.DUMMYFUNCTION("""COMPUTED_VALUE"""),1021419.5599999994)</f>
        <v>1021419.56</v>
      </c>
    </row>
    <row r="135">
      <c r="A135" s="46" t="str">
        <f>IFERROR(__xludf.DUMMYFUNCTION("""COMPUTED_VALUE"""),"Snacks")</f>
        <v>Snacks</v>
      </c>
      <c r="B135" s="46" t="str">
        <f>IFERROR(__xludf.DUMMYFUNCTION("""COMPUTED_VALUE"""),"Slovakia")</f>
        <v>Slovakia</v>
      </c>
      <c r="C135" s="46" t="str">
        <f>IFERROR(__xludf.DUMMYFUNCTION("""COMPUTED_VALUE"""),"Europe")</f>
        <v>Europe</v>
      </c>
      <c r="D135" s="90">
        <f>IFERROR(__xludf.DUMMYFUNCTION("""COMPUTED_VALUE"""),42675.0)</f>
        <v>42675</v>
      </c>
      <c r="E135" s="46">
        <f>IFERROR(__xludf.DUMMYFUNCTION("""COMPUTED_VALUE"""),2016.0)</f>
        <v>2016</v>
      </c>
      <c r="F135" s="46">
        <f>IFERROR(__xludf.DUMMYFUNCTION("""COMPUTED_VALUE"""),1.0)</f>
        <v>1</v>
      </c>
      <c r="G135" s="46">
        <f>IFERROR(__xludf.DUMMYFUNCTION("""COMPUTED_VALUE"""),1500.0)</f>
        <v>1500</v>
      </c>
      <c r="H135" s="46">
        <f>IFERROR(__xludf.DUMMYFUNCTION("""COMPUTED_VALUE"""),228870.00000000003)</f>
        <v>228870</v>
      </c>
      <c r="I135" s="46">
        <f>IFERROR(__xludf.DUMMYFUNCTION("""COMPUTED_VALUE"""),146160.0)</f>
        <v>146160</v>
      </c>
      <c r="J135" s="46">
        <f>IFERROR(__xludf.DUMMYFUNCTION("""COMPUTED_VALUE"""),82710.00000000003)</f>
        <v>82710</v>
      </c>
      <c r="K135" s="46" t="str">
        <f t="array" ref="K135">TEXT(D135, "mmmm")</f>
        <v>November</v>
      </c>
      <c r="M135" s="46" t="str">
        <f>IFERROR(__xludf.DUMMYFUNCTION("""COMPUTED_VALUE"""),"Armenia")</f>
        <v>Armenia</v>
      </c>
      <c r="N135" s="94">
        <f>IFERROR(__xludf.DUMMYFUNCTION("""COMPUTED_VALUE"""),40513.0)</f>
        <v>40513</v>
      </c>
      <c r="O135" s="46">
        <f>IFERROR(__xludf.DUMMYFUNCTION("""COMPUTED_VALUE"""),1.0)</f>
        <v>1</v>
      </c>
      <c r="P135" s="46">
        <f>IFERROR(__xludf.DUMMYFUNCTION("""COMPUTED_VALUE"""),4593.0)</f>
        <v>4593</v>
      </c>
      <c r="Q135" s="46">
        <f>IFERROR(__xludf.DUMMYFUNCTION("""COMPUTED_VALUE"""),375385.89)</f>
        <v>375385.89</v>
      </c>
      <c r="R135" s="46">
        <f>IFERROR(__xludf.DUMMYFUNCTION("""COMPUTED_VALUE"""),260285.31)</f>
        <v>260285.31</v>
      </c>
      <c r="S135" s="46">
        <f>IFERROR(__xludf.DUMMYFUNCTION("""COMPUTED_VALUE"""),115100.58000000002)</f>
        <v>115100.58</v>
      </c>
    </row>
    <row r="136">
      <c r="A136" s="46" t="str">
        <f>IFERROR(__xludf.DUMMYFUNCTION("""COMPUTED_VALUE"""),"Snacks")</f>
        <v>Snacks</v>
      </c>
      <c r="B136" s="46" t="str">
        <f>IFERROR(__xludf.DUMMYFUNCTION("""COMPUTED_VALUE"""),"Spain")</f>
        <v>Spain</v>
      </c>
      <c r="C136" s="46" t="str">
        <f>IFERROR(__xludf.DUMMYFUNCTION("""COMPUTED_VALUE"""),"Europe")</f>
        <v>Europe</v>
      </c>
      <c r="D136" s="90">
        <f>IFERROR(__xludf.DUMMYFUNCTION("""COMPUTED_VALUE"""),42675.0)</f>
        <v>42675</v>
      </c>
      <c r="E136" s="46">
        <f>IFERROR(__xludf.DUMMYFUNCTION("""COMPUTED_VALUE"""),2016.0)</f>
        <v>2016</v>
      </c>
      <c r="F136" s="46">
        <f>IFERROR(__xludf.DUMMYFUNCTION("""COMPUTED_VALUE"""),1.0)</f>
        <v>1</v>
      </c>
      <c r="G136" s="46">
        <f>IFERROR(__xludf.DUMMYFUNCTION("""COMPUTED_VALUE"""),245.0)</f>
        <v>245</v>
      </c>
      <c r="H136" s="46">
        <f>IFERROR(__xludf.DUMMYFUNCTION("""COMPUTED_VALUE"""),37382.100000000006)</f>
        <v>37382.1</v>
      </c>
      <c r="I136" s="46">
        <f>IFERROR(__xludf.DUMMYFUNCTION("""COMPUTED_VALUE"""),23872.8)</f>
        <v>23872.8</v>
      </c>
      <c r="J136" s="46">
        <f>IFERROR(__xludf.DUMMYFUNCTION("""COMPUTED_VALUE"""),13509.300000000007)</f>
        <v>13509.3</v>
      </c>
      <c r="K136" s="46" t="str">
        <f t="array" ref="K136">TEXT(D136, "mmmm")</f>
        <v>November</v>
      </c>
      <c r="M136" s="46" t="str">
        <f>IFERROR(__xludf.DUMMYFUNCTION("""COMPUTED_VALUE"""),"Croatia")</f>
        <v>Croatia</v>
      </c>
      <c r="N136" s="94">
        <f>IFERROR(__xludf.DUMMYFUNCTION("""COMPUTED_VALUE"""),40513.0)</f>
        <v>40513</v>
      </c>
      <c r="O136" s="46">
        <f>IFERROR(__xludf.DUMMYFUNCTION("""COMPUTED_VALUE"""),1.0)</f>
        <v>1</v>
      </c>
      <c r="P136" s="46">
        <f>IFERROR(__xludf.DUMMYFUNCTION("""COMPUTED_VALUE"""),8753.0)</f>
        <v>8753</v>
      </c>
      <c r="Q136" s="46">
        <f>IFERROR(__xludf.DUMMYFUNCTION("""COMPUTED_VALUE"""),3692803.17)</f>
        <v>3692803.17</v>
      </c>
      <c r="R136" s="46">
        <f>IFERROR(__xludf.DUMMYFUNCTION("""COMPUTED_VALUE"""),3192131.57)</f>
        <v>3192131.57</v>
      </c>
      <c r="S136" s="46">
        <f>IFERROR(__xludf.DUMMYFUNCTION("""COMPUTED_VALUE"""),500671.6000000001)</f>
        <v>500671.6</v>
      </c>
    </row>
    <row r="137">
      <c r="A137" s="46" t="str">
        <f>IFERROR(__xludf.DUMMYFUNCTION("""COMPUTED_VALUE"""),"Vegetables")</f>
        <v>Vegetables</v>
      </c>
      <c r="B137" s="46" t="str">
        <f>IFERROR(__xludf.DUMMYFUNCTION("""COMPUTED_VALUE"""),"Austria")</f>
        <v>Austria</v>
      </c>
      <c r="C137" s="46" t="str">
        <f>IFERROR(__xludf.DUMMYFUNCTION("""COMPUTED_VALUE"""),"Europe")</f>
        <v>Europe</v>
      </c>
      <c r="D137" s="90">
        <f>IFERROR(__xludf.DUMMYFUNCTION("""COMPUTED_VALUE"""),42675.0)</f>
        <v>42675</v>
      </c>
      <c r="E137" s="46">
        <f>IFERROR(__xludf.DUMMYFUNCTION("""COMPUTED_VALUE"""),2016.0)</f>
        <v>2016</v>
      </c>
      <c r="F137" s="46">
        <f>IFERROR(__xludf.DUMMYFUNCTION("""COMPUTED_VALUE"""),1.0)</f>
        <v>1</v>
      </c>
      <c r="G137" s="46">
        <f>IFERROR(__xludf.DUMMYFUNCTION("""COMPUTED_VALUE"""),5397.0)</f>
        <v>5397</v>
      </c>
      <c r="H137" s="46">
        <f>IFERROR(__xludf.DUMMYFUNCTION("""COMPUTED_VALUE"""),831461.8200000001)</f>
        <v>831461.82</v>
      </c>
      <c r="I137" s="46">
        <f>IFERROR(__xludf.DUMMYFUNCTION("""COMPUTED_VALUE"""),490749.21)</f>
        <v>490749.21</v>
      </c>
      <c r="J137" s="46">
        <f>IFERROR(__xludf.DUMMYFUNCTION("""COMPUTED_VALUE"""),340712.61000000004)</f>
        <v>340712.61</v>
      </c>
      <c r="K137" s="46" t="str">
        <f t="array" ref="K137">TEXT(D137, "mmmm")</f>
        <v>November</v>
      </c>
      <c r="M137" s="46" t="str">
        <f>IFERROR(__xludf.DUMMYFUNCTION("""COMPUTED_VALUE"""),"Cyprus")</f>
        <v>Cyprus</v>
      </c>
      <c r="N137" s="94">
        <f>IFERROR(__xludf.DUMMYFUNCTION("""COMPUTED_VALUE"""),40513.0)</f>
        <v>40513</v>
      </c>
      <c r="O137" s="46">
        <f>IFERROR(__xludf.DUMMYFUNCTION("""COMPUTED_VALUE"""),1.0)</f>
        <v>1</v>
      </c>
      <c r="P137" s="46">
        <f>IFERROR(__xludf.DUMMYFUNCTION("""COMPUTED_VALUE"""),5869.0)</f>
        <v>5869</v>
      </c>
      <c r="Q137" s="46">
        <f>IFERROR(__xludf.DUMMYFUNCTION("""COMPUTED_VALUE"""),904178.14)</f>
        <v>904178.14</v>
      </c>
      <c r="R137" s="46">
        <f>IFERROR(__xludf.DUMMYFUNCTION("""COMPUTED_VALUE"""),533668.17)</f>
        <v>533668.17</v>
      </c>
      <c r="S137" s="46">
        <f>IFERROR(__xludf.DUMMYFUNCTION("""COMPUTED_VALUE"""),370509.97)</f>
        <v>370509.97</v>
      </c>
    </row>
    <row r="138">
      <c r="A138" s="46" t="str">
        <f>IFERROR(__xludf.DUMMYFUNCTION("""COMPUTED_VALUE"""),"Vegetables")</f>
        <v>Vegetables</v>
      </c>
      <c r="B138" s="46" t="str">
        <f>IFERROR(__xludf.DUMMYFUNCTION("""COMPUTED_VALUE"""),"Bosnia and Herzegovina")</f>
        <v>Bosnia and Herzegovina</v>
      </c>
      <c r="C138" s="46" t="str">
        <f>IFERROR(__xludf.DUMMYFUNCTION("""COMPUTED_VALUE"""),"Europe")</f>
        <v>Europe</v>
      </c>
      <c r="D138" s="90">
        <f>IFERROR(__xludf.DUMMYFUNCTION("""COMPUTED_VALUE"""),42675.0)</f>
        <v>42675</v>
      </c>
      <c r="E138" s="46">
        <f>IFERROR(__xludf.DUMMYFUNCTION("""COMPUTED_VALUE"""),2016.0)</f>
        <v>2016</v>
      </c>
      <c r="F138" s="46">
        <f>IFERROR(__xludf.DUMMYFUNCTION("""COMPUTED_VALUE"""),1.0)</f>
        <v>1</v>
      </c>
      <c r="G138" s="46">
        <f>IFERROR(__xludf.DUMMYFUNCTION("""COMPUTED_VALUE"""),8159.0)</f>
        <v>8159</v>
      </c>
      <c r="H138" s="46">
        <f>IFERROR(__xludf.DUMMYFUNCTION("""COMPUTED_VALUE"""),1256975.54)</f>
        <v>1256975.54</v>
      </c>
      <c r="I138" s="46">
        <f>IFERROR(__xludf.DUMMYFUNCTION("""COMPUTED_VALUE"""),741897.8700000001)</f>
        <v>741897.87</v>
      </c>
      <c r="J138" s="46">
        <f>IFERROR(__xludf.DUMMYFUNCTION("""COMPUTED_VALUE"""),515077.6699999999)</f>
        <v>515077.67</v>
      </c>
      <c r="K138" s="46" t="str">
        <f t="array" ref="K138">TEXT(D138, "mmmm")</f>
        <v>November</v>
      </c>
      <c r="M138" s="46" t="str">
        <f>IFERROR(__xludf.DUMMYFUNCTION("""COMPUTED_VALUE"""),"Czech Republic")</f>
        <v>Czech Republic</v>
      </c>
      <c r="N138" s="94">
        <f>IFERROR(__xludf.DUMMYFUNCTION("""COMPUTED_VALUE"""),40513.0)</f>
        <v>40513</v>
      </c>
      <c r="O138" s="46">
        <f>IFERROR(__xludf.DUMMYFUNCTION("""COMPUTED_VALUE"""),1.0)</f>
        <v>1</v>
      </c>
      <c r="P138" s="46">
        <f>IFERROR(__xludf.DUMMYFUNCTION("""COMPUTED_VALUE"""),2334.0)</f>
        <v>2334</v>
      </c>
      <c r="Q138" s="46">
        <f>IFERROR(__xludf.DUMMYFUNCTION("""COMPUTED_VALUE"""),190757.82)</f>
        <v>190757.82</v>
      </c>
      <c r="R138" s="46">
        <f>IFERROR(__xludf.DUMMYFUNCTION("""COMPUTED_VALUE"""),132267.78)</f>
        <v>132267.78</v>
      </c>
      <c r="S138" s="46">
        <f>IFERROR(__xludf.DUMMYFUNCTION("""COMPUTED_VALUE"""),58490.04000000001)</f>
        <v>58490.04</v>
      </c>
    </row>
    <row r="139">
      <c r="A139" s="46" t="str">
        <f>IFERROR(__xludf.DUMMYFUNCTION("""COMPUTED_VALUE"""),"Baby Food")</f>
        <v>Baby Food</v>
      </c>
      <c r="B139" s="46" t="str">
        <f>IFERROR(__xludf.DUMMYFUNCTION("""COMPUTED_VALUE"""),"Andorra")</f>
        <v>Andorra</v>
      </c>
      <c r="C139" s="46" t="str">
        <f>IFERROR(__xludf.DUMMYFUNCTION("""COMPUTED_VALUE"""),"Europe")</f>
        <v>Europe</v>
      </c>
      <c r="D139" s="90">
        <f>IFERROR(__xludf.DUMMYFUNCTION("""COMPUTED_VALUE"""),42644.0)</f>
        <v>42644</v>
      </c>
      <c r="E139" s="46">
        <f>IFERROR(__xludf.DUMMYFUNCTION("""COMPUTED_VALUE"""),2016.0)</f>
        <v>2016</v>
      </c>
      <c r="F139" s="46">
        <f>IFERROR(__xludf.DUMMYFUNCTION("""COMPUTED_VALUE"""),1.0)</f>
        <v>1</v>
      </c>
      <c r="G139" s="46">
        <f>IFERROR(__xludf.DUMMYFUNCTION("""COMPUTED_VALUE"""),7170.0)</f>
        <v>7170</v>
      </c>
      <c r="H139" s="46">
        <f>IFERROR(__xludf.DUMMYFUNCTION("""COMPUTED_VALUE"""),1830357.6)</f>
        <v>1830357.6</v>
      </c>
      <c r="I139" s="46">
        <f>IFERROR(__xludf.DUMMYFUNCTION("""COMPUTED_VALUE"""),1143041.4)</f>
        <v>1143041.4</v>
      </c>
      <c r="J139" s="46">
        <f>IFERROR(__xludf.DUMMYFUNCTION("""COMPUTED_VALUE"""),687316.2000000002)</f>
        <v>687316.2</v>
      </c>
      <c r="K139" s="46" t="str">
        <f t="array" ref="K139">TEXT(D139, "mmmm")</f>
        <v>October</v>
      </c>
      <c r="M139" s="46" t="str">
        <f>IFERROR(__xludf.DUMMYFUNCTION("""COMPUTED_VALUE"""),"Georgia")</f>
        <v>Georgia</v>
      </c>
      <c r="N139" s="94">
        <f>IFERROR(__xludf.DUMMYFUNCTION("""COMPUTED_VALUE"""),40513.0)</f>
        <v>40513</v>
      </c>
      <c r="O139" s="46">
        <f>IFERROR(__xludf.DUMMYFUNCTION("""COMPUTED_VALUE"""),1.0)</f>
        <v>1</v>
      </c>
      <c r="P139" s="46">
        <f>IFERROR(__xludf.DUMMYFUNCTION("""COMPUTED_VALUE"""),1911.0)</f>
        <v>1911</v>
      </c>
      <c r="Q139" s="46">
        <f>IFERROR(__xludf.DUMMYFUNCTION("""COMPUTED_VALUE"""),393092.69999999995)</f>
        <v>393092.7</v>
      </c>
      <c r="R139" s="46">
        <f>IFERROR(__xludf.DUMMYFUNCTION("""COMPUTED_VALUE"""),223797.21)</f>
        <v>223797.21</v>
      </c>
      <c r="S139" s="46">
        <f>IFERROR(__xludf.DUMMYFUNCTION("""COMPUTED_VALUE"""),169295.48999999996)</f>
        <v>169295.49</v>
      </c>
    </row>
    <row r="140">
      <c r="A140" s="46" t="str">
        <f>IFERROR(__xludf.DUMMYFUNCTION("""COMPUTED_VALUE"""),"Baby Food")</f>
        <v>Baby Food</v>
      </c>
      <c r="B140" s="46" t="str">
        <f>IFERROR(__xludf.DUMMYFUNCTION("""COMPUTED_VALUE"""),"Slovenia")</f>
        <v>Slovenia</v>
      </c>
      <c r="C140" s="46" t="str">
        <f>IFERROR(__xludf.DUMMYFUNCTION("""COMPUTED_VALUE"""),"Europe")</f>
        <v>Europe</v>
      </c>
      <c r="D140" s="90">
        <f>IFERROR(__xludf.DUMMYFUNCTION("""COMPUTED_VALUE"""),42644.0)</f>
        <v>42644</v>
      </c>
      <c r="E140" s="46">
        <f>IFERROR(__xludf.DUMMYFUNCTION("""COMPUTED_VALUE"""),2016.0)</f>
        <v>2016</v>
      </c>
      <c r="F140" s="46">
        <f>IFERROR(__xludf.DUMMYFUNCTION("""COMPUTED_VALUE"""),1.0)</f>
        <v>1</v>
      </c>
      <c r="G140" s="46">
        <f>IFERROR(__xludf.DUMMYFUNCTION("""COMPUTED_VALUE"""),486.0)</f>
        <v>486</v>
      </c>
      <c r="H140" s="46">
        <f>IFERROR(__xludf.DUMMYFUNCTION("""COMPUTED_VALUE"""),124066.08)</f>
        <v>124066.08</v>
      </c>
      <c r="I140" s="46">
        <f>IFERROR(__xludf.DUMMYFUNCTION("""COMPUTED_VALUE"""),77478.12)</f>
        <v>77478.12</v>
      </c>
      <c r="J140" s="46">
        <f>IFERROR(__xludf.DUMMYFUNCTION("""COMPUTED_VALUE"""),46587.96000000001)</f>
        <v>46587.96</v>
      </c>
      <c r="K140" s="46" t="str">
        <f t="array" ref="K140">TEXT(D140, "mmmm")</f>
        <v>October</v>
      </c>
      <c r="M140" s="46" t="str">
        <f>IFERROR(__xludf.DUMMYFUNCTION("""COMPUTED_VALUE"""),"Hungary")</f>
        <v>Hungary</v>
      </c>
      <c r="N140" s="94">
        <f>IFERROR(__xludf.DUMMYFUNCTION("""COMPUTED_VALUE"""),40513.0)</f>
        <v>40513</v>
      </c>
      <c r="O140" s="46">
        <f>IFERROR(__xludf.DUMMYFUNCTION("""COMPUTED_VALUE"""),2.0)</f>
        <v>2</v>
      </c>
      <c r="P140" s="46">
        <f>IFERROR(__xludf.DUMMYFUNCTION("""COMPUTED_VALUE"""),11092.0)</f>
        <v>11092</v>
      </c>
      <c r="Q140" s="46">
        <f>IFERROR(__xludf.DUMMYFUNCTION("""COMPUTED_VALUE"""),3878390.9200000004)</f>
        <v>3878390.92</v>
      </c>
      <c r="R140" s="46">
        <f>IFERROR(__xludf.DUMMYFUNCTION("""COMPUTED_VALUE"""),3090694.5200000005)</f>
        <v>3090694.52</v>
      </c>
      <c r="S140" s="46">
        <f>IFERROR(__xludf.DUMMYFUNCTION("""COMPUTED_VALUE"""),787696.4)</f>
        <v>787696.4</v>
      </c>
    </row>
    <row r="141">
      <c r="A141" s="46" t="str">
        <f>IFERROR(__xludf.DUMMYFUNCTION("""COMPUTED_VALUE"""),"Cereal")</f>
        <v>Cereal</v>
      </c>
      <c r="B141" s="46" t="str">
        <f>IFERROR(__xludf.DUMMYFUNCTION("""COMPUTED_VALUE"""),"San Marino")</f>
        <v>San Marino</v>
      </c>
      <c r="C141" s="46" t="str">
        <f>IFERROR(__xludf.DUMMYFUNCTION("""COMPUTED_VALUE"""),"Europe")</f>
        <v>Europe</v>
      </c>
      <c r="D141" s="90">
        <f>IFERROR(__xludf.DUMMYFUNCTION("""COMPUTED_VALUE"""),42644.0)</f>
        <v>42644</v>
      </c>
      <c r="E141" s="46">
        <f>IFERROR(__xludf.DUMMYFUNCTION("""COMPUTED_VALUE"""),2016.0)</f>
        <v>2016</v>
      </c>
      <c r="F141" s="46">
        <f>IFERROR(__xludf.DUMMYFUNCTION("""COMPUTED_VALUE"""),1.0)</f>
        <v>1</v>
      </c>
      <c r="G141" s="46">
        <f>IFERROR(__xludf.DUMMYFUNCTION("""COMPUTED_VALUE"""),1296.0)</f>
        <v>1296</v>
      </c>
      <c r="H141" s="46">
        <f>IFERROR(__xludf.DUMMYFUNCTION("""COMPUTED_VALUE"""),266587.2)</f>
        <v>266587.2</v>
      </c>
      <c r="I141" s="46">
        <f>IFERROR(__xludf.DUMMYFUNCTION("""COMPUTED_VALUE"""),151774.56)</f>
        <v>151774.56</v>
      </c>
      <c r="J141" s="46">
        <f>IFERROR(__xludf.DUMMYFUNCTION("""COMPUTED_VALUE"""),114812.64000000001)</f>
        <v>114812.64</v>
      </c>
      <c r="K141" s="46" t="str">
        <f t="array" ref="K141">TEXT(D141, "mmmm")</f>
        <v>October</v>
      </c>
      <c r="M141" s="46" t="str">
        <f>IFERROR(__xludf.DUMMYFUNCTION("""COMPUTED_VALUE"""),"Italy")</f>
        <v>Italy</v>
      </c>
      <c r="N141" s="94">
        <f>IFERROR(__xludf.DUMMYFUNCTION("""COMPUTED_VALUE"""),40513.0)</f>
        <v>40513</v>
      </c>
      <c r="O141" s="46">
        <f>IFERROR(__xludf.DUMMYFUNCTION("""COMPUTED_VALUE"""),1.0)</f>
        <v>1</v>
      </c>
      <c r="P141" s="46">
        <f>IFERROR(__xludf.DUMMYFUNCTION("""COMPUTED_VALUE"""),558.0)</f>
        <v>558</v>
      </c>
      <c r="Q141" s="46">
        <f>IFERROR(__xludf.DUMMYFUNCTION("""COMPUTED_VALUE"""),85139.64000000001)</f>
        <v>85139.64</v>
      </c>
      <c r="R141" s="46">
        <f>IFERROR(__xludf.DUMMYFUNCTION("""COMPUTED_VALUE"""),54371.52)</f>
        <v>54371.52</v>
      </c>
      <c r="S141" s="46">
        <f>IFERROR(__xludf.DUMMYFUNCTION("""COMPUTED_VALUE"""),30768.120000000017)</f>
        <v>30768.12</v>
      </c>
    </row>
    <row r="142">
      <c r="A142" s="46" t="str">
        <f>IFERROR(__xludf.DUMMYFUNCTION("""COMPUTED_VALUE"""),"Cosmetics")</f>
        <v>Cosmetics</v>
      </c>
      <c r="B142" s="46" t="str">
        <f>IFERROR(__xludf.DUMMYFUNCTION("""COMPUTED_VALUE"""),"San Marino")</f>
        <v>San Marino</v>
      </c>
      <c r="C142" s="46" t="str">
        <f>IFERROR(__xludf.DUMMYFUNCTION("""COMPUTED_VALUE"""),"Europe")</f>
        <v>Europe</v>
      </c>
      <c r="D142" s="90">
        <f>IFERROR(__xludf.DUMMYFUNCTION("""COMPUTED_VALUE"""),42644.0)</f>
        <v>42644</v>
      </c>
      <c r="E142" s="46">
        <f>IFERROR(__xludf.DUMMYFUNCTION("""COMPUTED_VALUE"""),2016.0)</f>
        <v>2016</v>
      </c>
      <c r="F142" s="46">
        <f>IFERROR(__xludf.DUMMYFUNCTION("""COMPUTED_VALUE"""),1.0)</f>
        <v>1</v>
      </c>
      <c r="G142" s="46">
        <f>IFERROR(__xludf.DUMMYFUNCTION("""COMPUTED_VALUE"""),7122.0)</f>
        <v>7122</v>
      </c>
      <c r="H142" s="46">
        <f>IFERROR(__xludf.DUMMYFUNCTION("""COMPUTED_VALUE"""),3113738.4)</f>
        <v>3113738.4</v>
      </c>
      <c r="I142" s="46">
        <f>IFERROR(__xludf.DUMMYFUNCTION("""COMPUTED_VALUE"""),1875436.2599999998)</f>
        <v>1875436.26</v>
      </c>
      <c r="J142" s="46">
        <f>IFERROR(__xludf.DUMMYFUNCTION("""COMPUTED_VALUE"""),1238302.1400000001)</f>
        <v>1238302.14</v>
      </c>
      <c r="K142" s="46" t="str">
        <f t="array" ref="K142">TEXT(D142, "mmmm")</f>
        <v>October</v>
      </c>
      <c r="M142" s="46" t="str">
        <f>IFERROR(__xludf.DUMMYFUNCTION("""COMPUTED_VALUE"""),"Latvia")</f>
        <v>Latvia</v>
      </c>
      <c r="N142" s="94">
        <f>IFERROR(__xludf.DUMMYFUNCTION("""COMPUTED_VALUE"""),40513.0)</f>
        <v>40513</v>
      </c>
      <c r="O142" s="46">
        <f>IFERROR(__xludf.DUMMYFUNCTION("""COMPUTED_VALUE"""),1.0)</f>
        <v>1</v>
      </c>
      <c r="P142" s="46">
        <f>IFERROR(__xludf.DUMMYFUNCTION("""COMPUTED_VALUE"""),3235.0)</f>
        <v>3235</v>
      </c>
      <c r="Q142" s="46">
        <f>IFERROR(__xludf.DUMMYFUNCTION("""COMPUTED_VALUE"""),2161853.4499999997)</f>
        <v>2161853.45</v>
      </c>
      <c r="R142" s="46">
        <f>IFERROR(__xludf.DUMMYFUNCTION("""COMPUTED_VALUE"""),1625716.9000000001)</f>
        <v>1625716.9</v>
      </c>
      <c r="S142" s="46">
        <f>IFERROR(__xludf.DUMMYFUNCTION("""COMPUTED_VALUE"""),536136.5499999996)</f>
        <v>536136.55</v>
      </c>
    </row>
    <row r="143">
      <c r="A143" s="46" t="str">
        <f>IFERROR(__xludf.DUMMYFUNCTION("""COMPUTED_VALUE"""),"Fruits")</f>
        <v>Fruits</v>
      </c>
      <c r="B143" s="46" t="str">
        <f>IFERROR(__xludf.DUMMYFUNCTION("""COMPUTED_VALUE"""),"Bosnia and Herzegovina")</f>
        <v>Bosnia and Herzegovina</v>
      </c>
      <c r="C143" s="46" t="str">
        <f>IFERROR(__xludf.DUMMYFUNCTION("""COMPUTED_VALUE"""),"Europe")</f>
        <v>Europe</v>
      </c>
      <c r="D143" s="90">
        <f>IFERROR(__xludf.DUMMYFUNCTION("""COMPUTED_VALUE"""),42644.0)</f>
        <v>42644</v>
      </c>
      <c r="E143" s="46">
        <f>IFERROR(__xludf.DUMMYFUNCTION("""COMPUTED_VALUE"""),2016.0)</f>
        <v>2016</v>
      </c>
      <c r="F143" s="46">
        <f>IFERROR(__xludf.DUMMYFUNCTION("""COMPUTED_VALUE"""),1.0)</f>
        <v>1</v>
      </c>
      <c r="G143" s="46">
        <f>IFERROR(__xludf.DUMMYFUNCTION("""COMPUTED_VALUE"""),1523.0)</f>
        <v>1523</v>
      </c>
      <c r="H143" s="46">
        <f>IFERROR(__xludf.DUMMYFUNCTION("""COMPUTED_VALUE"""),14209.59)</f>
        <v>14209.59</v>
      </c>
      <c r="I143" s="46">
        <f>IFERROR(__xludf.DUMMYFUNCTION("""COMPUTED_VALUE"""),10539.16)</f>
        <v>10539.16</v>
      </c>
      <c r="J143" s="46">
        <f>IFERROR(__xludf.DUMMYFUNCTION("""COMPUTED_VALUE"""),3670.4300000000003)</f>
        <v>3670.43</v>
      </c>
      <c r="K143" s="46" t="str">
        <f t="array" ref="K143">TEXT(D143, "mmmm")</f>
        <v>October</v>
      </c>
      <c r="M143" s="46" t="str">
        <f>IFERROR(__xludf.DUMMYFUNCTION("""COMPUTED_VALUE"""),"Liechtenstein")</f>
        <v>Liechtenstein</v>
      </c>
      <c r="N143" s="94">
        <f>IFERROR(__xludf.DUMMYFUNCTION("""COMPUTED_VALUE"""),40513.0)</f>
        <v>40513</v>
      </c>
      <c r="O143" s="46">
        <f>IFERROR(__xludf.DUMMYFUNCTION("""COMPUTED_VALUE"""),1.0)</f>
        <v>1</v>
      </c>
      <c r="P143" s="46">
        <f>IFERROR(__xludf.DUMMYFUNCTION("""COMPUTED_VALUE"""),50.0)</f>
        <v>50</v>
      </c>
      <c r="Q143" s="46">
        <f>IFERROR(__xludf.DUMMYFUNCTION("""COMPUTED_VALUE"""),10285.0)</f>
        <v>10285</v>
      </c>
      <c r="R143" s="46">
        <f>IFERROR(__xludf.DUMMYFUNCTION("""COMPUTED_VALUE"""),5855.5)</f>
        <v>5855.5</v>
      </c>
      <c r="S143" s="46">
        <f>IFERROR(__xludf.DUMMYFUNCTION("""COMPUTED_VALUE"""),4429.5)</f>
        <v>4429.5</v>
      </c>
    </row>
    <row r="144">
      <c r="A144" s="46" t="str">
        <f>IFERROR(__xludf.DUMMYFUNCTION("""COMPUTED_VALUE"""),"Fruits")</f>
        <v>Fruits</v>
      </c>
      <c r="B144" s="46" t="str">
        <f>IFERROR(__xludf.DUMMYFUNCTION("""COMPUTED_VALUE"""),"Romania")</f>
        <v>Romania</v>
      </c>
      <c r="C144" s="46" t="str">
        <f>IFERROR(__xludf.DUMMYFUNCTION("""COMPUTED_VALUE"""),"Europe")</f>
        <v>Europe</v>
      </c>
      <c r="D144" s="90">
        <f>IFERROR(__xludf.DUMMYFUNCTION("""COMPUTED_VALUE"""),42644.0)</f>
        <v>42644</v>
      </c>
      <c r="E144" s="46">
        <f>IFERROR(__xludf.DUMMYFUNCTION("""COMPUTED_VALUE"""),2016.0)</f>
        <v>2016</v>
      </c>
      <c r="F144" s="46">
        <f>IFERROR(__xludf.DUMMYFUNCTION("""COMPUTED_VALUE"""),1.0)</f>
        <v>1</v>
      </c>
      <c r="G144" s="46">
        <f>IFERROR(__xludf.DUMMYFUNCTION("""COMPUTED_VALUE"""),6411.0)</f>
        <v>6411</v>
      </c>
      <c r="H144" s="46">
        <f>IFERROR(__xludf.DUMMYFUNCTION("""COMPUTED_VALUE"""),59814.63)</f>
        <v>59814.63</v>
      </c>
      <c r="I144" s="46">
        <f>IFERROR(__xludf.DUMMYFUNCTION("""COMPUTED_VALUE"""),44364.12)</f>
        <v>44364.12</v>
      </c>
      <c r="J144" s="46">
        <f>IFERROR(__xludf.DUMMYFUNCTION("""COMPUTED_VALUE"""),15450.509999999995)</f>
        <v>15450.51</v>
      </c>
      <c r="K144" s="46" t="str">
        <f t="array" ref="K144">TEXT(D144, "mmmm")</f>
        <v>October</v>
      </c>
      <c r="M144" s="46" t="str">
        <f>IFERROR(__xludf.DUMMYFUNCTION("""COMPUTED_VALUE"""),"Luxembourg")</f>
        <v>Luxembourg</v>
      </c>
      <c r="N144" s="94">
        <f>IFERROR(__xludf.DUMMYFUNCTION("""COMPUTED_VALUE"""),40513.0)</f>
        <v>40513</v>
      </c>
      <c r="O144" s="46">
        <f>IFERROR(__xludf.DUMMYFUNCTION("""COMPUTED_VALUE"""),1.0)</f>
        <v>1</v>
      </c>
      <c r="P144" s="46">
        <f>IFERROR(__xludf.DUMMYFUNCTION("""COMPUTED_VALUE"""),4657.0)</f>
        <v>4657</v>
      </c>
      <c r="Q144" s="46">
        <f>IFERROR(__xludf.DUMMYFUNCTION("""COMPUTED_VALUE"""),1964741.73)</f>
        <v>1964741.73</v>
      </c>
      <c r="R144" s="46">
        <f>IFERROR(__xludf.DUMMYFUNCTION("""COMPUTED_VALUE"""),1698361.33)</f>
        <v>1698361.33</v>
      </c>
      <c r="S144" s="46">
        <f>IFERROR(__xludf.DUMMYFUNCTION("""COMPUTED_VALUE"""),266380.3999999999)</f>
        <v>266380.4</v>
      </c>
    </row>
    <row r="145">
      <c r="A145" s="46" t="str">
        <f>IFERROR(__xludf.DUMMYFUNCTION("""COMPUTED_VALUE"""),"Meat")</f>
        <v>Meat</v>
      </c>
      <c r="B145" s="46" t="str">
        <f>IFERROR(__xludf.DUMMYFUNCTION("""COMPUTED_VALUE"""),"Armenia")</f>
        <v>Armenia</v>
      </c>
      <c r="C145" s="46" t="str">
        <f>IFERROR(__xludf.DUMMYFUNCTION("""COMPUTED_VALUE"""),"Asia")</f>
        <v>Asia</v>
      </c>
      <c r="D145" s="90">
        <f>IFERROR(__xludf.DUMMYFUNCTION("""COMPUTED_VALUE"""),42644.0)</f>
        <v>42644</v>
      </c>
      <c r="E145" s="46">
        <f>IFERROR(__xludf.DUMMYFUNCTION("""COMPUTED_VALUE"""),2016.0)</f>
        <v>2016</v>
      </c>
      <c r="F145" s="46">
        <f>IFERROR(__xludf.DUMMYFUNCTION("""COMPUTED_VALUE"""),1.0)</f>
        <v>1</v>
      </c>
      <c r="G145" s="46">
        <f>IFERROR(__xludf.DUMMYFUNCTION("""COMPUTED_VALUE"""),342.0)</f>
        <v>342</v>
      </c>
      <c r="H145" s="46">
        <f>IFERROR(__xludf.DUMMYFUNCTION("""COMPUTED_VALUE"""),144286.38)</f>
        <v>144286.38</v>
      </c>
      <c r="I145" s="46">
        <f>IFERROR(__xludf.DUMMYFUNCTION("""COMPUTED_VALUE"""),124723.98)</f>
        <v>124723.98</v>
      </c>
      <c r="J145" s="46">
        <f>IFERROR(__xludf.DUMMYFUNCTION("""COMPUTED_VALUE"""),19562.40000000001)</f>
        <v>19562.4</v>
      </c>
      <c r="K145" s="46" t="str">
        <f t="array" ref="K145">TEXT(D145, "mmmm")</f>
        <v>October</v>
      </c>
      <c r="M145" s="46" t="str">
        <f>IFERROR(__xludf.DUMMYFUNCTION("""COMPUTED_VALUE"""),"Macedonia")</f>
        <v>Macedonia</v>
      </c>
      <c r="N145" s="94">
        <f>IFERROR(__xludf.DUMMYFUNCTION("""COMPUTED_VALUE"""),40513.0)</f>
        <v>40513</v>
      </c>
      <c r="O145" s="46">
        <f>IFERROR(__xludf.DUMMYFUNCTION("""COMPUTED_VALUE"""),2.0)</f>
        <v>2</v>
      </c>
      <c r="P145" s="46">
        <f>IFERROR(__xludf.DUMMYFUNCTION("""COMPUTED_VALUE"""),9483.0)</f>
        <v>9483</v>
      </c>
      <c r="Q145" s="46">
        <f>IFERROR(__xludf.DUMMYFUNCTION("""COMPUTED_VALUE"""),460295.42)</f>
        <v>460295.42</v>
      </c>
      <c r="R145" s="46">
        <f>IFERROR(__xludf.DUMMYFUNCTION("""COMPUTED_VALUE"""),288442.64999999997)</f>
        <v>288442.65</v>
      </c>
      <c r="S145" s="46">
        <f>IFERROR(__xludf.DUMMYFUNCTION("""COMPUTED_VALUE"""),171852.77)</f>
        <v>171852.77</v>
      </c>
    </row>
    <row r="146">
      <c r="A146" s="46" t="str">
        <f>IFERROR(__xludf.DUMMYFUNCTION("""COMPUTED_VALUE"""),"Vegetables")</f>
        <v>Vegetables</v>
      </c>
      <c r="B146" s="46" t="str">
        <f>IFERROR(__xludf.DUMMYFUNCTION("""COMPUTED_VALUE"""),"Andorra")</f>
        <v>Andorra</v>
      </c>
      <c r="C146" s="46" t="str">
        <f>IFERROR(__xludf.DUMMYFUNCTION("""COMPUTED_VALUE"""),"Europe")</f>
        <v>Europe</v>
      </c>
      <c r="D146" s="90">
        <f>IFERROR(__xludf.DUMMYFUNCTION("""COMPUTED_VALUE"""),42644.0)</f>
        <v>42644</v>
      </c>
      <c r="E146" s="46">
        <f>IFERROR(__xludf.DUMMYFUNCTION("""COMPUTED_VALUE"""),2016.0)</f>
        <v>2016</v>
      </c>
      <c r="F146" s="46">
        <f>IFERROR(__xludf.DUMMYFUNCTION("""COMPUTED_VALUE"""),1.0)</f>
        <v>1</v>
      </c>
      <c r="G146" s="46">
        <f>IFERROR(__xludf.DUMMYFUNCTION("""COMPUTED_VALUE"""),5529.0)</f>
        <v>5529</v>
      </c>
      <c r="H146" s="46">
        <f>IFERROR(__xludf.DUMMYFUNCTION("""COMPUTED_VALUE"""),851797.74)</f>
        <v>851797.74</v>
      </c>
      <c r="I146" s="46">
        <f>IFERROR(__xludf.DUMMYFUNCTION("""COMPUTED_VALUE"""),502751.97000000003)</f>
        <v>502751.97</v>
      </c>
      <c r="J146" s="46">
        <f>IFERROR(__xludf.DUMMYFUNCTION("""COMPUTED_VALUE"""),349045.76999999996)</f>
        <v>349045.77</v>
      </c>
      <c r="K146" s="46" t="str">
        <f t="array" ref="K146">TEXT(D146, "mmmm")</f>
        <v>October</v>
      </c>
      <c r="M146" s="46" t="str">
        <f>IFERROR(__xludf.DUMMYFUNCTION("""COMPUTED_VALUE"""),"Russia")</f>
        <v>Russia</v>
      </c>
      <c r="N146" s="94">
        <f>IFERROR(__xludf.DUMMYFUNCTION("""COMPUTED_VALUE"""),40513.0)</f>
        <v>40513</v>
      </c>
      <c r="O146" s="46">
        <f>IFERROR(__xludf.DUMMYFUNCTION("""COMPUTED_VALUE"""),2.0)</f>
        <v>2</v>
      </c>
      <c r="P146" s="46">
        <f>IFERROR(__xludf.DUMMYFUNCTION("""COMPUTED_VALUE"""),17040.0)</f>
        <v>17040</v>
      </c>
      <c r="Q146" s="46">
        <f>IFERROR(__xludf.DUMMYFUNCTION("""COMPUTED_VALUE"""),9401484.96)</f>
        <v>9401484.96</v>
      </c>
      <c r="R146" s="46">
        <f>IFERROR(__xludf.DUMMYFUNCTION("""COMPUTED_VALUE"""),7760602.5600000005)</f>
        <v>7760602.56</v>
      </c>
      <c r="S146" s="46">
        <f>IFERROR(__xludf.DUMMYFUNCTION("""COMPUTED_VALUE"""),1640882.4)</f>
        <v>1640882.4</v>
      </c>
    </row>
    <row r="147">
      <c r="A147" s="46" t="str">
        <f>IFERROR(__xludf.DUMMYFUNCTION("""COMPUTED_VALUE"""),"Vegetables")</f>
        <v>Vegetables</v>
      </c>
      <c r="B147" s="46" t="str">
        <f>IFERROR(__xludf.DUMMYFUNCTION("""COMPUTED_VALUE"""),"Latvia")</f>
        <v>Latvia</v>
      </c>
      <c r="C147" s="46" t="str">
        <f>IFERROR(__xludf.DUMMYFUNCTION("""COMPUTED_VALUE"""),"Europe")</f>
        <v>Europe</v>
      </c>
      <c r="D147" s="90">
        <f>IFERROR(__xludf.DUMMYFUNCTION("""COMPUTED_VALUE"""),42644.0)</f>
        <v>42644</v>
      </c>
      <c r="E147" s="46">
        <f>IFERROR(__xludf.DUMMYFUNCTION("""COMPUTED_VALUE"""),2016.0)</f>
        <v>2016</v>
      </c>
      <c r="F147" s="46">
        <f>IFERROR(__xludf.DUMMYFUNCTION("""COMPUTED_VALUE"""),1.0)</f>
        <v>1</v>
      </c>
      <c r="G147" s="46">
        <f>IFERROR(__xludf.DUMMYFUNCTION("""COMPUTED_VALUE"""),3519.0)</f>
        <v>3519</v>
      </c>
      <c r="H147" s="46">
        <f>IFERROR(__xludf.DUMMYFUNCTION("""COMPUTED_VALUE"""),542137.14)</f>
        <v>542137.14</v>
      </c>
      <c r="I147" s="46">
        <f>IFERROR(__xludf.DUMMYFUNCTION("""COMPUTED_VALUE"""),319982.67000000004)</f>
        <v>319982.67</v>
      </c>
      <c r="J147" s="46">
        <f>IFERROR(__xludf.DUMMYFUNCTION("""COMPUTED_VALUE"""),222154.46999999997)</f>
        <v>222154.47</v>
      </c>
      <c r="K147" s="46" t="str">
        <f t="array" ref="K147">TEXT(D147, "mmmm")</f>
        <v>October</v>
      </c>
      <c r="M147" s="46" t="str">
        <f>IFERROR(__xludf.DUMMYFUNCTION("""COMPUTED_VALUE"""),"Spain")</f>
        <v>Spain</v>
      </c>
      <c r="N147" s="94">
        <f>IFERROR(__xludf.DUMMYFUNCTION("""COMPUTED_VALUE"""),40513.0)</f>
        <v>40513</v>
      </c>
      <c r="O147" s="46">
        <f>IFERROR(__xludf.DUMMYFUNCTION("""COMPUTED_VALUE"""),2.0)</f>
        <v>2</v>
      </c>
      <c r="P147" s="46">
        <f>IFERROR(__xludf.DUMMYFUNCTION("""COMPUTED_VALUE"""),17687.0)</f>
        <v>17687</v>
      </c>
      <c r="Q147" s="46">
        <f>IFERROR(__xludf.DUMMYFUNCTION("""COMPUTED_VALUE"""),3147584.26)</f>
        <v>3147584.26</v>
      </c>
      <c r="R147" s="46">
        <f>IFERROR(__xludf.DUMMYFUNCTION("""COMPUTED_VALUE"""),1822588.3900000001)</f>
        <v>1822588.39</v>
      </c>
      <c r="S147" s="46">
        <f>IFERROR(__xludf.DUMMYFUNCTION("""COMPUTED_VALUE"""),1324995.87)</f>
        <v>1324995.87</v>
      </c>
    </row>
    <row r="148">
      <c r="A148" s="46" t="str">
        <f>IFERROR(__xludf.DUMMYFUNCTION("""COMPUTED_VALUE"""),"Vegetables")</f>
        <v>Vegetables</v>
      </c>
      <c r="B148" s="46" t="str">
        <f>IFERROR(__xludf.DUMMYFUNCTION("""COMPUTED_VALUE"""),"Switzerland")</f>
        <v>Switzerland</v>
      </c>
      <c r="C148" s="46" t="str">
        <f>IFERROR(__xludf.DUMMYFUNCTION("""COMPUTED_VALUE"""),"Europe")</f>
        <v>Europe</v>
      </c>
      <c r="D148" s="90">
        <f>IFERROR(__xludf.DUMMYFUNCTION("""COMPUTED_VALUE"""),42644.0)</f>
        <v>42644</v>
      </c>
      <c r="E148" s="46">
        <f>IFERROR(__xludf.DUMMYFUNCTION("""COMPUTED_VALUE"""),2016.0)</f>
        <v>2016</v>
      </c>
      <c r="F148" s="46">
        <f>IFERROR(__xludf.DUMMYFUNCTION("""COMPUTED_VALUE"""),1.0)</f>
        <v>1</v>
      </c>
      <c r="G148" s="46">
        <f>IFERROR(__xludf.DUMMYFUNCTION("""COMPUTED_VALUE"""),244.0)</f>
        <v>244</v>
      </c>
      <c r="H148" s="46">
        <f>IFERROR(__xludf.DUMMYFUNCTION("""COMPUTED_VALUE"""),37590.64)</f>
        <v>37590.64</v>
      </c>
      <c r="I148" s="46">
        <f>IFERROR(__xludf.DUMMYFUNCTION("""COMPUTED_VALUE"""),22186.920000000002)</f>
        <v>22186.92</v>
      </c>
      <c r="J148" s="46">
        <f>IFERROR(__xludf.DUMMYFUNCTION("""COMPUTED_VALUE"""),15403.719999999998)</f>
        <v>15403.72</v>
      </c>
      <c r="K148" s="46" t="str">
        <f t="array" ref="K148">TEXT(D148, "mmmm")</f>
        <v>October</v>
      </c>
      <c r="M148" s="46" t="str">
        <f>IFERROR(__xludf.DUMMYFUNCTION("""COMPUTED_VALUE"""),"Belarus")</f>
        <v>Belarus</v>
      </c>
      <c r="N148" s="94">
        <f>IFERROR(__xludf.DUMMYFUNCTION("""COMPUTED_VALUE"""),40544.0)</f>
        <v>40544</v>
      </c>
      <c r="O148" s="46">
        <f>IFERROR(__xludf.DUMMYFUNCTION("""COMPUTED_VALUE"""),1.0)</f>
        <v>1</v>
      </c>
      <c r="P148" s="46">
        <f>IFERROR(__xludf.DUMMYFUNCTION("""COMPUTED_VALUE"""),6740.0)</f>
        <v>6740</v>
      </c>
      <c r="Q148" s="46">
        <f>IFERROR(__xludf.DUMMYFUNCTION("""COMPUTED_VALUE"""),1038364.4)</f>
        <v>1038364.4</v>
      </c>
      <c r="R148" s="46">
        <f>IFERROR(__xludf.DUMMYFUNCTION("""COMPUTED_VALUE"""),612868.2000000001)</f>
        <v>612868.2</v>
      </c>
      <c r="S148" s="46">
        <f>IFERROR(__xludf.DUMMYFUNCTION("""COMPUTED_VALUE"""),425496.19999999995)</f>
        <v>425496.2</v>
      </c>
    </row>
    <row r="149">
      <c r="A149" s="46" t="str">
        <f>IFERROR(__xludf.DUMMYFUNCTION("""COMPUTED_VALUE"""),"Baby Food")</f>
        <v>Baby Food</v>
      </c>
      <c r="B149" s="46" t="str">
        <f>IFERROR(__xludf.DUMMYFUNCTION("""COMPUTED_VALUE"""),"Denmark")</f>
        <v>Denmark</v>
      </c>
      <c r="C149" s="46" t="str">
        <f>IFERROR(__xludf.DUMMYFUNCTION("""COMPUTED_VALUE"""),"Europe")</f>
        <v>Europe</v>
      </c>
      <c r="D149" s="90">
        <f>IFERROR(__xludf.DUMMYFUNCTION("""COMPUTED_VALUE"""),42614.0)</f>
        <v>42614</v>
      </c>
      <c r="E149" s="46">
        <f>IFERROR(__xludf.DUMMYFUNCTION("""COMPUTED_VALUE"""),2016.0)</f>
        <v>2016</v>
      </c>
      <c r="F149" s="46">
        <f>IFERROR(__xludf.DUMMYFUNCTION("""COMPUTED_VALUE"""),1.0)</f>
        <v>1</v>
      </c>
      <c r="G149" s="46">
        <f>IFERROR(__xludf.DUMMYFUNCTION("""COMPUTED_VALUE"""),1279.0)</f>
        <v>1279</v>
      </c>
      <c r="H149" s="46">
        <f>IFERROR(__xludf.DUMMYFUNCTION("""COMPUTED_VALUE"""),326503.12)</f>
        <v>326503.12</v>
      </c>
      <c r="I149" s="46">
        <f>IFERROR(__xludf.DUMMYFUNCTION("""COMPUTED_VALUE"""),203898.18)</f>
        <v>203898.18</v>
      </c>
      <c r="J149" s="46">
        <f>IFERROR(__xludf.DUMMYFUNCTION("""COMPUTED_VALUE"""),122604.94)</f>
        <v>122604.94</v>
      </c>
      <c r="K149" s="46" t="str">
        <f t="array" ref="K149">TEXT(D149, "mmmm")</f>
        <v>September</v>
      </c>
      <c r="M149" s="46" t="str">
        <f>IFERROR(__xludf.DUMMYFUNCTION("""COMPUTED_VALUE"""),"Germany")</f>
        <v>Germany</v>
      </c>
      <c r="N149" s="94">
        <f>IFERROR(__xludf.DUMMYFUNCTION("""COMPUTED_VALUE"""),40544.0)</f>
        <v>40544</v>
      </c>
      <c r="O149" s="46">
        <f>IFERROR(__xludf.DUMMYFUNCTION("""COMPUTED_VALUE"""),1.0)</f>
        <v>1</v>
      </c>
      <c r="P149" s="46">
        <f>IFERROR(__xludf.DUMMYFUNCTION("""COMPUTED_VALUE"""),7315.0)</f>
        <v>7315</v>
      </c>
      <c r="Q149" s="46">
        <f>IFERROR(__xludf.DUMMYFUNCTION("""COMPUTED_VALUE"""),1504695.5)</f>
        <v>1504695.5</v>
      </c>
      <c r="R149" s="46">
        <f>IFERROR(__xludf.DUMMYFUNCTION("""COMPUTED_VALUE"""),856659.65)</f>
        <v>856659.65</v>
      </c>
      <c r="S149" s="46">
        <f>IFERROR(__xludf.DUMMYFUNCTION("""COMPUTED_VALUE"""),648035.85)</f>
        <v>648035.85</v>
      </c>
    </row>
    <row r="150">
      <c r="A150" s="46" t="str">
        <f>IFERROR(__xludf.DUMMYFUNCTION("""COMPUTED_VALUE"""),"Baby Food")</f>
        <v>Baby Food</v>
      </c>
      <c r="B150" s="46" t="str">
        <f>IFERROR(__xludf.DUMMYFUNCTION("""COMPUTED_VALUE"""),"Macedonia")</f>
        <v>Macedonia</v>
      </c>
      <c r="C150" s="46" t="str">
        <f>IFERROR(__xludf.DUMMYFUNCTION("""COMPUTED_VALUE"""),"Europe")</f>
        <v>Europe</v>
      </c>
      <c r="D150" s="90">
        <f>IFERROR(__xludf.DUMMYFUNCTION("""COMPUTED_VALUE"""),42614.0)</f>
        <v>42614</v>
      </c>
      <c r="E150" s="46">
        <f>IFERROR(__xludf.DUMMYFUNCTION("""COMPUTED_VALUE"""),2016.0)</f>
        <v>2016</v>
      </c>
      <c r="F150" s="46">
        <f>IFERROR(__xludf.DUMMYFUNCTION("""COMPUTED_VALUE"""),1.0)</f>
        <v>1</v>
      </c>
      <c r="G150" s="46">
        <f>IFERROR(__xludf.DUMMYFUNCTION("""COMPUTED_VALUE"""),3578.0)</f>
        <v>3578</v>
      </c>
      <c r="H150" s="46">
        <f>IFERROR(__xludf.DUMMYFUNCTION("""COMPUTED_VALUE"""),913391.84)</f>
        <v>913391.84</v>
      </c>
      <c r="I150" s="46">
        <f>IFERROR(__xludf.DUMMYFUNCTION("""COMPUTED_VALUE"""),570404.76)</f>
        <v>570404.76</v>
      </c>
      <c r="J150" s="46">
        <f>IFERROR(__xludf.DUMMYFUNCTION("""COMPUTED_VALUE"""),342987.07999999996)</f>
        <v>342987.08</v>
      </c>
      <c r="K150" s="46" t="str">
        <f t="array" ref="K150">TEXT(D150, "mmmm")</f>
        <v>September</v>
      </c>
      <c r="M150" s="46" t="str">
        <f>IFERROR(__xludf.DUMMYFUNCTION("""COMPUTED_VALUE"""),"Greece")</f>
        <v>Greece</v>
      </c>
      <c r="N150" s="94">
        <f>IFERROR(__xludf.DUMMYFUNCTION("""COMPUTED_VALUE"""),40544.0)</f>
        <v>40544</v>
      </c>
      <c r="O150" s="46">
        <f>IFERROR(__xludf.DUMMYFUNCTION("""COMPUTED_VALUE"""),1.0)</f>
        <v>1</v>
      </c>
      <c r="P150" s="46">
        <f>IFERROR(__xludf.DUMMYFUNCTION("""COMPUTED_VALUE"""),4046.0)</f>
        <v>4046</v>
      </c>
      <c r="Q150" s="46">
        <f>IFERROR(__xludf.DUMMYFUNCTION("""COMPUTED_VALUE"""),623326.76)</f>
        <v>623326.76</v>
      </c>
      <c r="R150" s="46">
        <f>IFERROR(__xludf.DUMMYFUNCTION("""COMPUTED_VALUE"""),367902.78)</f>
        <v>367902.78</v>
      </c>
      <c r="S150" s="46">
        <f>IFERROR(__xludf.DUMMYFUNCTION("""COMPUTED_VALUE"""),255423.97999999998)</f>
        <v>255423.98</v>
      </c>
    </row>
    <row r="151">
      <c r="A151" s="46" t="str">
        <f>IFERROR(__xludf.DUMMYFUNCTION("""COMPUTED_VALUE"""),"Beverages")</f>
        <v>Beverages</v>
      </c>
      <c r="B151" s="46" t="str">
        <f>IFERROR(__xludf.DUMMYFUNCTION("""COMPUTED_VALUE"""),"Ireland")</f>
        <v>Ireland</v>
      </c>
      <c r="C151" s="46" t="str">
        <f>IFERROR(__xludf.DUMMYFUNCTION("""COMPUTED_VALUE"""),"Europe")</f>
        <v>Europe</v>
      </c>
      <c r="D151" s="90">
        <f>IFERROR(__xludf.DUMMYFUNCTION("""COMPUTED_VALUE"""),42614.0)</f>
        <v>42614</v>
      </c>
      <c r="E151" s="46">
        <f>IFERROR(__xludf.DUMMYFUNCTION("""COMPUTED_VALUE"""),2016.0)</f>
        <v>2016</v>
      </c>
      <c r="F151" s="46">
        <f>IFERROR(__xludf.DUMMYFUNCTION("""COMPUTED_VALUE"""),1.0)</f>
        <v>1</v>
      </c>
      <c r="G151" s="46">
        <f>IFERROR(__xludf.DUMMYFUNCTION("""COMPUTED_VALUE"""),4606.0)</f>
        <v>4606</v>
      </c>
      <c r="H151" s="46">
        <f>IFERROR(__xludf.DUMMYFUNCTION("""COMPUTED_VALUE"""),218554.7)</f>
        <v>218554.7</v>
      </c>
      <c r="I151" s="46">
        <f>IFERROR(__xludf.DUMMYFUNCTION("""COMPUTED_VALUE"""),146424.74)</f>
        <v>146424.74</v>
      </c>
      <c r="J151" s="46">
        <f>IFERROR(__xludf.DUMMYFUNCTION("""COMPUTED_VALUE"""),72129.96000000002)</f>
        <v>72129.96</v>
      </c>
      <c r="K151" s="46" t="str">
        <f t="array" ref="K151">TEXT(D151, "mmmm")</f>
        <v>September</v>
      </c>
      <c r="M151" s="46" t="str">
        <f>IFERROR(__xludf.DUMMYFUNCTION("""COMPUTED_VALUE"""),"Hungary")</f>
        <v>Hungary</v>
      </c>
      <c r="N151" s="94">
        <f>IFERROR(__xludf.DUMMYFUNCTION("""COMPUTED_VALUE"""),40544.0)</f>
        <v>40544</v>
      </c>
      <c r="O151" s="46">
        <f>IFERROR(__xludf.DUMMYFUNCTION("""COMPUTED_VALUE"""),1.0)</f>
        <v>1</v>
      </c>
      <c r="P151" s="46">
        <f>IFERROR(__xludf.DUMMYFUNCTION("""COMPUTED_VALUE"""),9968.0)</f>
        <v>9968</v>
      </c>
      <c r="Q151" s="46">
        <f>IFERROR(__xludf.DUMMYFUNCTION("""COMPUTED_VALUE"""),2544631.04)</f>
        <v>2544631.04</v>
      </c>
      <c r="R151" s="46">
        <f>IFERROR(__xludf.DUMMYFUNCTION("""COMPUTED_VALUE"""),1589098.5599999998)</f>
        <v>1589098.56</v>
      </c>
      <c r="S151" s="46">
        <f>IFERROR(__xludf.DUMMYFUNCTION("""COMPUTED_VALUE"""),955532.4800000002)</f>
        <v>955532.48</v>
      </c>
    </row>
    <row r="152">
      <c r="A152" s="46" t="str">
        <f>IFERROR(__xludf.DUMMYFUNCTION("""COMPUTED_VALUE"""),"Beverages")</f>
        <v>Beverages</v>
      </c>
      <c r="B152" s="46" t="str">
        <f>IFERROR(__xludf.DUMMYFUNCTION("""COMPUTED_VALUE"""),"Liechtenstein")</f>
        <v>Liechtenstein</v>
      </c>
      <c r="C152" s="46" t="str">
        <f>IFERROR(__xludf.DUMMYFUNCTION("""COMPUTED_VALUE"""),"Europe")</f>
        <v>Europe</v>
      </c>
      <c r="D152" s="90">
        <f>IFERROR(__xludf.DUMMYFUNCTION("""COMPUTED_VALUE"""),42614.0)</f>
        <v>42614</v>
      </c>
      <c r="E152" s="46">
        <f>IFERROR(__xludf.DUMMYFUNCTION("""COMPUTED_VALUE"""),2016.0)</f>
        <v>2016</v>
      </c>
      <c r="F152" s="46">
        <f>IFERROR(__xludf.DUMMYFUNCTION("""COMPUTED_VALUE"""),1.0)</f>
        <v>1</v>
      </c>
      <c r="G152" s="46">
        <f>IFERROR(__xludf.DUMMYFUNCTION("""COMPUTED_VALUE"""),840.0)</f>
        <v>840</v>
      </c>
      <c r="H152" s="46">
        <f>IFERROR(__xludf.DUMMYFUNCTION("""COMPUTED_VALUE"""),39858.0)</f>
        <v>39858</v>
      </c>
      <c r="I152" s="46">
        <f>IFERROR(__xludf.DUMMYFUNCTION("""COMPUTED_VALUE"""),26703.6)</f>
        <v>26703.6</v>
      </c>
      <c r="J152" s="46">
        <f>IFERROR(__xludf.DUMMYFUNCTION("""COMPUTED_VALUE"""),13154.400000000001)</f>
        <v>13154.4</v>
      </c>
      <c r="K152" s="46" t="str">
        <f t="array" ref="K152">TEXT(D152, "mmmm")</f>
        <v>September</v>
      </c>
      <c r="M152" s="46" t="str">
        <f>IFERROR(__xludf.DUMMYFUNCTION("""COMPUTED_VALUE"""),"Iceland")</f>
        <v>Iceland</v>
      </c>
      <c r="N152" s="94">
        <f>IFERROR(__xludf.DUMMYFUNCTION("""COMPUTED_VALUE"""),40544.0)</f>
        <v>40544</v>
      </c>
      <c r="O152" s="46">
        <f>IFERROR(__xludf.DUMMYFUNCTION("""COMPUTED_VALUE"""),1.0)</f>
        <v>1</v>
      </c>
      <c r="P152" s="46">
        <f>IFERROR(__xludf.DUMMYFUNCTION("""COMPUTED_VALUE"""),342.0)</f>
        <v>342</v>
      </c>
      <c r="Q152" s="46">
        <f>IFERROR(__xludf.DUMMYFUNCTION("""COMPUTED_VALUE"""),149522.4)</f>
        <v>149522.4</v>
      </c>
      <c r="R152" s="46">
        <f>IFERROR(__xludf.DUMMYFUNCTION("""COMPUTED_VALUE"""),90058.86)</f>
        <v>90058.86</v>
      </c>
      <c r="S152" s="46">
        <f>IFERROR(__xludf.DUMMYFUNCTION("""COMPUTED_VALUE"""),59463.53999999999)</f>
        <v>59463.54</v>
      </c>
    </row>
    <row r="153">
      <c r="A153" s="46" t="str">
        <f>IFERROR(__xludf.DUMMYFUNCTION("""COMPUTED_VALUE"""),"Clothes")</f>
        <v>Clothes</v>
      </c>
      <c r="B153" s="46" t="str">
        <f>IFERROR(__xludf.DUMMYFUNCTION("""COMPUTED_VALUE"""),"Belgium")</f>
        <v>Belgium</v>
      </c>
      <c r="C153" s="46" t="str">
        <f>IFERROR(__xludf.DUMMYFUNCTION("""COMPUTED_VALUE"""),"Europe")</f>
        <v>Europe</v>
      </c>
      <c r="D153" s="90">
        <f>IFERROR(__xludf.DUMMYFUNCTION("""COMPUTED_VALUE"""),42614.0)</f>
        <v>42614</v>
      </c>
      <c r="E153" s="46">
        <f>IFERROR(__xludf.DUMMYFUNCTION("""COMPUTED_VALUE"""),2016.0)</f>
        <v>2016</v>
      </c>
      <c r="F153" s="46">
        <f>IFERROR(__xludf.DUMMYFUNCTION("""COMPUTED_VALUE"""),1.0)</f>
        <v>1</v>
      </c>
      <c r="G153" s="46">
        <f>IFERROR(__xludf.DUMMYFUNCTION("""COMPUTED_VALUE"""),8181.0)</f>
        <v>8181</v>
      </c>
      <c r="H153" s="46">
        <f>IFERROR(__xludf.DUMMYFUNCTION("""COMPUTED_VALUE"""),894019.68)</f>
        <v>894019.68</v>
      </c>
      <c r="I153" s="46">
        <f>IFERROR(__xludf.DUMMYFUNCTION("""COMPUTED_VALUE"""),293207.04000000004)</f>
        <v>293207.04</v>
      </c>
      <c r="J153" s="46">
        <f>IFERROR(__xludf.DUMMYFUNCTION("""COMPUTED_VALUE"""),600812.64)</f>
        <v>600812.64</v>
      </c>
      <c r="K153" s="46" t="str">
        <f t="array" ref="K153">TEXT(D153, "mmmm")</f>
        <v>September</v>
      </c>
      <c r="M153" s="46" t="str">
        <f>IFERROR(__xludf.DUMMYFUNCTION("""COMPUTED_VALUE"""),"Ireland")</f>
        <v>Ireland</v>
      </c>
      <c r="N153" s="94">
        <f>IFERROR(__xludf.DUMMYFUNCTION("""COMPUTED_VALUE"""),40544.0)</f>
        <v>40544</v>
      </c>
      <c r="O153" s="46">
        <f>IFERROR(__xludf.DUMMYFUNCTION("""COMPUTED_VALUE"""),2.0)</f>
        <v>2</v>
      </c>
      <c r="P153" s="46">
        <f>IFERROR(__xludf.DUMMYFUNCTION("""COMPUTED_VALUE"""),8102.0)</f>
        <v>8102</v>
      </c>
      <c r="Q153" s="46">
        <f>IFERROR(__xludf.DUMMYFUNCTION("""COMPUTED_VALUE"""),3808850.86)</f>
        <v>3808850.86</v>
      </c>
      <c r="R153" s="46">
        <f>IFERROR(__xludf.DUMMYFUNCTION("""COMPUTED_VALUE"""),2459490.64)</f>
        <v>2459490.64</v>
      </c>
      <c r="S153" s="46">
        <f>IFERROR(__xludf.DUMMYFUNCTION("""COMPUTED_VALUE"""),1349360.2199999997)</f>
        <v>1349360.22</v>
      </c>
    </row>
    <row r="154">
      <c r="A154" s="46" t="str">
        <f>IFERROR(__xludf.DUMMYFUNCTION("""COMPUTED_VALUE"""),"Clothes")</f>
        <v>Clothes</v>
      </c>
      <c r="B154" s="46" t="str">
        <f>IFERROR(__xludf.DUMMYFUNCTION("""COMPUTED_VALUE"""),"Ukraine")</f>
        <v>Ukraine</v>
      </c>
      <c r="C154" s="46" t="str">
        <f>IFERROR(__xludf.DUMMYFUNCTION("""COMPUTED_VALUE"""),"Europe")</f>
        <v>Europe</v>
      </c>
      <c r="D154" s="90">
        <f>IFERROR(__xludf.DUMMYFUNCTION("""COMPUTED_VALUE"""),42614.0)</f>
        <v>42614</v>
      </c>
      <c r="E154" s="46">
        <f>IFERROR(__xludf.DUMMYFUNCTION("""COMPUTED_VALUE"""),2016.0)</f>
        <v>2016</v>
      </c>
      <c r="F154" s="46">
        <f>IFERROR(__xludf.DUMMYFUNCTION("""COMPUTED_VALUE"""),1.0)</f>
        <v>1</v>
      </c>
      <c r="G154" s="46">
        <f>IFERROR(__xludf.DUMMYFUNCTION("""COMPUTED_VALUE"""),5382.0)</f>
        <v>5382</v>
      </c>
      <c r="H154" s="46">
        <f>IFERROR(__xludf.DUMMYFUNCTION("""COMPUTED_VALUE"""),588144.96)</f>
        <v>588144.96</v>
      </c>
      <c r="I154" s="46">
        <f>IFERROR(__xludf.DUMMYFUNCTION("""COMPUTED_VALUE"""),192890.88)</f>
        <v>192890.88</v>
      </c>
      <c r="J154" s="46">
        <f>IFERROR(__xludf.DUMMYFUNCTION("""COMPUTED_VALUE"""),395254.07999999996)</f>
        <v>395254.08</v>
      </c>
      <c r="K154" s="46" t="str">
        <f t="array" ref="K154">TEXT(D154, "mmmm")</f>
        <v>September</v>
      </c>
      <c r="M154" s="46" t="str">
        <f>IFERROR(__xludf.DUMMYFUNCTION("""COMPUTED_VALUE"""),"Italy")</f>
        <v>Italy</v>
      </c>
      <c r="N154" s="94">
        <f>IFERROR(__xludf.DUMMYFUNCTION("""COMPUTED_VALUE"""),40544.0)</f>
        <v>40544</v>
      </c>
      <c r="O154" s="46">
        <f>IFERROR(__xludf.DUMMYFUNCTION("""COMPUTED_VALUE"""),1.0)</f>
        <v>1</v>
      </c>
      <c r="P154" s="46">
        <f>IFERROR(__xludf.DUMMYFUNCTION("""COMPUTED_VALUE"""),7458.0)</f>
        <v>7458</v>
      </c>
      <c r="Q154" s="46">
        <f>IFERROR(__xludf.DUMMYFUNCTION("""COMPUTED_VALUE"""),1903878.24)</f>
        <v>1903878.24</v>
      </c>
      <c r="R154" s="46">
        <f>IFERROR(__xludf.DUMMYFUNCTION("""COMPUTED_VALUE"""),1188954.3599999999)</f>
        <v>1188954.36</v>
      </c>
      <c r="S154" s="46">
        <f>IFERROR(__xludf.DUMMYFUNCTION("""COMPUTED_VALUE"""),714923.8800000001)</f>
        <v>714923.88</v>
      </c>
    </row>
    <row r="155">
      <c r="A155" s="46" t="str">
        <f>IFERROR(__xludf.DUMMYFUNCTION("""COMPUTED_VALUE"""),"Cosmetics")</f>
        <v>Cosmetics</v>
      </c>
      <c r="B155" s="46" t="str">
        <f>IFERROR(__xludf.DUMMYFUNCTION("""COMPUTED_VALUE"""),"Albania")</f>
        <v>Albania</v>
      </c>
      <c r="C155" s="46" t="str">
        <f>IFERROR(__xludf.DUMMYFUNCTION("""COMPUTED_VALUE"""),"Europe")</f>
        <v>Europe</v>
      </c>
      <c r="D155" s="90">
        <f>IFERROR(__xludf.DUMMYFUNCTION("""COMPUTED_VALUE"""),42614.0)</f>
        <v>42614</v>
      </c>
      <c r="E155" s="46">
        <f>IFERROR(__xludf.DUMMYFUNCTION("""COMPUTED_VALUE"""),2016.0)</f>
        <v>2016</v>
      </c>
      <c r="F155" s="46">
        <f>IFERROR(__xludf.DUMMYFUNCTION("""COMPUTED_VALUE"""),1.0)</f>
        <v>1</v>
      </c>
      <c r="G155" s="46">
        <f>IFERROR(__xludf.DUMMYFUNCTION("""COMPUTED_VALUE"""),9619.0)</f>
        <v>9619</v>
      </c>
      <c r="H155" s="46">
        <f>IFERROR(__xludf.DUMMYFUNCTION("""COMPUTED_VALUE"""),4205426.8)</f>
        <v>4205426.8</v>
      </c>
      <c r="I155" s="46">
        <f>IFERROR(__xludf.DUMMYFUNCTION("""COMPUTED_VALUE"""),2532971.27)</f>
        <v>2532971.27</v>
      </c>
      <c r="J155" s="46">
        <f>IFERROR(__xludf.DUMMYFUNCTION("""COMPUTED_VALUE"""),1672455.5299999998)</f>
        <v>1672455.53</v>
      </c>
      <c r="K155" s="46" t="str">
        <f t="array" ref="K155">TEXT(D155, "mmmm")</f>
        <v>September</v>
      </c>
      <c r="M155" s="46" t="str">
        <f>IFERROR(__xludf.DUMMYFUNCTION("""COMPUTED_VALUE"""),"Monaco")</f>
        <v>Monaco</v>
      </c>
      <c r="N155" s="94">
        <f>IFERROR(__xludf.DUMMYFUNCTION("""COMPUTED_VALUE"""),40544.0)</f>
        <v>40544</v>
      </c>
      <c r="O155" s="46">
        <f>IFERROR(__xludf.DUMMYFUNCTION("""COMPUTED_VALUE"""),1.0)</f>
        <v>1</v>
      </c>
      <c r="P155" s="46">
        <f>IFERROR(__xludf.DUMMYFUNCTION("""COMPUTED_VALUE"""),9711.0)</f>
        <v>9711</v>
      </c>
      <c r="Q155" s="46">
        <f>IFERROR(__xludf.DUMMYFUNCTION("""COMPUTED_VALUE"""),1061218.08)</f>
        <v>1061218.08</v>
      </c>
      <c r="R155" s="46">
        <f>IFERROR(__xludf.DUMMYFUNCTION("""COMPUTED_VALUE"""),348042.24000000005)</f>
        <v>348042.24</v>
      </c>
      <c r="S155" s="46">
        <f>IFERROR(__xludf.DUMMYFUNCTION("""COMPUTED_VALUE"""),713175.8400000001)</f>
        <v>713175.84</v>
      </c>
    </row>
    <row r="156">
      <c r="A156" s="46" t="str">
        <f>IFERROR(__xludf.DUMMYFUNCTION("""COMPUTED_VALUE"""),"Fruits")</f>
        <v>Fruits</v>
      </c>
      <c r="B156" s="46" t="str">
        <f>IFERROR(__xludf.DUMMYFUNCTION("""COMPUTED_VALUE"""),"Estonia")</f>
        <v>Estonia</v>
      </c>
      <c r="C156" s="46" t="str">
        <f>IFERROR(__xludf.DUMMYFUNCTION("""COMPUTED_VALUE"""),"Europe")</f>
        <v>Europe</v>
      </c>
      <c r="D156" s="90">
        <f>IFERROR(__xludf.DUMMYFUNCTION("""COMPUTED_VALUE"""),42614.0)</f>
        <v>42614</v>
      </c>
      <c r="E156" s="46">
        <f>IFERROR(__xludf.DUMMYFUNCTION("""COMPUTED_VALUE"""),2016.0)</f>
        <v>2016</v>
      </c>
      <c r="F156" s="46">
        <f>IFERROR(__xludf.DUMMYFUNCTION("""COMPUTED_VALUE"""),1.0)</f>
        <v>1</v>
      </c>
      <c r="G156" s="46">
        <f>IFERROR(__xludf.DUMMYFUNCTION("""COMPUTED_VALUE"""),4958.0)</f>
        <v>4958</v>
      </c>
      <c r="H156" s="46">
        <f>IFERROR(__xludf.DUMMYFUNCTION("""COMPUTED_VALUE"""),46258.14)</f>
        <v>46258.14</v>
      </c>
      <c r="I156" s="46">
        <f>IFERROR(__xludf.DUMMYFUNCTION("""COMPUTED_VALUE"""),34309.36)</f>
        <v>34309.36</v>
      </c>
      <c r="J156" s="46">
        <f>IFERROR(__xludf.DUMMYFUNCTION("""COMPUTED_VALUE"""),11948.779999999999)</f>
        <v>11948.78</v>
      </c>
      <c r="K156" s="46" t="str">
        <f t="array" ref="K156">TEXT(D156, "mmmm")</f>
        <v>September</v>
      </c>
      <c r="M156" s="46" t="str">
        <f>IFERROR(__xludf.DUMMYFUNCTION("""COMPUTED_VALUE"""),"Netherlands")</f>
        <v>Netherlands</v>
      </c>
      <c r="N156" s="94">
        <f>IFERROR(__xludf.DUMMYFUNCTION("""COMPUTED_VALUE"""),40544.0)</f>
        <v>40544</v>
      </c>
      <c r="O156" s="46">
        <f>IFERROR(__xludf.DUMMYFUNCTION("""COMPUTED_VALUE"""),1.0)</f>
        <v>1</v>
      </c>
      <c r="P156" s="46">
        <f>IFERROR(__xludf.DUMMYFUNCTION("""COMPUTED_VALUE"""),4077.0)</f>
        <v>4077</v>
      </c>
      <c r="Q156" s="46">
        <f>IFERROR(__xludf.DUMMYFUNCTION("""COMPUTED_VALUE"""),1040776.56)</f>
        <v>1040776.56</v>
      </c>
      <c r="R156" s="46">
        <f>IFERROR(__xludf.DUMMYFUNCTION("""COMPUTED_VALUE"""),649955.34)</f>
        <v>649955.34</v>
      </c>
      <c r="S156" s="46">
        <f>IFERROR(__xludf.DUMMYFUNCTION("""COMPUTED_VALUE"""),390821.2200000001)</f>
        <v>390821.22</v>
      </c>
    </row>
    <row r="157">
      <c r="A157" s="46" t="str">
        <f>IFERROR(__xludf.DUMMYFUNCTION("""COMPUTED_VALUE"""),"Fruits")</f>
        <v>Fruits</v>
      </c>
      <c r="B157" s="46" t="str">
        <f>IFERROR(__xludf.DUMMYFUNCTION("""COMPUTED_VALUE"""),"Ireland")</f>
        <v>Ireland</v>
      </c>
      <c r="C157" s="46" t="str">
        <f>IFERROR(__xludf.DUMMYFUNCTION("""COMPUTED_VALUE"""),"Europe")</f>
        <v>Europe</v>
      </c>
      <c r="D157" s="90">
        <f>IFERROR(__xludf.DUMMYFUNCTION("""COMPUTED_VALUE"""),42614.0)</f>
        <v>42614</v>
      </c>
      <c r="E157" s="46">
        <f>IFERROR(__xludf.DUMMYFUNCTION("""COMPUTED_VALUE"""),2016.0)</f>
        <v>2016</v>
      </c>
      <c r="F157" s="46">
        <f>IFERROR(__xludf.DUMMYFUNCTION("""COMPUTED_VALUE"""),1.0)</f>
        <v>1</v>
      </c>
      <c r="G157" s="46">
        <f>IFERROR(__xludf.DUMMYFUNCTION("""COMPUTED_VALUE"""),8815.0)</f>
        <v>8815</v>
      </c>
      <c r="H157" s="46">
        <f>IFERROR(__xludf.DUMMYFUNCTION("""COMPUTED_VALUE"""),82243.95)</f>
        <v>82243.95</v>
      </c>
      <c r="I157" s="46">
        <f>IFERROR(__xludf.DUMMYFUNCTION("""COMPUTED_VALUE"""),60999.8)</f>
        <v>60999.8</v>
      </c>
      <c r="J157" s="46">
        <f>IFERROR(__xludf.DUMMYFUNCTION("""COMPUTED_VALUE"""),21244.149999999994)</f>
        <v>21244.15</v>
      </c>
      <c r="K157" s="46" t="str">
        <f t="array" ref="K157">TEXT(D157, "mmmm")</f>
        <v>September</v>
      </c>
      <c r="M157" s="46" t="str">
        <f>IFERROR(__xludf.DUMMYFUNCTION("""COMPUTED_VALUE"""),"Poland")</f>
        <v>Poland</v>
      </c>
      <c r="N157" s="94">
        <f>IFERROR(__xludf.DUMMYFUNCTION("""COMPUTED_VALUE"""),40544.0)</f>
        <v>40544</v>
      </c>
      <c r="O157" s="46">
        <f>IFERROR(__xludf.DUMMYFUNCTION("""COMPUTED_VALUE"""),1.0)</f>
        <v>1</v>
      </c>
      <c r="P157" s="46">
        <f>IFERROR(__xludf.DUMMYFUNCTION("""COMPUTED_VALUE"""),5090.0)</f>
        <v>5090</v>
      </c>
      <c r="Q157" s="46">
        <f>IFERROR(__xludf.DUMMYFUNCTION("""COMPUTED_VALUE"""),784165.4)</f>
        <v>784165.4</v>
      </c>
      <c r="R157" s="46">
        <f>IFERROR(__xludf.DUMMYFUNCTION("""COMPUTED_VALUE"""),462833.7)</f>
        <v>462833.7</v>
      </c>
      <c r="S157" s="46">
        <f>IFERROR(__xludf.DUMMYFUNCTION("""COMPUTED_VALUE"""),321331.7)</f>
        <v>321331.7</v>
      </c>
    </row>
    <row r="158">
      <c r="A158" s="46" t="str">
        <f>IFERROR(__xludf.DUMMYFUNCTION("""COMPUTED_VALUE"""),"Fruits")</f>
        <v>Fruits</v>
      </c>
      <c r="B158" s="46" t="str">
        <f>IFERROR(__xludf.DUMMYFUNCTION("""COMPUTED_VALUE"""),"Luxembourg")</f>
        <v>Luxembourg</v>
      </c>
      <c r="C158" s="46" t="str">
        <f>IFERROR(__xludf.DUMMYFUNCTION("""COMPUTED_VALUE"""),"Europe")</f>
        <v>Europe</v>
      </c>
      <c r="D158" s="90">
        <f>IFERROR(__xludf.DUMMYFUNCTION("""COMPUTED_VALUE"""),42614.0)</f>
        <v>42614</v>
      </c>
      <c r="E158" s="46">
        <f>IFERROR(__xludf.DUMMYFUNCTION("""COMPUTED_VALUE"""),2016.0)</f>
        <v>2016</v>
      </c>
      <c r="F158" s="46">
        <f>IFERROR(__xludf.DUMMYFUNCTION("""COMPUTED_VALUE"""),1.0)</f>
        <v>1</v>
      </c>
      <c r="G158" s="46">
        <f>IFERROR(__xludf.DUMMYFUNCTION("""COMPUTED_VALUE"""),1009.0)</f>
        <v>1009</v>
      </c>
      <c r="H158" s="46">
        <f>IFERROR(__xludf.DUMMYFUNCTION("""COMPUTED_VALUE"""),9413.97)</f>
        <v>9413.97</v>
      </c>
      <c r="I158" s="46">
        <f>IFERROR(__xludf.DUMMYFUNCTION("""COMPUTED_VALUE"""),6982.28)</f>
        <v>6982.28</v>
      </c>
      <c r="J158" s="46">
        <f>IFERROR(__xludf.DUMMYFUNCTION("""COMPUTED_VALUE"""),2431.6899999999996)</f>
        <v>2431.69</v>
      </c>
      <c r="K158" s="46" t="str">
        <f t="array" ref="K158">TEXT(D158, "mmmm")</f>
        <v>September</v>
      </c>
      <c r="M158" s="46" t="str">
        <f>IFERROR(__xludf.DUMMYFUNCTION("""COMPUTED_VALUE"""),"Ukraine")</f>
        <v>Ukraine</v>
      </c>
      <c r="N158" s="94">
        <f>IFERROR(__xludf.DUMMYFUNCTION("""COMPUTED_VALUE"""),40544.0)</f>
        <v>40544</v>
      </c>
      <c r="O158" s="46">
        <f>IFERROR(__xludf.DUMMYFUNCTION("""COMPUTED_VALUE"""),2.0)</f>
        <v>2</v>
      </c>
      <c r="P158" s="46">
        <f>IFERROR(__xludf.DUMMYFUNCTION("""COMPUTED_VALUE"""),11861.0)</f>
        <v>11861</v>
      </c>
      <c r="Q158" s="46">
        <f>IFERROR(__xludf.DUMMYFUNCTION("""COMPUTED_VALUE"""),5185629.2)</f>
        <v>5185629.2</v>
      </c>
      <c r="R158" s="46">
        <f>IFERROR(__xludf.DUMMYFUNCTION("""COMPUTED_VALUE"""),3123357.13)</f>
        <v>3123357.13</v>
      </c>
      <c r="S158" s="46">
        <f>IFERROR(__xludf.DUMMYFUNCTION("""COMPUTED_VALUE"""),2062272.07)</f>
        <v>2062272.07</v>
      </c>
    </row>
    <row r="159">
      <c r="A159" s="46" t="str">
        <f>IFERROR(__xludf.DUMMYFUNCTION("""COMPUTED_VALUE"""),"Fruits")</f>
        <v>Fruits</v>
      </c>
      <c r="B159" s="46" t="str">
        <f>IFERROR(__xludf.DUMMYFUNCTION("""COMPUTED_VALUE"""),"San Marino")</f>
        <v>San Marino</v>
      </c>
      <c r="C159" s="46" t="str">
        <f>IFERROR(__xludf.DUMMYFUNCTION("""COMPUTED_VALUE"""),"Europe")</f>
        <v>Europe</v>
      </c>
      <c r="D159" s="90">
        <f>IFERROR(__xludf.DUMMYFUNCTION("""COMPUTED_VALUE"""),42614.0)</f>
        <v>42614</v>
      </c>
      <c r="E159" s="46">
        <f>IFERROR(__xludf.DUMMYFUNCTION("""COMPUTED_VALUE"""),2016.0)</f>
        <v>2016</v>
      </c>
      <c r="F159" s="46">
        <f>IFERROR(__xludf.DUMMYFUNCTION("""COMPUTED_VALUE"""),1.0)</f>
        <v>1</v>
      </c>
      <c r="G159" s="46">
        <f>IFERROR(__xludf.DUMMYFUNCTION("""COMPUTED_VALUE"""),6662.0)</f>
        <v>6662</v>
      </c>
      <c r="H159" s="46">
        <f>IFERROR(__xludf.DUMMYFUNCTION("""COMPUTED_VALUE"""),62156.46)</f>
        <v>62156.46</v>
      </c>
      <c r="I159" s="46">
        <f>IFERROR(__xludf.DUMMYFUNCTION("""COMPUTED_VALUE"""),46101.04)</f>
        <v>46101.04</v>
      </c>
      <c r="J159" s="46">
        <f>IFERROR(__xludf.DUMMYFUNCTION("""COMPUTED_VALUE"""),16055.419999999998)</f>
        <v>16055.42</v>
      </c>
      <c r="K159" s="46" t="str">
        <f t="array" ref="K159">TEXT(D159, "mmmm")</f>
        <v>September</v>
      </c>
      <c r="M159" s="46" t="str">
        <f>IFERROR(__xludf.DUMMYFUNCTION("""COMPUTED_VALUE"""),"Undefined")</f>
        <v>Undefined</v>
      </c>
      <c r="N159" s="94">
        <f>IFERROR(__xludf.DUMMYFUNCTION("""COMPUTED_VALUE"""),40544.0)</f>
        <v>40544</v>
      </c>
      <c r="O159" s="46">
        <f>IFERROR(__xludf.DUMMYFUNCTION("""COMPUTED_VALUE"""),1.0)</f>
        <v>1</v>
      </c>
      <c r="P159" s="46">
        <f>IFERROR(__xludf.DUMMYFUNCTION("""COMPUTED_VALUE"""),2378.0)</f>
        <v>2378</v>
      </c>
      <c r="Q159" s="46">
        <f>IFERROR(__xludf.DUMMYFUNCTION("""COMPUTED_VALUE"""),1589146.06)</f>
        <v>1589146.06</v>
      </c>
      <c r="R159" s="46">
        <f>IFERROR(__xludf.DUMMYFUNCTION("""COMPUTED_VALUE"""),1195040.12)</f>
        <v>1195040.12</v>
      </c>
      <c r="S159" s="46">
        <f>IFERROR(__xludf.DUMMYFUNCTION("""COMPUTED_VALUE"""),394105.93999999994)</f>
        <v>394105.94</v>
      </c>
    </row>
    <row r="160">
      <c r="A160" s="46" t="str">
        <f>IFERROR(__xludf.DUMMYFUNCTION("""COMPUTED_VALUE"""),"Household")</f>
        <v>Household</v>
      </c>
      <c r="B160" s="46" t="str">
        <f>IFERROR(__xludf.DUMMYFUNCTION("""COMPUTED_VALUE"""),"Luxembourg")</f>
        <v>Luxembourg</v>
      </c>
      <c r="C160" s="46" t="str">
        <f>IFERROR(__xludf.DUMMYFUNCTION("""COMPUTED_VALUE"""),"Europe")</f>
        <v>Europe</v>
      </c>
      <c r="D160" s="90">
        <f>IFERROR(__xludf.DUMMYFUNCTION("""COMPUTED_VALUE"""),42614.0)</f>
        <v>42614</v>
      </c>
      <c r="E160" s="46">
        <f>IFERROR(__xludf.DUMMYFUNCTION("""COMPUTED_VALUE"""),2016.0)</f>
        <v>2016</v>
      </c>
      <c r="F160" s="46">
        <f>IFERROR(__xludf.DUMMYFUNCTION("""COMPUTED_VALUE"""),1.0)</f>
        <v>1</v>
      </c>
      <c r="G160" s="46">
        <f>IFERROR(__xludf.DUMMYFUNCTION("""COMPUTED_VALUE"""),5773.0)</f>
        <v>5773</v>
      </c>
      <c r="H160" s="46">
        <f>IFERROR(__xludf.DUMMYFUNCTION("""COMPUTED_VALUE"""),3857922.71)</f>
        <v>3857922.71</v>
      </c>
      <c r="I160" s="46">
        <f>IFERROR(__xludf.DUMMYFUNCTION("""COMPUTED_VALUE"""),2901163.42)</f>
        <v>2901163.42</v>
      </c>
      <c r="J160" s="46">
        <f>IFERROR(__xludf.DUMMYFUNCTION("""COMPUTED_VALUE"""),956759.29)</f>
        <v>956759.29</v>
      </c>
      <c r="K160" s="46" t="str">
        <f t="array" ref="K160">TEXT(D160, "mmmm")</f>
        <v>September</v>
      </c>
      <c r="M160" s="46" t="str">
        <f>IFERROR(__xludf.DUMMYFUNCTION("""COMPUTED_VALUE"""),"Andorra")</f>
        <v>Andorra</v>
      </c>
      <c r="N160" s="94">
        <f>IFERROR(__xludf.DUMMYFUNCTION("""COMPUTED_VALUE"""),40575.0)</f>
        <v>40575</v>
      </c>
      <c r="O160" s="46">
        <f>IFERROR(__xludf.DUMMYFUNCTION("""COMPUTED_VALUE"""),1.0)</f>
        <v>1</v>
      </c>
      <c r="P160" s="46">
        <f>IFERROR(__xludf.DUMMYFUNCTION("""COMPUTED_VALUE"""),6054.0)</f>
        <v>6054</v>
      </c>
      <c r="Q160" s="46">
        <f>IFERROR(__xludf.DUMMYFUNCTION("""COMPUTED_VALUE"""),923719.3200000001)</f>
        <v>923719.32</v>
      </c>
      <c r="R160" s="46">
        <f>IFERROR(__xludf.DUMMYFUNCTION("""COMPUTED_VALUE"""),589901.76)</f>
        <v>589901.76</v>
      </c>
      <c r="S160" s="46">
        <f>IFERROR(__xludf.DUMMYFUNCTION("""COMPUTED_VALUE"""),333817.56000000006)</f>
        <v>333817.56</v>
      </c>
    </row>
    <row r="161">
      <c r="A161" s="46" t="str">
        <f>IFERROR(__xludf.DUMMYFUNCTION("""COMPUTED_VALUE"""),"Meat")</f>
        <v>Meat</v>
      </c>
      <c r="B161" s="46" t="str">
        <f>IFERROR(__xludf.DUMMYFUNCTION("""COMPUTED_VALUE"""),"Greece")</f>
        <v>Greece</v>
      </c>
      <c r="C161" s="46" t="str">
        <f>IFERROR(__xludf.DUMMYFUNCTION("""COMPUTED_VALUE"""),"Europe")</f>
        <v>Europe</v>
      </c>
      <c r="D161" s="90">
        <f>IFERROR(__xludf.DUMMYFUNCTION("""COMPUTED_VALUE"""),42614.0)</f>
        <v>42614</v>
      </c>
      <c r="E161" s="46">
        <f>IFERROR(__xludf.DUMMYFUNCTION("""COMPUTED_VALUE"""),2016.0)</f>
        <v>2016</v>
      </c>
      <c r="F161" s="46">
        <f>IFERROR(__xludf.DUMMYFUNCTION("""COMPUTED_VALUE"""),1.0)</f>
        <v>1</v>
      </c>
      <c r="G161" s="46">
        <f>IFERROR(__xludf.DUMMYFUNCTION("""COMPUTED_VALUE"""),1543.0)</f>
        <v>1543</v>
      </c>
      <c r="H161" s="46">
        <f>IFERROR(__xludf.DUMMYFUNCTION("""COMPUTED_VALUE"""),650976.27)</f>
        <v>650976.27</v>
      </c>
      <c r="I161" s="46">
        <f>IFERROR(__xludf.DUMMYFUNCTION("""COMPUTED_VALUE"""),562716.67)</f>
        <v>562716.67</v>
      </c>
      <c r="J161" s="46">
        <f>IFERROR(__xludf.DUMMYFUNCTION("""COMPUTED_VALUE"""),88259.59999999998)</f>
        <v>88259.6</v>
      </c>
      <c r="K161" s="46" t="str">
        <f t="array" ref="K161">TEXT(D161, "mmmm")</f>
        <v>September</v>
      </c>
      <c r="M161" s="46" t="str">
        <f>IFERROR(__xludf.DUMMYFUNCTION("""COMPUTED_VALUE"""),"Armenia")</f>
        <v>Armenia</v>
      </c>
      <c r="N161" s="94">
        <f>IFERROR(__xludf.DUMMYFUNCTION("""COMPUTED_VALUE"""),40575.0)</f>
        <v>40575</v>
      </c>
      <c r="O161" s="46">
        <f>IFERROR(__xludf.DUMMYFUNCTION("""COMPUTED_VALUE"""),1.0)</f>
        <v>1</v>
      </c>
      <c r="P161" s="46">
        <f>IFERROR(__xludf.DUMMYFUNCTION("""COMPUTED_VALUE"""),2037.0)</f>
        <v>2037</v>
      </c>
      <c r="Q161" s="46">
        <f>IFERROR(__xludf.DUMMYFUNCTION("""COMPUTED_VALUE"""),310805.46)</f>
        <v>310805.46</v>
      </c>
      <c r="R161" s="46">
        <f>IFERROR(__xludf.DUMMYFUNCTION("""COMPUTED_VALUE"""),198485.28)</f>
        <v>198485.28</v>
      </c>
      <c r="S161" s="46">
        <f>IFERROR(__xludf.DUMMYFUNCTION("""COMPUTED_VALUE"""),112320.18000000002)</f>
        <v>112320.18</v>
      </c>
    </row>
    <row r="162">
      <c r="A162" s="46" t="str">
        <f>IFERROR(__xludf.DUMMYFUNCTION("""COMPUTED_VALUE"""),"Office Supplies")</f>
        <v>Office Supplies</v>
      </c>
      <c r="B162" s="46" t="str">
        <f>IFERROR(__xludf.DUMMYFUNCTION("""COMPUTED_VALUE"""),"Ukraine")</f>
        <v>Ukraine</v>
      </c>
      <c r="C162" s="46" t="str">
        <f>IFERROR(__xludf.DUMMYFUNCTION("""COMPUTED_VALUE"""),"Europe")</f>
        <v>Europe</v>
      </c>
      <c r="D162" s="90">
        <f>IFERROR(__xludf.DUMMYFUNCTION("""COMPUTED_VALUE"""),42614.0)</f>
        <v>42614</v>
      </c>
      <c r="E162" s="46">
        <f>IFERROR(__xludf.DUMMYFUNCTION("""COMPUTED_VALUE"""),2016.0)</f>
        <v>2016</v>
      </c>
      <c r="F162" s="46">
        <f>IFERROR(__xludf.DUMMYFUNCTION("""COMPUTED_VALUE"""),1.0)</f>
        <v>1</v>
      </c>
      <c r="G162" s="46">
        <f>IFERROR(__xludf.DUMMYFUNCTION("""COMPUTED_VALUE"""),7577.0)</f>
        <v>7577</v>
      </c>
      <c r="H162" s="46">
        <f>IFERROR(__xludf.DUMMYFUNCTION("""COMPUTED_VALUE"""),4934218.17)</f>
        <v>4934218.17</v>
      </c>
      <c r="I162" s="46">
        <f>IFERROR(__xludf.DUMMYFUNCTION("""COMPUTED_VALUE"""),3977621.9200000004)</f>
        <v>3977621.92</v>
      </c>
      <c r="J162" s="46">
        <f>IFERROR(__xludf.DUMMYFUNCTION("""COMPUTED_VALUE"""),956596.2499999995)</f>
        <v>956596.25</v>
      </c>
      <c r="K162" s="46" t="str">
        <f t="array" ref="K162">TEXT(D162, "mmmm")</f>
        <v>September</v>
      </c>
      <c r="M162" s="46" t="str">
        <f>IFERROR(__xludf.DUMMYFUNCTION("""COMPUTED_VALUE"""),"Bulgaria")</f>
        <v>Bulgaria</v>
      </c>
      <c r="N162" s="94">
        <f>IFERROR(__xludf.DUMMYFUNCTION("""COMPUTED_VALUE"""),40575.0)</f>
        <v>40575</v>
      </c>
      <c r="O162" s="46">
        <f>IFERROR(__xludf.DUMMYFUNCTION("""COMPUTED_VALUE"""),1.0)</f>
        <v>1</v>
      </c>
      <c r="P162" s="46">
        <f>IFERROR(__xludf.DUMMYFUNCTION("""COMPUTED_VALUE"""),4448.0)</f>
        <v>4448</v>
      </c>
      <c r="Q162" s="46">
        <f>IFERROR(__xludf.DUMMYFUNCTION("""COMPUTED_VALUE"""),914953.6)</f>
        <v>914953.6</v>
      </c>
      <c r="R162" s="46">
        <f>IFERROR(__xludf.DUMMYFUNCTION("""COMPUTED_VALUE"""),520905.27999999997)</f>
        <v>520905.28</v>
      </c>
      <c r="S162" s="46">
        <f>IFERROR(__xludf.DUMMYFUNCTION("""COMPUTED_VALUE"""),394048.32)</f>
        <v>394048.32</v>
      </c>
    </row>
    <row r="163">
      <c r="A163" s="46" t="str">
        <f>IFERROR(__xludf.DUMMYFUNCTION("""COMPUTED_VALUE"""),"Snacks")</f>
        <v>Snacks</v>
      </c>
      <c r="B163" s="46" t="str">
        <f>IFERROR(__xludf.DUMMYFUNCTION("""COMPUTED_VALUE"""),"Russia")</f>
        <v>Russia</v>
      </c>
      <c r="C163" s="46" t="str">
        <f>IFERROR(__xludf.DUMMYFUNCTION("""COMPUTED_VALUE"""),"Europe")</f>
        <v>Europe</v>
      </c>
      <c r="D163" s="90">
        <f>IFERROR(__xludf.DUMMYFUNCTION("""COMPUTED_VALUE"""),42614.0)</f>
        <v>42614</v>
      </c>
      <c r="E163" s="46">
        <f>IFERROR(__xludf.DUMMYFUNCTION("""COMPUTED_VALUE"""),2016.0)</f>
        <v>2016</v>
      </c>
      <c r="F163" s="46">
        <f>IFERROR(__xludf.DUMMYFUNCTION("""COMPUTED_VALUE"""),1.0)</f>
        <v>1</v>
      </c>
      <c r="G163" s="46">
        <f>IFERROR(__xludf.DUMMYFUNCTION("""COMPUTED_VALUE"""),4021.0)</f>
        <v>4021</v>
      </c>
      <c r="H163" s="46">
        <f>IFERROR(__xludf.DUMMYFUNCTION("""COMPUTED_VALUE"""),613524.18)</f>
        <v>613524.18</v>
      </c>
      <c r="I163" s="46">
        <f>IFERROR(__xludf.DUMMYFUNCTION("""COMPUTED_VALUE"""),391806.24)</f>
        <v>391806.24</v>
      </c>
      <c r="J163" s="46">
        <f>IFERROR(__xludf.DUMMYFUNCTION("""COMPUTED_VALUE"""),221717.94000000006)</f>
        <v>221717.94</v>
      </c>
      <c r="K163" s="46" t="str">
        <f t="array" ref="K163">TEXT(D163, "mmmm")</f>
        <v>September</v>
      </c>
      <c r="M163" s="46" t="str">
        <f>IFERROR(__xludf.DUMMYFUNCTION("""COMPUTED_VALUE"""),"Czech Republic")</f>
        <v>Czech Republic</v>
      </c>
      <c r="N163" s="94">
        <f>IFERROR(__xludf.DUMMYFUNCTION("""COMPUTED_VALUE"""),40575.0)</f>
        <v>40575</v>
      </c>
      <c r="O163" s="46">
        <f>IFERROR(__xludf.DUMMYFUNCTION("""COMPUTED_VALUE"""),1.0)</f>
        <v>1</v>
      </c>
      <c r="P163" s="46">
        <f>IFERROR(__xludf.DUMMYFUNCTION("""COMPUTED_VALUE"""),9405.0)</f>
        <v>9405</v>
      </c>
      <c r="Q163" s="46">
        <f>IFERROR(__xludf.DUMMYFUNCTION("""COMPUTED_VALUE"""),6285079.35)</f>
        <v>6285079.35</v>
      </c>
      <c r="R163" s="46">
        <f>IFERROR(__xludf.DUMMYFUNCTION("""COMPUTED_VALUE"""),4726388.7)</f>
        <v>4726388.7</v>
      </c>
      <c r="S163" s="46">
        <f>IFERROR(__xludf.DUMMYFUNCTION("""COMPUTED_VALUE"""),1558690.6499999994)</f>
        <v>1558690.65</v>
      </c>
    </row>
    <row r="164">
      <c r="A164" s="46" t="str">
        <f>IFERROR(__xludf.DUMMYFUNCTION("""COMPUTED_VALUE"""),"Beverages")</f>
        <v>Beverages</v>
      </c>
      <c r="B164" s="46" t="str">
        <f>IFERROR(__xludf.DUMMYFUNCTION("""COMPUTED_VALUE"""),"Montenegro")</f>
        <v>Montenegro</v>
      </c>
      <c r="C164" s="46" t="str">
        <f>IFERROR(__xludf.DUMMYFUNCTION("""COMPUTED_VALUE"""),"Europe")</f>
        <v>Europe</v>
      </c>
      <c r="D164" s="90">
        <f>IFERROR(__xludf.DUMMYFUNCTION("""COMPUTED_VALUE"""),42583.0)</f>
        <v>42583</v>
      </c>
      <c r="E164" s="46">
        <f>IFERROR(__xludf.DUMMYFUNCTION("""COMPUTED_VALUE"""),2016.0)</f>
        <v>2016</v>
      </c>
      <c r="F164" s="46">
        <f>IFERROR(__xludf.DUMMYFUNCTION("""COMPUTED_VALUE"""),1.0)</f>
        <v>1</v>
      </c>
      <c r="G164" s="46">
        <f>IFERROR(__xludf.DUMMYFUNCTION("""COMPUTED_VALUE"""),8739.0)</f>
        <v>8739</v>
      </c>
      <c r="H164" s="46">
        <f>IFERROR(__xludf.DUMMYFUNCTION("""COMPUTED_VALUE"""),414665.55000000005)</f>
        <v>414665.55</v>
      </c>
      <c r="I164" s="46">
        <f>IFERROR(__xludf.DUMMYFUNCTION("""COMPUTED_VALUE"""),277812.81)</f>
        <v>277812.81</v>
      </c>
      <c r="J164" s="46">
        <f>IFERROR(__xludf.DUMMYFUNCTION("""COMPUTED_VALUE"""),136852.74000000005)</f>
        <v>136852.74</v>
      </c>
      <c r="K164" s="46" t="str">
        <f t="array" ref="K164">TEXT(D164, "mmmm")</f>
        <v>August</v>
      </c>
      <c r="M164" s="46" t="str">
        <f>IFERROR(__xludf.DUMMYFUNCTION("""COMPUTED_VALUE"""),"Estonia")</f>
        <v>Estonia</v>
      </c>
      <c r="N164" s="94">
        <f>IFERROR(__xludf.DUMMYFUNCTION("""COMPUTED_VALUE"""),40575.0)</f>
        <v>40575</v>
      </c>
      <c r="O164" s="46">
        <f>IFERROR(__xludf.DUMMYFUNCTION("""COMPUTED_VALUE"""),1.0)</f>
        <v>1</v>
      </c>
      <c r="P164" s="46">
        <f>IFERROR(__xludf.DUMMYFUNCTION("""COMPUTED_VALUE"""),8246.0)</f>
        <v>8246</v>
      </c>
      <c r="Q164" s="46">
        <f>IFERROR(__xludf.DUMMYFUNCTION("""COMPUTED_VALUE"""),1270378.76)</f>
        <v>1270378.76</v>
      </c>
      <c r="R164" s="46">
        <f>IFERROR(__xludf.DUMMYFUNCTION("""COMPUTED_VALUE"""),749808.78)</f>
        <v>749808.78</v>
      </c>
      <c r="S164" s="46">
        <f>IFERROR(__xludf.DUMMYFUNCTION("""COMPUTED_VALUE"""),520569.98)</f>
        <v>520569.98</v>
      </c>
    </row>
    <row r="165">
      <c r="A165" s="46" t="str">
        <f>IFERROR(__xludf.DUMMYFUNCTION("""COMPUTED_VALUE"""),"Cereal")</f>
        <v>Cereal</v>
      </c>
      <c r="B165" s="46" t="str">
        <f>IFERROR(__xludf.DUMMYFUNCTION("""COMPUTED_VALUE"""),"Serbia")</f>
        <v>Serbia</v>
      </c>
      <c r="C165" s="46" t="str">
        <f>IFERROR(__xludf.DUMMYFUNCTION("""COMPUTED_VALUE"""),"Europe")</f>
        <v>Europe</v>
      </c>
      <c r="D165" s="90">
        <f>IFERROR(__xludf.DUMMYFUNCTION("""COMPUTED_VALUE"""),42583.0)</f>
        <v>42583</v>
      </c>
      <c r="E165" s="46">
        <f>IFERROR(__xludf.DUMMYFUNCTION("""COMPUTED_VALUE"""),2016.0)</f>
        <v>2016</v>
      </c>
      <c r="F165" s="46">
        <f>IFERROR(__xludf.DUMMYFUNCTION("""COMPUTED_VALUE"""),1.0)</f>
        <v>1</v>
      </c>
      <c r="G165" s="46">
        <f>IFERROR(__xludf.DUMMYFUNCTION("""COMPUTED_VALUE"""),1993.0)</f>
        <v>1993</v>
      </c>
      <c r="H165" s="46">
        <f>IFERROR(__xludf.DUMMYFUNCTION("""COMPUTED_VALUE"""),409960.1)</f>
        <v>409960.1</v>
      </c>
      <c r="I165" s="46">
        <f>IFERROR(__xludf.DUMMYFUNCTION("""COMPUTED_VALUE"""),233400.23)</f>
        <v>233400.23</v>
      </c>
      <c r="J165" s="46">
        <f>IFERROR(__xludf.DUMMYFUNCTION("""COMPUTED_VALUE"""),176559.86999999997)</f>
        <v>176559.87</v>
      </c>
      <c r="K165" s="46" t="str">
        <f t="array" ref="K165">TEXT(D165, "mmmm")</f>
        <v>August</v>
      </c>
      <c r="M165" s="46" t="str">
        <f>IFERROR(__xludf.DUMMYFUNCTION("""COMPUTED_VALUE"""),"Iceland")</f>
        <v>Iceland</v>
      </c>
      <c r="N165" s="94">
        <f>IFERROR(__xludf.DUMMYFUNCTION("""COMPUTED_VALUE"""),40575.0)</f>
        <v>40575</v>
      </c>
      <c r="O165" s="46">
        <f>IFERROR(__xludf.DUMMYFUNCTION("""COMPUTED_VALUE"""),1.0)</f>
        <v>1</v>
      </c>
      <c r="P165" s="46">
        <f>IFERROR(__xludf.DUMMYFUNCTION("""COMPUTED_VALUE"""),2019.0)</f>
        <v>2019</v>
      </c>
      <c r="Q165" s="46">
        <f>IFERROR(__xludf.DUMMYFUNCTION("""COMPUTED_VALUE"""),882706.7999999999)</f>
        <v>882706.8</v>
      </c>
      <c r="R165" s="46">
        <f>IFERROR(__xludf.DUMMYFUNCTION("""COMPUTED_VALUE"""),531663.27)</f>
        <v>531663.27</v>
      </c>
      <c r="S165" s="46">
        <f>IFERROR(__xludf.DUMMYFUNCTION("""COMPUTED_VALUE"""),351043.5299999999)</f>
        <v>351043.53</v>
      </c>
    </row>
    <row r="166">
      <c r="A166" s="46" t="str">
        <f>IFERROR(__xludf.DUMMYFUNCTION("""COMPUTED_VALUE"""),"Clothes")</f>
        <v>Clothes</v>
      </c>
      <c r="B166" s="46" t="str">
        <f>IFERROR(__xludf.DUMMYFUNCTION("""COMPUTED_VALUE"""),"Liechtenstein")</f>
        <v>Liechtenstein</v>
      </c>
      <c r="C166" s="46" t="str">
        <f>IFERROR(__xludf.DUMMYFUNCTION("""COMPUTED_VALUE"""),"Europe")</f>
        <v>Europe</v>
      </c>
      <c r="D166" s="90">
        <f>IFERROR(__xludf.DUMMYFUNCTION("""COMPUTED_VALUE"""),42583.0)</f>
        <v>42583</v>
      </c>
      <c r="E166" s="46">
        <f>IFERROR(__xludf.DUMMYFUNCTION("""COMPUTED_VALUE"""),2016.0)</f>
        <v>2016</v>
      </c>
      <c r="F166" s="46">
        <f>IFERROR(__xludf.DUMMYFUNCTION("""COMPUTED_VALUE"""),1.0)</f>
        <v>1</v>
      </c>
      <c r="G166" s="46">
        <f>IFERROR(__xludf.DUMMYFUNCTION("""COMPUTED_VALUE"""),3940.0)</f>
        <v>3940</v>
      </c>
      <c r="H166" s="46">
        <f>IFERROR(__xludf.DUMMYFUNCTION("""COMPUTED_VALUE"""),430563.2)</f>
        <v>430563.2</v>
      </c>
      <c r="I166" s="46">
        <f>IFERROR(__xludf.DUMMYFUNCTION("""COMPUTED_VALUE"""),141209.6)</f>
        <v>141209.6</v>
      </c>
      <c r="J166" s="46">
        <f>IFERROR(__xludf.DUMMYFUNCTION("""COMPUTED_VALUE"""),289353.6)</f>
        <v>289353.6</v>
      </c>
      <c r="K166" s="46" t="str">
        <f t="array" ref="K166">TEXT(D166, "mmmm")</f>
        <v>August</v>
      </c>
      <c r="M166" s="46" t="str">
        <f>IFERROR(__xludf.DUMMYFUNCTION("""COMPUTED_VALUE"""),"Italy")</f>
        <v>Italy</v>
      </c>
      <c r="N166" s="94">
        <f>IFERROR(__xludf.DUMMYFUNCTION("""COMPUTED_VALUE"""),40575.0)</f>
        <v>40575</v>
      </c>
      <c r="O166" s="46">
        <f>IFERROR(__xludf.DUMMYFUNCTION("""COMPUTED_VALUE"""),2.0)</f>
        <v>2</v>
      </c>
      <c r="P166" s="46">
        <f>IFERROR(__xludf.DUMMYFUNCTION("""COMPUTED_VALUE"""),420.0)</f>
        <v>420</v>
      </c>
      <c r="Q166" s="46">
        <f>IFERROR(__xludf.DUMMYFUNCTION("""COMPUTED_VALUE"""),150461.52)</f>
        <v>150461.52</v>
      </c>
      <c r="R166" s="46">
        <f>IFERROR(__xludf.DUMMYFUNCTION("""COMPUTED_VALUE"""),112083.66)</f>
        <v>112083.66</v>
      </c>
      <c r="S166" s="46">
        <f>IFERROR(__xludf.DUMMYFUNCTION("""COMPUTED_VALUE"""),38377.85999999999)</f>
        <v>38377.86</v>
      </c>
    </row>
    <row r="167">
      <c r="A167" s="46" t="str">
        <f>IFERROR(__xludf.DUMMYFUNCTION("""COMPUTED_VALUE"""),"Clothes")</f>
        <v>Clothes</v>
      </c>
      <c r="B167" s="46" t="str">
        <f>IFERROR(__xludf.DUMMYFUNCTION("""COMPUTED_VALUE"""),"Macedonia")</f>
        <v>Macedonia</v>
      </c>
      <c r="C167" s="46" t="str">
        <f>IFERROR(__xludf.DUMMYFUNCTION("""COMPUTED_VALUE"""),"Europe")</f>
        <v>Europe</v>
      </c>
      <c r="D167" s="90">
        <f>IFERROR(__xludf.DUMMYFUNCTION("""COMPUTED_VALUE"""),42583.0)</f>
        <v>42583</v>
      </c>
      <c r="E167" s="46">
        <f>IFERROR(__xludf.DUMMYFUNCTION("""COMPUTED_VALUE"""),2016.0)</f>
        <v>2016</v>
      </c>
      <c r="F167" s="46">
        <f>IFERROR(__xludf.DUMMYFUNCTION("""COMPUTED_VALUE"""),1.0)</f>
        <v>1</v>
      </c>
      <c r="G167" s="46">
        <f>IFERROR(__xludf.DUMMYFUNCTION("""COMPUTED_VALUE"""),9198.0)</f>
        <v>9198</v>
      </c>
      <c r="H167" s="46">
        <f>IFERROR(__xludf.DUMMYFUNCTION("""COMPUTED_VALUE"""),1005157.4400000001)</f>
        <v>1005157.44</v>
      </c>
      <c r="I167" s="46">
        <f>IFERROR(__xludf.DUMMYFUNCTION("""COMPUTED_VALUE"""),329656.32)</f>
        <v>329656.32</v>
      </c>
      <c r="J167" s="46">
        <f>IFERROR(__xludf.DUMMYFUNCTION("""COMPUTED_VALUE"""),675501.1200000001)</f>
        <v>675501.12</v>
      </c>
      <c r="K167" s="46" t="str">
        <f t="array" ref="K167">TEXT(D167, "mmmm")</f>
        <v>August</v>
      </c>
      <c r="M167" s="46" t="str">
        <f>IFERROR(__xludf.DUMMYFUNCTION("""COMPUTED_VALUE"""),"Luxembourg")</f>
        <v>Luxembourg</v>
      </c>
      <c r="N167" s="94">
        <f>IFERROR(__xludf.DUMMYFUNCTION("""COMPUTED_VALUE"""),40575.0)</f>
        <v>40575</v>
      </c>
      <c r="O167" s="46">
        <f>IFERROR(__xludf.DUMMYFUNCTION("""COMPUTED_VALUE"""),1.0)</f>
        <v>1</v>
      </c>
      <c r="P167" s="46">
        <f>IFERROR(__xludf.DUMMYFUNCTION("""COMPUTED_VALUE"""),955.0)</f>
        <v>955</v>
      </c>
      <c r="Q167" s="46">
        <f>IFERROR(__xludf.DUMMYFUNCTION("""COMPUTED_VALUE"""),145713.90000000002)</f>
        <v>145713.9</v>
      </c>
      <c r="R167" s="46">
        <f>IFERROR(__xludf.DUMMYFUNCTION("""COMPUTED_VALUE"""),93055.2)</f>
        <v>93055.2</v>
      </c>
      <c r="S167" s="46">
        <f>IFERROR(__xludf.DUMMYFUNCTION("""COMPUTED_VALUE"""),52658.700000000026)</f>
        <v>52658.7</v>
      </c>
    </row>
    <row r="168">
      <c r="A168" s="46" t="str">
        <f>IFERROR(__xludf.DUMMYFUNCTION("""COMPUTED_VALUE"""),"Cosmetics")</f>
        <v>Cosmetics</v>
      </c>
      <c r="B168" s="46" t="str">
        <f>IFERROR(__xludf.DUMMYFUNCTION("""COMPUTED_VALUE"""),"Ireland")</f>
        <v>Ireland</v>
      </c>
      <c r="C168" s="46" t="str">
        <f>IFERROR(__xludf.DUMMYFUNCTION("""COMPUTED_VALUE"""),"Europe")</f>
        <v>Europe</v>
      </c>
      <c r="D168" s="90">
        <f>IFERROR(__xludf.DUMMYFUNCTION("""COMPUTED_VALUE"""),42583.0)</f>
        <v>42583</v>
      </c>
      <c r="E168" s="46">
        <f>IFERROR(__xludf.DUMMYFUNCTION("""COMPUTED_VALUE"""),2016.0)</f>
        <v>2016</v>
      </c>
      <c r="F168" s="46">
        <f>IFERROR(__xludf.DUMMYFUNCTION("""COMPUTED_VALUE"""),1.0)</f>
        <v>1</v>
      </c>
      <c r="G168" s="46">
        <f>IFERROR(__xludf.DUMMYFUNCTION("""COMPUTED_VALUE"""),1625.0)</f>
        <v>1625</v>
      </c>
      <c r="H168" s="46">
        <f>IFERROR(__xludf.DUMMYFUNCTION("""COMPUTED_VALUE"""),710450.0)</f>
        <v>710450</v>
      </c>
      <c r="I168" s="46">
        <f>IFERROR(__xludf.DUMMYFUNCTION("""COMPUTED_VALUE"""),427911.25)</f>
        <v>427911.25</v>
      </c>
      <c r="J168" s="46">
        <f>IFERROR(__xludf.DUMMYFUNCTION("""COMPUTED_VALUE"""),282538.75)</f>
        <v>282538.75</v>
      </c>
      <c r="K168" s="46" t="str">
        <f t="array" ref="K168">TEXT(D168, "mmmm")</f>
        <v>August</v>
      </c>
      <c r="M168" s="46" t="str">
        <f>IFERROR(__xludf.DUMMYFUNCTION("""COMPUTED_VALUE"""),"Netherlands")</f>
        <v>Netherlands</v>
      </c>
      <c r="N168" s="94">
        <f>IFERROR(__xludf.DUMMYFUNCTION("""COMPUTED_VALUE"""),40575.0)</f>
        <v>40575</v>
      </c>
      <c r="O168" s="46">
        <f>IFERROR(__xludf.DUMMYFUNCTION("""COMPUTED_VALUE"""),2.0)</f>
        <v>2</v>
      </c>
      <c r="P168" s="46">
        <f>IFERROR(__xludf.DUMMYFUNCTION("""COMPUTED_VALUE"""),7660.0)</f>
        <v>7660</v>
      </c>
      <c r="Q168" s="46">
        <f>IFERROR(__xludf.DUMMYFUNCTION("""COMPUTED_VALUE"""),2672245.24)</f>
        <v>2672245.24</v>
      </c>
      <c r="R168" s="46">
        <f>IFERROR(__xludf.DUMMYFUNCTION("""COMPUTED_VALUE"""),2129393.48)</f>
        <v>2129393.48</v>
      </c>
      <c r="S168" s="46">
        <f>IFERROR(__xludf.DUMMYFUNCTION("""COMPUTED_VALUE"""),542851.76)</f>
        <v>542851.76</v>
      </c>
    </row>
    <row r="169">
      <c r="A169" s="46" t="str">
        <f>IFERROR(__xludf.DUMMYFUNCTION("""COMPUTED_VALUE"""),"Household")</f>
        <v>Household</v>
      </c>
      <c r="B169" s="46" t="str">
        <f>IFERROR(__xludf.DUMMYFUNCTION("""COMPUTED_VALUE"""),"Andorra")</f>
        <v>Andorra</v>
      </c>
      <c r="C169" s="46" t="str">
        <f>IFERROR(__xludf.DUMMYFUNCTION("""COMPUTED_VALUE"""),"Europe")</f>
        <v>Europe</v>
      </c>
      <c r="D169" s="90">
        <f>IFERROR(__xludf.DUMMYFUNCTION("""COMPUTED_VALUE"""),42583.0)</f>
        <v>42583</v>
      </c>
      <c r="E169" s="46">
        <f>IFERROR(__xludf.DUMMYFUNCTION("""COMPUTED_VALUE"""),2016.0)</f>
        <v>2016</v>
      </c>
      <c r="F169" s="46">
        <f>IFERROR(__xludf.DUMMYFUNCTION("""COMPUTED_VALUE"""),1.0)</f>
        <v>1</v>
      </c>
      <c r="G169" s="46">
        <f>IFERROR(__xludf.DUMMYFUNCTION("""COMPUTED_VALUE"""),7518.0)</f>
        <v>7518</v>
      </c>
      <c r="H169" s="46">
        <f>IFERROR(__xludf.DUMMYFUNCTION("""COMPUTED_VALUE"""),5024053.859999999)</f>
        <v>5024053.86</v>
      </c>
      <c r="I169" s="46">
        <f>IFERROR(__xludf.DUMMYFUNCTION("""COMPUTED_VALUE"""),3778095.72)</f>
        <v>3778095.72</v>
      </c>
      <c r="J169" s="46">
        <f>IFERROR(__xludf.DUMMYFUNCTION("""COMPUTED_VALUE"""),1245958.1399999992)</f>
        <v>1245958.14</v>
      </c>
      <c r="K169" s="46" t="str">
        <f t="array" ref="K169">TEXT(D169, "mmmm")</f>
        <v>August</v>
      </c>
      <c r="M169" s="46" t="str">
        <f>IFERROR(__xludf.DUMMYFUNCTION("""COMPUTED_VALUE"""),"San Marino")</f>
        <v>San Marino</v>
      </c>
      <c r="N169" s="94">
        <f>IFERROR(__xludf.DUMMYFUNCTION("""COMPUTED_VALUE"""),40575.0)</f>
        <v>40575</v>
      </c>
      <c r="O169" s="46">
        <f>IFERROR(__xludf.DUMMYFUNCTION("""COMPUTED_VALUE"""),1.0)</f>
        <v>1</v>
      </c>
      <c r="P169" s="46">
        <f>IFERROR(__xludf.DUMMYFUNCTION("""COMPUTED_VALUE"""),1856.0)</f>
        <v>1856</v>
      </c>
      <c r="Q169" s="46">
        <f>IFERROR(__xludf.DUMMYFUNCTION("""COMPUTED_VALUE"""),473799.68)</f>
        <v>473799.68</v>
      </c>
      <c r="R169" s="46">
        <f>IFERROR(__xludf.DUMMYFUNCTION("""COMPUTED_VALUE"""),295883.51999999996)</f>
        <v>295883.52</v>
      </c>
      <c r="S169" s="46">
        <f>IFERROR(__xludf.DUMMYFUNCTION("""COMPUTED_VALUE"""),177916.16000000003)</f>
        <v>177916.16</v>
      </c>
    </row>
    <row r="170">
      <c r="A170" s="46" t="str">
        <f>IFERROR(__xludf.DUMMYFUNCTION("""COMPUTED_VALUE"""),"Household")</f>
        <v>Household</v>
      </c>
      <c r="B170" s="46" t="str">
        <f>IFERROR(__xludf.DUMMYFUNCTION("""COMPUTED_VALUE"""),"Germany")</f>
        <v>Germany</v>
      </c>
      <c r="C170" s="46" t="str">
        <f>IFERROR(__xludf.DUMMYFUNCTION("""COMPUTED_VALUE"""),"Europe")</f>
        <v>Europe</v>
      </c>
      <c r="D170" s="90">
        <f>IFERROR(__xludf.DUMMYFUNCTION("""COMPUTED_VALUE"""),42583.0)</f>
        <v>42583</v>
      </c>
      <c r="E170" s="46">
        <f>IFERROR(__xludf.DUMMYFUNCTION("""COMPUTED_VALUE"""),2016.0)</f>
        <v>2016</v>
      </c>
      <c r="F170" s="46">
        <f>IFERROR(__xludf.DUMMYFUNCTION("""COMPUTED_VALUE"""),1.0)</f>
        <v>1</v>
      </c>
      <c r="G170" s="46">
        <f>IFERROR(__xludf.DUMMYFUNCTION("""COMPUTED_VALUE"""),5933.0)</f>
        <v>5933</v>
      </c>
      <c r="H170" s="46">
        <f>IFERROR(__xludf.DUMMYFUNCTION("""COMPUTED_VALUE"""),3964845.9099999997)</f>
        <v>3964845.91</v>
      </c>
      <c r="I170" s="46">
        <f>IFERROR(__xludf.DUMMYFUNCTION("""COMPUTED_VALUE"""),2981569.8200000003)</f>
        <v>2981569.82</v>
      </c>
      <c r="J170" s="46">
        <f>IFERROR(__xludf.DUMMYFUNCTION("""COMPUTED_VALUE"""),983276.0899999994)</f>
        <v>983276.09</v>
      </c>
      <c r="K170" s="46" t="str">
        <f t="array" ref="K170">TEXT(D170, "mmmm")</f>
        <v>August</v>
      </c>
      <c r="M170" s="46" t="str">
        <f>IFERROR(__xludf.DUMMYFUNCTION("""COMPUTED_VALUE"""),"Slovenia")</f>
        <v>Slovenia</v>
      </c>
      <c r="N170" s="94">
        <f>IFERROR(__xludf.DUMMYFUNCTION("""COMPUTED_VALUE"""),40575.0)</f>
        <v>40575</v>
      </c>
      <c r="O170" s="46">
        <f>IFERROR(__xludf.DUMMYFUNCTION("""COMPUTED_VALUE"""),1.0)</f>
        <v>1</v>
      </c>
      <c r="P170" s="46">
        <f>IFERROR(__xludf.DUMMYFUNCTION("""COMPUTED_VALUE"""),7404.0)</f>
        <v>7404</v>
      </c>
      <c r="Q170" s="46">
        <f>IFERROR(__xludf.DUMMYFUNCTION("""COMPUTED_VALUE"""),351319.80000000005)</f>
        <v>351319.8</v>
      </c>
      <c r="R170" s="46">
        <f>IFERROR(__xludf.DUMMYFUNCTION("""COMPUTED_VALUE"""),235373.16)</f>
        <v>235373.16</v>
      </c>
      <c r="S170" s="46">
        <f>IFERROR(__xludf.DUMMYFUNCTION("""COMPUTED_VALUE"""),115946.64000000004)</f>
        <v>115946.64</v>
      </c>
    </row>
    <row r="171">
      <c r="A171" s="46" t="str">
        <f>IFERROR(__xludf.DUMMYFUNCTION("""COMPUTED_VALUE"""),"Household")</f>
        <v>Household</v>
      </c>
      <c r="B171" s="46" t="str">
        <f>IFERROR(__xludf.DUMMYFUNCTION("""COMPUTED_VALUE"""),"Latvia")</f>
        <v>Latvia</v>
      </c>
      <c r="C171" s="46" t="str">
        <f>IFERROR(__xludf.DUMMYFUNCTION("""COMPUTED_VALUE"""),"Europe")</f>
        <v>Europe</v>
      </c>
      <c r="D171" s="90">
        <f>IFERROR(__xludf.DUMMYFUNCTION("""COMPUTED_VALUE"""),42583.0)</f>
        <v>42583</v>
      </c>
      <c r="E171" s="46">
        <f>IFERROR(__xludf.DUMMYFUNCTION("""COMPUTED_VALUE"""),2016.0)</f>
        <v>2016</v>
      </c>
      <c r="F171" s="46">
        <f>IFERROR(__xludf.DUMMYFUNCTION("""COMPUTED_VALUE"""),1.0)</f>
        <v>1</v>
      </c>
      <c r="G171" s="46">
        <f>IFERROR(__xludf.DUMMYFUNCTION("""COMPUTED_VALUE"""),7426.0)</f>
        <v>7426</v>
      </c>
      <c r="H171" s="46">
        <f>IFERROR(__xludf.DUMMYFUNCTION("""COMPUTED_VALUE"""),4962573.02)</f>
        <v>4962573.02</v>
      </c>
      <c r="I171" s="46">
        <f>IFERROR(__xludf.DUMMYFUNCTION("""COMPUTED_VALUE"""),3731862.04)</f>
        <v>3731862.04</v>
      </c>
      <c r="J171" s="46">
        <f>IFERROR(__xludf.DUMMYFUNCTION("""COMPUTED_VALUE"""),1230710.9799999995)</f>
        <v>1230710.98</v>
      </c>
      <c r="K171" s="46" t="str">
        <f t="array" ref="K171">TEXT(D171, "mmmm")</f>
        <v>August</v>
      </c>
      <c r="M171" s="46" t="str">
        <f>IFERROR(__xludf.DUMMYFUNCTION("""COMPUTED_VALUE"""),"Ukraine")</f>
        <v>Ukraine</v>
      </c>
      <c r="N171" s="94">
        <f>IFERROR(__xludf.DUMMYFUNCTION("""COMPUTED_VALUE"""),40575.0)</f>
        <v>40575</v>
      </c>
      <c r="O171" s="46">
        <f>IFERROR(__xludf.DUMMYFUNCTION("""COMPUTED_VALUE"""),2.0)</f>
        <v>2</v>
      </c>
      <c r="P171" s="46">
        <f>IFERROR(__xludf.DUMMYFUNCTION("""COMPUTED_VALUE"""),9149.0)</f>
        <v>9149</v>
      </c>
      <c r="Q171" s="46">
        <f>IFERROR(__xludf.DUMMYFUNCTION("""COMPUTED_VALUE"""),1091268.64)</f>
        <v>1091268.64</v>
      </c>
      <c r="R171" s="46">
        <f>IFERROR(__xludf.DUMMYFUNCTION("""COMPUTED_VALUE"""),685953.0700000001)</f>
        <v>685953.07</v>
      </c>
      <c r="S171" s="46">
        <f>IFERROR(__xludf.DUMMYFUNCTION("""COMPUTED_VALUE"""),405315.56999999995)</f>
        <v>405315.57</v>
      </c>
    </row>
    <row r="172">
      <c r="A172" s="46" t="str">
        <f>IFERROR(__xludf.DUMMYFUNCTION("""COMPUTED_VALUE"""),"Meat")</f>
        <v>Meat</v>
      </c>
      <c r="B172" s="46" t="str">
        <f>IFERROR(__xludf.DUMMYFUNCTION("""COMPUTED_VALUE"""),"Andorra")</f>
        <v>Andorra</v>
      </c>
      <c r="C172" s="46" t="str">
        <f>IFERROR(__xludf.DUMMYFUNCTION("""COMPUTED_VALUE"""),"Europe")</f>
        <v>Europe</v>
      </c>
      <c r="D172" s="90">
        <f>IFERROR(__xludf.DUMMYFUNCTION("""COMPUTED_VALUE"""),42583.0)</f>
        <v>42583</v>
      </c>
      <c r="E172" s="46">
        <f>IFERROR(__xludf.DUMMYFUNCTION("""COMPUTED_VALUE"""),2016.0)</f>
        <v>2016</v>
      </c>
      <c r="F172" s="46">
        <f>IFERROR(__xludf.DUMMYFUNCTION("""COMPUTED_VALUE"""),1.0)</f>
        <v>1</v>
      </c>
      <c r="G172" s="46">
        <f>IFERROR(__xludf.DUMMYFUNCTION("""COMPUTED_VALUE"""),3682.0)</f>
        <v>3682</v>
      </c>
      <c r="H172" s="46">
        <f>IFERROR(__xludf.DUMMYFUNCTION("""COMPUTED_VALUE"""),1553398.98)</f>
        <v>1553398.98</v>
      </c>
      <c r="I172" s="46">
        <f>IFERROR(__xludf.DUMMYFUNCTION("""COMPUTED_VALUE"""),1342788.58)</f>
        <v>1342788.58</v>
      </c>
      <c r="J172" s="46">
        <f>IFERROR(__xludf.DUMMYFUNCTION("""COMPUTED_VALUE"""),210610.3999999999)</f>
        <v>210610.4</v>
      </c>
      <c r="K172" s="46" t="str">
        <f t="array" ref="K172">TEXT(D172, "mmmm")</f>
        <v>August</v>
      </c>
      <c r="M172" s="46" t="str">
        <f>IFERROR(__xludf.DUMMYFUNCTION("""COMPUTED_VALUE"""),"Undefined")</f>
        <v>Undefined</v>
      </c>
      <c r="N172" s="94">
        <f>IFERROR(__xludf.DUMMYFUNCTION("""COMPUTED_VALUE"""),40575.0)</f>
        <v>40575</v>
      </c>
      <c r="O172" s="46">
        <f>IFERROR(__xludf.DUMMYFUNCTION("""COMPUTED_VALUE"""),2.0)</f>
        <v>2</v>
      </c>
      <c r="P172" s="46">
        <f>IFERROR(__xludf.DUMMYFUNCTION("""COMPUTED_VALUE"""),11447.0)</f>
        <v>11447</v>
      </c>
      <c r="Q172" s="46">
        <f>IFERROR(__xludf.DUMMYFUNCTION("""COMPUTED_VALUE"""),5776459.55)</f>
        <v>5776459.55</v>
      </c>
      <c r="R172" s="46">
        <f>IFERROR(__xludf.DUMMYFUNCTION("""COMPUTED_VALUE"""),4704501.83)</f>
        <v>4704501.83</v>
      </c>
      <c r="S172" s="46">
        <f>IFERROR(__xludf.DUMMYFUNCTION("""COMPUTED_VALUE"""),1071957.72)</f>
        <v>1071957.72</v>
      </c>
    </row>
    <row r="173">
      <c r="A173" s="46" t="str">
        <f>IFERROR(__xludf.DUMMYFUNCTION("""COMPUTED_VALUE"""),"Office Supplies")</f>
        <v>Office Supplies</v>
      </c>
      <c r="B173" s="46" t="str">
        <f>IFERROR(__xludf.DUMMYFUNCTION("""COMPUTED_VALUE"""),"Albania")</f>
        <v>Albania</v>
      </c>
      <c r="C173" s="46" t="str">
        <f>IFERROR(__xludf.DUMMYFUNCTION("""COMPUTED_VALUE"""),"Europe")</f>
        <v>Europe</v>
      </c>
      <c r="D173" s="90">
        <f>IFERROR(__xludf.DUMMYFUNCTION("""COMPUTED_VALUE"""),42583.0)</f>
        <v>42583</v>
      </c>
      <c r="E173" s="46">
        <f>IFERROR(__xludf.DUMMYFUNCTION("""COMPUTED_VALUE"""),2016.0)</f>
        <v>2016</v>
      </c>
      <c r="F173" s="46">
        <f>IFERROR(__xludf.DUMMYFUNCTION("""COMPUTED_VALUE"""),1.0)</f>
        <v>1</v>
      </c>
      <c r="G173" s="46">
        <f>IFERROR(__xludf.DUMMYFUNCTION("""COMPUTED_VALUE"""),1342.0)</f>
        <v>1342</v>
      </c>
      <c r="H173" s="46">
        <f>IFERROR(__xludf.DUMMYFUNCTION("""COMPUTED_VALUE"""),873923.8200000001)</f>
        <v>873923.82</v>
      </c>
      <c r="I173" s="46">
        <f>IFERROR(__xludf.DUMMYFUNCTION("""COMPUTED_VALUE"""),704496.3200000001)</f>
        <v>704496.32</v>
      </c>
      <c r="J173" s="46">
        <f>IFERROR(__xludf.DUMMYFUNCTION("""COMPUTED_VALUE"""),169427.5)</f>
        <v>169427.5</v>
      </c>
      <c r="K173" s="46" t="str">
        <f t="array" ref="K173">TEXT(D173, "mmmm")</f>
        <v>August</v>
      </c>
      <c r="M173" s="46" t="str">
        <f>IFERROR(__xludf.DUMMYFUNCTION("""COMPUTED_VALUE"""),"Armenia")</f>
        <v>Armenia</v>
      </c>
      <c r="N173" s="94">
        <f>IFERROR(__xludf.DUMMYFUNCTION("""COMPUTED_VALUE"""),40603.0)</f>
        <v>40603</v>
      </c>
      <c r="O173" s="46">
        <f>IFERROR(__xludf.DUMMYFUNCTION("""COMPUTED_VALUE"""),2.0)</f>
        <v>2</v>
      </c>
      <c r="P173" s="46">
        <f>IFERROR(__xludf.DUMMYFUNCTION("""COMPUTED_VALUE"""),12845.0)</f>
        <v>12845</v>
      </c>
      <c r="Q173" s="46">
        <f>IFERROR(__xludf.DUMMYFUNCTION("""COMPUTED_VALUE"""),689835.6000000001)</f>
        <v>689835.6</v>
      </c>
      <c r="R173" s="46">
        <f>IFERROR(__xludf.DUMMYFUNCTION("""COMPUTED_VALUE"""),449066.48)</f>
        <v>449066.48</v>
      </c>
      <c r="S173" s="46">
        <f>IFERROR(__xludf.DUMMYFUNCTION("""COMPUTED_VALUE"""),240769.12000000005)</f>
        <v>240769.12</v>
      </c>
    </row>
    <row r="174">
      <c r="A174" s="46" t="str">
        <f>IFERROR(__xludf.DUMMYFUNCTION("""COMPUTED_VALUE"""),"Snacks")</f>
        <v>Snacks</v>
      </c>
      <c r="B174" s="46" t="str">
        <f>IFERROR(__xludf.DUMMYFUNCTION("""COMPUTED_VALUE"""),"Greece")</f>
        <v>Greece</v>
      </c>
      <c r="C174" s="46" t="str">
        <f>IFERROR(__xludf.DUMMYFUNCTION("""COMPUTED_VALUE"""),"Europe")</f>
        <v>Europe</v>
      </c>
      <c r="D174" s="90">
        <f>IFERROR(__xludf.DUMMYFUNCTION("""COMPUTED_VALUE"""),42583.0)</f>
        <v>42583</v>
      </c>
      <c r="E174" s="46">
        <f>IFERROR(__xludf.DUMMYFUNCTION("""COMPUTED_VALUE"""),2016.0)</f>
        <v>2016</v>
      </c>
      <c r="F174" s="46">
        <f>IFERROR(__xludf.DUMMYFUNCTION("""COMPUTED_VALUE"""),1.0)</f>
        <v>1</v>
      </c>
      <c r="G174" s="46">
        <f>IFERROR(__xludf.DUMMYFUNCTION("""COMPUTED_VALUE"""),480.0)</f>
        <v>480</v>
      </c>
      <c r="H174" s="46">
        <f>IFERROR(__xludf.DUMMYFUNCTION("""COMPUTED_VALUE"""),73238.40000000001)</f>
        <v>73238.4</v>
      </c>
      <c r="I174" s="46">
        <f>IFERROR(__xludf.DUMMYFUNCTION("""COMPUTED_VALUE"""),46771.2)</f>
        <v>46771.2</v>
      </c>
      <c r="J174" s="46">
        <f>IFERROR(__xludf.DUMMYFUNCTION("""COMPUTED_VALUE"""),26467.20000000001)</f>
        <v>26467.2</v>
      </c>
      <c r="K174" s="46" t="str">
        <f t="array" ref="K174">TEXT(D174, "mmmm")</f>
        <v>August</v>
      </c>
      <c r="M174" s="46" t="str">
        <f>IFERROR(__xludf.DUMMYFUNCTION("""COMPUTED_VALUE"""),"Bosnia and Herzegovina")</f>
        <v>Bosnia and Herzegovina</v>
      </c>
      <c r="N174" s="94">
        <f>IFERROR(__xludf.DUMMYFUNCTION("""COMPUTED_VALUE"""),40603.0)</f>
        <v>40603</v>
      </c>
      <c r="O174" s="46">
        <f>IFERROR(__xludf.DUMMYFUNCTION("""COMPUTED_VALUE"""),1.0)</f>
        <v>1</v>
      </c>
      <c r="P174" s="46">
        <f>IFERROR(__xludf.DUMMYFUNCTION("""COMPUTED_VALUE"""),710.0)</f>
        <v>710</v>
      </c>
      <c r="Q174" s="46">
        <f>IFERROR(__xludf.DUMMYFUNCTION("""COMPUTED_VALUE"""),146047.0)</f>
        <v>146047</v>
      </c>
      <c r="R174" s="46">
        <f>IFERROR(__xludf.DUMMYFUNCTION("""COMPUTED_VALUE"""),83148.1)</f>
        <v>83148.1</v>
      </c>
      <c r="S174" s="46">
        <f>IFERROR(__xludf.DUMMYFUNCTION("""COMPUTED_VALUE"""),62898.899999999994)</f>
        <v>62898.9</v>
      </c>
    </row>
    <row r="175">
      <c r="A175" s="46" t="str">
        <f>IFERROR(__xludf.DUMMYFUNCTION("""COMPUTED_VALUE"""),"Vegetables")</f>
        <v>Vegetables</v>
      </c>
      <c r="B175" s="46" t="str">
        <f>IFERROR(__xludf.DUMMYFUNCTION("""COMPUTED_VALUE"""),"Belarus")</f>
        <v>Belarus</v>
      </c>
      <c r="C175" s="46" t="str">
        <f>IFERROR(__xludf.DUMMYFUNCTION("""COMPUTED_VALUE"""),"Europe")</f>
        <v>Europe</v>
      </c>
      <c r="D175" s="90">
        <f>IFERROR(__xludf.DUMMYFUNCTION("""COMPUTED_VALUE"""),42583.0)</f>
        <v>42583</v>
      </c>
      <c r="E175" s="46">
        <f>IFERROR(__xludf.DUMMYFUNCTION("""COMPUTED_VALUE"""),2016.0)</f>
        <v>2016</v>
      </c>
      <c r="F175" s="46">
        <f>IFERROR(__xludf.DUMMYFUNCTION("""COMPUTED_VALUE"""),1.0)</f>
        <v>1</v>
      </c>
      <c r="G175" s="46">
        <f>IFERROR(__xludf.DUMMYFUNCTION("""COMPUTED_VALUE"""),1220.0)</f>
        <v>1220</v>
      </c>
      <c r="H175" s="46">
        <f>IFERROR(__xludf.DUMMYFUNCTION("""COMPUTED_VALUE"""),187953.2)</f>
        <v>187953.2</v>
      </c>
      <c r="I175" s="46">
        <f>IFERROR(__xludf.DUMMYFUNCTION("""COMPUTED_VALUE"""),110934.6)</f>
        <v>110934.6</v>
      </c>
      <c r="J175" s="46">
        <f>IFERROR(__xludf.DUMMYFUNCTION("""COMPUTED_VALUE"""),77018.6)</f>
        <v>77018.6</v>
      </c>
      <c r="K175" s="46" t="str">
        <f t="array" ref="K175">TEXT(D175, "mmmm")</f>
        <v>August</v>
      </c>
      <c r="M175" s="46" t="str">
        <f>IFERROR(__xludf.DUMMYFUNCTION("""COMPUTED_VALUE"""),"Croatia")</f>
        <v>Croatia</v>
      </c>
      <c r="N175" s="94">
        <f>IFERROR(__xludf.DUMMYFUNCTION("""COMPUTED_VALUE"""),40603.0)</f>
        <v>40603</v>
      </c>
      <c r="O175" s="46">
        <f>IFERROR(__xludf.DUMMYFUNCTION("""COMPUTED_VALUE"""),1.0)</f>
        <v>1</v>
      </c>
      <c r="P175" s="46">
        <f>IFERROR(__xludf.DUMMYFUNCTION("""COMPUTED_VALUE"""),347.0)</f>
        <v>347</v>
      </c>
      <c r="Q175" s="46">
        <f>IFERROR(__xludf.DUMMYFUNCTION("""COMPUTED_VALUE"""),52945.26)</f>
        <v>52945.26</v>
      </c>
      <c r="R175" s="46">
        <f>IFERROR(__xludf.DUMMYFUNCTION("""COMPUTED_VALUE"""),33811.68)</f>
        <v>33811.68</v>
      </c>
      <c r="S175" s="46">
        <f>IFERROR(__xludf.DUMMYFUNCTION("""COMPUTED_VALUE"""),19133.58)</f>
        <v>19133.58</v>
      </c>
    </row>
    <row r="176">
      <c r="A176" s="46" t="str">
        <f>IFERROR(__xludf.DUMMYFUNCTION("""COMPUTED_VALUE"""),"Vegetables")</f>
        <v>Vegetables</v>
      </c>
      <c r="B176" s="46" t="str">
        <f>IFERROR(__xludf.DUMMYFUNCTION("""COMPUTED_VALUE"""),"Liechtenstein")</f>
        <v>Liechtenstein</v>
      </c>
      <c r="C176" s="46" t="str">
        <f>IFERROR(__xludf.DUMMYFUNCTION("""COMPUTED_VALUE"""),"Europe")</f>
        <v>Europe</v>
      </c>
      <c r="D176" s="90">
        <f>IFERROR(__xludf.DUMMYFUNCTION("""COMPUTED_VALUE"""),42583.0)</f>
        <v>42583</v>
      </c>
      <c r="E176" s="46">
        <f>IFERROR(__xludf.DUMMYFUNCTION("""COMPUTED_VALUE"""),2016.0)</f>
        <v>2016</v>
      </c>
      <c r="F176" s="46">
        <f>IFERROR(__xludf.DUMMYFUNCTION("""COMPUTED_VALUE"""),1.0)</f>
        <v>1</v>
      </c>
      <c r="G176" s="46">
        <f>IFERROR(__xludf.DUMMYFUNCTION("""COMPUTED_VALUE"""),7523.0)</f>
        <v>7523</v>
      </c>
      <c r="H176" s="46">
        <f>IFERROR(__xludf.DUMMYFUNCTION("""COMPUTED_VALUE"""),1158993.3800000001)</f>
        <v>1158993.38</v>
      </c>
      <c r="I176" s="46">
        <f>IFERROR(__xludf.DUMMYFUNCTION("""COMPUTED_VALUE"""),684066.39)</f>
        <v>684066.39</v>
      </c>
      <c r="J176" s="46">
        <f>IFERROR(__xludf.DUMMYFUNCTION("""COMPUTED_VALUE"""),474926.9900000001)</f>
        <v>474926.99</v>
      </c>
      <c r="K176" s="46" t="str">
        <f t="array" ref="K176">TEXT(D176, "mmmm")</f>
        <v>August</v>
      </c>
      <c r="M176" s="46" t="str">
        <f>IFERROR(__xludf.DUMMYFUNCTION("""COMPUTED_VALUE"""),"Denmark")</f>
        <v>Denmark</v>
      </c>
      <c r="N176" s="94">
        <f>IFERROR(__xludf.DUMMYFUNCTION("""COMPUTED_VALUE"""),40603.0)</f>
        <v>40603</v>
      </c>
      <c r="O176" s="46">
        <f>IFERROR(__xludf.DUMMYFUNCTION("""COMPUTED_VALUE"""),1.0)</f>
        <v>1</v>
      </c>
      <c r="P176" s="46">
        <f>IFERROR(__xludf.DUMMYFUNCTION("""COMPUTED_VALUE"""),5641.0)</f>
        <v>5641</v>
      </c>
      <c r="Q176" s="46">
        <f>IFERROR(__xludf.DUMMYFUNCTION("""COMPUTED_VALUE"""),52630.53)</f>
        <v>52630.53</v>
      </c>
      <c r="R176" s="46">
        <f>IFERROR(__xludf.DUMMYFUNCTION("""COMPUTED_VALUE"""),39035.72)</f>
        <v>39035.72</v>
      </c>
      <c r="S176" s="46">
        <f>IFERROR(__xludf.DUMMYFUNCTION("""COMPUTED_VALUE"""),13594.809999999998)</f>
        <v>13594.81</v>
      </c>
    </row>
    <row r="177">
      <c r="A177" s="46" t="str">
        <f>IFERROR(__xludf.DUMMYFUNCTION("""COMPUTED_VALUE"""),"Baby Food")</f>
        <v>Baby Food</v>
      </c>
      <c r="B177" s="46" t="str">
        <f>IFERROR(__xludf.DUMMYFUNCTION("""COMPUTED_VALUE"""),"Bosnia and Herzegovina")</f>
        <v>Bosnia and Herzegovina</v>
      </c>
      <c r="C177" s="46" t="str">
        <f>IFERROR(__xludf.DUMMYFUNCTION("""COMPUTED_VALUE"""),"Europe")</f>
        <v>Europe</v>
      </c>
      <c r="D177" s="90">
        <f>IFERROR(__xludf.DUMMYFUNCTION("""COMPUTED_VALUE"""),42552.0)</f>
        <v>42552</v>
      </c>
      <c r="E177" s="46">
        <f>IFERROR(__xludf.DUMMYFUNCTION("""COMPUTED_VALUE"""),2016.0)</f>
        <v>2016</v>
      </c>
      <c r="F177" s="46">
        <f>IFERROR(__xludf.DUMMYFUNCTION("""COMPUTED_VALUE"""),1.0)</f>
        <v>1</v>
      </c>
      <c r="G177" s="46">
        <f>IFERROR(__xludf.DUMMYFUNCTION("""COMPUTED_VALUE"""),6997.0)</f>
        <v>6997</v>
      </c>
      <c r="H177" s="46">
        <f>IFERROR(__xludf.DUMMYFUNCTION("""COMPUTED_VALUE"""),1786194.16)</f>
        <v>1786194.16</v>
      </c>
      <c r="I177" s="46">
        <f>IFERROR(__xludf.DUMMYFUNCTION("""COMPUTED_VALUE"""),1115461.74)</f>
        <v>1115461.74</v>
      </c>
      <c r="J177" s="46">
        <f>IFERROR(__xludf.DUMMYFUNCTION("""COMPUTED_VALUE"""),670732.4199999999)</f>
        <v>670732.42</v>
      </c>
      <c r="K177" s="46" t="str">
        <f t="array" ref="K177">TEXT(D177, "mmmm")</f>
        <v>July</v>
      </c>
      <c r="M177" s="46" t="str">
        <f>IFERROR(__xludf.DUMMYFUNCTION("""COMPUTED_VALUE"""),"France")</f>
        <v>France</v>
      </c>
      <c r="N177" s="94">
        <f>IFERROR(__xludf.DUMMYFUNCTION("""COMPUTED_VALUE"""),40603.0)</f>
        <v>40603</v>
      </c>
      <c r="O177" s="46">
        <f>IFERROR(__xludf.DUMMYFUNCTION("""COMPUTED_VALUE"""),1.0)</f>
        <v>1</v>
      </c>
      <c r="P177" s="46">
        <f>IFERROR(__xludf.DUMMYFUNCTION("""COMPUTED_VALUE"""),8729.0)</f>
        <v>8729</v>
      </c>
      <c r="Q177" s="46">
        <f>IFERROR(__xludf.DUMMYFUNCTION("""COMPUTED_VALUE"""),713421.17)</f>
        <v>713421.17</v>
      </c>
      <c r="R177" s="46">
        <f>IFERROR(__xludf.DUMMYFUNCTION("""COMPUTED_VALUE"""),494672.43)</f>
        <v>494672.43</v>
      </c>
      <c r="S177" s="46">
        <f>IFERROR(__xludf.DUMMYFUNCTION("""COMPUTED_VALUE"""),218748.74000000005)</f>
        <v>218748.74</v>
      </c>
    </row>
    <row r="178">
      <c r="A178" s="46" t="str">
        <f>IFERROR(__xludf.DUMMYFUNCTION("""COMPUTED_VALUE"""),"Cereal")</f>
        <v>Cereal</v>
      </c>
      <c r="B178" s="46" t="str">
        <f>IFERROR(__xludf.DUMMYFUNCTION("""COMPUTED_VALUE"""),"Ireland")</f>
        <v>Ireland</v>
      </c>
      <c r="C178" s="46" t="str">
        <f>IFERROR(__xludf.DUMMYFUNCTION("""COMPUTED_VALUE"""),"Europe")</f>
        <v>Europe</v>
      </c>
      <c r="D178" s="90">
        <f>IFERROR(__xludf.DUMMYFUNCTION("""COMPUTED_VALUE"""),42552.0)</f>
        <v>42552</v>
      </c>
      <c r="E178" s="46">
        <f>IFERROR(__xludf.DUMMYFUNCTION("""COMPUTED_VALUE"""),2016.0)</f>
        <v>2016</v>
      </c>
      <c r="F178" s="46">
        <f>IFERROR(__xludf.DUMMYFUNCTION("""COMPUTED_VALUE"""),1.0)</f>
        <v>1</v>
      </c>
      <c r="G178" s="46">
        <f>IFERROR(__xludf.DUMMYFUNCTION("""COMPUTED_VALUE"""),4966.0)</f>
        <v>4966</v>
      </c>
      <c r="H178" s="46">
        <f>IFERROR(__xludf.DUMMYFUNCTION("""COMPUTED_VALUE"""),1021506.2)</f>
        <v>1021506.2</v>
      </c>
      <c r="I178" s="46">
        <f>IFERROR(__xludf.DUMMYFUNCTION("""COMPUTED_VALUE"""),581568.26)</f>
        <v>581568.26</v>
      </c>
      <c r="J178" s="46">
        <f>IFERROR(__xludf.DUMMYFUNCTION("""COMPUTED_VALUE"""),439937.93999999994)</f>
        <v>439937.94</v>
      </c>
      <c r="K178" s="46" t="str">
        <f t="array" ref="K178">TEXT(D178, "mmmm")</f>
        <v>July</v>
      </c>
      <c r="M178" s="46" t="str">
        <f>IFERROR(__xludf.DUMMYFUNCTION("""COMPUTED_VALUE"""),"Germany")</f>
        <v>Germany</v>
      </c>
      <c r="N178" s="94">
        <f>IFERROR(__xludf.DUMMYFUNCTION("""COMPUTED_VALUE"""),40603.0)</f>
        <v>40603</v>
      </c>
      <c r="O178" s="46">
        <f>IFERROR(__xludf.DUMMYFUNCTION("""COMPUTED_VALUE"""),1.0)</f>
        <v>1</v>
      </c>
      <c r="P178" s="46">
        <f>IFERROR(__xludf.DUMMYFUNCTION("""COMPUTED_VALUE"""),5579.0)</f>
        <v>5579</v>
      </c>
      <c r="Q178" s="46">
        <f>IFERROR(__xludf.DUMMYFUNCTION("""COMPUTED_VALUE"""),859500.74)</f>
        <v>859500.74</v>
      </c>
      <c r="R178" s="46">
        <f>IFERROR(__xludf.DUMMYFUNCTION("""COMPUTED_VALUE"""),507298.47000000003)</f>
        <v>507298.47</v>
      </c>
      <c r="S178" s="46">
        <f>IFERROR(__xludf.DUMMYFUNCTION("""COMPUTED_VALUE"""),352202.26999999996)</f>
        <v>352202.27</v>
      </c>
    </row>
    <row r="179">
      <c r="A179" s="46" t="str">
        <f>IFERROR(__xludf.DUMMYFUNCTION("""COMPUTED_VALUE"""),"Clothes")</f>
        <v>Clothes</v>
      </c>
      <c r="B179" s="46" t="str">
        <f>IFERROR(__xludf.DUMMYFUNCTION("""COMPUTED_VALUE"""),"Belarus")</f>
        <v>Belarus</v>
      </c>
      <c r="C179" s="46" t="str">
        <f>IFERROR(__xludf.DUMMYFUNCTION("""COMPUTED_VALUE"""),"Europe")</f>
        <v>Europe</v>
      </c>
      <c r="D179" s="90">
        <f>IFERROR(__xludf.DUMMYFUNCTION("""COMPUTED_VALUE"""),42552.0)</f>
        <v>42552</v>
      </c>
      <c r="E179" s="46">
        <f>IFERROR(__xludf.DUMMYFUNCTION("""COMPUTED_VALUE"""),2016.0)</f>
        <v>2016</v>
      </c>
      <c r="F179" s="46">
        <f>IFERROR(__xludf.DUMMYFUNCTION("""COMPUTED_VALUE"""),1.0)</f>
        <v>1</v>
      </c>
      <c r="G179" s="46">
        <f>IFERROR(__xludf.DUMMYFUNCTION("""COMPUTED_VALUE"""),7902.0)</f>
        <v>7902</v>
      </c>
      <c r="H179" s="46">
        <f>IFERROR(__xludf.DUMMYFUNCTION("""COMPUTED_VALUE"""),863530.56)</f>
        <v>863530.56</v>
      </c>
      <c r="I179" s="46">
        <f>IFERROR(__xludf.DUMMYFUNCTION("""COMPUTED_VALUE"""),283207.68000000005)</f>
        <v>283207.68</v>
      </c>
      <c r="J179" s="46">
        <f>IFERROR(__xludf.DUMMYFUNCTION("""COMPUTED_VALUE"""),580322.88)</f>
        <v>580322.88</v>
      </c>
      <c r="K179" s="46" t="str">
        <f t="array" ref="K179">TEXT(D179, "mmmm")</f>
        <v>July</v>
      </c>
      <c r="M179" s="46" t="str">
        <f>IFERROR(__xludf.DUMMYFUNCTION("""COMPUTED_VALUE"""),"Latvia")</f>
        <v>Latvia</v>
      </c>
      <c r="N179" s="94">
        <f>IFERROR(__xludf.DUMMYFUNCTION("""COMPUTED_VALUE"""),40603.0)</f>
        <v>40603</v>
      </c>
      <c r="O179" s="46">
        <f>IFERROR(__xludf.DUMMYFUNCTION("""COMPUTED_VALUE"""),1.0)</f>
        <v>1</v>
      </c>
      <c r="P179" s="46">
        <f>IFERROR(__xludf.DUMMYFUNCTION("""COMPUTED_VALUE"""),5915.0)</f>
        <v>5915</v>
      </c>
      <c r="Q179" s="46">
        <f>IFERROR(__xludf.DUMMYFUNCTION("""COMPUTED_VALUE"""),483432.95)</f>
        <v>483432.95</v>
      </c>
      <c r="R179" s="46">
        <f>IFERROR(__xludf.DUMMYFUNCTION("""COMPUTED_VALUE"""),335203.05)</f>
        <v>335203.05</v>
      </c>
      <c r="S179" s="46">
        <f>IFERROR(__xludf.DUMMYFUNCTION("""COMPUTED_VALUE"""),148229.90000000002)</f>
        <v>148229.9</v>
      </c>
    </row>
    <row r="180">
      <c r="A180" s="46" t="str">
        <f>IFERROR(__xludf.DUMMYFUNCTION("""COMPUTED_VALUE"""),"Clothes")</f>
        <v>Clothes</v>
      </c>
      <c r="B180" s="46" t="str">
        <f>IFERROR(__xludf.DUMMYFUNCTION("""COMPUTED_VALUE"""),"Netherlands")</f>
        <v>Netherlands</v>
      </c>
      <c r="C180" s="46" t="str">
        <f>IFERROR(__xludf.DUMMYFUNCTION("""COMPUTED_VALUE"""),"Europe")</f>
        <v>Europe</v>
      </c>
      <c r="D180" s="90">
        <f>IFERROR(__xludf.DUMMYFUNCTION("""COMPUTED_VALUE"""),42552.0)</f>
        <v>42552</v>
      </c>
      <c r="E180" s="46">
        <f>IFERROR(__xludf.DUMMYFUNCTION("""COMPUTED_VALUE"""),2016.0)</f>
        <v>2016</v>
      </c>
      <c r="F180" s="46">
        <f>IFERROR(__xludf.DUMMYFUNCTION("""COMPUTED_VALUE"""),1.0)</f>
        <v>1</v>
      </c>
      <c r="G180" s="46">
        <f>IFERROR(__xludf.DUMMYFUNCTION("""COMPUTED_VALUE"""),7797.0)</f>
        <v>7797</v>
      </c>
      <c r="H180" s="46">
        <f>IFERROR(__xludf.DUMMYFUNCTION("""COMPUTED_VALUE"""),852056.16)</f>
        <v>852056.16</v>
      </c>
      <c r="I180" s="46">
        <f>IFERROR(__xludf.DUMMYFUNCTION("""COMPUTED_VALUE"""),279444.48000000004)</f>
        <v>279444.48</v>
      </c>
      <c r="J180" s="46">
        <f>IFERROR(__xludf.DUMMYFUNCTION("""COMPUTED_VALUE"""),572611.6799999999)</f>
        <v>572611.68</v>
      </c>
      <c r="K180" s="46" t="str">
        <f t="array" ref="K180">TEXT(D180, "mmmm")</f>
        <v>July</v>
      </c>
      <c r="M180" s="46" t="str">
        <f>IFERROR(__xludf.DUMMYFUNCTION("""COMPUTED_VALUE"""),"Lithuania")</f>
        <v>Lithuania</v>
      </c>
      <c r="N180" s="94">
        <f>IFERROR(__xludf.DUMMYFUNCTION("""COMPUTED_VALUE"""),40603.0)</f>
        <v>40603</v>
      </c>
      <c r="O180" s="46">
        <f>IFERROR(__xludf.DUMMYFUNCTION("""COMPUTED_VALUE"""),1.0)</f>
        <v>1</v>
      </c>
      <c r="P180" s="46">
        <f>IFERROR(__xludf.DUMMYFUNCTION("""COMPUTED_VALUE"""),9461.0)</f>
        <v>9461</v>
      </c>
      <c r="Q180" s="46">
        <f>IFERROR(__xludf.DUMMYFUNCTION("""COMPUTED_VALUE"""),88271.13)</f>
        <v>88271.13</v>
      </c>
      <c r="R180" s="46">
        <f>IFERROR(__xludf.DUMMYFUNCTION("""COMPUTED_VALUE"""),65470.12)</f>
        <v>65470.12</v>
      </c>
      <c r="S180" s="46">
        <f>IFERROR(__xludf.DUMMYFUNCTION("""COMPUTED_VALUE"""),22801.010000000002)</f>
        <v>22801.01</v>
      </c>
    </row>
    <row r="181">
      <c r="A181" s="46" t="str">
        <f>IFERROR(__xludf.DUMMYFUNCTION("""COMPUTED_VALUE"""),"Cosmetics")</f>
        <v>Cosmetics</v>
      </c>
      <c r="B181" s="46" t="str">
        <f>IFERROR(__xludf.DUMMYFUNCTION("""COMPUTED_VALUE"""),"Belgium")</f>
        <v>Belgium</v>
      </c>
      <c r="C181" s="46" t="str">
        <f>IFERROR(__xludf.DUMMYFUNCTION("""COMPUTED_VALUE"""),"Europe")</f>
        <v>Europe</v>
      </c>
      <c r="D181" s="90">
        <f>IFERROR(__xludf.DUMMYFUNCTION("""COMPUTED_VALUE"""),42552.0)</f>
        <v>42552</v>
      </c>
      <c r="E181" s="46">
        <f>IFERROR(__xludf.DUMMYFUNCTION("""COMPUTED_VALUE"""),2016.0)</f>
        <v>2016</v>
      </c>
      <c r="F181" s="46">
        <f>IFERROR(__xludf.DUMMYFUNCTION("""COMPUTED_VALUE"""),1.0)</f>
        <v>1</v>
      </c>
      <c r="G181" s="46">
        <f>IFERROR(__xludf.DUMMYFUNCTION("""COMPUTED_VALUE"""),1799.0)</f>
        <v>1799</v>
      </c>
      <c r="H181" s="46">
        <f>IFERROR(__xludf.DUMMYFUNCTION("""COMPUTED_VALUE"""),786522.7999999999)</f>
        <v>786522.8</v>
      </c>
      <c r="I181" s="46">
        <f>IFERROR(__xludf.DUMMYFUNCTION("""COMPUTED_VALUE"""),473730.67)</f>
        <v>473730.67</v>
      </c>
      <c r="J181" s="46">
        <f>IFERROR(__xludf.DUMMYFUNCTION("""COMPUTED_VALUE"""),312792.12999999995)</f>
        <v>312792.13</v>
      </c>
      <c r="K181" s="46" t="str">
        <f t="array" ref="K181">TEXT(D181, "mmmm")</f>
        <v>July</v>
      </c>
      <c r="M181" s="46" t="str">
        <f>IFERROR(__xludf.DUMMYFUNCTION("""COMPUTED_VALUE"""),"Monaco")</f>
        <v>Monaco</v>
      </c>
      <c r="N181" s="94">
        <f>IFERROR(__xludf.DUMMYFUNCTION("""COMPUTED_VALUE"""),40603.0)</f>
        <v>40603</v>
      </c>
      <c r="O181" s="46">
        <f>IFERROR(__xludf.DUMMYFUNCTION("""COMPUTED_VALUE"""),1.0)</f>
        <v>1</v>
      </c>
      <c r="P181" s="46">
        <f>IFERROR(__xludf.DUMMYFUNCTION("""COMPUTED_VALUE"""),5539.0)</f>
        <v>5539</v>
      </c>
      <c r="Q181" s="46">
        <f>IFERROR(__xludf.DUMMYFUNCTION("""COMPUTED_VALUE"""),853338.34)</f>
        <v>853338.34</v>
      </c>
      <c r="R181" s="46">
        <f>IFERROR(__xludf.DUMMYFUNCTION("""COMPUTED_VALUE"""),503661.27)</f>
        <v>503661.27</v>
      </c>
      <c r="S181" s="46">
        <f>IFERROR(__xludf.DUMMYFUNCTION("""COMPUTED_VALUE"""),349677.06999999995)</f>
        <v>349677.07</v>
      </c>
    </row>
    <row r="182">
      <c r="A182" s="46" t="str">
        <f>IFERROR(__xludf.DUMMYFUNCTION("""COMPUTED_VALUE"""),"Cosmetics")</f>
        <v>Cosmetics</v>
      </c>
      <c r="B182" s="46" t="str">
        <f>IFERROR(__xludf.DUMMYFUNCTION("""COMPUTED_VALUE"""),"France")</f>
        <v>France</v>
      </c>
      <c r="C182" s="46" t="str">
        <f>IFERROR(__xludf.DUMMYFUNCTION("""COMPUTED_VALUE"""),"Europe")</f>
        <v>Europe</v>
      </c>
      <c r="D182" s="90">
        <f>IFERROR(__xludf.DUMMYFUNCTION("""COMPUTED_VALUE"""),42552.0)</f>
        <v>42552</v>
      </c>
      <c r="E182" s="46">
        <f>IFERROR(__xludf.DUMMYFUNCTION("""COMPUTED_VALUE"""),2016.0)</f>
        <v>2016</v>
      </c>
      <c r="F182" s="46">
        <f>IFERROR(__xludf.DUMMYFUNCTION("""COMPUTED_VALUE"""),1.0)</f>
        <v>1</v>
      </c>
      <c r="G182" s="46">
        <f>IFERROR(__xludf.DUMMYFUNCTION("""COMPUTED_VALUE"""),6078.0)</f>
        <v>6078</v>
      </c>
      <c r="H182" s="46">
        <f>IFERROR(__xludf.DUMMYFUNCTION("""COMPUTED_VALUE"""),2657301.6)</f>
        <v>2657301.6</v>
      </c>
      <c r="I182" s="46">
        <f>IFERROR(__xludf.DUMMYFUNCTION("""COMPUTED_VALUE"""),1600519.74)</f>
        <v>1600519.74</v>
      </c>
      <c r="J182" s="46">
        <f>IFERROR(__xludf.DUMMYFUNCTION("""COMPUTED_VALUE"""),1056781.86)</f>
        <v>1056781.86</v>
      </c>
      <c r="K182" s="46" t="str">
        <f t="array" ref="K182">TEXT(D182, "mmmm")</f>
        <v>July</v>
      </c>
      <c r="M182" s="46" t="str">
        <f>IFERROR(__xludf.DUMMYFUNCTION("""COMPUTED_VALUE"""),"Poland")</f>
        <v>Poland</v>
      </c>
      <c r="N182" s="94">
        <f>IFERROR(__xludf.DUMMYFUNCTION("""COMPUTED_VALUE"""),40603.0)</f>
        <v>40603</v>
      </c>
      <c r="O182" s="46">
        <f>IFERROR(__xludf.DUMMYFUNCTION("""COMPUTED_VALUE"""),1.0)</f>
        <v>1</v>
      </c>
      <c r="P182" s="46">
        <f>IFERROR(__xludf.DUMMYFUNCTION("""COMPUTED_VALUE"""),3065.0)</f>
        <v>3065</v>
      </c>
      <c r="Q182" s="46">
        <f>IFERROR(__xludf.DUMMYFUNCTION("""COMPUTED_VALUE"""),2048247.55)</f>
        <v>2048247.55</v>
      </c>
      <c r="R182" s="46">
        <f>IFERROR(__xludf.DUMMYFUNCTION("""COMPUTED_VALUE"""),1540285.1)</f>
        <v>1540285.1</v>
      </c>
      <c r="S182" s="46">
        <f>IFERROR(__xludf.DUMMYFUNCTION("""COMPUTED_VALUE"""),507962.44999999995)</f>
        <v>507962.45</v>
      </c>
    </row>
    <row r="183">
      <c r="A183" s="46" t="str">
        <f>IFERROR(__xludf.DUMMYFUNCTION("""COMPUTED_VALUE"""),"Cosmetics")</f>
        <v>Cosmetics</v>
      </c>
      <c r="B183" s="46" t="str">
        <f>IFERROR(__xludf.DUMMYFUNCTION("""COMPUTED_VALUE"""),"Poland")</f>
        <v>Poland</v>
      </c>
      <c r="C183" s="46" t="str">
        <f>IFERROR(__xludf.DUMMYFUNCTION("""COMPUTED_VALUE"""),"Europe")</f>
        <v>Europe</v>
      </c>
      <c r="D183" s="90">
        <f>IFERROR(__xludf.DUMMYFUNCTION("""COMPUTED_VALUE"""),42552.0)</f>
        <v>42552</v>
      </c>
      <c r="E183" s="46">
        <f>IFERROR(__xludf.DUMMYFUNCTION("""COMPUTED_VALUE"""),2016.0)</f>
        <v>2016</v>
      </c>
      <c r="F183" s="46">
        <f>IFERROR(__xludf.DUMMYFUNCTION("""COMPUTED_VALUE"""),1.0)</f>
        <v>1</v>
      </c>
      <c r="G183" s="46">
        <f>IFERROR(__xludf.DUMMYFUNCTION("""COMPUTED_VALUE"""),2670.0)</f>
        <v>2670</v>
      </c>
      <c r="H183" s="46">
        <f>IFERROR(__xludf.DUMMYFUNCTION("""COMPUTED_VALUE"""),1167324.0)</f>
        <v>1167324</v>
      </c>
      <c r="I183" s="46">
        <f>IFERROR(__xludf.DUMMYFUNCTION("""COMPUTED_VALUE"""),703091.1)</f>
        <v>703091.1</v>
      </c>
      <c r="J183" s="46">
        <f>IFERROR(__xludf.DUMMYFUNCTION("""COMPUTED_VALUE"""),464232.9)</f>
        <v>464232.9</v>
      </c>
      <c r="K183" s="46" t="str">
        <f t="array" ref="K183">TEXT(D183, "mmmm")</f>
        <v>July</v>
      </c>
      <c r="M183" s="46" t="str">
        <f>IFERROR(__xludf.DUMMYFUNCTION("""COMPUTED_VALUE"""),"Serbia")</f>
        <v>Serbia</v>
      </c>
      <c r="N183" s="94">
        <f>IFERROR(__xludf.DUMMYFUNCTION("""COMPUTED_VALUE"""),40603.0)</f>
        <v>40603</v>
      </c>
      <c r="O183" s="46">
        <f>IFERROR(__xludf.DUMMYFUNCTION("""COMPUTED_VALUE"""),1.0)</f>
        <v>1</v>
      </c>
      <c r="P183" s="46">
        <f>IFERROR(__xludf.DUMMYFUNCTION("""COMPUTED_VALUE"""),7454.0)</f>
        <v>7454</v>
      </c>
      <c r="Q183" s="46">
        <f>IFERROR(__xludf.DUMMYFUNCTION("""COMPUTED_VALUE"""),1148363.24)</f>
        <v>1148363.24</v>
      </c>
      <c r="R183" s="46">
        <f>IFERROR(__xludf.DUMMYFUNCTION("""COMPUTED_VALUE"""),677792.2200000001)</f>
        <v>677792.22</v>
      </c>
      <c r="S183" s="46">
        <f>IFERROR(__xludf.DUMMYFUNCTION("""COMPUTED_VALUE"""),470571.0199999999)</f>
        <v>470571.02</v>
      </c>
    </row>
    <row r="184">
      <c r="A184" s="46" t="str">
        <f>IFERROR(__xludf.DUMMYFUNCTION("""COMPUTED_VALUE"""),"Fruits")</f>
        <v>Fruits</v>
      </c>
      <c r="B184" s="46" t="str">
        <f>IFERROR(__xludf.DUMMYFUNCTION("""COMPUTED_VALUE"""),"Undefined")</f>
        <v>Undefined</v>
      </c>
      <c r="C184" s="46" t="str">
        <f>IFERROR(__xludf.DUMMYFUNCTION("""COMPUTED_VALUE"""),"Undefined")</f>
        <v>Undefined</v>
      </c>
      <c r="D184" s="90">
        <f>IFERROR(__xludf.DUMMYFUNCTION("""COMPUTED_VALUE"""),42552.0)</f>
        <v>42552</v>
      </c>
      <c r="E184" s="46">
        <f>IFERROR(__xludf.DUMMYFUNCTION("""COMPUTED_VALUE"""),2016.0)</f>
        <v>2016</v>
      </c>
      <c r="F184" s="46">
        <f>IFERROR(__xludf.DUMMYFUNCTION("""COMPUTED_VALUE"""),1.0)</f>
        <v>1</v>
      </c>
      <c r="G184" s="46">
        <f>IFERROR(__xludf.DUMMYFUNCTION("""COMPUTED_VALUE"""),8431.0)</f>
        <v>8431</v>
      </c>
      <c r="H184" s="46">
        <f>IFERROR(__xludf.DUMMYFUNCTION("""COMPUTED_VALUE"""),78661.23)</f>
        <v>78661.23</v>
      </c>
      <c r="I184" s="46">
        <f>IFERROR(__xludf.DUMMYFUNCTION("""COMPUTED_VALUE"""),58342.52)</f>
        <v>58342.52</v>
      </c>
      <c r="J184" s="46">
        <f>IFERROR(__xludf.DUMMYFUNCTION("""COMPUTED_VALUE"""),20318.71)</f>
        <v>20318.71</v>
      </c>
      <c r="K184" s="46" t="str">
        <f t="array" ref="K184">TEXT(D184, "mmmm")</f>
        <v>July</v>
      </c>
      <c r="M184" s="46" t="str">
        <f>IFERROR(__xludf.DUMMYFUNCTION("""COMPUTED_VALUE"""),"Spain")</f>
        <v>Spain</v>
      </c>
      <c r="N184" s="94">
        <f>IFERROR(__xludf.DUMMYFUNCTION("""COMPUTED_VALUE"""),40603.0)</f>
        <v>40603</v>
      </c>
      <c r="O184" s="46">
        <f>IFERROR(__xludf.DUMMYFUNCTION("""COMPUTED_VALUE"""),1.0)</f>
        <v>1</v>
      </c>
      <c r="P184" s="46">
        <f>IFERROR(__xludf.DUMMYFUNCTION("""COMPUTED_VALUE"""),3050.0)</f>
        <v>3050</v>
      </c>
      <c r="Q184" s="46">
        <f>IFERROR(__xludf.DUMMYFUNCTION("""COMPUTED_VALUE"""),1333460.0)</f>
        <v>1333460</v>
      </c>
      <c r="R184" s="46">
        <f>IFERROR(__xludf.DUMMYFUNCTION("""COMPUTED_VALUE"""),803156.5)</f>
        <v>803156.5</v>
      </c>
      <c r="S184" s="46">
        <f>IFERROR(__xludf.DUMMYFUNCTION("""COMPUTED_VALUE"""),530303.5)</f>
        <v>530303.5</v>
      </c>
    </row>
    <row r="185">
      <c r="A185" s="46" t="str">
        <f>IFERROR(__xludf.DUMMYFUNCTION("""COMPUTED_VALUE"""),"Household")</f>
        <v>Household</v>
      </c>
      <c r="B185" s="46" t="str">
        <f>IFERROR(__xludf.DUMMYFUNCTION("""COMPUTED_VALUE"""),"Hungary")</f>
        <v>Hungary</v>
      </c>
      <c r="C185" s="46" t="str">
        <f>IFERROR(__xludf.DUMMYFUNCTION("""COMPUTED_VALUE"""),"Europe")</f>
        <v>Europe</v>
      </c>
      <c r="D185" s="90">
        <f>IFERROR(__xludf.DUMMYFUNCTION("""COMPUTED_VALUE"""),42552.0)</f>
        <v>42552</v>
      </c>
      <c r="E185" s="46">
        <f>IFERROR(__xludf.DUMMYFUNCTION("""COMPUTED_VALUE"""),2016.0)</f>
        <v>2016</v>
      </c>
      <c r="F185" s="46">
        <f>IFERROR(__xludf.DUMMYFUNCTION("""COMPUTED_VALUE"""),1.0)</f>
        <v>1</v>
      </c>
      <c r="G185" s="46">
        <f>IFERROR(__xludf.DUMMYFUNCTION("""COMPUTED_VALUE"""),8151.0)</f>
        <v>8151</v>
      </c>
      <c r="H185" s="46">
        <f>IFERROR(__xludf.DUMMYFUNCTION("""COMPUTED_VALUE"""),5447068.77)</f>
        <v>5447068.77</v>
      </c>
      <c r="I185" s="46">
        <f>IFERROR(__xludf.DUMMYFUNCTION("""COMPUTED_VALUE"""),4096203.54)</f>
        <v>4096203.54</v>
      </c>
      <c r="J185" s="46">
        <f>IFERROR(__xludf.DUMMYFUNCTION("""COMPUTED_VALUE"""),1350865.2299999995)</f>
        <v>1350865.23</v>
      </c>
      <c r="K185" s="46" t="str">
        <f t="array" ref="K185">TEXT(D185, "mmmm")</f>
        <v>July</v>
      </c>
      <c r="M185" s="46" t="str">
        <f>IFERROR(__xludf.DUMMYFUNCTION("""COMPUTED_VALUE"""),"Sweden")</f>
        <v>Sweden</v>
      </c>
      <c r="N185" s="94">
        <f>IFERROR(__xludf.DUMMYFUNCTION("""COMPUTED_VALUE"""),40603.0)</f>
        <v>40603</v>
      </c>
      <c r="O185" s="46">
        <f>IFERROR(__xludf.DUMMYFUNCTION("""COMPUTED_VALUE"""),1.0)</f>
        <v>1</v>
      </c>
      <c r="P185" s="46">
        <f>IFERROR(__xludf.DUMMYFUNCTION("""COMPUTED_VALUE"""),4486.0)</f>
        <v>4486</v>
      </c>
      <c r="Q185" s="46">
        <f>IFERROR(__xludf.DUMMYFUNCTION("""COMPUTED_VALUE"""),1145186.08)</f>
        <v>1145186.08</v>
      </c>
      <c r="R185" s="46">
        <f>IFERROR(__xludf.DUMMYFUNCTION("""COMPUTED_VALUE"""),715158.12)</f>
        <v>715158.12</v>
      </c>
      <c r="S185" s="46">
        <f>IFERROR(__xludf.DUMMYFUNCTION("""COMPUTED_VALUE"""),430027.9600000001)</f>
        <v>430027.96</v>
      </c>
    </row>
    <row r="186">
      <c r="A186" s="46" t="str">
        <f>IFERROR(__xludf.DUMMYFUNCTION("""COMPUTED_VALUE"""),"Household")</f>
        <v>Household</v>
      </c>
      <c r="B186" s="46" t="str">
        <f>IFERROR(__xludf.DUMMYFUNCTION("""COMPUTED_VALUE"""),"Poland")</f>
        <v>Poland</v>
      </c>
      <c r="C186" s="46" t="str">
        <f>IFERROR(__xludf.DUMMYFUNCTION("""COMPUTED_VALUE"""),"Europe")</f>
        <v>Europe</v>
      </c>
      <c r="D186" s="90">
        <f>IFERROR(__xludf.DUMMYFUNCTION("""COMPUTED_VALUE"""),42552.0)</f>
        <v>42552</v>
      </c>
      <c r="E186" s="46">
        <f>IFERROR(__xludf.DUMMYFUNCTION("""COMPUTED_VALUE"""),2016.0)</f>
        <v>2016</v>
      </c>
      <c r="F186" s="46">
        <f>IFERROR(__xludf.DUMMYFUNCTION("""COMPUTED_VALUE"""),1.0)</f>
        <v>1</v>
      </c>
      <c r="G186" s="46">
        <f>IFERROR(__xludf.DUMMYFUNCTION("""COMPUTED_VALUE"""),2392.0)</f>
        <v>2392</v>
      </c>
      <c r="H186" s="46">
        <f>IFERROR(__xludf.DUMMYFUNCTION("""COMPUTED_VALUE"""),1598501.8399999999)</f>
        <v>1598501.84</v>
      </c>
      <c r="I186" s="46">
        <f>IFERROR(__xludf.DUMMYFUNCTION("""COMPUTED_VALUE"""),1202075.68)</f>
        <v>1202075.68</v>
      </c>
      <c r="J186" s="46">
        <f>IFERROR(__xludf.DUMMYFUNCTION("""COMPUTED_VALUE"""),396426.1599999999)</f>
        <v>396426.16</v>
      </c>
      <c r="K186" s="46" t="str">
        <f t="array" ref="K186">TEXT(D186, "mmmm")</f>
        <v>July</v>
      </c>
      <c r="M186" s="46" t="str">
        <f>IFERROR(__xludf.DUMMYFUNCTION("""COMPUTED_VALUE"""),"Ukraine")</f>
        <v>Ukraine</v>
      </c>
      <c r="N186" s="94">
        <f>IFERROR(__xludf.DUMMYFUNCTION("""COMPUTED_VALUE"""),40603.0)</f>
        <v>40603</v>
      </c>
      <c r="O186" s="46">
        <f>IFERROR(__xludf.DUMMYFUNCTION("""COMPUTED_VALUE"""),1.0)</f>
        <v>1</v>
      </c>
      <c r="P186" s="46">
        <f>IFERROR(__xludf.DUMMYFUNCTION("""COMPUTED_VALUE"""),7778.0)</f>
        <v>7778</v>
      </c>
      <c r="Q186" s="46">
        <f>IFERROR(__xludf.DUMMYFUNCTION("""COMPUTED_VALUE"""),1599934.5999999999)</f>
        <v>1599934.6</v>
      </c>
      <c r="R186" s="46">
        <f>IFERROR(__xludf.DUMMYFUNCTION("""COMPUTED_VALUE"""),910881.58)</f>
        <v>910881.58</v>
      </c>
      <c r="S186" s="46">
        <f>IFERROR(__xludf.DUMMYFUNCTION("""COMPUTED_VALUE"""),689053.0199999999)</f>
        <v>689053.02</v>
      </c>
    </row>
    <row r="187">
      <c r="A187" s="46" t="str">
        <f>IFERROR(__xludf.DUMMYFUNCTION("""COMPUTED_VALUE"""),"Household")</f>
        <v>Household</v>
      </c>
      <c r="B187" s="46" t="str">
        <f>IFERROR(__xludf.DUMMYFUNCTION("""COMPUTED_VALUE"""),"United Kingdom")</f>
        <v>United Kingdom</v>
      </c>
      <c r="C187" s="46" t="str">
        <f>IFERROR(__xludf.DUMMYFUNCTION("""COMPUTED_VALUE"""),"Europe")</f>
        <v>Europe</v>
      </c>
      <c r="D187" s="90">
        <f>IFERROR(__xludf.DUMMYFUNCTION("""COMPUTED_VALUE"""),42552.0)</f>
        <v>42552</v>
      </c>
      <c r="E187" s="46">
        <f>IFERROR(__xludf.DUMMYFUNCTION("""COMPUTED_VALUE"""),2016.0)</f>
        <v>2016</v>
      </c>
      <c r="F187" s="46">
        <f>IFERROR(__xludf.DUMMYFUNCTION("""COMPUTED_VALUE"""),1.0)</f>
        <v>1</v>
      </c>
      <c r="G187" s="46">
        <f>IFERROR(__xludf.DUMMYFUNCTION("""COMPUTED_VALUE"""),7756.0)</f>
        <v>7756</v>
      </c>
      <c r="H187" s="46">
        <f>IFERROR(__xludf.DUMMYFUNCTION("""COMPUTED_VALUE"""),5183102.12)</f>
        <v>5183102.12</v>
      </c>
      <c r="I187" s="46">
        <f>IFERROR(__xludf.DUMMYFUNCTION("""COMPUTED_VALUE"""),3897700.24)</f>
        <v>3897700.24</v>
      </c>
      <c r="J187" s="46">
        <f>IFERROR(__xludf.DUMMYFUNCTION("""COMPUTED_VALUE"""),1285401.88)</f>
        <v>1285401.88</v>
      </c>
      <c r="K187" s="46" t="str">
        <f t="array" ref="K187">TEXT(D187, "mmmm")</f>
        <v>July</v>
      </c>
      <c r="M187" s="46" t="str">
        <f>IFERROR(__xludf.DUMMYFUNCTION("""COMPUTED_VALUE"""),"Albania")</f>
        <v>Albania</v>
      </c>
      <c r="N187" s="94">
        <f>IFERROR(__xludf.DUMMYFUNCTION("""COMPUTED_VALUE"""),40634.0)</f>
        <v>40634</v>
      </c>
      <c r="O187" s="46">
        <f>IFERROR(__xludf.DUMMYFUNCTION("""COMPUTED_VALUE"""),1.0)</f>
        <v>1</v>
      </c>
      <c r="P187" s="46">
        <f>IFERROR(__xludf.DUMMYFUNCTION("""COMPUTED_VALUE"""),9843.0)</f>
        <v>9843</v>
      </c>
      <c r="Q187" s="46">
        <f>IFERROR(__xludf.DUMMYFUNCTION("""COMPUTED_VALUE"""),1075643.04)</f>
        <v>1075643.04</v>
      </c>
      <c r="R187" s="46">
        <f>IFERROR(__xludf.DUMMYFUNCTION("""COMPUTED_VALUE"""),352773.12000000005)</f>
        <v>352773.12</v>
      </c>
      <c r="S187" s="46">
        <f>IFERROR(__xludf.DUMMYFUNCTION("""COMPUTED_VALUE"""),722869.9199999999)</f>
        <v>722869.92</v>
      </c>
    </row>
    <row r="188">
      <c r="A188" s="46" t="str">
        <f>IFERROR(__xludf.DUMMYFUNCTION("""COMPUTED_VALUE"""),"Meat")</f>
        <v>Meat</v>
      </c>
      <c r="B188" s="46" t="str">
        <f>IFERROR(__xludf.DUMMYFUNCTION("""COMPUTED_VALUE"""),"Bulgaria")</f>
        <v>Bulgaria</v>
      </c>
      <c r="C188" s="46" t="str">
        <f>IFERROR(__xludf.DUMMYFUNCTION("""COMPUTED_VALUE"""),"Europe")</f>
        <v>Europe</v>
      </c>
      <c r="D188" s="90">
        <f>IFERROR(__xludf.DUMMYFUNCTION("""COMPUTED_VALUE"""),42552.0)</f>
        <v>42552</v>
      </c>
      <c r="E188" s="46">
        <f>IFERROR(__xludf.DUMMYFUNCTION("""COMPUTED_VALUE"""),2016.0)</f>
        <v>2016</v>
      </c>
      <c r="F188" s="46">
        <f>IFERROR(__xludf.DUMMYFUNCTION("""COMPUTED_VALUE"""),1.0)</f>
        <v>1</v>
      </c>
      <c r="G188" s="46">
        <f>IFERROR(__xludf.DUMMYFUNCTION("""COMPUTED_VALUE"""),8662.0)</f>
        <v>8662</v>
      </c>
      <c r="H188" s="46">
        <f>IFERROR(__xludf.DUMMYFUNCTION("""COMPUTED_VALUE"""),3654411.1799999997)</f>
        <v>3654411.18</v>
      </c>
      <c r="I188" s="46">
        <f>IFERROR(__xludf.DUMMYFUNCTION("""COMPUTED_VALUE"""),3158944.78)</f>
        <v>3158944.78</v>
      </c>
      <c r="J188" s="46">
        <f>IFERROR(__xludf.DUMMYFUNCTION("""COMPUTED_VALUE"""),495466.3999999999)</f>
        <v>495466.4</v>
      </c>
      <c r="K188" s="46" t="str">
        <f t="array" ref="K188">TEXT(D188, "mmmm")</f>
        <v>July</v>
      </c>
      <c r="M188" s="46" t="str">
        <f>IFERROR(__xludf.DUMMYFUNCTION("""COMPUTED_VALUE"""),"Andorra")</f>
        <v>Andorra</v>
      </c>
      <c r="N188" s="94">
        <f>IFERROR(__xludf.DUMMYFUNCTION("""COMPUTED_VALUE"""),40634.0)</f>
        <v>40634</v>
      </c>
      <c r="O188" s="46">
        <f>IFERROR(__xludf.DUMMYFUNCTION("""COMPUTED_VALUE"""),1.0)</f>
        <v>1</v>
      </c>
      <c r="P188" s="46">
        <f>IFERROR(__xludf.DUMMYFUNCTION("""COMPUTED_VALUE"""),2111.0)</f>
        <v>2111</v>
      </c>
      <c r="Q188" s="46">
        <f>IFERROR(__xludf.DUMMYFUNCTION("""COMPUTED_VALUE"""),434232.69999999995)</f>
        <v>434232.7</v>
      </c>
      <c r="R188" s="46">
        <f>IFERROR(__xludf.DUMMYFUNCTION("""COMPUTED_VALUE"""),247219.21)</f>
        <v>247219.21</v>
      </c>
      <c r="S188" s="46">
        <f>IFERROR(__xludf.DUMMYFUNCTION("""COMPUTED_VALUE"""),187013.48999999996)</f>
        <v>187013.49</v>
      </c>
    </row>
    <row r="189">
      <c r="A189" s="46" t="str">
        <f>IFERROR(__xludf.DUMMYFUNCTION("""COMPUTED_VALUE"""),"Office Supplies")</f>
        <v>Office Supplies</v>
      </c>
      <c r="B189" s="46" t="str">
        <f>IFERROR(__xludf.DUMMYFUNCTION("""COMPUTED_VALUE"""),"Belarus")</f>
        <v>Belarus</v>
      </c>
      <c r="C189" s="46" t="str">
        <f>IFERROR(__xludf.DUMMYFUNCTION("""COMPUTED_VALUE"""),"Europe")</f>
        <v>Europe</v>
      </c>
      <c r="D189" s="90">
        <f>IFERROR(__xludf.DUMMYFUNCTION("""COMPUTED_VALUE"""),42552.0)</f>
        <v>42552</v>
      </c>
      <c r="E189" s="46">
        <f>IFERROR(__xludf.DUMMYFUNCTION("""COMPUTED_VALUE"""),2016.0)</f>
        <v>2016</v>
      </c>
      <c r="F189" s="46">
        <f>IFERROR(__xludf.DUMMYFUNCTION("""COMPUTED_VALUE"""),1.0)</f>
        <v>1</v>
      </c>
      <c r="G189" s="46">
        <f>IFERROR(__xludf.DUMMYFUNCTION("""COMPUTED_VALUE"""),8131.0)</f>
        <v>8131</v>
      </c>
      <c r="H189" s="46">
        <f>IFERROR(__xludf.DUMMYFUNCTION("""COMPUTED_VALUE"""),5294988.510000001)</f>
        <v>5294988.51</v>
      </c>
      <c r="I189" s="46">
        <f>IFERROR(__xludf.DUMMYFUNCTION("""COMPUTED_VALUE"""),4268449.760000001)</f>
        <v>4268449.76</v>
      </c>
      <c r="J189" s="46">
        <f>IFERROR(__xludf.DUMMYFUNCTION("""COMPUTED_VALUE"""),1026538.75)</f>
        <v>1026538.75</v>
      </c>
      <c r="K189" s="46" t="str">
        <f t="array" ref="K189">TEXT(D189, "mmmm")</f>
        <v>July</v>
      </c>
      <c r="M189" s="46" t="str">
        <f>IFERROR(__xludf.DUMMYFUNCTION("""COMPUTED_VALUE"""),"Austria")</f>
        <v>Austria</v>
      </c>
      <c r="N189" s="94">
        <f>IFERROR(__xludf.DUMMYFUNCTION("""COMPUTED_VALUE"""),40634.0)</f>
        <v>40634</v>
      </c>
      <c r="O189" s="46">
        <f>IFERROR(__xludf.DUMMYFUNCTION("""COMPUTED_VALUE"""),1.0)</f>
        <v>1</v>
      </c>
      <c r="P189" s="46">
        <f>IFERROR(__xludf.DUMMYFUNCTION("""COMPUTED_VALUE"""),8733.0)</f>
        <v>8733</v>
      </c>
      <c r="Q189" s="46">
        <f>IFERROR(__xludf.DUMMYFUNCTION("""COMPUTED_VALUE"""),81478.89)</f>
        <v>81478.89</v>
      </c>
      <c r="R189" s="46">
        <f>IFERROR(__xludf.DUMMYFUNCTION("""COMPUTED_VALUE"""),60432.36)</f>
        <v>60432.36</v>
      </c>
      <c r="S189" s="46">
        <f>IFERROR(__xludf.DUMMYFUNCTION("""COMPUTED_VALUE"""),21046.53)</f>
        <v>21046.53</v>
      </c>
    </row>
    <row r="190">
      <c r="A190" s="46" t="str">
        <f>IFERROR(__xludf.DUMMYFUNCTION("""COMPUTED_VALUE"""),"Personal Care")</f>
        <v>Personal Care</v>
      </c>
      <c r="B190" s="46" t="str">
        <f>IFERROR(__xludf.DUMMYFUNCTION("""COMPUTED_VALUE"""),"San Marino")</f>
        <v>San Marino</v>
      </c>
      <c r="C190" s="46" t="str">
        <f>IFERROR(__xludf.DUMMYFUNCTION("""COMPUTED_VALUE"""),"Europe")</f>
        <v>Europe</v>
      </c>
      <c r="D190" s="90">
        <f>IFERROR(__xludf.DUMMYFUNCTION("""COMPUTED_VALUE"""),42552.0)</f>
        <v>42552</v>
      </c>
      <c r="E190" s="46">
        <f>IFERROR(__xludf.DUMMYFUNCTION("""COMPUTED_VALUE"""),2016.0)</f>
        <v>2016</v>
      </c>
      <c r="F190" s="46">
        <f>IFERROR(__xludf.DUMMYFUNCTION("""COMPUTED_VALUE"""),1.0)</f>
        <v>1</v>
      </c>
      <c r="G190" s="46">
        <f>IFERROR(__xludf.DUMMYFUNCTION("""COMPUTED_VALUE"""),8651.0)</f>
        <v>8651</v>
      </c>
      <c r="H190" s="46">
        <f>IFERROR(__xludf.DUMMYFUNCTION("""COMPUTED_VALUE"""),707046.23)</f>
        <v>707046.23</v>
      </c>
      <c r="I190" s="46">
        <f>IFERROR(__xludf.DUMMYFUNCTION("""COMPUTED_VALUE"""),490252.17000000004)</f>
        <v>490252.17</v>
      </c>
      <c r="J190" s="46">
        <f>IFERROR(__xludf.DUMMYFUNCTION("""COMPUTED_VALUE"""),216794.05999999994)</f>
        <v>216794.06</v>
      </c>
      <c r="K190" s="46" t="str">
        <f t="array" ref="K190">TEXT(D190, "mmmm")</f>
        <v>July</v>
      </c>
      <c r="M190" s="46" t="str">
        <f>IFERROR(__xludf.DUMMYFUNCTION("""COMPUTED_VALUE"""),"Belgium")</f>
        <v>Belgium</v>
      </c>
      <c r="N190" s="94">
        <f>IFERROR(__xludf.DUMMYFUNCTION("""COMPUTED_VALUE"""),40634.0)</f>
        <v>40634</v>
      </c>
      <c r="O190" s="46">
        <f>IFERROR(__xludf.DUMMYFUNCTION("""COMPUTED_VALUE"""),1.0)</f>
        <v>1</v>
      </c>
      <c r="P190" s="46">
        <f>IFERROR(__xludf.DUMMYFUNCTION("""COMPUTED_VALUE"""),3015.0)</f>
        <v>3015</v>
      </c>
      <c r="Q190" s="46">
        <f>IFERROR(__xludf.DUMMYFUNCTION("""COMPUTED_VALUE"""),28129.95)</f>
        <v>28129.95</v>
      </c>
      <c r="R190" s="46">
        <f>IFERROR(__xludf.DUMMYFUNCTION("""COMPUTED_VALUE"""),20863.8)</f>
        <v>20863.8</v>
      </c>
      <c r="S190" s="46">
        <f>IFERROR(__xludf.DUMMYFUNCTION("""COMPUTED_VALUE"""),7266.1500000000015)</f>
        <v>7266.15</v>
      </c>
    </row>
    <row r="191">
      <c r="A191" s="46" t="str">
        <f>IFERROR(__xludf.DUMMYFUNCTION("""COMPUTED_VALUE"""),"Snacks")</f>
        <v>Snacks</v>
      </c>
      <c r="B191" s="46" t="str">
        <f>IFERROR(__xludf.DUMMYFUNCTION("""COMPUTED_VALUE"""),"France")</f>
        <v>France</v>
      </c>
      <c r="C191" s="46" t="str">
        <f>IFERROR(__xludf.DUMMYFUNCTION("""COMPUTED_VALUE"""),"Europe")</f>
        <v>Europe</v>
      </c>
      <c r="D191" s="90">
        <f>IFERROR(__xludf.DUMMYFUNCTION("""COMPUTED_VALUE"""),42552.0)</f>
        <v>42552</v>
      </c>
      <c r="E191" s="46">
        <f>IFERROR(__xludf.DUMMYFUNCTION("""COMPUTED_VALUE"""),2016.0)</f>
        <v>2016</v>
      </c>
      <c r="F191" s="46">
        <f>IFERROR(__xludf.DUMMYFUNCTION("""COMPUTED_VALUE"""),1.0)</f>
        <v>1</v>
      </c>
      <c r="G191" s="46">
        <f>IFERROR(__xludf.DUMMYFUNCTION("""COMPUTED_VALUE"""),8538.0)</f>
        <v>8538</v>
      </c>
      <c r="H191" s="46">
        <f>IFERROR(__xludf.DUMMYFUNCTION("""COMPUTED_VALUE"""),1302728.04)</f>
        <v>1302728.04</v>
      </c>
      <c r="I191" s="46">
        <f>IFERROR(__xludf.DUMMYFUNCTION("""COMPUTED_VALUE"""),831942.72)</f>
        <v>831942.72</v>
      </c>
      <c r="J191" s="46">
        <f>IFERROR(__xludf.DUMMYFUNCTION("""COMPUTED_VALUE"""),470785.32000000007)</f>
        <v>470785.32</v>
      </c>
      <c r="K191" s="46" t="str">
        <f t="array" ref="K191">TEXT(D191, "mmmm")</f>
        <v>July</v>
      </c>
      <c r="M191" s="46" t="str">
        <f>IFERROR(__xludf.DUMMYFUNCTION("""COMPUTED_VALUE"""),"Cyprus")</f>
        <v>Cyprus</v>
      </c>
      <c r="N191" s="94">
        <f>IFERROR(__xludf.DUMMYFUNCTION("""COMPUTED_VALUE"""),40634.0)</f>
        <v>40634</v>
      </c>
      <c r="O191" s="46">
        <f>IFERROR(__xludf.DUMMYFUNCTION("""COMPUTED_VALUE"""),1.0)</f>
        <v>1</v>
      </c>
      <c r="P191" s="46">
        <f>IFERROR(__xludf.DUMMYFUNCTION("""COMPUTED_VALUE"""),7006.0)</f>
        <v>7006</v>
      </c>
      <c r="Q191" s="46">
        <f>IFERROR(__xludf.DUMMYFUNCTION("""COMPUTED_VALUE"""),1068975.48)</f>
        <v>1068975.48</v>
      </c>
      <c r="R191" s="46">
        <f>IFERROR(__xludf.DUMMYFUNCTION("""COMPUTED_VALUE"""),682664.64)</f>
        <v>682664.64</v>
      </c>
      <c r="S191" s="46">
        <f>IFERROR(__xludf.DUMMYFUNCTION("""COMPUTED_VALUE"""),386310.83999999997)</f>
        <v>386310.84</v>
      </c>
    </row>
    <row r="192">
      <c r="A192" s="46" t="str">
        <f>IFERROR(__xludf.DUMMYFUNCTION("""COMPUTED_VALUE"""),"Vegetables")</f>
        <v>Vegetables</v>
      </c>
      <c r="B192" s="46" t="str">
        <f>IFERROR(__xludf.DUMMYFUNCTION("""COMPUTED_VALUE"""),"Lithuania")</f>
        <v>Lithuania</v>
      </c>
      <c r="C192" s="46" t="str">
        <f>IFERROR(__xludf.DUMMYFUNCTION("""COMPUTED_VALUE"""),"Europe")</f>
        <v>Europe</v>
      </c>
      <c r="D192" s="90">
        <f>IFERROR(__xludf.DUMMYFUNCTION("""COMPUTED_VALUE"""),42552.0)</f>
        <v>42552</v>
      </c>
      <c r="E192" s="46">
        <f>IFERROR(__xludf.DUMMYFUNCTION("""COMPUTED_VALUE"""),2016.0)</f>
        <v>2016</v>
      </c>
      <c r="F192" s="46">
        <f>IFERROR(__xludf.DUMMYFUNCTION("""COMPUTED_VALUE"""),1.0)</f>
        <v>1</v>
      </c>
      <c r="G192" s="46">
        <f>IFERROR(__xludf.DUMMYFUNCTION("""COMPUTED_VALUE"""),2938.0)</f>
        <v>2938</v>
      </c>
      <c r="H192" s="46">
        <f>IFERROR(__xludf.DUMMYFUNCTION("""COMPUTED_VALUE"""),452628.28)</f>
        <v>452628.28</v>
      </c>
      <c r="I192" s="46">
        <f>IFERROR(__xludf.DUMMYFUNCTION("""COMPUTED_VALUE"""),267152.34)</f>
        <v>267152.34</v>
      </c>
      <c r="J192" s="46">
        <f>IFERROR(__xludf.DUMMYFUNCTION("""COMPUTED_VALUE"""),185475.94)</f>
        <v>185475.94</v>
      </c>
      <c r="K192" s="46" t="str">
        <f t="array" ref="K192">TEXT(D192, "mmmm")</f>
        <v>July</v>
      </c>
      <c r="M192" s="46" t="str">
        <f>IFERROR(__xludf.DUMMYFUNCTION("""COMPUTED_VALUE"""),"Georgia")</f>
        <v>Georgia</v>
      </c>
      <c r="N192" s="94">
        <f>IFERROR(__xludf.DUMMYFUNCTION("""COMPUTED_VALUE"""),40634.0)</f>
        <v>40634</v>
      </c>
      <c r="O192" s="46">
        <f>IFERROR(__xludf.DUMMYFUNCTION("""COMPUTED_VALUE"""),1.0)</f>
        <v>1</v>
      </c>
      <c r="P192" s="46">
        <f>IFERROR(__xludf.DUMMYFUNCTION("""COMPUTED_VALUE"""),1793.0)</f>
        <v>1793</v>
      </c>
      <c r="Q192" s="46">
        <f>IFERROR(__xludf.DUMMYFUNCTION("""COMPUTED_VALUE"""),756448.77)</f>
        <v>756448.77</v>
      </c>
      <c r="R192" s="46">
        <f>IFERROR(__xludf.DUMMYFUNCTION("""COMPUTED_VALUE"""),653889.17)</f>
        <v>653889.17</v>
      </c>
      <c r="S192" s="46">
        <f>IFERROR(__xludf.DUMMYFUNCTION("""COMPUTED_VALUE"""),102559.59999999998)</f>
        <v>102559.6</v>
      </c>
    </row>
    <row r="193">
      <c r="A193" s="46" t="str">
        <f>IFERROR(__xludf.DUMMYFUNCTION("""COMPUTED_VALUE"""),"Baby Food")</f>
        <v>Baby Food</v>
      </c>
      <c r="B193" s="46" t="str">
        <f>IFERROR(__xludf.DUMMYFUNCTION("""COMPUTED_VALUE"""),"San Marino")</f>
        <v>San Marino</v>
      </c>
      <c r="C193" s="46" t="str">
        <f>IFERROR(__xludf.DUMMYFUNCTION("""COMPUTED_VALUE"""),"Europe")</f>
        <v>Europe</v>
      </c>
      <c r="D193" s="90">
        <f>IFERROR(__xludf.DUMMYFUNCTION("""COMPUTED_VALUE"""),42522.0)</f>
        <v>42522</v>
      </c>
      <c r="E193" s="46">
        <f>IFERROR(__xludf.DUMMYFUNCTION("""COMPUTED_VALUE"""),2016.0)</f>
        <v>2016</v>
      </c>
      <c r="F193" s="46">
        <f>IFERROR(__xludf.DUMMYFUNCTION("""COMPUTED_VALUE"""),1.0)</f>
        <v>1</v>
      </c>
      <c r="G193" s="46">
        <f>IFERROR(__xludf.DUMMYFUNCTION("""COMPUTED_VALUE"""),2004.0)</f>
        <v>2004</v>
      </c>
      <c r="H193" s="46">
        <f>IFERROR(__xludf.DUMMYFUNCTION("""COMPUTED_VALUE"""),511581.12)</f>
        <v>511581.12</v>
      </c>
      <c r="I193" s="46">
        <f>IFERROR(__xludf.DUMMYFUNCTION("""COMPUTED_VALUE"""),319477.68)</f>
        <v>319477.68</v>
      </c>
      <c r="J193" s="46">
        <f>IFERROR(__xludf.DUMMYFUNCTION("""COMPUTED_VALUE"""),192103.44)</f>
        <v>192103.44</v>
      </c>
      <c r="K193" s="46" t="str">
        <f t="array" ref="K193">TEXT(D193, "mmmm")</f>
        <v>June</v>
      </c>
      <c r="M193" s="46" t="str">
        <f>IFERROR(__xludf.DUMMYFUNCTION("""COMPUTED_VALUE"""),"Ireland")</f>
        <v>Ireland</v>
      </c>
      <c r="N193" s="94">
        <f>IFERROR(__xludf.DUMMYFUNCTION("""COMPUTED_VALUE"""),40634.0)</f>
        <v>40634</v>
      </c>
      <c r="O193" s="46">
        <f>IFERROR(__xludf.DUMMYFUNCTION("""COMPUTED_VALUE"""),1.0)</f>
        <v>1</v>
      </c>
      <c r="P193" s="46">
        <f>IFERROR(__xludf.DUMMYFUNCTION("""COMPUTED_VALUE"""),8076.0)</f>
        <v>8076</v>
      </c>
      <c r="Q193" s="46">
        <f>IFERROR(__xludf.DUMMYFUNCTION("""COMPUTED_VALUE"""),1244188.56)</f>
        <v>1244188.56</v>
      </c>
      <c r="R193" s="46">
        <f>IFERROR(__xludf.DUMMYFUNCTION("""COMPUTED_VALUE"""),734350.68)</f>
        <v>734350.68</v>
      </c>
      <c r="S193" s="46">
        <f>IFERROR(__xludf.DUMMYFUNCTION("""COMPUTED_VALUE"""),509837.88)</f>
        <v>509837.88</v>
      </c>
    </row>
    <row r="194">
      <c r="A194" s="46" t="str">
        <f>IFERROR(__xludf.DUMMYFUNCTION("""COMPUTED_VALUE"""),"Beverages")</f>
        <v>Beverages</v>
      </c>
      <c r="B194" s="46" t="str">
        <f>IFERROR(__xludf.DUMMYFUNCTION("""COMPUTED_VALUE"""),"Denmark")</f>
        <v>Denmark</v>
      </c>
      <c r="C194" s="46" t="str">
        <f>IFERROR(__xludf.DUMMYFUNCTION("""COMPUTED_VALUE"""),"Europe")</f>
        <v>Europe</v>
      </c>
      <c r="D194" s="90">
        <f>IFERROR(__xludf.DUMMYFUNCTION("""COMPUTED_VALUE"""),42522.0)</f>
        <v>42522</v>
      </c>
      <c r="E194" s="46">
        <f>IFERROR(__xludf.DUMMYFUNCTION("""COMPUTED_VALUE"""),2016.0)</f>
        <v>2016</v>
      </c>
      <c r="F194" s="46">
        <f>IFERROR(__xludf.DUMMYFUNCTION("""COMPUTED_VALUE"""),1.0)</f>
        <v>1</v>
      </c>
      <c r="G194" s="46">
        <f>IFERROR(__xludf.DUMMYFUNCTION("""COMPUTED_VALUE"""),589.0)</f>
        <v>589</v>
      </c>
      <c r="H194" s="46">
        <f>IFERROR(__xludf.DUMMYFUNCTION("""COMPUTED_VALUE"""),27948.050000000003)</f>
        <v>27948.05</v>
      </c>
      <c r="I194" s="46">
        <f>IFERROR(__xludf.DUMMYFUNCTION("""COMPUTED_VALUE"""),18724.31)</f>
        <v>18724.31</v>
      </c>
      <c r="J194" s="46">
        <f>IFERROR(__xludf.DUMMYFUNCTION("""COMPUTED_VALUE"""),9223.740000000002)</f>
        <v>9223.74</v>
      </c>
      <c r="K194" s="46" t="str">
        <f t="array" ref="K194">TEXT(D194, "mmmm")</f>
        <v>June</v>
      </c>
      <c r="M194" s="46" t="str">
        <f>IFERROR(__xludf.DUMMYFUNCTION("""COMPUTED_VALUE"""),"Liechtenstein")</f>
        <v>Liechtenstein</v>
      </c>
      <c r="N194" s="94">
        <f>IFERROR(__xludf.DUMMYFUNCTION("""COMPUTED_VALUE"""),40634.0)</f>
        <v>40634</v>
      </c>
      <c r="O194" s="46">
        <f>IFERROR(__xludf.DUMMYFUNCTION("""COMPUTED_VALUE"""),1.0)</f>
        <v>1</v>
      </c>
      <c r="P194" s="46">
        <f>IFERROR(__xludf.DUMMYFUNCTION("""COMPUTED_VALUE"""),1573.0)</f>
        <v>1573</v>
      </c>
      <c r="Q194" s="46">
        <f>IFERROR(__xludf.DUMMYFUNCTION("""COMPUTED_VALUE"""),14676.09)</f>
        <v>14676.09</v>
      </c>
      <c r="R194" s="46">
        <f>IFERROR(__xludf.DUMMYFUNCTION("""COMPUTED_VALUE"""),10885.16)</f>
        <v>10885.16</v>
      </c>
      <c r="S194" s="46">
        <f>IFERROR(__xludf.DUMMYFUNCTION("""COMPUTED_VALUE"""),3790.9300000000003)</f>
        <v>3790.93</v>
      </c>
    </row>
    <row r="195">
      <c r="A195" s="46" t="str">
        <f>IFERROR(__xludf.DUMMYFUNCTION("""COMPUTED_VALUE"""),"Clothes")</f>
        <v>Clothes</v>
      </c>
      <c r="B195" s="46" t="str">
        <f>IFERROR(__xludf.DUMMYFUNCTION("""COMPUTED_VALUE"""),"Croatia")</f>
        <v>Croatia</v>
      </c>
      <c r="C195" s="46" t="str">
        <f>IFERROR(__xludf.DUMMYFUNCTION("""COMPUTED_VALUE"""),"Europe")</f>
        <v>Europe</v>
      </c>
      <c r="D195" s="90">
        <f>IFERROR(__xludf.DUMMYFUNCTION("""COMPUTED_VALUE"""),42522.0)</f>
        <v>42522</v>
      </c>
      <c r="E195" s="46">
        <f>IFERROR(__xludf.DUMMYFUNCTION("""COMPUTED_VALUE"""),2016.0)</f>
        <v>2016</v>
      </c>
      <c r="F195" s="46">
        <f>IFERROR(__xludf.DUMMYFUNCTION("""COMPUTED_VALUE"""),1.0)</f>
        <v>1</v>
      </c>
      <c r="G195" s="46">
        <f>IFERROR(__xludf.DUMMYFUNCTION("""COMPUTED_VALUE"""),8841.0)</f>
        <v>8841</v>
      </c>
      <c r="H195" s="46">
        <f>IFERROR(__xludf.DUMMYFUNCTION("""COMPUTED_VALUE"""),966144.48)</f>
        <v>966144.48</v>
      </c>
      <c r="I195" s="46">
        <f>IFERROR(__xludf.DUMMYFUNCTION("""COMPUTED_VALUE"""),316861.44)</f>
        <v>316861.44</v>
      </c>
      <c r="J195" s="46">
        <f>IFERROR(__xludf.DUMMYFUNCTION("""COMPUTED_VALUE"""),649283.04)</f>
        <v>649283.04</v>
      </c>
      <c r="K195" s="46" t="str">
        <f t="array" ref="K195">TEXT(D195, "mmmm")</f>
        <v>June</v>
      </c>
      <c r="M195" s="46" t="str">
        <f>IFERROR(__xludf.DUMMYFUNCTION("""COMPUTED_VALUE"""),"Lithuania")</f>
        <v>Lithuania</v>
      </c>
      <c r="N195" s="94">
        <f>IFERROR(__xludf.DUMMYFUNCTION("""COMPUTED_VALUE"""),40634.0)</f>
        <v>40634</v>
      </c>
      <c r="O195" s="46">
        <f>IFERROR(__xludf.DUMMYFUNCTION("""COMPUTED_VALUE"""),2.0)</f>
        <v>2</v>
      </c>
      <c r="P195" s="46">
        <f>IFERROR(__xludf.DUMMYFUNCTION("""COMPUTED_VALUE"""),4087.0)</f>
        <v>4087</v>
      </c>
      <c r="Q195" s="46">
        <f>IFERROR(__xludf.DUMMYFUNCTION("""COMPUTED_VALUE"""),1593720.27)</f>
        <v>1593720.27</v>
      </c>
      <c r="R195" s="46">
        <f>IFERROR(__xludf.DUMMYFUNCTION("""COMPUTED_VALUE"""),1267467.77)</f>
        <v>1267467.77</v>
      </c>
      <c r="S195" s="46">
        <f>IFERROR(__xludf.DUMMYFUNCTION("""COMPUTED_VALUE"""),326252.5)</f>
        <v>326252.5</v>
      </c>
    </row>
    <row r="196">
      <c r="A196" s="46" t="str">
        <f>IFERROR(__xludf.DUMMYFUNCTION("""COMPUTED_VALUE"""),"Clothes")</f>
        <v>Clothes</v>
      </c>
      <c r="B196" s="46" t="str">
        <f>IFERROR(__xludf.DUMMYFUNCTION("""COMPUTED_VALUE"""),"Lithuania")</f>
        <v>Lithuania</v>
      </c>
      <c r="C196" s="46" t="str">
        <f>IFERROR(__xludf.DUMMYFUNCTION("""COMPUTED_VALUE"""),"Europe")</f>
        <v>Europe</v>
      </c>
      <c r="D196" s="90">
        <f>IFERROR(__xludf.DUMMYFUNCTION("""COMPUTED_VALUE"""),42522.0)</f>
        <v>42522</v>
      </c>
      <c r="E196" s="46">
        <f>IFERROR(__xludf.DUMMYFUNCTION("""COMPUTED_VALUE"""),2016.0)</f>
        <v>2016</v>
      </c>
      <c r="F196" s="46">
        <f>IFERROR(__xludf.DUMMYFUNCTION("""COMPUTED_VALUE"""),2.0)</f>
        <v>2</v>
      </c>
      <c r="G196" s="46">
        <f>IFERROR(__xludf.DUMMYFUNCTION("""COMPUTED_VALUE"""),11182.0)</f>
        <v>11182</v>
      </c>
      <c r="H196" s="46">
        <f>IFERROR(__xludf.DUMMYFUNCTION("""COMPUTED_VALUE"""),1221968.9600000002)</f>
        <v>1221968.96</v>
      </c>
      <c r="I196" s="46">
        <f>IFERROR(__xludf.DUMMYFUNCTION("""COMPUTED_VALUE"""),400762.88000000006)</f>
        <v>400762.88</v>
      </c>
      <c r="J196" s="46">
        <f>IFERROR(__xludf.DUMMYFUNCTION("""COMPUTED_VALUE"""),821206.0800000001)</f>
        <v>821206.08</v>
      </c>
      <c r="K196" s="46" t="str">
        <f t="array" ref="K196">TEXT(D196, "mmmm")</f>
        <v>June</v>
      </c>
      <c r="M196" s="46" t="str">
        <f>IFERROR(__xludf.DUMMYFUNCTION("""COMPUTED_VALUE"""),"Montenegro")</f>
        <v>Montenegro</v>
      </c>
      <c r="N196" s="94">
        <f>IFERROR(__xludf.DUMMYFUNCTION("""COMPUTED_VALUE"""),40634.0)</f>
        <v>40634</v>
      </c>
      <c r="O196" s="46">
        <f>IFERROR(__xludf.DUMMYFUNCTION("""COMPUTED_VALUE"""),2.0)</f>
        <v>2</v>
      </c>
      <c r="P196" s="46">
        <f>IFERROR(__xludf.DUMMYFUNCTION("""COMPUTED_VALUE"""),13275.0)</f>
        <v>13275</v>
      </c>
      <c r="Q196" s="46">
        <f>IFERROR(__xludf.DUMMYFUNCTION("""COMPUTED_VALUE"""),4235589.4)</f>
        <v>4235589.4</v>
      </c>
      <c r="R196" s="46">
        <f>IFERROR(__xludf.DUMMYFUNCTION("""COMPUTED_VALUE"""),3119431.93)</f>
        <v>3119431.93</v>
      </c>
      <c r="S196" s="46">
        <f>IFERROR(__xludf.DUMMYFUNCTION("""COMPUTED_VALUE"""),1116157.4700000002)</f>
        <v>1116157.47</v>
      </c>
    </row>
    <row r="197">
      <c r="A197" s="46" t="str">
        <f>IFERROR(__xludf.DUMMYFUNCTION("""COMPUTED_VALUE"""),"Clothes")</f>
        <v>Clothes</v>
      </c>
      <c r="B197" s="46" t="str">
        <f>IFERROR(__xludf.DUMMYFUNCTION("""COMPUTED_VALUE"""),"Slovenia")</f>
        <v>Slovenia</v>
      </c>
      <c r="C197" s="46" t="str">
        <f>IFERROR(__xludf.DUMMYFUNCTION("""COMPUTED_VALUE"""),"Europe")</f>
        <v>Europe</v>
      </c>
      <c r="D197" s="90">
        <f>IFERROR(__xludf.DUMMYFUNCTION("""COMPUTED_VALUE"""),42522.0)</f>
        <v>42522</v>
      </c>
      <c r="E197" s="46">
        <f>IFERROR(__xludf.DUMMYFUNCTION("""COMPUTED_VALUE"""),2016.0)</f>
        <v>2016</v>
      </c>
      <c r="F197" s="46">
        <f>IFERROR(__xludf.DUMMYFUNCTION("""COMPUTED_VALUE"""),1.0)</f>
        <v>1</v>
      </c>
      <c r="G197" s="46">
        <f>IFERROR(__xludf.DUMMYFUNCTION("""COMPUTED_VALUE"""),9566.0)</f>
        <v>9566</v>
      </c>
      <c r="H197" s="46">
        <f>IFERROR(__xludf.DUMMYFUNCTION("""COMPUTED_VALUE"""),1045372.48)</f>
        <v>1045372.48</v>
      </c>
      <c r="I197" s="46">
        <f>IFERROR(__xludf.DUMMYFUNCTION("""COMPUTED_VALUE"""),342845.44000000006)</f>
        <v>342845.44</v>
      </c>
      <c r="J197" s="46">
        <f>IFERROR(__xludf.DUMMYFUNCTION("""COMPUTED_VALUE"""),702527.0399999999)</f>
        <v>702527.04</v>
      </c>
      <c r="K197" s="46" t="str">
        <f t="array" ref="K197">TEXT(D197, "mmmm")</f>
        <v>June</v>
      </c>
      <c r="M197" s="46" t="str">
        <f>IFERROR(__xludf.DUMMYFUNCTION("""COMPUTED_VALUE"""),"Poland")</f>
        <v>Poland</v>
      </c>
      <c r="N197" s="94">
        <f>IFERROR(__xludf.DUMMYFUNCTION("""COMPUTED_VALUE"""),40634.0)</f>
        <v>40634</v>
      </c>
      <c r="O197" s="46">
        <f>IFERROR(__xludf.DUMMYFUNCTION("""COMPUTED_VALUE"""),2.0)</f>
        <v>2</v>
      </c>
      <c r="P197" s="46">
        <f>IFERROR(__xludf.DUMMYFUNCTION("""COMPUTED_VALUE"""),10039.0)</f>
        <v>10039</v>
      </c>
      <c r="Q197" s="46">
        <f>IFERROR(__xludf.DUMMYFUNCTION("""COMPUTED_VALUE"""),5744045.279999999)</f>
        <v>5744045.28</v>
      </c>
      <c r="R197" s="46">
        <f>IFERROR(__xludf.DUMMYFUNCTION("""COMPUTED_VALUE"""),4046297.31)</f>
        <v>4046297.31</v>
      </c>
      <c r="S197" s="46">
        <f>IFERROR(__xludf.DUMMYFUNCTION("""COMPUTED_VALUE"""),1697747.9699999997)</f>
        <v>1697747.97</v>
      </c>
    </row>
    <row r="198">
      <c r="A198" s="46" t="str">
        <f>IFERROR(__xludf.DUMMYFUNCTION("""COMPUTED_VALUE"""),"Fruits")</f>
        <v>Fruits</v>
      </c>
      <c r="B198" s="46" t="str">
        <f>IFERROR(__xludf.DUMMYFUNCTION("""COMPUTED_VALUE"""),"Andorra")</f>
        <v>Andorra</v>
      </c>
      <c r="C198" s="46" t="str">
        <f>IFERROR(__xludf.DUMMYFUNCTION("""COMPUTED_VALUE"""),"Europe")</f>
        <v>Europe</v>
      </c>
      <c r="D198" s="90">
        <f>IFERROR(__xludf.DUMMYFUNCTION("""COMPUTED_VALUE"""),42522.0)</f>
        <v>42522</v>
      </c>
      <c r="E198" s="46">
        <f>IFERROR(__xludf.DUMMYFUNCTION("""COMPUTED_VALUE"""),2016.0)</f>
        <v>2016</v>
      </c>
      <c r="F198" s="46">
        <f>IFERROR(__xludf.DUMMYFUNCTION("""COMPUTED_VALUE"""),1.0)</f>
        <v>1</v>
      </c>
      <c r="G198" s="46">
        <f>IFERROR(__xludf.DUMMYFUNCTION("""COMPUTED_VALUE"""),7360.0)</f>
        <v>7360</v>
      </c>
      <c r="H198" s="46">
        <f>IFERROR(__xludf.DUMMYFUNCTION("""COMPUTED_VALUE"""),68668.8)</f>
        <v>68668.8</v>
      </c>
      <c r="I198" s="46">
        <f>IFERROR(__xludf.DUMMYFUNCTION("""COMPUTED_VALUE"""),50931.2)</f>
        <v>50931.2</v>
      </c>
      <c r="J198" s="46">
        <f>IFERROR(__xludf.DUMMYFUNCTION("""COMPUTED_VALUE"""),17737.600000000006)</f>
        <v>17737.6</v>
      </c>
      <c r="K198" s="46" t="str">
        <f t="array" ref="K198">TEXT(D198, "mmmm")</f>
        <v>June</v>
      </c>
      <c r="M198" s="46" t="str">
        <f>IFERROR(__xludf.DUMMYFUNCTION("""COMPUTED_VALUE"""),"Spain")</f>
        <v>Spain</v>
      </c>
      <c r="N198" s="94">
        <f>IFERROR(__xludf.DUMMYFUNCTION("""COMPUTED_VALUE"""),40634.0)</f>
        <v>40634</v>
      </c>
      <c r="O198" s="46">
        <f>IFERROR(__xludf.DUMMYFUNCTION("""COMPUTED_VALUE"""),1.0)</f>
        <v>1</v>
      </c>
      <c r="P198" s="46">
        <f>IFERROR(__xludf.DUMMYFUNCTION("""COMPUTED_VALUE"""),3545.0)</f>
        <v>3545</v>
      </c>
      <c r="Q198" s="46">
        <f>IFERROR(__xludf.DUMMYFUNCTION("""COMPUTED_VALUE"""),546142.7)</f>
        <v>546142.7</v>
      </c>
      <c r="R198" s="46">
        <f>IFERROR(__xludf.DUMMYFUNCTION("""COMPUTED_VALUE"""),322346.85000000003)</f>
        <v>322346.85</v>
      </c>
      <c r="S198" s="46">
        <f>IFERROR(__xludf.DUMMYFUNCTION("""COMPUTED_VALUE"""),223795.84999999992)</f>
        <v>223795.85</v>
      </c>
    </row>
    <row r="199">
      <c r="A199" s="46" t="str">
        <f>IFERROR(__xludf.DUMMYFUNCTION("""COMPUTED_VALUE"""),"Office Supplies")</f>
        <v>Office Supplies</v>
      </c>
      <c r="B199" s="46" t="str">
        <f>IFERROR(__xludf.DUMMYFUNCTION("""COMPUTED_VALUE"""),"Italy")</f>
        <v>Italy</v>
      </c>
      <c r="C199" s="46" t="str">
        <f>IFERROR(__xludf.DUMMYFUNCTION("""COMPUTED_VALUE"""),"Europe")</f>
        <v>Europe</v>
      </c>
      <c r="D199" s="90">
        <f>IFERROR(__xludf.DUMMYFUNCTION("""COMPUTED_VALUE"""),42522.0)</f>
        <v>42522</v>
      </c>
      <c r="E199" s="46">
        <f>IFERROR(__xludf.DUMMYFUNCTION("""COMPUTED_VALUE"""),2016.0)</f>
        <v>2016</v>
      </c>
      <c r="F199" s="46">
        <f>IFERROR(__xludf.DUMMYFUNCTION("""COMPUTED_VALUE"""),1.0)</f>
        <v>1</v>
      </c>
      <c r="G199" s="46">
        <f>IFERROR(__xludf.DUMMYFUNCTION("""COMPUTED_VALUE"""),8764.0)</f>
        <v>8764</v>
      </c>
      <c r="H199" s="46">
        <f>IFERROR(__xludf.DUMMYFUNCTION("""COMPUTED_VALUE"""),5707204.44)</f>
        <v>5707204.44</v>
      </c>
      <c r="I199" s="46">
        <f>IFERROR(__xludf.DUMMYFUNCTION("""COMPUTED_VALUE"""),4600749.44)</f>
        <v>4600749.44</v>
      </c>
      <c r="J199" s="46">
        <f>IFERROR(__xludf.DUMMYFUNCTION("""COMPUTED_VALUE"""),1106455.0)</f>
        <v>1106455</v>
      </c>
      <c r="K199" s="46" t="str">
        <f t="array" ref="K199">TEXT(D199, "mmmm")</f>
        <v>June</v>
      </c>
      <c r="M199" s="46" t="str">
        <f>IFERROR(__xludf.DUMMYFUNCTION("""COMPUTED_VALUE"""),"Sweden")</f>
        <v>Sweden</v>
      </c>
      <c r="N199" s="94">
        <f>IFERROR(__xludf.DUMMYFUNCTION("""COMPUTED_VALUE"""),40634.0)</f>
        <v>40634</v>
      </c>
      <c r="O199" s="46">
        <f>IFERROR(__xludf.DUMMYFUNCTION("""COMPUTED_VALUE"""),1.0)</f>
        <v>1</v>
      </c>
      <c r="P199" s="46">
        <f>IFERROR(__xludf.DUMMYFUNCTION("""COMPUTED_VALUE"""),5572.0)</f>
        <v>5572</v>
      </c>
      <c r="Q199" s="46">
        <f>IFERROR(__xludf.DUMMYFUNCTION("""COMPUTED_VALUE"""),455399.56)</f>
        <v>455399.56</v>
      </c>
      <c r="R199" s="46">
        <f>IFERROR(__xludf.DUMMYFUNCTION("""COMPUTED_VALUE"""),315765.24)</f>
        <v>315765.24</v>
      </c>
      <c r="S199" s="46">
        <f>IFERROR(__xludf.DUMMYFUNCTION("""COMPUTED_VALUE"""),139634.32)</f>
        <v>139634.32</v>
      </c>
    </row>
    <row r="200">
      <c r="A200" s="46" t="str">
        <f>IFERROR(__xludf.DUMMYFUNCTION("""COMPUTED_VALUE"""),"Office Supplies")</f>
        <v>Office Supplies</v>
      </c>
      <c r="B200" s="46" t="str">
        <f>IFERROR(__xludf.DUMMYFUNCTION("""COMPUTED_VALUE"""),"Macedonia")</f>
        <v>Macedonia</v>
      </c>
      <c r="C200" s="46" t="str">
        <f>IFERROR(__xludf.DUMMYFUNCTION("""COMPUTED_VALUE"""),"Europe")</f>
        <v>Europe</v>
      </c>
      <c r="D200" s="90">
        <f>IFERROR(__xludf.DUMMYFUNCTION("""COMPUTED_VALUE"""),42522.0)</f>
        <v>42522</v>
      </c>
      <c r="E200" s="46">
        <f>IFERROR(__xludf.DUMMYFUNCTION("""COMPUTED_VALUE"""),2016.0)</f>
        <v>2016</v>
      </c>
      <c r="F200" s="46">
        <f>IFERROR(__xludf.DUMMYFUNCTION("""COMPUTED_VALUE"""),1.0)</f>
        <v>1</v>
      </c>
      <c r="G200" s="46">
        <f>IFERROR(__xludf.DUMMYFUNCTION("""COMPUTED_VALUE"""),2900.0)</f>
        <v>2900</v>
      </c>
      <c r="H200" s="46">
        <f>IFERROR(__xludf.DUMMYFUNCTION("""COMPUTED_VALUE"""),1888509.0)</f>
        <v>1888509</v>
      </c>
      <c r="I200" s="46">
        <f>IFERROR(__xludf.DUMMYFUNCTION("""COMPUTED_VALUE"""),1522384.0)</f>
        <v>1522384</v>
      </c>
      <c r="J200" s="46">
        <f>IFERROR(__xludf.DUMMYFUNCTION("""COMPUTED_VALUE"""),366125.0)</f>
        <v>366125</v>
      </c>
      <c r="K200" s="46" t="str">
        <f t="array" ref="K200">TEXT(D200, "mmmm")</f>
        <v>June</v>
      </c>
      <c r="M200" s="46" t="str">
        <f>IFERROR(__xludf.DUMMYFUNCTION("""COMPUTED_VALUE"""),"Andorra")</f>
        <v>Andorra</v>
      </c>
      <c r="N200" s="94">
        <f>IFERROR(__xludf.DUMMYFUNCTION("""COMPUTED_VALUE"""),40664.0)</f>
        <v>40664</v>
      </c>
      <c r="O200" s="46">
        <f>IFERROR(__xludf.DUMMYFUNCTION("""COMPUTED_VALUE"""),1.0)</f>
        <v>1</v>
      </c>
      <c r="P200" s="46">
        <f>IFERROR(__xludf.DUMMYFUNCTION("""COMPUTED_VALUE"""),677.0)</f>
        <v>677</v>
      </c>
      <c r="Q200" s="46">
        <f>IFERROR(__xludf.DUMMYFUNCTION("""COMPUTED_VALUE"""),73982.56)</f>
        <v>73982.56</v>
      </c>
      <c r="R200" s="46">
        <f>IFERROR(__xludf.DUMMYFUNCTION("""COMPUTED_VALUE"""),24263.680000000004)</f>
        <v>24263.68</v>
      </c>
      <c r="S200" s="46">
        <f>IFERROR(__xludf.DUMMYFUNCTION("""COMPUTED_VALUE"""),49718.87999999999)</f>
        <v>49718.88</v>
      </c>
    </row>
    <row r="201">
      <c r="A201" s="46" t="str">
        <f>IFERROR(__xludf.DUMMYFUNCTION("""COMPUTED_VALUE"""),"Personal Care")</f>
        <v>Personal Care</v>
      </c>
      <c r="B201" s="46" t="str">
        <f>IFERROR(__xludf.DUMMYFUNCTION("""COMPUTED_VALUE"""),"Italy")</f>
        <v>Italy</v>
      </c>
      <c r="C201" s="46" t="str">
        <f>IFERROR(__xludf.DUMMYFUNCTION("""COMPUTED_VALUE"""),"Europe")</f>
        <v>Europe</v>
      </c>
      <c r="D201" s="90">
        <f>IFERROR(__xludf.DUMMYFUNCTION("""COMPUTED_VALUE"""),42522.0)</f>
        <v>42522</v>
      </c>
      <c r="E201" s="46">
        <f>IFERROR(__xludf.DUMMYFUNCTION("""COMPUTED_VALUE"""),2016.0)</f>
        <v>2016</v>
      </c>
      <c r="F201" s="46">
        <f>IFERROR(__xludf.DUMMYFUNCTION("""COMPUTED_VALUE"""),1.0)</f>
        <v>1</v>
      </c>
      <c r="G201" s="46">
        <f>IFERROR(__xludf.DUMMYFUNCTION("""COMPUTED_VALUE"""),6485.0)</f>
        <v>6485</v>
      </c>
      <c r="H201" s="46">
        <f>IFERROR(__xludf.DUMMYFUNCTION("""COMPUTED_VALUE"""),530019.05)</f>
        <v>530019.05</v>
      </c>
      <c r="I201" s="46">
        <f>IFERROR(__xludf.DUMMYFUNCTION("""COMPUTED_VALUE"""),367504.95)</f>
        <v>367504.95</v>
      </c>
      <c r="J201" s="46">
        <f>IFERROR(__xludf.DUMMYFUNCTION("""COMPUTED_VALUE"""),162514.10000000003)</f>
        <v>162514.1</v>
      </c>
      <c r="K201" s="46" t="str">
        <f t="array" ref="K201">TEXT(D201, "mmmm")</f>
        <v>June</v>
      </c>
      <c r="M201" s="46" t="str">
        <f>IFERROR(__xludf.DUMMYFUNCTION("""COMPUTED_VALUE"""),"Austria")</f>
        <v>Austria</v>
      </c>
      <c r="N201" s="94">
        <f>IFERROR(__xludf.DUMMYFUNCTION("""COMPUTED_VALUE"""),40664.0)</f>
        <v>40664</v>
      </c>
      <c r="O201" s="46">
        <f>IFERROR(__xludf.DUMMYFUNCTION("""COMPUTED_VALUE"""),1.0)</f>
        <v>1</v>
      </c>
      <c r="P201" s="46">
        <f>IFERROR(__xludf.DUMMYFUNCTION("""COMPUTED_VALUE"""),6212.0)</f>
        <v>6212</v>
      </c>
      <c r="Q201" s="46">
        <f>IFERROR(__xludf.DUMMYFUNCTION("""COMPUTED_VALUE"""),957020.72)</f>
        <v>957020.72</v>
      </c>
      <c r="R201" s="46">
        <f>IFERROR(__xludf.DUMMYFUNCTION("""COMPUTED_VALUE"""),564857.16)</f>
        <v>564857.16</v>
      </c>
      <c r="S201" s="46">
        <f>IFERROR(__xludf.DUMMYFUNCTION("""COMPUTED_VALUE"""),392163.55999999994)</f>
        <v>392163.56</v>
      </c>
    </row>
    <row r="202">
      <c r="A202" s="46" t="str">
        <f>IFERROR(__xludf.DUMMYFUNCTION("""COMPUTED_VALUE"""),"Vegetables")</f>
        <v>Vegetables</v>
      </c>
      <c r="B202" s="46" t="str">
        <f>IFERROR(__xludf.DUMMYFUNCTION("""COMPUTED_VALUE"""),"San Marino")</f>
        <v>San Marino</v>
      </c>
      <c r="C202" s="46" t="str">
        <f>IFERROR(__xludf.DUMMYFUNCTION("""COMPUTED_VALUE"""),"Europe")</f>
        <v>Europe</v>
      </c>
      <c r="D202" s="90">
        <f>IFERROR(__xludf.DUMMYFUNCTION("""COMPUTED_VALUE"""),42522.0)</f>
        <v>42522</v>
      </c>
      <c r="E202" s="46">
        <f>IFERROR(__xludf.DUMMYFUNCTION("""COMPUTED_VALUE"""),2016.0)</f>
        <v>2016</v>
      </c>
      <c r="F202" s="46">
        <f>IFERROR(__xludf.DUMMYFUNCTION("""COMPUTED_VALUE"""),1.0)</f>
        <v>1</v>
      </c>
      <c r="G202" s="46">
        <f>IFERROR(__xludf.DUMMYFUNCTION("""COMPUTED_VALUE"""),1485.0)</f>
        <v>1485</v>
      </c>
      <c r="H202" s="46">
        <f>IFERROR(__xludf.DUMMYFUNCTION("""COMPUTED_VALUE"""),228779.1)</f>
        <v>228779.1</v>
      </c>
      <c r="I202" s="46">
        <f>IFERROR(__xludf.DUMMYFUNCTION("""COMPUTED_VALUE"""),135031.05000000002)</f>
        <v>135031.05</v>
      </c>
      <c r="J202" s="46">
        <f>IFERROR(__xludf.DUMMYFUNCTION("""COMPUTED_VALUE"""),93748.04999999999)</f>
        <v>93748.05</v>
      </c>
      <c r="K202" s="46" t="str">
        <f t="array" ref="K202">TEXT(D202, "mmmm")</f>
        <v>June</v>
      </c>
      <c r="M202" s="46" t="str">
        <f>IFERROR(__xludf.DUMMYFUNCTION("""COMPUTED_VALUE"""),"Belgium")</f>
        <v>Belgium</v>
      </c>
      <c r="N202" s="94">
        <f>IFERROR(__xludf.DUMMYFUNCTION("""COMPUTED_VALUE"""),40664.0)</f>
        <v>40664</v>
      </c>
      <c r="O202" s="46">
        <f>IFERROR(__xludf.DUMMYFUNCTION("""COMPUTED_VALUE"""),2.0)</f>
        <v>2</v>
      </c>
      <c r="P202" s="46">
        <f>IFERROR(__xludf.DUMMYFUNCTION("""COMPUTED_VALUE"""),9409.0)</f>
        <v>9409</v>
      </c>
      <c r="Q202" s="46">
        <f>IFERROR(__xludf.DUMMYFUNCTION("""COMPUTED_VALUE"""),1151042.92)</f>
        <v>1151042.92</v>
      </c>
      <c r="R202" s="46">
        <f>IFERROR(__xludf.DUMMYFUNCTION("""COMPUTED_VALUE"""),702289.1299999999)</f>
        <v>702289.13</v>
      </c>
      <c r="S202" s="46">
        <f>IFERROR(__xludf.DUMMYFUNCTION("""COMPUTED_VALUE"""),448753.79000000004)</f>
        <v>448753.79</v>
      </c>
    </row>
    <row r="203">
      <c r="A203" s="46" t="str">
        <f>IFERROR(__xludf.DUMMYFUNCTION("""COMPUTED_VALUE"""),"Vegetables")</f>
        <v>Vegetables</v>
      </c>
      <c r="B203" s="46" t="str">
        <f>IFERROR(__xludf.DUMMYFUNCTION("""COMPUTED_VALUE"""),"Slovakia")</f>
        <v>Slovakia</v>
      </c>
      <c r="C203" s="46" t="str">
        <f>IFERROR(__xludf.DUMMYFUNCTION("""COMPUTED_VALUE"""),"Europe")</f>
        <v>Europe</v>
      </c>
      <c r="D203" s="90">
        <f>IFERROR(__xludf.DUMMYFUNCTION("""COMPUTED_VALUE"""),42522.0)</f>
        <v>42522</v>
      </c>
      <c r="E203" s="46">
        <f>IFERROR(__xludf.DUMMYFUNCTION("""COMPUTED_VALUE"""),2016.0)</f>
        <v>2016</v>
      </c>
      <c r="F203" s="46">
        <f>IFERROR(__xludf.DUMMYFUNCTION("""COMPUTED_VALUE"""),1.0)</f>
        <v>1</v>
      </c>
      <c r="G203" s="46">
        <f>IFERROR(__xludf.DUMMYFUNCTION("""COMPUTED_VALUE"""),8843.0)</f>
        <v>8843</v>
      </c>
      <c r="H203" s="46">
        <f>IFERROR(__xludf.DUMMYFUNCTION("""COMPUTED_VALUE"""),1362352.58)</f>
        <v>1362352.58</v>
      </c>
      <c r="I203" s="46">
        <f>IFERROR(__xludf.DUMMYFUNCTION("""COMPUTED_VALUE"""),804093.9900000001)</f>
        <v>804093.99</v>
      </c>
      <c r="J203" s="46">
        <f>IFERROR(__xludf.DUMMYFUNCTION("""COMPUTED_VALUE"""),558258.59)</f>
        <v>558258.59</v>
      </c>
      <c r="K203" s="46" t="str">
        <f t="array" ref="K203">TEXT(D203, "mmmm")</f>
        <v>June</v>
      </c>
      <c r="M203" s="46" t="str">
        <f>IFERROR(__xludf.DUMMYFUNCTION("""COMPUTED_VALUE"""),"Estonia")</f>
        <v>Estonia</v>
      </c>
      <c r="N203" s="94">
        <f>IFERROR(__xludf.DUMMYFUNCTION("""COMPUTED_VALUE"""),40664.0)</f>
        <v>40664</v>
      </c>
      <c r="O203" s="46">
        <f>IFERROR(__xludf.DUMMYFUNCTION("""COMPUTED_VALUE"""),1.0)</f>
        <v>1</v>
      </c>
      <c r="P203" s="46">
        <f>IFERROR(__xludf.DUMMYFUNCTION("""COMPUTED_VALUE"""),1505.0)</f>
        <v>1505</v>
      </c>
      <c r="Q203" s="46">
        <f>IFERROR(__xludf.DUMMYFUNCTION("""COMPUTED_VALUE"""),657986.0)</f>
        <v>657986</v>
      </c>
      <c r="R203" s="46">
        <f>IFERROR(__xludf.DUMMYFUNCTION("""COMPUTED_VALUE"""),396311.64999999997)</f>
        <v>396311.65</v>
      </c>
      <c r="S203" s="46">
        <f>IFERROR(__xludf.DUMMYFUNCTION("""COMPUTED_VALUE"""),261674.35000000003)</f>
        <v>261674.35</v>
      </c>
    </row>
    <row r="204">
      <c r="A204" s="46" t="str">
        <f>IFERROR(__xludf.DUMMYFUNCTION("""COMPUTED_VALUE"""),"Baby Food")</f>
        <v>Baby Food</v>
      </c>
      <c r="B204" s="46" t="str">
        <f>IFERROR(__xludf.DUMMYFUNCTION("""COMPUTED_VALUE"""),"Iceland")</f>
        <v>Iceland</v>
      </c>
      <c r="C204" s="46" t="str">
        <f>IFERROR(__xludf.DUMMYFUNCTION("""COMPUTED_VALUE"""),"Europe")</f>
        <v>Europe</v>
      </c>
      <c r="D204" s="90">
        <f>IFERROR(__xludf.DUMMYFUNCTION("""COMPUTED_VALUE"""),42491.0)</f>
        <v>42491</v>
      </c>
      <c r="E204" s="46">
        <f>IFERROR(__xludf.DUMMYFUNCTION("""COMPUTED_VALUE"""),2016.0)</f>
        <v>2016</v>
      </c>
      <c r="F204" s="46">
        <f>IFERROR(__xludf.DUMMYFUNCTION("""COMPUTED_VALUE"""),1.0)</f>
        <v>1</v>
      </c>
      <c r="G204" s="46">
        <f>IFERROR(__xludf.DUMMYFUNCTION("""COMPUTED_VALUE"""),6918.0)</f>
        <v>6918</v>
      </c>
      <c r="H204" s="46">
        <f>IFERROR(__xludf.DUMMYFUNCTION("""COMPUTED_VALUE"""),1766027.04)</f>
        <v>1766027.04</v>
      </c>
      <c r="I204" s="46">
        <f>IFERROR(__xludf.DUMMYFUNCTION("""COMPUTED_VALUE"""),1102867.5599999998)</f>
        <v>1102867.56</v>
      </c>
      <c r="J204" s="46">
        <f>IFERROR(__xludf.DUMMYFUNCTION("""COMPUTED_VALUE"""),663159.4800000002)</f>
        <v>663159.48</v>
      </c>
      <c r="K204" s="46" t="str">
        <f t="array" ref="K204">TEXT(D204, "mmmm")</f>
        <v>May</v>
      </c>
      <c r="M204" s="46" t="str">
        <f>IFERROR(__xludf.DUMMYFUNCTION("""COMPUTED_VALUE"""),"Greece")</f>
        <v>Greece</v>
      </c>
      <c r="N204" s="94">
        <f>IFERROR(__xludf.DUMMYFUNCTION("""COMPUTED_VALUE"""),40664.0)</f>
        <v>40664</v>
      </c>
      <c r="O204" s="46">
        <f>IFERROR(__xludf.DUMMYFUNCTION("""COMPUTED_VALUE"""),1.0)</f>
        <v>1</v>
      </c>
      <c r="P204" s="46">
        <f>IFERROR(__xludf.DUMMYFUNCTION("""COMPUTED_VALUE"""),7523.0)</f>
        <v>7523</v>
      </c>
      <c r="Q204" s="46">
        <f>IFERROR(__xludf.DUMMYFUNCTION("""COMPUTED_VALUE"""),356966.35000000003)</f>
        <v>356966.35</v>
      </c>
      <c r="R204" s="46">
        <f>IFERROR(__xludf.DUMMYFUNCTION("""COMPUTED_VALUE"""),239156.16999999998)</f>
        <v>239156.17</v>
      </c>
      <c r="S204" s="46">
        <f>IFERROR(__xludf.DUMMYFUNCTION("""COMPUTED_VALUE"""),117810.18000000005)</f>
        <v>117810.18</v>
      </c>
    </row>
    <row r="205">
      <c r="A205" s="46" t="str">
        <f>IFERROR(__xludf.DUMMYFUNCTION("""COMPUTED_VALUE"""),"Beverages")</f>
        <v>Beverages</v>
      </c>
      <c r="B205" s="46" t="str">
        <f>IFERROR(__xludf.DUMMYFUNCTION("""COMPUTED_VALUE"""),"Romania")</f>
        <v>Romania</v>
      </c>
      <c r="C205" s="46" t="str">
        <f>IFERROR(__xludf.DUMMYFUNCTION("""COMPUTED_VALUE"""),"Europe")</f>
        <v>Europe</v>
      </c>
      <c r="D205" s="90">
        <f>IFERROR(__xludf.DUMMYFUNCTION("""COMPUTED_VALUE"""),42491.0)</f>
        <v>42491</v>
      </c>
      <c r="E205" s="46">
        <f>IFERROR(__xludf.DUMMYFUNCTION("""COMPUTED_VALUE"""),2016.0)</f>
        <v>2016</v>
      </c>
      <c r="F205" s="46">
        <f>IFERROR(__xludf.DUMMYFUNCTION("""COMPUTED_VALUE"""),1.0)</f>
        <v>1</v>
      </c>
      <c r="G205" s="46">
        <f>IFERROR(__xludf.DUMMYFUNCTION("""COMPUTED_VALUE"""),3548.0)</f>
        <v>3548</v>
      </c>
      <c r="H205" s="46">
        <f>IFERROR(__xludf.DUMMYFUNCTION("""COMPUTED_VALUE"""),168352.6)</f>
        <v>168352.6</v>
      </c>
      <c r="I205" s="46">
        <f>IFERROR(__xludf.DUMMYFUNCTION("""COMPUTED_VALUE"""),112790.92)</f>
        <v>112790.92</v>
      </c>
      <c r="J205" s="46">
        <f>IFERROR(__xludf.DUMMYFUNCTION("""COMPUTED_VALUE"""),55561.68000000001)</f>
        <v>55561.68</v>
      </c>
      <c r="K205" s="46" t="str">
        <f t="array" ref="K205">TEXT(D205, "mmmm")</f>
        <v>May</v>
      </c>
      <c r="M205" s="46" t="str">
        <f>IFERROR(__xludf.DUMMYFUNCTION("""COMPUTED_VALUE"""),"Hungary")</f>
        <v>Hungary</v>
      </c>
      <c r="N205" s="94">
        <f>IFERROR(__xludf.DUMMYFUNCTION("""COMPUTED_VALUE"""),40664.0)</f>
        <v>40664</v>
      </c>
      <c r="O205" s="46">
        <f>IFERROR(__xludf.DUMMYFUNCTION("""COMPUTED_VALUE"""),1.0)</f>
        <v>1</v>
      </c>
      <c r="P205" s="46">
        <f>IFERROR(__xludf.DUMMYFUNCTION("""COMPUTED_VALUE"""),6509.0)</f>
        <v>6509</v>
      </c>
      <c r="Q205" s="46">
        <f>IFERROR(__xludf.DUMMYFUNCTION("""COMPUTED_VALUE"""),1661617.52)</f>
        <v>1661617.52</v>
      </c>
      <c r="R205" s="46">
        <f>IFERROR(__xludf.DUMMYFUNCTION("""COMPUTED_VALUE"""),1037664.7799999999)</f>
        <v>1037664.78</v>
      </c>
      <c r="S205" s="46">
        <f>IFERROR(__xludf.DUMMYFUNCTION("""COMPUTED_VALUE"""),623952.7400000001)</f>
        <v>623952.74</v>
      </c>
    </row>
    <row r="206">
      <c r="A206" s="46" t="str">
        <f>IFERROR(__xludf.DUMMYFUNCTION("""COMPUTED_VALUE"""),"Cereal")</f>
        <v>Cereal</v>
      </c>
      <c r="B206" s="46" t="str">
        <f>IFERROR(__xludf.DUMMYFUNCTION("""COMPUTED_VALUE"""),"Sweden")</f>
        <v>Sweden</v>
      </c>
      <c r="C206" s="46" t="str">
        <f>IFERROR(__xludf.DUMMYFUNCTION("""COMPUTED_VALUE"""),"Europe")</f>
        <v>Europe</v>
      </c>
      <c r="D206" s="90">
        <f>IFERROR(__xludf.DUMMYFUNCTION("""COMPUTED_VALUE"""),42491.0)</f>
        <v>42491</v>
      </c>
      <c r="E206" s="46">
        <f>IFERROR(__xludf.DUMMYFUNCTION("""COMPUTED_VALUE"""),2016.0)</f>
        <v>2016</v>
      </c>
      <c r="F206" s="46">
        <f>IFERROR(__xludf.DUMMYFUNCTION("""COMPUTED_VALUE"""),1.0)</f>
        <v>1</v>
      </c>
      <c r="G206" s="46">
        <f>IFERROR(__xludf.DUMMYFUNCTION("""COMPUTED_VALUE"""),4463.0)</f>
        <v>4463</v>
      </c>
      <c r="H206" s="46">
        <f>IFERROR(__xludf.DUMMYFUNCTION("""COMPUTED_VALUE"""),918039.1)</f>
        <v>918039.1</v>
      </c>
      <c r="I206" s="46">
        <f>IFERROR(__xludf.DUMMYFUNCTION("""COMPUTED_VALUE"""),522661.93)</f>
        <v>522661.93</v>
      </c>
      <c r="J206" s="46">
        <f>IFERROR(__xludf.DUMMYFUNCTION("""COMPUTED_VALUE"""),395377.17)</f>
        <v>395377.17</v>
      </c>
      <c r="K206" s="46" t="str">
        <f t="array" ref="K206">TEXT(D206, "mmmm")</f>
        <v>May</v>
      </c>
      <c r="M206" s="46" t="str">
        <f>IFERROR(__xludf.DUMMYFUNCTION("""COMPUTED_VALUE"""),"Iceland")</f>
        <v>Iceland</v>
      </c>
      <c r="N206" s="94">
        <f>IFERROR(__xludf.DUMMYFUNCTION("""COMPUTED_VALUE"""),40664.0)</f>
        <v>40664</v>
      </c>
      <c r="O206" s="46">
        <f>IFERROR(__xludf.DUMMYFUNCTION("""COMPUTED_VALUE"""),1.0)</f>
        <v>1</v>
      </c>
      <c r="P206" s="46">
        <f>IFERROR(__xludf.DUMMYFUNCTION("""COMPUTED_VALUE"""),4977.0)</f>
        <v>4977</v>
      </c>
      <c r="Q206" s="46">
        <f>IFERROR(__xludf.DUMMYFUNCTION("""COMPUTED_VALUE"""),2099746.53)</f>
        <v>2099746.53</v>
      </c>
      <c r="R206" s="46">
        <f>IFERROR(__xludf.DUMMYFUNCTION("""COMPUTED_VALUE"""),1815062.13)</f>
        <v>1815062.13</v>
      </c>
      <c r="S206" s="46">
        <f>IFERROR(__xludf.DUMMYFUNCTION("""COMPUTED_VALUE"""),284684.3999999999)</f>
        <v>284684.4</v>
      </c>
    </row>
    <row r="207">
      <c r="A207" s="46" t="str">
        <f>IFERROR(__xludf.DUMMYFUNCTION("""COMPUTED_VALUE"""),"Fruits")</f>
        <v>Fruits</v>
      </c>
      <c r="B207" s="46" t="str">
        <f>IFERROR(__xludf.DUMMYFUNCTION("""COMPUTED_VALUE"""),"Malta")</f>
        <v>Malta</v>
      </c>
      <c r="C207" s="46" t="str">
        <f>IFERROR(__xludf.DUMMYFUNCTION("""COMPUTED_VALUE"""),"Europe")</f>
        <v>Europe</v>
      </c>
      <c r="D207" s="90">
        <f>IFERROR(__xludf.DUMMYFUNCTION("""COMPUTED_VALUE"""),42491.0)</f>
        <v>42491</v>
      </c>
      <c r="E207" s="46">
        <f>IFERROR(__xludf.DUMMYFUNCTION("""COMPUTED_VALUE"""),2016.0)</f>
        <v>2016</v>
      </c>
      <c r="F207" s="46">
        <f>IFERROR(__xludf.DUMMYFUNCTION("""COMPUTED_VALUE"""),1.0)</f>
        <v>1</v>
      </c>
      <c r="G207" s="46">
        <f>IFERROR(__xludf.DUMMYFUNCTION("""COMPUTED_VALUE"""),2802.0)</f>
        <v>2802</v>
      </c>
      <c r="H207" s="46">
        <f>IFERROR(__xludf.DUMMYFUNCTION("""COMPUTED_VALUE"""),26142.66)</f>
        <v>26142.66</v>
      </c>
      <c r="I207" s="46">
        <f>IFERROR(__xludf.DUMMYFUNCTION("""COMPUTED_VALUE"""),19389.84)</f>
        <v>19389.84</v>
      </c>
      <c r="J207" s="46">
        <f>IFERROR(__xludf.DUMMYFUNCTION("""COMPUTED_VALUE"""),6752.82)</f>
        <v>6752.82</v>
      </c>
      <c r="K207" s="46" t="str">
        <f t="array" ref="K207">TEXT(D207, "mmmm")</f>
        <v>May</v>
      </c>
      <c r="M207" s="46" t="str">
        <f>IFERROR(__xludf.DUMMYFUNCTION("""COMPUTED_VALUE"""),"Liechtenstein")</f>
        <v>Liechtenstein</v>
      </c>
      <c r="N207" s="94">
        <f>IFERROR(__xludf.DUMMYFUNCTION("""COMPUTED_VALUE"""),40664.0)</f>
        <v>40664</v>
      </c>
      <c r="O207" s="46">
        <f>IFERROR(__xludf.DUMMYFUNCTION("""COMPUTED_VALUE"""),1.0)</f>
        <v>1</v>
      </c>
      <c r="P207" s="46">
        <f>IFERROR(__xludf.DUMMYFUNCTION("""COMPUTED_VALUE"""),2647.0)</f>
        <v>2647</v>
      </c>
      <c r="Q207" s="46">
        <f>IFERROR(__xludf.DUMMYFUNCTION("""COMPUTED_VALUE"""),407796.82)</f>
        <v>407796.82</v>
      </c>
      <c r="R207" s="46">
        <f>IFERROR(__xludf.DUMMYFUNCTION("""COMPUTED_VALUE"""),240691.71000000002)</f>
        <v>240691.71</v>
      </c>
      <c r="S207" s="46">
        <f>IFERROR(__xludf.DUMMYFUNCTION("""COMPUTED_VALUE"""),167105.11)</f>
        <v>167105.11</v>
      </c>
    </row>
    <row r="208">
      <c r="A208" s="46" t="str">
        <f>IFERROR(__xludf.DUMMYFUNCTION("""COMPUTED_VALUE"""),"Fruits")</f>
        <v>Fruits</v>
      </c>
      <c r="B208" s="46" t="str">
        <f>IFERROR(__xludf.DUMMYFUNCTION("""COMPUTED_VALUE"""),"Montenegro")</f>
        <v>Montenegro</v>
      </c>
      <c r="C208" s="46" t="str">
        <f>IFERROR(__xludf.DUMMYFUNCTION("""COMPUTED_VALUE"""),"Europe")</f>
        <v>Europe</v>
      </c>
      <c r="D208" s="90">
        <f>IFERROR(__xludf.DUMMYFUNCTION("""COMPUTED_VALUE"""),42491.0)</f>
        <v>42491</v>
      </c>
      <c r="E208" s="46">
        <f>IFERROR(__xludf.DUMMYFUNCTION("""COMPUTED_VALUE"""),2016.0)</f>
        <v>2016</v>
      </c>
      <c r="F208" s="46">
        <f>IFERROR(__xludf.DUMMYFUNCTION("""COMPUTED_VALUE"""),1.0)</f>
        <v>1</v>
      </c>
      <c r="G208" s="46">
        <f>IFERROR(__xludf.DUMMYFUNCTION("""COMPUTED_VALUE"""),1390.0)</f>
        <v>1390</v>
      </c>
      <c r="H208" s="46">
        <f>IFERROR(__xludf.DUMMYFUNCTION("""COMPUTED_VALUE"""),12968.7)</f>
        <v>12968.7</v>
      </c>
      <c r="I208" s="46">
        <f>IFERROR(__xludf.DUMMYFUNCTION("""COMPUTED_VALUE"""),9618.8)</f>
        <v>9618.8</v>
      </c>
      <c r="J208" s="46">
        <f>IFERROR(__xludf.DUMMYFUNCTION("""COMPUTED_VALUE"""),3349.9000000000015)</f>
        <v>3349.9</v>
      </c>
      <c r="K208" s="46" t="str">
        <f t="array" ref="K208">TEXT(D208, "mmmm")</f>
        <v>May</v>
      </c>
      <c r="M208" s="46" t="str">
        <f>IFERROR(__xludf.DUMMYFUNCTION("""COMPUTED_VALUE"""),"Luxembourg")</f>
        <v>Luxembourg</v>
      </c>
      <c r="N208" s="94">
        <f>IFERROR(__xludf.DUMMYFUNCTION("""COMPUTED_VALUE"""),40664.0)</f>
        <v>40664</v>
      </c>
      <c r="O208" s="46">
        <f>IFERROR(__xludf.DUMMYFUNCTION("""COMPUTED_VALUE"""),2.0)</f>
        <v>2</v>
      </c>
      <c r="P208" s="46">
        <f>IFERROR(__xludf.DUMMYFUNCTION("""COMPUTED_VALUE"""),7320.0)</f>
        <v>7320</v>
      </c>
      <c r="Q208" s="46">
        <f>IFERROR(__xludf.DUMMYFUNCTION("""COMPUTED_VALUE"""),751937.5)</f>
        <v>751937.5</v>
      </c>
      <c r="R208" s="46">
        <f>IFERROR(__xludf.DUMMYFUNCTION("""COMPUTED_VALUE"""),298634.66000000003)</f>
        <v>298634.66</v>
      </c>
      <c r="S208" s="46">
        <f>IFERROR(__xludf.DUMMYFUNCTION("""COMPUTED_VALUE"""),453302.83999999997)</f>
        <v>453302.84</v>
      </c>
    </row>
    <row r="209">
      <c r="A209" s="46" t="str">
        <f>IFERROR(__xludf.DUMMYFUNCTION("""COMPUTED_VALUE"""),"Fruits")</f>
        <v>Fruits</v>
      </c>
      <c r="B209" s="46" t="str">
        <f>IFERROR(__xludf.DUMMYFUNCTION("""COMPUTED_VALUE"""),"Slovenia")</f>
        <v>Slovenia</v>
      </c>
      <c r="C209" s="46" t="str">
        <f>IFERROR(__xludf.DUMMYFUNCTION("""COMPUTED_VALUE"""),"Europe")</f>
        <v>Europe</v>
      </c>
      <c r="D209" s="90">
        <f>IFERROR(__xludf.DUMMYFUNCTION("""COMPUTED_VALUE"""),42491.0)</f>
        <v>42491</v>
      </c>
      <c r="E209" s="46">
        <f>IFERROR(__xludf.DUMMYFUNCTION("""COMPUTED_VALUE"""),2016.0)</f>
        <v>2016</v>
      </c>
      <c r="F209" s="46">
        <f>IFERROR(__xludf.DUMMYFUNCTION("""COMPUTED_VALUE"""),1.0)</f>
        <v>1</v>
      </c>
      <c r="G209" s="46">
        <f>IFERROR(__xludf.DUMMYFUNCTION("""COMPUTED_VALUE"""),5669.0)</f>
        <v>5669</v>
      </c>
      <c r="H209" s="46">
        <f>IFERROR(__xludf.DUMMYFUNCTION("""COMPUTED_VALUE"""),52891.77)</f>
        <v>52891.77</v>
      </c>
      <c r="I209" s="46">
        <f>IFERROR(__xludf.DUMMYFUNCTION("""COMPUTED_VALUE"""),39229.48)</f>
        <v>39229.48</v>
      </c>
      <c r="J209" s="46">
        <f>IFERROR(__xludf.DUMMYFUNCTION("""COMPUTED_VALUE"""),13662.289999999994)</f>
        <v>13662.29</v>
      </c>
      <c r="K209" s="46" t="str">
        <f t="array" ref="K209">TEXT(D209, "mmmm")</f>
        <v>May</v>
      </c>
      <c r="M209" s="46" t="str">
        <f>IFERROR(__xludf.DUMMYFUNCTION("""COMPUTED_VALUE"""),"Malta")</f>
        <v>Malta</v>
      </c>
      <c r="N209" s="94">
        <f>IFERROR(__xludf.DUMMYFUNCTION("""COMPUTED_VALUE"""),40664.0)</f>
        <v>40664</v>
      </c>
      <c r="O209" s="46">
        <f>IFERROR(__xludf.DUMMYFUNCTION("""COMPUTED_VALUE"""),1.0)</f>
        <v>1</v>
      </c>
      <c r="P209" s="46">
        <f>IFERROR(__xludf.DUMMYFUNCTION("""COMPUTED_VALUE"""),8858.0)</f>
        <v>8858</v>
      </c>
      <c r="Q209" s="46">
        <f>IFERROR(__xludf.DUMMYFUNCTION("""COMPUTED_VALUE"""),5768418.180000001)</f>
        <v>5768418.18</v>
      </c>
      <c r="R209" s="46">
        <f>IFERROR(__xludf.DUMMYFUNCTION("""COMPUTED_VALUE"""),4650095.680000001)</f>
        <v>4650095.68</v>
      </c>
      <c r="S209" s="46">
        <f>IFERROR(__xludf.DUMMYFUNCTION("""COMPUTED_VALUE"""),1118322.5)</f>
        <v>1118322.5</v>
      </c>
    </row>
    <row r="210">
      <c r="A210" s="46" t="str">
        <f>IFERROR(__xludf.DUMMYFUNCTION("""COMPUTED_VALUE"""),"Household")</f>
        <v>Household</v>
      </c>
      <c r="B210" s="46" t="str">
        <f>IFERROR(__xludf.DUMMYFUNCTION("""COMPUTED_VALUE"""),"Croatia")</f>
        <v>Croatia</v>
      </c>
      <c r="C210" s="46" t="str">
        <f>IFERROR(__xludf.DUMMYFUNCTION("""COMPUTED_VALUE"""),"Europe")</f>
        <v>Europe</v>
      </c>
      <c r="D210" s="90">
        <f>IFERROR(__xludf.DUMMYFUNCTION("""COMPUTED_VALUE"""),42491.0)</f>
        <v>42491</v>
      </c>
      <c r="E210" s="46">
        <f>IFERROR(__xludf.DUMMYFUNCTION("""COMPUTED_VALUE"""),2016.0)</f>
        <v>2016</v>
      </c>
      <c r="F210" s="46">
        <f>IFERROR(__xludf.DUMMYFUNCTION("""COMPUTED_VALUE"""),1.0)</f>
        <v>1</v>
      </c>
      <c r="G210" s="46">
        <f>IFERROR(__xludf.DUMMYFUNCTION("""COMPUTED_VALUE"""),1362.0)</f>
        <v>1362</v>
      </c>
      <c r="H210" s="46">
        <f>IFERROR(__xludf.DUMMYFUNCTION("""COMPUTED_VALUE"""),910183.74)</f>
        <v>910183.74</v>
      </c>
      <c r="I210" s="46">
        <f>IFERROR(__xludf.DUMMYFUNCTION("""COMPUTED_VALUE"""),684459.48)</f>
        <v>684459.48</v>
      </c>
      <c r="J210" s="46">
        <f>IFERROR(__xludf.DUMMYFUNCTION("""COMPUTED_VALUE"""),225724.26)</f>
        <v>225724.26</v>
      </c>
      <c r="K210" s="46" t="str">
        <f t="array" ref="K210">TEXT(D210, "mmmm")</f>
        <v>May</v>
      </c>
      <c r="M210" s="46" t="str">
        <f>IFERROR(__xludf.DUMMYFUNCTION("""COMPUTED_VALUE"""),"Spain")</f>
        <v>Spain</v>
      </c>
      <c r="N210" s="94">
        <f>IFERROR(__xludf.DUMMYFUNCTION("""COMPUTED_VALUE"""),40664.0)</f>
        <v>40664</v>
      </c>
      <c r="O210" s="46">
        <f>IFERROR(__xludf.DUMMYFUNCTION("""COMPUTED_VALUE"""),1.0)</f>
        <v>1</v>
      </c>
      <c r="P210" s="46">
        <f>IFERROR(__xludf.DUMMYFUNCTION("""COMPUTED_VALUE"""),6285.0)</f>
        <v>6285</v>
      </c>
      <c r="Q210" s="46">
        <f>IFERROR(__xludf.DUMMYFUNCTION("""COMPUTED_VALUE"""),1604434.8)</f>
        <v>1604434.8</v>
      </c>
      <c r="R210" s="46">
        <f>IFERROR(__xludf.DUMMYFUNCTION("""COMPUTED_VALUE"""),1001954.7)</f>
        <v>1001954.7</v>
      </c>
      <c r="S210" s="46">
        <f>IFERROR(__xludf.DUMMYFUNCTION("""COMPUTED_VALUE"""),602480.1000000001)</f>
        <v>602480.1</v>
      </c>
    </row>
    <row r="211">
      <c r="A211" s="46" t="str">
        <f>IFERROR(__xludf.DUMMYFUNCTION("""COMPUTED_VALUE"""),"Meat")</f>
        <v>Meat</v>
      </c>
      <c r="B211" s="46" t="str">
        <f>IFERROR(__xludf.DUMMYFUNCTION("""COMPUTED_VALUE"""),"Malta")</f>
        <v>Malta</v>
      </c>
      <c r="C211" s="46" t="str">
        <f>IFERROR(__xludf.DUMMYFUNCTION("""COMPUTED_VALUE"""),"Europe")</f>
        <v>Europe</v>
      </c>
      <c r="D211" s="90">
        <f>IFERROR(__xludf.DUMMYFUNCTION("""COMPUTED_VALUE"""),42491.0)</f>
        <v>42491</v>
      </c>
      <c r="E211" s="46">
        <f>IFERROR(__xludf.DUMMYFUNCTION("""COMPUTED_VALUE"""),2016.0)</f>
        <v>2016</v>
      </c>
      <c r="F211" s="46">
        <f>IFERROR(__xludf.DUMMYFUNCTION("""COMPUTED_VALUE"""),1.0)</f>
        <v>1</v>
      </c>
      <c r="G211" s="46">
        <f>IFERROR(__xludf.DUMMYFUNCTION("""COMPUTED_VALUE"""),6349.0)</f>
        <v>6349</v>
      </c>
      <c r="H211" s="46">
        <f>IFERROR(__xludf.DUMMYFUNCTION("""COMPUTED_VALUE"""),2678579.61)</f>
        <v>2678579.61</v>
      </c>
      <c r="I211" s="46">
        <f>IFERROR(__xludf.DUMMYFUNCTION("""COMPUTED_VALUE"""),2315416.81)</f>
        <v>2315416.81</v>
      </c>
      <c r="J211" s="46">
        <f>IFERROR(__xludf.DUMMYFUNCTION("""COMPUTED_VALUE"""),363162.7999999998)</f>
        <v>363162.8</v>
      </c>
      <c r="K211" s="46" t="str">
        <f t="array" ref="K211">TEXT(D211, "mmmm")</f>
        <v>May</v>
      </c>
      <c r="M211" s="46" t="str">
        <f>IFERROR(__xludf.DUMMYFUNCTION("""COMPUTED_VALUE"""),"Sweden")</f>
        <v>Sweden</v>
      </c>
      <c r="N211" s="94">
        <f>IFERROR(__xludf.DUMMYFUNCTION("""COMPUTED_VALUE"""),40664.0)</f>
        <v>40664</v>
      </c>
      <c r="O211" s="46">
        <f>IFERROR(__xludf.DUMMYFUNCTION("""COMPUTED_VALUE"""),1.0)</f>
        <v>1</v>
      </c>
      <c r="P211" s="46">
        <f>IFERROR(__xludf.DUMMYFUNCTION("""COMPUTED_VALUE"""),6960.0)</f>
        <v>6960</v>
      </c>
      <c r="Q211" s="46">
        <f>IFERROR(__xludf.DUMMYFUNCTION("""COMPUTED_VALUE"""),568840.8)</f>
        <v>568840.8</v>
      </c>
      <c r="R211" s="46">
        <f>IFERROR(__xludf.DUMMYFUNCTION("""COMPUTED_VALUE"""),394423.2)</f>
        <v>394423.2</v>
      </c>
      <c r="S211" s="46">
        <f>IFERROR(__xludf.DUMMYFUNCTION("""COMPUTED_VALUE"""),174417.60000000003)</f>
        <v>174417.6</v>
      </c>
    </row>
    <row r="212">
      <c r="A212" s="46" t="str">
        <f>IFERROR(__xludf.DUMMYFUNCTION("""COMPUTED_VALUE"""),"Meat")</f>
        <v>Meat</v>
      </c>
      <c r="B212" s="46" t="str">
        <f>IFERROR(__xludf.DUMMYFUNCTION("""COMPUTED_VALUE"""),"San Marino")</f>
        <v>San Marino</v>
      </c>
      <c r="C212" s="46" t="str">
        <f>IFERROR(__xludf.DUMMYFUNCTION("""COMPUTED_VALUE"""),"Europe")</f>
        <v>Europe</v>
      </c>
      <c r="D212" s="90">
        <f>IFERROR(__xludf.DUMMYFUNCTION("""COMPUTED_VALUE"""),42491.0)</f>
        <v>42491</v>
      </c>
      <c r="E212" s="46">
        <f>IFERROR(__xludf.DUMMYFUNCTION("""COMPUTED_VALUE"""),2016.0)</f>
        <v>2016</v>
      </c>
      <c r="F212" s="46">
        <f>IFERROR(__xludf.DUMMYFUNCTION("""COMPUTED_VALUE"""),1.0)</f>
        <v>1</v>
      </c>
      <c r="G212" s="46">
        <f>IFERROR(__xludf.DUMMYFUNCTION("""COMPUTED_VALUE"""),339.0)</f>
        <v>339</v>
      </c>
      <c r="H212" s="46">
        <f>IFERROR(__xludf.DUMMYFUNCTION("""COMPUTED_VALUE"""),143020.71)</f>
        <v>143020.71</v>
      </c>
      <c r="I212" s="46">
        <f>IFERROR(__xludf.DUMMYFUNCTION("""COMPUTED_VALUE"""),123629.91)</f>
        <v>123629.91</v>
      </c>
      <c r="J212" s="46">
        <f>IFERROR(__xludf.DUMMYFUNCTION("""COMPUTED_VALUE"""),19390.79999999999)</f>
        <v>19390.8</v>
      </c>
      <c r="K212" s="46" t="str">
        <f t="array" ref="K212">TEXT(D212, "mmmm")</f>
        <v>May</v>
      </c>
      <c r="M212" s="46" t="str">
        <f>IFERROR(__xludf.DUMMYFUNCTION("""COMPUTED_VALUE"""),"Switzerland")</f>
        <v>Switzerland</v>
      </c>
      <c r="N212" s="94">
        <f>IFERROR(__xludf.DUMMYFUNCTION("""COMPUTED_VALUE"""),40664.0)</f>
        <v>40664</v>
      </c>
      <c r="O212" s="46">
        <f>IFERROR(__xludf.DUMMYFUNCTION("""COMPUTED_VALUE"""),1.0)</f>
        <v>1</v>
      </c>
      <c r="P212" s="46">
        <f>IFERROR(__xludf.DUMMYFUNCTION("""COMPUTED_VALUE"""),9275.0)</f>
        <v>9275</v>
      </c>
      <c r="Q212" s="46">
        <f>IFERROR(__xludf.DUMMYFUNCTION("""COMPUTED_VALUE"""),1013572.0)</f>
        <v>1013572</v>
      </c>
      <c r="R212" s="46">
        <f>IFERROR(__xludf.DUMMYFUNCTION("""COMPUTED_VALUE"""),332416.00000000006)</f>
        <v>332416</v>
      </c>
      <c r="S212" s="46">
        <f>IFERROR(__xludf.DUMMYFUNCTION("""COMPUTED_VALUE"""),681156.0)</f>
        <v>681156</v>
      </c>
    </row>
    <row r="213">
      <c r="A213" s="46" t="str">
        <f>IFERROR(__xludf.DUMMYFUNCTION("""COMPUTED_VALUE"""),"Meat")</f>
        <v>Meat</v>
      </c>
      <c r="B213" s="46" t="str">
        <f>IFERROR(__xludf.DUMMYFUNCTION("""COMPUTED_VALUE"""),"Undefined")</f>
        <v>Undefined</v>
      </c>
      <c r="C213" s="46" t="str">
        <f>IFERROR(__xludf.DUMMYFUNCTION("""COMPUTED_VALUE"""),"Undefined")</f>
        <v>Undefined</v>
      </c>
      <c r="D213" s="90">
        <f>IFERROR(__xludf.DUMMYFUNCTION("""COMPUTED_VALUE"""),42491.0)</f>
        <v>42491</v>
      </c>
      <c r="E213" s="46">
        <f>IFERROR(__xludf.DUMMYFUNCTION("""COMPUTED_VALUE"""),2016.0)</f>
        <v>2016</v>
      </c>
      <c r="F213" s="46">
        <f>IFERROR(__xludf.DUMMYFUNCTION("""COMPUTED_VALUE"""),1.0)</f>
        <v>1</v>
      </c>
      <c r="G213" s="46">
        <f>IFERROR(__xludf.DUMMYFUNCTION("""COMPUTED_VALUE"""),8978.0)</f>
        <v>8978</v>
      </c>
      <c r="H213" s="46">
        <f>IFERROR(__xludf.DUMMYFUNCTION("""COMPUTED_VALUE"""),3787728.42)</f>
        <v>3787728.42</v>
      </c>
      <c r="I213" s="46">
        <f>IFERROR(__xludf.DUMMYFUNCTION("""COMPUTED_VALUE"""),3274186.82)</f>
        <v>3274186.82</v>
      </c>
      <c r="J213" s="46">
        <f>IFERROR(__xludf.DUMMYFUNCTION("""COMPUTED_VALUE"""),513541.6000000001)</f>
        <v>513541.6</v>
      </c>
      <c r="K213" s="46" t="str">
        <f t="array" ref="K213">TEXT(D213, "mmmm")</f>
        <v>May</v>
      </c>
      <c r="M213" s="46" t="str">
        <f>IFERROR(__xludf.DUMMYFUNCTION("""COMPUTED_VALUE"""),"Undefined")</f>
        <v>Undefined</v>
      </c>
      <c r="N213" s="94">
        <f>IFERROR(__xludf.DUMMYFUNCTION("""COMPUTED_VALUE"""),40664.0)</f>
        <v>40664</v>
      </c>
      <c r="O213" s="46">
        <f>IFERROR(__xludf.DUMMYFUNCTION("""COMPUTED_VALUE"""),1.0)</f>
        <v>1</v>
      </c>
      <c r="P213" s="46">
        <f>IFERROR(__xludf.DUMMYFUNCTION("""COMPUTED_VALUE"""),6375.0)</f>
        <v>6375</v>
      </c>
      <c r="Q213" s="46">
        <f>IFERROR(__xludf.DUMMYFUNCTION("""COMPUTED_VALUE"""),4151463.75)</f>
        <v>4151463.75</v>
      </c>
      <c r="R213" s="46">
        <f>IFERROR(__xludf.DUMMYFUNCTION("""COMPUTED_VALUE"""),3346620.0)</f>
        <v>3346620</v>
      </c>
      <c r="S213" s="46">
        <f>IFERROR(__xludf.DUMMYFUNCTION("""COMPUTED_VALUE"""),804843.75)</f>
        <v>804843.75</v>
      </c>
    </row>
    <row r="214">
      <c r="A214" s="46" t="str">
        <f>IFERROR(__xludf.DUMMYFUNCTION("""COMPUTED_VALUE"""),"Office Supplies")</f>
        <v>Office Supplies</v>
      </c>
      <c r="B214" s="46" t="str">
        <f>IFERROR(__xludf.DUMMYFUNCTION("""COMPUTED_VALUE"""),"San Marino")</f>
        <v>San Marino</v>
      </c>
      <c r="C214" s="46" t="str">
        <f>IFERROR(__xludf.DUMMYFUNCTION("""COMPUTED_VALUE"""),"Europe")</f>
        <v>Europe</v>
      </c>
      <c r="D214" s="90">
        <f>IFERROR(__xludf.DUMMYFUNCTION("""COMPUTED_VALUE"""),42491.0)</f>
        <v>42491</v>
      </c>
      <c r="E214" s="46">
        <f>IFERROR(__xludf.DUMMYFUNCTION("""COMPUTED_VALUE"""),2016.0)</f>
        <v>2016</v>
      </c>
      <c r="F214" s="46">
        <f>IFERROR(__xludf.DUMMYFUNCTION("""COMPUTED_VALUE"""),1.0)</f>
        <v>1</v>
      </c>
      <c r="G214" s="46">
        <f>IFERROR(__xludf.DUMMYFUNCTION("""COMPUTED_VALUE"""),6744.0)</f>
        <v>6744</v>
      </c>
      <c r="H214" s="46">
        <f>IFERROR(__xludf.DUMMYFUNCTION("""COMPUTED_VALUE"""),4391760.24)</f>
        <v>4391760.24</v>
      </c>
      <c r="I214" s="46">
        <f>IFERROR(__xludf.DUMMYFUNCTION("""COMPUTED_VALUE"""),3540330.24)</f>
        <v>3540330.24</v>
      </c>
      <c r="J214" s="46">
        <f>IFERROR(__xludf.DUMMYFUNCTION("""COMPUTED_VALUE"""),851430.0)</f>
        <v>851430</v>
      </c>
      <c r="K214" s="46" t="str">
        <f t="array" ref="K214">TEXT(D214, "mmmm")</f>
        <v>May</v>
      </c>
      <c r="M214" s="46" t="str">
        <f>IFERROR(__xludf.DUMMYFUNCTION("""COMPUTED_VALUE"""),"Albania")</f>
        <v>Albania</v>
      </c>
      <c r="N214" s="94">
        <f>IFERROR(__xludf.DUMMYFUNCTION("""COMPUTED_VALUE"""),40695.0)</f>
        <v>40695</v>
      </c>
      <c r="O214" s="46">
        <f>IFERROR(__xludf.DUMMYFUNCTION("""COMPUTED_VALUE"""),1.0)</f>
        <v>1</v>
      </c>
      <c r="P214" s="46">
        <f>IFERROR(__xludf.DUMMYFUNCTION("""COMPUTED_VALUE"""),5009.0)</f>
        <v>5009</v>
      </c>
      <c r="Q214" s="46">
        <f>IFERROR(__xludf.DUMMYFUNCTION("""COMPUTED_VALUE"""),2189934.8)</f>
        <v>2189934.8</v>
      </c>
      <c r="R214" s="46">
        <f>IFERROR(__xludf.DUMMYFUNCTION("""COMPUTED_VALUE"""),1319019.97)</f>
        <v>1319019.97</v>
      </c>
      <c r="S214" s="46">
        <f>IFERROR(__xludf.DUMMYFUNCTION("""COMPUTED_VALUE"""),870914.8299999998)</f>
        <v>870914.83</v>
      </c>
    </row>
    <row r="215">
      <c r="A215" s="46" t="str">
        <f>IFERROR(__xludf.DUMMYFUNCTION("""COMPUTED_VALUE"""),"Vegetables")</f>
        <v>Vegetables</v>
      </c>
      <c r="B215" s="46" t="str">
        <f>IFERROR(__xludf.DUMMYFUNCTION("""COMPUTED_VALUE"""),"Armenia")</f>
        <v>Armenia</v>
      </c>
      <c r="C215" s="46" t="str">
        <f>IFERROR(__xludf.DUMMYFUNCTION("""COMPUTED_VALUE"""),"Asia")</f>
        <v>Asia</v>
      </c>
      <c r="D215" s="90">
        <f>IFERROR(__xludf.DUMMYFUNCTION("""COMPUTED_VALUE"""),42491.0)</f>
        <v>42491</v>
      </c>
      <c r="E215" s="46">
        <f>IFERROR(__xludf.DUMMYFUNCTION("""COMPUTED_VALUE"""),2016.0)</f>
        <v>2016</v>
      </c>
      <c r="F215" s="46">
        <f>IFERROR(__xludf.DUMMYFUNCTION("""COMPUTED_VALUE"""),1.0)</f>
        <v>1</v>
      </c>
      <c r="G215" s="46">
        <f>IFERROR(__xludf.DUMMYFUNCTION("""COMPUTED_VALUE"""),9132.0)</f>
        <v>9132</v>
      </c>
      <c r="H215" s="46">
        <f>IFERROR(__xludf.DUMMYFUNCTION("""COMPUTED_VALUE"""),1406875.92)</f>
        <v>1406875.92</v>
      </c>
      <c r="I215" s="46">
        <f>IFERROR(__xludf.DUMMYFUNCTION("""COMPUTED_VALUE"""),830372.76)</f>
        <v>830372.76</v>
      </c>
      <c r="J215" s="46">
        <f>IFERROR(__xludf.DUMMYFUNCTION("""COMPUTED_VALUE"""),576503.1599999999)</f>
        <v>576503.16</v>
      </c>
      <c r="K215" s="46" t="str">
        <f t="array" ref="K215">TEXT(D215, "mmmm")</f>
        <v>May</v>
      </c>
      <c r="M215" s="46" t="str">
        <f>IFERROR(__xludf.DUMMYFUNCTION("""COMPUTED_VALUE"""),"Armenia")</f>
        <v>Armenia</v>
      </c>
      <c r="N215" s="94">
        <f>IFERROR(__xludf.DUMMYFUNCTION("""COMPUTED_VALUE"""),40695.0)</f>
        <v>40695</v>
      </c>
      <c r="O215" s="46">
        <f>IFERROR(__xludf.DUMMYFUNCTION("""COMPUTED_VALUE"""),1.0)</f>
        <v>1</v>
      </c>
      <c r="P215" s="46">
        <f>IFERROR(__xludf.DUMMYFUNCTION("""COMPUTED_VALUE"""),6612.0)</f>
        <v>6612</v>
      </c>
      <c r="Q215" s="46">
        <f>IFERROR(__xludf.DUMMYFUNCTION("""COMPUTED_VALUE"""),313739.4)</f>
        <v>313739.4</v>
      </c>
      <c r="R215" s="46">
        <f>IFERROR(__xludf.DUMMYFUNCTION("""COMPUTED_VALUE"""),210195.47999999998)</f>
        <v>210195.48</v>
      </c>
      <c r="S215" s="46">
        <f>IFERROR(__xludf.DUMMYFUNCTION("""COMPUTED_VALUE"""),103543.92000000004)</f>
        <v>103543.92</v>
      </c>
    </row>
    <row r="216">
      <c r="A216" s="46" t="str">
        <f>IFERROR(__xludf.DUMMYFUNCTION("""COMPUTED_VALUE"""),"Vegetables")</f>
        <v>Vegetables</v>
      </c>
      <c r="B216" s="46" t="str">
        <f>IFERROR(__xludf.DUMMYFUNCTION("""COMPUTED_VALUE"""),"Malta")</f>
        <v>Malta</v>
      </c>
      <c r="C216" s="46" t="str">
        <f>IFERROR(__xludf.DUMMYFUNCTION("""COMPUTED_VALUE"""),"Europe")</f>
        <v>Europe</v>
      </c>
      <c r="D216" s="90">
        <f>IFERROR(__xludf.DUMMYFUNCTION("""COMPUTED_VALUE"""),42491.0)</f>
        <v>42491</v>
      </c>
      <c r="E216" s="46">
        <f>IFERROR(__xludf.DUMMYFUNCTION("""COMPUTED_VALUE"""),2016.0)</f>
        <v>2016</v>
      </c>
      <c r="F216" s="46">
        <f>IFERROR(__xludf.DUMMYFUNCTION("""COMPUTED_VALUE"""),1.0)</f>
        <v>1</v>
      </c>
      <c r="G216" s="46">
        <f>IFERROR(__xludf.DUMMYFUNCTION("""COMPUTED_VALUE"""),6662.0)</f>
        <v>6662</v>
      </c>
      <c r="H216" s="46">
        <f>IFERROR(__xludf.DUMMYFUNCTION("""COMPUTED_VALUE"""),1026347.72)</f>
        <v>1026347.72</v>
      </c>
      <c r="I216" s="46">
        <f>IFERROR(__xludf.DUMMYFUNCTION("""COMPUTED_VALUE"""),605775.66)</f>
        <v>605775.66</v>
      </c>
      <c r="J216" s="46">
        <f>IFERROR(__xludf.DUMMYFUNCTION("""COMPUTED_VALUE"""),420572.05999999994)</f>
        <v>420572.06</v>
      </c>
      <c r="K216" s="46" t="str">
        <f t="array" ref="K216">TEXT(D216, "mmmm")</f>
        <v>May</v>
      </c>
      <c r="M216" s="46" t="str">
        <f>IFERROR(__xludf.DUMMYFUNCTION("""COMPUTED_VALUE"""),"France")</f>
        <v>France</v>
      </c>
      <c r="N216" s="94">
        <f>IFERROR(__xludf.DUMMYFUNCTION("""COMPUTED_VALUE"""),40695.0)</f>
        <v>40695</v>
      </c>
      <c r="O216" s="46">
        <f>IFERROR(__xludf.DUMMYFUNCTION("""COMPUTED_VALUE"""),1.0)</f>
        <v>1</v>
      </c>
      <c r="P216" s="46">
        <f>IFERROR(__xludf.DUMMYFUNCTION("""COMPUTED_VALUE"""),9419.0)</f>
        <v>9419</v>
      </c>
      <c r="Q216" s="46">
        <f>IFERROR(__xludf.DUMMYFUNCTION("""COMPUTED_VALUE"""),6294435.13)</f>
        <v>6294435.13</v>
      </c>
      <c r="R216" s="46">
        <f>IFERROR(__xludf.DUMMYFUNCTION("""COMPUTED_VALUE"""),4733424.26)</f>
        <v>4733424.26</v>
      </c>
      <c r="S216" s="46">
        <f>IFERROR(__xludf.DUMMYFUNCTION("""COMPUTED_VALUE"""),1561010.87)</f>
        <v>1561010.87</v>
      </c>
    </row>
    <row r="217">
      <c r="A217" s="46" t="str">
        <f>IFERROR(__xludf.DUMMYFUNCTION("""COMPUTED_VALUE"""),"Beverages")</f>
        <v>Beverages</v>
      </c>
      <c r="B217" s="46" t="str">
        <f>IFERROR(__xludf.DUMMYFUNCTION("""COMPUTED_VALUE"""),"Andorra")</f>
        <v>Andorra</v>
      </c>
      <c r="C217" s="46" t="str">
        <f>IFERROR(__xludf.DUMMYFUNCTION("""COMPUTED_VALUE"""),"Europe")</f>
        <v>Europe</v>
      </c>
      <c r="D217" s="90">
        <f>IFERROR(__xludf.DUMMYFUNCTION("""COMPUTED_VALUE"""),42461.0)</f>
        <v>42461</v>
      </c>
      <c r="E217" s="46">
        <f>IFERROR(__xludf.DUMMYFUNCTION("""COMPUTED_VALUE"""),2016.0)</f>
        <v>2016</v>
      </c>
      <c r="F217" s="46">
        <f>IFERROR(__xludf.DUMMYFUNCTION("""COMPUTED_VALUE"""),1.0)</f>
        <v>1</v>
      </c>
      <c r="G217" s="46">
        <f>IFERROR(__xludf.DUMMYFUNCTION("""COMPUTED_VALUE"""),3534.0)</f>
        <v>3534</v>
      </c>
      <c r="H217" s="46">
        <f>IFERROR(__xludf.DUMMYFUNCTION("""COMPUTED_VALUE"""),167688.30000000002)</f>
        <v>167688.3</v>
      </c>
      <c r="I217" s="46">
        <f>IFERROR(__xludf.DUMMYFUNCTION("""COMPUTED_VALUE"""),112345.86)</f>
        <v>112345.86</v>
      </c>
      <c r="J217" s="46">
        <f>IFERROR(__xludf.DUMMYFUNCTION("""COMPUTED_VALUE"""),55342.44000000002)</f>
        <v>55342.44</v>
      </c>
      <c r="K217" s="46" t="str">
        <f t="array" ref="K217">TEXT(D217, "mmmm")</f>
        <v>April</v>
      </c>
      <c r="M217" s="46" t="str">
        <f>IFERROR(__xludf.DUMMYFUNCTION("""COMPUTED_VALUE"""),"Ireland")</f>
        <v>Ireland</v>
      </c>
      <c r="N217" s="94">
        <f>IFERROR(__xludf.DUMMYFUNCTION("""COMPUTED_VALUE"""),40695.0)</f>
        <v>40695</v>
      </c>
      <c r="O217" s="46">
        <f>IFERROR(__xludf.DUMMYFUNCTION("""COMPUTED_VALUE"""),1.0)</f>
        <v>1</v>
      </c>
      <c r="P217" s="46">
        <f>IFERROR(__xludf.DUMMYFUNCTION("""COMPUTED_VALUE"""),2227.0)</f>
        <v>2227</v>
      </c>
      <c r="Q217" s="46">
        <f>IFERROR(__xludf.DUMMYFUNCTION("""COMPUTED_VALUE"""),105671.15000000001)</f>
        <v>105671.15</v>
      </c>
      <c r="R217" s="46">
        <f>IFERROR(__xludf.DUMMYFUNCTION("""COMPUTED_VALUE"""),70796.33)</f>
        <v>70796.33</v>
      </c>
      <c r="S217" s="46">
        <f>IFERROR(__xludf.DUMMYFUNCTION("""COMPUTED_VALUE"""),34874.82000000001)</f>
        <v>34874.82</v>
      </c>
    </row>
    <row r="218">
      <c r="A218" s="46" t="str">
        <f>IFERROR(__xludf.DUMMYFUNCTION("""COMPUTED_VALUE"""),"Beverages")</f>
        <v>Beverages</v>
      </c>
      <c r="B218" s="46" t="str">
        <f>IFERROR(__xludf.DUMMYFUNCTION("""COMPUTED_VALUE"""),"Malta")</f>
        <v>Malta</v>
      </c>
      <c r="C218" s="46" t="str">
        <f>IFERROR(__xludf.DUMMYFUNCTION("""COMPUTED_VALUE"""),"Europe")</f>
        <v>Europe</v>
      </c>
      <c r="D218" s="90">
        <f>IFERROR(__xludf.DUMMYFUNCTION("""COMPUTED_VALUE"""),42461.0)</f>
        <v>42461</v>
      </c>
      <c r="E218" s="46">
        <f>IFERROR(__xludf.DUMMYFUNCTION("""COMPUTED_VALUE"""),2016.0)</f>
        <v>2016</v>
      </c>
      <c r="F218" s="46">
        <f>IFERROR(__xludf.DUMMYFUNCTION("""COMPUTED_VALUE"""),1.0)</f>
        <v>1</v>
      </c>
      <c r="G218" s="46">
        <f>IFERROR(__xludf.DUMMYFUNCTION("""COMPUTED_VALUE"""),800.0)</f>
        <v>800</v>
      </c>
      <c r="H218" s="46">
        <f>IFERROR(__xludf.DUMMYFUNCTION("""COMPUTED_VALUE"""),37960.0)</f>
        <v>37960</v>
      </c>
      <c r="I218" s="46">
        <f>IFERROR(__xludf.DUMMYFUNCTION("""COMPUTED_VALUE"""),25432.0)</f>
        <v>25432</v>
      </c>
      <c r="J218" s="46">
        <f>IFERROR(__xludf.DUMMYFUNCTION("""COMPUTED_VALUE"""),12528.0)</f>
        <v>12528</v>
      </c>
      <c r="K218" s="46" t="str">
        <f t="array" ref="K218">TEXT(D218, "mmmm")</f>
        <v>April</v>
      </c>
      <c r="M218" s="46" t="str">
        <f>IFERROR(__xludf.DUMMYFUNCTION("""COMPUTED_VALUE"""),"Italy")</f>
        <v>Italy</v>
      </c>
      <c r="N218" s="94">
        <f>IFERROR(__xludf.DUMMYFUNCTION("""COMPUTED_VALUE"""),40695.0)</f>
        <v>40695</v>
      </c>
      <c r="O218" s="46">
        <f>IFERROR(__xludf.DUMMYFUNCTION("""COMPUTED_VALUE"""),1.0)</f>
        <v>1</v>
      </c>
      <c r="P218" s="46">
        <f>IFERROR(__xludf.DUMMYFUNCTION("""COMPUTED_VALUE"""),4507.0)</f>
        <v>4507</v>
      </c>
      <c r="Q218" s="46">
        <f>IFERROR(__xludf.DUMMYFUNCTION("""COMPUTED_VALUE"""),492524.96)</f>
        <v>492524.96</v>
      </c>
      <c r="R218" s="46">
        <f>IFERROR(__xludf.DUMMYFUNCTION("""COMPUTED_VALUE"""),161530.88)</f>
        <v>161530.88</v>
      </c>
      <c r="S218" s="46">
        <f>IFERROR(__xludf.DUMMYFUNCTION("""COMPUTED_VALUE"""),330994.08)</f>
        <v>330994.08</v>
      </c>
    </row>
    <row r="219">
      <c r="A219" s="46" t="str">
        <f>IFERROR(__xludf.DUMMYFUNCTION("""COMPUTED_VALUE"""),"Cereal")</f>
        <v>Cereal</v>
      </c>
      <c r="B219" s="46" t="str">
        <f>IFERROR(__xludf.DUMMYFUNCTION("""COMPUTED_VALUE"""),"Germany")</f>
        <v>Germany</v>
      </c>
      <c r="C219" s="46" t="str">
        <f>IFERROR(__xludf.DUMMYFUNCTION("""COMPUTED_VALUE"""),"Europe")</f>
        <v>Europe</v>
      </c>
      <c r="D219" s="90">
        <f>IFERROR(__xludf.DUMMYFUNCTION("""COMPUTED_VALUE"""),42461.0)</f>
        <v>42461</v>
      </c>
      <c r="E219" s="46">
        <f>IFERROR(__xludf.DUMMYFUNCTION("""COMPUTED_VALUE"""),2016.0)</f>
        <v>2016</v>
      </c>
      <c r="F219" s="46">
        <f>IFERROR(__xludf.DUMMYFUNCTION("""COMPUTED_VALUE"""),1.0)</f>
        <v>1</v>
      </c>
      <c r="G219" s="46">
        <f>IFERROR(__xludf.DUMMYFUNCTION("""COMPUTED_VALUE"""),3867.0)</f>
        <v>3867</v>
      </c>
      <c r="H219" s="46">
        <f>IFERROR(__xludf.DUMMYFUNCTION("""COMPUTED_VALUE"""),795441.8999999999)</f>
        <v>795441.9</v>
      </c>
      <c r="I219" s="46">
        <f>IFERROR(__xludf.DUMMYFUNCTION("""COMPUTED_VALUE"""),452864.37)</f>
        <v>452864.37</v>
      </c>
      <c r="J219" s="46">
        <f>IFERROR(__xludf.DUMMYFUNCTION("""COMPUTED_VALUE"""),342577.5299999999)</f>
        <v>342577.53</v>
      </c>
      <c r="K219" s="46" t="str">
        <f t="array" ref="K219">TEXT(D219, "mmmm")</f>
        <v>April</v>
      </c>
      <c r="M219" s="46" t="str">
        <f>IFERROR(__xludf.DUMMYFUNCTION("""COMPUTED_VALUE"""),"Poland")</f>
        <v>Poland</v>
      </c>
      <c r="N219" s="94">
        <f>IFERROR(__xludf.DUMMYFUNCTION("""COMPUTED_VALUE"""),40695.0)</f>
        <v>40695</v>
      </c>
      <c r="O219" s="46">
        <f>IFERROR(__xludf.DUMMYFUNCTION("""COMPUTED_VALUE"""),1.0)</f>
        <v>1</v>
      </c>
      <c r="P219" s="46">
        <f>IFERROR(__xludf.DUMMYFUNCTION("""COMPUTED_VALUE"""),4080.0)</f>
        <v>4080</v>
      </c>
      <c r="Q219" s="46">
        <f>IFERROR(__xludf.DUMMYFUNCTION("""COMPUTED_VALUE"""),839256.0)</f>
        <v>839256</v>
      </c>
      <c r="R219" s="46">
        <f>IFERROR(__xludf.DUMMYFUNCTION("""COMPUTED_VALUE"""),477808.8)</f>
        <v>477808.8</v>
      </c>
      <c r="S219" s="46">
        <f>IFERROR(__xludf.DUMMYFUNCTION("""COMPUTED_VALUE"""),361447.2)</f>
        <v>361447.2</v>
      </c>
    </row>
    <row r="220">
      <c r="A220" s="46" t="str">
        <f>IFERROR(__xludf.DUMMYFUNCTION("""COMPUTED_VALUE"""),"Clothes")</f>
        <v>Clothes</v>
      </c>
      <c r="B220" s="46" t="str">
        <f>IFERROR(__xludf.DUMMYFUNCTION("""COMPUTED_VALUE"""),"Montenegro")</f>
        <v>Montenegro</v>
      </c>
      <c r="C220" s="46" t="str">
        <f>IFERROR(__xludf.DUMMYFUNCTION("""COMPUTED_VALUE"""),"Europe")</f>
        <v>Europe</v>
      </c>
      <c r="D220" s="90">
        <f>IFERROR(__xludf.DUMMYFUNCTION("""COMPUTED_VALUE"""),42461.0)</f>
        <v>42461</v>
      </c>
      <c r="E220" s="46">
        <f>IFERROR(__xludf.DUMMYFUNCTION("""COMPUTED_VALUE"""),2016.0)</f>
        <v>2016</v>
      </c>
      <c r="F220" s="46">
        <f>IFERROR(__xludf.DUMMYFUNCTION("""COMPUTED_VALUE"""),1.0)</f>
        <v>1</v>
      </c>
      <c r="G220" s="46">
        <f>IFERROR(__xludf.DUMMYFUNCTION("""COMPUTED_VALUE"""),2222.0)</f>
        <v>2222</v>
      </c>
      <c r="H220" s="46">
        <f>IFERROR(__xludf.DUMMYFUNCTION("""COMPUTED_VALUE"""),242820.16)</f>
        <v>242820.16</v>
      </c>
      <c r="I220" s="46">
        <f>IFERROR(__xludf.DUMMYFUNCTION("""COMPUTED_VALUE"""),79636.48000000001)</f>
        <v>79636.48</v>
      </c>
      <c r="J220" s="46">
        <f>IFERROR(__xludf.DUMMYFUNCTION("""COMPUTED_VALUE"""),163183.68)</f>
        <v>163183.68</v>
      </c>
      <c r="K220" s="46" t="str">
        <f t="array" ref="K220">TEXT(D220, "mmmm")</f>
        <v>April</v>
      </c>
      <c r="M220" s="46" t="str">
        <f>IFERROR(__xludf.DUMMYFUNCTION("""COMPUTED_VALUE"""),"Romania")</f>
        <v>Romania</v>
      </c>
      <c r="N220" s="94">
        <f>IFERROR(__xludf.DUMMYFUNCTION("""COMPUTED_VALUE"""),40695.0)</f>
        <v>40695</v>
      </c>
      <c r="O220" s="46">
        <f>IFERROR(__xludf.DUMMYFUNCTION("""COMPUTED_VALUE"""),1.0)</f>
        <v>1</v>
      </c>
      <c r="P220" s="46">
        <f>IFERROR(__xludf.DUMMYFUNCTION("""COMPUTED_VALUE"""),5177.0)</f>
        <v>5177</v>
      </c>
      <c r="Q220" s="46">
        <f>IFERROR(__xludf.DUMMYFUNCTION("""COMPUTED_VALUE"""),423116.21)</f>
        <v>423116.21</v>
      </c>
      <c r="R220" s="46">
        <f>IFERROR(__xludf.DUMMYFUNCTION("""COMPUTED_VALUE"""),293380.59)</f>
        <v>293380.59</v>
      </c>
      <c r="S220" s="46">
        <f>IFERROR(__xludf.DUMMYFUNCTION("""COMPUTED_VALUE"""),129735.62)</f>
        <v>129735.62</v>
      </c>
    </row>
    <row r="221">
      <c r="A221" s="46" t="str">
        <f>IFERROR(__xludf.DUMMYFUNCTION("""COMPUTED_VALUE"""),"Fruits")</f>
        <v>Fruits</v>
      </c>
      <c r="B221" s="46" t="str">
        <f>IFERROR(__xludf.DUMMYFUNCTION("""COMPUTED_VALUE"""),"Hungary")</f>
        <v>Hungary</v>
      </c>
      <c r="C221" s="46" t="str">
        <f>IFERROR(__xludf.DUMMYFUNCTION("""COMPUTED_VALUE"""),"Europe")</f>
        <v>Europe</v>
      </c>
      <c r="D221" s="90">
        <f>IFERROR(__xludf.DUMMYFUNCTION("""COMPUTED_VALUE"""),42461.0)</f>
        <v>42461</v>
      </c>
      <c r="E221" s="46">
        <f>IFERROR(__xludf.DUMMYFUNCTION("""COMPUTED_VALUE"""),2016.0)</f>
        <v>2016</v>
      </c>
      <c r="F221" s="46">
        <f>IFERROR(__xludf.DUMMYFUNCTION("""COMPUTED_VALUE"""),1.0)</f>
        <v>1</v>
      </c>
      <c r="G221" s="46">
        <f>IFERROR(__xludf.DUMMYFUNCTION("""COMPUTED_VALUE"""),5193.0)</f>
        <v>5193</v>
      </c>
      <c r="H221" s="46">
        <f>IFERROR(__xludf.DUMMYFUNCTION("""COMPUTED_VALUE"""),48450.69)</f>
        <v>48450.69</v>
      </c>
      <c r="I221" s="46">
        <f>IFERROR(__xludf.DUMMYFUNCTION("""COMPUTED_VALUE"""),35935.56)</f>
        <v>35935.56</v>
      </c>
      <c r="J221" s="46">
        <f>IFERROR(__xludf.DUMMYFUNCTION("""COMPUTED_VALUE"""),12515.130000000005)</f>
        <v>12515.13</v>
      </c>
      <c r="K221" s="46" t="str">
        <f t="array" ref="K221">TEXT(D221, "mmmm")</f>
        <v>April</v>
      </c>
      <c r="M221" s="46" t="str">
        <f>IFERROR(__xludf.DUMMYFUNCTION("""COMPUTED_VALUE"""),"Serbia")</f>
        <v>Serbia</v>
      </c>
      <c r="N221" s="94">
        <f>IFERROR(__xludf.DUMMYFUNCTION("""COMPUTED_VALUE"""),40695.0)</f>
        <v>40695</v>
      </c>
      <c r="O221" s="46">
        <f>IFERROR(__xludf.DUMMYFUNCTION("""COMPUTED_VALUE"""),2.0)</f>
        <v>2</v>
      </c>
      <c r="P221" s="46">
        <f>IFERROR(__xludf.DUMMYFUNCTION("""COMPUTED_VALUE"""),11620.0)</f>
        <v>11620</v>
      </c>
      <c r="Q221" s="46">
        <f>IFERROR(__xludf.DUMMYFUNCTION("""COMPUTED_VALUE"""),1435743.5)</f>
        <v>1435743.5</v>
      </c>
      <c r="R221" s="46">
        <f>IFERROR(__xludf.DUMMYFUNCTION("""COMPUTED_VALUE"""),620569.25)</f>
        <v>620569.25</v>
      </c>
      <c r="S221" s="46">
        <f>IFERROR(__xludf.DUMMYFUNCTION("""COMPUTED_VALUE"""),815174.2499999999)</f>
        <v>815174.25</v>
      </c>
    </row>
    <row r="222">
      <c r="A222" s="46" t="str">
        <f>IFERROR(__xludf.DUMMYFUNCTION("""COMPUTED_VALUE"""),"Fruits")</f>
        <v>Fruits</v>
      </c>
      <c r="B222" s="46" t="str">
        <f>IFERROR(__xludf.DUMMYFUNCTION("""COMPUTED_VALUE"""),"Sweden")</f>
        <v>Sweden</v>
      </c>
      <c r="C222" s="46" t="str">
        <f>IFERROR(__xludf.DUMMYFUNCTION("""COMPUTED_VALUE"""),"Europe")</f>
        <v>Europe</v>
      </c>
      <c r="D222" s="90">
        <f>IFERROR(__xludf.DUMMYFUNCTION("""COMPUTED_VALUE"""),42461.0)</f>
        <v>42461</v>
      </c>
      <c r="E222" s="46">
        <f>IFERROR(__xludf.DUMMYFUNCTION("""COMPUTED_VALUE"""),2016.0)</f>
        <v>2016</v>
      </c>
      <c r="F222" s="46">
        <f>IFERROR(__xludf.DUMMYFUNCTION("""COMPUTED_VALUE"""),1.0)</f>
        <v>1</v>
      </c>
      <c r="G222" s="46">
        <f>IFERROR(__xludf.DUMMYFUNCTION("""COMPUTED_VALUE"""),6210.0)</f>
        <v>6210</v>
      </c>
      <c r="H222" s="46">
        <f>IFERROR(__xludf.DUMMYFUNCTION("""COMPUTED_VALUE"""),57939.3)</f>
        <v>57939.3</v>
      </c>
      <c r="I222" s="46">
        <f>IFERROR(__xludf.DUMMYFUNCTION("""COMPUTED_VALUE"""),42973.2)</f>
        <v>42973.2</v>
      </c>
      <c r="J222" s="46">
        <f>IFERROR(__xludf.DUMMYFUNCTION("""COMPUTED_VALUE"""),14966.100000000006)</f>
        <v>14966.1</v>
      </c>
      <c r="K222" s="46" t="str">
        <f t="array" ref="K222">TEXT(D222, "mmmm")</f>
        <v>April</v>
      </c>
      <c r="M222" s="46" t="str">
        <f>IFERROR(__xludf.DUMMYFUNCTION("""COMPUTED_VALUE"""),"Slovakia")</f>
        <v>Slovakia</v>
      </c>
      <c r="N222" s="94">
        <f>IFERROR(__xludf.DUMMYFUNCTION("""COMPUTED_VALUE"""),40695.0)</f>
        <v>40695</v>
      </c>
      <c r="O222" s="46">
        <f>IFERROR(__xludf.DUMMYFUNCTION("""COMPUTED_VALUE"""),1.0)</f>
        <v>1</v>
      </c>
      <c r="P222" s="46">
        <f>IFERROR(__xludf.DUMMYFUNCTION("""COMPUTED_VALUE"""),2727.0)</f>
        <v>2727</v>
      </c>
      <c r="Q222" s="46">
        <f>IFERROR(__xludf.DUMMYFUNCTION("""COMPUTED_VALUE"""),416085.66000000003)</f>
        <v>416085.66</v>
      </c>
      <c r="R222" s="46">
        <f>IFERROR(__xludf.DUMMYFUNCTION("""COMPUTED_VALUE"""),265718.88)</f>
        <v>265718.88</v>
      </c>
      <c r="S222" s="46">
        <f>IFERROR(__xludf.DUMMYFUNCTION("""COMPUTED_VALUE"""),150366.78000000003)</f>
        <v>150366.78</v>
      </c>
    </row>
    <row r="223">
      <c r="A223" s="46" t="str">
        <f>IFERROR(__xludf.DUMMYFUNCTION("""COMPUTED_VALUE"""),"Office Supplies")</f>
        <v>Office Supplies</v>
      </c>
      <c r="B223" s="46" t="str">
        <f>IFERROR(__xludf.DUMMYFUNCTION("""COMPUTED_VALUE"""),"Estonia")</f>
        <v>Estonia</v>
      </c>
      <c r="C223" s="46" t="str">
        <f>IFERROR(__xludf.DUMMYFUNCTION("""COMPUTED_VALUE"""),"Europe")</f>
        <v>Europe</v>
      </c>
      <c r="D223" s="90">
        <f>IFERROR(__xludf.DUMMYFUNCTION("""COMPUTED_VALUE"""),42461.0)</f>
        <v>42461</v>
      </c>
      <c r="E223" s="46">
        <f>IFERROR(__xludf.DUMMYFUNCTION("""COMPUTED_VALUE"""),2016.0)</f>
        <v>2016</v>
      </c>
      <c r="F223" s="46">
        <f>IFERROR(__xludf.DUMMYFUNCTION("""COMPUTED_VALUE"""),1.0)</f>
        <v>1</v>
      </c>
      <c r="G223" s="46">
        <f>IFERROR(__xludf.DUMMYFUNCTION("""COMPUTED_VALUE"""),4339.0)</f>
        <v>4339</v>
      </c>
      <c r="H223" s="46">
        <f>IFERROR(__xludf.DUMMYFUNCTION("""COMPUTED_VALUE"""),2825600.19)</f>
        <v>2825600.19</v>
      </c>
      <c r="I223" s="46">
        <f>IFERROR(__xludf.DUMMYFUNCTION("""COMPUTED_VALUE"""),2277801.44)</f>
        <v>2277801.44</v>
      </c>
      <c r="J223" s="46">
        <f>IFERROR(__xludf.DUMMYFUNCTION("""COMPUTED_VALUE"""),547798.75)</f>
        <v>547798.75</v>
      </c>
      <c r="K223" s="46" t="str">
        <f t="array" ref="K223">TEXT(D223, "mmmm")</f>
        <v>April</v>
      </c>
      <c r="M223" s="46" t="str">
        <f>IFERROR(__xludf.DUMMYFUNCTION("""COMPUTED_VALUE"""),"Sweden")</f>
        <v>Sweden</v>
      </c>
      <c r="N223" s="94">
        <f>IFERROR(__xludf.DUMMYFUNCTION("""COMPUTED_VALUE"""),40695.0)</f>
        <v>40695</v>
      </c>
      <c r="O223" s="46">
        <f>IFERROR(__xludf.DUMMYFUNCTION("""COMPUTED_VALUE"""),1.0)</f>
        <v>1</v>
      </c>
      <c r="P223" s="46">
        <f>IFERROR(__xludf.DUMMYFUNCTION("""COMPUTED_VALUE"""),7769.0)</f>
        <v>7769</v>
      </c>
      <c r="Q223" s="46">
        <f>IFERROR(__xludf.DUMMYFUNCTION("""COMPUTED_VALUE"""),5191789.63)</f>
        <v>5191789.63</v>
      </c>
      <c r="R223" s="46">
        <f>IFERROR(__xludf.DUMMYFUNCTION("""COMPUTED_VALUE"""),3904233.2600000002)</f>
        <v>3904233.26</v>
      </c>
      <c r="S223" s="46">
        <f>IFERROR(__xludf.DUMMYFUNCTION("""COMPUTED_VALUE"""),1287556.3699999996)</f>
        <v>1287556.37</v>
      </c>
    </row>
    <row r="224">
      <c r="A224" s="46" t="str">
        <f>IFERROR(__xludf.DUMMYFUNCTION("""COMPUTED_VALUE"""),"Personal Care")</f>
        <v>Personal Care</v>
      </c>
      <c r="B224" s="46" t="str">
        <f>IFERROR(__xludf.DUMMYFUNCTION("""COMPUTED_VALUE"""),"Undefined")</f>
        <v>Undefined</v>
      </c>
      <c r="C224" s="46" t="str">
        <f>IFERROR(__xludf.DUMMYFUNCTION("""COMPUTED_VALUE"""),"Undefined")</f>
        <v>Undefined</v>
      </c>
      <c r="D224" s="90">
        <f>IFERROR(__xludf.DUMMYFUNCTION("""COMPUTED_VALUE"""),42461.0)</f>
        <v>42461</v>
      </c>
      <c r="E224" s="46">
        <f>IFERROR(__xludf.DUMMYFUNCTION("""COMPUTED_VALUE"""),2016.0)</f>
        <v>2016</v>
      </c>
      <c r="F224" s="46">
        <f>IFERROR(__xludf.DUMMYFUNCTION("""COMPUTED_VALUE"""),1.0)</f>
        <v>1</v>
      </c>
      <c r="G224" s="46">
        <f>IFERROR(__xludf.DUMMYFUNCTION("""COMPUTED_VALUE"""),1529.0)</f>
        <v>1529</v>
      </c>
      <c r="H224" s="46">
        <f>IFERROR(__xludf.DUMMYFUNCTION("""COMPUTED_VALUE"""),124965.17000000001)</f>
        <v>124965.17</v>
      </c>
      <c r="I224" s="46">
        <f>IFERROR(__xludf.DUMMYFUNCTION("""COMPUTED_VALUE"""),86648.43000000001)</f>
        <v>86648.43</v>
      </c>
      <c r="J224" s="46">
        <f>IFERROR(__xludf.DUMMYFUNCTION("""COMPUTED_VALUE"""),38316.740000000005)</f>
        <v>38316.74</v>
      </c>
      <c r="K224" s="46" t="str">
        <f t="array" ref="K224">TEXT(D224, "mmmm")</f>
        <v>April</v>
      </c>
      <c r="M224" s="46" t="str">
        <f>IFERROR(__xludf.DUMMYFUNCTION("""COMPUTED_VALUE"""),"Undefined")</f>
        <v>Undefined</v>
      </c>
      <c r="N224" s="94">
        <f>IFERROR(__xludf.DUMMYFUNCTION("""COMPUTED_VALUE"""),40695.0)</f>
        <v>40695</v>
      </c>
      <c r="O224" s="46">
        <f>IFERROR(__xludf.DUMMYFUNCTION("""COMPUTED_VALUE"""),3.0)</f>
        <v>3</v>
      </c>
      <c r="P224" s="46">
        <f>IFERROR(__xludf.DUMMYFUNCTION("""COMPUTED_VALUE"""),13465.0)</f>
        <v>13465</v>
      </c>
      <c r="Q224" s="46">
        <f>IFERROR(__xludf.DUMMYFUNCTION("""COMPUTED_VALUE"""),4834058.4399999995)</f>
        <v>4834058.44</v>
      </c>
      <c r="R224" s="46">
        <f>IFERROR(__xludf.DUMMYFUNCTION("""COMPUTED_VALUE"""),2908687.82)</f>
        <v>2908687.82</v>
      </c>
      <c r="S224" s="46">
        <f>IFERROR(__xludf.DUMMYFUNCTION("""COMPUTED_VALUE"""),1925370.62)</f>
        <v>1925370.62</v>
      </c>
    </row>
    <row r="225">
      <c r="A225" s="46" t="str">
        <f>IFERROR(__xludf.DUMMYFUNCTION("""COMPUTED_VALUE"""),"Snacks")</f>
        <v>Snacks</v>
      </c>
      <c r="B225" s="46" t="str">
        <f>IFERROR(__xludf.DUMMYFUNCTION("""COMPUTED_VALUE"""),"Romania")</f>
        <v>Romania</v>
      </c>
      <c r="C225" s="46" t="str">
        <f>IFERROR(__xludf.DUMMYFUNCTION("""COMPUTED_VALUE"""),"Europe")</f>
        <v>Europe</v>
      </c>
      <c r="D225" s="90">
        <f>IFERROR(__xludf.DUMMYFUNCTION("""COMPUTED_VALUE"""),42461.0)</f>
        <v>42461</v>
      </c>
      <c r="E225" s="46">
        <f>IFERROR(__xludf.DUMMYFUNCTION("""COMPUTED_VALUE"""),2016.0)</f>
        <v>2016</v>
      </c>
      <c r="F225" s="46">
        <f>IFERROR(__xludf.DUMMYFUNCTION("""COMPUTED_VALUE"""),1.0)</f>
        <v>1</v>
      </c>
      <c r="G225" s="46">
        <f>IFERROR(__xludf.DUMMYFUNCTION("""COMPUTED_VALUE"""),3293.0)</f>
        <v>3293</v>
      </c>
      <c r="H225" s="46">
        <f>IFERROR(__xludf.DUMMYFUNCTION("""COMPUTED_VALUE"""),502445.94000000006)</f>
        <v>502445.94</v>
      </c>
      <c r="I225" s="46">
        <f>IFERROR(__xludf.DUMMYFUNCTION("""COMPUTED_VALUE"""),320869.92)</f>
        <v>320869.92</v>
      </c>
      <c r="J225" s="46">
        <f>IFERROR(__xludf.DUMMYFUNCTION("""COMPUTED_VALUE"""),181576.02000000008)</f>
        <v>181576.02</v>
      </c>
      <c r="K225" s="46" t="str">
        <f t="array" ref="K225">TEXT(D225, "mmmm")</f>
        <v>April</v>
      </c>
      <c r="M225" s="46" t="str">
        <f>IFERROR(__xludf.DUMMYFUNCTION("""COMPUTED_VALUE"""),"Bosnia and Herzegovina")</f>
        <v>Bosnia and Herzegovina</v>
      </c>
      <c r="N225" s="94">
        <f>IFERROR(__xludf.DUMMYFUNCTION("""COMPUTED_VALUE"""),40725.0)</f>
        <v>40725</v>
      </c>
      <c r="O225" s="46">
        <f>IFERROR(__xludf.DUMMYFUNCTION("""COMPUTED_VALUE"""),1.0)</f>
        <v>1</v>
      </c>
      <c r="P225" s="46">
        <f>IFERROR(__xludf.DUMMYFUNCTION("""COMPUTED_VALUE"""),785.0)</f>
        <v>785</v>
      </c>
      <c r="Q225" s="46">
        <f>IFERROR(__xludf.DUMMYFUNCTION("""COMPUTED_VALUE"""),119775.3)</f>
        <v>119775.3</v>
      </c>
      <c r="R225" s="46">
        <f>IFERROR(__xludf.DUMMYFUNCTION("""COMPUTED_VALUE"""),76490.4)</f>
        <v>76490.4</v>
      </c>
      <c r="S225" s="46">
        <f>IFERROR(__xludf.DUMMYFUNCTION("""COMPUTED_VALUE"""),43284.90000000001)</f>
        <v>43284.9</v>
      </c>
    </row>
    <row r="226">
      <c r="A226" s="46" t="str">
        <f>IFERROR(__xludf.DUMMYFUNCTION("""COMPUTED_VALUE"""),"Vegetables")</f>
        <v>Vegetables</v>
      </c>
      <c r="B226" s="46" t="str">
        <f>IFERROR(__xludf.DUMMYFUNCTION("""COMPUTED_VALUE"""),"Ireland")</f>
        <v>Ireland</v>
      </c>
      <c r="C226" s="46" t="str">
        <f>IFERROR(__xludf.DUMMYFUNCTION("""COMPUTED_VALUE"""),"Europe")</f>
        <v>Europe</v>
      </c>
      <c r="D226" s="90">
        <f>IFERROR(__xludf.DUMMYFUNCTION("""COMPUTED_VALUE"""),42461.0)</f>
        <v>42461</v>
      </c>
      <c r="E226" s="46">
        <f>IFERROR(__xludf.DUMMYFUNCTION("""COMPUTED_VALUE"""),2016.0)</f>
        <v>2016</v>
      </c>
      <c r="F226" s="46">
        <f>IFERROR(__xludf.DUMMYFUNCTION("""COMPUTED_VALUE"""),1.0)</f>
        <v>1</v>
      </c>
      <c r="G226" s="46">
        <f>IFERROR(__xludf.DUMMYFUNCTION("""COMPUTED_VALUE"""),7533.0)</f>
        <v>7533</v>
      </c>
      <c r="H226" s="46">
        <f>IFERROR(__xludf.DUMMYFUNCTION("""COMPUTED_VALUE"""),1160533.98)</f>
        <v>1160533.98</v>
      </c>
      <c r="I226" s="46">
        <f>IFERROR(__xludf.DUMMYFUNCTION("""COMPUTED_VALUE"""),684975.6900000001)</f>
        <v>684975.69</v>
      </c>
      <c r="J226" s="46">
        <f>IFERROR(__xludf.DUMMYFUNCTION("""COMPUTED_VALUE"""),475558.2899999999)</f>
        <v>475558.29</v>
      </c>
      <c r="K226" s="46" t="str">
        <f t="array" ref="K226">TEXT(D226, "mmmm")</f>
        <v>April</v>
      </c>
      <c r="M226" s="46" t="str">
        <f>IFERROR(__xludf.DUMMYFUNCTION("""COMPUTED_VALUE"""),"Cyprus")</f>
        <v>Cyprus</v>
      </c>
      <c r="N226" s="94">
        <f>IFERROR(__xludf.DUMMYFUNCTION("""COMPUTED_VALUE"""),40725.0)</f>
        <v>40725</v>
      </c>
      <c r="O226" s="46">
        <f>IFERROR(__xludf.DUMMYFUNCTION("""COMPUTED_VALUE"""),1.0)</f>
        <v>1</v>
      </c>
      <c r="P226" s="46">
        <f>IFERROR(__xludf.DUMMYFUNCTION("""COMPUTED_VALUE"""),567.0)</f>
        <v>567</v>
      </c>
      <c r="Q226" s="46">
        <f>IFERROR(__xludf.DUMMYFUNCTION("""COMPUTED_VALUE"""),116631.9)</f>
        <v>116631.9</v>
      </c>
      <c r="R226" s="46">
        <f>IFERROR(__xludf.DUMMYFUNCTION("""COMPUTED_VALUE"""),66401.37)</f>
        <v>66401.37</v>
      </c>
      <c r="S226" s="46">
        <f>IFERROR(__xludf.DUMMYFUNCTION("""COMPUTED_VALUE"""),50230.53)</f>
        <v>50230.53</v>
      </c>
    </row>
    <row r="227">
      <c r="A227" s="46" t="str">
        <f>IFERROR(__xludf.DUMMYFUNCTION("""COMPUTED_VALUE"""),"Vegetables")</f>
        <v>Vegetables</v>
      </c>
      <c r="B227" s="46" t="str">
        <f>IFERROR(__xludf.DUMMYFUNCTION("""COMPUTED_VALUE"""),"Italy")</f>
        <v>Italy</v>
      </c>
      <c r="C227" s="46" t="str">
        <f>IFERROR(__xludf.DUMMYFUNCTION("""COMPUTED_VALUE"""),"Europe")</f>
        <v>Europe</v>
      </c>
      <c r="D227" s="90">
        <f>IFERROR(__xludf.DUMMYFUNCTION("""COMPUTED_VALUE"""),42461.0)</f>
        <v>42461</v>
      </c>
      <c r="E227" s="46">
        <f>IFERROR(__xludf.DUMMYFUNCTION("""COMPUTED_VALUE"""),2016.0)</f>
        <v>2016</v>
      </c>
      <c r="F227" s="46">
        <f>IFERROR(__xludf.DUMMYFUNCTION("""COMPUTED_VALUE"""),1.0)</f>
        <v>1</v>
      </c>
      <c r="G227" s="46">
        <f>IFERROR(__xludf.DUMMYFUNCTION("""COMPUTED_VALUE"""),428.0)</f>
        <v>428</v>
      </c>
      <c r="H227" s="46">
        <f>IFERROR(__xludf.DUMMYFUNCTION("""COMPUTED_VALUE"""),65937.68000000001)</f>
        <v>65937.68</v>
      </c>
      <c r="I227" s="46">
        <f>IFERROR(__xludf.DUMMYFUNCTION("""COMPUTED_VALUE"""),38918.04)</f>
        <v>38918.04</v>
      </c>
      <c r="J227" s="46">
        <f>IFERROR(__xludf.DUMMYFUNCTION("""COMPUTED_VALUE"""),27019.640000000007)</f>
        <v>27019.64</v>
      </c>
      <c r="K227" s="46" t="str">
        <f t="array" ref="K227">TEXT(D227, "mmmm")</f>
        <v>April</v>
      </c>
      <c r="M227" s="46" t="str">
        <f>IFERROR(__xludf.DUMMYFUNCTION("""COMPUTED_VALUE"""),"Czech Republic")</f>
        <v>Czech Republic</v>
      </c>
      <c r="N227" s="94">
        <f>IFERROR(__xludf.DUMMYFUNCTION("""COMPUTED_VALUE"""),40725.0)</f>
        <v>40725</v>
      </c>
      <c r="O227" s="46">
        <f>IFERROR(__xludf.DUMMYFUNCTION("""COMPUTED_VALUE"""),2.0)</f>
        <v>2</v>
      </c>
      <c r="P227" s="46">
        <f>IFERROR(__xludf.DUMMYFUNCTION("""COMPUTED_VALUE"""),13811.0)</f>
        <v>13811</v>
      </c>
      <c r="Q227" s="46">
        <f>IFERROR(__xludf.DUMMYFUNCTION("""COMPUTED_VALUE"""),2586531.02)</f>
        <v>2586531.02</v>
      </c>
      <c r="R227" s="46">
        <f>IFERROR(__xludf.DUMMYFUNCTION("""COMPUTED_VALUE"""),1523206.5799999998)</f>
        <v>1523206.58</v>
      </c>
      <c r="S227" s="46">
        <f>IFERROR(__xludf.DUMMYFUNCTION("""COMPUTED_VALUE"""),1063324.4400000002)</f>
        <v>1063324.44</v>
      </c>
    </row>
    <row r="228">
      <c r="A228" s="46" t="str">
        <f>IFERROR(__xludf.DUMMYFUNCTION("""COMPUTED_VALUE"""),"Baby Food")</f>
        <v>Baby Food</v>
      </c>
      <c r="B228" s="46" t="str">
        <f>IFERROR(__xludf.DUMMYFUNCTION("""COMPUTED_VALUE"""),"Cyprus")</f>
        <v>Cyprus</v>
      </c>
      <c r="C228" s="46" t="str">
        <f>IFERROR(__xludf.DUMMYFUNCTION("""COMPUTED_VALUE"""),"Asia")</f>
        <v>Asia</v>
      </c>
      <c r="D228" s="90">
        <f>IFERROR(__xludf.DUMMYFUNCTION("""COMPUTED_VALUE"""),42430.0)</f>
        <v>42430</v>
      </c>
      <c r="E228" s="46">
        <f>IFERROR(__xludf.DUMMYFUNCTION("""COMPUTED_VALUE"""),2016.0)</f>
        <v>2016</v>
      </c>
      <c r="F228" s="46">
        <f>IFERROR(__xludf.DUMMYFUNCTION("""COMPUTED_VALUE"""),1.0)</f>
        <v>1</v>
      </c>
      <c r="G228" s="46">
        <f>IFERROR(__xludf.DUMMYFUNCTION("""COMPUTED_VALUE"""),153.0)</f>
        <v>153</v>
      </c>
      <c r="H228" s="46">
        <f>IFERROR(__xludf.DUMMYFUNCTION("""COMPUTED_VALUE"""),39057.840000000004)</f>
        <v>39057.84</v>
      </c>
      <c r="I228" s="46">
        <f>IFERROR(__xludf.DUMMYFUNCTION("""COMPUTED_VALUE"""),24391.26)</f>
        <v>24391.26</v>
      </c>
      <c r="J228" s="46">
        <f>IFERROR(__xludf.DUMMYFUNCTION("""COMPUTED_VALUE"""),14666.580000000005)</f>
        <v>14666.58</v>
      </c>
      <c r="K228" s="46" t="str">
        <f t="array" ref="K228">TEXT(D228, "mmmm")</f>
        <v>March</v>
      </c>
      <c r="M228" s="46" t="str">
        <f>IFERROR(__xludf.DUMMYFUNCTION("""COMPUTED_VALUE"""),"Finland")</f>
        <v>Finland</v>
      </c>
      <c r="N228" s="94">
        <f>IFERROR(__xludf.DUMMYFUNCTION("""COMPUTED_VALUE"""),40725.0)</f>
        <v>40725</v>
      </c>
      <c r="O228" s="46">
        <f>IFERROR(__xludf.DUMMYFUNCTION("""COMPUTED_VALUE"""),1.0)</f>
        <v>1</v>
      </c>
      <c r="P228" s="46">
        <f>IFERROR(__xludf.DUMMYFUNCTION("""COMPUTED_VALUE"""),4016.0)</f>
        <v>4016</v>
      </c>
      <c r="Q228" s="46">
        <f>IFERROR(__xludf.DUMMYFUNCTION("""COMPUTED_VALUE"""),826091.2)</f>
        <v>826091.2</v>
      </c>
      <c r="R228" s="46">
        <f>IFERROR(__xludf.DUMMYFUNCTION("""COMPUTED_VALUE"""),470313.76)</f>
        <v>470313.76</v>
      </c>
      <c r="S228" s="46">
        <f>IFERROR(__xludf.DUMMYFUNCTION("""COMPUTED_VALUE"""),355777.43999999994)</f>
        <v>355777.44</v>
      </c>
    </row>
    <row r="229">
      <c r="A229" s="46" t="str">
        <f>IFERROR(__xludf.DUMMYFUNCTION("""COMPUTED_VALUE"""),"Baby Food")</f>
        <v>Baby Food</v>
      </c>
      <c r="B229" s="46" t="str">
        <f>IFERROR(__xludf.DUMMYFUNCTION("""COMPUTED_VALUE"""),"Czech Republic")</f>
        <v>Czech Republic</v>
      </c>
      <c r="C229" s="46" t="str">
        <f>IFERROR(__xludf.DUMMYFUNCTION("""COMPUTED_VALUE"""),"Europe")</f>
        <v>Europe</v>
      </c>
      <c r="D229" s="90">
        <f>IFERROR(__xludf.DUMMYFUNCTION("""COMPUTED_VALUE"""),42430.0)</f>
        <v>42430</v>
      </c>
      <c r="E229" s="46">
        <f>IFERROR(__xludf.DUMMYFUNCTION("""COMPUTED_VALUE"""),2016.0)</f>
        <v>2016</v>
      </c>
      <c r="F229" s="46">
        <f>IFERROR(__xludf.DUMMYFUNCTION("""COMPUTED_VALUE"""),1.0)</f>
        <v>1</v>
      </c>
      <c r="G229" s="46">
        <f>IFERROR(__xludf.DUMMYFUNCTION("""COMPUTED_VALUE"""),6956.0)</f>
        <v>6956</v>
      </c>
      <c r="H229" s="46">
        <f>IFERROR(__xludf.DUMMYFUNCTION("""COMPUTED_VALUE"""),1775727.68)</f>
        <v>1775727.68</v>
      </c>
      <c r="I229" s="46">
        <f>IFERROR(__xludf.DUMMYFUNCTION("""COMPUTED_VALUE"""),1108925.52)</f>
        <v>1108925.52</v>
      </c>
      <c r="J229" s="46">
        <f>IFERROR(__xludf.DUMMYFUNCTION("""COMPUTED_VALUE"""),666802.1599999999)</f>
        <v>666802.16</v>
      </c>
      <c r="K229" s="46" t="str">
        <f t="array" ref="K229">TEXT(D229, "mmmm")</f>
        <v>March</v>
      </c>
      <c r="M229" s="46" t="str">
        <f>IFERROR(__xludf.DUMMYFUNCTION("""COMPUTED_VALUE"""),"France")</f>
        <v>France</v>
      </c>
      <c r="N229" s="94">
        <f>IFERROR(__xludf.DUMMYFUNCTION("""COMPUTED_VALUE"""),40725.0)</f>
        <v>40725</v>
      </c>
      <c r="O229" s="46">
        <f>IFERROR(__xludf.DUMMYFUNCTION("""COMPUTED_VALUE"""),2.0)</f>
        <v>2</v>
      </c>
      <c r="P229" s="46">
        <f>IFERROR(__xludf.DUMMYFUNCTION("""COMPUTED_VALUE"""),4508.0)</f>
        <v>4508</v>
      </c>
      <c r="Q229" s="46">
        <f>IFERROR(__xludf.DUMMYFUNCTION("""COMPUTED_VALUE"""),2897358.24)</f>
        <v>2897358.24</v>
      </c>
      <c r="R229" s="46">
        <f>IFERROR(__xludf.DUMMYFUNCTION("""COMPUTED_VALUE"""),2339754.5900000003)</f>
        <v>2339754.59</v>
      </c>
      <c r="S229" s="46">
        <f>IFERROR(__xludf.DUMMYFUNCTION("""COMPUTED_VALUE"""),557603.65)</f>
        <v>557603.65</v>
      </c>
    </row>
    <row r="230">
      <c r="A230" s="46" t="str">
        <f>IFERROR(__xludf.DUMMYFUNCTION("""COMPUTED_VALUE"""),"Baby Food")</f>
        <v>Baby Food</v>
      </c>
      <c r="B230" s="46" t="str">
        <f>IFERROR(__xludf.DUMMYFUNCTION("""COMPUTED_VALUE"""),"Portugal")</f>
        <v>Portugal</v>
      </c>
      <c r="C230" s="46" t="str">
        <f>IFERROR(__xludf.DUMMYFUNCTION("""COMPUTED_VALUE"""),"Europe")</f>
        <v>Europe</v>
      </c>
      <c r="D230" s="90">
        <f>IFERROR(__xludf.DUMMYFUNCTION("""COMPUTED_VALUE"""),42430.0)</f>
        <v>42430</v>
      </c>
      <c r="E230" s="46">
        <f>IFERROR(__xludf.DUMMYFUNCTION("""COMPUTED_VALUE"""),2016.0)</f>
        <v>2016</v>
      </c>
      <c r="F230" s="46">
        <f>IFERROR(__xludf.DUMMYFUNCTION("""COMPUTED_VALUE"""),1.0)</f>
        <v>1</v>
      </c>
      <c r="G230" s="46">
        <f>IFERROR(__xludf.DUMMYFUNCTION("""COMPUTED_VALUE"""),1303.0)</f>
        <v>1303</v>
      </c>
      <c r="H230" s="46">
        <f>IFERROR(__xludf.DUMMYFUNCTION("""COMPUTED_VALUE"""),332629.84)</f>
        <v>332629.84</v>
      </c>
      <c r="I230" s="46">
        <f>IFERROR(__xludf.DUMMYFUNCTION("""COMPUTED_VALUE"""),207724.25999999998)</f>
        <v>207724.26</v>
      </c>
      <c r="J230" s="46">
        <f>IFERROR(__xludf.DUMMYFUNCTION("""COMPUTED_VALUE"""),124905.58000000005)</f>
        <v>124905.58</v>
      </c>
      <c r="K230" s="46" t="str">
        <f t="array" ref="K230">TEXT(D230, "mmmm")</f>
        <v>March</v>
      </c>
      <c r="M230" s="46" t="str">
        <f>IFERROR(__xludf.DUMMYFUNCTION("""COMPUTED_VALUE"""),"Italy")</f>
        <v>Italy</v>
      </c>
      <c r="N230" s="94">
        <f>IFERROR(__xludf.DUMMYFUNCTION("""COMPUTED_VALUE"""),40725.0)</f>
        <v>40725</v>
      </c>
      <c r="O230" s="46">
        <f>IFERROR(__xludf.DUMMYFUNCTION("""COMPUTED_VALUE"""),2.0)</f>
        <v>2</v>
      </c>
      <c r="P230" s="46">
        <f>IFERROR(__xludf.DUMMYFUNCTION("""COMPUTED_VALUE"""),18665.0)</f>
        <v>18665</v>
      </c>
      <c r="Q230" s="46">
        <f>IFERROR(__xludf.DUMMYFUNCTION("""COMPUTED_VALUE"""),7575088.85)</f>
        <v>7575088.85</v>
      </c>
      <c r="R230" s="46">
        <f>IFERROR(__xludf.DUMMYFUNCTION("""COMPUTED_VALUE"""),5800094.04)</f>
        <v>5800094.04</v>
      </c>
      <c r="S230" s="46">
        <f>IFERROR(__xludf.DUMMYFUNCTION("""COMPUTED_VALUE"""),1774994.81)</f>
        <v>1774994.81</v>
      </c>
    </row>
    <row r="231">
      <c r="A231" s="46" t="str">
        <f>IFERROR(__xludf.DUMMYFUNCTION("""COMPUTED_VALUE"""),"Cereal")</f>
        <v>Cereal</v>
      </c>
      <c r="B231" s="46" t="str">
        <f>IFERROR(__xludf.DUMMYFUNCTION("""COMPUTED_VALUE"""),"Romania")</f>
        <v>Romania</v>
      </c>
      <c r="C231" s="46" t="str">
        <f>IFERROR(__xludf.DUMMYFUNCTION("""COMPUTED_VALUE"""),"Europe")</f>
        <v>Europe</v>
      </c>
      <c r="D231" s="90">
        <f>IFERROR(__xludf.DUMMYFUNCTION("""COMPUTED_VALUE"""),42430.0)</f>
        <v>42430</v>
      </c>
      <c r="E231" s="46">
        <f>IFERROR(__xludf.DUMMYFUNCTION("""COMPUTED_VALUE"""),2016.0)</f>
        <v>2016</v>
      </c>
      <c r="F231" s="46">
        <f>IFERROR(__xludf.DUMMYFUNCTION("""COMPUTED_VALUE"""),1.0)</f>
        <v>1</v>
      </c>
      <c r="G231" s="46">
        <f>IFERROR(__xludf.DUMMYFUNCTION("""COMPUTED_VALUE"""),4197.0)</f>
        <v>4197</v>
      </c>
      <c r="H231" s="46">
        <f>IFERROR(__xludf.DUMMYFUNCTION("""COMPUTED_VALUE"""),863322.8999999999)</f>
        <v>863322.9</v>
      </c>
      <c r="I231" s="46">
        <f>IFERROR(__xludf.DUMMYFUNCTION("""COMPUTED_VALUE"""),491510.67)</f>
        <v>491510.67</v>
      </c>
      <c r="J231" s="46">
        <f>IFERROR(__xludf.DUMMYFUNCTION("""COMPUTED_VALUE"""),371812.2299999999)</f>
        <v>371812.23</v>
      </c>
      <c r="K231" s="46" t="str">
        <f t="array" ref="K231">TEXT(D231, "mmmm")</f>
        <v>March</v>
      </c>
      <c r="M231" s="46" t="str">
        <f>IFERROR(__xludf.DUMMYFUNCTION("""COMPUTED_VALUE"""),"Latvia")</f>
        <v>Latvia</v>
      </c>
      <c r="N231" s="94">
        <f>IFERROR(__xludf.DUMMYFUNCTION("""COMPUTED_VALUE"""),40725.0)</f>
        <v>40725</v>
      </c>
      <c r="O231" s="46">
        <f>IFERROR(__xludf.DUMMYFUNCTION("""COMPUTED_VALUE"""),1.0)</f>
        <v>1</v>
      </c>
      <c r="P231" s="46">
        <f>IFERROR(__xludf.DUMMYFUNCTION("""COMPUTED_VALUE"""),4157.0)</f>
        <v>4157</v>
      </c>
      <c r="Q231" s="46">
        <f>IFERROR(__xludf.DUMMYFUNCTION("""COMPUTED_VALUE"""),1753796.73)</f>
        <v>1753796.73</v>
      </c>
      <c r="R231" s="46">
        <f>IFERROR(__xludf.DUMMYFUNCTION("""COMPUTED_VALUE"""),1516016.33)</f>
        <v>1516016.33</v>
      </c>
      <c r="S231" s="46">
        <f>IFERROR(__xludf.DUMMYFUNCTION("""COMPUTED_VALUE"""),237780.3999999999)</f>
        <v>237780.4</v>
      </c>
    </row>
    <row r="232">
      <c r="A232" s="46" t="str">
        <f>IFERROR(__xludf.DUMMYFUNCTION("""COMPUTED_VALUE"""),"Cosmetics")</f>
        <v>Cosmetics</v>
      </c>
      <c r="B232" s="46" t="str">
        <f>IFERROR(__xludf.DUMMYFUNCTION("""COMPUTED_VALUE"""),"Lithuania")</f>
        <v>Lithuania</v>
      </c>
      <c r="C232" s="46" t="str">
        <f>IFERROR(__xludf.DUMMYFUNCTION("""COMPUTED_VALUE"""),"Europe")</f>
        <v>Europe</v>
      </c>
      <c r="D232" s="90">
        <f>IFERROR(__xludf.DUMMYFUNCTION("""COMPUTED_VALUE"""),42430.0)</f>
        <v>42430</v>
      </c>
      <c r="E232" s="46">
        <f>IFERROR(__xludf.DUMMYFUNCTION("""COMPUTED_VALUE"""),2016.0)</f>
        <v>2016</v>
      </c>
      <c r="F232" s="46">
        <f>IFERROR(__xludf.DUMMYFUNCTION("""COMPUTED_VALUE"""),1.0)</f>
        <v>1</v>
      </c>
      <c r="G232" s="46">
        <f>IFERROR(__xludf.DUMMYFUNCTION("""COMPUTED_VALUE"""),884.0)</f>
        <v>884</v>
      </c>
      <c r="H232" s="46">
        <f>IFERROR(__xludf.DUMMYFUNCTION("""COMPUTED_VALUE"""),386484.8)</f>
        <v>386484.8</v>
      </c>
      <c r="I232" s="46">
        <f>IFERROR(__xludf.DUMMYFUNCTION("""COMPUTED_VALUE"""),232783.71999999997)</f>
        <v>232783.72</v>
      </c>
      <c r="J232" s="46">
        <f>IFERROR(__xludf.DUMMYFUNCTION("""COMPUTED_VALUE"""),153701.08000000002)</f>
        <v>153701.08</v>
      </c>
      <c r="K232" s="46" t="str">
        <f t="array" ref="K232">TEXT(D232, "mmmm")</f>
        <v>March</v>
      </c>
      <c r="M232" s="46" t="str">
        <f>IFERROR(__xludf.DUMMYFUNCTION("""COMPUTED_VALUE"""),"Netherlands")</f>
        <v>Netherlands</v>
      </c>
      <c r="N232" s="94">
        <f>IFERROR(__xludf.DUMMYFUNCTION("""COMPUTED_VALUE"""),40725.0)</f>
        <v>40725</v>
      </c>
      <c r="O232" s="46">
        <f>IFERROR(__xludf.DUMMYFUNCTION("""COMPUTED_VALUE"""),1.0)</f>
        <v>1</v>
      </c>
      <c r="P232" s="46">
        <f>IFERROR(__xludf.DUMMYFUNCTION("""COMPUTED_VALUE"""),9691.0)</f>
        <v>9691</v>
      </c>
      <c r="Q232" s="46">
        <f>IFERROR(__xludf.DUMMYFUNCTION("""COMPUTED_VALUE"""),6310876.11)</f>
        <v>6310876.11</v>
      </c>
      <c r="R232" s="46">
        <f>IFERROR(__xludf.DUMMYFUNCTION("""COMPUTED_VALUE"""),5087387.36)</f>
        <v>5087387.36</v>
      </c>
      <c r="S232" s="46">
        <f>IFERROR(__xludf.DUMMYFUNCTION("""COMPUTED_VALUE"""),1223488.75)</f>
        <v>1223488.75</v>
      </c>
    </row>
    <row r="233">
      <c r="A233" s="46" t="str">
        <f>IFERROR(__xludf.DUMMYFUNCTION("""COMPUTED_VALUE"""),"Cosmetics")</f>
        <v>Cosmetics</v>
      </c>
      <c r="B233" s="46" t="str">
        <f>IFERROR(__xludf.DUMMYFUNCTION("""COMPUTED_VALUE"""),"United Kingdom")</f>
        <v>United Kingdom</v>
      </c>
      <c r="C233" s="46" t="str">
        <f>IFERROR(__xludf.DUMMYFUNCTION("""COMPUTED_VALUE"""),"Europe")</f>
        <v>Europe</v>
      </c>
      <c r="D233" s="90">
        <f>IFERROR(__xludf.DUMMYFUNCTION("""COMPUTED_VALUE"""),42430.0)</f>
        <v>42430</v>
      </c>
      <c r="E233" s="46">
        <f>IFERROR(__xludf.DUMMYFUNCTION("""COMPUTED_VALUE"""),2016.0)</f>
        <v>2016</v>
      </c>
      <c r="F233" s="46">
        <f>IFERROR(__xludf.DUMMYFUNCTION("""COMPUTED_VALUE"""),1.0)</f>
        <v>1</v>
      </c>
      <c r="G233" s="46">
        <f>IFERROR(__xludf.DUMMYFUNCTION("""COMPUTED_VALUE"""),2602.0)</f>
        <v>2602</v>
      </c>
      <c r="H233" s="46">
        <f>IFERROR(__xludf.DUMMYFUNCTION("""COMPUTED_VALUE"""),1137594.4)</f>
        <v>1137594.4</v>
      </c>
      <c r="I233" s="46">
        <f>IFERROR(__xludf.DUMMYFUNCTION("""COMPUTED_VALUE"""),685184.6599999999)</f>
        <v>685184.66</v>
      </c>
      <c r="J233" s="46">
        <f>IFERROR(__xludf.DUMMYFUNCTION("""COMPUTED_VALUE"""),452409.74)</f>
        <v>452409.74</v>
      </c>
      <c r="K233" s="46" t="str">
        <f t="array" ref="K233">TEXT(D233, "mmmm")</f>
        <v>March</v>
      </c>
      <c r="M233" s="46" t="str">
        <f>IFERROR(__xludf.DUMMYFUNCTION("""COMPUTED_VALUE"""),"Norway")</f>
        <v>Norway</v>
      </c>
      <c r="N233" s="94">
        <f>IFERROR(__xludf.DUMMYFUNCTION("""COMPUTED_VALUE"""),40725.0)</f>
        <v>40725</v>
      </c>
      <c r="O233" s="46">
        <f>IFERROR(__xludf.DUMMYFUNCTION("""COMPUTED_VALUE"""),2.0)</f>
        <v>2</v>
      </c>
      <c r="P233" s="46">
        <f>IFERROR(__xludf.DUMMYFUNCTION("""COMPUTED_VALUE"""),10998.0)</f>
        <v>10998</v>
      </c>
      <c r="Q233" s="46">
        <f>IFERROR(__xludf.DUMMYFUNCTION("""COMPUTED_VALUE"""),2321316.04)</f>
        <v>2321316.04</v>
      </c>
      <c r="R233" s="46">
        <f>IFERROR(__xludf.DUMMYFUNCTION("""COMPUTED_VALUE"""),1446556.52)</f>
        <v>1446556.52</v>
      </c>
      <c r="S233" s="46">
        <f>IFERROR(__xludf.DUMMYFUNCTION("""COMPUTED_VALUE"""),874759.5200000001)</f>
        <v>874759.52</v>
      </c>
    </row>
    <row r="234">
      <c r="A234" s="46" t="str">
        <f>IFERROR(__xludf.DUMMYFUNCTION("""COMPUTED_VALUE"""),"Fruits")</f>
        <v>Fruits</v>
      </c>
      <c r="B234" s="46" t="str">
        <f>IFERROR(__xludf.DUMMYFUNCTION("""COMPUTED_VALUE"""),"Andorra")</f>
        <v>Andorra</v>
      </c>
      <c r="C234" s="46" t="str">
        <f>IFERROR(__xludf.DUMMYFUNCTION("""COMPUTED_VALUE"""),"Europe")</f>
        <v>Europe</v>
      </c>
      <c r="D234" s="90">
        <f>IFERROR(__xludf.DUMMYFUNCTION("""COMPUTED_VALUE"""),42430.0)</f>
        <v>42430</v>
      </c>
      <c r="E234" s="46">
        <f>IFERROR(__xludf.DUMMYFUNCTION("""COMPUTED_VALUE"""),2016.0)</f>
        <v>2016</v>
      </c>
      <c r="F234" s="46">
        <f>IFERROR(__xludf.DUMMYFUNCTION("""COMPUTED_VALUE"""),1.0)</f>
        <v>1</v>
      </c>
      <c r="G234" s="46">
        <f>IFERROR(__xludf.DUMMYFUNCTION("""COMPUTED_VALUE"""),5258.0)</f>
        <v>5258</v>
      </c>
      <c r="H234" s="46">
        <f>IFERROR(__xludf.DUMMYFUNCTION("""COMPUTED_VALUE"""),49057.14)</f>
        <v>49057.14</v>
      </c>
      <c r="I234" s="46">
        <f>IFERROR(__xludf.DUMMYFUNCTION("""COMPUTED_VALUE"""),36385.36)</f>
        <v>36385.36</v>
      </c>
      <c r="J234" s="46">
        <f>IFERROR(__xludf.DUMMYFUNCTION("""COMPUTED_VALUE"""),12671.779999999999)</f>
        <v>12671.78</v>
      </c>
      <c r="K234" s="46" t="str">
        <f t="array" ref="K234">TEXT(D234, "mmmm")</f>
        <v>March</v>
      </c>
      <c r="M234" s="46" t="str">
        <f>IFERROR(__xludf.DUMMYFUNCTION("""COMPUTED_VALUE"""),"Poland")</f>
        <v>Poland</v>
      </c>
      <c r="N234" s="94">
        <f>IFERROR(__xludf.DUMMYFUNCTION("""COMPUTED_VALUE"""),40725.0)</f>
        <v>40725</v>
      </c>
      <c r="O234" s="46">
        <f>IFERROR(__xludf.DUMMYFUNCTION("""COMPUTED_VALUE"""),1.0)</f>
        <v>1</v>
      </c>
      <c r="P234" s="46">
        <f>IFERROR(__xludf.DUMMYFUNCTION("""COMPUTED_VALUE"""),3574.0)</f>
        <v>3574</v>
      </c>
      <c r="Q234" s="46">
        <f>IFERROR(__xludf.DUMMYFUNCTION("""COMPUTED_VALUE"""),169586.30000000002)</f>
        <v>169586.3</v>
      </c>
      <c r="R234" s="46">
        <f>IFERROR(__xludf.DUMMYFUNCTION("""COMPUTED_VALUE"""),113617.45999999999)</f>
        <v>113617.46</v>
      </c>
      <c r="S234" s="46">
        <f>IFERROR(__xludf.DUMMYFUNCTION("""COMPUTED_VALUE"""),55968.840000000026)</f>
        <v>55968.84</v>
      </c>
    </row>
    <row r="235">
      <c r="A235" s="46" t="str">
        <f>IFERROR(__xludf.DUMMYFUNCTION("""COMPUTED_VALUE"""),"Fruits")</f>
        <v>Fruits</v>
      </c>
      <c r="B235" s="46" t="str">
        <f>IFERROR(__xludf.DUMMYFUNCTION("""COMPUTED_VALUE"""),"Bulgaria")</f>
        <v>Bulgaria</v>
      </c>
      <c r="C235" s="46" t="str">
        <f>IFERROR(__xludf.DUMMYFUNCTION("""COMPUTED_VALUE"""),"Europe")</f>
        <v>Europe</v>
      </c>
      <c r="D235" s="90">
        <f>IFERROR(__xludf.DUMMYFUNCTION("""COMPUTED_VALUE"""),42430.0)</f>
        <v>42430</v>
      </c>
      <c r="E235" s="46">
        <f>IFERROR(__xludf.DUMMYFUNCTION("""COMPUTED_VALUE"""),2016.0)</f>
        <v>2016</v>
      </c>
      <c r="F235" s="46">
        <f>IFERROR(__xludf.DUMMYFUNCTION("""COMPUTED_VALUE"""),1.0)</f>
        <v>1</v>
      </c>
      <c r="G235" s="46">
        <f>IFERROR(__xludf.DUMMYFUNCTION("""COMPUTED_VALUE"""),9394.0)</f>
        <v>9394</v>
      </c>
      <c r="H235" s="46">
        <f>IFERROR(__xludf.DUMMYFUNCTION("""COMPUTED_VALUE"""),87646.02)</f>
        <v>87646.02</v>
      </c>
      <c r="I235" s="46">
        <f>IFERROR(__xludf.DUMMYFUNCTION("""COMPUTED_VALUE"""),65006.479999999996)</f>
        <v>65006.48</v>
      </c>
      <c r="J235" s="46">
        <f>IFERROR(__xludf.DUMMYFUNCTION("""COMPUTED_VALUE"""),22639.540000000008)</f>
        <v>22639.54</v>
      </c>
      <c r="K235" s="46" t="str">
        <f t="array" ref="K235">TEXT(D235, "mmmm")</f>
        <v>March</v>
      </c>
      <c r="M235" s="46" t="str">
        <f>IFERROR(__xludf.DUMMYFUNCTION("""COMPUTED_VALUE"""),"Russia")</f>
        <v>Russia</v>
      </c>
      <c r="N235" s="94">
        <f>IFERROR(__xludf.DUMMYFUNCTION("""COMPUTED_VALUE"""),40725.0)</f>
        <v>40725</v>
      </c>
      <c r="O235" s="46">
        <f>IFERROR(__xludf.DUMMYFUNCTION("""COMPUTED_VALUE"""),1.0)</f>
        <v>1</v>
      </c>
      <c r="P235" s="46">
        <f>IFERROR(__xludf.DUMMYFUNCTION("""COMPUTED_VALUE"""),3755.0)</f>
        <v>3755</v>
      </c>
      <c r="Q235" s="46">
        <f>IFERROR(__xludf.DUMMYFUNCTION("""COMPUTED_VALUE"""),410346.4)</f>
        <v>410346.4</v>
      </c>
      <c r="R235" s="46">
        <f>IFERROR(__xludf.DUMMYFUNCTION("""COMPUTED_VALUE"""),134579.2)</f>
        <v>134579.2</v>
      </c>
      <c r="S235" s="46">
        <f>IFERROR(__xludf.DUMMYFUNCTION("""COMPUTED_VALUE"""),275767.2)</f>
        <v>275767.2</v>
      </c>
    </row>
    <row r="236">
      <c r="A236" s="46" t="str">
        <f>IFERROR(__xludf.DUMMYFUNCTION("""COMPUTED_VALUE"""),"Household")</f>
        <v>Household</v>
      </c>
      <c r="B236" s="46" t="str">
        <f>IFERROR(__xludf.DUMMYFUNCTION("""COMPUTED_VALUE"""),"Greece")</f>
        <v>Greece</v>
      </c>
      <c r="C236" s="46" t="str">
        <f>IFERROR(__xludf.DUMMYFUNCTION("""COMPUTED_VALUE"""),"Europe")</f>
        <v>Europe</v>
      </c>
      <c r="D236" s="90">
        <f>IFERROR(__xludf.DUMMYFUNCTION("""COMPUTED_VALUE"""),42430.0)</f>
        <v>42430</v>
      </c>
      <c r="E236" s="46">
        <f>IFERROR(__xludf.DUMMYFUNCTION("""COMPUTED_VALUE"""),2016.0)</f>
        <v>2016</v>
      </c>
      <c r="F236" s="46">
        <f>IFERROR(__xludf.DUMMYFUNCTION("""COMPUTED_VALUE"""),1.0)</f>
        <v>1</v>
      </c>
      <c r="G236" s="46">
        <f>IFERROR(__xludf.DUMMYFUNCTION("""COMPUTED_VALUE"""),1743.0)</f>
        <v>1743</v>
      </c>
      <c r="H236" s="46">
        <f>IFERROR(__xludf.DUMMYFUNCTION("""COMPUTED_VALUE"""),1164794.6099999999)</f>
        <v>1164794.61</v>
      </c>
      <c r="I236" s="46">
        <f>IFERROR(__xludf.DUMMYFUNCTION("""COMPUTED_VALUE"""),875927.2200000001)</f>
        <v>875927.22</v>
      </c>
      <c r="J236" s="46">
        <f>IFERROR(__xludf.DUMMYFUNCTION("""COMPUTED_VALUE"""),288867.3899999998)</f>
        <v>288867.39</v>
      </c>
      <c r="K236" s="46" t="str">
        <f t="array" ref="K236">TEXT(D236, "mmmm")</f>
        <v>March</v>
      </c>
      <c r="M236" s="46" t="str">
        <f>IFERROR(__xludf.DUMMYFUNCTION("""COMPUTED_VALUE"""),"Undefined")</f>
        <v>Undefined</v>
      </c>
      <c r="N236" s="94">
        <f>IFERROR(__xludf.DUMMYFUNCTION("""COMPUTED_VALUE"""),40725.0)</f>
        <v>40725</v>
      </c>
      <c r="O236" s="46">
        <f>IFERROR(__xludf.DUMMYFUNCTION("""COMPUTED_VALUE"""),1.0)</f>
        <v>1</v>
      </c>
      <c r="P236" s="46">
        <f>IFERROR(__xludf.DUMMYFUNCTION("""COMPUTED_VALUE"""),4061.0)</f>
        <v>4061</v>
      </c>
      <c r="Q236" s="46">
        <f>IFERROR(__xludf.DUMMYFUNCTION("""COMPUTED_VALUE"""),619627.38)</f>
        <v>619627.38</v>
      </c>
      <c r="R236" s="46">
        <f>IFERROR(__xludf.DUMMYFUNCTION("""COMPUTED_VALUE"""),395703.83999999997)</f>
        <v>395703.84</v>
      </c>
      <c r="S236" s="46">
        <f>IFERROR(__xludf.DUMMYFUNCTION("""COMPUTED_VALUE"""),223923.54000000004)</f>
        <v>223923.54</v>
      </c>
    </row>
    <row r="237">
      <c r="A237" s="46" t="str">
        <f>IFERROR(__xludf.DUMMYFUNCTION("""COMPUTED_VALUE"""),"Meat")</f>
        <v>Meat</v>
      </c>
      <c r="B237" s="46" t="str">
        <f>IFERROR(__xludf.DUMMYFUNCTION("""COMPUTED_VALUE"""),"Cyprus")</f>
        <v>Cyprus</v>
      </c>
      <c r="C237" s="46" t="str">
        <f>IFERROR(__xludf.DUMMYFUNCTION("""COMPUTED_VALUE"""),"Asia")</f>
        <v>Asia</v>
      </c>
      <c r="D237" s="90">
        <f>IFERROR(__xludf.DUMMYFUNCTION("""COMPUTED_VALUE"""),42430.0)</f>
        <v>42430</v>
      </c>
      <c r="E237" s="46">
        <f>IFERROR(__xludf.DUMMYFUNCTION("""COMPUTED_VALUE"""),2016.0)</f>
        <v>2016</v>
      </c>
      <c r="F237" s="46">
        <f>IFERROR(__xludf.DUMMYFUNCTION("""COMPUTED_VALUE"""),1.0)</f>
        <v>1</v>
      </c>
      <c r="G237" s="46">
        <f>IFERROR(__xludf.DUMMYFUNCTION("""COMPUTED_VALUE"""),4604.0)</f>
        <v>4604</v>
      </c>
      <c r="H237" s="46">
        <f>IFERROR(__xludf.DUMMYFUNCTION("""COMPUTED_VALUE"""),1942381.5599999998)</f>
        <v>1942381.56</v>
      </c>
      <c r="I237" s="46">
        <f>IFERROR(__xludf.DUMMYFUNCTION("""COMPUTED_VALUE"""),1679032.76)</f>
        <v>1679032.76</v>
      </c>
      <c r="J237" s="46">
        <f>IFERROR(__xludf.DUMMYFUNCTION("""COMPUTED_VALUE"""),263348.7999999998)</f>
        <v>263348.8</v>
      </c>
      <c r="K237" s="46" t="str">
        <f t="array" ref="K237">TEXT(D237, "mmmm")</f>
        <v>March</v>
      </c>
      <c r="M237" s="46" t="str">
        <f>IFERROR(__xludf.DUMMYFUNCTION("""COMPUTED_VALUE"""),"Austria")</f>
        <v>Austria</v>
      </c>
      <c r="N237" s="94">
        <f>IFERROR(__xludf.DUMMYFUNCTION("""COMPUTED_VALUE"""),40756.0)</f>
        <v>40756</v>
      </c>
      <c r="O237" s="46">
        <f>IFERROR(__xludf.DUMMYFUNCTION("""COMPUTED_VALUE"""),2.0)</f>
        <v>2</v>
      </c>
      <c r="P237" s="46">
        <f>IFERROR(__xludf.DUMMYFUNCTION("""COMPUTED_VALUE"""),9679.0)</f>
        <v>9679</v>
      </c>
      <c r="Q237" s="46">
        <f>IFERROR(__xludf.DUMMYFUNCTION("""COMPUTED_VALUE"""),1050878.08)</f>
        <v>1050878.08</v>
      </c>
      <c r="R237" s="46">
        <f>IFERROR(__xludf.DUMMYFUNCTION("""COMPUTED_VALUE"""),624553.05)</f>
        <v>624553.05</v>
      </c>
      <c r="S237" s="46">
        <f>IFERROR(__xludf.DUMMYFUNCTION("""COMPUTED_VALUE"""),426325.0299999999)</f>
        <v>426325.03</v>
      </c>
    </row>
    <row r="238">
      <c r="A238" s="46" t="str">
        <f>IFERROR(__xludf.DUMMYFUNCTION("""COMPUTED_VALUE"""),"Office Supplies")</f>
        <v>Office Supplies</v>
      </c>
      <c r="B238" s="46" t="str">
        <f>IFERROR(__xludf.DUMMYFUNCTION("""COMPUTED_VALUE"""),"Slovakia")</f>
        <v>Slovakia</v>
      </c>
      <c r="C238" s="46" t="str">
        <f>IFERROR(__xludf.DUMMYFUNCTION("""COMPUTED_VALUE"""),"Europe")</f>
        <v>Europe</v>
      </c>
      <c r="D238" s="90">
        <f>IFERROR(__xludf.DUMMYFUNCTION("""COMPUTED_VALUE"""),42430.0)</f>
        <v>42430</v>
      </c>
      <c r="E238" s="46">
        <f>IFERROR(__xludf.DUMMYFUNCTION("""COMPUTED_VALUE"""),2016.0)</f>
        <v>2016</v>
      </c>
      <c r="F238" s="46">
        <f>IFERROR(__xludf.DUMMYFUNCTION("""COMPUTED_VALUE"""),1.0)</f>
        <v>1</v>
      </c>
      <c r="G238" s="46">
        <f>IFERROR(__xludf.DUMMYFUNCTION("""COMPUTED_VALUE"""),5342.0)</f>
        <v>5342</v>
      </c>
      <c r="H238" s="46">
        <f>IFERROR(__xludf.DUMMYFUNCTION("""COMPUTED_VALUE"""),3478763.8200000003)</f>
        <v>3478763.82</v>
      </c>
      <c r="I238" s="46">
        <f>IFERROR(__xludf.DUMMYFUNCTION("""COMPUTED_VALUE"""),2804336.3200000003)</f>
        <v>2804336.32</v>
      </c>
      <c r="J238" s="46">
        <f>IFERROR(__xludf.DUMMYFUNCTION("""COMPUTED_VALUE"""),674427.5)</f>
        <v>674427.5</v>
      </c>
      <c r="K238" s="46" t="str">
        <f t="array" ref="K238">TEXT(D238, "mmmm")</f>
        <v>March</v>
      </c>
      <c r="M238" s="46" t="str">
        <f>IFERROR(__xludf.DUMMYFUNCTION("""COMPUTED_VALUE"""),"Czech Republic")</f>
        <v>Czech Republic</v>
      </c>
      <c r="N238" s="94">
        <f>IFERROR(__xludf.DUMMYFUNCTION("""COMPUTED_VALUE"""),40756.0)</f>
        <v>40756</v>
      </c>
      <c r="O238" s="46">
        <f>IFERROR(__xludf.DUMMYFUNCTION("""COMPUTED_VALUE"""),1.0)</f>
        <v>1</v>
      </c>
      <c r="P238" s="46">
        <f>IFERROR(__xludf.DUMMYFUNCTION("""COMPUTED_VALUE"""),9759.0)</f>
        <v>9759</v>
      </c>
      <c r="Q238" s="46">
        <f>IFERROR(__xludf.DUMMYFUNCTION("""COMPUTED_VALUE"""),4117224.51)</f>
        <v>4117224.51</v>
      </c>
      <c r="R238" s="46">
        <f>IFERROR(__xludf.DUMMYFUNCTION("""COMPUTED_VALUE"""),3559009.71)</f>
        <v>3559009.71</v>
      </c>
      <c r="S238" s="46">
        <f>IFERROR(__xludf.DUMMYFUNCTION("""COMPUTED_VALUE"""),558214.7999999998)</f>
        <v>558214.8</v>
      </c>
    </row>
    <row r="239">
      <c r="A239" s="46" t="str">
        <f>IFERROR(__xludf.DUMMYFUNCTION("""COMPUTED_VALUE"""),"Office Supplies")</f>
        <v>Office Supplies</v>
      </c>
      <c r="B239" s="46" t="str">
        <f>IFERROR(__xludf.DUMMYFUNCTION("""COMPUTED_VALUE"""),"Ukraine")</f>
        <v>Ukraine</v>
      </c>
      <c r="C239" s="46" t="str">
        <f>IFERROR(__xludf.DUMMYFUNCTION("""COMPUTED_VALUE"""),"Europe")</f>
        <v>Europe</v>
      </c>
      <c r="D239" s="90">
        <f>IFERROR(__xludf.DUMMYFUNCTION("""COMPUTED_VALUE"""),42430.0)</f>
        <v>42430</v>
      </c>
      <c r="E239" s="46">
        <f>IFERROR(__xludf.DUMMYFUNCTION("""COMPUTED_VALUE"""),2016.0)</f>
        <v>2016</v>
      </c>
      <c r="F239" s="46">
        <f>IFERROR(__xludf.DUMMYFUNCTION("""COMPUTED_VALUE"""),1.0)</f>
        <v>1</v>
      </c>
      <c r="G239" s="46">
        <f>IFERROR(__xludf.DUMMYFUNCTION("""COMPUTED_VALUE"""),33.0)</f>
        <v>33</v>
      </c>
      <c r="H239" s="46">
        <f>IFERROR(__xludf.DUMMYFUNCTION("""COMPUTED_VALUE"""),21489.93)</f>
        <v>21489.93</v>
      </c>
      <c r="I239" s="46">
        <f>IFERROR(__xludf.DUMMYFUNCTION("""COMPUTED_VALUE"""),17323.68)</f>
        <v>17323.68</v>
      </c>
      <c r="J239" s="46">
        <f>IFERROR(__xludf.DUMMYFUNCTION("""COMPUTED_VALUE"""),4166.25)</f>
        <v>4166.25</v>
      </c>
      <c r="K239" s="46" t="str">
        <f t="array" ref="K239">TEXT(D239, "mmmm")</f>
        <v>March</v>
      </c>
      <c r="M239" s="46" t="str">
        <f>IFERROR(__xludf.DUMMYFUNCTION("""COMPUTED_VALUE"""),"Hungary")</f>
        <v>Hungary</v>
      </c>
      <c r="N239" s="94">
        <f>IFERROR(__xludf.DUMMYFUNCTION("""COMPUTED_VALUE"""),40756.0)</f>
        <v>40756</v>
      </c>
      <c r="O239" s="46">
        <f>IFERROR(__xludf.DUMMYFUNCTION("""COMPUTED_VALUE"""),1.0)</f>
        <v>1</v>
      </c>
      <c r="P239" s="46">
        <f>IFERROR(__xludf.DUMMYFUNCTION("""COMPUTED_VALUE"""),3086.0)</f>
        <v>3086</v>
      </c>
      <c r="Q239" s="46">
        <f>IFERROR(__xludf.DUMMYFUNCTION("""COMPUTED_VALUE"""),2009634.06)</f>
        <v>2009634.06</v>
      </c>
      <c r="R239" s="46">
        <f>IFERROR(__xludf.DUMMYFUNCTION("""COMPUTED_VALUE"""),1620026.56)</f>
        <v>1620026.56</v>
      </c>
      <c r="S239" s="46">
        <f>IFERROR(__xludf.DUMMYFUNCTION("""COMPUTED_VALUE"""),389607.5)</f>
        <v>389607.5</v>
      </c>
    </row>
    <row r="240">
      <c r="A240" s="46" t="str">
        <f>IFERROR(__xludf.DUMMYFUNCTION("""COMPUTED_VALUE"""),"Personal Care")</f>
        <v>Personal Care</v>
      </c>
      <c r="B240" s="46" t="str">
        <f>IFERROR(__xludf.DUMMYFUNCTION("""COMPUTED_VALUE"""),"Monaco")</f>
        <v>Monaco</v>
      </c>
      <c r="C240" s="46" t="str">
        <f>IFERROR(__xludf.DUMMYFUNCTION("""COMPUTED_VALUE"""),"Europe")</f>
        <v>Europe</v>
      </c>
      <c r="D240" s="90">
        <f>IFERROR(__xludf.DUMMYFUNCTION("""COMPUTED_VALUE"""),42430.0)</f>
        <v>42430</v>
      </c>
      <c r="E240" s="46">
        <f>IFERROR(__xludf.DUMMYFUNCTION("""COMPUTED_VALUE"""),2016.0)</f>
        <v>2016</v>
      </c>
      <c r="F240" s="46">
        <f>IFERROR(__xludf.DUMMYFUNCTION("""COMPUTED_VALUE"""),1.0)</f>
        <v>1</v>
      </c>
      <c r="G240" s="46">
        <f>IFERROR(__xludf.DUMMYFUNCTION("""COMPUTED_VALUE"""),750.0)</f>
        <v>750</v>
      </c>
      <c r="H240" s="46">
        <f>IFERROR(__xludf.DUMMYFUNCTION("""COMPUTED_VALUE"""),61297.5)</f>
        <v>61297.5</v>
      </c>
      <c r="I240" s="46">
        <f>IFERROR(__xludf.DUMMYFUNCTION("""COMPUTED_VALUE"""),42502.5)</f>
        <v>42502.5</v>
      </c>
      <c r="J240" s="46">
        <f>IFERROR(__xludf.DUMMYFUNCTION("""COMPUTED_VALUE"""),18795.0)</f>
        <v>18795</v>
      </c>
      <c r="K240" s="46" t="str">
        <f t="array" ref="K240">TEXT(D240, "mmmm")</f>
        <v>March</v>
      </c>
      <c r="M240" s="46" t="str">
        <f>IFERROR(__xludf.DUMMYFUNCTION("""COMPUTED_VALUE"""),"Iceland")</f>
        <v>Iceland</v>
      </c>
      <c r="N240" s="94">
        <f>IFERROR(__xludf.DUMMYFUNCTION("""COMPUTED_VALUE"""),40756.0)</f>
        <v>40756</v>
      </c>
      <c r="O240" s="46">
        <f>IFERROR(__xludf.DUMMYFUNCTION("""COMPUTED_VALUE"""),1.0)</f>
        <v>1</v>
      </c>
      <c r="P240" s="46">
        <f>IFERROR(__xludf.DUMMYFUNCTION("""COMPUTED_VALUE"""),1457.0)</f>
        <v>1457</v>
      </c>
      <c r="Q240" s="46">
        <f>IFERROR(__xludf.DUMMYFUNCTION("""COMPUTED_VALUE"""),13593.81)</f>
        <v>13593.81</v>
      </c>
      <c r="R240" s="46">
        <f>IFERROR(__xludf.DUMMYFUNCTION("""COMPUTED_VALUE"""),10082.44)</f>
        <v>10082.44</v>
      </c>
      <c r="S240" s="46">
        <f>IFERROR(__xludf.DUMMYFUNCTION("""COMPUTED_VALUE"""),3511.369999999999)</f>
        <v>3511.37</v>
      </c>
    </row>
    <row r="241">
      <c r="A241" s="46" t="str">
        <f>IFERROR(__xludf.DUMMYFUNCTION("""COMPUTED_VALUE"""),"Snacks")</f>
        <v>Snacks</v>
      </c>
      <c r="B241" s="46" t="str">
        <f>IFERROR(__xludf.DUMMYFUNCTION("""COMPUTED_VALUE"""),"Macedonia")</f>
        <v>Macedonia</v>
      </c>
      <c r="C241" s="46" t="str">
        <f>IFERROR(__xludf.DUMMYFUNCTION("""COMPUTED_VALUE"""),"Europe")</f>
        <v>Europe</v>
      </c>
      <c r="D241" s="90">
        <f>IFERROR(__xludf.DUMMYFUNCTION("""COMPUTED_VALUE"""),42430.0)</f>
        <v>42430</v>
      </c>
      <c r="E241" s="46">
        <f>IFERROR(__xludf.DUMMYFUNCTION("""COMPUTED_VALUE"""),2016.0)</f>
        <v>2016</v>
      </c>
      <c r="F241" s="46">
        <f>IFERROR(__xludf.DUMMYFUNCTION("""COMPUTED_VALUE"""),1.0)</f>
        <v>1</v>
      </c>
      <c r="G241" s="46">
        <f>IFERROR(__xludf.DUMMYFUNCTION("""COMPUTED_VALUE"""),8048.0)</f>
        <v>8048</v>
      </c>
      <c r="H241" s="46">
        <f>IFERROR(__xludf.DUMMYFUNCTION("""COMPUTED_VALUE"""),1227963.84)</f>
        <v>1227963.84</v>
      </c>
      <c r="I241" s="46">
        <f>IFERROR(__xludf.DUMMYFUNCTION("""COMPUTED_VALUE"""),784197.12)</f>
        <v>784197.12</v>
      </c>
      <c r="J241" s="46">
        <f>IFERROR(__xludf.DUMMYFUNCTION("""COMPUTED_VALUE"""),443766.7200000001)</f>
        <v>443766.72</v>
      </c>
      <c r="K241" s="46" t="str">
        <f t="array" ref="K241">TEXT(D241, "mmmm")</f>
        <v>March</v>
      </c>
      <c r="M241" s="46" t="str">
        <f>IFERROR(__xludf.DUMMYFUNCTION("""COMPUTED_VALUE"""),"Lithuania")</f>
        <v>Lithuania</v>
      </c>
      <c r="N241" s="94">
        <f>IFERROR(__xludf.DUMMYFUNCTION("""COMPUTED_VALUE"""),40756.0)</f>
        <v>40756</v>
      </c>
      <c r="O241" s="46">
        <f>IFERROR(__xludf.DUMMYFUNCTION("""COMPUTED_VALUE"""),1.0)</f>
        <v>1</v>
      </c>
      <c r="P241" s="46">
        <f>IFERROR(__xludf.DUMMYFUNCTION("""COMPUTED_VALUE"""),5967.0)</f>
        <v>5967</v>
      </c>
      <c r="Q241" s="46">
        <f>IFERROR(__xludf.DUMMYFUNCTION("""COMPUTED_VALUE"""),3885770.0700000003)</f>
        <v>3885770.07</v>
      </c>
      <c r="R241" s="46">
        <f>IFERROR(__xludf.DUMMYFUNCTION("""COMPUTED_VALUE"""),3132436.3200000003)</f>
        <v>3132436.32</v>
      </c>
      <c r="S241" s="46">
        <f>IFERROR(__xludf.DUMMYFUNCTION("""COMPUTED_VALUE"""),753333.75)</f>
        <v>753333.75</v>
      </c>
    </row>
    <row r="242">
      <c r="A242" s="46" t="str">
        <f>IFERROR(__xludf.DUMMYFUNCTION("""COMPUTED_VALUE"""),"Snacks")</f>
        <v>Snacks</v>
      </c>
      <c r="B242" s="46" t="str">
        <f>IFERROR(__xludf.DUMMYFUNCTION("""COMPUTED_VALUE"""),"Norway")</f>
        <v>Norway</v>
      </c>
      <c r="C242" s="46" t="str">
        <f>IFERROR(__xludf.DUMMYFUNCTION("""COMPUTED_VALUE"""),"Europe")</f>
        <v>Europe</v>
      </c>
      <c r="D242" s="90">
        <f>IFERROR(__xludf.DUMMYFUNCTION("""COMPUTED_VALUE"""),42430.0)</f>
        <v>42430</v>
      </c>
      <c r="E242" s="46">
        <f>IFERROR(__xludf.DUMMYFUNCTION("""COMPUTED_VALUE"""),2016.0)</f>
        <v>2016</v>
      </c>
      <c r="F242" s="46">
        <f>IFERROR(__xludf.DUMMYFUNCTION("""COMPUTED_VALUE"""),1.0)</f>
        <v>1</v>
      </c>
      <c r="G242" s="46">
        <f>IFERROR(__xludf.DUMMYFUNCTION("""COMPUTED_VALUE"""),4681.0)</f>
        <v>4681</v>
      </c>
      <c r="H242" s="46">
        <f>IFERROR(__xludf.DUMMYFUNCTION("""COMPUTED_VALUE"""),714226.9800000001)</f>
        <v>714226.98</v>
      </c>
      <c r="I242" s="46">
        <f>IFERROR(__xludf.DUMMYFUNCTION("""COMPUTED_VALUE"""),456116.64)</f>
        <v>456116.64</v>
      </c>
      <c r="J242" s="46">
        <f>IFERROR(__xludf.DUMMYFUNCTION("""COMPUTED_VALUE"""),258110.34000000008)</f>
        <v>258110.34</v>
      </c>
      <c r="K242" s="46" t="str">
        <f t="array" ref="K242">TEXT(D242, "mmmm")</f>
        <v>March</v>
      </c>
      <c r="M242" s="46" t="str">
        <f>IFERROR(__xludf.DUMMYFUNCTION("""COMPUTED_VALUE"""),"Malta")</f>
        <v>Malta</v>
      </c>
      <c r="N242" s="94">
        <f>IFERROR(__xludf.DUMMYFUNCTION("""COMPUTED_VALUE"""),40756.0)</f>
        <v>40756</v>
      </c>
      <c r="O242" s="46">
        <f>IFERROR(__xludf.DUMMYFUNCTION("""COMPUTED_VALUE"""),2.0)</f>
        <v>2</v>
      </c>
      <c r="P242" s="46">
        <f>IFERROR(__xludf.DUMMYFUNCTION("""COMPUTED_VALUE"""),6298.0)</f>
        <v>6298</v>
      </c>
      <c r="Q242" s="46">
        <f>IFERROR(__xludf.DUMMYFUNCTION("""COMPUTED_VALUE"""),1399319.89)</f>
        <v>1399319.89</v>
      </c>
      <c r="R242" s="46">
        <f>IFERROR(__xludf.DUMMYFUNCTION("""COMPUTED_VALUE"""),880624.41)</f>
        <v>880624.41</v>
      </c>
      <c r="S242" s="46">
        <f>IFERROR(__xludf.DUMMYFUNCTION("""COMPUTED_VALUE"""),518695.4799999999)</f>
        <v>518695.48</v>
      </c>
    </row>
    <row r="243">
      <c r="A243" s="46" t="str">
        <f>IFERROR(__xludf.DUMMYFUNCTION("""COMPUTED_VALUE"""),"Vegetables")</f>
        <v>Vegetables</v>
      </c>
      <c r="B243" s="46" t="str">
        <f>IFERROR(__xludf.DUMMYFUNCTION("""COMPUTED_VALUE"""),"Undefined")</f>
        <v>Undefined</v>
      </c>
      <c r="C243" s="46" t="str">
        <f>IFERROR(__xludf.DUMMYFUNCTION("""COMPUTED_VALUE"""),"Undefined")</f>
        <v>Undefined</v>
      </c>
      <c r="D243" s="90">
        <f>IFERROR(__xludf.DUMMYFUNCTION("""COMPUTED_VALUE"""),42430.0)</f>
        <v>42430</v>
      </c>
      <c r="E243" s="46">
        <f>IFERROR(__xludf.DUMMYFUNCTION("""COMPUTED_VALUE"""),2016.0)</f>
        <v>2016</v>
      </c>
      <c r="F243" s="46">
        <f>IFERROR(__xludf.DUMMYFUNCTION("""COMPUTED_VALUE"""),1.0)</f>
        <v>1</v>
      </c>
      <c r="G243" s="46">
        <f>IFERROR(__xludf.DUMMYFUNCTION("""COMPUTED_VALUE"""),8458.0)</f>
        <v>8458</v>
      </c>
      <c r="H243" s="46">
        <f>IFERROR(__xludf.DUMMYFUNCTION("""COMPUTED_VALUE"""),1303039.48)</f>
        <v>1303039.48</v>
      </c>
      <c r="I243" s="46">
        <f>IFERROR(__xludf.DUMMYFUNCTION("""COMPUTED_VALUE"""),769085.9400000001)</f>
        <v>769085.94</v>
      </c>
      <c r="J243" s="46">
        <f>IFERROR(__xludf.DUMMYFUNCTION("""COMPUTED_VALUE"""),533953.5399999999)</f>
        <v>533953.54</v>
      </c>
      <c r="K243" s="46" t="str">
        <f t="array" ref="K243">TEXT(D243, "mmmm")</f>
        <v>March</v>
      </c>
      <c r="M243" s="46" t="str">
        <f>IFERROR(__xludf.DUMMYFUNCTION("""COMPUTED_VALUE"""),"Poland")</f>
        <v>Poland</v>
      </c>
      <c r="N243" s="94">
        <f>IFERROR(__xludf.DUMMYFUNCTION("""COMPUTED_VALUE"""),40756.0)</f>
        <v>40756</v>
      </c>
      <c r="O243" s="46">
        <f>IFERROR(__xludf.DUMMYFUNCTION("""COMPUTED_VALUE"""),1.0)</f>
        <v>1</v>
      </c>
      <c r="P243" s="46">
        <f>IFERROR(__xludf.DUMMYFUNCTION("""COMPUTED_VALUE"""),475.0)</f>
        <v>475</v>
      </c>
      <c r="Q243" s="46">
        <f>IFERROR(__xludf.DUMMYFUNCTION("""COMPUTED_VALUE"""),97707.5)</f>
        <v>97707.5</v>
      </c>
      <c r="R243" s="46">
        <f>IFERROR(__xludf.DUMMYFUNCTION("""COMPUTED_VALUE"""),55627.25)</f>
        <v>55627.25</v>
      </c>
      <c r="S243" s="46">
        <f>IFERROR(__xludf.DUMMYFUNCTION("""COMPUTED_VALUE"""),42080.25)</f>
        <v>42080.25</v>
      </c>
    </row>
    <row r="244">
      <c r="A244" s="46" t="str">
        <f>IFERROR(__xludf.DUMMYFUNCTION("""COMPUTED_VALUE"""),"Baby Food")</f>
        <v>Baby Food</v>
      </c>
      <c r="B244" s="46" t="str">
        <f>IFERROR(__xludf.DUMMYFUNCTION("""COMPUTED_VALUE"""),"Montenegro")</f>
        <v>Montenegro</v>
      </c>
      <c r="C244" s="46" t="str">
        <f>IFERROR(__xludf.DUMMYFUNCTION("""COMPUTED_VALUE"""),"Europe")</f>
        <v>Europe</v>
      </c>
      <c r="D244" s="90">
        <f>IFERROR(__xludf.DUMMYFUNCTION("""COMPUTED_VALUE"""),42401.0)</f>
        <v>42401</v>
      </c>
      <c r="E244" s="46">
        <f>IFERROR(__xludf.DUMMYFUNCTION("""COMPUTED_VALUE"""),2016.0)</f>
        <v>2016</v>
      </c>
      <c r="F244" s="46">
        <f>IFERROR(__xludf.DUMMYFUNCTION("""COMPUTED_VALUE"""),1.0)</f>
        <v>1</v>
      </c>
      <c r="G244" s="46">
        <f>IFERROR(__xludf.DUMMYFUNCTION("""COMPUTED_VALUE"""),616.0)</f>
        <v>616</v>
      </c>
      <c r="H244" s="46">
        <f>IFERROR(__xludf.DUMMYFUNCTION("""COMPUTED_VALUE"""),157252.48)</f>
        <v>157252.48</v>
      </c>
      <c r="I244" s="46">
        <f>IFERROR(__xludf.DUMMYFUNCTION("""COMPUTED_VALUE"""),98202.71999999999)</f>
        <v>98202.72</v>
      </c>
      <c r="J244" s="46">
        <f>IFERROR(__xludf.DUMMYFUNCTION("""COMPUTED_VALUE"""),59049.760000000024)</f>
        <v>59049.76</v>
      </c>
      <c r="K244" s="46" t="str">
        <f t="array" ref="K244">TEXT(D244, "mmmm")</f>
        <v>February</v>
      </c>
      <c r="M244" s="46" t="str">
        <f>IFERROR(__xludf.DUMMYFUNCTION("""COMPUTED_VALUE"""),"Russia")</f>
        <v>Russia</v>
      </c>
      <c r="N244" s="94">
        <f>IFERROR(__xludf.DUMMYFUNCTION("""COMPUTED_VALUE"""),40756.0)</f>
        <v>40756</v>
      </c>
      <c r="O244" s="46">
        <f>IFERROR(__xludf.DUMMYFUNCTION("""COMPUTED_VALUE"""),1.0)</f>
        <v>1</v>
      </c>
      <c r="P244" s="46">
        <f>IFERROR(__xludf.DUMMYFUNCTION("""COMPUTED_VALUE"""),2598.0)</f>
        <v>2598</v>
      </c>
      <c r="Q244" s="46">
        <f>IFERROR(__xludf.DUMMYFUNCTION("""COMPUTED_VALUE"""),123275.1)</f>
        <v>123275.1</v>
      </c>
      <c r="R244" s="46">
        <f>IFERROR(__xludf.DUMMYFUNCTION("""COMPUTED_VALUE"""),82590.42)</f>
        <v>82590.42</v>
      </c>
      <c r="S244" s="46">
        <f>IFERROR(__xludf.DUMMYFUNCTION("""COMPUTED_VALUE"""),40684.68000000001)</f>
        <v>40684.68</v>
      </c>
    </row>
    <row r="245">
      <c r="A245" s="46" t="str">
        <f>IFERROR(__xludf.DUMMYFUNCTION("""COMPUTED_VALUE"""),"Baby Food")</f>
        <v>Baby Food</v>
      </c>
      <c r="B245" s="46" t="str">
        <f>IFERROR(__xludf.DUMMYFUNCTION("""COMPUTED_VALUE"""),"Poland")</f>
        <v>Poland</v>
      </c>
      <c r="C245" s="46" t="str">
        <f>IFERROR(__xludf.DUMMYFUNCTION("""COMPUTED_VALUE"""),"Europe")</f>
        <v>Europe</v>
      </c>
      <c r="D245" s="90">
        <f>IFERROR(__xludf.DUMMYFUNCTION("""COMPUTED_VALUE"""),42401.0)</f>
        <v>42401</v>
      </c>
      <c r="E245" s="46">
        <f>IFERROR(__xludf.DUMMYFUNCTION("""COMPUTED_VALUE"""),2016.0)</f>
        <v>2016</v>
      </c>
      <c r="F245" s="46">
        <f>IFERROR(__xludf.DUMMYFUNCTION("""COMPUTED_VALUE"""),1.0)</f>
        <v>1</v>
      </c>
      <c r="G245" s="46">
        <f>IFERROR(__xludf.DUMMYFUNCTION("""COMPUTED_VALUE"""),1725.0)</f>
        <v>1725</v>
      </c>
      <c r="H245" s="46">
        <f>IFERROR(__xludf.DUMMYFUNCTION("""COMPUTED_VALUE"""),440358.0)</f>
        <v>440358</v>
      </c>
      <c r="I245" s="46">
        <f>IFERROR(__xludf.DUMMYFUNCTION("""COMPUTED_VALUE"""),274999.5)</f>
        <v>274999.5</v>
      </c>
      <c r="J245" s="46">
        <f>IFERROR(__xludf.DUMMYFUNCTION("""COMPUTED_VALUE"""),165358.5)</f>
        <v>165358.5</v>
      </c>
      <c r="K245" s="46" t="str">
        <f t="array" ref="K245">TEXT(D245, "mmmm")</f>
        <v>February</v>
      </c>
      <c r="M245" s="46" t="str">
        <f>IFERROR(__xludf.DUMMYFUNCTION("""COMPUTED_VALUE"""),"Sweden")</f>
        <v>Sweden</v>
      </c>
      <c r="N245" s="94">
        <f>IFERROR(__xludf.DUMMYFUNCTION("""COMPUTED_VALUE"""),40756.0)</f>
        <v>40756</v>
      </c>
      <c r="O245" s="46">
        <f>IFERROR(__xludf.DUMMYFUNCTION("""COMPUTED_VALUE"""),1.0)</f>
        <v>1</v>
      </c>
      <c r="P245" s="46">
        <f>IFERROR(__xludf.DUMMYFUNCTION("""COMPUTED_VALUE"""),3464.0)</f>
        <v>3464</v>
      </c>
      <c r="Q245" s="46">
        <f>IFERROR(__xludf.DUMMYFUNCTION("""COMPUTED_VALUE"""),32319.12)</f>
        <v>32319.12</v>
      </c>
      <c r="R245" s="46">
        <f>IFERROR(__xludf.DUMMYFUNCTION("""COMPUTED_VALUE"""),23970.88)</f>
        <v>23970.88</v>
      </c>
      <c r="S245" s="46">
        <f>IFERROR(__xludf.DUMMYFUNCTION("""COMPUTED_VALUE"""),8348.239999999998)</f>
        <v>8348.24</v>
      </c>
    </row>
    <row r="246">
      <c r="A246" s="46" t="str">
        <f>IFERROR(__xludf.DUMMYFUNCTION("""COMPUTED_VALUE"""),"Beverages")</f>
        <v>Beverages</v>
      </c>
      <c r="B246" s="46" t="str">
        <f>IFERROR(__xludf.DUMMYFUNCTION("""COMPUTED_VALUE"""),"Bulgaria")</f>
        <v>Bulgaria</v>
      </c>
      <c r="C246" s="46" t="str">
        <f>IFERROR(__xludf.DUMMYFUNCTION("""COMPUTED_VALUE"""),"Europe")</f>
        <v>Europe</v>
      </c>
      <c r="D246" s="90">
        <f>IFERROR(__xludf.DUMMYFUNCTION("""COMPUTED_VALUE"""),42401.0)</f>
        <v>42401</v>
      </c>
      <c r="E246" s="46">
        <f>IFERROR(__xludf.DUMMYFUNCTION("""COMPUTED_VALUE"""),2016.0)</f>
        <v>2016</v>
      </c>
      <c r="F246" s="46">
        <f>IFERROR(__xludf.DUMMYFUNCTION("""COMPUTED_VALUE"""),1.0)</f>
        <v>1</v>
      </c>
      <c r="G246" s="46">
        <f>IFERROR(__xludf.DUMMYFUNCTION("""COMPUTED_VALUE"""),2807.0)</f>
        <v>2807</v>
      </c>
      <c r="H246" s="46">
        <f>IFERROR(__xludf.DUMMYFUNCTION("""COMPUTED_VALUE"""),133192.15)</f>
        <v>133192.15</v>
      </c>
      <c r="I246" s="46">
        <f>IFERROR(__xludf.DUMMYFUNCTION("""COMPUTED_VALUE"""),89234.53)</f>
        <v>89234.53</v>
      </c>
      <c r="J246" s="46">
        <f>IFERROR(__xludf.DUMMYFUNCTION("""COMPUTED_VALUE"""),43957.619999999995)</f>
        <v>43957.62</v>
      </c>
      <c r="K246" s="46" t="str">
        <f t="array" ref="K246">TEXT(D246, "mmmm")</f>
        <v>February</v>
      </c>
      <c r="M246" s="46" t="str">
        <f>IFERROR(__xludf.DUMMYFUNCTION("""COMPUTED_VALUE"""),"Undefined")</f>
        <v>Undefined</v>
      </c>
      <c r="N246" s="94">
        <f>IFERROR(__xludf.DUMMYFUNCTION("""COMPUTED_VALUE"""),40756.0)</f>
        <v>40756</v>
      </c>
      <c r="O246" s="46">
        <f>IFERROR(__xludf.DUMMYFUNCTION("""COMPUTED_VALUE"""),1.0)</f>
        <v>1</v>
      </c>
      <c r="P246" s="46">
        <f>IFERROR(__xludf.DUMMYFUNCTION("""COMPUTED_VALUE"""),4219.0)</f>
        <v>4219</v>
      </c>
      <c r="Q246" s="46">
        <f>IFERROR(__xludf.DUMMYFUNCTION("""COMPUTED_VALUE"""),39363.27)</f>
        <v>39363.27</v>
      </c>
      <c r="R246" s="46">
        <f>IFERROR(__xludf.DUMMYFUNCTION("""COMPUTED_VALUE"""),29195.48)</f>
        <v>29195.48</v>
      </c>
      <c r="S246" s="46">
        <f>IFERROR(__xludf.DUMMYFUNCTION("""COMPUTED_VALUE"""),10167.789999999997)</f>
        <v>10167.79</v>
      </c>
    </row>
    <row r="247">
      <c r="A247" s="46" t="str">
        <f>IFERROR(__xludf.DUMMYFUNCTION("""COMPUTED_VALUE"""),"Beverages")</f>
        <v>Beverages</v>
      </c>
      <c r="B247" s="46" t="str">
        <f>IFERROR(__xludf.DUMMYFUNCTION("""COMPUTED_VALUE"""),"Estonia")</f>
        <v>Estonia</v>
      </c>
      <c r="C247" s="46" t="str">
        <f>IFERROR(__xludf.DUMMYFUNCTION("""COMPUTED_VALUE"""),"Europe")</f>
        <v>Europe</v>
      </c>
      <c r="D247" s="90">
        <f>IFERROR(__xludf.DUMMYFUNCTION("""COMPUTED_VALUE"""),42401.0)</f>
        <v>42401</v>
      </c>
      <c r="E247" s="46">
        <f>IFERROR(__xludf.DUMMYFUNCTION("""COMPUTED_VALUE"""),2016.0)</f>
        <v>2016</v>
      </c>
      <c r="F247" s="46">
        <f>IFERROR(__xludf.DUMMYFUNCTION("""COMPUTED_VALUE"""),2.0)</f>
        <v>2</v>
      </c>
      <c r="G247" s="46">
        <f>IFERROR(__xludf.DUMMYFUNCTION("""COMPUTED_VALUE"""),18097.0)</f>
        <v>18097</v>
      </c>
      <c r="H247" s="46">
        <f>IFERROR(__xludf.DUMMYFUNCTION("""COMPUTED_VALUE"""),858702.65)</f>
        <v>858702.65</v>
      </c>
      <c r="I247" s="46">
        <f>IFERROR(__xludf.DUMMYFUNCTION("""COMPUTED_VALUE"""),575303.63)</f>
        <v>575303.63</v>
      </c>
      <c r="J247" s="46">
        <f>IFERROR(__xludf.DUMMYFUNCTION("""COMPUTED_VALUE"""),283399.02)</f>
        <v>283399.02</v>
      </c>
      <c r="K247" s="46" t="str">
        <f t="array" ref="K247">TEXT(D247, "mmmm")</f>
        <v>February</v>
      </c>
      <c r="M247" s="46" t="str">
        <f>IFERROR(__xludf.DUMMYFUNCTION("""COMPUTED_VALUE"""),"Armenia")</f>
        <v>Armenia</v>
      </c>
      <c r="N247" s="94">
        <f>IFERROR(__xludf.DUMMYFUNCTION("""COMPUTED_VALUE"""),40787.0)</f>
        <v>40787</v>
      </c>
      <c r="O247" s="46">
        <f>IFERROR(__xludf.DUMMYFUNCTION("""COMPUTED_VALUE"""),1.0)</f>
        <v>1</v>
      </c>
      <c r="P247" s="46">
        <f>IFERROR(__xludf.DUMMYFUNCTION("""COMPUTED_VALUE"""),5046.0)</f>
        <v>5046</v>
      </c>
      <c r="Q247" s="46">
        <f>IFERROR(__xludf.DUMMYFUNCTION("""COMPUTED_VALUE"""),1037962.2)</f>
        <v>1037962.2</v>
      </c>
      <c r="R247" s="46">
        <f>IFERROR(__xludf.DUMMYFUNCTION("""COMPUTED_VALUE"""),590937.0599999999)</f>
        <v>590937.06</v>
      </c>
      <c r="S247" s="46">
        <f>IFERROR(__xludf.DUMMYFUNCTION("""COMPUTED_VALUE"""),447025.14)</f>
        <v>447025.14</v>
      </c>
    </row>
    <row r="248">
      <c r="A248" s="46" t="str">
        <f>IFERROR(__xludf.DUMMYFUNCTION("""COMPUTED_VALUE"""),"Beverages")</f>
        <v>Beverages</v>
      </c>
      <c r="B248" s="46" t="str">
        <f>IFERROR(__xludf.DUMMYFUNCTION("""COMPUTED_VALUE"""),"Latvia")</f>
        <v>Latvia</v>
      </c>
      <c r="C248" s="46" t="str">
        <f>IFERROR(__xludf.DUMMYFUNCTION("""COMPUTED_VALUE"""),"Europe")</f>
        <v>Europe</v>
      </c>
      <c r="D248" s="90">
        <f>IFERROR(__xludf.DUMMYFUNCTION("""COMPUTED_VALUE"""),42401.0)</f>
        <v>42401</v>
      </c>
      <c r="E248" s="46">
        <f>IFERROR(__xludf.DUMMYFUNCTION("""COMPUTED_VALUE"""),2016.0)</f>
        <v>2016</v>
      </c>
      <c r="F248" s="46">
        <f>IFERROR(__xludf.DUMMYFUNCTION("""COMPUTED_VALUE"""),1.0)</f>
        <v>1</v>
      </c>
      <c r="G248" s="46">
        <f>IFERROR(__xludf.DUMMYFUNCTION("""COMPUTED_VALUE"""),9014.0)</f>
        <v>9014</v>
      </c>
      <c r="H248" s="46">
        <f>IFERROR(__xludf.DUMMYFUNCTION("""COMPUTED_VALUE"""),427714.30000000005)</f>
        <v>427714.3</v>
      </c>
      <c r="I248" s="46">
        <f>IFERROR(__xludf.DUMMYFUNCTION("""COMPUTED_VALUE"""),286555.06)</f>
        <v>286555.06</v>
      </c>
      <c r="J248" s="46">
        <f>IFERROR(__xludf.DUMMYFUNCTION("""COMPUTED_VALUE"""),141159.24000000005)</f>
        <v>141159.24</v>
      </c>
      <c r="K248" s="46" t="str">
        <f t="array" ref="K248">TEXT(D248, "mmmm")</f>
        <v>February</v>
      </c>
      <c r="M248" s="46" t="str">
        <f>IFERROR(__xludf.DUMMYFUNCTION("""COMPUTED_VALUE"""),"Belarus")</f>
        <v>Belarus</v>
      </c>
      <c r="N248" s="94">
        <f>IFERROR(__xludf.DUMMYFUNCTION("""COMPUTED_VALUE"""),40787.0)</f>
        <v>40787</v>
      </c>
      <c r="O248" s="46">
        <f>IFERROR(__xludf.DUMMYFUNCTION("""COMPUTED_VALUE"""),1.0)</f>
        <v>1</v>
      </c>
      <c r="P248" s="46">
        <f>IFERROR(__xludf.DUMMYFUNCTION("""COMPUTED_VALUE"""),8338.0)</f>
        <v>8338</v>
      </c>
      <c r="Q248" s="46">
        <f>IFERROR(__xludf.DUMMYFUNCTION("""COMPUTED_VALUE"""),3645373.6)</f>
        <v>3645373.6</v>
      </c>
      <c r="R248" s="46">
        <f>IFERROR(__xludf.DUMMYFUNCTION("""COMPUTED_VALUE"""),2195645.54)</f>
        <v>2195645.54</v>
      </c>
      <c r="S248" s="46">
        <f>IFERROR(__xludf.DUMMYFUNCTION("""COMPUTED_VALUE"""),1449728.06)</f>
        <v>1449728.06</v>
      </c>
    </row>
    <row r="249">
      <c r="A249" s="46" t="str">
        <f>IFERROR(__xludf.DUMMYFUNCTION("""COMPUTED_VALUE"""),"Beverages")</f>
        <v>Beverages</v>
      </c>
      <c r="B249" s="46" t="str">
        <f>IFERROR(__xludf.DUMMYFUNCTION("""COMPUTED_VALUE"""),"Macedonia")</f>
        <v>Macedonia</v>
      </c>
      <c r="C249" s="46" t="str">
        <f>IFERROR(__xludf.DUMMYFUNCTION("""COMPUTED_VALUE"""),"Europe")</f>
        <v>Europe</v>
      </c>
      <c r="D249" s="90">
        <f>IFERROR(__xludf.DUMMYFUNCTION("""COMPUTED_VALUE"""),42401.0)</f>
        <v>42401</v>
      </c>
      <c r="E249" s="46">
        <f>IFERROR(__xludf.DUMMYFUNCTION("""COMPUTED_VALUE"""),2016.0)</f>
        <v>2016</v>
      </c>
      <c r="F249" s="46">
        <f>IFERROR(__xludf.DUMMYFUNCTION("""COMPUTED_VALUE"""),1.0)</f>
        <v>1</v>
      </c>
      <c r="G249" s="46">
        <f>IFERROR(__xludf.DUMMYFUNCTION("""COMPUTED_VALUE"""),4695.0)</f>
        <v>4695</v>
      </c>
      <c r="H249" s="46">
        <f>IFERROR(__xludf.DUMMYFUNCTION("""COMPUTED_VALUE"""),222777.75)</f>
        <v>222777.75</v>
      </c>
      <c r="I249" s="46">
        <f>IFERROR(__xludf.DUMMYFUNCTION("""COMPUTED_VALUE"""),149254.05)</f>
        <v>149254.05</v>
      </c>
      <c r="J249" s="46">
        <f>IFERROR(__xludf.DUMMYFUNCTION("""COMPUTED_VALUE"""),73523.70000000001)</f>
        <v>73523.7</v>
      </c>
      <c r="K249" s="46" t="str">
        <f t="array" ref="K249">TEXT(D249, "mmmm")</f>
        <v>February</v>
      </c>
      <c r="M249" s="46" t="str">
        <f>IFERROR(__xludf.DUMMYFUNCTION("""COMPUTED_VALUE"""),"Czech Republic")</f>
        <v>Czech Republic</v>
      </c>
      <c r="N249" s="94">
        <f>IFERROR(__xludf.DUMMYFUNCTION("""COMPUTED_VALUE"""),40787.0)</f>
        <v>40787</v>
      </c>
      <c r="O249" s="46">
        <f>IFERROR(__xludf.DUMMYFUNCTION("""COMPUTED_VALUE"""),1.0)</f>
        <v>1</v>
      </c>
      <c r="P249" s="46">
        <f>IFERROR(__xludf.DUMMYFUNCTION("""COMPUTED_VALUE"""),4778.0)</f>
        <v>4778</v>
      </c>
      <c r="Q249" s="46">
        <f>IFERROR(__xludf.DUMMYFUNCTION("""COMPUTED_VALUE"""),226716.1)</f>
        <v>226716.1</v>
      </c>
      <c r="R249" s="46">
        <f>IFERROR(__xludf.DUMMYFUNCTION("""COMPUTED_VALUE"""),151892.62)</f>
        <v>151892.62</v>
      </c>
      <c r="S249" s="46">
        <f>IFERROR(__xludf.DUMMYFUNCTION("""COMPUTED_VALUE"""),74823.48000000001)</f>
        <v>74823.48</v>
      </c>
    </row>
    <row r="250">
      <c r="A250" s="46" t="str">
        <f>IFERROR(__xludf.DUMMYFUNCTION("""COMPUTED_VALUE"""),"Cereal")</f>
        <v>Cereal</v>
      </c>
      <c r="B250" s="46" t="str">
        <f>IFERROR(__xludf.DUMMYFUNCTION("""COMPUTED_VALUE"""),"France")</f>
        <v>France</v>
      </c>
      <c r="C250" s="46" t="str">
        <f>IFERROR(__xludf.DUMMYFUNCTION("""COMPUTED_VALUE"""),"Europe")</f>
        <v>Europe</v>
      </c>
      <c r="D250" s="90">
        <f>IFERROR(__xludf.DUMMYFUNCTION("""COMPUTED_VALUE"""),42401.0)</f>
        <v>42401</v>
      </c>
      <c r="E250" s="46">
        <f>IFERROR(__xludf.DUMMYFUNCTION("""COMPUTED_VALUE"""),2016.0)</f>
        <v>2016</v>
      </c>
      <c r="F250" s="46">
        <f>IFERROR(__xludf.DUMMYFUNCTION("""COMPUTED_VALUE"""),1.0)</f>
        <v>1</v>
      </c>
      <c r="G250" s="46">
        <f>IFERROR(__xludf.DUMMYFUNCTION("""COMPUTED_VALUE"""),8993.0)</f>
        <v>8993</v>
      </c>
      <c r="H250" s="46">
        <f>IFERROR(__xludf.DUMMYFUNCTION("""COMPUTED_VALUE"""),1849860.0999999999)</f>
        <v>1849860.1</v>
      </c>
      <c r="I250" s="46">
        <f>IFERROR(__xludf.DUMMYFUNCTION("""COMPUTED_VALUE"""),1053170.23)</f>
        <v>1053170.23</v>
      </c>
      <c r="J250" s="46">
        <f>IFERROR(__xludf.DUMMYFUNCTION("""COMPUTED_VALUE"""),796689.8699999999)</f>
        <v>796689.87</v>
      </c>
      <c r="K250" s="46" t="str">
        <f t="array" ref="K250">TEXT(D250, "mmmm")</f>
        <v>February</v>
      </c>
      <c r="M250" s="46" t="str">
        <f>IFERROR(__xludf.DUMMYFUNCTION("""COMPUTED_VALUE"""),"Finland")</f>
        <v>Finland</v>
      </c>
      <c r="N250" s="94">
        <f>IFERROR(__xludf.DUMMYFUNCTION("""COMPUTED_VALUE"""),40787.0)</f>
        <v>40787</v>
      </c>
      <c r="O250" s="46">
        <f>IFERROR(__xludf.DUMMYFUNCTION("""COMPUTED_VALUE"""),1.0)</f>
        <v>1</v>
      </c>
      <c r="P250" s="46">
        <f>IFERROR(__xludf.DUMMYFUNCTION("""COMPUTED_VALUE"""),7829.0)</f>
        <v>7829</v>
      </c>
      <c r="Q250" s="46">
        <f>IFERROR(__xludf.DUMMYFUNCTION("""COMPUTED_VALUE"""),371486.05000000005)</f>
        <v>371486.05</v>
      </c>
      <c r="R250" s="46">
        <f>IFERROR(__xludf.DUMMYFUNCTION("""COMPUTED_VALUE"""),248883.91)</f>
        <v>248883.91</v>
      </c>
      <c r="S250" s="46">
        <f>IFERROR(__xludf.DUMMYFUNCTION("""COMPUTED_VALUE"""),122602.14000000004)</f>
        <v>122602.14</v>
      </c>
    </row>
    <row r="251">
      <c r="A251" s="46" t="str">
        <f>IFERROR(__xludf.DUMMYFUNCTION("""COMPUTED_VALUE"""),"Cosmetics")</f>
        <v>Cosmetics</v>
      </c>
      <c r="B251" s="46" t="str">
        <f>IFERROR(__xludf.DUMMYFUNCTION("""COMPUTED_VALUE"""),"Andorra")</f>
        <v>Andorra</v>
      </c>
      <c r="C251" s="46" t="str">
        <f>IFERROR(__xludf.DUMMYFUNCTION("""COMPUTED_VALUE"""),"Europe")</f>
        <v>Europe</v>
      </c>
      <c r="D251" s="90">
        <f>IFERROR(__xludf.DUMMYFUNCTION("""COMPUTED_VALUE"""),42401.0)</f>
        <v>42401</v>
      </c>
      <c r="E251" s="46">
        <f>IFERROR(__xludf.DUMMYFUNCTION("""COMPUTED_VALUE"""),2016.0)</f>
        <v>2016</v>
      </c>
      <c r="F251" s="46">
        <f>IFERROR(__xludf.DUMMYFUNCTION("""COMPUTED_VALUE"""),1.0)</f>
        <v>1</v>
      </c>
      <c r="G251" s="46">
        <f>IFERROR(__xludf.DUMMYFUNCTION("""COMPUTED_VALUE"""),7489.0)</f>
        <v>7489</v>
      </c>
      <c r="H251" s="46">
        <f>IFERROR(__xludf.DUMMYFUNCTION("""COMPUTED_VALUE"""),3274190.8)</f>
        <v>3274190.8</v>
      </c>
      <c r="I251" s="46">
        <f>IFERROR(__xludf.DUMMYFUNCTION("""COMPUTED_VALUE"""),1972078.3699999999)</f>
        <v>1972078.37</v>
      </c>
      <c r="J251" s="46">
        <f>IFERROR(__xludf.DUMMYFUNCTION("""COMPUTED_VALUE"""),1302112.43)</f>
        <v>1302112.43</v>
      </c>
      <c r="K251" s="46" t="str">
        <f t="array" ref="K251">TEXT(D251, "mmmm")</f>
        <v>February</v>
      </c>
      <c r="M251" s="46" t="str">
        <f>IFERROR(__xludf.DUMMYFUNCTION("""COMPUTED_VALUE"""),"Greece")</f>
        <v>Greece</v>
      </c>
      <c r="N251" s="94">
        <f>IFERROR(__xludf.DUMMYFUNCTION("""COMPUTED_VALUE"""),40787.0)</f>
        <v>40787</v>
      </c>
      <c r="O251" s="46">
        <f>IFERROR(__xludf.DUMMYFUNCTION("""COMPUTED_VALUE"""),1.0)</f>
        <v>1</v>
      </c>
      <c r="P251" s="46">
        <f>IFERROR(__xludf.DUMMYFUNCTION("""COMPUTED_VALUE"""),7623.0)</f>
        <v>7623</v>
      </c>
      <c r="Q251" s="46">
        <f>IFERROR(__xludf.DUMMYFUNCTION("""COMPUTED_VALUE"""),623027.79)</f>
        <v>623027.79</v>
      </c>
      <c r="R251" s="46">
        <f>IFERROR(__xludf.DUMMYFUNCTION("""COMPUTED_VALUE"""),431995.41000000003)</f>
        <v>431995.41</v>
      </c>
      <c r="S251" s="46">
        <f>IFERROR(__xludf.DUMMYFUNCTION("""COMPUTED_VALUE"""),191032.38)</f>
        <v>191032.38</v>
      </c>
    </row>
    <row r="252">
      <c r="A252" s="46" t="str">
        <f>IFERROR(__xludf.DUMMYFUNCTION("""COMPUTED_VALUE"""),"Cosmetics")</f>
        <v>Cosmetics</v>
      </c>
      <c r="B252" s="46" t="str">
        <f>IFERROR(__xludf.DUMMYFUNCTION("""COMPUTED_VALUE"""),"Switzerland")</f>
        <v>Switzerland</v>
      </c>
      <c r="C252" s="46" t="str">
        <f>IFERROR(__xludf.DUMMYFUNCTION("""COMPUTED_VALUE"""),"Europe")</f>
        <v>Europe</v>
      </c>
      <c r="D252" s="90">
        <f>IFERROR(__xludf.DUMMYFUNCTION("""COMPUTED_VALUE"""),42401.0)</f>
        <v>42401</v>
      </c>
      <c r="E252" s="46">
        <f>IFERROR(__xludf.DUMMYFUNCTION("""COMPUTED_VALUE"""),2016.0)</f>
        <v>2016</v>
      </c>
      <c r="F252" s="46">
        <f>IFERROR(__xludf.DUMMYFUNCTION("""COMPUTED_VALUE"""),1.0)</f>
        <v>1</v>
      </c>
      <c r="G252" s="46">
        <f>IFERROR(__xludf.DUMMYFUNCTION("""COMPUTED_VALUE"""),2204.0)</f>
        <v>2204</v>
      </c>
      <c r="H252" s="46">
        <f>IFERROR(__xludf.DUMMYFUNCTION("""COMPUTED_VALUE"""),963588.7999999999)</f>
        <v>963588.8</v>
      </c>
      <c r="I252" s="46">
        <f>IFERROR(__xludf.DUMMYFUNCTION("""COMPUTED_VALUE"""),580379.32)</f>
        <v>580379.32</v>
      </c>
      <c r="J252" s="46">
        <f>IFERROR(__xludf.DUMMYFUNCTION("""COMPUTED_VALUE"""),383209.48)</f>
        <v>383209.48</v>
      </c>
      <c r="K252" s="46" t="str">
        <f t="array" ref="K252">TEXT(D252, "mmmm")</f>
        <v>February</v>
      </c>
      <c r="M252" s="46" t="str">
        <f>IFERROR(__xludf.DUMMYFUNCTION("""COMPUTED_VALUE"""),"Hungary")</f>
        <v>Hungary</v>
      </c>
      <c r="N252" s="94">
        <f>IFERROR(__xludf.DUMMYFUNCTION("""COMPUTED_VALUE"""),40787.0)</f>
        <v>40787</v>
      </c>
      <c r="O252" s="46">
        <f>IFERROR(__xludf.DUMMYFUNCTION("""COMPUTED_VALUE"""),1.0)</f>
        <v>1</v>
      </c>
      <c r="P252" s="46">
        <f>IFERROR(__xludf.DUMMYFUNCTION("""COMPUTED_VALUE"""),4100.0)</f>
        <v>4100</v>
      </c>
      <c r="Q252" s="46">
        <f>IFERROR(__xludf.DUMMYFUNCTION("""COMPUTED_VALUE"""),38253.0)</f>
        <v>38253</v>
      </c>
      <c r="R252" s="46">
        <f>IFERROR(__xludf.DUMMYFUNCTION("""COMPUTED_VALUE"""),28372.0)</f>
        <v>28372</v>
      </c>
      <c r="S252" s="46">
        <f>IFERROR(__xludf.DUMMYFUNCTION("""COMPUTED_VALUE"""),9881.0)</f>
        <v>9881</v>
      </c>
    </row>
    <row r="253">
      <c r="A253" s="46" t="str">
        <f>IFERROR(__xludf.DUMMYFUNCTION("""COMPUTED_VALUE"""),"Meat")</f>
        <v>Meat</v>
      </c>
      <c r="B253" s="46" t="str">
        <f>IFERROR(__xludf.DUMMYFUNCTION("""COMPUTED_VALUE"""),"Italy")</f>
        <v>Italy</v>
      </c>
      <c r="C253" s="46" t="str">
        <f>IFERROR(__xludf.DUMMYFUNCTION("""COMPUTED_VALUE"""),"Europe")</f>
        <v>Europe</v>
      </c>
      <c r="D253" s="90">
        <f>IFERROR(__xludf.DUMMYFUNCTION("""COMPUTED_VALUE"""),42401.0)</f>
        <v>42401</v>
      </c>
      <c r="E253" s="46">
        <f>IFERROR(__xludf.DUMMYFUNCTION("""COMPUTED_VALUE"""),2016.0)</f>
        <v>2016</v>
      </c>
      <c r="F253" s="46">
        <f>IFERROR(__xludf.DUMMYFUNCTION("""COMPUTED_VALUE"""),1.0)</f>
        <v>1</v>
      </c>
      <c r="G253" s="46">
        <f>IFERROR(__xludf.DUMMYFUNCTION("""COMPUTED_VALUE"""),233.0)</f>
        <v>233</v>
      </c>
      <c r="H253" s="46">
        <f>IFERROR(__xludf.DUMMYFUNCTION("""COMPUTED_VALUE"""),98300.37)</f>
        <v>98300.37</v>
      </c>
      <c r="I253" s="46">
        <f>IFERROR(__xludf.DUMMYFUNCTION("""COMPUTED_VALUE"""),84972.77)</f>
        <v>84972.77</v>
      </c>
      <c r="J253" s="46">
        <f>IFERROR(__xludf.DUMMYFUNCTION("""COMPUTED_VALUE"""),13327.599999999991)</f>
        <v>13327.6</v>
      </c>
      <c r="K253" s="46" t="str">
        <f t="array" ref="K253">TEXT(D253, "mmmm")</f>
        <v>February</v>
      </c>
      <c r="M253" s="46" t="str">
        <f>IFERROR(__xludf.DUMMYFUNCTION("""COMPUTED_VALUE"""),"Luxembourg")</f>
        <v>Luxembourg</v>
      </c>
      <c r="N253" s="94">
        <f>IFERROR(__xludf.DUMMYFUNCTION("""COMPUTED_VALUE"""),40787.0)</f>
        <v>40787</v>
      </c>
      <c r="O253" s="46">
        <f>IFERROR(__xludf.DUMMYFUNCTION("""COMPUTED_VALUE"""),1.0)</f>
        <v>1</v>
      </c>
      <c r="P253" s="46">
        <f>IFERROR(__xludf.DUMMYFUNCTION("""COMPUTED_VALUE"""),9321.0)</f>
        <v>9321</v>
      </c>
      <c r="Q253" s="46">
        <f>IFERROR(__xludf.DUMMYFUNCTION("""COMPUTED_VALUE"""),6069928.41)</f>
        <v>6069928.41</v>
      </c>
      <c r="R253" s="46">
        <f>IFERROR(__xludf.DUMMYFUNCTION("""COMPUTED_VALUE"""),4893152.16)</f>
        <v>4893152.16</v>
      </c>
      <c r="S253" s="46">
        <f>IFERROR(__xludf.DUMMYFUNCTION("""COMPUTED_VALUE"""),1176776.25)</f>
        <v>1176776.25</v>
      </c>
    </row>
    <row r="254">
      <c r="A254" s="46" t="str">
        <f>IFERROR(__xludf.DUMMYFUNCTION("""COMPUTED_VALUE"""),"Personal Care")</f>
        <v>Personal Care</v>
      </c>
      <c r="B254" s="46" t="str">
        <f>IFERROR(__xludf.DUMMYFUNCTION("""COMPUTED_VALUE"""),"Denmark")</f>
        <v>Denmark</v>
      </c>
      <c r="C254" s="46" t="str">
        <f>IFERROR(__xludf.DUMMYFUNCTION("""COMPUTED_VALUE"""),"Europe")</f>
        <v>Europe</v>
      </c>
      <c r="D254" s="90">
        <f>IFERROR(__xludf.DUMMYFUNCTION("""COMPUTED_VALUE"""),42401.0)</f>
        <v>42401</v>
      </c>
      <c r="E254" s="46">
        <f>IFERROR(__xludf.DUMMYFUNCTION("""COMPUTED_VALUE"""),2016.0)</f>
        <v>2016</v>
      </c>
      <c r="F254" s="46">
        <f>IFERROR(__xludf.DUMMYFUNCTION("""COMPUTED_VALUE"""),1.0)</f>
        <v>1</v>
      </c>
      <c r="G254" s="46">
        <f>IFERROR(__xludf.DUMMYFUNCTION("""COMPUTED_VALUE"""),8451.0)</f>
        <v>8451</v>
      </c>
      <c r="H254" s="46">
        <f>IFERROR(__xludf.DUMMYFUNCTION("""COMPUTED_VALUE"""),690700.23)</f>
        <v>690700.23</v>
      </c>
      <c r="I254" s="46">
        <f>IFERROR(__xludf.DUMMYFUNCTION("""COMPUTED_VALUE"""),478918.17000000004)</f>
        <v>478918.17</v>
      </c>
      <c r="J254" s="46">
        <f>IFERROR(__xludf.DUMMYFUNCTION("""COMPUTED_VALUE"""),211782.05999999994)</f>
        <v>211782.06</v>
      </c>
      <c r="K254" s="46" t="str">
        <f t="array" ref="K254">TEXT(D254, "mmmm")</f>
        <v>February</v>
      </c>
      <c r="M254" s="46" t="str">
        <f>IFERROR(__xludf.DUMMYFUNCTION("""COMPUTED_VALUE"""),"Poland")</f>
        <v>Poland</v>
      </c>
      <c r="N254" s="94">
        <f>IFERROR(__xludf.DUMMYFUNCTION("""COMPUTED_VALUE"""),40787.0)</f>
        <v>40787</v>
      </c>
      <c r="O254" s="46">
        <f>IFERROR(__xludf.DUMMYFUNCTION("""COMPUTED_VALUE"""),1.0)</f>
        <v>1</v>
      </c>
      <c r="P254" s="46">
        <f>IFERROR(__xludf.DUMMYFUNCTION("""COMPUTED_VALUE"""),4529.0)</f>
        <v>4529</v>
      </c>
      <c r="Q254" s="46">
        <f>IFERROR(__xludf.DUMMYFUNCTION("""COMPUTED_VALUE"""),1156163.12)</f>
        <v>1156163.12</v>
      </c>
      <c r="R254" s="46">
        <f>IFERROR(__xludf.DUMMYFUNCTION("""COMPUTED_VALUE"""),722013.1799999999)</f>
        <v>722013.18</v>
      </c>
      <c r="S254" s="46">
        <f>IFERROR(__xludf.DUMMYFUNCTION("""COMPUTED_VALUE"""),434149.9400000002)</f>
        <v>434149.94</v>
      </c>
    </row>
    <row r="255">
      <c r="A255" s="46" t="str">
        <f>IFERROR(__xludf.DUMMYFUNCTION("""COMPUTED_VALUE"""),"Personal Care")</f>
        <v>Personal Care</v>
      </c>
      <c r="B255" s="46" t="str">
        <f>IFERROR(__xludf.DUMMYFUNCTION("""COMPUTED_VALUE"""),"Germany")</f>
        <v>Germany</v>
      </c>
      <c r="C255" s="46" t="str">
        <f>IFERROR(__xludf.DUMMYFUNCTION("""COMPUTED_VALUE"""),"Europe")</f>
        <v>Europe</v>
      </c>
      <c r="D255" s="90">
        <f>IFERROR(__xludf.DUMMYFUNCTION("""COMPUTED_VALUE"""),42401.0)</f>
        <v>42401</v>
      </c>
      <c r="E255" s="46">
        <f>IFERROR(__xludf.DUMMYFUNCTION("""COMPUTED_VALUE"""),2016.0)</f>
        <v>2016</v>
      </c>
      <c r="F255" s="46">
        <f>IFERROR(__xludf.DUMMYFUNCTION("""COMPUTED_VALUE"""),1.0)</f>
        <v>1</v>
      </c>
      <c r="G255" s="46">
        <f>IFERROR(__xludf.DUMMYFUNCTION("""COMPUTED_VALUE"""),8702.0)</f>
        <v>8702</v>
      </c>
      <c r="H255" s="46">
        <f>IFERROR(__xludf.DUMMYFUNCTION("""COMPUTED_VALUE"""),711214.4600000001)</f>
        <v>711214.46</v>
      </c>
      <c r="I255" s="46">
        <f>IFERROR(__xludf.DUMMYFUNCTION("""COMPUTED_VALUE"""),493142.34)</f>
        <v>493142.34</v>
      </c>
      <c r="J255" s="46">
        <f>IFERROR(__xludf.DUMMYFUNCTION("""COMPUTED_VALUE"""),218072.12000000005)</f>
        <v>218072.12</v>
      </c>
      <c r="K255" s="46" t="str">
        <f t="array" ref="K255">TEXT(D255, "mmmm")</f>
        <v>February</v>
      </c>
      <c r="M255" s="46" t="str">
        <f>IFERROR(__xludf.DUMMYFUNCTION("""COMPUTED_VALUE"""),"Romania")</f>
        <v>Romania</v>
      </c>
      <c r="N255" s="94">
        <f>IFERROR(__xludf.DUMMYFUNCTION("""COMPUTED_VALUE"""),40787.0)</f>
        <v>40787</v>
      </c>
      <c r="O255" s="46">
        <f>IFERROR(__xludf.DUMMYFUNCTION("""COMPUTED_VALUE"""),1.0)</f>
        <v>1</v>
      </c>
      <c r="P255" s="46">
        <f>IFERROR(__xludf.DUMMYFUNCTION("""COMPUTED_VALUE"""),3937.0)</f>
        <v>3937</v>
      </c>
      <c r="Q255" s="46">
        <f>IFERROR(__xludf.DUMMYFUNCTION("""COMPUTED_VALUE"""),809840.8999999999)</f>
        <v>809840.9</v>
      </c>
      <c r="R255" s="46">
        <f>IFERROR(__xludf.DUMMYFUNCTION("""COMPUTED_VALUE"""),461062.07)</f>
        <v>461062.07</v>
      </c>
      <c r="S255" s="46">
        <f>IFERROR(__xludf.DUMMYFUNCTION("""COMPUTED_VALUE"""),348778.8299999999)</f>
        <v>348778.83</v>
      </c>
    </row>
    <row r="256">
      <c r="A256" s="46" t="str">
        <f>IFERROR(__xludf.DUMMYFUNCTION("""COMPUTED_VALUE"""),"Personal Care")</f>
        <v>Personal Care</v>
      </c>
      <c r="B256" s="46" t="str">
        <f>IFERROR(__xludf.DUMMYFUNCTION("""COMPUTED_VALUE"""),"Undefined")</f>
        <v>Undefined</v>
      </c>
      <c r="C256" s="46" t="str">
        <f>IFERROR(__xludf.DUMMYFUNCTION("""COMPUTED_VALUE"""),"Undefined")</f>
        <v>Undefined</v>
      </c>
      <c r="D256" s="90">
        <f>IFERROR(__xludf.DUMMYFUNCTION("""COMPUTED_VALUE"""),42401.0)</f>
        <v>42401</v>
      </c>
      <c r="E256" s="46">
        <f>IFERROR(__xludf.DUMMYFUNCTION("""COMPUTED_VALUE"""),2016.0)</f>
        <v>2016</v>
      </c>
      <c r="F256" s="46">
        <f>IFERROR(__xludf.DUMMYFUNCTION("""COMPUTED_VALUE"""),1.0)</f>
        <v>1</v>
      </c>
      <c r="G256" s="46">
        <f>IFERROR(__xludf.DUMMYFUNCTION("""COMPUTED_VALUE"""),920.0)</f>
        <v>920</v>
      </c>
      <c r="H256" s="46">
        <f>IFERROR(__xludf.DUMMYFUNCTION("""COMPUTED_VALUE"""),75191.6)</f>
        <v>75191.6</v>
      </c>
      <c r="I256" s="46">
        <f>IFERROR(__xludf.DUMMYFUNCTION("""COMPUTED_VALUE"""),52136.4)</f>
        <v>52136.4</v>
      </c>
      <c r="J256" s="46">
        <f>IFERROR(__xludf.DUMMYFUNCTION("""COMPUTED_VALUE"""),23055.200000000004)</f>
        <v>23055.2</v>
      </c>
      <c r="K256" s="46" t="str">
        <f t="array" ref="K256">TEXT(D256, "mmmm")</f>
        <v>February</v>
      </c>
      <c r="M256" s="46" t="str">
        <f>IFERROR(__xludf.DUMMYFUNCTION("""COMPUTED_VALUE"""),"United Kingdom")</f>
        <v>United Kingdom</v>
      </c>
      <c r="N256" s="94">
        <f>IFERROR(__xludf.DUMMYFUNCTION("""COMPUTED_VALUE"""),40787.0)</f>
        <v>40787</v>
      </c>
      <c r="O256" s="46">
        <f>IFERROR(__xludf.DUMMYFUNCTION("""COMPUTED_VALUE"""),1.0)</f>
        <v>1</v>
      </c>
      <c r="P256" s="46">
        <f>IFERROR(__xludf.DUMMYFUNCTION("""COMPUTED_VALUE"""),5997.0)</f>
        <v>5997</v>
      </c>
      <c r="Q256" s="46">
        <f>IFERROR(__xludf.DUMMYFUNCTION("""COMPUTED_VALUE"""),490134.81)</f>
        <v>490134.81</v>
      </c>
      <c r="R256" s="46">
        <f>IFERROR(__xludf.DUMMYFUNCTION("""COMPUTED_VALUE"""),339849.99)</f>
        <v>339849.99</v>
      </c>
      <c r="S256" s="46">
        <f>IFERROR(__xludf.DUMMYFUNCTION("""COMPUTED_VALUE"""),150284.82)</f>
        <v>150284.82</v>
      </c>
    </row>
    <row r="257">
      <c r="A257" s="46" t="str">
        <f>IFERROR(__xludf.DUMMYFUNCTION("""COMPUTED_VALUE"""),"Snacks")</f>
        <v>Snacks</v>
      </c>
      <c r="B257" s="46" t="str">
        <f>IFERROR(__xludf.DUMMYFUNCTION("""COMPUTED_VALUE"""),"Norway")</f>
        <v>Norway</v>
      </c>
      <c r="C257" s="46" t="str">
        <f>IFERROR(__xludf.DUMMYFUNCTION("""COMPUTED_VALUE"""),"Europe")</f>
        <v>Europe</v>
      </c>
      <c r="D257" s="90">
        <f>IFERROR(__xludf.DUMMYFUNCTION("""COMPUTED_VALUE"""),42401.0)</f>
        <v>42401</v>
      </c>
      <c r="E257" s="46">
        <f>IFERROR(__xludf.DUMMYFUNCTION("""COMPUTED_VALUE"""),2016.0)</f>
        <v>2016</v>
      </c>
      <c r="F257" s="46">
        <f>IFERROR(__xludf.DUMMYFUNCTION("""COMPUTED_VALUE"""),1.0)</f>
        <v>1</v>
      </c>
      <c r="G257" s="46">
        <f>IFERROR(__xludf.DUMMYFUNCTION("""COMPUTED_VALUE"""),3293.0)</f>
        <v>3293</v>
      </c>
      <c r="H257" s="46">
        <f>IFERROR(__xludf.DUMMYFUNCTION("""COMPUTED_VALUE"""),502445.94000000006)</f>
        <v>502445.94</v>
      </c>
      <c r="I257" s="46">
        <f>IFERROR(__xludf.DUMMYFUNCTION("""COMPUTED_VALUE"""),320869.92)</f>
        <v>320869.92</v>
      </c>
      <c r="J257" s="46">
        <f>IFERROR(__xludf.DUMMYFUNCTION("""COMPUTED_VALUE"""),181576.02000000008)</f>
        <v>181576.02</v>
      </c>
      <c r="K257" s="46" t="str">
        <f t="array" ref="K257">TEXT(D257, "mmmm")</f>
        <v>February</v>
      </c>
      <c r="M257" s="46" t="str">
        <f>IFERROR(__xludf.DUMMYFUNCTION("""COMPUTED_VALUE"""),"Andorra")</f>
        <v>Andorra</v>
      </c>
      <c r="N257" s="94">
        <f>IFERROR(__xludf.DUMMYFUNCTION("""COMPUTED_VALUE"""),40817.0)</f>
        <v>40817</v>
      </c>
      <c r="O257" s="46">
        <f>IFERROR(__xludf.DUMMYFUNCTION("""COMPUTED_VALUE"""),1.0)</f>
        <v>1</v>
      </c>
      <c r="P257" s="46">
        <f>IFERROR(__xludf.DUMMYFUNCTION("""COMPUTED_VALUE"""),1875.0)</f>
        <v>1875</v>
      </c>
      <c r="Q257" s="46">
        <f>IFERROR(__xludf.DUMMYFUNCTION("""COMPUTED_VALUE"""),791043.75)</f>
        <v>791043.75</v>
      </c>
      <c r="R257" s="46">
        <f>IFERROR(__xludf.DUMMYFUNCTION("""COMPUTED_VALUE"""),683793.75)</f>
        <v>683793.75</v>
      </c>
      <c r="S257" s="46">
        <f>IFERROR(__xludf.DUMMYFUNCTION("""COMPUTED_VALUE"""),107250.0)</f>
        <v>107250</v>
      </c>
    </row>
    <row r="258">
      <c r="A258" s="46" t="str">
        <f>IFERROR(__xludf.DUMMYFUNCTION("""COMPUTED_VALUE"""),"Vegetables")</f>
        <v>Vegetables</v>
      </c>
      <c r="B258" s="46" t="str">
        <f>IFERROR(__xludf.DUMMYFUNCTION("""COMPUTED_VALUE"""),"Poland")</f>
        <v>Poland</v>
      </c>
      <c r="C258" s="46" t="str">
        <f>IFERROR(__xludf.DUMMYFUNCTION("""COMPUTED_VALUE"""),"Europe")</f>
        <v>Europe</v>
      </c>
      <c r="D258" s="90">
        <f>IFERROR(__xludf.DUMMYFUNCTION("""COMPUTED_VALUE"""),42401.0)</f>
        <v>42401</v>
      </c>
      <c r="E258" s="46">
        <f>IFERROR(__xludf.DUMMYFUNCTION("""COMPUTED_VALUE"""),2016.0)</f>
        <v>2016</v>
      </c>
      <c r="F258" s="46">
        <f>IFERROR(__xludf.DUMMYFUNCTION("""COMPUTED_VALUE"""),1.0)</f>
        <v>1</v>
      </c>
      <c r="G258" s="46">
        <f>IFERROR(__xludf.DUMMYFUNCTION("""COMPUTED_VALUE"""),5935.0)</f>
        <v>5935</v>
      </c>
      <c r="H258" s="46">
        <f>IFERROR(__xludf.DUMMYFUNCTION("""COMPUTED_VALUE"""),914346.1)</f>
        <v>914346.1</v>
      </c>
      <c r="I258" s="46">
        <f>IFERROR(__xludf.DUMMYFUNCTION("""COMPUTED_VALUE"""),539669.55)</f>
        <v>539669.55</v>
      </c>
      <c r="J258" s="46">
        <f>IFERROR(__xludf.DUMMYFUNCTION("""COMPUTED_VALUE"""),374676.54999999993)</f>
        <v>374676.55</v>
      </c>
      <c r="K258" s="46" t="str">
        <f t="array" ref="K258">TEXT(D258, "mmmm")</f>
        <v>February</v>
      </c>
      <c r="M258" s="46" t="str">
        <f>IFERROR(__xludf.DUMMYFUNCTION("""COMPUTED_VALUE"""),"Bosnia and Herzegovina")</f>
        <v>Bosnia and Herzegovina</v>
      </c>
      <c r="N258" s="94">
        <f>IFERROR(__xludf.DUMMYFUNCTION("""COMPUTED_VALUE"""),40817.0)</f>
        <v>40817</v>
      </c>
      <c r="O258" s="46">
        <f>IFERROR(__xludf.DUMMYFUNCTION("""COMPUTED_VALUE"""),1.0)</f>
        <v>1</v>
      </c>
      <c r="P258" s="46">
        <f>IFERROR(__xludf.DUMMYFUNCTION("""COMPUTED_VALUE"""),1789.0)</f>
        <v>1789</v>
      </c>
      <c r="Q258" s="46">
        <f>IFERROR(__xludf.DUMMYFUNCTION("""COMPUTED_VALUE"""),195501.92)</f>
        <v>195501.92</v>
      </c>
      <c r="R258" s="46">
        <f>IFERROR(__xludf.DUMMYFUNCTION("""COMPUTED_VALUE"""),64117.76000000001)</f>
        <v>64117.76</v>
      </c>
      <c r="S258" s="46">
        <f>IFERROR(__xludf.DUMMYFUNCTION("""COMPUTED_VALUE"""),131384.16)</f>
        <v>131384.16</v>
      </c>
    </row>
    <row r="259">
      <c r="A259" s="46" t="str">
        <f>IFERROR(__xludf.DUMMYFUNCTION("""COMPUTED_VALUE"""),"Baby Food")</f>
        <v>Baby Food</v>
      </c>
      <c r="B259" s="46" t="str">
        <f>IFERROR(__xludf.DUMMYFUNCTION("""COMPUTED_VALUE"""),"Montenegro")</f>
        <v>Montenegro</v>
      </c>
      <c r="C259" s="46" t="str">
        <f>IFERROR(__xludf.DUMMYFUNCTION("""COMPUTED_VALUE"""),"Europe")</f>
        <v>Europe</v>
      </c>
      <c r="D259" s="90">
        <f>IFERROR(__xludf.DUMMYFUNCTION("""COMPUTED_VALUE"""),42370.0)</f>
        <v>42370</v>
      </c>
      <c r="E259" s="46">
        <f>IFERROR(__xludf.DUMMYFUNCTION("""COMPUTED_VALUE"""),2016.0)</f>
        <v>2016</v>
      </c>
      <c r="F259" s="46">
        <f>IFERROR(__xludf.DUMMYFUNCTION("""COMPUTED_VALUE"""),1.0)</f>
        <v>1</v>
      </c>
      <c r="G259" s="46">
        <f>IFERROR(__xludf.DUMMYFUNCTION("""COMPUTED_VALUE"""),4354.0)</f>
        <v>4354</v>
      </c>
      <c r="H259" s="46">
        <f>IFERROR(__xludf.DUMMYFUNCTION("""COMPUTED_VALUE"""),1111489.12)</f>
        <v>1111489.12</v>
      </c>
      <c r="I259" s="46">
        <f>IFERROR(__xludf.DUMMYFUNCTION("""COMPUTED_VALUE"""),694114.6799999999)</f>
        <v>694114.68</v>
      </c>
      <c r="J259" s="46">
        <f>IFERROR(__xludf.DUMMYFUNCTION("""COMPUTED_VALUE"""),417374.4400000002)</f>
        <v>417374.44</v>
      </c>
      <c r="K259" s="46" t="str">
        <f t="array" ref="K259">TEXT(D259, "mmmm")</f>
        <v>January</v>
      </c>
      <c r="M259" s="46" t="str">
        <f>IFERROR(__xludf.DUMMYFUNCTION("""COMPUTED_VALUE"""),"Greece")</f>
        <v>Greece</v>
      </c>
      <c r="N259" s="94">
        <f>IFERROR(__xludf.DUMMYFUNCTION("""COMPUTED_VALUE"""),40817.0)</f>
        <v>40817</v>
      </c>
      <c r="O259" s="46">
        <f>IFERROR(__xludf.DUMMYFUNCTION("""COMPUTED_VALUE"""),1.0)</f>
        <v>1</v>
      </c>
      <c r="P259" s="46">
        <f>IFERROR(__xludf.DUMMYFUNCTION("""COMPUTED_VALUE"""),8468.0)</f>
        <v>8468</v>
      </c>
      <c r="Q259" s="46">
        <f>IFERROR(__xludf.DUMMYFUNCTION("""COMPUTED_VALUE"""),1741867.5999999999)</f>
        <v>1741867.6</v>
      </c>
      <c r="R259" s="46">
        <f>IFERROR(__xludf.DUMMYFUNCTION("""COMPUTED_VALUE"""),991687.48)</f>
        <v>991687.48</v>
      </c>
      <c r="S259" s="46">
        <f>IFERROR(__xludf.DUMMYFUNCTION("""COMPUTED_VALUE"""),750180.1199999999)</f>
        <v>750180.12</v>
      </c>
    </row>
    <row r="260">
      <c r="A260" s="46" t="str">
        <f>IFERROR(__xludf.DUMMYFUNCTION("""COMPUTED_VALUE"""),"Beverages")</f>
        <v>Beverages</v>
      </c>
      <c r="B260" s="46" t="str">
        <f>IFERROR(__xludf.DUMMYFUNCTION("""COMPUTED_VALUE"""),"Portugal")</f>
        <v>Portugal</v>
      </c>
      <c r="C260" s="46" t="str">
        <f>IFERROR(__xludf.DUMMYFUNCTION("""COMPUTED_VALUE"""),"Europe")</f>
        <v>Europe</v>
      </c>
      <c r="D260" s="90">
        <f>IFERROR(__xludf.DUMMYFUNCTION("""COMPUTED_VALUE"""),42370.0)</f>
        <v>42370</v>
      </c>
      <c r="E260" s="46">
        <f>IFERROR(__xludf.DUMMYFUNCTION("""COMPUTED_VALUE"""),2016.0)</f>
        <v>2016</v>
      </c>
      <c r="F260" s="46">
        <f>IFERROR(__xludf.DUMMYFUNCTION("""COMPUTED_VALUE"""),2.0)</f>
        <v>2</v>
      </c>
      <c r="G260" s="46">
        <f>IFERROR(__xludf.DUMMYFUNCTION("""COMPUTED_VALUE"""),4859.0)</f>
        <v>4859</v>
      </c>
      <c r="H260" s="46">
        <f>IFERROR(__xludf.DUMMYFUNCTION("""COMPUTED_VALUE"""),230559.55000000002)</f>
        <v>230559.55</v>
      </c>
      <c r="I260" s="46">
        <f>IFERROR(__xludf.DUMMYFUNCTION("""COMPUTED_VALUE"""),154467.61)</f>
        <v>154467.61</v>
      </c>
      <c r="J260" s="46">
        <f>IFERROR(__xludf.DUMMYFUNCTION("""COMPUTED_VALUE"""),76091.94000000003)</f>
        <v>76091.94</v>
      </c>
      <c r="K260" s="46" t="str">
        <f t="array" ref="K260">TEXT(D260, "mmmm")</f>
        <v>January</v>
      </c>
      <c r="M260" s="46" t="str">
        <f>IFERROR(__xludf.DUMMYFUNCTION("""COMPUTED_VALUE"""),"Latvia")</f>
        <v>Latvia</v>
      </c>
      <c r="N260" s="94">
        <f>IFERROR(__xludf.DUMMYFUNCTION("""COMPUTED_VALUE"""),40817.0)</f>
        <v>40817</v>
      </c>
      <c r="O260" s="46">
        <f>IFERROR(__xludf.DUMMYFUNCTION("""COMPUTED_VALUE"""),1.0)</f>
        <v>1</v>
      </c>
      <c r="P260" s="46">
        <f>IFERROR(__xludf.DUMMYFUNCTION("""COMPUTED_VALUE"""),8732.0)</f>
        <v>8732</v>
      </c>
      <c r="Q260" s="46">
        <f>IFERROR(__xludf.DUMMYFUNCTION("""COMPUTED_VALUE"""),713666.36)</f>
        <v>713666.36</v>
      </c>
      <c r="R260" s="46">
        <f>IFERROR(__xludf.DUMMYFUNCTION("""COMPUTED_VALUE"""),494842.44)</f>
        <v>494842.44</v>
      </c>
      <c r="S260" s="46">
        <f>IFERROR(__xludf.DUMMYFUNCTION("""COMPUTED_VALUE"""),218823.91999999998)</f>
        <v>218823.92</v>
      </c>
    </row>
    <row r="261">
      <c r="A261" s="46" t="str">
        <f>IFERROR(__xludf.DUMMYFUNCTION("""COMPUTED_VALUE"""),"Clothes")</f>
        <v>Clothes</v>
      </c>
      <c r="B261" s="46" t="str">
        <f>IFERROR(__xludf.DUMMYFUNCTION("""COMPUTED_VALUE"""),"Albania")</f>
        <v>Albania</v>
      </c>
      <c r="C261" s="46" t="str">
        <f>IFERROR(__xludf.DUMMYFUNCTION("""COMPUTED_VALUE"""),"Europe")</f>
        <v>Europe</v>
      </c>
      <c r="D261" s="90">
        <f>IFERROR(__xludf.DUMMYFUNCTION("""COMPUTED_VALUE"""),42370.0)</f>
        <v>42370</v>
      </c>
      <c r="E261" s="46">
        <f>IFERROR(__xludf.DUMMYFUNCTION("""COMPUTED_VALUE"""),2016.0)</f>
        <v>2016</v>
      </c>
      <c r="F261" s="46">
        <f>IFERROR(__xludf.DUMMYFUNCTION("""COMPUTED_VALUE"""),1.0)</f>
        <v>1</v>
      </c>
      <c r="G261" s="46">
        <f>IFERROR(__xludf.DUMMYFUNCTION("""COMPUTED_VALUE"""),8586.0)</f>
        <v>8586</v>
      </c>
      <c r="H261" s="46">
        <f>IFERROR(__xludf.DUMMYFUNCTION("""COMPUTED_VALUE"""),938278.08)</f>
        <v>938278.08</v>
      </c>
      <c r="I261" s="46">
        <f>IFERROR(__xludf.DUMMYFUNCTION("""COMPUTED_VALUE"""),307722.24000000005)</f>
        <v>307722.24</v>
      </c>
      <c r="J261" s="46">
        <f>IFERROR(__xludf.DUMMYFUNCTION("""COMPUTED_VALUE"""),630555.8399999999)</f>
        <v>630555.84</v>
      </c>
      <c r="K261" s="46" t="str">
        <f t="array" ref="K261">TEXT(D261, "mmmm")</f>
        <v>January</v>
      </c>
      <c r="M261" s="46" t="str">
        <f>IFERROR(__xludf.DUMMYFUNCTION("""COMPUTED_VALUE"""),"Luxembourg")</f>
        <v>Luxembourg</v>
      </c>
      <c r="N261" s="94">
        <f>IFERROR(__xludf.DUMMYFUNCTION("""COMPUTED_VALUE"""),40817.0)</f>
        <v>40817</v>
      </c>
      <c r="O261" s="46">
        <f>IFERROR(__xludf.DUMMYFUNCTION("""COMPUTED_VALUE"""),1.0)</f>
        <v>1</v>
      </c>
      <c r="P261" s="46">
        <f>IFERROR(__xludf.DUMMYFUNCTION("""COMPUTED_VALUE"""),4906.0)</f>
        <v>4906</v>
      </c>
      <c r="Q261" s="46">
        <f>IFERROR(__xludf.DUMMYFUNCTION("""COMPUTED_VALUE"""),45772.98)</f>
        <v>45772.98</v>
      </c>
      <c r="R261" s="46">
        <f>IFERROR(__xludf.DUMMYFUNCTION("""COMPUTED_VALUE"""),33949.52)</f>
        <v>33949.52</v>
      </c>
      <c r="S261" s="46">
        <f>IFERROR(__xludf.DUMMYFUNCTION("""COMPUTED_VALUE"""),11823.460000000006)</f>
        <v>11823.46</v>
      </c>
    </row>
    <row r="262">
      <c r="A262" s="46" t="str">
        <f>IFERROR(__xludf.DUMMYFUNCTION("""COMPUTED_VALUE"""),"Clothes")</f>
        <v>Clothes</v>
      </c>
      <c r="B262" s="46" t="str">
        <f>IFERROR(__xludf.DUMMYFUNCTION("""COMPUTED_VALUE"""),"Estonia")</f>
        <v>Estonia</v>
      </c>
      <c r="C262" s="46" t="str">
        <f>IFERROR(__xludf.DUMMYFUNCTION("""COMPUTED_VALUE"""),"Europe")</f>
        <v>Europe</v>
      </c>
      <c r="D262" s="90">
        <f>IFERROR(__xludf.DUMMYFUNCTION("""COMPUTED_VALUE"""),42370.0)</f>
        <v>42370</v>
      </c>
      <c r="E262" s="46">
        <f>IFERROR(__xludf.DUMMYFUNCTION("""COMPUTED_VALUE"""),2016.0)</f>
        <v>2016</v>
      </c>
      <c r="F262" s="46">
        <f>IFERROR(__xludf.DUMMYFUNCTION("""COMPUTED_VALUE"""),1.0)</f>
        <v>1</v>
      </c>
      <c r="G262" s="46">
        <f>IFERROR(__xludf.DUMMYFUNCTION("""COMPUTED_VALUE"""),7147.0)</f>
        <v>7147</v>
      </c>
      <c r="H262" s="46">
        <f>IFERROR(__xludf.DUMMYFUNCTION("""COMPUTED_VALUE"""),781024.16)</f>
        <v>781024.16</v>
      </c>
      <c r="I262" s="46">
        <f>IFERROR(__xludf.DUMMYFUNCTION("""COMPUTED_VALUE"""),256148.48)</f>
        <v>256148.48</v>
      </c>
      <c r="J262" s="46">
        <f>IFERROR(__xludf.DUMMYFUNCTION("""COMPUTED_VALUE"""),524875.68)</f>
        <v>524875.68</v>
      </c>
      <c r="K262" s="46" t="str">
        <f t="array" ref="K262">TEXT(D262, "mmmm")</f>
        <v>January</v>
      </c>
      <c r="M262" s="46" t="str">
        <f>IFERROR(__xludf.DUMMYFUNCTION("""COMPUTED_VALUE"""),"Malta")</f>
        <v>Malta</v>
      </c>
      <c r="N262" s="94">
        <f>IFERROR(__xludf.DUMMYFUNCTION("""COMPUTED_VALUE"""),40817.0)</f>
        <v>40817</v>
      </c>
      <c r="O262" s="46">
        <f>IFERROR(__xludf.DUMMYFUNCTION("""COMPUTED_VALUE"""),1.0)</f>
        <v>1</v>
      </c>
      <c r="P262" s="46">
        <f>IFERROR(__xludf.DUMMYFUNCTION("""COMPUTED_VALUE"""),9236.0)</f>
        <v>9236</v>
      </c>
      <c r="Q262" s="46">
        <f>IFERROR(__xludf.DUMMYFUNCTION("""COMPUTED_VALUE"""),4037979.1999999997)</f>
        <v>4037979.2</v>
      </c>
      <c r="R262" s="46">
        <f>IFERROR(__xludf.DUMMYFUNCTION("""COMPUTED_VALUE"""),2432115.88)</f>
        <v>2432115.88</v>
      </c>
      <c r="S262" s="46">
        <f>IFERROR(__xludf.DUMMYFUNCTION("""COMPUTED_VALUE"""),1605863.3199999998)</f>
        <v>1605863.32</v>
      </c>
    </row>
    <row r="263">
      <c r="A263" s="46" t="str">
        <f>IFERROR(__xludf.DUMMYFUNCTION("""COMPUTED_VALUE"""),"Clothes")</f>
        <v>Clothes</v>
      </c>
      <c r="B263" s="46" t="str">
        <f>IFERROR(__xludf.DUMMYFUNCTION("""COMPUTED_VALUE"""),"Netherlands")</f>
        <v>Netherlands</v>
      </c>
      <c r="C263" s="46" t="str">
        <f>IFERROR(__xludf.DUMMYFUNCTION("""COMPUTED_VALUE"""),"Europe")</f>
        <v>Europe</v>
      </c>
      <c r="D263" s="90">
        <f>IFERROR(__xludf.DUMMYFUNCTION("""COMPUTED_VALUE"""),42370.0)</f>
        <v>42370</v>
      </c>
      <c r="E263" s="46">
        <f>IFERROR(__xludf.DUMMYFUNCTION("""COMPUTED_VALUE"""),2016.0)</f>
        <v>2016</v>
      </c>
      <c r="F263" s="46">
        <f>IFERROR(__xludf.DUMMYFUNCTION("""COMPUTED_VALUE"""),1.0)</f>
        <v>1</v>
      </c>
      <c r="G263" s="46">
        <f>IFERROR(__xludf.DUMMYFUNCTION("""COMPUTED_VALUE"""),6368.0)</f>
        <v>6368</v>
      </c>
      <c r="H263" s="46">
        <f>IFERROR(__xludf.DUMMYFUNCTION("""COMPUTED_VALUE"""),695895.04)</f>
        <v>695895.04</v>
      </c>
      <c r="I263" s="46">
        <f>IFERROR(__xludf.DUMMYFUNCTION("""COMPUTED_VALUE"""),228229.12000000002)</f>
        <v>228229.12</v>
      </c>
      <c r="J263" s="46">
        <f>IFERROR(__xludf.DUMMYFUNCTION("""COMPUTED_VALUE"""),467665.92000000004)</f>
        <v>467665.92</v>
      </c>
      <c r="K263" s="46" t="str">
        <f t="array" ref="K263">TEXT(D263, "mmmm")</f>
        <v>January</v>
      </c>
      <c r="M263" s="46" t="str">
        <f>IFERROR(__xludf.DUMMYFUNCTION("""COMPUTED_VALUE"""),"Poland")</f>
        <v>Poland</v>
      </c>
      <c r="N263" s="94">
        <f>IFERROR(__xludf.DUMMYFUNCTION("""COMPUTED_VALUE"""),40817.0)</f>
        <v>40817</v>
      </c>
      <c r="O263" s="46">
        <f>IFERROR(__xludf.DUMMYFUNCTION("""COMPUTED_VALUE"""),1.0)</f>
        <v>1</v>
      </c>
      <c r="P263" s="46">
        <f>IFERROR(__xludf.DUMMYFUNCTION("""COMPUTED_VALUE"""),8124.0)</f>
        <v>8124</v>
      </c>
      <c r="Q263" s="46">
        <f>IFERROR(__xludf.DUMMYFUNCTION("""COMPUTED_VALUE"""),1671106.7999999998)</f>
        <v>1671106.8</v>
      </c>
      <c r="R263" s="46">
        <f>IFERROR(__xludf.DUMMYFUNCTION("""COMPUTED_VALUE"""),951401.64)</f>
        <v>951401.64</v>
      </c>
      <c r="S263" s="46">
        <f>IFERROR(__xludf.DUMMYFUNCTION("""COMPUTED_VALUE"""),719705.1599999998)</f>
        <v>719705.16</v>
      </c>
    </row>
    <row r="264">
      <c r="A264" s="46" t="str">
        <f>IFERROR(__xludf.DUMMYFUNCTION("""COMPUTED_VALUE"""),"Fruits")</f>
        <v>Fruits</v>
      </c>
      <c r="B264" s="46" t="str">
        <f>IFERROR(__xludf.DUMMYFUNCTION("""COMPUTED_VALUE"""),"Finland")</f>
        <v>Finland</v>
      </c>
      <c r="C264" s="46" t="str">
        <f>IFERROR(__xludf.DUMMYFUNCTION("""COMPUTED_VALUE"""),"Europe")</f>
        <v>Europe</v>
      </c>
      <c r="D264" s="90">
        <f>IFERROR(__xludf.DUMMYFUNCTION("""COMPUTED_VALUE"""),42370.0)</f>
        <v>42370</v>
      </c>
      <c r="E264" s="46">
        <f>IFERROR(__xludf.DUMMYFUNCTION("""COMPUTED_VALUE"""),2016.0)</f>
        <v>2016</v>
      </c>
      <c r="F264" s="46">
        <f>IFERROR(__xludf.DUMMYFUNCTION("""COMPUTED_VALUE"""),1.0)</f>
        <v>1</v>
      </c>
      <c r="G264" s="46">
        <f>IFERROR(__xludf.DUMMYFUNCTION("""COMPUTED_VALUE"""),54.0)</f>
        <v>54</v>
      </c>
      <c r="H264" s="46">
        <f>IFERROR(__xludf.DUMMYFUNCTION("""COMPUTED_VALUE"""),503.82)</f>
        <v>503.82</v>
      </c>
      <c r="I264" s="46">
        <f>IFERROR(__xludf.DUMMYFUNCTION("""COMPUTED_VALUE"""),373.68)</f>
        <v>373.68</v>
      </c>
      <c r="J264" s="46">
        <f>IFERROR(__xludf.DUMMYFUNCTION("""COMPUTED_VALUE"""),130.14)</f>
        <v>130.14</v>
      </c>
      <c r="K264" s="46" t="str">
        <f t="array" ref="K264">TEXT(D264, "mmmm")</f>
        <v>January</v>
      </c>
      <c r="M264" s="46" t="str">
        <f>IFERROR(__xludf.DUMMYFUNCTION("""COMPUTED_VALUE"""),"Romania")</f>
        <v>Romania</v>
      </c>
      <c r="N264" s="94">
        <f>IFERROR(__xludf.DUMMYFUNCTION("""COMPUTED_VALUE"""),40817.0)</f>
        <v>40817</v>
      </c>
      <c r="O264" s="46">
        <f>IFERROR(__xludf.DUMMYFUNCTION("""COMPUTED_VALUE"""),1.0)</f>
        <v>1</v>
      </c>
      <c r="P264" s="46">
        <f>IFERROR(__xludf.DUMMYFUNCTION("""COMPUTED_VALUE"""),3069.0)</f>
        <v>3069</v>
      </c>
      <c r="Q264" s="46">
        <f>IFERROR(__xludf.DUMMYFUNCTION("""COMPUTED_VALUE"""),28633.77)</f>
        <v>28633.77</v>
      </c>
      <c r="R264" s="46">
        <f>IFERROR(__xludf.DUMMYFUNCTION("""COMPUTED_VALUE"""),21237.48)</f>
        <v>21237.48</v>
      </c>
      <c r="S264" s="46">
        <f>IFERROR(__xludf.DUMMYFUNCTION("""COMPUTED_VALUE"""),7396.290000000001)</f>
        <v>7396.29</v>
      </c>
    </row>
    <row r="265">
      <c r="A265" s="46" t="str">
        <f>IFERROR(__xludf.DUMMYFUNCTION("""COMPUTED_VALUE"""),"Fruits")</f>
        <v>Fruits</v>
      </c>
      <c r="B265" s="46" t="str">
        <f>IFERROR(__xludf.DUMMYFUNCTION("""COMPUTED_VALUE"""),"Montenegro")</f>
        <v>Montenegro</v>
      </c>
      <c r="C265" s="46" t="str">
        <f>IFERROR(__xludf.DUMMYFUNCTION("""COMPUTED_VALUE"""),"Europe")</f>
        <v>Europe</v>
      </c>
      <c r="D265" s="90">
        <f>IFERROR(__xludf.DUMMYFUNCTION("""COMPUTED_VALUE"""),42370.0)</f>
        <v>42370</v>
      </c>
      <c r="E265" s="46">
        <f>IFERROR(__xludf.DUMMYFUNCTION("""COMPUTED_VALUE"""),2016.0)</f>
        <v>2016</v>
      </c>
      <c r="F265" s="46">
        <f>IFERROR(__xludf.DUMMYFUNCTION("""COMPUTED_VALUE"""),1.0)</f>
        <v>1</v>
      </c>
      <c r="G265" s="46">
        <f>IFERROR(__xludf.DUMMYFUNCTION("""COMPUTED_VALUE"""),7346.0)</f>
        <v>7346</v>
      </c>
      <c r="H265" s="46">
        <f>IFERROR(__xludf.DUMMYFUNCTION("""COMPUTED_VALUE"""),68538.18000000001)</f>
        <v>68538.18</v>
      </c>
      <c r="I265" s="46">
        <f>IFERROR(__xludf.DUMMYFUNCTION("""COMPUTED_VALUE"""),50834.32)</f>
        <v>50834.32</v>
      </c>
      <c r="J265" s="46">
        <f>IFERROR(__xludf.DUMMYFUNCTION("""COMPUTED_VALUE"""),17703.860000000008)</f>
        <v>17703.86</v>
      </c>
      <c r="K265" s="46" t="str">
        <f t="array" ref="K265">TEXT(D265, "mmmm")</f>
        <v>January</v>
      </c>
      <c r="M265" s="46" t="str">
        <f>IFERROR(__xludf.DUMMYFUNCTION("""COMPUTED_VALUE"""),"Russia")</f>
        <v>Russia</v>
      </c>
      <c r="N265" s="94">
        <f>IFERROR(__xludf.DUMMYFUNCTION("""COMPUTED_VALUE"""),40817.0)</f>
        <v>40817</v>
      </c>
      <c r="O265" s="46">
        <f>IFERROR(__xludf.DUMMYFUNCTION("""COMPUTED_VALUE"""),1.0)</f>
        <v>1</v>
      </c>
      <c r="P265" s="46">
        <f>IFERROR(__xludf.DUMMYFUNCTION("""COMPUTED_VALUE"""),9270.0)</f>
        <v>9270</v>
      </c>
      <c r="Q265" s="46">
        <f>IFERROR(__xludf.DUMMYFUNCTION("""COMPUTED_VALUE"""),6036716.7)</f>
        <v>6036716.7</v>
      </c>
      <c r="R265" s="46">
        <f>IFERROR(__xludf.DUMMYFUNCTION("""COMPUTED_VALUE"""),4866379.2)</f>
        <v>4866379.2</v>
      </c>
      <c r="S265" s="46">
        <f>IFERROR(__xludf.DUMMYFUNCTION("""COMPUTED_VALUE"""),1170337.5)</f>
        <v>1170337.5</v>
      </c>
    </row>
    <row r="266">
      <c r="A266" s="46" t="str">
        <f>IFERROR(__xludf.DUMMYFUNCTION("""COMPUTED_VALUE"""),"Household")</f>
        <v>Household</v>
      </c>
      <c r="B266" s="46" t="str">
        <f>IFERROR(__xludf.DUMMYFUNCTION("""COMPUTED_VALUE"""),"Slovakia")</f>
        <v>Slovakia</v>
      </c>
      <c r="C266" s="46" t="str">
        <f>IFERROR(__xludf.DUMMYFUNCTION("""COMPUTED_VALUE"""),"Europe")</f>
        <v>Europe</v>
      </c>
      <c r="D266" s="90">
        <f>IFERROR(__xludf.DUMMYFUNCTION("""COMPUTED_VALUE"""),42370.0)</f>
        <v>42370</v>
      </c>
      <c r="E266" s="46">
        <f>IFERROR(__xludf.DUMMYFUNCTION("""COMPUTED_VALUE"""),2016.0)</f>
        <v>2016</v>
      </c>
      <c r="F266" s="46">
        <f>IFERROR(__xludf.DUMMYFUNCTION("""COMPUTED_VALUE"""),1.0)</f>
        <v>1</v>
      </c>
      <c r="G266" s="46">
        <f>IFERROR(__xludf.DUMMYFUNCTION("""COMPUTED_VALUE"""),5124.0)</f>
        <v>5124</v>
      </c>
      <c r="H266" s="46">
        <f>IFERROR(__xludf.DUMMYFUNCTION("""COMPUTED_VALUE"""),3424215.48)</f>
        <v>3424215.48</v>
      </c>
      <c r="I266" s="46">
        <f>IFERROR(__xludf.DUMMYFUNCTION("""COMPUTED_VALUE"""),2575014.96)</f>
        <v>2575014.96</v>
      </c>
      <c r="J266" s="46">
        <f>IFERROR(__xludf.DUMMYFUNCTION("""COMPUTED_VALUE"""),849200.52)</f>
        <v>849200.52</v>
      </c>
      <c r="K266" s="46" t="str">
        <f t="array" ref="K266">TEXT(D266, "mmmm")</f>
        <v>January</v>
      </c>
      <c r="M266" s="46" t="str">
        <f>IFERROR(__xludf.DUMMYFUNCTION("""COMPUTED_VALUE"""),"San Marino")</f>
        <v>San Marino</v>
      </c>
      <c r="N266" s="94">
        <f>IFERROR(__xludf.DUMMYFUNCTION("""COMPUTED_VALUE"""),40817.0)</f>
        <v>40817</v>
      </c>
      <c r="O266" s="46">
        <f>IFERROR(__xludf.DUMMYFUNCTION("""COMPUTED_VALUE"""),1.0)</f>
        <v>1</v>
      </c>
      <c r="P266" s="46">
        <f>IFERROR(__xludf.DUMMYFUNCTION("""COMPUTED_VALUE"""),7098.0)</f>
        <v>7098</v>
      </c>
      <c r="Q266" s="46">
        <f>IFERROR(__xludf.DUMMYFUNCTION("""COMPUTED_VALUE"""),775669.4400000001)</f>
        <v>775669.44</v>
      </c>
      <c r="R266" s="46">
        <f>IFERROR(__xludf.DUMMYFUNCTION("""COMPUTED_VALUE"""),254392.32000000004)</f>
        <v>254392.32</v>
      </c>
      <c r="S266" s="46">
        <f>IFERROR(__xludf.DUMMYFUNCTION("""COMPUTED_VALUE"""),521277.12)</f>
        <v>521277.12</v>
      </c>
    </row>
    <row r="267">
      <c r="A267" s="46" t="str">
        <f>IFERROR(__xludf.DUMMYFUNCTION("""COMPUTED_VALUE"""),"Meat")</f>
        <v>Meat</v>
      </c>
      <c r="B267" s="46" t="str">
        <f>IFERROR(__xludf.DUMMYFUNCTION("""COMPUTED_VALUE"""),"Romania")</f>
        <v>Romania</v>
      </c>
      <c r="C267" s="46" t="str">
        <f>IFERROR(__xludf.DUMMYFUNCTION("""COMPUTED_VALUE"""),"Europe")</f>
        <v>Europe</v>
      </c>
      <c r="D267" s="90">
        <f>IFERROR(__xludf.DUMMYFUNCTION("""COMPUTED_VALUE"""),42370.0)</f>
        <v>42370</v>
      </c>
      <c r="E267" s="46">
        <f>IFERROR(__xludf.DUMMYFUNCTION("""COMPUTED_VALUE"""),2016.0)</f>
        <v>2016</v>
      </c>
      <c r="F267" s="46">
        <f>IFERROR(__xludf.DUMMYFUNCTION("""COMPUTED_VALUE"""),1.0)</f>
        <v>1</v>
      </c>
      <c r="G267" s="46">
        <f>IFERROR(__xludf.DUMMYFUNCTION("""COMPUTED_VALUE"""),5873.0)</f>
        <v>5873</v>
      </c>
      <c r="H267" s="46">
        <f>IFERROR(__xludf.DUMMYFUNCTION("""COMPUTED_VALUE"""),2477759.9699999997)</f>
        <v>2477759.97</v>
      </c>
      <c r="I267" s="46">
        <f>IFERROR(__xludf.DUMMYFUNCTION("""COMPUTED_VALUE"""),2141824.37)</f>
        <v>2141824.37</v>
      </c>
      <c r="J267" s="46">
        <f>IFERROR(__xludf.DUMMYFUNCTION("""COMPUTED_VALUE"""),335935.5999999996)</f>
        <v>335935.6</v>
      </c>
      <c r="K267" s="46" t="str">
        <f t="array" ref="K267">TEXT(D267, "mmmm")</f>
        <v>January</v>
      </c>
      <c r="M267" s="46" t="str">
        <f>IFERROR(__xludf.DUMMYFUNCTION("""COMPUTED_VALUE"""),"Spain")</f>
        <v>Spain</v>
      </c>
      <c r="N267" s="94">
        <f>IFERROR(__xludf.DUMMYFUNCTION("""COMPUTED_VALUE"""),40817.0)</f>
        <v>40817</v>
      </c>
      <c r="O267" s="46">
        <f>IFERROR(__xludf.DUMMYFUNCTION("""COMPUTED_VALUE"""),2.0)</f>
        <v>2</v>
      </c>
      <c r="P267" s="46">
        <f>IFERROR(__xludf.DUMMYFUNCTION("""COMPUTED_VALUE"""),16667.0)</f>
        <v>16667</v>
      </c>
      <c r="Q267" s="46">
        <f>IFERROR(__xludf.DUMMYFUNCTION("""COMPUTED_VALUE"""),155503.11)</f>
        <v>155503.11</v>
      </c>
      <c r="R267" s="46">
        <f>IFERROR(__xludf.DUMMYFUNCTION("""COMPUTED_VALUE"""),115335.64)</f>
        <v>115335.64</v>
      </c>
      <c r="S267" s="46">
        <f>IFERROR(__xludf.DUMMYFUNCTION("""COMPUTED_VALUE"""),40167.47)</f>
        <v>40167.47</v>
      </c>
    </row>
    <row r="268">
      <c r="A268" s="46" t="str">
        <f>IFERROR(__xludf.DUMMYFUNCTION("""COMPUTED_VALUE"""),"Office Supplies")</f>
        <v>Office Supplies</v>
      </c>
      <c r="B268" s="46" t="str">
        <f>IFERROR(__xludf.DUMMYFUNCTION("""COMPUTED_VALUE"""),"Belgium")</f>
        <v>Belgium</v>
      </c>
      <c r="C268" s="46" t="str">
        <f>IFERROR(__xludf.DUMMYFUNCTION("""COMPUTED_VALUE"""),"Europe")</f>
        <v>Europe</v>
      </c>
      <c r="D268" s="90">
        <f>IFERROR(__xludf.DUMMYFUNCTION("""COMPUTED_VALUE"""),42370.0)</f>
        <v>42370</v>
      </c>
      <c r="E268" s="46">
        <f>IFERROR(__xludf.DUMMYFUNCTION("""COMPUTED_VALUE"""),2016.0)</f>
        <v>2016</v>
      </c>
      <c r="F268" s="46">
        <f>IFERROR(__xludf.DUMMYFUNCTION("""COMPUTED_VALUE"""),1.0)</f>
        <v>1</v>
      </c>
      <c r="G268" s="46">
        <f>IFERROR(__xludf.DUMMYFUNCTION("""COMPUTED_VALUE"""),9067.0)</f>
        <v>9067</v>
      </c>
      <c r="H268" s="46">
        <f>IFERROR(__xludf.DUMMYFUNCTION("""COMPUTED_VALUE"""),5904521.07)</f>
        <v>5904521.07</v>
      </c>
      <c r="I268" s="46">
        <f>IFERROR(__xludf.DUMMYFUNCTION("""COMPUTED_VALUE"""),4759812.32)</f>
        <v>4759812.32</v>
      </c>
      <c r="J268" s="46">
        <f>IFERROR(__xludf.DUMMYFUNCTION("""COMPUTED_VALUE"""),1144708.75)</f>
        <v>1144708.75</v>
      </c>
      <c r="K268" s="46" t="str">
        <f t="array" ref="K268">TEXT(D268, "mmmm")</f>
        <v>January</v>
      </c>
      <c r="M268" s="46" t="str">
        <f>IFERROR(__xludf.DUMMYFUNCTION("""COMPUTED_VALUE"""),"Ukraine")</f>
        <v>Ukraine</v>
      </c>
      <c r="N268" s="94">
        <f>IFERROR(__xludf.DUMMYFUNCTION("""COMPUTED_VALUE"""),40817.0)</f>
        <v>40817</v>
      </c>
      <c r="O268" s="46">
        <f>IFERROR(__xludf.DUMMYFUNCTION("""COMPUTED_VALUE"""),1.0)</f>
        <v>1</v>
      </c>
      <c r="P268" s="46">
        <f>IFERROR(__xludf.DUMMYFUNCTION("""COMPUTED_VALUE"""),859.0)</f>
        <v>859</v>
      </c>
      <c r="Q268" s="46">
        <f>IFERROR(__xludf.DUMMYFUNCTION("""COMPUTED_VALUE"""),176696.3)</f>
        <v>176696.3</v>
      </c>
      <c r="R268" s="46">
        <f>IFERROR(__xludf.DUMMYFUNCTION("""COMPUTED_VALUE"""),100597.49)</f>
        <v>100597.49</v>
      </c>
      <c r="S268" s="46">
        <f>IFERROR(__xludf.DUMMYFUNCTION("""COMPUTED_VALUE"""),76098.80999999998)</f>
        <v>76098.81</v>
      </c>
    </row>
    <row r="269">
      <c r="A269" s="46" t="str">
        <f>IFERROR(__xludf.DUMMYFUNCTION("""COMPUTED_VALUE"""),"Personal Care")</f>
        <v>Personal Care</v>
      </c>
      <c r="B269" s="46" t="str">
        <f>IFERROR(__xludf.DUMMYFUNCTION("""COMPUTED_VALUE"""),"Ireland")</f>
        <v>Ireland</v>
      </c>
      <c r="C269" s="46" t="str">
        <f>IFERROR(__xludf.DUMMYFUNCTION("""COMPUTED_VALUE"""),"Europe")</f>
        <v>Europe</v>
      </c>
      <c r="D269" s="90">
        <f>IFERROR(__xludf.DUMMYFUNCTION("""COMPUTED_VALUE"""),42370.0)</f>
        <v>42370</v>
      </c>
      <c r="E269" s="46">
        <f>IFERROR(__xludf.DUMMYFUNCTION("""COMPUTED_VALUE"""),2016.0)</f>
        <v>2016</v>
      </c>
      <c r="F269" s="46">
        <f>IFERROR(__xludf.DUMMYFUNCTION("""COMPUTED_VALUE"""),1.0)</f>
        <v>1</v>
      </c>
      <c r="G269" s="46">
        <f>IFERROR(__xludf.DUMMYFUNCTION("""COMPUTED_VALUE"""),1053.0)</f>
        <v>1053</v>
      </c>
      <c r="H269" s="46">
        <f>IFERROR(__xludf.DUMMYFUNCTION("""COMPUTED_VALUE"""),86061.69)</f>
        <v>86061.69</v>
      </c>
      <c r="I269" s="46">
        <f>IFERROR(__xludf.DUMMYFUNCTION("""COMPUTED_VALUE"""),59673.51)</f>
        <v>59673.51</v>
      </c>
      <c r="J269" s="46">
        <f>IFERROR(__xludf.DUMMYFUNCTION("""COMPUTED_VALUE"""),26388.18)</f>
        <v>26388.18</v>
      </c>
      <c r="K269" s="46" t="str">
        <f t="array" ref="K269">TEXT(D269, "mmmm")</f>
        <v>January</v>
      </c>
      <c r="M269" s="46" t="str">
        <f>IFERROR(__xludf.DUMMYFUNCTION("""COMPUTED_VALUE"""),"United Kingdom")</f>
        <v>United Kingdom</v>
      </c>
      <c r="N269" s="94">
        <f>IFERROR(__xludf.DUMMYFUNCTION("""COMPUTED_VALUE"""),40817.0)</f>
        <v>40817</v>
      </c>
      <c r="O269" s="46">
        <f>IFERROR(__xludf.DUMMYFUNCTION("""COMPUTED_VALUE"""),1.0)</f>
        <v>1</v>
      </c>
      <c r="P269" s="46">
        <f>IFERROR(__xludf.DUMMYFUNCTION("""COMPUTED_VALUE"""),5720.0)</f>
        <v>5720</v>
      </c>
      <c r="Q269" s="46">
        <f>IFERROR(__xludf.DUMMYFUNCTION("""COMPUTED_VALUE"""),1176604.0)</f>
        <v>1176604</v>
      </c>
      <c r="R269" s="46">
        <f>IFERROR(__xludf.DUMMYFUNCTION("""COMPUTED_VALUE"""),669869.2)</f>
        <v>669869.2</v>
      </c>
      <c r="S269" s="46">
        <f>IFERROR(__xludf.DUMMYFUNCTION("""COMPUTED_VALUE"""),506734.80000000005)</f>
        <v>506734.8</v>
      </c>
    </row>
    <row r="270">
      <c r="A270" s="46" t="str">
        <f>IFERROR(__xludf.DUMMYFUNCTION("""COMPUTED_VALUE"""),"Personal Care")</f>
        <v>Personal Care</v>
      </c>
      <c r="B270" s="46" t="str">
        <f>IFERROR(__xludf.DUMMYFUNCTION("""COMPUTED_VALUE"""),"Undefined")</f>
        <v>Undefined</v>
      </c>
      <c r="C270" s="46" t="str">
        <f>IFERROR(__xludf.DUMMYFUNCTION("""COMPUTED_VALUE"""),"Undefined")</f>
        <v>Undefined</v>
      </c>
      <c r="D270" s="90">
        <f>IFERROR(__xludf.DUMMYFUNCTION("""COMPUTED_VALUE"""),42370.0)</f>
        <v>42370</v>
      </c>
      <c r="E270" s="46">
        <f>IFERROR(__xludf.DUMMYFUNCTION("""COMPUTED_VALUE"""),2016.0)</f>
        <v>2016</v>
      </c>
      <c r="F270" s="46">
        <f>IFERROR(__xludf.DUMMYFUNCTION("""COMPUTED_VALUE"""),1.0)</f>
        <v>1</v>
      </c>
      <c r="G270" s="46">
        <f>IFERROR(__xludf.DUMMYFUNCTION("""COMPUTED_VALUE"""),8318.0)</f>
        <v>8318</v>
      </c>
      <c r="H270" s="46">
        <f>IFERROR(__xludf.DUMMYFUNCTION("""COMPUTED_VALUE"""),679830.14)</f>
        <v>679830.14</v>
      </c>
      <c r="I270" s="46">
        <f>IFERROR(__xludf.DUMMYFUNCTION("""COMPUTED_VALUE"""),471381.06)</f>
        <v>471381.06</v>
      </c>
      <c r="J270" s="46">
        <f>IFERROR(__xludf.DUMMYFUNCTION("""COMPUTED_VALUE"""),208449.08000000002)</f>
        <v>208449.08</v>
      </c>
      <c r="K270" s="46" t="str">
        <f t="array" ref="K270">TEXT(D270, "mmmm")</f>
        <v>January</v>
      </c>
      <c r="M270" s="46" t="str">
        <f>IFERROR(__xludf.DUMMYFUNCTION("""COMPUTED_VALUE"""),"Cyprus")</f>
        <v>Cyprus</v>
      </c>
      <c r="N270" s="94">
        <f>IFERROR(__xludf.DUMMYFUNCTION("""COMPUTED_VALUE"""),40848.0)</f>
        <v>40848</v>
      </c>
      <c r="O270" s="46">
        <f>IFERROR(__xludf.DUMMYFUNCTION("""COMPUTED_VALUE"""),1.0)</f>
        <v>1</v>
      </c>
      <c r="P270" s="46">
        <f>IFERROR(__xludf.DUMMYFUNCTION("""COMPUTED_VALUE"""),5685.0)</f>
        <v>5685</v>
      </c>
      <c r="Q270" s="46">
        <f>IFERROR(__xludf.DUMMYFUNCTION("""COMPUTED_VALUE"""),53041.05)</f>
        <v>53041.05</v>
      </c>
      <c r="R270" s="46">
        <f>IFERROR(__xludf.DUMMYFUNCTION("""COMPUTED_VALUE"""),39340.2)</f>
        <v>39340.2</v>
      </c>
      <c r="S270" s="46">
        <f>IFERROR(__xludf.DUMMYFUNCTION("""COMPUTED_VALUE"""),13700.850000000006)</f>
        <v>13700.85</v>
      </c>
    </row>
    <row r="271">
      <c r="A271" s="46" t="str">
        <f>IFERROR(__xludf.DUMMYFUNCTION("""COMPUTED_VALUE"""),"Snacks")</f>
        <v>Snacks</v>
      </c>
      <c r="B271" s="46" t="str">
        <f>IFERROR(__xludf.DUMMYFUNCTION("""COMPUTED_VALUE"""),"Belarus")</f>
        <v>Belarus</v>
      </c>
      <c r="C271" s="46" t="str">
        <f>IFERROR(__xludf.DUMMYFUNCTION("""COMPUTED_VALUE"""),"Europe")</f>
        <v>Europe</v>
      </c>
      <c r="D271" s="90">
        <f>IFERROR(__xludf.DUMMYFUNCTION("""COMPUTED_VALUE"""),42370.0)</f>
        <v>42370</v>
      </c>
      <c r="E271" s="46">
        <f>IFERROR(__xludf.DUMMYFUNCTION("""COMPUTED_VALUE"""),2016.0)</f>
        <v>2016</v>
      </c>
      <c r="F271" s="46">
        <f>IFERROR(__xludf.DUMMYFUNCTION("""COMPUTED_VALUE"""),1.0)</f>
        <v>1</v>
      </c>
      <c r="G271" s="46">
        <f>IFERROR(__xludf.DUMMYFUNCTION("""COMPUTED_VALUE"""),2300.0)</f>
        <v>2300</v>
      </c>
      <c r="H271" s="46">
        <f>IFERROR(__xludf.DUMMYFUNCTION("""COMPUTED_VALUE"""),350934.0)</f>
        <v>350934</v>
      </c>
      <c r="I271" s="46">
        <f>IFERROR(__xludf.DUMMYFUNCTION("""COMPUTED_VALUE"""),224112.0)</f>
        <v>224112</v>
      </c>
      <c r="J271" s="46">
        <f>IFERROR(__xludf.DUMMYFUNCTION("""COMPUTED_VALUE"""),126822.0)</f>
        <v>126822</v>
      </c>
      <c r="K271" s="46" t="str">
        <f t="array" ref="K271">TEXT(D271, "mmmm")</f>
        <v>January</v>
      </c>
      <c r="M271" s="46" t="str">
        <f>IFERROR(__xludf.DUMMYFUNCTION("""COMPUTED_VALUE"""),"Denmark")</f>
        <v>Denmark</v>
      </c>
      <c r="N271" s="94">
        <f>IFERROR(__xludf.DUMMYFUNCTION("""COMPUTED_VALUE"""),40848.0)</f>
        <v>40848</v>
      </c>
      <c r="O271" s="46">
        <f>IFERROR(__xludf.DUMMYFUNCTION("""COMPUTED_VALUE"""),1.0)</f>
        <v>1</v>
      </c>
      <c r="P271" s="46">
        <f>IFERROR(__xludf.DUMMYFUNCTION("""COMPUTED_VALUE"""),606.0)</f>
        <v>606</v>
      </c>
      <c r="Q271" s="46">
        <f>IFERROR(__xludf.DUMMYFUNCTION("""COMPUTED_VALUE"""),255665.34)</f>
        <v>255665.34</v>
      </c>
      <c r="R271" s="46">
        <f>IFERROR(__xludf.DUMMYFUNCTION("""COMPUTED_VALUE"""),221002.13999999998)</f>
        <v>221002.14</v>
      </c>
      <c r="S271" s="46">
        <f>IFERROR(__xludf.DUMMYFUNCTION("""COMPUTED_VALUE"""),34663.20000000001)</f>
        <v>34663.2</v>
      </c>
    </row>
    <row r="272">
      <c r="A272" s="46" t="str">
        <f>IFERROR(__xludf.DUMMYFUNCTION("""COMPUTED_VALUE"""),"Snacks")</f>
        <v>Snacks</v>
      </c>
      <c r="B272" s="46" t="str">
        <f>IFERROR(__xludf.DUMMYFUNCTION("""COMPUTED_VALUE"""),"Ukraine")</f>
        <v>Ukraine</v>
      </c>
      <c r="C272" s="46" t="str">
        <f>IFERROR(__xludf.DUMMYFUNCTION("""COMPUTED_VALUE"""),"Europe")</f>
        <v>Europe</v>
      </c>
      <c r="D272" s="90">
        <f>IFERROR(__xludf.DUMMYFUNCTION("""COMPUTED_VALUE"""),42370.0)</f>
        <v>42370</v>
      </c>
      <c r="E272" s="46">
        <f>IFERROR(__xludf.DUMMYFUNCTION("""COMPUTED_VALUE"""),2016.0)</f>
        <v>2016</v>
      </c>
      <c r="F272" s="46">
        <f>IFERROR(__xludf.DUMMYFUNCTION("""COMPUTED_VALUE"""),1.0)</f>
        <v>1</v>
      </c>
      <c r="G272" s="46">
        <f>IFERROR(__xludf.DUMMYFUNCTION("""COMPUTED_VALUE"""),1443.0)</f>
        <v>1443</v>
      </c>
      <c r="H272" s="46">
        <f>IFERROR(__xludf.DUMMYFUNCTION("""COMPUTED_VALUE"""),220172.94000000003)</f>
        <v>220172.94</v>
      </c>
      <c r="I272" s="46">
        <f>IFERROR(__xludf.DUMMYFUNCTION("""COMPUTED_VALUE"""),140605.91999999998)</f>
        <v>140605.92</v>
      </c>
      <c r="J272" s="46">
        <f>IFERROR(__xludf.DUMMYFUNCTION("""COMPUTED_VALUE"""),79567.02000000005)</f>
        <v>79567.02</v>
      </c>
      <c r="K272" s="46" t="str">
        <f t="array" ref="K272">TEXT(D272, "mmmm")</f>
        <v>January</v>
      </c>
      <c r="M272" s="46" t="str">
        <f>IFERROR(__xludf.DUMMYFUNCTION("""COMPUTED_VALUE"""),"Finland")</f>
        <v>Finland</v>
      </c>
      <c r="N272" s="94">
        <f>IFERROR(__xludf.DUMMYFUNCTION("""COMPUTED_VALUE"""),40848.0)</f>
        <v>40848</v>
      </c>
      <c r="O272" s="46">
        <f>IFERROR(__xludf.DUMMYFUNCTION("""COMPUTED_VALUE"""),1.0)</f>
        <v>1</v>
      </c>
      <c r="P272" s="46">
        <f>IFERROR(__xludf.DUMMYFUNCTION("""COMPUTED_VALUE"""),5201.0)</f>
        <v>5201</v>
      </c>
      <c r="Q272" s="46">
        <f>IFERROR(__xludf.DUMMYFUNCTION("""COMPUTED_VALUE"""),3386943.21)</f>
        <v>3386943.21</v>
      </c>
      <c r="R272" s="46">
        <f>IFERROR(__xludf.DUMMYFUNCTION("""COMPUTED_VALUE"""),2730316.96)</f>
        <v>2730316.96</v>
      </c>
      <c r="S272" s="46">
        <f>IFERROR(__xludf.DUMMYFUNCTION("""COMPUTED_VALUE"""),656626.25)</f>
        <v>656626.25</v>
      </c>
    </row>
    <row r="273">
      <c r="A273" s="46" t="str">
        <f>IFERROR(__xludf.DUMMYFUNCTION("""COMPUTED_VALUE"""),"Snacks")</f>
        <v>Snacks</v>
      </c>
      <c r="B273" s="46" t="str">
        <f>IFERROR(__xludf.DUMMYFUNCTION("""COMPUTED_VALUE"""),"Undefined")</f>
        <v>Undefined</v>
      </c>
      <c r="C273" s="46" t="str">
        <f>IFERROR(__xludf.DUMMYFUNCTION("""COMPUTED_VALUE"""),"Undefined")</f>
        <v>Undefined</v>
      </c>
      <c r="D273" s="90">
        <f>IFERROR(__xludf.DUMMYFUNCTION("""COMPUTED_VALUE"""),42370.0)</f>
        <v>42370</v>
      </c>
      <c r="E273" s="46">
        <f>IFERROR(__xludf.DUMMYFUNCTION("""COMPUTED_VALUE"""),2016.0)</f>
        <v>2016</v>
      </c>
      <c r="F273" s="46">
        <f>IFERROR(__xludf.DUMMYFUNCTION("""COMPUTED_VALUE"""),1.0)</f>
        <v>1</v>
      </c>
      <c r="G273" s="46">
        <f>IFERROR(__xludf.DUMMYFUNCTION("""COMPUTED_VALUE"""),5260.0)</f>
        <v>5260</v>
      </c>
      <c r="H273" s="46">
        <f>IFERROR(__xludf.DUMMYFUNCTION("""COMPUTED_VALUE"""),802570.8)</f>
        <v>802570.8</v>
      </c>
      <c r="I273" s="46">
        <f>IFERROR(__xludf.DUMMYFUNCTION("""COMPUTED_VALUE"""),512534.39999999997)</f>
        <v>512534.4</v>
      </c>
      <c r="J273" s="46">
        <f>IFERROR(__xludf.DUMMYFUNCTION("""COMPUTED_VALUE"""),290036.4000000001)</f>
        <v>290036.4</v>
      </c>
      <c r="K273" s="46" t="str">
        <f t="array" ref="K273">TEXT(D273, "mmmm")</f>
        <v>January</v>
      </c>
      <c r="M273" s="46" t="str">
        <f>IFERROR(__xludf.DUMMYFUNCTION("""COMPUTED_VALUE"""),"Liechtenstein")</f>
        <v>Liechtenstein</v>
      </c>
      <c r="N273" s="94">
        <f>IFERROR(__xludf.DUMMYFUNCTION("""COMPUTED_VALUE"""),40848.0)</f>
        <v>40848</v>
      </c>
      <c r="O273" s="46">
        <f>IFERROR(__xludf.DUMMYFUNCTION("""COMPUTED_VALUE"""),1.0)</f>
        <v>1</v>
      </c>
      <c r="P273" s="46">
        <f>IFERROR(__xludf.DUMMYFUNCTION("""COMPUTED_VALUE"""),192.0)</f>
        <v>192</v>
      </c>
      <c r="Q273" s="46">
        <f>IFERROR(__xludf.DUMMYFUNCTION("""COMPUTED_VALUE"""),29579.52)</f>
        <v>29579.52</v>
      </c>
      <c r="R273" s="46">
        <f>IFERROR(__xludf.DUMMYFUNCTION("""COMPUTED_VALUE"""),17458.56)</f>
        <v>17458.56</v>
      </c>
      <c r="S273" s="46">
        <f>IFERROR(__xludf.DUMMYFUNCTION("""COMPUTED_VALUE"""),12120.96)</f>
        <v>12120.96</v>
      </c>
    </row>
    <row r="274">
      <c r="A274" s="46" t="str">
        <f>IFERROR(__xludf.DUMMYFUNCTION("""COMPUTED_VALUE"""),"Vegetables")</f>
        <v>Vegetables</v>
      </c>
      <c r="B274" s="46" t="str">
        <f>IFERROR(__xludf.DUMMYFUNCTION("""COMPUTED_VALUE"""),"San Marino")</f>
        <v>San Marino</v>
      </c>
      <c r="C274" s="46" t="str">
        <f>IFERROR(__xludf.DUMMYFUNCTION("""COMPUTED_VALUE"""),"Europe")</f>
        <v>Europe</v>
      </c>
      <c r="D274" s="90">
        <f>IFERROR(__xludf.DUMMYFUNCTION("""COMPUTED_VALUE"""),42370.0)</f>
        <v>42370</v>
      </c>
      <c r="E274" s="46">
        <f>IFERROR(__xludf.DUMMYFUNCTION("""COMPUTED_VALUE"""),2016.0)</f>
        <v>2016</v>
      </c>
      <c r="F274" s="46">
        <f>IFERROR(__xludf.DUMMYFUNCTION("""COMPUTED_VALUE"""),1.0)</f>
        <v>1</v>
      </c>
      <c r="G274" s="46">
        <f>IFERROR(__xludf.DUMMYFUNCTION("""COMPUTED_VALUE"""),492.0)</f>
        <v>492</v>
      </c>
      <c r="H274" s="46">
        <f>IFERROR(__xludf.DUMMYFUNCTION("""COMPUTED_VALUE"""),75797.52)</f>
        <v>75797.52</v>
      </c>
      <c r="I274" s="46">
        <f>IFERROR(__xludf.DUMMYFUNCTION("""COMPUTED_VALUE"""),44737.560000000005)</f>
        <v>44737.56</v>
      </c>
      <c r="J274" s="46">
        <f>IFERROR(__xludf.DUMMYFUNCTION("""COMPUTED_VALUE"""),31059.96)</f>
        <v>31059.96</v>
      </c>
      <c r="K274" s="46" t="str">
        <f t="array" ref="K274">TEXT(D274, "mmmm")</f>
        <v>January</v>
      </c>
      <c r="M274" s="46" t="str">
        <f>IFERROR(__xludf.DUMMYFUNCTION("""COMPUTED_VALUE"""),"Montenegro")</f>
        <v>Montenegro</v>
      </c>
      <c r="N274" s="94">
        <f>IFERROR(__xludf.DUMMYFUNCTION("""COMPUTED_VALUE"""),40848.0)</f>
        <v>40848</v>
      </c>
      <c r="O274" s="46">
        <f>IFERROR(__xludf.DUMMYFUNCTION("""COMPUTED_VALUE"""),1.0)</f>
        <v>1</v>
      </c>
      <c r="P274" s="46">
        <f>IFERROR(__xludf.DUMMYFUNCTION("""COMPUTED_VALUE"""),7547.0)</f>
        <v>7547</v>
      </c>
      <c r="Q274" s="46">
        <f>IFERROR(__xludf.DUMMYFUNCTION("""COMPUTED_VALUE"""),824736.16)</f>
        <v>824736.16</v>
      </c>
      <c r="R274" s="46">
        <f>IFERROR(__xludf.DUMMYFUNCTION("""COMPUTED_VALUE"""),270484.48000000004)</f>
        <v>270484.48</v>
      </c>
      <c r="S274" s="46">
        <f>IFERROR(__xludf.DUMMYFUNCTION("""COMPUTED_VALUE"""),554251.6799999999)</f>
        <v>554251.68</v>
      </c>
    </row>
    <row r="275">
      <c r="A275" s="46" t="str">
        <f>IFERROR(__xludf.DUMMYFUNCTION("""COMPUTED_VALUE"""),"Vegetables")</f>
        <v>Vegetables</v>
      </c>
      <c r="B275" s="46" t="str">
        <f>IFERROR(__xludf.DUMMYFUNCTION("""COMPUTED_VALUE"""),"Undefined")</f>
        <v>Undefined</v>
      </c>
      <c r="C275" s="46" t="str">
        <f>IFERROR(__xludf.DUMMYFUNCTION("""COMPUTED_VALUE"""),"Undefined")</f>
        <v>Undefined</v>
      </c>
      <c r="D275" s="90">
        <f>IFERROR(__xludf.DUMMYFUNCTION("""COMPUTED_VALUE"""),42370.0)</f>
        <v>42370</v>
      </c>
      <c r="E275" s="46">
        <f>IFERROR(__xludf.DUMMYFUNCTION("""COMPUTED_VALUE"""),2016.0)</f>
        <v>2016</v>
      </c>
      <c r="F275" s="46">
        <f>IFERROR(__xludf.DUMMYFUNCTION("""COMPUTED_VALUE"""),1.0)</f>
        <v>1</v>
      </c>
      <c r="G275" s="46">
        <f>IFERROR(__xludf.DUMMYFUNCTION("""COMPUTED_VALUE"""),5037.0)</f>
        <v>5037</v>
      </c>
      <c r="H275" s="46">
        <f>IFERROR(__xludf.DUMMYFUNCTION("""COMPUTED_VALUE"""),776000.22)</f>
        <v>776000.22</v>
      </c>
      <c r="I275" s="46">
        <f>IFERROR(__xludf.DUMMYFUNCTION("""COMPUTED_VALUE"""),458014.41000000003)</f>
        <v>458014.41</v>
      </c>
      <c r="J275" s="46">
        <f>IFERROR(__xludf.DUMMYFUNCTION("""COMPUTED_VALUE"""),317985.80999999994)</f>
        <v>317985.81</v>
      </c>
      <c r="K275" s="46" t="str">
        <f t="array" ref="K275">TEXT(D275, "mmmm")</f>
        <v>January</v>
      </c>
      <c r="M275" s="46" t="str">
        <f>IFERROR(__xludf.DUMMYFUNCTION("""COMPUTED_VALUE"""),"Portugal")</f>
        <v>Portugal</v>
      </c>
      <c r="N275" s="94">
        <f>IFERROR(__xludf.DUMMYFUNCTION("""COMPUTED_VALUE"""),40848.0)</f>
        <v>40848</v>
      </c>
      <c r="O275" s="46">
        <f>IFERROR(__xludf.DUMMYFUNCTION("""COMPUTED_VALUE"""),1.0)</f>
        <v>1</v>
      </c>
      <c r="P275" s="46">
        <f>IFERROR(__xludf.DUMMYFUNCTION("""COMPUTED_VALUE"""),8994.0)</f>
        <v>8994</v>
      </c>
      <c r="Q275" s="46">
        <f>IFERROR(__xludf.DUMMYFUNCTION("""COMPUTED_VALUE"""),3794478.6599999997)</f>
        <v>3794478.66</v>
      </c>
      <c r="R275" s="46">
        <f>IFERROR(__xludf.DUMMYFUNCTION("""COMPUTED_VALUE"""),3280021.86)</f>
        <v>3280021.86</v>
      </c>
      <c r="S275" s="46">
        <f>IFERROR(__xludf.DUMMYFUNCTION("""COMPUTED_VALUE"""),514456.7999999998)</f>
        <v>514456.8</v>
      </c>
    </row>
    <row r="276">
      <c r="A276" s="46" t="str">
        <f>IFERROR(__xludf.DUMMYFUNCTION("""COMPUTED_VALUE"""),"Beverages")</f>
        <v>Beverages</v>
      </c>
      <c r="B276" s="46" t="str">
        <f>IFERROR(__xludf.DUMMYFUNCTION("""COMPUTED_VALUE"""),"Macedonia")</f>
        <v>Macedonia</v>
      </c>
      <c r="C276" s="46" t="str">
        <f>IFERROR(__xludf.DUMMYFUNCTION("""COMPUTED_VALUE"""),"Europe")</f>
        <v>Europe</v>
      </c>
      <c r="D276" s="90">
        <f>IFERROR(__xludf.DUMMYFUNCTION("""COMPUTED_VALUE"""),42339.0)</f>
        <v>42339</v>
      </c>
      <c r="E276" s="46">
        <f>IFERROR(__xludf.DUMMYFUNCTION("""COMPUTED_VALUE"""),2015.0)</f>
        <v>2015</v>
      </c>
      <c r="F276" s="46">
        <f>IFERROR(__xludf.DUMMYFUNCTION("""COMPUTED_VALUE"""),1.0)</f>
        <v>1</v>
      </c>
      <c r="G276" s="46">
        <f>IFERROR(__xludf.DUMMYFUNCTION("""COMPUTED_VALUE"""),1194.0)</f>
        <v>1194</v>
      </c>
      <c r="H276" s="46">
        <f>IFERROR(__xludf.DUMMYFUNCTION("""COMPUTED_VALUE"""),56655.3)</f>
        <v>56655.3</v>
      </c>
      <c r="I276" s="46">
        <f>IFERROR(__xludf.DUMMYFUNCTION("""COMPUTED_VALUE"""),37957.26)</f>
        <v>37957.26</v>
      </c>
      <c r="J276" s="46">
        <f>IFERROR(__xludf.DUMMYFUNCTION("""COMPUTED_VALUE"""),18698.04)</f>
        <v>18698.04</v>
      </c>
      <c r="K276" s="46" t="str">
        <f t="array" ref="K276">TEXT(D276, "mmmm")</f>
        <v>December</v>
      </c>
      <c r="M276" s="46" t="str">
        <f>IFERROR(__xludf.DUMMYFUNCTION("""COMPUTED_VALUE"""),"Russia")</f>
        <v>Russia</v>
      </c>
      <c r="N276" s="94">
        <f>IFERROR(__xludf.DUMMYFUNCTION("""COMPUTED_VALUE"""),40848.0)</f>
        <v>40848</v>
      </c>
      <c r="O276" s="46">
        <f>IFERROR(__xludf.DUMMYFUNCTION("""COMPUTED_VALUE"""),1.0)</f>
        <v>1</v>
      </c>
      <c r="P276" s="46">
        <f>IFERROR(__xludf.DUMMYFUNCTION("""COMPUTED_VALUE"""),344.0)</f>
        <v>344</v>
      </c>
      <c r="Q276" s="46">
        <f>IFERROR(__xludf.DUMMYFUNCTION("""COMPUTED_VALUE"""),28115.120000000003)</f>
        <v>28115.12</v>
      </c>
      <c r="R276" s="46">
        <f>IFERROR(__xludf.DUMMYFUNCTION("""COMPUTED_VALUE"""),19494.48)</f>
        <v>19494.48</v>
      </c>
      <c r="S276" s="46">
        <f>IFERROR(__xludf.DUMMYFUNCTION("""COMPUTED_VALUE"""),8620.640000000003)</f>
        <v>8620.64</v>
      </c>
    </row>
    <row r="277">
      <c r="A277" s="46" t="str">
        <f>IFERROR(__xludf.DUMMYFUNCTION("""COMPUTED_VALUE"""),"Beverages")</f>
        <v>Beverages</v>
      </c>
      <c r="B277" s="46" t="str">
        <f>IFERROR(__xludf.DUMMYFUNCTION("""COMPUTED_VALUE"""),"Undefined")</f>
        <v>Undefined</v>
      </c>
      <c r="C277" s="46" t="str">
        <f>IFERROR(__xludf.DUMMYFUNCTION("""COMPUTED_VALUE"""),"Undefined")</f>
        <v>Undefined</v>
      </c>
      <c r="D277" s="90">
        <f>IFERROR(__xludf.DUMMYFUNCTION("""COMPUTED_VALUE"""),42339.0)</f>
        <v>42339</v>
      </c>
      <c r="E277" s="46">
        <f>IFERROR(__xludf.DUMMYFUNCTION("""COMPUTED_VALUE"""),2015.0)</f>
        <v>2015</v>
      </c>
      <c r="F277" s="46">
        <f>IFERROR(__xludf.DUMMYFUNCTION("""COMPUTED_VALUE"""),1.0)</f>
        <v>1</v>
      </c>
      <c r="G277" s="46">
        <f>IFERROR(__xludf.DUMMYFUNCTION("""COMPUTED_VALUE"""),3348.0)</f>
        <v>3348</v>
      </c>
      <c r="H277" s="46">
        <f>IFERROR(__xludf.DUMMYFUNCTION("""COMPUTED_VALUE"""),158862.6)</f>
        <v>158862.6</v>
      </c>
      <c r="I277" s="46">
        <f>IFERROR(__xludf.DUMMYFUNCTION("""COMPUTED_VALUE"""),106432.92)</f>
        <v>106432.92</v>
      </c>
      <c r="J277" s="46">
        <f>IFERROR(__xludf.DUMMYFUNCTION("""COMPUTED_VALUE"""),52429.68000000001)</f>
        <v>52429.68</v>
      </c>
      <c r="K277" s="46" t="str">
        <f t="array" ref="K277">TEXT(D277, "mmmm")</f>
        <v>December</v>
      </c>
      <c r="M277" s="46" t="str">
        <f>IFERROR(__xludf.DUMMYFUNCTION("""COMPUTED_VALUE"""),"Slovakia")</f>
        <v>Slovakia</v>
      </c>
      <c r="N277" s="94">
        <f>IFERROR(__xludf.DUMMYFUNCTION("""COMPUTED_VALUE"""),40848.0)</f>
        <v>40848</v>
      </c>
      <c r="O277" s="46">
        <f>IFERROR(__xludf.DUMMYFUNCTION("""COMPUTED_VALUE"""),1.0)</f>
        <v>1</v>
      </c>
      <c r="P277" s="46">
        <f>IFERROR(__xludf.DUMMYFUNCTION("""COMPUTED_VALUE"""),5036.0)</f>
        <v>5036</v>
      </c>
      <c r="Q277" s="46">
        <f>IFERROR(__xludf.DUMMYFUNCTION("""COMPUTED_VALUE"""),2201739.1999999997)</f>
        <v>2201739.2</v>
      </c>
      <c r="R277" s="46">
        <f>IFERROR(__xludf.DUMMYFUNCTION("""COMPUTED_VALUE"""),1326129.88)</f>
        <v>1326129.88</v>
      </c>
      <c r="S277" s="46">
        <f>IFERROR(__xludf.DUMMYFUNCTION("""COMPUTED_VALUE"""),875609.3199999998)</f>
        <v>875609.32</v>
      </c>
    </row>
    <row r="278">
      <c r="A278" s="46" t="str">
        <f>IFERROR(__xludf.DUMMYFUNCTION("""COMPUTED_VALUE"""),"Cereal")</f>
        <v>Cereal</v>
      </c>
      <c r="B278" s="46" t="str">
        <f>IFERROR(__xludf.DUMMYFUNCTION("""COMPUTED_VALUE"""),"Austria")</f>
        <v>Austria</v>
      </c>
      <c r="C278" s="46" t="str">
        <f>IFERROR(__xludf.DUMMYFUNCTION("""COMPUTED_VALUE"""),"Europe")</f>
        <v>Europe</v>
      </c>
      <c r="D278" s="90">
        <f>IFERROR(__xludf.DUMMYFUNCTION("""COMPUTED_VALUE"""),42339.0)</f>
        <v>42339</v>
      </c>
      <c r="E278" s="46">
        <f>IFERROR(__xludf.DUMMYFUNCTION("""COMPUTED_VALUE"""),2015.0)</f>
        <v>2015</v>
      </c>
      <c r="F278" s="46">
        <f>IFERROR(__xludf.DUMMYFUNCTION("""COMPUTED_VALUE"""),1.0)</f>
        <v>1</v>
      </c>
      <c r="G278" s="46">
        <f>IFERROR(__xludf.DUMMYFUNCTION("""COMPUTED_VALUE"""),8609.0)</f>
        <v>8609</v>
      </c>
      <c r="H278" s="46">
        <f>IFERROR(__xludf.DUMMYFUNCTION("""COMPUTED_VALUE"""),1770871.2999999998)</f>
        <v>1770871.3</v>
      </c>
      <c r="I278" s="46">
        <f>IFERROR(__xludf.DUMMYFUNCTION("""COMPUTED_VALUE"""),1008199.99)</f>
        <v>1008199.99</v>
      </c>
      <c r="J278" s="46">
        <f>IFERROR(__xludf.DUMMYFUNCTION("""COMPUTED_VALUE"""),762671.3099999998)</f>
        <v>762671.31</v>
      </c>
      <c r="K278" s="46" t="str">
        <f t="array" ref="K278">TEXT(D278, "mmmm")</f>
        <v>December</v>
      </c>
      <c r="M278" s="46" t="str">
        <f>IFERROR(__xludf.DUMMYFUNCTION("""COMPUTED_VALUE"""),"Spain")</f>
        <v>Spain</v>
      </c>
      <c r="N278" s="94">
        <f>IFERROR(__xludf.DUMMYFUNCTION("""COMPUTED_VALUE"""),40848.0)</f>
        <v>40848</v>
      </c>
      <c r="O278" s="46">
        <f>IFERROR(__xludf.DUMMYFUNCTION("""COMPUTED_VALUE"""),2.0)</f>
        <v>2</v>
      </c>
      <c r="P278" s="46">
        <f>IFERROR(__xludf.DUMMYFUNCTION("""COMPUTED_VALUE"""),12120.0)</f>
        <v>12120</v>
      </c>
      <c r="Q278" s="46">
        <f>IFERROR(__xludf.DUMMYFUNCTION("""COMPUTED_VALUE"""),3929766.03)</f>
        <v>3929766.03</v>
      </c>
      <c r="R278" s="46">
        <f>IFERROR(__xludf.DUMMYFUNCTION("""COMPUTED_VALUE"""),3210297.36)</f>
        <v>3210297.36</v>
      </c>
      <c r="S278" s="46">
        <f>IFERROR(__xludf.DUMMYFUNCTION("""COMPUTED_VALUE"""),719468.6699999997)</f>
        <v>719468.67</v>
      </c>
    </row>
    <row r="279">
      <c r="A279" s="46" t="str">
        <f>IFERROR(__xludf.DUMMYFUNCTION("""COMPUTED_VALUE"""),"Cereal")</f>
        <v>Cereal</v>
      </c>
      <c r="B279" s="46" t="str">
        <f>IFERROR(__xludf.DUMMYFUNCTION("""COMPUTED_VALUE"""),"Ukraine")</f>
        <v>Ukraine</v>
      </c>
      <c r="C279" s="46" t="str">
        <f>IFERROR(__xludf.DUMMYFUNCTION("""COMPUTED_VALUE"""),"Europe")</f>
        <v>Europe</v>
      </c>
      <c r="D279" s="90">
        <f>IFERROR(__xludf.DUMMYFUNCTION("""COMPUTED_VALUE"""),42339.0)</f>
        <v>42339</v>
      </c>
      <c r="E279" s="46">
        <f>IFERROR(__xludf.DUMMYFUNCTION("""COMPUTED_VALUE"""),2015.0)</f>
        <v>2015</v>
      </c>
      <c r="F279" s="46">
        <f>IFERROR(__xludf.DUMMYFUNCTION("""COMPUTED_VALUE"""),1.0)</f>
        <v>1</v>
      </c>
      <c r="G279" s="46">
        <f>IFERROR(__xludf.DUMMYFUNCTION("""COMPUTED_VALUE"""),959.0)</f>
        <v>959</v>
      </c>
      <c r="H279" s="46">
        <f>IFERROR(__xludf.DUMMYFUNCTION("""COMPUTED_VALUE"""),197266.3)</f>
        <v>197266.3</v>
      </c>
      <c r="I279" s="46">
        <f>IFERROR(__xludf.DUMMYFUNCTION("""COMPUTED_VALUE"""),112308.49)</f>
        <v>112308.49</v>
      </c>
      <c r="J279" s="46">
        <f>IFERROR(__xludf.DUMMYFUNCTION("""COMPUTED_VALUE"""),84957.80999999998)</f>
        <v>84957.81</v>
      </c>
      <c r="K279" s="46" t="str">
        <f t="array" ref="K279">TEXT(D279, "mmmm")</f>
        <v>December</v>
      </c>
      <c r="M279" s="46" t="str">
        <f>IFERROR(__xludf.DUMMYFUNCTION("""COMPUTED_VALUE"""),"Ukraine")</f>
        <v>Ukraine</v>
      </c>
      <c r="N279" s="94">
        <f>IFERROR(__xludf.DUMMYFUNCTION("""COMPUTED_VALUE"""),40848.0)</f>
        <v>40848</v>
      </c>
      <c r="O279" s="46">
        <f>IFERROR(__xludf.DUMMYFUNCTION("""COMPUTED_VALUE"""),1.0)</f>
        <v>1</v>
      </c>
      <c r="P279" s="46">
        <f>IFERROR(__xludf.DUMMYFUNCTION("""COMPUTED_VALUE"""),5794.0)</f>
        <v>5794</v>
      </c>
      <c r="Q279" s="46">
        <f>IFERROR(__xludf.DUMMYFUNCTION("""COMPUTED_VALUE"""),892623.64)</f>
        <v>892623.64</v>
      </c>
      <c r="R279" s="46">
        <f>IFERROR(__xludf.DUMMYFUNCTION("""COMPUTED_VALUE"""),526848.42)</f>
        <v>526848.42</v>
      </c>
      <c r="S279" s="46">
        <f>IFERROR(__xludf.DUMMYFUNCTION("""COMPUTED_VALUE"""),365775.22)</f>
        <v>365775.22</v>
      </c>
    </row>
    <row r="280">
      <c r="A280" s="46" t="str">
        <f>IFERROR(__xludf.DUMMYFUNCTION("""COMPUTED_VALUE"""),"Clothes")</f>
        <v>Clothes</v>
      </c>
      <c r="B280" s="46" t="str">
        <f>IFERROR(__xludf.DUMMYFUNCTION("""COMPUTED_VALUE"""),"Austria")</f>
        <v>Austria</v>
      </c>
      <c r="C280" s="46" t="str">
        <f>IFERROR(__xludf.DUMMYFUNCTION("""COMPUTED_VALUE"""),"Europe")</f>
        <v>Europe</v>
      </c>
      <c r="D280" s="90">
        <f>IFERROR(__xludf.DUMMYFUNCTION("""COMPUTED_VALUE"""),42339.0)</f>
        <v>42339</v>
      </c>
      <c r="E280" s="46">
        <f>IFERROR(__xludf.DUMMYFUNCTION("""COMPUTED_VALUE"""),2015.0)</f>
        <v>2015</v>
      </c>
      <c r="F280" s="46">
        <f>IFERROR(__xludf.DUMMYFUNCTION("""COMPUTED_VALUE"""),1.0)</f>
        <v>1</v>
      </c>
      <c r="G280" s="46">
        <f>IFERROR(__xludf.DUMMYFUNCTION("""COMPUTED_VALUE"""),2457.0)</f>
        <v>2457</v>
      </c>
      <c r="H280" s="46">
        <f>IFERROR(__xludf.DUMMYFUNCTION("""COMPUTED_VALUE"""),268500.96)</f>
        <v>268500.96</v>
      </c>
      <c r="I280" s="46">
        <f>IFERROR(__xludf.DUMMYFUNCTION("""COMPUTED_VALUE"""),88058.88)</f>
        <v>88058.88</v>
      </c>
      <c r="J280" s="46">
        <f>IFERROR(__xludf.DUMMYFUNCTION("""COMPUTED_VALUE"""),180442.08000000002)</f>
        <v>180442.08</v>
      </c>
      <c r="K280" s="46" t="str">
        <f t="array" ref="K280">TEXT(D280, "mmmm")</f>
        <v>December</v>
      </c>
      <c r="M280" s="46" t="str">
        <f>IFERROR(__xludf.DUMMYFUNCTION("""COMPUTED_VALUE"""),"Undefined")</f>
        <v>Undefined</v>
      </c>
      <c r="N280" s="94">
        <f>IFERROR(__xludf.DUMMYFUNCTION("""COMPUTED_VALUE"""),40848.0)</f>
        <v>40848</v>
      </c>
      <c r="O280" s="46">
        <f>IFERROR(__xludf.DUMMYFUNCTION("""COMPUTED_VALUE"""),3.0)</f>
        <v>3</v>
      </c>
      <c r="P280" s="46">
        <f>IFERROR(__xludf.DUMMYFUNCTION("""COMPUTED_VALUE"""),7965.0)</f>
        <v>7965</v>
      </c>
      <c r="Q280" s="46">
        <f>IFERROR(__xludf.DUMMYFUNCTION("""COMPUTED_VALUE"""),715091.6300000001)</f>
        <v>715091.63</v>
      </c>
      <c r="R280" s="46">
        <f>IFERROR(__xludf.DUMMYFUNCTION("""COMPUTED_VALUE"""),467812.2)</f>
        <v>467812.2</v>
      </c>
      <c r="S280" s="46">
        <f>IFERROR(__xludf.DUMMYFUNCTION("""COMPUTED_VALUE"""),247279.43000000005)</f>
        <v>247279.43</v>
      </c>
    </row>
    <row r="281">
      <c r="A281" s="46" t="str">
        <f>IFERROR(__xludf.DUMMYFUNCTION("""COMPUTED_VALUE"""),"Household")</f>
        <v>Household</v>
      </c>
      <c r="B281" s="46" t="str">
        <f>IFERROR(__xludf.DUMMYFUNCTION("""COMPUTED_VALUE"""),"San Marino")</f>
        <v>San Marino</v>
      </c>
      <c r="C281" s="46" t="str">
        <f>IFERROR(__xludf.DUMMYFUNCTION("""COMPUTED_VALUE"""),"Europe")</f>
        <v>Europe</v>
      </c>
      <c r="D281" s="90">
        <f>IFERROR(__xludf.DUMMYFUNCTION("""COMPUTED_VALUE"""),42339.0)</f>
        <v>42339</v>
      </c>
      <c r="E281" s="46">
        <f>IFERROR(__xludf.DUMMYFUNCTION("""COMPUTED_VALUE"""),2015.0)</f>
        <v>2015</v>
      </c>
      <c r="F281" s="46">
        <f>IFERROR(__xludf.DUMMYFUNCTION("""COMPUTED_VALUE"""),1.0)</f>
        <v>1</v>
      </c>
      <c r="G281" s="46">
        <f>IFERROR(__xludf.DUMMYFUNCTION("""COMPUTED_VALUE"""),9985.0)</f>
        <v>9985</v>
      </c>
      <c r="H281" s="46">
        <f>IFERROR(__xludf.DUMMYFUNCTION("""COMPUTED_VALUE"""),6672675.95)</f>
        <v>6672675.95</v>
      </c>
      <c r="I281" s="46">
        <f>IFERROR(__xludf.DUMMYFUNCTION("""COMPUTED_VALUE"""),5017861.9)</f>
        <v>5017861.9</v>
      </c>
      <c r="J281" s="46">
        <f>IFERROR(__xludf.DUMMYFUNCTION("""COMPUTED_VALUE"""),1654814.0499999998)</f>
        <v>1654814.05</v>
      </c>
      <c r="K281" s="46" t="str">
        <f t="array" ref="K281">TEXT(D281, "mmmm")</f>
        <v>December</v>
      </c>
      <c r="M281" s="46" t="str">
        <f>IFERROR(__xludf.DUMMYFUNCTION("""COMPUTED_VALUE"""),"Belgium")</f>
        <v>Belgium</v>
      </c>
      <c r="N281" s="94">
        <f>IFERROR(__xludf.DUMMYFUNCTION("""COMPUTED_VALUE"""),40878.0)</f>
        <v>40878</v>
      </c>
      <c r="O281" s="46">
        <f>IFERROR(__xludf.DUMMYFUNCTION("""COMPUTED_VALUE"""),1.0)</f>
        <v>1</v>
      </c>
      <c r="P281" s="46">
        <f>IFERROR(__xludf.DUMMYFUNCTION("""COMPUTED_VALUE"""),4988.0)</f>
        <v>4988</v>
      </c>
      <c r="Q281" s="46">
        <f>IFERROR(__xludf.DUMMYFUNCTION("""COMPUTED_VALUE"""),768451.28)</f>
        <v>768451.28</v>
      </c>
      <c r="R281" s="46">
        <f>IFERROR(__xludf.DUMMYFUNCTION("""COMPUTED_VALUE"""),453558.84)</f>
        <v>453558.84</v>
      </c>
      <c r="S281" s="46">
        <f>IFERROR(__xludf.DUMMYFUNCTION("""COMPUTED_VALUE"""),314892.44)</f>
        <v>314892.44</v>
      </c>
    </row>
    <row r="282">
      <c r="A282" s="46" t="str">
        <f>IFERROR(__xludf.DUMMYFUNCTION("""COMPUTED_VALUE"""),"Meat")</f>
        <v>Meat</v>
      </c>
      <c r="B282" s="46" t="str">
        <f>IFERROR(__xludf.DUMMYFUNCTION("""COMPUTED_VALUE"""),"Bosnia and Herzegovina")</f>
        <v>Bosnia and Herzegovina</v>
      </c>
      <c r="C282" s="46" t="str">
        <f>IFERROR(__xludf.DUMMYFUNCTION("""COMPUTED_VALUE"""),"Europe")</f>
        <v>Europe</v>
      </c>
      <c r="D282" s="90">
        <f>IFERROR(__xludf.DUMMYFUNCTION("""COMPUTED_VALUE"""),42339.0)</f>
        <v>42339</v>
      </c>
      <c r="E282" s="46">
        <f>IFERROR(__xludf.DUMMYFUNCTION("""COMPUTED_VALUE"""),2015.0)</f>
        <v>2015</v>
      </c>
      <c r="F282" s="46">
        <f>IFERROR(__xludf.DUMMYFUNCTION("""COMPUTED_VALUE"""),1.0)</f>
        <v>1</v>
      </c>
      <c r="G282" s="46">
        <f>IFERROR(__xludf.DUMMYFUNCTION("""COMPUTED_VALUE"""),8342.0)</f>
        <v>8342</v>
      </c>
      <c r="H282" s="46">
        <f>IFERROR(__xludf.DUMMYFUNCTION("""COMPUTED_VALUE"""),3519406.38)</f>
        <v>3519406.38</v>
      </c>
      <c r="I282" s="46">
        <f>IFERROR(__xludf.DUMMYFUNCTION("""COMPUTED_VALUE"""),3042243.98)</f>
        <v>3042243.98</v>
      </c>
      <c r="J282" s="46">
        <f>IFERROR(__xludf.DUMMYFUNCTION("""COMPUTED_VALUE"""),477162.3999999999)</f>
        <v>477162.4</v>
      </c>
      <c r="K282" s="46" t="str">
        <f t="array" ref="K282">TEXT(D282, "mmmm")</f>
        <v>December</v>
      </c>
      <c r="M282" s="46" t="str">
        <f>IFERROR(__xludf.DUMMYFUNCTION("""COMPUTED_VALUE"""),"Bosnia and Herzegovina")</f>
        <v>Bosnia and Herzegovina</v>
      </c>
      <c r="N282" s="94">
        <f>IFERROR(__xludf.DUMMYFUNCTION("""COMPUTED_VALUE"""),40878.0)</f>
        <v>40878</v>
      </c>
      <c r="O282" s="46">
        <f>IFERROR(__xludf.DUMMYFUNCTION("""COMPUTED_VALUE"""),1.0)</f>
        <v>1</v>
      </c>
      <c r="P282" s="46">
        <f>IFERROR(__xludf.DUMMYFUNCTION("""COMPUTED_VALUE"""),3082.0)</f>
        <v>3082</v>
      </c>
      <c r="Q282" s="46">
        <f>IFERROR(__xludf.DUMMYFUNCTION("""COMPUTED_VALUE"""),2059608.14)</f>
        <v>2059608.14</v>
      </c>
      <c r="R282" s="46">
        <f>IFERROR(__xludf.DUMMYFUNCTION("""COMPUTED_VALUE"""),1548828.28)</f>
        <v>1548828.28</v>
      </c>
      <c r="S282" s="46">
        <f>IFERROR(__xludf.DUMMYFUNCTION("""COMPUTED_VALUE"""),510779.85999999987)</f>
        <v>510779.86</v>
      </c>
    </row>
    <row r="283">
      <c r="A283" s="46" t="str">
        <f>IFERROR(__xludf.DUMMYFUNCTION("""COMPUTED_VALUE"""),"Meat")</f>
        <v>Meat</v>
      </c>
      <c r="B283" s="46" t="str">
        <f>IFERROR(__xludf.DUMMYFUNCTION("""COMPUTED_VALUE"""),"Luxembourg")</f>
        <v>Luxembourg</v>
      </c>
      <c r="C283" s="46" t="str">
        <f>IFERROR(__xludf.DUMMYFUNCTION("""COMPUTED_VALUE"""),"Europe")</f>
        <v>Europe</v>
      </c>
      <c r="D283" s="90">
        <f>IFERROR(__xludf.DUMMYFUNCTION("""COMPUTED_VALUE"""),42339.0)</f>
        <v>42339</v>
      </c>
      <c r="E283" s="46">
        <f>IFERROR(__xludf.DUMMYFUNCTION("""COMPUTED_VALUE"""),2015.0)</f>
        <v>2015</v>
      </c>
      <c r="F283" s="46">
        <f>IFERROR(__xludf.DUMMYFUNCTION("""COMPUTED_VALUE"""),1.0)</f>
        <v>1</v>
      </c>
      <c r="G283" s="46">
        <f>IFERROR(__xludf.DUMMYFUNCTION("""COMPUTED_VALUE"""),495.0)</f>
        <v>495</v>
      </c>
      <c r="H283" s="46">
        <f>IFERROR(__xludf.DUMMYFUNCTION("""COMPUTED_VALUE"""),208835.55)</f>
        <v>208835.55</v>
      </c>
      <c r="I283" s="46">
        <f>IFERROR(__xludf.DUMMYFUNCTION("""COMPUTED_VALUE"""),180521.55)</f>
        <v>180521.55</v>
      </c>
      <c r="J283" s="46">
        <f>IFERROR(__xludf.DUMMYFUNCTION("""COMPUTED_VALUE"""),28314.0)</f>
        <v>28314</v>
      </c>
      <c r="K283" s="46" t="str">
        <f t="array" ref="K283">TEXT(D283, "mmmm")</f>
        <v>December</v>
      </c>
      <c r="M283" s="46" t="str">
        <f>IFERROR(__xludf.DUMMYFUNCTION("""COMPUTED_VALUE"""),"Czech Republic")</f>
        <v>Czech Republic</v>
      </c>
      <c r="N283" s="94">
        <f>IFERROR(__xludf.DUMMYFUNCTION("""COMPUTED_VALUE"""),40878.0)</f>
        <v>40878</v>
      </c>
      <c r="O283" s="46">
        <f>IFERROR(__xludf.DUMMYFUNCTION("""COMPUTED_VALUE"""),1.0)</f>
        <v>1</v>
      </c>
      <c r="P283" s="46">
        <f>IFERROR(__xludf.DUMMYFUNCTION("""COMPUTED_VALUE"""),5745.0)</f>
        <v>5745</v>
      </c>
      <c r="Q283" s="46">
        <f>IFERROR(__xludf.DUMMYFUNCTION("""COMPUTED_VALUE"""),2423758.05)</f>
        <v>2423758.05</v>
      </c>
      <c r="R283" s="46">
        <f>IFERROR(__xludf.DUMMYFUNCTION("""COMPUTED_VALUE"""),2095144.05)</f>
        <v>2095144.05</v>
      </c>
      <c r="S283" s="46">
        <f>IFERROR(__xludf.DUMMYFUNCTION("""COMPUTED_VALUE"""),328613.99999999977)</f>
        <v>328614</v>
      </c>
    </row>
    <row r="284">
      <c r="A284" s="46" t="str">
        <f>IFERROR(__xludf.DUMMYFUNCTION("""COMPUTED_VALUE"""),"Office Supplies")</f>
        <v>Office Supplies</v>
      </c>
      <c r="B284" s="46" t="str">
        <f>IFERROR(__xludf.DUMMYFUNCTION("""COMPUTED_VALUE"""),"Macedonia")</f>
        <v>Macedonia</v>
      </c>
      <c r="C284" s="46" t="str">
        <f>IFERROR(__xludf.DUMMYFUNCTION("""COMPUTED_VALUE"""),"Europe")</f>
        <v>Europe</v>
      </c>
      <c r="D284" s="90">
        <f>IFERROR(__xludf.DUMMYFUNCTION("""COMPUTED_VALUE"""),42339.0)</f>
        <v>42339</v>
      </c>
      <c r="E284" s="46">
        <f>IFERROR(__xludf.DUMMYFUNCTION("""COMPUTED_VALUE"""),2015.0)</f>
        <v>2015</v>
      </c>
      <c r="F284" s="46">
        <f>IFERROR(__xludf.DUMMYFUNCTION("""COMPUTED_VALUE"""),1.0)</f>
        <v>1</v>
      </c>
      <c r="G284" s="46">
        <f>IFERROR(__xludf.DUMMYFUNCTION("""COMPUTED_VALUE"""),9264.0)</f>
        <v>9264</v>
      </c>
      <c r="H284" s="46">
        <f>IFERROR(__xludf.DUMMYFUNCTION("""COMPUTED_VALUE"""),6032809.44)</f>
        <v>6032809.44</v>
      </c>
      <c r="I284" s="46">
        <f>IFERROR(__xludf.DUMMYFUNCTION("""COMPUTED_VALUE"""),4863229.44)</f>
        <v>4863229.44</v>
      </c>
      <c r="J284" s="46">
        <f>IFERROR(__xludf.DUMMYFUNCTION("""COMPUTED_VALUE"""),1169580.0)</f>
        <v>1169580</v>
      </c>
      <c r="K284" s="46" t="str">
        <f t="array" ref="K284">TEXT(D284, "mmmm")</f>
        <v>December</v>
      </c>
      <c r="M284" s="46" t="str">
        <f>IFERROR(__xludf.DUMMYFUNCTION("""COMPUTED_VALUE"""),"Estonia")</f>
        <v>Estonia</v>
      </c>
      <c r="N284" s="94">
        <f>IFERROR(__xludf.DUMMYFUNCTION("""COMPUTED_VALUE"""),40878.0)</f>
        <v>40878</v>
      </c>
      <c r="O284" s="46">
        <f>IFERROR(__xludf.DUMMYFUNCTION("""COMPUTED_VALUE"""),1.0)</f>
        <v>1</v>
      </c>
      <c r="P284" s="46">
        <f>IFERROR(__xludf.DUMMYFUNCTION("""COMPUTED_VALUE"""),6481.0)</f>
        <v>6481</v>
      </c>
      <c r="Q284" s="46">
        <f>IFERROR(__xludf.DUMMYFUNCTION("""COMPUTED_VALUE"""),998462.86)</f>
        <v>998462.86</v>
      </c>
      <c r="R284" s="46">
        <f>IFERROR(__xludf.DUMMYFUNCTION("""COMPUTED_VALUE"""),589317.3300000001)</f>
        <v>589317.33</v>
      </c>
      <c r="S284" s="46">
        <f>IFERROR(__xludf.DUMMYFUNCTION("""COMPUTED_VALUE"""),409145.5299999999)</f>
        <v>409145.53</v>
      </c>
    </row>
    <row r="285">
      <c r="A285" s="46" t="str">
        <f>IFERROR(__xludf.DUMMYFUNCTION("""COMPUTED_VALUE"""),"Office Supplies")</f>
        <v>Office Supplies</v>
      </c>
      <c r="B285" s="46" t="str">
        <f>IFERROR(__xludf.DUMMYFUNCTION("""COMPUTED_VALUE"""),"Ukraine")</f>
        <v>Ukraine</v>
      </c>
      <c r="C285" s="46" t="str">
        <f>IFERROR(__xludf.DUMMYFUNCTION("""COMPUTED_VALUE"""),"Europe")</f>
        <v>Europe</v>
      </c>
      <c r="D285" s="90">
        <f>IFERROR(__xludf.DUMMYFUNCTION("""COMPUTED_VALUE"""),42339.0)</f>
        <v>42339</v>
      </c>
      <c r="E285" s="46">
        <f>IFERROR(__xludf.DUMMYFUNCTION("""COMPUTED_VALUE"""),2015.0)</f>
        <v>2015</v>
      </c>
      <c r="F285" s="46">
        <f>IFERROR(__xludf.DUMMYFUNCTION("""COMPUTED_VALUE"""),1.0)</f>
        <v>1</v>
      </c>
      <c r="G285" s="46">
        <f>IFERROR(__xludf.DUMMYFUNCTION("""COMPUTED_VALUE"""),7376.0)</f>
        <v>7376</v>
      </c>
      <c r="H285" s="46">
        <f>IFERROR(__xludf.DUMMYFUNCTION("""COMPUTED_VALUE"""),4803324.96)</f>
        <v>4803324.96</v>
      </c>
      <c r="I285" s="46">
        <f>IFERROR(__xludf.DUMMYFUNCTION("""COMPUTED_VALUE"""),3872104.9600000004)</f>
        <v>3872104.96</v>
      </c>
      <c r="J285" s="46">
        <f>IFERROR(__xludf.DUMMYFUNCTION("""COMPUTED_VALUE"""),931219.9999999995)</f>
        <v>931220</v>
      </c>
      <c r="K285" s="46" t="str">
        <f t="array" ref="K285">TEXT(D285, "mmmm")</f>
        <v>December</v>
      </c>
      <c r="M285" s="46" t="str">
        <f>IFERROR(__xludf.DUMMYFUNCTION("""COMPUTED_VALUE"""),"Finland")</f>
        <v>Finland</v>
      </c>
      <c r="N285" s="94">
        <f>IFERROR(__xludf.DUMMYFUNCTION("""COMPUTED_VALUE"""),40878.0)</f>
        <v>40878</v>
      </c>
      <c r="O285" s="46">
        <f>IFERROR(__xludf.DUMMYFUNCTION("""COMPUTED_VALUE"""),1.0)</f>
        <v>1</v>
      </c>
      <c r="P285" s="46">
        <f>IFERROR(__xludf.DUMMYFUNCTION("""COMPUTED_VALUE"""),6589.0)</f>
        <v>6589</v>
      </c>
      <c r="Q285" s="46">
        <f>IFERROR(__xludf.DUMMYFUNCTION("""COMPUTED_VALUE"""),4290822.69)</f>
        <v>4290822.69</v>
      </c>
      <c r="R285" s="46">
        <f>IFERROR(__xludf.DUMMYFUNCTION("""COMPUTED_VALUE"""),3458961.4400000004)</f>
        <v>3458961.44</v>
      </c>
      <c r="S285" s="46">
        <f>IFERROR(__xludf.DUMMYFUNCTION("""COMPUTED_VALUE"""),831861.25)</f>
        <v>831861.25</v>
      </c>
    </row>
    <row r="286">
      <c r="A286" s="46" t="str">
        <f>IFERROR(__xludf.DUMMYFUNCTION("""COMPUTED_VALUE"""),"Snacks")</f>
        <v>Snacks</v>
      </c>
      <c r="B286" s="46" t="str">
        <f>IFERROR(__xludf.DUMMYFUNCTION("""COMPUTED_VALUE"""),"Finland")</f>
        <v>Finland</v>
      </c>
      <c r="C286" s="46" t="str">
        <f>IFERROR(__xludf.DUMMYFUNCTION("""COMPUTED_VALUE"""),"Europe")</f>
        <v>Europe</v>
      </c>
      <c r="D286" s="90">
        <f>IFERROR(__xludf.DUMMYFUNCTION("""COMPUTED_VALUE"""),42339.0)</f>
        <v>42339</v>
      </c>
      <c r="E286" s="46">
        <f>IFERROR(__xludf.DUMMYFUNCTION("""COMPUTED_VALUE"""),2015.0)</f>
        <v>2015</v>
      </c>
      <c r="F286" s="46">
        <f>IFERROR(__xludf.DUMMYFUNCTION("""COMPUTED_VALUE"""),1.0)</f>
        <v>1</v>
      </c>
      <c r="G286" s="46">
        <f>IFERROR(__xludf.DUMMYFUNCTION("""COMPUTED_VALUE"""),5722.0)</f>
        <v>5722</v>
      </c>
      <c r="H286" s="46">
        <f>IFERROR(__xludf.DUMMYFUNCTION("""COMPUTED_VALUE"""),873062.7600000001)</f>
        <v>873062.76</v>
      </c>
      <c r="I286" s="46">
        <f>IFERROR(__xludf.DUMMYFUNCTION("""COMPUTED_VALUE"""),557551.6799999999)</f>
        <v>557551.68</v>
      </c>
      <c r="J286" s="46">
        <f>IFERROR(__xludf.DUMMYFUNCTION("""COMPUTED_VALUE"""),315511.0800000002)</f>
        <v>315511.08</v>
      </c>
      <c r="K286" s="46" t="str">
        <f t="array" ref="K286">TEXT(D286, "mmmm")</f>
        <v>December</v>
      </c>
      <c r="M286" s="46" t="str">
        <f>IFERROR(__xludf.DUMMYFUNCTION("""COMPUTED_VALUE"""),"Greece")</f>
        <v>Greece</v>
      </c>
      <c r="N286" s="94">
        <f>IFERROR(__xludf.DUMMYFUNCTION("""COMPUTED_VALUE"""),40878.0)</f>
        <v>40878</v>
      </c>
      <c r="O286" s="46">
        <f>IFERROR(__xludf.DUMMYFUNCTION("""COMPUTED_VALUE"""),1.0)</f>
        <v>1</v>
      </c>
      <c r="P286" s="46">
        <f>IFERROR(__xludf.DUMMYFUNCTION("""COMPUTED_VALUE"""),8626.0)</f>
        <v>8626</v>
      </c>
      <c r="Q286" s="46">
        <f>IFERROR(__xludf.DUMMYFUNCTION("""COMPUTED_VALUE"""),705002.98)</f>
        <v>705002.98</v>
      </c>
      <c r="R286" s="46">
        <f>IFERROR(__xludf.DUMMYFUNCTION("""COMPUTED_VALUE"""),488835.42000000004)</f>
        <v>488835.42</v>
      </c>
      <c r="S286" s="46">
        <f>IFERROR(__xludf.DUMMYFUNCTION("""COMPUTED_VALUE"""),216167.55999999994)</f>
        <v>216167.56</v>
      </c>
    </row>
    <row r="287">
      <c r="A287" s="46" t="str">
        <f>IFERROR(__xludf.DUMMYFUNCTION("""COMPUTED_VALUE"""),"Vegetables")</f>
        <v>Vegetables</v>
      </c>
      <c r="B287" s="46" t="str">
        <f>IFERROR(__xludf.DUMMYFUNCTION("""COMPUTED_VALUE"""),"Ireland")</f>
        <v>Ireland</v>
      </c>
      <c r="C287" s="46" t="str">
        <f>IFERROR(__xludf.DUMMYFUNCTION("""COMPUTED_VALUE"""),"Europe")</f>
        <v>Europe</v>
      </c>
      <c r="D287" s="90">
        <f>IFERROR(__xludf.DUMMYFUNCTION("""COMPUTED_VALUE"""),42339.0)</f>
        <v>42339</v>
      </c>
      <c r="E287" s="46">
        <f>IFERROR(__xludf.DUMMYFUNCTION("""COMPUTED_VALUE"""),2015.0)</f>
        <v>2015</v>
      </c>
      <c r="F287" s="46">
        <f>IFERROR(__xludf.DUMMYFUNCTION("""COMPUTED_VALUE"""),1.0)</f>
        <v>1</v>
      </c>
      <c r="G287" s="46">
        <f>IFERROR(__xludf.DUMMYFUNCTION("""COMPUTED_VALUE"""),2789.0)</f>
        <v>2789</v>
      </c>
      <c r="H287" s="46">
        <f>IFERROR(__xludf.DUMMYFUNCTION("""COMPUTED_VALUE"""),429673.34)</f>
        <v>429673.34</v>
      </c>
      <c r="I287" s="46">
        <f>IFERROR(__xludf.DUMMYFUNCTION("""COMPUTED_VALUE"""),253603.77000000002)</f>
        <v>253603.77</v>
      </c>
      <c r="J287" s="46">
        <f>IFERROR(__xludf.DUMMYFUNCTION("""COMPUTED_VALUE"""),176069.57)</f>
        <v>176069.57</v>
      </c>
      <c r="K287" s="46" t="str">
        <f t="array" ref="K287">TEXT(D287, "mmmm")</f>
        <v>December</v>
      </c>
      <c r="M287" s="46" t="str">
        <f>IFERROR(__xludf.DUMMYFUNCTION("""COMPUTED_VALUE"""),"Ireland")</f>
        <v>Ireland</v>
      </c>
      <c r="N287" s="94">
        <f>IFERROR(__xludf.DUMMYFUNCTION("""COMPUTED_VALUE"""),40878.0)</f>
        <v>40878</v>
      </c>
      <c r="O287" s="46">
        <f>IFERROR(__xludf.DUMMYFUNCTION("""COMPUTED_VALUE"""),1.0)</f>
        <v>1</v>
      </c>
      <c r="P287" s="46">
        <f>IFERROR(__xludf.DUMMYFUNCTION("""COMPUTED_VALUE"""),1448.0)</f>
        <v>1448</v>
      </c>
      <c r="Q287" s="46">
        <f>IFERROR(__xludf.DUMMYFUNCTION("""COMPUTED_VALUE"""),220935.84000000003)</f>
        <v>220935.84</v>
      </c>
      <c r="R287" s="46">
        <f>IFERROR(__xludf.DUMMYFUNCTION("""COMPUTED_VALUE"""),141093.12)</f>
        <v>141093.12</v>
      </c>
      <c r="S287" s="46">
        <f>IFERROR(__xludf.DUMMYFUNCTION("""COMPUTED_VALUE"""),79842.72000000003)</f>
        <v>79842.72</v>
      </c>
    </row>
    <row r="288">
      <c r="A288" s="46" t="str">
        <f>IFERROR(__xludf.DUMMYFUNCTION("""COMPUTED_VALUE"""),"Vegetables")</f>
        <v>Vegetables</v>
      </c>
      <c r="B288" s="46" t="str">
        <f>IFERROR(__xludf.DUMMYFUNCTION("""COMPUTED_VALUE"""),"Slovakia")</f>
        <v>Slovakia</v>
      </c>
      <c r="C288" s="46" t="str">
        <f>IFERROR(__xludf.DUMMYFUNCTION("""COMPUTED_VALUE"""),"Europe")</f>
        <v>Europe</v>
      </c>
      <c r="D288" s="90">
        <f>IFERROR(__xludf.DUMMYFUNCTION("""COMPUTED_VALUE"""),42339.0)</f>
        <v>42339</v>
      </c>
      <c r="E288" s="46">
        <f>IFERROR(__xludf.DUMMYFUNCTION("""COMPUTED_VALUE"""),2015.0)</f>
        <v>2015</v>
      </c>
      <c r="F288" s="46">
        <f>IFERROR(__xludf.DUMMYFUNCTION("""COMPUTED_VALUE"""),1.0)</f>
        <v>1</v>
      </c>
      <c r="G288" s="46">
        <f>IFERROR(__xludf.DUMMYFUNCTION("""COMPUTED_VALUE"""),479.0)</f>
        <v>479</v>
      </c>
      <c r="H288" s="46">
        <f>IFERROR(__xludf.DUMMYFUNCTION("""COMPUTED_VALUE"""),73794.74)</f>
        <v>73794.74</v>
      </c>
      <c r="I288" s="46">
        <f>IFERROR(__xludf.DUMMYFUNCTION("""COMPUTED_VALUE"""),43555.47)</f>
        <v>43555.47</v>
      </c>
      <c r="J288" s="46">
        <f>IFERROR(__xludf.DUMMYFUNCTION("""COMPUTED_VALUE"""),30239.270000000004)</f>
        <v>30239.27</v>
      </c>
      <c r="K288" s="46" t="str">
        <f t="array" ref="K288">TEXT(D288, "mmmm")</f>
        <v>December</v>
      </c>
      <c r="M288" s="46" t="str">
        <f>IFERROR(__xludf.DUMMYFUNCTION("""COMPUTED_VALUE"""),"Latvia")</f>
        <v>Latvia</v>
      </c>
      <c r="N288" s="94">
        <f>IFERROR(__xludf.DUMMYFUNCTION("""COMPUTED_VALUE"""),40878.0)</f>
        <v>40878</v>
      </c>
      <c r="O288" s="46">
        <f>IFERROR(__xludf.DUMMYFUNCTION("""COMPUTED_VALUE"""),1.0)</f>
        <v>1</v>
      </c>
      <c r="P288" s="46">
        <f>IFERROR(__xludf.DUMMYFUNCTION("""COMPUTED_VALUE"""),8902.0)</f>
        <v>8902</v>
      </c>
      <c r="Q288" s="46">
        <f>IFERROR(__xludf.DUMMYFUNCTION("""COMPUTED_VALUE"""),3755664.78)</f>
        <v>3755664.78</v>
      </c>
      <c r="R288" s="46">
        <f>IFERROR(__xludf.DUMMYFUNCTION("""COMPUTED_VALUE"""),3246470.38)</f>
        <v>3246470.38</v>
      </c>
      <c r="S288" s="46">
        <f>IFERROR(__xludf.DUMMYFUNCTION("""COMPUTED_VALUE"""),509194.3999999999)</f>
        <v>509194.4</v>
      </c>
    </row>
    <row r="289">
      <c r="A289" s="46" t="str">
        <f>IFERROR(__xludf.DUMMYFUNCTION("""COMPUTED_VALUE"""),"Baby Food")</f>
        <v>Baby Food</v>
      </c>
      <c r="B289" s="46" t="str">
        <f>IFERROR(__xludf.DUMMYFUNCTION("""COMPUTED_VALUE"""),"Macedonia")</f>
        <v>Macedonia</v>
      </c>
      <c r="C289" s="46" t="str">
        <f>IFERROR(__xludf.DUMMYFUNCTION("""COMPUTED_VALUE"""),"Europe")</f>
        <v>Europe</v>
      </c>
      <c r="D289" s="90">
        <f>IFERROR(__xludf.DUMMYFUNCTION("""COMPUTED_VALUE"""),42309.0)</f>
        <v>42309</v>
      </c>
      <c r="E289" s="46">
        <f>IFERROR(__xludf.DUMMYFUNCTION("""COMPUTED_VALUE"""),2015.0)</f>
        <v>2015</v>
      </c>
      <c r="F289" s="46">
        <f>IFERROR(__xludf.DUMMYFUNCTION("""COMPUTED_VALUE"""),1.0)</f>
        <v>1</v>
      </c>
      <c r="G289" s="46">
        <f>IFERROR(__xludf.DUMMYFUNCTION("""COMPUTED_VALUE"""),7840.0)</f>
        <v>7840</v>
      </c>
      <c r="H289" s="46">
        <f>IFERROR(__xludf.DUMMYFUNCTION("""COMPUTED_VALUE"""),2001395.2)</f>
        <v>2001395.2</v>
      </c>
      <c r="I289" s="46">
        <f>IFERROR(__xludf.DUMMYFUNCTION("""COMPUTED_VALUE"""),1249852.7999999998)</f>
        <v>1249852.8</v>
      </c>
      <c r="J289" s="46">
        <f>IFERROR(__xludf.DUMMYFUNCTION("""COMPUTED_VALUE"""),751542.4000000001)</f>
        <v>751542.4</v>
      </c>
      <c r="K289" s="46" t="str">
        <f t="array" ref="K289">TEXT(D289, "mmmm")</f>
        <v>November</v>
      </c>
      <c r="M289" s="46" t="str">
        <f>IFERROR(__xludf.DUMMYFUNCTION("""COMPUTED_VALUE"""),"Luxembourg")</f>
        <v>Luxembourg</v>
      </c>
      <c r="N289" s="94">
        <f>IFERROR(__xludf.DUMMYFUNCTION("""COMPUTED_VALUE"""),40878.0)</f>
        <v>40878</v>
      </c>
      <c r="O289" s="46">
        <f>IFERROR(__xludf.DUMMYFUNCTION("""COMPUTED_VALUE"""),2.0)</f>
        <v>2</v>
      </c>
      <c r="P289" s="46">
        <f>IFERROR(__xludf.DUMMYFUNCTION("""COMPUTED_VALUE"""),7379.0)</f>
        <v>7379</v>
      </c>
      <c r="Q289" s="46">
        <f>IFERROR(__xludf.DUMMYFUNCTION("""COMPUTED_VALUE"""),558632.0700000001)</f>
        <v>558632.07</v>
      </c>
      <c r="R289" s="46">
        <f>IFERROR(__xludf.DUMMYFUNCTION("""COMPUTED_VALUE"""),387621.43)</f>
        <v>387621.43</v>
      </c>
      <c r="S289" s="46">
        <f>IFERROR(__xludf.DUMMYFUNCTION("""COMPUTED_VALUE"""),171010.64000000007)</f>
        <v>171010.64</v>
      </c>
    </row>
    <row r="290">
      <c r="A290" s="46" t="str">
        <f>IFERROR(__xludf.DUMMYFUNCTION("""COMPUTED_VALUE"""),"Beverages")</f>
        <v>Beverages</v>
      </c>
      <c r="B290" s="46" t="str">
        <f>IFERROR(__xludf.DUMMYFUNCTION("""COMPUTED_VALUE"""),"Germany")</f>
        <v>Germany</v>
      </c>
      <c r="C290" s="46" t="str">
        <f>IFERROR(__xludf.DUMMYFUNCTION("""COMPUTED_VALUE"""),"Europe")</f>
        <v>Europe</v>
      </c>
      <c r="D290" s="90">
        <f>IFERROR(__xludf.DUMMYFUNCTION("""COMPUTED_VALUE"""),42309.0)</f>
        <v>42309</v>
      </c>
      <c r="E290" s="46">
        <f>IFERROR(__xludf.DUMMYFUNCTION("""COMPUTED_VALUE"""),2015.0)</f>
        <v>2015</v>
      </c>
      <c r="F290" s="46">
        <f>IFERROR(__xludf.DUMMYFUNCTION("""COMPUTED_VALUE"""),1.0)</f>
        <v>1</v>
      </c>
      <c r="G290" s="46">
        <f>IFERROR(__xludf.DUMMYFUNCTION("""COMPUTED_VALUE"""),956.0)</f>
        <v>956</v>
      </c>
      <c r="H290" s="46">
        <f>IFERROR(__xludf.DUMMYFUNCTION("""COMPUTED_VALUE"""),45362.200000000004)</f>
        <v>45362.2</v>
      </c>
      <c r="I290" s="46">
        <f>IFERROR(__xludf.DUMMYFUNCTION("""COMPUTED_VALUE"""),30391.239999999998)</f>
        <v>30391.24</v>
      </c>
      <c r="J290" s="46">
        <f>IFERROR(__xludf.DUMMYFUNCTION("""COMPUTED_VALUE"""),14970.960000000006)</f>
        <v>14970.96</v>
      </c>
      <c r="K290" s="46" t="str">
        <f t="array" ref="K290">TEXT(D290, "mmmm")</f>
        <v>November</v>
      </c>
      <c r="M290" s="46" t="str">
        <f>IFERROR(__xludf.DUMMYFUNCTION("""COMPUTED_VALUE"""),"Norway")</f>
        <v>Norway</v>
      </c>
      <c r="N290" s="94">
        <f>IFERROR(__xludf.DUMMYFUNCTION("""COMPUTED_VALUE"""),40878.0)</f>
        <v>40878</v>
      </c>
      <c r="O290" s="46">
        <f>IFERROR(__xludf.DUMMYFUNCTION("""COMPUTED_VALUE"""),2.0)</f>
        <v>2</v>
      </c>
      <c r="P290" s="46">
        <f>IFERROR(__xludf.DUMMYFUNCTION("""COMPUTED_VALUE"""),12863.0)</f>
        <v>12863</v>
      </c>
      <c r="Q290" s="46">
        <f>IFERROR(__xludf.DUMMYFUNCTION("""COMPUTED_VALUE"""),4242111.37)</f>
        <v>4242111.37</v>
      </c>
      <c r="R290" s="46">
        <f>IFERROR(__xludf.DUMMYFUNCTION("""COMPUTED_VALUE"""),2559265.9)</f>
        <v>2559265.9</v>
      </c>
      <c r="S290" s="46">
        <f>IFERROR(__xludf.DUMMYFUNCTION("""COMPUTED_VALUE"""),1682845.47)</f>
        <v>1682845.47</v>
      </c>
    </row>
    <row r="291">
      <c r="A291" s="46" t="str">
        <f>IFERROR(__xludf.DUMMYFUNCTION("""COMPUTED_VALUE"""),"Cereal")</f>
        <v>Cereal</v>
      </c>
      <c r="B291" s="46" t="str">
        <f>IFERROR(__xludf.DUMMYFUNCTION("""COMPUTED_VALUE"""),"Denmark")</f>
        <v>Denmark</v>
      </c>
      <c r="C291" s="46" t="str">
        <f>IFERROR(__xludf.DUMMYFUNCTION("""COMPUTED_VALUE"""),"Europe")</f>
        <v>Europe</v>
      </c>
      <c r="D291" s="90">
        <f>IFERROR(__xludf.DUMMYFUNCTION("""COMPUTED_VALUE"""),42309.0)</f>
        <v>42309</v>
      </c>
      <c r="E291" s="46">
        <f>IFERROR(__xludf.DUMMYFUNCTION("""COMPUTED_VALUE"""),2015.0)</f>
        <v>2015</v>
      </c>
      <c r="F291" s="46">
        <f>IFERROR(__xludf.DUMMYFUNCTION("""COMPUTED_VALUE"""),1.0)</f>
        <v>1</v>
      </c>
      <c r="G291" s="46">
        <f>IFERROR(__xludf.DUMMYFUNCTION("""COMPUTED_VALUE"""),8847.0)</f>
        <v>8847</v>
      </c>
      <c r="H291" s="46">
        <f>IFERROR(__xludf.DUMMYFUNCTION("""COMPUTED_VALUE"""),1819827.9)</f>
        <v>1819827.9</v>
      </c>
      <c r="I291" s="46">
        <f>IFERROR(__xludf.DUMMYFUNCTION("""COMPUTED_VALUE"""),1036072.17)</f>
        <v>1036072.17</v>
      </c>
      <c r="J291" s="46">
        <f>IFERROR(__xludf.DUMMYFUNCTION("""COMPUTED_VALUE"""),783755.7299999999)</f>
        <v>783755.73</v>
      </c>
      <c r="K291" s="46" t="str">
        <f t="array" ref="K291">TEXT(D291, "mmmm")</f>
        <v>November</v>
      </c>
      <c r="M291" s="46" t="str">
        <f>IFERROR(__xludf.DUMMYFUNCTION("""COMPUTED_VALUE"""),"Romania")</f>
        <v>Romania</v>
      </c>
      <c r="N291" s="94">
        <f>IFERROR(__xludf.DUMMYFUNCTION("""COMPUTED_VALUE"""),40878.0)</f>
        <v>40878</v>
      </c>
      <c r="O291" s="46">
        <f>IFERROR(__xludf.DUMMYFUNCTION("""COMPUTED_VALUE"""),1.0)</f>
        <v>1</v>
      </c>
      <c r="P291" s="46">
        <f>IFERROR(__xludf.DUMMYFUNCTION("""COMPUTED_VALUE"""),8801.0)</f>
        <v>8801</v>
      </c>
      <c r="Q291" s="46">
        <f>IFERROR(__xludf.DUMMYFUNCTION("""COMPUTED_VALUE"""),3847797.1999999997)</f>
        <v>3847797.2</v>
      </c>
      <c r="R291" s="46">
        <f>IFERROR(__xludf.DUMMYFUNCTION("""COMPUTED_VALUE"""),2317567.33)</f>
        <v>2317567.33</v>
      </c>
      <c r="S291" s="46">
        <f>IFERROR(__xludf.DUMMYFUNCTION("""COMPUTED_VALUE"""),1530229.8699999996)</f>
        <v>1530229.87</v>
      </c>
    </row>
    <row r="292">
      <c r="A292" s="46" t="str">
        <f>IFERROR(__xludf.DUMMYFUNCTION("""COMPUTED_VALUE"""),"Cereal")</f>
        <v>Cereal</v>
      </c>
      <c r="B292" s="46" t="str">
        <f>IFERROR(__xludf.DUMMYFUNCTION("""COMPUTED_VALUE"""),"Norway")</f>
        <v>Norway</v>
      </c>
      <c r="C292" s="46" t="str">
        <f>IFERROR(__xludf.DUMMYFUNCTION("""COMPUTED_VALUE"""),"Europe")</f>
        <v>Europe</v>
      </c>
      <c r="D292" s="90">
        <f>IFERROR(__xludf.DUMMYFUNCTION("""COMPUTED_VALUE"""),42309.0)</f>
        <v>42309</v>
      </c>
      <c r="E292" s="46">
        <f>IFERROR(__xludf.DUMMYFUNCTION("""COMPUTED_VALUE"""),2015.0)</f>
        <v>2015</v>
      </c>
      <c r="F292" s="46">
        <f>IFERROR(__xludf.DUMMYFUNCTION("""COMPUTED_VALUE"""),1.0)</f>
        <v>1</v>
      </c>
      <c r="G292" s="46">
        <f>IFERROR(__xludf.DUMMYFUNCTION("""COMPUTED_VALUE"""),1276.0)</f>
        <v>1276</v>
      </c>
      <c r="H292" s="46">
        <f>IFERROR(__xludf.DUMMYFUNCTION("""COMPUTED_VALUE"""),262473.2)</f>
        <v>262473.2</v>
      </c>
      <c r="I292" s="46">
        <f>IFERROR(__xludf.DUMMYFUNCTION("""COMPUTED_VALUE"""),149432.36)</f>
        <v>149432.36</v>
      </c>
      <c r="J292" s="46">
        <f>IFERROR(__xludf.DUMMYFUNCTION("""COMPUTED_VALUE"""),113040.84000000003)</f>
        <v>113040.84</v>
      </c>
      <c r="K292" s="46" t="str">
        <f t="array" ref="K292">TEXT(D292, "mmmm")</f>
        <v>November</v>
      </c>
      <c r="M292" s="46" t="str">
        <f>IFERROR(__xludf.DUMMYFUNCTION("""COMPUTED_VALUE"""),"Russia")</f>
        <v>Russia</v>
      </c>
      <c r="N292" s="94">
        <f>IFERROR(__xludf.DUMMYFUNCTION("""COMPUTED_VALUE"""),40878.0)</f>
        <v>40878</v>
      </c>
      <c r="O292" s="46">
        <f>IFERROR(__xludf.DUMMYFUNCTION("""COMPUTED_VALUE"""),1.0)</f>
        <v>1</v>
      </c>
      <c r="P292" s="46">
        <f>IFERROR(__xludf.DUMMYFUNCTION("""COMPUTED_VALUE"""),6618.0)</f>
        <v>6618</v>
      </c>
      <c r="Q292" s="46">
        <f>IFERROR(__xludf.DUMMYFUNCTION("""COMPUTED_VALUE"""),1689443.04)</f>
        <v>1689443.04</v>
      </c>
      <c r="R292" s="46">
        <f>IFERROR(__xludf.DUMMYFUNCTION("""COMPUTED_VALUE"""),1055041.5599999998)</f>
        <v>1055041.56</v>
      </c>
      <c r="S292" s="46">
        <f>IFERROR(__xludf.DUMMYFUNCTION("""COMPUTED_VALUE"""),634401.4800000002)</f>
        <v>634401.48</v>
      </c>
    </row>
    <row r="293">
      <c r="A293" s="46" t="str">
        <f>IFERROR(__xludf.DUMMYFUNCTION("""COMPUTED_VALUE"""),"Clothes")</f>
        <v>Clothes</v>
      </c>
      <c r="B293" s="46" t="str">
        <f>IFERROR(__xludf.DUMMYFUNCTION("""COMPUTED_VALUE"""),"Romania")</f>
        <v>Romania</v>
      </c>
      <c r="C293" s="46" t="str">
        <f>IFERROR(__xludf.DUMMYFUNCTION("""COMPUTED_VALUE"""),"Europe")</f>
        <v>Europe</v>
      </c>
      <c r="D293" s="90">
        <f>IFERROR(__xludf.DUMMYFUNCTION("""COMPUTED_VALUE"""),42309.0)</f>
        <v>42309</v>
      </c>
      <c r="E293" s="46">
        <f>IFERROR(__xludf.DUMMYFUNCTION("""COMPUTED_VALUE"""),2015.0)</f>
        <v>2015</v>
      </c>
      <c r="F293" s="46">
        <f>IFERROR(__xludf.DUMMYFUNCTION("""COMPUTED_VALUE"""),1.0)</f>
        <v>1</v>
      </c>
      <c r="G293" s="46">
        <f>IFERROR(__xludf.DUMMYFUNCTION("""COMPUTED_VALUE"""),5944.0)</f>
        <v>5944</v>
      </c>
      <c r="H293" s="46">
        <f>IFERROR(__xludf.DUMMYFUNCTION("""COMPUTED_VALUE"""),649560.32)</f>
        <v>649560.32</v>
      </c>
      <c r="I293" s="46">
        <f>IFERROR(__xludf.DUMMYFUNCTION("""COMPUTED_VALUE"""),213032.96000000002)</f>
        <v>213032.96</v>
      </c>
      <c r="J293" s="46">
        <f>IFERROR(__xludf.DUMMYFUNCTION("""COMPUTED_VALUE"""),436527.3599999999)</f>
        <v>436527.36</v>
      </c>
      <c r="K293" s="46" t="str">
        <f t="array" ref="K293">TEXT(D293, "mmmm")</f>
        <v>November</v>
      </c>
      <c r="M293" s="46" t="str">
        <f>IFERROR(__xludf.DUMMYFUNCTION("""COMPUTED_VALUE"""),"Serbia")</f>
        <v>Serbia</v>
      </c>
      <c r="N293" s="94">
        <f>IFERROR(__xludf.DUMMYFUNCTION("""COMPUTED_VALUE"""),40878.0)</f>
        <v>40878</v>
      </c>
      <c r="O293" s="46">
        <f>IFERROR(__xludf.DUMMYFUNCTION("""COMPUTED_VALUE"""),2.0)</f>
        <v>2</v>
      </c>
      <c r="P293" s="46">
        <f>IFERROR(__xludf.DUMMYFUNCTION("""COMPUTED_VALUE"""),17962.0)</f>
        <v>17962</v>
      </c>
      <c r="Q293" s="46">
        <f>IFERROR(__xludf.DUMMYFUNCTION("""COMPUTED_VALUE"""),4576477.14)</f>
        <v>4576477.14</v>
      </c>
      <c r="R293" s="46">
        <f>IFERROR(__xludf.DUMMYFUNCTION("""COMPUTED_VALUE"""),3882035.38)</f>
        <v>3882035.38</v>
      </c>
      <c r="S293" s="46">
        <f>IFERROR(__xludf.DUMMYFUNCTION("""COMPUTED_VALUE"""),694441.7599999998)</f>
        <v>694441.76</v>
      </c>
    </row>
    <row r="294">
      <c r="A294" s="46" t="str">
        <f>IFERROR(__xludf.DUMMYFUNCTION("""COMPUTED_VALUE"""),"Cosmetics")</f>
        <v>Cosmetics</v>
      </c>
      <c r="B294" s="46" t="str">
        <f>IFERROR(__xludf.DUMMYFUNCTION("""COMPUTED_VALUE"""),"Cyprus")</f>
        <v>Cyprus</v>
      </c>
      <c r="C294" s="46" t="str">
        <f>IFERROR(__xludf.DUMMYFUNCTION("""COMPUTED_VALUE"""),"Asia")</f>
        <v>Asia</v>
      </c>
      <c r="D294" s="90">
        <f>IFERROR(__xludf.DUMMYFUNCTION("""COMPUTED_VALUE"""),42309.0)</f>
        <v>42309</v>
      </c>
      <c r="E294" s="46">
        <f>IFERROR(__xludf.DUMMYFUNCTION("""COMPUTED_VALUE"""),2015.0)</f>
        <v>2015</v>
      </c>
      <c r="F294" s="46">
        <f>IFERROR(__xludf.DUMMYFUNCTION("""COMPUTED_VALUE"""),1.0)</f>
        <v>1</v>
      </c>
      <c r="G294" s="46">
        <f>IFERROR(__xludf.DUMMYFUNCTION("""COMPUTED_VALUE"""),2864.0)</f>
        <v>2864</v>
      </c>
      <c r="H294" s="46">
        <f>IFERROR(__xludf.DUMMYFUNCTION("""COMPUTED_VALUE"""),1252140.8)</f>
        <v>1252140.8</v>
      </c>
      <c r="I294" s="46">
        <f>IFERROR(__xludf.DUMMYFUNCTION("""COMPUTED_VALUE"""),754177.12)</f>
        <v>754177.12</v>
      </c>
      <c r="J294" s="46">
        <f>IFERROR(__xludf.DUMMYFUNCTION("""COMPUTED_VALUE"""),497963.68000000005)</f>
        <v>497963.68</v>
      </c>
      <c r="K294" s="46" t="str">
        <f t="array" ref="K294">TEXT(D294, "mmmm")</f>
        <v>November</v>
      </c>
      <c r="M294" s="46" t="str">
        <f>IFERROR(__xludf.DUMMYFUNCTION("""COMPUTED_VALUE"""),"Spain")</f>
        <v>Spain</v>
      </c>
      <c r="N294" s="94">
        <f>IFERROR(__xludf.DUMMYFUNCTION("""COMPUTED_VALUE"""),40878.0)</f>
        <v>40878</v>
      </c>
      <c r="O294" s="46">
        <f>IFERROR(__xludf.DUMMYFUNCTION("""COMPUTED_VALUE"""),1.0)</f>
        <v>1</v>
      </c>
      <c r="P294" s="46">
        <f>IFERROR(__xludf.DUMMYFUNCTION("""COMPUTED_VALUE"""),9679.0)</f>
        <v>9679</v>
      </c>
      <c r="Q294" s="46">
        <f>IFERROR(__xludf.DUMMYFUNCTION("""COMPUTED_VALUE"""),459268.55000000005)</f>
        <v>459268.55</v>
      </c>
      <c r="R294" s="46">
        <f>IFERROR(__xludf.DUMMYFUNCTION("""COMPUTED_VALUE"""),307695.41)</f>
        <v>307695.41</v>
      </c>
      <c r="S294" s="46">
        <f>IFERROR(__xludf.DUMMYFUNCTION("""COMPUTED_VALUE"""),151573.14000000007)</f>
        <v>151573.14</v>
      </c>
    </row>
    <row r="295">
      <c r="A295" s="46" t="str">
        <f>IFERROR(__xludf.DUMMYFUNCTION("""COMPUTED_VALUE"""),"Cosmetics")</f>
        <v>Cosmetics</v>
      </c>
      <c r="B295" s="46" t="str">
        <f>IFERROR(__xludf.DUMMYFUNCTION("""COMPUTED_VALUE"""),"Malta")</f>
        <v>Malta</v>
      </c>
      <c r="C295" s="46" t="str">
        <f>IFERROR(__xludf.DUMMYFUNCTION("""COMPUTED_VALUE"""),"Europe")</f>
        <v>Europe</v>
      </c>
      <c r="D295" s="90">
        <f>IFERROR(__xludf.DUMMYFUNCTION("""COMPUTED_VALUE"""),42309.0)</f>
        <v>42309</v>
      </c>
      <c r="E295" s="46">
        <f>IFERROR(__xludf.DUMMYFUNCTION("""COMPUTED_VALUE"""),2015.0)</f>
        <v>2015</v>
      </c>
      <c r="F295" s="46">
        <f>IFERROR(__xludf.DUMMYFUNCTION("""COMPUTED_VALUE"""),1.0)</f>
        <v>1</v>
      </c>
      <c r="G295" s="46">
        <f>IFERROR(__xludf.DUMMYFUNCTION("""COMPUTED_VALUE"""),2098.0)</f>
        <v>2098</v>
      </c>
      <c r="H295" s="46">
        <f>IFERROR(__xludf.DUMMYFUNCTION("""COMPUTED_VALUE"""),917245.6)</f>
        <v>917245.6</v>
      </c>
      <c r="I295" s="46">
        <f>IFERROR(__xludf.DUMMYFUNCTION("""COMPUTED_VALUE"""),552466.34)</f>
        <v>552466.34</v>
      </c>
      <c r="J295" s="46">
        <f>IFERROR(__xludf.DUMMYFUNCTION("""COMPUTED_VALUE"""),364779.26)</f>
        <v>364779.26</v>
      </c>
      <c r="K295" s="46" t="str">
        <f t="array" ref="K295">TEXT(D295, "mmmm")</f>
        <v>November</v>
      </c>
      <c r="M295" s="46" t="str">
        <f>IFERROR(__xludf.DUMMYFUNCTION("""COMPUTED_VALUE"""),"Andorra")</f>
        <v>Andorra</v>
      </c>
      <c r="N295" s="94">
        <f>IFERROR(__xludf.DUMMYFUNCTION("""COMPUTED_VALUE"""),40909.0)</f>
        <v>40909</v>
      </c>
      <c r="O295" s="46">
        <f>IFERROR(__xludf.DUMMYFUNCTION("""COMPUTED_VALUE"""),1.0)</f>
        <v>1</v>
      </c>
      <c r="P295" s="46">
        <f>IFERROR(__xludf.DUMMYFUNCTION("""COMPUTED_VALUE"""),4543.0)</f>
        <v>4543</v>
      </c>
      <c r="Q295" s="46">
        <f>IFERROR(__xludf.DUMMYFUNCTION("""COMPUTED_VALUE"""),1159737.04)</f>
        <v>1159737.04</v>
      </c>
      <c r="R295" s="46">
        <f>IFERROR(__xludf.DUMMYFUNCTION("""COMPUTED_VALUE"""),724245.0599999999)</f>
        <v>724245.06</v>
      </c>
      <c r="S295" s="46">
        <f>IFERROR(__xludf.DUMMYFUNCTION("""COMPUTED_VALUE"""),435491.9800000001)</f>
        <v>435491.98</v>
      </c>
    </row>
    <row r="296">
      <c r="A296" s="46" t="str">
        <f>IFERROR(__xludf.DUMMYFUNCTION("""COMPUTED_VALUE"""),"Cosmetics")</f>
        <v>Cosmetics</v>
      </c>
      <c r="B296" s="46" t="str">
        <f>IFERROR(__xludf.DUMMYFUNCTION("""COMPUTED_VALUE"""),"Undefined")</f>
        <v>Undefined</v>
      </c>
      <c r="C296" s="46" t="str">
        <f>IFERROR(__xludf.DUMMYFUNCTION("""COMPUTED_VALUE"""),"Undefined")</f>
        <v>Undefined</v>
      </c>
      <c r="D296" s="90">
        <f>IFERROR(__xludf.DUMMYFUNCTION("""COMPUTED_VALUE"""),42309.0)</f>
        <v>42309</v>
      </c>
      <c r="E296" s="46">
        <f>IFERROR(__xludf.DUMMYFUNCTION("""COMPUTED_VALUE"""),2015.0)</f>
        <v>2015</v>
      </c>
      <c r="F296" s="46">
        <f>IFERROR(__xludf.DUMMYFUNCTION("""COMPUTED_VALUE"""),1.0)</f>
        <v>1</v>
      </c>
      <c r="G296" s="46">
        <f>IFERROR(__xludf.DUMMYFUNCTION("""COMPUTED_VALUE"""),5282.0)</f>
        <v>5282</v>
      </c>
      <c r="H296" s="46">
        <f>IFERROR(__xludf.DUMMYFUNCTION("""COMPUTED_VALUE"""),2309290.4)</f>
        <v>2309290.4</v>
      </c>
      <c r="I296" s="46">
        <f>IFERROR(__xludf.DUMMYFUNCTION("""COMPUTED_VALUE"""),1390909.0599999998)</f>
        <v>1390909.06</v>
      </c>
      <c r="J296" s="46">
        <f>IFERROR(__xludf.DUMMYFUNCTION("""COMPUTED_VALUE"""),918381.3400000001)</f>
        <v>918381.34</v>
      </c>
      <c r="K296" s="46" t="str">
        <f t="array" ref="K296">TEXT(D296, "mmmm")</f>
        <v>November</v>
      </c>
      <c r="M296" s="46" t="str">
        <f>IFERROR(__xludf.DUMMYFUNCTION("""COMPUTED_VALUE"""),"Armenia")</f>
        <v>Armenia</v>
      </c>
      <c r="N296" s="94">
        <f>IFERROR(__xludf.DUMMYFUNCTION("""COMPUTED_VALUE"""),40909.0)</f>
        <v>40909</v>
      </c>
      <c r="O296" s="46">
        <f>IFERROR(__xludf.DUMMYFUNCTION("""COMPUTED_VALUE"""),1.0)</f>
        <v>1</v>
      </c>
      <c r="P296" s="46">
        <f>IFERROR(__xludf.DUMMYFUNCTION("""COMPUTED_VALUE"""),791.0)</f>
        <v>791</v>
      </c>
      <c r="Q296" s="46">
        <f>IFERROR(__xludf.DUMMYFUNCTION("""COMPUTED_VALUE"""),201926.48)</f>
        <v>201926.48</v>
      </c>
      <c r="R296" s="46">
        <f>IFERROR(__xludf.DUMMYFUNCTION("""COMPUTED_VALUE"""),126101.21999999999)</f>
        <v>126101.22</v>
      </c>
      <c r="S296" s="46">
        <f>IFERROR(__xludf.DUMMYFUNCTION("""COMPUTED_VALUE"""),75825.26000000002)</f>
        <v>75825.26</v>
      </c>
    </row>
    <row r="297">
      <c r="A297" s="46" t="str">
        <f>IFERROR(__xludf.DUMMYFUNCTION("""COMPUTED_VALUE"""),"Fruits")</f>
        <v>Fruits</v>
      </c>
      <c r="B297" s="46" t="str">
        <f>IFERROR(__xludf.DUMMYFUNCTION("""COMPUTED_VALUE"""),"Switzerland")</f>
        <v>Switzerland</v>
      </c>
      <c r="C297" s="46" t="str">
        <f>IFERROR(__xludf.DUMMYFUNCTION("""COMPUTED_VALUE"""),"Europe")</f>
        <v>Europe</v>
      </c>
      <c r="D297" s="90">
        <f>IFERROR(__xludf.DUMMYFUNCTION("""COMPUTED_VALUE"""),42309.0)</f>
        <v>42309</v>
      </c>
      <c r="E297" s="46">
        <f>IFERROR(__xludf.DUMMYFUNCTION("""COMPUTED_VALUE"""),2015.0)</f>
        <v>2015</v>
      </c>
      <c r="F297" s="46">
        <f>IFERROR(__xludf.DUMMYFUNCTION("""COMPUTED_VALUE"""),1.0)</f>
        <v>1</v>
      </c>
      <c r="G297" s="46">
        <f>IFERROR(__xludf.DUMMYFUNCTION("""COMPUTED_VALUE"""),3118.0)</f>
        <v>3118</v>
      </c>
      <c r="H297" s="46">
        <f>IFERROR(__xludf.DUMMYFUNCTION("""COMPUTED_VALUE"""),29090.94)</f>
        <v>29090.94</v>
      </c>
      <c r="I297" s="46">
        <f>IFERROR(__xludf.DUMMYFUNCTION("""COMPUTED_VALUE"""),21576.56)</f>
        <v>21576.56</v>
      </c>
      <c r="J297" s="46">
        <f>IFERROR(__xludf.DUMMYFUNCTION("""COMPUTED_VALUE"""),7514.379999999997)</f>
        <v>7514.38</v>
      </c>
      <c r="K297" s="46" t="str">
        <f t="array" ref="K297">TEXT(D297, "mmmm")</f>
        <v>November</v>
      </c>
      <c r="M297" s="46" t="str">
        <f>IFERROR(__xludf.DUMMYFUNCTION("""COMPUTED_VALUE"""),"Austria")</f>
        <v>Austria</v>
      </c>
      <c r="N297" s="94">
        <f>IFERROR(__xludf.DUMMYFUNCTION("""COMPUTED_VALUE"""),40909.0)</f>
        <v>40909</v>
      </c>
      <c r="O297" s="46">
        <f>IFERROR(__xludf.DUMMYFUNCTION("""COMPUTED_VALUE"""),1.0)</f>
        <v>1</v>
      </c>
      <c r="P297" s="46">
        <f>IFERROR(__xludf.DUMMYFUNCTION("""COMPUTED_VALUE"""),1105.0)</f>
        <v>1105</v>
      </c>
      <c r="Q297" s="46">
        <f>IFERROR(__xludf.DUMMYFUNCTION("""COMPUTED_VALUE"""),168600.90000000002)</f>
        <v>168600.9</v>
      </c>
      <c r="R297" s="46">
        <f>IFERROR(__xludf.DUMMYFUNCTION("""COMPUTED_VALUE"""),107671.2)</f>
        <v>107671.2</v>
      </c>
      <c r="S297" s="46">
        <f>IFERROR(__xludf.DUMMYFUNCTION("""COMPUTED_VALUE"""),60929.700000000026)</f>
        <v>60929.7</v>
      </c>
    </row>
    <row r="298">
      <c r="A298" s="46" t="str">
        <f>IFERROR(__xludf.DUMMYFUNCTION("""COMPUTED_VALUE"""),"Household")</f>
        <v>Household</v>
      </c>
      <c r="B298" s="46" t="str">
        <f>IFERROR(__xludf.DUMMYFUNCTION("""COMPUTED_VALUE"""),"Undefined")</f>
        <v>Undefined</v>
      </c>
      <c r="C298" s="46" t="str">
        <f>IFERROR(__xludf.DUMMYFUNCTION("""COMPUTED_VALUE"""),"Undefined")</f>
        <v>Undefined</v>
      </c>
      <c r="D298" s="90">
        <f>IFERROR(__xludf.DUMMYFUNCTION("""COMPUTED_VALUE"""),42309.0)</f>
        <v>42309</v>
      </c>
      <c r="E298" s="46">
        <f>IFERROR(__xludf.DUMMYFUNCTION("""COMPUTED_VALUE"""),2015.0)</f>
        <v>2015</v>
      </c>
      <c r="F298" s="46">
        <f>IFERROR(__xludf.DUMMYFUNCTION("""COMPUTED_VALUE"""),1.0)</f>
        <v>1</v>
      </c>
      <c r="G298" s="46">
        <f>IFERROR(__xludf.DUMMYFUNCTION("""COMPUTED_VALUE"""),3801.0)</f>
        <v>3801</v>
      </c>
      <c r="H298" s="46">
        <f>IFERROR(__xludf.DUMMYFUNCTION("""COMPUTED_VALUE"""),2540094.27)</f>
        <v>2540094.27</v>
      </c>
      <c r="I298" s="46">
        <f>IFERROR(__xludf.DUMMYFUNCTION("""COMPUTED_VALUE"""),1910154.54)</f>
        <v>1910154.54</v>
      </c>
      <c r="J298" s="46">
        <f>IFERROR(__xludf.DUMMYFUNCTION("""COMPUTED_VALUE"""),629939.73)</f>
        <v>629939.73</v>
      </c>
      <c r="K298" s="46" t="str">
        <f t="array" ref="K298">TEXT(D298, "mmmm")</f>
        <v>November</v>
      </c>
      <c r="M298" s="46" t="str">
        <f>IFERROR(__xludf.DUMMYFUNCTION("""COMPUTED_VALUE"""),"Cyprus")</f>
        <v>Cyprus</v>
      </c>
      <c r="N298" s="94">
        <f>IFERROR(__xludf.DUMMYFUNCTION("""COMPUTED_VALUE"""),40909.0)</f>
        <v>40909</v>
      </c>
      <c r="O298" s="46">
        <f>IFERROR(__xludf.DUMMYFUNCTION("""COMPUTED_VALUE"""),1.0)</f>
        <v>1</v>
      </c>
      <c r="P298" s="46">
        <f>IFERROR(__xludf.DUMMYFUNCTION("""COMPUTED_VALUE"""),6506.0)</f>
        <v>6506</v>
      </c>
      <c r="Q298" s="46">
        <f>IFERROR(__xludf.DUMMYFUNCTION("""COMPUTED_VALUE"""),710975.68)</f>
        <v>710975.68</v>
      </c>
      <c r="R298" s="46">
        <f>IFERROR(__xludf.DUMMYFUNCTION("""COMPUTED_VALUE"""),233175.04)</f>
        <v>233175.04</v>
      </c>
      <c r="S298" s="46">
        <f>IFERROR(__xludf.DUMMYFUNCTION("""COMPUTED_VALUE"""),477800.64)</f>
        <v>477800.64</v>
      </c>
    </row>
    <row r="299">
      <c r="A299" s="46" t="str">
        <f>IFERROR(__xludf.DUMMYFUNCTION("""COMPUTED_VALUE"""),"Meat")</f>
        <v>Meat</v>
      </c>
      <c r="B299" s="46" t="str">
        <f>IFERROR(__xludf.DUMMYFUNCTION("""COMPUTED_VALUE"""),"Armenia")</f>
        <v>Armenia</v>
      </c>
      <c r="C299" s="46" t="str">
        <f>IFERROR(__xludf.DUMMYFUNCTION("""COMPUTED_VALUE"""),"Asia")</f>
        <v>Asia</v>
      </c>
      <c r="D299" s="90">
        <f>IFERROR(__xludf.DUMMYFUNCTION("""COMPUTED_VALUE"""),42309.0)</f>
        <v>42309</v>
      </c>
      <c r="E299" s="46">
        <f>IFERROR(__xludf.DUMMYFUNCTION("""COMPUTED_VALUE"""),2015.0)</f>
        <v>2015</v>
      </c>
      <c r="F299" s="46">
        <f>IFERROR(__xludf.DUMMYFUNCTION("""COMPUTED_VALUE"""),1.0)</f>
        <v>1</v>
      </c>
      <c r="G299" s="46">
        <f>IFERROR(__xludf.DUMMYFUNCTION("""COMPUTED_VALUE"""),7390.0)</f>
        <v>7390</v>
      </c>
      <c r="H299" s="46">
        <f>IFERROR(__xludf.DUMMYFUNCTION("""COMPUTED_VALUE"""),3117767.1)</f>
        <v>3117767.1</v>
      </c>
      <c r="I299" s="46">
        <f>IFERROR(__xludf.DUMMYFUNCTION("""COMPUTED_VALUE"""),2695059.1)</f>
        <v>2695059.1</v>
      </c>
      <c r="J299" s="46">
        <f>IFERROR(__xludf.DUMMYFUNCTION("""COMPUTED_VALUE"""),422708.0)</f>
        <v>422708</v>
      </c>
      <c r="K299" s="46" t="str">
        <f t="array" ref="K299">TEXT(D299, "mmmm")</f>
        <v>November</v>
      </c>
      <c r="M299" s="46" t="str">
        <f>IFERROR(__xludf.DUMMYFUNCTION("""COMPUTED_VALUE"""),"France")</f>
        <v>France</v>
      </c>
      <c r="N299" s="94">
        <f>IFERROR(__xludf.DUMMYFUNCTION("""COMPUTED_VALUE"""),40909.0)</f>
        <v>40909</v>
      </c>
      <c r="O299" s="46">
        <f>IFERROR(__xludf.DUMMYFUNCTION("""COMPUTED_VALUE"""),1.0)</f>
        <v>1</v>
      </c>
      <c r="P299" s="46">
        <f>IFERROR(__xludf.DUMMYFUNCTION("""COMPUTED_VALUE"""),3827.0)</f>
        <v>3827</v>
      </c>
      <c r="Q299" s="46">
        <f>IFERROR(__xludf.DUMMYFUNCTION("""COMPUTED_VALUE"""),2492180.67)</f>
        <v>2492180.67</v>
      </c>
      <c r="R299" s="46">
        <f>IFERROR(__xludf.DUMMYFUNCTION("""COMPUTED_VALUE"""),2009021.9200000002)</f>
        <v>2009021.92</v>
      </c>
      <c r="S299" s="46">
        <f>IFERROR(__xludf.DUMMYFUNCTION("""COMPUTED_VALUE"""),483158.74999999977)</f>
        <v>483158.75</v>
      </c>
    </row>
    <row r="300">
      <c r="A300" s="46" t="str">
        <f>IFERROR(__xludf.DUMMYFUNCTION("""COMPUTED_VALUE"""),"Meat")</f>
        <v>Meat</v>
      </c>
      <c r="B300" s="46" t="str">
        <f>IFERROR(__xludf.DUMMYFUNCTION("""COMPUTED_VALUE"""),"France")</f>
        <v>France</v>
      </c>
      <c r="C300" s="46" t="str">
        <f>IFERROR(__xludf.DUMMYFUNCTION("""COMPUTED_VALUE"""),"Europe")</f>
        <v>Europe</v>
      </c>
      <c r="D300" s="90">
        <f>IFERROR(__xludf.DUMMYFUNCTION("""COMPUTED_VALUE"""),42309.0)</f>
        <v>42309</v>
      </c>
      <c r="E300" s="46">
        <f>IFERROR(__xludf.DUMMYFUNCTION("""COMPUTED_VALUE"""),2015.0)</f>
        <v>2015</v>
      </c>
      <c r="F300" s="46">
        <f>IFERROR(__xludf.DUMMYFUNCTION("""COMPUTED_VALUE"""),1.0)</f>
        <v>1</v>
      </c>
      <c r="G300" s="46">
        <f>IFERROR(__xludf.DUMMYFUNCTION("""COMPUTED_VALUE"""),257.0)</f>
        <v>257</v>
      </c>
      <c r="H300" s="46">
        <f>IFERROR(__xludf.DUMMYFUNCTION("""COMPUTED_VALUE"""),108425.73)</f>
        <v>108425.73</v>
      </c>
      <c r="I300" s="46">
        <f>IFERROR(__xludf.DUMMYFUNCTION("""COMPUTED_VALUE"""),93725.33)</f>
        <v>93725.33</v>
      </c>
      <c r="J300" s="46">
        <f>IFERROR(__xludf.DUMMYFUNCTION("""COMPUTED_VALUE"""),14700.399999999994)</f>
        <v>14700.4</v>
      </c>
      <c r="K300" s="46" t="str">
        <f t="array" ref="K300">TEXT(D300, "mmmm")</f>
        <v>November</v>
      </c>
      <c r="M300" s="46" t="str">
        <f>IFERROR(__xludf.DUMMYFUNCTION("""COMPUTED_VALUE"""),"Greece")</f>
        <v>Greece</v>
      </c>
      <c r="N300" s="94">
        <f>IFERROR(__xludf.DUMMYFUNCTION("""COMPUTED_VALUE"""),40909.0)</f>
        <v>40909</v>
      </c>
      <c r="O300" s="46">
        <f>IFERROR(__xludf.DUMMYFUNCTION("""COMPUTED_VALUE"""),1.0)</f>
        <v>1</v>
      </c>
      <c r="P300" s="46">
        <f>IFERROR(__xludf.DUMMYFUNCTION("""COMPUTED_VALUE"""),9146.0)</f>
        <v>9146</v>
      </c>
      <c r="Q300" s="46">
        <f>IFERROR(__xludf.DUMMYFUNCTION("""COMPUTED_VALUE"""),6111997.42)</f>
        <v>6111997.42</v>
      </c>
      <c r="R300" s="46">
        <f>IFERROR(__xludf.DUMMYFUNCTION("""COMPUTED_VALUE"""),4596230.84)</f>
        <v>4596230.84</v>
      </c>
      <c r="S300" s="46">
        <f>IFERROR(__xludf.DUMMYFUNCTION("""COMPUTED_VALUE"""),1515766.58)</f>
        <v>1515766.58</v>
      </c>
    </row>
    <row r="301">
      <c r="A301" s="46" t="str">
        <f>IFERROR(__xludf.DUMMYFUNCTION("""COMPUTED_VALUE"""),"Office Supplies")</f>
        <v>Office Supplies</v>
      </c>
      <c r="B301" s="46" t="str">
        <f>IFERROR(__xludf.DUMMYFUNCTION("""COMPUTED_VALUE"""),"Bosnia and Herzegovina")</f>
        <v>Bosnia and Herzegovina</v>
      </c>
      <c r="C301" s="46" t="str">
        <f>IFERROR(__xludf.DUMMYFUNCTION("""COMPUTED_VALUE"""),"Europe")</f>
        <v>Europe</v>
      </c>
      <c r="D301" s="90">
        <f>IFERROR(__xludf.DUMMYFUNCTION("""COMPUTED_VALUE"""),42309.0)</f>
        <v>42309</v>
      </c>
      <c r="E301" s="46">
        <f>IFERROR(__xludf.DUMMYFUNCTION("""COMPUTED_VALUE"""),2015.0)</f>
        <v>2015</v>
      </c>
      <c r="F301" s="46">
        <f>IFERROR(__xludf.DUMMYFUNCTION("""COMPUTED_VALUE"""),1.0)</f>
        <v>1</v>
      </c>
      <c r="G301" s="46">
        <f>IFERROR(__xludf.DUMMYFUNCTION("""COMPUTED_VALUE"""),8632.0)</f>
        <v>8632</v>
      </c>
      <c r="H301" s="46">
        <f>IFERROR(__xludf.DUMMYFUNCTION("""COMPUTED_VALUE"""),5621244.720000001)</f>
        <v>5621244.72</v>
      </c>
      <c r="I301" s="46">
        <f>IFERROR(__xludf.DUMMYFUNCTION("""COMPUTED_VALUE"""),4531454.720000001)</f>
        <v>4531454.72</v>
      </c>
      <c r="J301" s="46">
        <f>IFERROR(__xludf.DUMMYFUNCTION("""COMPUTED_VALUE"""),1089790.0)</f>
        <v>1089790</v>
      </c>
      <c r="K301" s="46" t="str">
        <f t="array" ref="K301">TEXT(D301, "mmmm")</f>
        <v>November</v>
      </c>
      <c r="M301" s="46" t="str">
        <f>IFERROR(__xludf.DUMMYFUNCTION("""COMPUTED_VALUE"""),"Iceland")</f>
        <v>Iceland</v>
      </c>
      <c r="N301" s="94">
        <f>IFERROR(__xludf.DUMMYFUNCTION("""COMPUTED_VALUE"""),40909.0)</f>
        <v>40909</v>
      </c>
      <c r="O301" s="46">
        <f>IFERROR(__xludf.DUMMYFUNCTION("""COMPUTED_VALUE"""),1.0)</f>
        <v>1</v>
      </c>
      <c r="P301" s="46">
        <f>IFERROR(__xludf.DUMMYFUNCTION("""COMPUTED_VALUE"""),8253.0)</f>
        <v>8253</v>
      </c>
      <c r="Q301" s="46">
        <f>IFERROR(__xludf.DUMMYFUNCTION("""COMPUTED_VALUE"""),5374436.13)</f>
        <v>5374436.13</v>
      </c>
      <c r="R301" s="46">
        <f>IFERROR(__xludf.DUMMYFUNCTION("""COMPUTED_VALUE"""),4332494.88)</f>
        <v>4332494.88</v>
      </c>
      <c r="S301" s="46">
        <f>IFERROR(__xludf.DUMMYFUNCTION("""COMPUTED_VALUE"""),1041941.25)</f>
        <v>1041941.25</v>
      </c>
    </row>
    <row r="302">
      <c r="A302" s="46" t="str">
        <f>IFERROR(__xludf.DUMMYFUNCTION("""COMPUTED_VALUE"""),"Office Supplies")</f>
        <v>Office Supplies</v>
      </c>
      <c r="B302" s="46" t="str">
        <f>IFERROR(__xludf.DUMMYFUNCTION("""COMPUTED_VALUE"""),"Bulgaria")</f>
        <v>Bulgaria</v>
      </c>
      <c r="C302" s="46" t="str">
        <f>IFERROR(__xludf.DUMMYFUNCTION("""COMPUTED_VALUE"""),"Europe")</f>
        <v>Europe</v>
      </c>
      <c r="D302" s="90">
        <f>IFERROR(__xludf.DUMMYFUNCTION("""COMPUTED_VALUE"""),42309.0)</f>
        <v>42309</v>
      </c>
      <c r="E302" s="46">
        <f>IFERROR(__xludf.DUMMYFUNCTION("""COMPUTED_VALUE"""),2015.0)</f>
        <v>2015</v>
      </c>
      <c r="F302" s="46">
        <f>IFERROR(__xludf.DUMMYFUNCTION("""COMPUTED_VALUE"""),1.0)</f>
        <v>1</v>
      </c>
      <c r="G302" s="46">
        <f>IFERROR(__xludf.DUMMYFUNCTION("""COMPUTED_VALUE"""),4047.0)</f>
        <v>4047</v>
      </c>
      <c r="H302" s="46">
        <f>IFERROR(__xludf.DUMMYFUNCTION("""COMPUTED_VALUE"""),2635446.87)</f>
        <v>2635446.87</v>
      </c>
      <c r="I302" s="46">
        <f>IFERROR(__xludf.DUMMYFUNCTION("""COMPUTED_VALUE"""),2124513.12)</f>
        <v>2124513.12</v>
      </c>
      <c r="J302" s="46">
        <f>IFERROR(__xludf.DUMMYFUNCTION("""COMPUTED_VALUE"""),510933.75)</f>
        <v>510933.75</v>
      </c>
      <c r="K302" s="46" t="str">
        <f t="array" ref="K302">TEXT(D302, "mmmm")</f>
        <v>November</v>
      </c>
      <c r="M302" s="46" t="str">
        <f>IFERROR(__xludf.DUMMYFUNCTION("""COMPUTED_VALUE"""),"Liechtenstein")</f>
        <v>Liechtenstein</v>
      </c>
      <c r="N302" s="94">
        <f>IFERROR(__xludf.DUMMYFUNCTION("""COMPUTED_VALUE"""),40909.0)</f>
        <v>40909</v>
      </c>
      <c r="O302" s="46">
        <f>IFERROR(__xludf.DUMMYFUNCTION("""COMPUTED_VALUE"""),1.0)</f>
        <v>1</v>
      </c>
      <c r="P302" s="46">
        <f>IFERROR(__xludf.DUMMYFUNCTION("""COMPUTED_VALUE"""),6779.0)</f>
        <v>6779</v>
      </c>
      <c r="Q302" s="46">
        <f>IFERROR(__xludf.DUMMYFUNCTION("""COMPUTED_VALUE"""),554047.67)</f>
        <v>554047.67</v>
      </c>
      <c r="R302" s="46">
        <f>IFERROR(__xludf.DUMMYFUNCTION("""COMPUTED_VALUE"""),384165.93)</f>
        <v>384165.93</v>
      </c>
      <c r="S302" s="46">
        <f>IFERROR(__xludf.DUMMYFUNCTION("""COMPUTED_VALUE"""),169881.74000000005)</f>
        <v>169881.74</v>
      </c>
    </row>
    <row r="303">
      <c r="A303" s="46" t="str">
        <f>IFERROR(__xludf.DUMMYFUNCTION("""COMPUTED_VALUE"""),"Office Supplies")</f>
        <v>Office Supplies</v>
      </c>
      <c r="B303" s="46" t="str">
        <f>IFERROR(__xludf.DUMMYFUNCTION("""COMPUTED_VALUE"""),"Liechtenstein")</f>
        <v>Liechtenstein</v>
      </c>
      <c r="C303" s="46" t="str">
        <f>IFERROR(__xludf.DUMMYFUNCTION("""COMPUTED_VALUE"""),"Europe")</f>
        <v>Europe</v>
      </c>
      <c r="D303" s="90">
        <f>IFERROR(__xludf.DUMMYFUNCTION("""COMPUTED_VALUE"""),42309.0)</f>
        <v>42309</v>
      </c>
      <c r="E303" s="46">
        <f>IFERROR(__xludf.DUMMYFUNCTION("""COMPUTED_VALUE"""),2015.0)</f>
        <v>2015</v>
      </c>
      <c r="F303" s="46">
        <f>IFERROR(__xludf.DUMMYFUNCTION("""COMPUTED_VALUE"""),1.0)</f>
        <v>1</v>
      </c>
      <c r="G303" s="46">
        <f>IFERROR(__xludf.DUMMYFUNCTION("""COMPUTED_VALUE"""),7322.0)</f>
        <v>7322</v>
      </c>
      <c r="H303" s="46">
        <f>IFERROR(__xludf.DUMMYFUNCTION("""COMPUTED_VALUE"""),4768159.62)</f>
        <v>4768159.62</v>
      </c>
      <c r="I303" s="46">
        <f>IFERROR(__xludf.DUMMYFUNCTION("""COMPUTED_VALUE"""),3843757.12)</f>
        <v>3843757.12</v>
      </c>
      <c r="J303" s="46">
        <f>IFERROR(__xludf.DUMMYFUNCTION("""COMPUTED_VALUE"""),924402.5)</f>
        <v>924402.5</v>
      </c>
      <c r="K303" s="46" t="str">
        <f t="array" ref="K303">TEXT(D303, "mmmm")</f>
        <v>November</v>
      </c>
      <c r="M303" s="46" t="str">
        <f>IFERROR(__xludf.DUMMYFUNCTION("""COMPUTED_VALUE"""),"Lithuania")</f>
        <v>Lithuania</v>
      </c>
      <c r="N303" s="94">
        <f>IFERROR(__xludf.DUMMYFUNCTION("""COMPUTED_VALUE"""),40909.0)</f>
        <v>40909</v>
      </c>
      <c r="O303" s="46">
        <f>IFERROR(__xludf.DUMMYFUNCTION("""COMPUTED_VALUE"""),2.0)</f>
        <v>2</v>
      </c>
      <c r="P303" s="46">
        <f>IFERROR(__xludf.DUMMYFUNCTION("""COMPUTED_VALUE"""),7961.0)</f>
        <v>7961</v>
      </c>
      <c r="Q303" s="46">
        <f>IFERROR(__xludf.DUMMYFUNCTION("""COMPUTED_VALUE"""),4113218.8600000003)</f>
        <v>4113218.86</v>
      </c>
      <c r="R303" s="46">
        <f>IFERROR(__xludf.DUMMYFUNCTION("""COMPUTED_VALUE"""),2751327.11)</f>
        <v>2751327.11</v>
      </c>
      <c r="S303" s="46">
        <f>IFERROR(__xludf.DUMMYFUNCTION("""COMPUTED_VALUE"""),1361891.7500000002)</f>
        <v>1361891.75</v>
      </c>
    </row>
    <row r="304">
      <c r="A304" s="46" t="str">
        <f>IFERROR(__xludf.DUMMYFUNCTION("""COMPUTED_VALUE"""),"Office Supplies")</f>
        <v>Office Supplies</v>
      </c>
      <c r="B304" s="46" t="str">
        <f>IFERROR(__xludf.DUMMYFUNCTION("""COMPUTED_VALUE"""),"Poland")</f>
        <v>Poland</v>
      </c>
      <c r="C304" s="46" t="str">
        <f>IFERROR(__xludf.DUMMYFUNCTION("""COMPUTED_VALUE"""),"Europe")</f>
        <v>Europe</v>
      </c>
      <c r="D304" s="90">
        <f>IFERROR(__xludf.DUMMYFUNCTION("""COMPUTED_VALUE"""),42309.0)</f>
        <v>42309</v>
      </c>
      <c r="E304" s="46">
        <f>IFERROR(__xludf.DUMMYFUNCTION("""COMPUTED_VALUE"""),2015.0)</f>
        <v>2015</v>
      </c>
      <c r="F304" s="46">
        <f>IFERROR(__xludf.DUMMYFUNCTION("""COMPUTED_VALUE"""),1.0)</f>
        <v>1</v>
      </c>
      <c r="G304" s="46">
        <f>IFERROR(__xludf.DUMMYFUNCTION("""COMPUTED_VALUE"""),8815.0)</f>
        <v>8815</v>
      </c>
      <c r="H304" s="46">
        <f>IFERROR(__xludf.DUMMYFUNCTION("""COMPUTED_VALUE"""),5740416.15)</f>
        <v>5740416.15</v>
      </c>
      <c r="I304" s="46">
        <f>IFERROR(__xludf.DUMMYFUNCTION("""COMPUTED_VALUE"""),4627522.4)</f>
        <v>4627522.4</v>
      </c>
      <c r="J304" s="46">
        <f>IFERROR(__xludf.DUMMYFUNCTION("""COMPUTED_VALUE"""),1112893.75)</f>
        <v>1112893.75</v>
      </c>
      <c r="K304" s="46" t="str">
        <f t="array" ref="K304">TEXT(D304, "mmmm")</f>
        <v>November</v>
      </c>
      <c r="M304" s="46" t="str">
        <f>IFERROR(__xludf.DUMMYFUNCTION("""COMPUTED_VALUE"""),"Malta")</f>
        <v>Malta</v>
      </c>
      <c r="N304" s="94">
        <f>IFERROR(__xludf.DUMMYFUNCTION("""COMPUTED_VALUE"""),40909.0)</f>
        <v>40909</v>
      </c>
      <c r="O304" s="46">
        <f>IFERROR(__xludf.DUMMYFUNCTION("""COMPUTED_VALUE"""),1.0)</f>
        <v>1</v>
      </c>
      <c r="P304" s="46">
        <f>IFERROR(__xludf.DUMMYFUNCTION("""COMPUTED_VALUE"""),7683.0)</f>
        <v>7683</v>
      </c>
      <c r="Q304" s="46">
        <f>IFERROR(__xludf.DUMMYFUNCTION("""COMPUTED_VALUE"""),1172272.1400000001)</f>
        <v>1172272.14</v>
      </c>
      <c r="R304" s="46">
        <f>IFERROR(__xludf.DUMMYFUNCTION("""COMPUTED_VALUE"""),748631.52)</f>
        <v>748631.52</v>
      </c>
      <c r="S304" s="46">
        <f>IFERROR(__xludf.DUMMYFUNCTION("""COMPUTED_VALUE"""),423640.6200000001)</f>
        <v>423640.62</v>
      </c>
    </row>
    <row r="305">
      <c r="A305" s="46" t="str">
        <f>IFERROR(__xludf.DUMMYFUNCTION("""COMPUTED_VALUE"""),"Snacks")</f>
        <v>Snacks</v>
      </c>
      <c r="B305" s="46" t="str">
        <f>IFERROR(__xludf.DUMMYFUNCTION("""COMPUTED_VALUE"""),"Russia")</f>
        <v>Russia</v>
      </c>
      <c r="C305" s="46" t="str">
        <f>IFERROR(__xludf.DUMMYFUNCTION("""COMPUTED_VALUE"""),"Europe")</f>
        <v>Europe</v>
      </c>
      <c r="D305" s="90">
        <f>IFERROR(__xludf.DUMMYFUNCTION("""COMPUTED_VALUE"""),42309.0)</f>
        <v>42309</v>
      </c>
      <c r="E305" s="46">
        <f>IFERROR(__xludf.DUMMYFUNCTION("""COMPUTED_VALUE"""),2015.0)</f>
        <v>2015</v>
      </c>
      <c r="F305" s="46">
        <f>IFERROR(__xludf.DUMMYFUNCTION("""COMPUTED_VALUE"""),1.0)</f>
        <v>1</v>
      </c>
      <c r="G305" s="46">
        <f>IFERROR(__xludf.DUMMYFUNCTION("""COMPUTED_VALUE"""),6052.0)</f>
        <v>6052</v>
      </c>
      <c r="H305" s="46">
        <f>IFERROR(__xludf.DUMMYFUNCTION("""COMPUTED_VALUE"""),923414.16)</f>
        <v>923414.16</v>
      </c>
      <c r="I305" s="46">
        <f>IFERROR(__xludf.DUMMYFUNCTION("""COMPUTED_VALUE"""),589706.88)</f>
        <v>589706.88</v>
      </c>
      <c r="J305" s="46">
        <f>IFERROR(__xludf.DUMMYFUNCTION("""COMPUTED_VALUE"""),333707.28)</f>
        <v>333707.28</v>
      </c>
      <c r="K305" s="46" t="str">
        <f t="array" ref="K305">TEXT(D305, "mmmm")</f>
        <v>November</v>
      </c>
      <c r="M305" s="46" t="str">
        <f>IFERROR(__xludf.DUMMYFUNCTION("""COMPUTED_VALUE"""),"Norway")</f>
        <v>Norway</v>
      </c>
      <c r="N305" s="94">
        <f>IFERROR(__xludf.DUMMYFUNCTION("""COMPUTED_VALUE"""),40909.0)</f>
        <v>40909</v>
      </c>
      <c r="O305" s="46">
        <f>IFERROR(__xludf.DUMMYFUNCTION("""COMPUTED_VALUE"""),1.0)</f>
        <v>1</v>
      </c>
      <c r="P305" s="46">
        <f>IFERROR(__xludf.DUMMYFUNCTION("""COMPUTED_VALUE"""),7923.0)</f>
        <v>7923</v>
      </c>
      <c r="Q305" s="46">
        <f>IFERROR(__xludf.DUMMYFUNCTION("""COMPUTED_VALUE"""),5159536.83)</f>
        <v>5159536.83</v>
      </c>
      <c r="R305" s="46">
        <f>IFERROR(__xludf.DUMMYFUNCTION("""COMPUTED_VALUE"""),4159258.08)</f>
        <v>4159258.08</v>
      </c>
      <c r="S305" s="46">
        <f>IFERROR(__xludf.DUMMYFUNCTION("""COMPUTED_VALUE"""),1000278.75)</f>
        <v>1000278.75</v>
      </c>
    </row>
    <row r="306">
      <c r="A306" s="46" t="str">
        <f>IFERROR(__xludf.DUMMYFUNCTION("""COMPUTED_VALUE"""),"Baby Food")</f>
        <v>Baby Food</v>
      </c>
      <c r="B306" s="46" t="str">
        <f>IFERROR(__xludf.DUMMYFUNCTION("""COMPUTED_VALUE"""),"United Kingdom")</f>
        <v>United Kingdom</v>
      </c>
      <c r="C306" s="46" t="str">
        <f>IFERROR(__xludf.DUMMYFUNCTION("""COMPUTED_VALUE"""),"Europe")</f>
        <v>Europe</v>
      </c>
      <c r="D306" s="90">
        <f>IFERROR(__xludf.DUMMYFUNCTION("""COMPUTED_VALUE"""),42278.0)</f>
        <v>42278</v>
      </c>
      <c r="E306" s="46">
        <f>IFERROR(__xludf.DUMMYFUNCTION("""COMPUTED_VALUE"""),2015.0)</f>
        <v>2015</v>
      </c>
      <c r="F306" s="46">
        <f>IFERROR(__xludf.DUMMYFUNCTION("""COMPUTED_VALUE"""),1.0)</f>
        <v>1</v>
      </c>
      <c r="G306" s="46">
        <f>IFERROR(__xludf.DUMMYFUNCTION("""COMPUTED_VALUE"""),5541.0)</f>
        <v>5541</v>
      </c>
      <c r="H306" s="46">
        <f>IFERROR(__xludf.DUMMYFUNCTION("""COMPUTED_VALUE"""),1414506.48)</f>
        <v>1414506.48</v>
      </c>
      <c r="I306" s="46">
        <f>IFERROR(__xludf.DUMMYFUNCTION("""COMPUTED_VALUE"""),883346.22)</f>
        <v>883346.22</v>
      </c>
      <c r="J306" s="46">
        <f>IFERROR(__xludf.DUMMYFUNCTION("""COMPUTED_VALUE"""),531160.26)</f>
        <v>531160.26</v>
      </c>
      <c r="K306" s="46" t="str">
        <f t="array" ref="K306">TEXT(D306, "mmmm")</f>
        <v>October</v>
      </c>
      <c r="M306" s="46" t="str">
        <f>IFERROR(__xludf.DUMMYFUNCTION("""COMPUTED_VALUE"""),"Portugal")</f>
        <v>Portugal</v>
      </c>
      <c r="N306" s="94">
        <f>IFERROR(__xludf.DUMMYFUNCTION("""COMPUTED_VALUE"""),40909.0)</f>
        <v>40909</v>
      </c>
      <c r="O306" s="46">
        <f>IFERROR(__xludf.DUMMYFUNCTION("""COMPUTED_VALUE"""),1.0)</f>
        <v>1</v>
      </c>
      <c r="P306" s="46">
        <f>IFERROR(__xludf.DUMMYFUNCTION("""COMPUTED_VALUE"""),1167.0)</f>
        <v>1167</v>
      </c>
      <c r="Q306" s="46">
        <f>IFERROR(__xludf.DUMMYFUNCTION("""COMPUTED_VALUE"""),779871.09)</f>
        <v>779871.09</v>
      </c>
      <c r="R306" s="46">
        <f>IFERROR(__xludf.DUMMYFUNCTION("""COMPUTED_VALUE"""),586464.18)</f>
        <v>586464.18</v>
      </c>
      <c r="S306" s="46">
        <f>IFERROR(__xludf.DUMMYFUNCTION("""COMPUTED_VALUE"""),193406.90999999992)</f>
        <v>193406.91</v>
      </c>
    </row>
    <row r="307">
      <c r="A307" s="46" t="str">
        <f>IFERROR(__xludf.DUMMYFUNCTION("""COMPUTED_VALUE"""),"Beverages")</f>
        <v>Beverages</v>
      </c>
      <c r="B307" s="46" t="str">
        <f>IFERROR(__xludf.DUMMYFUNCTION("""COMPUTED_VALUE"""),"Netherlands")</f>
        <v>Netherlands</v>
      </c>
      <c r="C307" s="46" t="str">
        <f>IFERROR(__xludf.DUMMYFUNCTION("""COMPUTED_VALUE"""),"Europe")</f>
        <v>Europe</v>
      </c>
      <c r="D307" s="90">
        <f>IFERROR(__xludf.DUMMYFUNCTION("""COMPUTED_VALUE"""),42278.0)</f>
        <v>42278</v>
      </c>
      <c r="E307" s="46">
        <f>IFERROR(__xludf.DUMMYFUNCTION("""COMPUTED_VALUE"""),2015.0)</f>
        <v>2015</v>
      </c>
      <c r="F307" s="46">
        <f>IFERROR(__xludf.DUMMYFUNCTION("""COMPUTED_VALUE"""),1.0)</f>
        <v>1</v>
      </c>
      <c r="G307" s="46">
        <f>IFERROR(__xludf.DUMMYFUNCTION("""COMPUTED_VALUE"""),3134.0)</f>
        <v>3134</v>
      </c>
      <c r="H307" s="46">
        <f>IFERROR(__xludf.DUMMYFUNCTION("""COMPUTED_VALUE"""),148708.30000000002)</f>
        <v>148708.3</v>
      </c>
      <c r="I307" s="46">
        <f>IFERROR(__xludf.DUMMYFUNCTION("""COMPUTED_VALUE"""),99629.86)</f>
        <v>99629.86</v>
      </c>
      <c r="J307" s="46">
        <f>IFERROR(__xludf.DUMMYFUNCTION("""COMPUTED_VALUE"""),49078.44000000002)</f>
        <v>49078.44</v>
      </c>
      <c r="K307" s="46" t="str">
        <f t="array" ref="K307">TEXT(D307, "mmmm")</f>
        <v>October</v>
      </c>
      <c r="M307" s="46" t="str">
        <f>IFERROR(__xludf.DUMMYFUNCTION("""COMPUTED_VALUE"""),"San Marino")</f>
        <v>San Marino</v>
      </c>
      <c r="N307" s="94">
        <f>IFERROR(__xludf.DUMMYFUNCTION("""COMPUTED_VALUE"""),40909.0)</f>
        <v>40909</v>
      </c>
      <c r="O307" s="46">
        <f>IFERROR(__xludf.DUMMYFUNCTION("""COMPUTED_VALUE"""),2.0)</f>
        <v>2</v>
      </c>
      <c r="P307" s="46">
        <f>IFERROR(__xludf.DUMMYFUNCTION("""COMPUTED_VALUE"""),9918.0)</f>
        <v>9918</v>
      </c>
      <c r="Q307" s="46">
        <f>IFERROR(__xludf.DUMMYFUNCTION("""COMPUTED_VALUE"""),635015.98)</f>
        <v>635015.98</v>
      </c>
      <c r="R307" s="46">
        <f>IFERROR(__xludf.DUMMYFUNCTION("""COMPUTED_VALUE"""),434617.7)</f>
        <v>434617.7</v>
      </c>
      <c r="S307" s="46">
        <f>IFERROR(__xludf.DUMMYFUNCTION("""COMPUTED_VALUE"""),200398.28000000003)</f>
        <v>200398.28</v>
      </c>
    </row>
    <row r="308">
      <c r="A308" s="46" t="str">
        <f>IFERROR(__xludf.DUMMYFUNCTION("""COMPUTED_VALUE"""),"Cereal")</f>
        <v>Cereal</v>
      </c>
      <c r="B308" s="46" t="str">
        <f>IFERROR(__xludf.DUMMYFUNCTION("""COMPUTED_VALUE"""),"Estonia")</f>
        <v>Estonia</v>
      </c>
      <c r="C308" s="46" t="str">
        <f>IFERROR(__xludf.DUMMYFUNCTION("""COMPUTED_VALUE"""),"Europe")</f>
        <v>Europe</v>
      </c>
      <c r="D308" s="90">
        <f>IFERROR(__xludf.DUMMYFUNCTION("""COMPUTED_VALUE"""),42278.0)</f>
        <v>42278</v>
      </c>
      <c r="E308" s="46">
        <f>IFERROR(__xludf.DUMMYFUNCTION("""COMPUTED_VALUE"""),2015.0)</f>
        <v>2015</v>
      </c>
      <c r="F308" s="46">
        <f>IFERROR(__xludf.DUMMYFUNCTION("""COMPUTED_VALUE"""),1.0)</f>
        <v>1</v>
      </c>
      <c r="G308" s="46">
        <f>IFERROR(__xludf.DUMMYFUNCTION("""COMPUTED_VALUE"""),7048.0)</f>
        <v>7048</v>
      </c>
      <c r="H308" s="46">
        <f>IFERROR(__xludf.DUMMYFUNCTION("""COMPUTED_VALUE"""),1449773.5999999999)</f>
        <v>1449773.6</v>
      </c>
      <c r="I308" s="46">
        <f>IFERROR(__xludf.DUMMYFUNCTION("""COMPUTED_VALUE"""),825391.28)</f>
        <v>825391.28</v>
      </c>
      <c r="J308" s="46">
        <f>IFERROR(__xludf.DUMMYFUNCTION("""COMPUTED_VALUE"""),624382.3199999998)</f>
        <v>624382.32</v>
      </c>
      <c r="K308" s="46" t="str">
        <f t="array" ref="K308">TEXT(D308, "mmmm")</f>
        <v>October</v>
      </c>
      <c r="M308" s="46" t="str">
        <f>IFERROR(__xludf.DUMMYFUNCTION("""COMPUTED_VALUE"""),"Sweden")</f>
        <v>Sweden</v>
      </c>
      <c r="N308" s="94">
        <f>IFERROR(__xludf.DUMMYFUNCTION("""COMPUTED_VALUE"""),40909.0)</f>
        <v>40909</v>
      </c>
      <c r="O308" s="46">
        <f>IFERROR(__xludf.DUMMYFUNCTION("""COMPUTED_VALUE"""),1.0)</f>
        <v>1</v>
      </c>
      <c r="P308" s="46">
        <f>IFERROR(__xludf.DUMMYFUNCTION("""COMPUTED_VALUE"""),8872.0)</f>
        <v>8872</v>
      </c>
      <c r="Q308" s="46">
        <f>IFERROR(__xludf.DUMMYFUNCTION("""COMPUTED_VALUE"""),1366820.32)</f>
        <v>1366820.32</v>
      </c>
      <c r="R308" s="46">
        <f>IFERROR(__xludf.DUMMYFUNCTION("""COMPUTED_VALUE"""),806730.9600000001)</f>
        <v>806730.96</v>
      </c>
      <c r="S308" s="46">
        <f>IFERROR(__xludf.DUMMYFUNCTION("""COMPUTED_VALUE"""),560089.36)</f>
        <v>560089.36</v>
      </c>
    </row>
    <row r="309">
      <c r="A309" s="46" t="str">
        <f>IFERROR(__xludf.DUMMYFUNCTION("""COMPUTED_VALUE"""),"Cereal")</f>
        <v>Cereal</v>
      </c>
      <c r="B309" s="46" t="str">
        <f>IFERROR(__xludf.DUMMYFUNCTION("""COMPUTED_VALUE"""),"Switzerland")</f>
        <v>Switzerland</v>
      </c>
      <c r="C309" s="46" t="str">
        <f>IFERROR(__xludf.DUMMYFUNCTION("""COMPUTED_VALUE"""),"Europe")</f>
        <v>Europe</v>
      </c>
      <c r="D309" s="90">
        <f>IFERROR(__xludf.DUMMYFUNCTION("""COMPUTED_VALUE"""),42278.0)</f>
        <v>42278</v>
      </c>
      <c r="E309" s="46">
        <f>IFERROR(__xludf.DUMMYFUNCTION("""COMPUTED_VALUE"""),2015.0)</f>
        <v>2015</v>
      </c>
      <c r="F309" s="46">
        <f>IFERROR(__xludf.DUMMYFUNCTION("""COMPUTED_VALUE"""),1.0)</f>
        <v>1</v>
      </c>
      <c r="G309" s="46">
        <f>IFERROR(__xludf.DUMMYFUNCTION("""COMPUTED_VALUE"""),4565.0)</f>
        <v>4565</v>
      </c>
      <c r="H309" s="46">
        <f>IFERROR(__xludf.DUMMYFUNCTION("""COMPUTED_VALUE"""),939020.5)</f>
        <v>939020.5</v>
      </c>
      <c r="I309" s="46">
        <f>IFERROR(__xludf.DUMMYFUNCTION("""COMPUTED_VALUE"""),534607.15)</f>
        <v>534607.15</v>
      </c>
      <c r="J309" s="46">
        <f>IFERROR(__xludf.DUMMYFUNCTION("""COMPUTED_VALUE"""),404413.35)</f>
        <v>404413.35</v>
      </c>
      <c r="K309" s="46" t="str">
        <f t="array" ref="K309">TEXT(D309, "mmmm")</f>
        <v>October</v>
      </c>
      <c r="M309" s="46" t="str">
        <f>IFERROR(__xludf.DUMMYFUNCTION("""COMPUTED_VALUE"""),"Ukraine")</f>
        <v>Ukraine</v>
      </c>
      <c r="N309" s="94">
        <f>IFERROR(__xludf.DUMMYFUNCTION("""COMPUTED_VALUE"""),40909.0)</f>
        <v>40909</v>
      </c>
      <c r="O309" s="46">
        <f>IFERROR(__xludf.DUMMYFUNCTION("""COMPUTED_VALUE"""),1.0)</f>
        <v>1</v>
      </c>
      <c r="P309" s="46">
        <f>IFERROR(__xludf.DUMMYFUNCTION("""COMPUTED_VALUE"""),9053.0)</f>
        <v>9053</v>
      </c>
      <c r="Q309" s="46">
        <f>IFERROR(__xludf.DUMMYFUNCTION("""COMPUTED_VALUE"""),3957971.6)</f>
        <v>3957971.6</v>
      </c>
      <c r="R309" s="46">
        <f>IFERROR(__xludf.DUMMYFUNCTION("""COMPUTED_VALUE"""),2383926.4899999998)</f>
        <v>2383926.49</v>
      </c>
      <c r="S309" s="46">
        <f>IFERROR(__xludf.DUMMYFUNCTION("""COMPUTED_VALUE"""),1574045.1100000003)</f>
        <v>1574045.11</v>
      </c>
    </row>
    <row r="310">
      <c r="A310" s="46" t="str">
        <f>IFERROR(__xludf.DUMMYFUNCTION("""COMPUTED_VALUE"""),"Fruits")</f>
        <v>Fruits</v>
      </c>
      <c r="B310" s="46" t="str">
        <f>IFERROR(__xludf.DUMMYFUNCTION("""COMPUTED_VALUE"""),"Greece")</f>
        <v>Greece</v>
      </c>
      <c r="C310" s="46" t="str">
        <f>IFERROR(__xludf.DUMMYFUNCTION("""COMPUTED_VALUE"""),"Europe")</f>
        <v>Europe</v>
      </c>
      <c r="D310" s="90">
        <f>IFERROR(__xludf.DUMMYFUNCTION("""COMPUTED_VALUE"""),42278.0)</f>
        <v>42278</v>
      </c>
      <c r="E310" s="46">
        <f>IFERROR(__xludf.DUMMYFUNCTION("""COMPUTED_VALUE"""),2015.0)</f>
        <v>2015</v>
      </c>
      <c r="F310" s="46">
        <f>IFERROR(__xludf.DUMMYFUNCTION("""COMPUTED_VALUE"""),1.0)</f>
        <v>1</v>
      </c>
      <c r="G310" s="46">
        <f>IFERROR(__xludf.DUMMYFUNCTION("""COMPUTED_VALUE"""),2523.0)</f>
        <v>2523</v>
      </c>
      <c r="H310" s="46">
        <f>IFERROR(__xludf.DUMMYFUNCTION("""COMPUTED_VALUE"""),23539.59)</f>
        <v>23539.59</v>
      </c>
      <c r="I310" s="46">
        <f>IFERROR(__xludf.DUMMYFUNCTION("""COMPUTED_VALUE"""),17459.16)</f>
        <v>17459.16</v>
      </c>
      <c r="J310" s="46">
        <f>IFERROR(__xludf.DUMMYFUNCTION("""COMPUTED_VALUE"""),6080.43)</f>
        <v>6080.43</v>
      </c>
      <c r="K310" s="46" t="str">
        <f t="array" ref="K310">TEXT(D310, "mmmm")</f>
        <v>October</v>
      </c>
      <c r="M310" s="46" t="str">
        <f>IFERROR(__xludf.DUMMYFUNCTION("""COMPUTED_VALUE"""),"Armenia")</f>
        <v>Armenia</v>
      </c>
      <c r="N310" s="94">
        <f>IFERROR(__xludf.DUMMYFUNCTION("""COMPUTED_VALUE"""),40940.0)</f>
        <v>40940</v>
      </c>
      <c r="O310" s="46">
        <f>IFERROR(__xludf.DUMMYFUNCTION("""COMPUTED_VALUE"""),1.0)</f>
        <v>1</v>
      </c>
      <c r="P310" s="46">
        <f>IFERROR(__xludf.DUMMYFUNCTION("""COMPUTED_VALUE"""),3796.0)</f>
        <v>3796</v>
      </c>
      <c r="Q310" s="46">
        <f>IFERROR(__xludf.DUMMYFUNCTION("""COMPUTED_VALUE"""),2536752.92)</f>
        <v>2536752.92</v>
      </c>
      <c r="R310" s="46">
        <f>IFERROR(__xludf.DUMMYFUNCTION("""COMPUTED_VALUE"""),1907641.84)</f>
        <v>1907641.84</v>
      </c>
      <c r="S310" s="46">
        <f>IFERROR(__xludf.DUMMYFUNCTION("""COMPUTED_VALUE"""),629111.0799999998)</f>
        <v>629111.08</v>
      </c>
    </row>
    <row r="311">
      <c r="A311" s="46" t="str">
        <f>IFERROR(__xludf.DUMMYFUNCTION("""COMPUTED_VALUE"""),"Fruits")</f>
        <v>Fruits</v>
      </c>
      <c r="B311" s="46" t="str">
        <f>IFERROR(__xludf.DUMMYFUNCTION("""COMPUTED_VALUE"""),"Spain")</f>
        <v>Spain</v>
      </c>
      <c r="C311" s="46" t="str">
        <f>IFERROR(__xludf.DUMMYFUNCTION("""COMPUTED_VALUE"""),"Europe")</f>
        <v>Europe</v>
      </c>
      <c r="D311" s="90">
        <f>IFERROR(__xludf.DUMMYFUNCTION("""COMPUTED_VALUE"""),42278.0)</f>
        <v>42278</v>
      </c>
      <c r="E311" s="46">
        <f>IFERROR(__xludf.DUMMYFUNCTION("""COMPUTED_VALUE"""),2015.0)</f>
        <v>2015</v>
      </c>
      <c r="F311" s="46">
        <f>IFERROR(__xludf.DUMMYFUNCTION("""COMPUTED_VALUE"""),1.0)</f>
        <v>1</v>
      </c>
      <c r="G311" s="46">
        <f>IFERROR(__xludf.DUMMYFUNCTION("""COMPUTED_VALUE"""),3540.0)</f>
        <v>3540</v>
      </c>
      <c r="H311" s="46">
        <f>IFERROR(__xludf.DUMMYFUNCTION("""COMPUTED_VALUE"""),33028.2)</f>
        <v>33028.2</v>
      </c>
      <c r="I311" s="46">
        <f>IFERROR(__xludf.DUMMYFUNCTION("""COMPUTED_VALUE"""),24496.8)</f>
        <v>24496.8</v>
      </c>
      <c r="J311" s="46">
        <f>IFERROR(__xludf.DUMMYFUNCTION("""COMPUTED_VALUE"""),8531.399999999998)</f>
        <v>8531.4</v>
      </c>
      <c r="K311" s="46" t="str">
        <f t="array" ref="K311">TEXT(D311, "mmmm")</f>
        <v>October</v>
      </c>
      <c r="M311" s="46" t="str">
        <f>IFERROR(__xludf.DUMMYFUNCTION("""COMPUTED_VALUE"""),"Bosnia and Herzegovina")</f>
        <v>Bosnia and Herzegovina</v>
      </c>
      <c r="N311" s="94">
        <f>IFERROR(__xludf.DUMMYFUNCTION("""COMPUTED_VALUE"""),40940.0)</f>
        <v>40940</v>
      </c>
      <c r="O311" s="46">
        <f>IFERROR(__xludf.DUMMYFUNCTION("""COMPUTED_VALUE"""),2.0)</f>
        <v>2</v>
      </c>
      <c r="P311" s="46">
        <f>IFERROR(__xludf.DUMMYFUNCTION("""COMPUTED_VALUE"""),15574.0)</f>
        <v>15574</v>
      </c>
      <c r="Q311" s="46">
        <f>IFERROR(__xludf.DUMMYFUNCTION("""COMPUTED_VALUE"""),4610936.9799999995)</f>
        <v>4610936.98</v>
      </c>
      <c r="R311" s="46">
        <f>IFERROR(__xludf.DUMMYFUNCTION("""COMPUTED_VALUE"""),2762760.2199999997)</f>
        <v>2762760.22</v>
      </c>
      <c r="S311" s="46">
        <f>IFERROR(__xludf.DUMMYFUNCTION("""COMPUTED_VALUE"""),1848176.7599999998)</f>
        <v>1848176.76</v>
      </c>
    </row>
    <row r="312">
      <c r="A312" s="46" t="str">
        <f>IFERROR(__xludf.DUMMYFUNCTION("""COMPUTED_VALUE"""),"Household")</f>
        <v>Household</v>
      </c>
      <c r="B312" s="46" t="str">
        <f>IFERROR(__xludf.DUMMYFUNCTION("""COMPUTED_VALUE"""),"Macedonia")</f>
        <v>Macedonia</v>
      </c>
      <c r="C312" s="46" t="str">
        <f>IFERROR(__xludf.DUMMYFUNCTION("""COMPUTED_VALUE"""),"Europe")</f>
        <v>Europe</v>
      </c>
      <c r="D312" s="90">
        <f>IFERROR(__xludf.DUMMYFUNCTION("""COMPUTED_VALUE"""),42278.0)</f>
        <v>42278</v>
      </c>
      <c r="E312" s="46">
        <f>IFERROR(__xludf.DUMMYFUNCTION("""COMPUTED_VALUE"""),2015.0)</f>
        <v>2015</v>
      </c>
      <c r="F312" s="46">
        <f>IFERROR(__xludf.DUMMYFUNCTION("""COMPUTED_VALUE"""),1.0)</f>
        <v>1</v>
      </c>
      <c r="G312" s="46">
        <f>IFERROR(__xludf.DUMMYFUNCTION("""COMPUTED_VALUE"""),9311.0)</f>
        <v>9311</v>
      </c>
      <c r="H312" s="46">
        <f>IFERROR(__xludf.DUMMYFUNCTION("""COMPUTED_VALUE"""),6222261.97)</f>
        <v>6222261.97</v>
      </c>
      <c r="I312" s="46">
        <f>IFERROR(__xludf.DUMMYFUNCTION("""COMPUTED_VALUE"""),4679149.94)</f>
        <v>4679149.94</v>
      </c>
      <c r="J312" s="46">
        <f>IFERROR(__xludf.DUMMYFUNCTION("""COMPUTED_VALUE"""),1543112.0299999993)</f>
        <v>1543112.03</v>
      </c>
      <c r="K312" s="46" t="str">
        <f t="array" ref="K312">TEXT(D312, "mmmm")</f>
        <v>October</v>
      </c>
      <c r="M312" s="46" t="str">
        <f>IFERROR(__xludf.DUMMYFUNCTION("""COMPUTED_VALUE"""),"Croatia")</f>
        <v>Croatia</v>
      </c>
      <c r="N312" s="94">
        <f>IFERROR(__xludf.DUMMYFUNCTION("""COMPUTED_VALUE"""),40940.0)</f>
        <v>40940</v>
      </c>
      <c r="O312" s="46">
        <f>IFERROR(__xludf.DUMMYFUNCTION("""COMPUTED_VALUE"""),1.0)</f>
        <v>1</v>
      </c>
      <c r="P312" s="46">
        <f>IFERROR(__xludf.DUMMYFUNCTION("""COMPUTED_VALUE"""),6267.0)</f>
        <v>6267</v>
      </c>
      <c r="Q312" s="46">
        <f>IFERROR(__xludf.DUMMYFUNCTION("""COMPUTED_VALUE"""),2739932.4)</f>
        <v>2739932.4</v>
      </c>
      <c r="R312" s="46">
        <f>IFERROR(__xludf.DUMMYFUNCTION("""COMPUTED_VALUE"""),1650289.1099999999)</f>
        <v>1650289.11</v>
      </c>
      <c r="S312" s="46">
        <f>IFERROR(__xludf.DUMMYFUNCTION("""COMPUTED_VALUE"""),1089643.29)</f>
        <v>1089643.29</v>
      </c>
    </row>
    <row r="313">
      <c r="A313" s="46" t="str">
        <f>IFERROR(__xludf.DUMMYFUNCTION("""COMPUTED_VALUE"""),"Meat")</f>
        <v>Meat</v>
      </c>
      <c r="B313" s="46" t="str">
        <f>IFERROR(__xludf.DUMMYFUNCTION("""COMPUTED_VALUE"""),"Slovenia")</f>
        <v>Slovenia</v>
      </c>
      <c r="C313" s="46" t="str">
        <f>IFERROR(__xludf.DUMMYFUNCTION("""COMPUTED_VALUE"""),"Europe")</f>
        <v>Europe</v>
      </c>
      <c r="D313" s="90">
        <f>IFERROR(__xludf.DUMMYFUNCTION("""COMPUTED_VALUE"""),42278.0)</f>
        <v>42278</v>
      </c>
      <c r="E313" s="46">
        <f>IFERROR(__xludf.DUMMYFUNCTION("""COMPUTED_VALUE"""),2015.0)</f>
        <v>2015</v>
      </c>
      <c r="F313" s="46">
        <f>IFERROR(__xludf.DUMMYFUNCTION("""COMPUTED_VALUE"""),1.0)</f>
        <v>1</v>
      </c>
      <c r="G313" s="46">
        <f>IFERROR(__xludf.DUMMYFUNCTION("""COMPUTED_VALUE"""),7642.0)</f>
        <v>7642</v>
      </c>
      <c r="H313" s="46">
        <f>IFERROR(__xludf.DUMMYFUNCTION("""COMPUTED_VALUE"""),3224083.38)</f>
        <v>3224083.38</v>
      </c>
      <c r="I313" s="46">
        <f>IFERROR(__xludf.DUMMYFUNCTION("""COMPUTED_VALUE"""),2786960.98)</f>
        <v>2786960.98</v>
      </c>
      <c r="J313" s="46">
        <f>IFERROR(__xludf.DUMMYFUNCTION("""COMPUTED_VALUE"""),437122.3999999999)</f>
        <v>437122.4</v>
      </c>
      <c r="K313" s="46" t="str">
        <f t="array" ref="K313">TEXT(D313, "mmmm")</f>
        <v>October</v>
      </c>
      <c r="M313" s="46" t="str">
        <f>IFERROR(__xludf.DUMMYFUNCTION("""COMPUTED_VALUE"""),"France")</f>
        <v>France</v>
      </c>
      <c r="N313" s="94">
        <f>IFERROR(__xludf.DUMMYFUNCTION("""COMPUTED_VALUE"""),40940.0)</f>
        <v>40940</v>
      </c>
      <c r="O313" s="46">
        <f>IFERROR(__xludf.DUMMYFUNCTION("""COMPUTED_VALUE"""),1.0)</f>
        <v>1</v>
      </c>
      <c r="P313" s="46">
        <f>IFERROR(__xludf.DUMMYFUNCTION("""COMPUTED_VALUE"""),5504.0)</f>
        <v>5504</v>
      </c>
      <c r="Q313" s="46">
        <f>IFERROR(__xludf.DUMMYFUNCTION("""COMPUTED_VALUE"""),847946.24)</f>
        <v>847946.24</v>
      </c>
      <c r="R313" s="46">
        <f>IFERROR(__xludf.DUMMYFUNCTION("""COMPUTED_VALUE"""),500478.72000000003)</f>
        <v>500478.72</v>
      </c>
      <c r="S313" s="46">
        <f>IFERROR(__xludf.DUMMYFUNCTION("""COMPUTED_VALUE"""),347467.51999999996)</f>
        <v>347467.52</v>
      </c>
    </row>
    <row r="314">
      <c r="A314" s="46" t="str">
        <f>IFERROR(__xludf.DUMMYFUNCTION("""COMPUTED_VALUE"""),"Office Supplies")</f>
        <v>Office Supplies</v>
      </c>
      <c r="B314" s="46" t="str">
        <f>IFERROR(__xludf.DUMMYFUNCTION("""COMPUTED_VALUE"""),"Bosnia and Herzegovina")</f>
        <v>Bosnia and Herzegovina</v>
      </c>
      <c r="C314" s="46" t="str">
        <f>IFERROR(__xludf.DUMMYFUNCTION("""COMPUTED_VALUE"""),"Europe")</f>
        <v>Europe</v>
      </c>
      <c r="D314" s="90">
        <f>IFERROR(__xludf.DUMMYFUNCTION("""COMPUTED_VALUE"""),42278.0)</f>
        <v>42278</v>
      </c>
      <c r="E314" s="46">
        <f>IFERROR(__xludf.DUMMYFUNCTION("""COMPUTED_VALUE"""),2015.0)</f>
        <v>2015</v>
      </c>
      <c r="F314" s="46">
        <f>IFERROR(__xludf.DUMMYFUNCTION("""COMPUTED_VALUE"""),1.0)</f>
        <v>1</v>
      </c>
      <c r="G314" s="46">
        <f>IFERROR(__xludf.DUMMYFUNCTION("""COMPUTED_VALUE"""),5856.0)</f>
        <v>5856</v>
      </c>
      <c r="H314" s="46">
        <f>IFERROR(__xludf.DUMMYFUNCTION("""COMPUTED_VALUE"""),3813485.7600000002)</f>
        <v>3813485.76</v>
      </c>
      <c r="I314" s="46">
        <f>IFERROR(__xludf.DUMMYFUNCTION("""COMPUTED_VALUE"""),3074165.7600000002)</f>
        <v>3074165.76</v>
      </c>
      <c r="J314" s="46">
        <f>IFERROR(__xludf.DUMMYFUNCTION("""COMPUTED_VALUE"""),739320.0)</f>
        <v>739320</v>
      </c>
      <c r="K314" s="46" t="str">
        <f t="array" ref="K314">TEXT(D314, "mmmm")</f>
        <v>October</v>
      </c>
      <c r="M314" s="46" t="str">
        <f>IFERROR(__xludf.DUMMYFUNCTION("""COMPUTED_VALUE"""),"Germany")</f>
        <v>Germany</v>
      </c>
      <c r="N314" s="94">
        <f>IFERROR(__xludf.DUMMYFUNCTION("""COMPUTED_VALUE"""),40940.0)</f>
        <v>40940</v>
      </c>
      <c r="O314" s="46">
        <f>IFERROR(__xludf.DUMMYFUNCTION("""COMPUTED_VALUE"""),1.0)</f>
        <v>1</v>
      </c>
      <c r="P314" s="46">
        <f>IFERROR(__xludf.DUMMYFUNCTION("""COMPUTED_VALUE"""),9569.0)</f>
        <v>9569</v>
      </c>
      <c r="Q314" s="46">
        <f>IFERROR(__xludf.DUMMYFUNCTION("""COMPUTED_VALUE"""),4183566.8)</f>
        <v>4183566.8</v>
      </c>
      <c r="R314" s="46">
        <f>IFERROR(__xludf.DUMMYFUNCTION("""COMPUTED_VALUE"""),2519804.77)</f>
        <v>2519804.77</v>
      </c>
      <c r="S314" s="46">
        <f>IFERROR(__xludf.DUMMYFUNCTION("""COMPUTED_VALUE"""),1663762.0299999998)</f>
        <v>1663762.03</v>
      </c>
    </row>
    <row r="315">
      <c r="A315" s="46" t="str">
        <f>IFERROR(__xludf.DUMMYFUNCTION("""COMPUTED_VALUE"""),"Beverages")</f>
        <v>Beverages</v>
      </c>
      <c r="B315" s="46" t="str">
        <f>IFERROR(__xludf.DUMMYFUNCTION("""COMPUTED_VALUE"""),"Slovakia")</f>
        <v>Slovakia</v>
      </c>
      <c r="C315" s="46" t="str">
        <f>IFERROR(__xludf.DUMMYFUNCTION("""COMPUTED_VALUE"""),"Europe")</f>
        <v>Europe</v>
      </c>
      <c r="D315" s="90">
        <f>IFERROR(__xludf.DUMMYFUNCTION("""COMPUTED_VALUE"""),42248.0)</f>
        <v>42248</v>
      </c>
      <c r="E315" s="46">
        <f>IFERROR(__xludf.DUMMYFUNCTION("""COMPUTED_VALUE"""),2015.0)</f>
        <v>2015</v>
      </c>
      <c r="F315" s="46">
        <f>IFERROR(__xludf.DUMMYFUNCTION("""COMPUTED_VALUE"""),2.0)</f>
        <v>2</v>
      </c>
      <c r="G315" s="46">
        <f>IFERROR(__xludf.DUMMYFUNCTION("""COMPUTED_VALUE"""),10059.0)</f>
        <v>10059</v>
      </c>
      <c r="H315" s="46">
        <f>IFERROR(__xludf.DUMMYFUNCTION("""COMPUTED_VALUE"""),477299.55000000005)</f>
        <v>477299.55</v>
      </c>
      <c r="I315" s="46">
        <f>IFERROR(__xludf.DUMMYFUNCTION("""COMPUTED_VALUE"""),319775.61)</f>
        <v>319775.61</v>
      </c>
      <c r="J315" s="46">
        <f>IFERROR(__xludf.DUMMYFUNCTION("""COMPUTED_VALUE"""),157523.94000000006)</f>
        <v>157523.94</v>
      </c>
      <c r="K315" s="46" t="str">
        <f t="array" ref="K315">TEXT(D315, "mmmm")</f>
        <v>September</v>
      </c>
      <c r="M315" s="46" t="str">
        <f>IFERROR(__xludf.DUMMYFUNCTION("""COMPUTED_VALUE"""),"Portugal")</f>
        <v>Portugal</v>
      </c>
      <c r="N315" s="94">
        <f>IFERROR(__xludf.DUMMYFUNCTION("""COMPUTED_VALUE"""),40940.0)</f>
        <v>40940</v>
      </c>
      <c r="O315" s="46">
        <f>IFERROR(__xludf.DUMMYFUNCTION("""COMPUTED_VALUE"""),2.0)</f>
        <v>2</v>
      </c>
      <c r="P315" s="46">
        <f>IFERROR(__xludf.DUMMYFUNCTION("""COMPUTED_VALUE"""),12262.0)</f>
        <v>12262</v>
      </c>
      <c r="Q315" s="46">
        <f>IFERROR(__xludf.DUMMYFUNCTION("""COMPUTED_VALUE"""),6757665.57)</f>
        <v>6757665.57</v>
      </c>
      <c r="R315" s="46">
        <f>IFERROR(__xludf.DUMMYFUNCTION("""COMPUTED_VALUE"""),5329202.72)</f>
        <v>5329202.72</v>
      </c>
      <c r="S315" s="46">
        <f>IFERROR(__xludf.DUMMYFUNCTION("""COMPUTED_VALUE"""),1428462.85)</f>
        <v>1428462.85</v>
      </c>
    </row>
    <row r="316">
      <c r="A316" s="46" t="str">
        <f>IFERROR(__xludf.DUMMYFUNCTION("""COMPUTED_VALUE"""),"Cosmetics")</f>
        <v>Cosmetics</v>
      </c>
      <c r="B316" s="46" t="str">
        <f>IFERROR(__xludf.DUMMYFUNCTION("""COMPUTED_VALUE"""),"Belgium")</f>
        <v>Belgium</v>
      </c>
      <c r="C316" s="46" t="str">
        <f>IFERROR(__xludf.DUMMYFUNCTION("""COMPUTED_VALUE"""),"Europe")</f>
        <v>Europe</v>
      </c>
      <c r="D316" s="90">
        <f>IFERROR(__xludf.DUMMYFUNCTION("""COMPUTED_VALUE"""),42248.0)</f>
        <v>42248</v>
      </c>
      <c r="E316" s="46">
        <f>IFERROR(__xludf.DUMMYFUNCTION("""COMPUTED_VALUE"""),2015.0)</f>
        <v>2015</v>
      </c>
      <c r="F316" s="46">
        <f>IFERROR(__xludf.DUMMYFUNCTION("""COMPUTED_VALUE"""),1.0)</f>
        <v>1</v>
      </c>
      <c r="G316" s="46">
        <f>IFERROR(__xludf.DUMMYFUNCTION("""COMPUTED_VALUE"""),4119.0)</f>
        <v>4119</v>
      </c>
      <c r="H316" s="46">
        <f>IFERROR(__xludf.DUMMYFUNCTION("""COMPUTED_VALUE"""),1800826.8)</f>
        <v>1800826.8</v>
      </c>
      <c r="I316" s="46">
        <f>IFERROR(__xludf.DUMMYFUNCTION("""COMPUTED_VALUE"""),1084656.27)</f>
        <v>1084656.27</v>
      </c>
      <c r="J316" s="46">
        <f>IFERROR(__xludf.DUMMYFUNCTION("""COMPUTED_VALUE"""),716170.53)</f>
        <v>716170.53</v>
      </c>
      <c r="K316" s="46" t="str">
        <f t="array" ref="K316">TEXT(D316, "mmmm")</f>
        <v>September</v>
      </c>
      <c r="M316" s="46" t="str">
        <f>IFERROR(__xludf.DUMMYFUNCTION("""COMPUTED_VALUE"""),"San Marino")</f>
        <v>San Marino</v>
      </c>
      <c r="N316" s="94">
        <f>IFERROR(__xludf.DUMMYFUNCTION("""COMPUTED_VALUE"""),40940.0)</f>
        <v>40940</v>
      </c>
      <c r="O316" s="46">
        <f>IFERROR(__xludf.DUMMYFUNCTION("""COMPUTED_VALUE"""),1.0)</f>
        <v>1</v>
      </c>
      <c r="P316" s="46">
        <f>IFERROR(__xludf.DUMMYFUNCTION("""COMPUTED_VALUE"""),7222.0)</f>
        <v>7222</v>
      </c>
      <c r="Q316" s="46">
        <f>IFERROR(__xludf.DUMMYFUNCTION("""COMPUTED_VALUE"""),1112621.32)</f>
        <v>1112621.32</v>
      </c>
      <c r="R316" s="46">
        <f>IFERROR(__xludf.DUMMYFUNCTION("""COMPUTED_VALUE"""),656696.4600000001)</f>
        <v>656696.46</v>
      </c>
      <c r="S316" s="46">
        <f>IFERROR(__xludf.DUMMYFUNCTION("""COMPUTED_VALUE"""),455924.86)</f>
        <v>455924.86</v>
      </c>
    </row>
    <row r="317">
      <c r="A317" s="46" t="str">
        <f>IFERROR(__xludf.DUMMYFUNCTION("""COMPUTED_VALUE"""),"Fruits")</f>
        <v>Fruits</v>
      </c>
      <c r="B317" s="46" t="str">
        <f>IFERROR(__xludf.DUMMYFUNCTION("""COMPUTED_VALUE"""),"Serbia")</f>
        <v>Serbia</v>
      </c>
      <c r="C317" s="46" t="str">
        <f>IFERROR(__xludf.DUMMYFUNCTION("""COMPUTED_VALUE"""),"Europe")</f>
        <v>Europe</v>
      </c>
      <c r="D317" s="90">
        <f>IFERROR(__xludf.DUMMYFUNCTION("""COMPUTED_VALUE"""),42248.0)</f>
        <v>42248</v>
      </c>
      <c r="E317" s="46">
        <f>IFERROR(__xludf.DUMMYFUNCTION("""COMPUTED_VALUE"""),2015.0)</f>
        <v>2015</v>
      </c>
      <c r="F317" s="46">
        <f>IFERROR(__xludf.DUMMYFUNCTION("""COMPUTED_VALUE"""),1.0)</f>
        <v>1</v>
      </c>
      <c r="G317" s="46">
        <f>IFERROR(__xludf.DUMMYFUNCTION("""COMPUTED_VALUE"""),9102.0)</f>
        <v>9102</v>
      </c>
      <c r="H317" s="46">
        <f>IFERROR(__xludf.DUMMYFUNCTION("""COMPUTED_VALUE"""),84921.66)</f>
        <v>84921.66</v>
      </c>
      <c r="I317" s="46">
        <f>IFERROR(__xludf.DUMMYFUNCTION("""COMPUTED_VALUE"""),62985.84)</f>
        <v>62985.84</v>
      </c>
      <c r="J317" s="46">
        <f>IFERROR(__xludf.DUMMYFUNCTION("""COMPUTED_VALUE"""),21935.820000000007)</f>
        <v>21935.82</v>
      </c>
      <c r="K317" s="46" t="str">
        <f t="array" ref="K317">TEXT(D317, "mmmm")</f>
        <v>September</v>
      </c>
      <c r="M317" s="46" t="str">
        <f>IFERROR(__xludf.DUMMYFUNCTION("""COMPUTED_VALUE"""),"Slovakia")</f>
        <v>Slovakia</v>
      </c>
      <c r="N317" s="94">
        <f>IFERROR(__xludf.DUMMYFUNCTION("""COMPUTED_VALUE"""),40940.0)</f>
        <v>40940</v>
      </c>
      <c r="O317" s="46">
        <f>IFERROR(__xludf.DUMMYFUNCTION("""COMPUTED_VALUE"""),1.0)</f>
        <v>1</v>
      </c>
      <c r="P317" s="46">
        <f>IFERROR(__xludf.DUMMYFUNCTION("""COMPUTED_VALUE"""),8307.0)</f>
        <v>8307</v>
      </c>
      <c r="Q317" s="46">
        <f>IFERROR(__xludf.DUMMYFUNCTION("""COMPUTED_VALUE"""),5409601.470000001)</f>
        <v>5409601.47</v>
      </c>
      <c r="R317" s="46">
        <f>IFERROR(__xludf.DUMMYFUNCTION("""COMPUTED_VALUE"""),4360842.720000001)</f>
        <v>4360842.72</v>
      </c>
      <c r="S317" s="46">
        <f>IFERROR(__xludf.DUMMYFUNCTION("""COMPUTED_VALUE"""),1048758.75)</f>
        <v>1048758.75</v>
      </c>
    </row>
    <row r="318">
      <c r="A318" s="46" t="str">
        <f>IFERROR(__xludf.DUMMYFUNCTION("""COMPUTED_VALUE"""),"Household")</f>
        <v>Household</v>
      </c>
      <c r="B318" s="46" t="str">
        <f>IFERROR(__xludf.DUMMYFUNCTION("""COMPUTED_VALUE"""),"Armenia")</f>
        <v>Armenia</v>
      </c>
      <c r="C318" s="46" t="str">
        <f>IFERROR(__xludf.DUMMYFUNCTION("""COMPUTED_VALUE"""),"Asia")</f>
        <v>Asia</v>
      </c>
      <c r="D318" s="90">
        <f>IFERROR(__xludf.DUMMYFUNCTION("""COMPUTED_VALUE"""),42248.0)</f>
        <v>42248</v>
      </c>
      <c r="E318" s="46">
        <f>IFERROR(__xludf.DUMMYFUNCTION("""COMPUTED_VALUE"""),2015.0)</f>
        <v>2015</v>
      </c>
      <c r="F318" s="46">
        <f>IFERROR(__xludf.DUMMYFUNCTION("""COMPUTED_VALUE"""),1.0)</f>
        <v>1</v>
      </c>
      <c r="G318" s="46">
        <f>IFERROR(__xludf.DUMMYFUNCTION("""COMPUTED_VALUE"""),7461.0)</f>
        <v>7461</v>
      </c>
      <c r="H318" s="46">
        <f>IFERROR(__xludf.DUMMYFUNCTION("""COMPUTED_VALUE"""),4985962.47)</f>
        <v>4985962.47</v>
      </c>
      <c r="I318" s="46">
        <f>IFERROR(__xludf.DUMMYFUNCTION("""COMPUTED_VALUE"""),3749450.94)</f>
        <v>3749450.94</v>
      </c>
      <c r="J318" s="46">
        <f>IFERROR(__xludf.DUMMYFUNCTION("""COMPUTED_VALUE"""),1236511.5299999998)</f>
        <v>1236511.53</v>
      </c>
      <c r="K318" s="46" t="str">
        <f t="array" ref="K318">TEXT(D318, "mmmm")</f>
        <v>September</v>
      </c>
      <c r="M318" s="46" t="str">
        <f>IFERROR(__xludf.DUMMYFUNCTION("""COMPUTED_VALUE"""),"Slovenia")</f>
        <v>Slovenia</v>
      </c>
      <c r="N318" s="94">
        <f>IFERROR(__xludf.DUMMYFUNCTION("""COMPUTED_VALUE"""),40940.0)</f>
        <v>40940</v>
      </c>
      <c r="O318" s="46">
        <f>IFERROR(__xludf.DUMMYFUNCTION("""COMPUTED_VALUE"""),2.0)</f>
        <v>2</v>
      </c>
      <c r="P318" s="46">
        <f>IFERROR(__xludf.DUMMYFUNCTION("""COMPUTED_VALUE"""),11787.0)</f>
        <v>11787</v>
      </c>
      <c r="Q318" s="46">
        <f>IFERROR(__xludf.DUMMYFUNCTION("""COMPUTED_VALUE"""),2037923.47)</f>
        <v>2037923.47</v>
      </c>
      <c r="R318" s="46">
        <f>IFERROR(__xludf.DUMMYFUNCTION("""COMPUTED_VALUE"""),1191863.21)</f>
        <v>1191863.21</v>
      </c>
      <c r="S318" s="46">
        <f>IFERROR(__xludf.DUMMYFUNCTION("""COMPUTED_VALUE"""),846060.2599999999)</f>
        <v>846060.26</v>
      </c>
    </row>
    <row r="319">
      <c r="A319" s="46" t="str">
        <f>IFERROR(__xludf.DUMMYFUNCTION("""COMPUTED_VALUE"""),"Household")</f>
        <v>Household</v>
      </c>
      <c r="B319" s="46" t="str">
        <f>IFERROR(__xludf.DUMMYFUNCTION("""COMPUTED_VALUE"""),"Austria")</f>
        <v>Austria</v>
      </c>
      <c r="C319" s="46" t="str">
        <f>IFERROR(__xludf.DUMMYFUNCTION("""COMPUTED_VALUE"""),"Europe")</f>
        <v>Europe</v>
      </c>
      <c r="D319" s="90">
        <f>IFERROR(__xludf.DUMMYFUNCTION("""COMPUTED_VALUE"""),42248.0)</f>
        <v>42248</v>
      </c>
      <c r="E319" s="46">
        <f>IFERROR(__xludf.DUMMYFUNCTION("""COMPUTED_VALUE"""),2015.0)</f>
        <v>2015</v>
      </c>
      <c r="F319" s="46">
        <f>IFERROR(__xludf.DUMMYFUNCTION("""COMPUTED_VALUE"""),1.0)</f>
        <v>1</v>
      </c>
      <c r="G319" s="46">
        <f>IFERROR(__xludf.DUMMYFUNCTION("""COMPUTED_VALUE"""),1767.0)</f>
        <v>1767</v>
      </c>
      <c r="H319" s="46">
        <f>IFERROR(__xludf.DUMMYFUNCTION("""COMPUTED_VALUE"""),1180833.09)</f>
        <v>1180833.09</v>
      </c>
      <c r="I319" s="46">
        <f>IFERROR(__xludf.DUMMYFUNCTION("""COMPUTED_VALUE"""),887988.18)</f>
        <v>887988.18</v>
      </c>
      <c r="J319" s="46">
        <f>IFERROR(__xludf.DUMMYFUNCTION("""COMPUTED_VALUE"""),292844.91000000003)</f>
        <v>292844.91</v>
      </c>
      <c r="K319" s="46" t="str">
        <f t="array" ref="K319">TEXT(D319, "mmmm")</f>
        <v>September</v>
      </c>
      <c r="M319" s="46" t="str">
        <f>IFERROR(__xludf.DUMMYFUNCTION("""COMPUTED_VALUE"""),"Undefined")</f>
        <v>Undefined</v>
      </c>
      <c r="N319" s="94">
        <f>IFERROR(__xludf.DUMMYFUNCTION("""COMPUTED_VALUE"""),40940.0)</f>
        <v>40940</v>
      </c>
      <c r="O319" s="46">
        <f>IFERROR(__xludf.DUMMYFUNCTION("""COMPUTED_VALUE"""),1.0)</f>
        <v>1</v>
      </c>
      <c r="P319" s="46">
        <f>IFERROR(__xludf.DUMMYFUNCTION("""COMPUTED_VALUE"""),1465.0)</f>
        <v>1465</v>
      </c>
      <c r="Q319" s="46">
        <f>IFERROR(__xludf.DUMMYFUNCTION("""COMPUTED_VALUE"""),69514.25)</f>
        <v>69514.25</v>
      </c>
      <c r="R319" s="46">
        <f>IFERROR(__xludf.DUMMYFUNCTION("""COMPUTED_VALUE"""),46572.35)</f>
        <v>46572.35</v>
      </c>
      <c r="S319" s="46">
        <f>IFERROR(__xludf.DUMMYFUNCTION("""COMPUTED_VALUE"""),22941.9)</f>
        <v>22941.9</v>
      </c>
    </row>
    <row r="320">
      <c r="A320" s="46" t="str">
        <f>IFERROR(__xludf.DUMMYFUNCTION("""COMPUTED_VALUE"""),"Meat")</f>
        <v>Meat</v>
      </c>
      <c r="B320" s="46" t="str">
        <f>IFERROR(__xludf.DUMMYFUNCTION("""COMPUTED_VALUE"""),"Belgium")</f>
        <v>Belgium</v>
      </c>
      <c r="C320" s="46" t="str">
        <f>IFERROR(__xludf.DUMMYFUNCTION("""COMPUTED_VALUE"""),"Europe")</f>
        <v>Europe</v>
      </c>
      <c r="D320" s="90">
        <f>IFERROR(__xludf.DUMMYFUNCTION("""COMPUTED_VALUE"""),42248.0)</f>
        <v>42248</v>
      </c>
      <c r="E320" s="46">
        <f>IFERROR(__xludf.DUMMYFUNCTION("""COMPUTED_VALUE"""),2015.0)</f>
        <v>2015</v>
      </c>
      <c r="F320" s="46">
        <f>IFERROR(__xludf.DUMMYFUNCTION("""COMPUTED_VALUE"""),1.0)</f>
        <v>1</v>
      </c>
      <c r="G320" s="46">
        <f>IFERROR(__xludf.DUMMYFUNCTION("""COMPUTED_VALUE"""),2502.0)</f>
        <v>2502</v>
      </c>
      <c r="H320" s="46">
        <f>IFERROR(__xludf.DUMMYFUNCTION("""COMPUTED_VALUE"""),1055568.78)</f>
        <v>1055568.78</v>
      </c>
      <c r="I320" s="46">
        <f>IFERROR(__xludf.DUMMYFUNCTION("""COMPUTED_VALUE"""),912454.38)</f>
        <v>912454.38</v>
      </c>
      <c r="J320" s="46">
        <f>IFERROR(__xludf.DUMMYFUNCTION("""COMPUTED_VALUE"""),143114.40000000002)</f>
        <v>143114.4</v>
      </c>
      <c r="K320" s="46" t="str">
        <f t="array" ref="K320">TEXT(D320, "mmmm")</f>
        <v>September</v>
      </c>
      <c r="M320" s="46" t="str">
        <f>IFERROR(__xludf.DUMMYFUNCTION("""COMPUTED_VALUE"""),"Albania")</f>
        <v>Albania</v>
      </c>
      <c r="N320" s="94">
        <f>IFERROR(__xludf.DUMMYFUNCTION("""COMPUTED_VALUE"""),40969.0)</f>
        <v>40969</v>
      </c>
      <c r="O320" s="46">
        <f>IFERROR(__xludf.DUMMYFUNCTION("""COMPUTED_VALUE"""),1.0)</f>
        <v>1</v>
      </c>
      <c r="P320" s="46">
        <f>IFERROR(__xludf.DUMMYFUNCTION("""COMPUTED_VALUE"""),5486.0)</f>
        <v>5486</v>
      </c>
      <c r="Q320" s="46">
        <f>IFERROR(__xludf.DUMMYFUNCTION("""COMPUTED_VALUE"""),3666129.2199999997)</f>
        <v>3666129.22</v>
      </c>
      <c r="R320" s="46">
        <f>IFERROR(__xludf.DUMMYFUNCTION("""COMPUTED_VALUE"""),2756934.44)</f>
        <v>2756934.44</v>
      </c>
      <c r="S320" s="46">
        <f>IFERROR(__xludf.DUMMYFUNCTION("""COMPUTED_VALUE"""),909194.7799999998)</f>
        <v>909194.78</v>
      </c>
    </row>
    <row r="321">
      <c r="A321" s="46" t="str">
        <f>IFERROR(__xludf.DUMMYFUNCTION("""COMPUTED_VALUE"""),"Office Supplies")</f>
        <v>Office Supplies</v>
      </c>
      <c r="B321" s="46" t="str">
        <f>IFERROR(__xludf.DUMMYFUNCTION("""COMPUTED_VALUE"""),"Hungary")</f>
        <v>Hungary</v>
      </c>
      <c r="C321" s="46" t="str">
        <f>IFERROR(__xludf.DUMMYFUNCTION("""COMPUTED_VALUE"""),"Europe")</f>
        <v>Europe</v>
      </c>
      <c r="D321" s="90">
        <f>IFERROR(__xludf.DUMMYFUNCTION("""COMPUTED_VALUE"""),42248.0)</f>
        <v>42248</v>
      </c>
      <c r="E321" s="46">
        <f>IFERROR(__xludf.DUMMYFUNCTION("""COMPUTED_VALUE"""),2015.0)</f>
        <v>2015</v>
      </c>
      <c r="F321" s="46">
        <f>IFERROR(__xludf.DUMMYFUNCTION("""COMPUTED_VALUE"""),1.0)</f>
        <v>1</v>
      </c>
      <c r="G321" s="46">
        <f>IFERROR(__xludf.DUMMYFUNCTION("""COMPUTED_VALUE"""),8179.0)</f>
        <v>8179</v>
      </c>
      <c r="H321" s="46">
        <f>IFERROR(__xludf.DUMMYFUNCTION("""COMPUTED_VALUE"""),5326246.59)</f>
        <v>5326246.59</v>
      </c>
      <c r="I321" s="46">
        <f>IFERROR(__xludf.DUMMYFUNCTION("""COMPUTED_VALUE"""),4293647.84)</f>
        <v>4293647.84</v>
      </c>
      <c r="J321" s="46">
        <f>IFERROR(__xludf.DUMMYFUNCTION("""COMPUTED_VALUE"""),1032598.75)</f>
        <v>1032598.75</v>
      </c>
      <c r="K321" s="46" t="str">
        <f t="array" ref="K321">TEXT(D321, "mmmm")</f>
        <v>September</v>
      </c>
      <c r="M321" s="46" t="str">
        <f>IFERROR(__xludf.DUMMYFUNCTION("""COMPUTED_VALUE"""),"Bosnia and Herzegovina")</f>
        <v>Bosnia and Herzegovina</v>
      </c>
      <c r="N321" s="94">
        <f>IFERROR(__xludf.DUMMYFUNCTION("""COMPUTED_VALUE"""),40969.0)</f>
        <v>40969</v>
      </c>
      <c r="O321" s="46">
        <f>IFERROR(__xludf.DUMMYFUNCTION("""COMPUTED_VALUE"""),3.0)</f>
        <v>3</v>
      </c>
      <c r="P321" s="46">
        <f>IFERROR(__xludf.DUMMYFUNCTION("""COMPUTED_VALUE"""),12483.0)</f>
        <v>12483</v>
      </c>
      <c r="Q321" s="46">
        <f>IFERROR(__xludf.DUMMYFUNCTION("""COMPUTED_VALUE"""),5645321.989999999)</f>
        <v>5645321.99</v>
      </c>
      <c r="R321" s="46">
        <f>IFERROR(__xludf.DUMMYFUNCTION("""COMPUTED_VALUE"""),4131535.17)</f>
        <v>4131535.17</v>
      </c>
      <c r="S321" s="46">
        <f>IFERROR(__xludf.DUMMYFUNCTION("""COMPUTED_VALUE"""),1513786.8199999991)</f>
        <v>1513786.82</v>
      </c>
    </row>
    <row r="322">
      <c r="A322" s="46" t="str">
        <f>IFERROR(__xludf.DUMMYFUNCTION("""COMPUTED_VALUE"""),"Office Supplies")</f>
        <v>Office Supplies</v>
      </c>
      <c r="B322" s="46" t="str">
        <f>IFERROR(__xludf.DUMMYFUNCTION("""COMPUTED_VALUE"""),"Romania")</f>
        <v>Romania</v>
      </c>
      <c r="C322" s="46" t="str">
        <f>IFERROR(__xludf.DUMMYFUNCTION("""COMPUTED_VALUE"""),"Europe")</f>
        <v>Europe</v>
      </c>
      <c r="D322" s="90">
        <f>IFERROR(__xludf.DUMMYFUNCTION("""COMPUTED_VALUE"""),42248.0)</f>
        <v>42248</v>
      </c>
      <c r="E322" s="46">
        <f>IFERROR(__xludf.DUMMYFUNCTION("""COMPUTED_VALUE"""),2015.0)</f>
        <v>2015</v>
      </c>
      <c r="F322" s="46">
        <f>IFERROR(__xludf.DUMMYFUNCTION("""COMPUTED_VALUE"""),1.0)</f>
        <v>1</v>
      </c>
      <c r="G322" s="46">
        <f>IFERROR(__xludf.DUMMYFUNCTION("""COMPUTED_VALUE"""),7679.0)</f>
        <v>7679</v>
      </c>
      <c r="H322" s="46">
        <f>IFERROR(__xludf.DUMMYFUNCTION("""COMPUTED_VALUE"""),5000641.59)</f>
        <v>5000641.59</v>
      </c>
      <c r="I322" s="46">
        <f>IFERROR(__xludf.DUMMYFUNCTION("""COMPUTED_VALUE"""),4031167.8400000003)</f>
        <v>4031167.84</v>
      </c>
      <c r="J322" s="46">
        <f>IFERROR(__xludf.DUMMYFUNCTION("""COMPUTED_VALUE"""),969473.7499999995)</f>
        <v>969473.75</v>
      </c>
      <c r="K322" s="46" t="str">
        <f t="array" ref="K322">TEXT(D322, "mmmm")</f>
        <v>September</v>
      </c>
      <c r="M322" s="46" t="str">
        <f>IFERROR(__xludf.DUMMYFUNCTION("""COMPUTED_VALUE"""),"Cyprus")</f>
        <v>Cyprus</v>
      </c>
      <c r="N322" s="94">
        <f>IFERROR(__xludf.DUMMYFUNCTION("""COMPUTED_VALUE"""),40969.0)</f>
        <v>40969</v>
      </c>
      <c r="O322" s="46">
        <f>IFERROR(__xludf.DUMMYFUNCTION("""COMPUTED_VALUE"""),1.0)</f>
        <v>1</v>
      </c>
      <c r="P322" s="46">
        <f>IFERROR(__xludf.DUMMYFUNCTION("""COMPUTED_VALUE"""),5556.0)</f>
        <v>5556</v>
      </c>
      <c r="Q322" s="46">
        <f>IFERROR(__xludf.DUMMYFUNCTION("""COMPUTED_VALUE"""),51837.48)</f>
        <v>51837.48</v>
      </c>
      <c r="R322" s="46">
        <f>IFERROR(__xludf.DUMMYFUNCTION("""COMPUTED_VALUE"""),38447.52)</f>
        <v>38447.52</v>
      </c>
      <c r="S322" s="46">
        <f>IFERROR(__xludf.DUMMYFUNCTION("""COMPUTED_VALUE"""),13389.960000000006)</f>
        <v>13389.96</v>
      </c>
    </row>
    <row r="323">
      <c r="A323" s="46" t="str">
        <f>IFERROR(__xludf.DUMMYFUNCTION("""COMPUTED_VALUE"""),"Personal Care")</f>
        <v>Personal Care</v>
      </c>
      <c r="B323" s="46" t="str">
        <f>IFERROR(__xludf.DUMMYFUNCTION("""COMPUTED_VALUE"""),"Luxembourg")</f>
        <v>Luxembourg</v>
      </c>
      <c r="C323" s="46" t="str">
        <f>IFERROR(__xludf.DUMMYFUNCTION("""COMPUTED_VALUE"""),"Europe")</f>
        <v>Europe</v>
      </c>
      <c r="D323" s="90">
        <f>IFERROR(__xludf.DUMMYFUNCTION("""COMPUTED_VALUE"""),42248.0)</f>
        <v>42248</v>
      </c>
      <c r="E323" s="46">
        <f>IFERROR(__xludf.DUMMYFUNCTION("""COMPUTED_VALUE"""),2015.0)</f>
        <v>2015</v>
      </c>
      <c r="F323" s="46">
        <f>IFERROR(__xludf.DUMMYFUNCTION("""COMPUTED_VALUE"""),1.0)</f>
        <v>1</v>
      </c>
      <c r="G323" s="46">
        <f>IFERROR(__xludf.DUMMYFUNCTION("""COMPUTED_VALUE"""),3376.0)</f>
        <v>3376</v>
      </c>
      <c r="H323" s="46">
        <f>IFERROR(__xludf.DUMMYFUNCTION("""COMPUTED_VALUE"""),275920.48000000004)</f>
        <v>275920.48</v>
      </c>
      <c r="I323" s="46">
        <f>IFERROR(__xludf.DUMMYFUNCTION("""COMPUTED_VALUE"""),191317.92)</f>
        <v>191317.92</v>
      </c>
      <c r="J323" s="46">
        <f>IFERROR(__xludf.DUMMYFUNCTION("""COMPUTED_VALUE"""),84602.56000000003)</f>
        <v>84602.56</v>
      </c>
      <c r="K323" s="46" t="str">
        <f t="array" ref="K323">TEXT(D323, "mmmm")</f>
        <v>September</v>
      </c>
      <c r="M323" s="46" t="str">
        <f>IFERROR(__xludf.DUMMYFUNCTION("""COMPUTED_VALUE"""),"Finland")</f>
        <v>Finland</v>
      </c>
      <c r="N323" s="94">
        <f>IFERROR(__xludf.DUMMYFUNCTION("""COMPUTED_VALUE"""),40969.0)</f>
        <v>40969</v>
      </c>
      <c r="O323" s="46">
        <f>IFERROR(__xludf.DUMMYFUNCTION("""COMPUTED_VALUE"""),1.0)</f>
        <v>1</v>
      </c>
      <c r="P323" s="46">
        <f>IFERROR(__xludf.DUMMYFUNCTION("""COMPUTED_VALUE"""),7581.0)</f>
        <v>7581</v>
      </c>
      <c r="Q323" s="46">
        <f>IFERROR(__xludf.DUMMYFUNCTION("""COMPUTED_VALUE"""),359718.45)</f>
        <v>359718.45</v>
      </c>
      <c r="R323" s="46">
        <f>IFERROR(__xludf.DUMMYFUNCTION("""COMPUTED_VALUE"""),240999.99)</f>
        <v>240999.99</v>
      </c>
      <c r="S323" s="46">
        <f>IFERROR(__xludf.DUMMYFUNCTION("""COMPUTED_VALUE"""),118718.46000000002)</f>
        <v>118718.46</v>
      </c>
    </row>
    <row r="324">
      <c r="A324" s="46" t="str">
        <f>IFERROR(__xludf.DUMMYFUNCTION("""COMPUTED_VALUE"""),"Personal Care")</f>
        <v>Personal Care</v>
      </c>
      <c r="B324" s="46" t="str">
        <f>IFERROR(__xludf.DUMMYFUNCTION("""COMPUTED_VALUE"""),"San Marino")</f>
        <v>San Marino</v>
      </c>
      <c r="C324" s="46" t="str">
        <f>IFERROR(__xludf.DUMMYFUNCTION("""COMPUTED_VALUE"""),"Europe")</f>
        <v>Europe</v>
      </c>
      <c r="D324" s="90">
        <f>IFERROR(__xludf.DUMMYFUNCTION("""COMPUTED_VALUE"""),42248.0)</f>
        <v>42248</v>
      </c>
      <c r="E324" s="46">
        <f>IFERROR(__xludf.DUMMYFUNCTION("""COMPUTED_VALUE"""),2015.0)</f>
        <v>2015</v>
      </c>
      <c r="F324" s="46">
        <f>IFERROR(__xludf.DUMMYFUNCTION("""COMPUTED_VALUE"""),1.0)</f>
        <v>1</v>
      </c>
      <c r="G324" s="46">
        <f>IFERROR(__xludf.DUMMYFUNCTION("""COMPUTED_VALUE"""),2624.0)</f>
        <v>2624</v>
      </c>
      <c r="H324" s="46">
        <f>IFERROR(__xludf.DUMMYFUNCTION("""COMPUTED_VALUE"""),214459.52000000002)</f>
        <v>214459.52</v>
      </c>
      <c r="I324" s="46">
        <f>IFERROR(__xludf.DUMMYFUNCTION("""COMPUTED_VALUE"""),148702.08000000002)</f>
        <v>148702.08</v>
      </c>
      <c r="J324" s="46">
        <f>IFERROR(__xludf.DUMMYFUNCTION("""COMPUTED_VALUE"""),65757.44)</f>
        <v>65757.44</v>
      </c>
      <c r="K324" s="46" t="str">
        <f t="array" ref="K324">TEXT(D324, "mmmm")</f>
        <v>September</v>
      </c>
      <c r="M324" s="46" t="str">
        <f>IFERROR(__xludf.DUMMYFUNCTION("""COMPUTED_VALUE"""),"Georgia")</f>
        <v>Georgia</v>
      </c>
      <c r="N324" s="94">
        <f>IFERROR(__xludf.DUMMYFUNCTION("""COMPUTED_VALUE"""),40969.0)</f>
        <v>40969</v>
      </c>
      <c r="O324" s="46">
        <f>IFERROR(__xludf.DUMMYFUNCTION("""COMPUTED_VALUE"""),1.0)</f>
        <v>1</v>
      </c>
      <c r="P324" s="46">
        <f>IFERROR(__xludf.DUMMYFUNCTION("""COMPUTED_VALUE"""),6711.0)</f>
        <v>6711</v>
      </c>
      <c r="Q324" s="46">
        <f>IFERROR(__xludf.DUMMYFUNCTION("""COMPUTED_VALUE"""),2831303.79)</f>
        <v>2831303.79</v>
      </c>
      <c r="R324" s="46">
        <f>IFERROR(__xludf.DUMMYFUNCTION("""COMPUTED_VALUE"""),2447434.59)</f>
        <v>2447434.59</v>
      </c>
      <c r="S324" s="46">
        <f>IFERROR(__xludf.DUMMYFUNCTION("""COMPUTED_VALUE"""),383869.2000000002)</f>
        <v>383869.2</v>
      </c>
    </row>
    <row r="325">
      <c r="A325" s="46" t="str">
        <f>IFERROR(__xludf.DUMMYFUNCTION("""COMPUTED_VALUE"""),"Baby Food")</f>
        <v>Baby Food</v>
      </c>
      <c r="B325" s="46" t="str">
        <f>IFERROR(__xludf.DUMMYFUNCTION("""COMPUTED_VALUE"""),"Portugal")</f>
        <v>Portugal</v>
      </c>
      <c r="C325" s="46" t="str">
        <f>IFERROR(__xludf.DUMMYFUNCTION("""COMPUTED_VALUE"""),"Europe")</f>
        <v>Europe</v>
      </c>
      <c r="D325" s="90">
        <f>IFERROR(__xludf.DUMMYFUNCTION("""COMPUTED_VALUE"""),42217.0)</f>
        <v>42217</v>
      </c>
      <c r="E325" s="46">
        <f>IFERROR(__xludf.DUMMYFUNCTION("""COMPUTED_VALUE"""),2015.0)</f>
        <v>2015</v>
      </c>
      <c r="F325" s="46">
        <f>IFERROR(__xludf.DUMMYFUNCTION("""COMPUTED_VALUE"""),1.0)</f>
        <v>1</v>
      </c>
      <c r="G325" s="46">
        <f>IFERROR(__xludf.DUMMYFUNCTION("""COMPUTED_VALUE"""),5157.0)</f>
        <v>5157</v>
      </c>
      <c r="H325" s="46">
        <f>IFERROR(__xludf.DUMMYFUNCTION("""COMPUTED_VALUE"""),1316478.96)</f>
        <v>1316478.96</v>
      </c>
      <c r="I325" s="46">
        <f>IFERROR(__xludf.DUMMYFUNCTION("""COMPUTED_VALUE"""),822128.94)</f>
        <v>822128.94</v>
      </c>
      <c r="J325" s="46">
        <f>IFERROR(__xludf.DUMMYFUNCTION("""COMPUTED_VALUE"""),494350.02)</f>
        <v>494350.02</v>
      </c>
      <c r="K325" s="46" t="str">
        <f t="array" ref="K325">TEXT(D325, "mmmm")</f>
        <v>August</v>
      </c>
      <c r="M325" s="46" t="str">
        <f>IFERROR(__xludf.DUMMYFUNCTION("""COMPUTED_VALUE"""),"Italy")</f>
        <v>Italy</v>
      </c>
      <c r="N325" s="94">
        <f>IFERROR(__xludf.DUMMYFUNCTION("""COMPUTED_VALUE"""),40969.0)</f>
        <v>40969</v>
      </c>
      <c r="O325" s="46">
        <f>IFERROR(__xludf.DUMMYFUNCTION("""COMPUTED_VALUE"""),1.0)</f>
        <v>1</v>
      </c>
      <c r="P325" s="46">
        <f>IFERROR(__xludf.DUMMYFUNCTION("""COMPUTED_VALUE"""),7529.0)</f>
        <v>7529</v>
      </c>
      <c r="Q325" s="46">
        <f>IFERROR(__xludf.DUMMYFUNCTION("""COMPUTED_VALUE"""),1922003.12)</f>
        <v>1922003.12</v>
      </c>
      <c r="R325" s="46">
        <f>IFERROR(__xludf.DUMMYFUNCTION("""COMPUTED_VALUE"""),1200273.18)</f>
        <v>1200273.18</v>
      </c>
      <c r="S325" s="46">
        <f>IFERROR(__xludf.DUMMYFUNCTION("""COMPUTED_VALUE"""),721729.9400000002)</f>
        <v>721729.94</v>
      </c>
    </row>
    <row r="326">
      <c r="A326" s="46" t="str">
        <f>IFERROR(__xludf.DUMMYFUNCTION("""COMPUTED_VALUE"""),"Beverages")</f>
        <v>Beverages</v>
      </c>
      <c r="B326" s="46" t="str">
        <f>IFERROR(__xludf.DUMMYFUNCTION("""COMPUTED_VALUE"""),"Belgium")</f>
        <v>Belgium</v>
      </c>
      <c r="C326" s="46" t="str">
        <f>IFERROR(__xludf.DUMMYFUNCTION("""COMPUTED_VALUE"""),"Europe")</f>
        <v>Europe</v>
      </c>
      <c r="D326" s="90">
        <f>IFERROR(__xludf.DUMMYFUNCTION("""COMPUTED_VALUE"""),42217.0)</f>
        <v>42217</v>
      </c>
      <c r="E326" s="46">
        <f>IFERROR(__xludf.DUMMYFUNCTION("""COMPUTED_VALUE"""),2015.0)</f>
        <v>2015</v>
      </c>
      <c r="F326" s="46">
        <f>IFERROR(__xludf.DUMMYFUNCTION("""COMPUTED_VALUE"""),1.0)</f>
        <v>1</v>
      </c>
      <c r="G326" s="46">
        <f>IFERROR(__xludf.DUMMYFUNCTION("""COMPUTED_VALUE"""),7242.0)</f>
        <v>7242</v>
      </c>
      <c r="H326" s="46">
        <f>IFERROR(__xludf.DUMMYFUNCTION("""COMPUTED_VALUE"""),343632.9)</f>
        <v>343632.9</v>
      </c>
      <c r="I326" s="46">
        <f>IFERROR(__xludf.DUMMYFUNCTION("""COMPUTED_VALUE"""),230223.18)</f>
        <v>230223.18</v>
      </c>
      <c r="J326" s="46">
        <f>IFERROR(__xludf.DUMMYFUNCTION("""COMPUTED_VALUE"""),113409.72000000003)</f>
        <v>113409.72</v>
      </c>
      <c r="K326" s="46" t="str">
        <f t="array" ref="K326">TEXT(D326, "mmmm")</f>
        <v>August</v>
      </c>
      <c r="M326" s="46" t="str">
        <f>IFERROR(__xludf.DUMMYFUNCTION("""COMPUTED_VALUE"""),"Latvia")</f>
        <v>Latvia</v>
      </c>
      <c r="N326" s="94">
        <f>IFERROR(__xludf.DUMMYFUNCTION("""COMPUTED_VALUE"""),40969.0)</f>
        <v>40969</v>
      </c>
      <c r="O326" s="46">
        <f>IFERROR(__xludf.DUMMYFUNCTION("""COMPUTED_VALUE"""),1.0)</f>
        <v>1</v>
      </c>
      <c r="P326" s="46">
        <f>IFERROR(__xludf.DUMMYFUNCTION("""COMPUTED_VALUE"""),4417.0)</f>
        <v>4417</v>
      </c>
      <c r="Q326" s="46">
        <f>IFERROR(__xludf.DUMMYFUNCTION("""COMPUTED_VALUE"""),1931112.4)</f>
        <v>1931112.4</v>
      </c>
      <c r="R326" s="46">
        <f>IFERROR(__xludf.DUMMYFUNCTION("""COMPUTED_VALUE"""),1163128.6099999999)</f>
        <v>1163128.61</v>
      </c>
      <c r="S326" s="46">
        <f>IFERROR(__xludf.DUMMYFUNCTION("""COMPUTED_VALUE"""),767983.79)</f>
        <v>767983.79</v>
      </c>
    </row>
    <row r="327">
      <c r="A327" s="46" t="str">
        <f>IFERROR(__xludf.DUMMYFUNCTION("""COMPUTED_VALUE"""),"Beverages")</f>
        <v>Beverages</v>
      </c>
      <c r="B327" s="46" t="str">
        <f>IFERROR(__xludf.DUMMYFUNCTION("""COMPUTED_VALUE"""),"Bosnia and Herzegovina")</f>
        <v>Bosnia and Herzegovina</v>
      </c>
      <c r="C327" s="46" t="str">
        <f>IFERROR(__xludf.DUMMYFUNCTION("""COMPUTED_VALUE"""),"Europe")</f>
        <v>Europe</v>
      </c>
      <c r="D327" s="90">
        <f>IFERROR(__xludf.DUMMYFUNCTION("""COMPUTED_VALUE"""),42217.0)</f>
        <v>42217</v>
      </c>
      <c r="E327" s="46">
        <f>IFERROR(__xludf.DUMMYFUNCTION("""COMPUTED_VALUE"""),2015.0)</f>
        <v>2015</v>
      </c>
      <c r="F327" s="46">
        <f>IFERROR(__xludf.DUMMYFUNCTION("""COMPUTED_VALUE"""),1.0)</f>
        <v>1</v>
      </c>
      <c r="G327" s="46">
        <f>IFERROR(__xludf.DUMMYFUNCTION("""COMPUTED_VALUE"""),7929.0)</f>
        <v>7929</v>
      </c>
      <c r="H327" s="46">
        <f>IFERROR(__xludf.DUMMYFUNCTION("""COMPUTED_VALUE"""),376231.05000000005)</f>
        <v>376231.05</v>
      </c>
      <c r="I327" s="46">
        <f>IFERROR(__xludf.DUMMYFUNCTION("""COMPUTED_VALUE"""),252062.91)</f>
        <v>252062.91</v>
      </c>
      <c r="J327" s="46">
        <f>IFERROR(__xludf.DUMMYFUNCTION("""COMPUTED_VALUE"""),124168.14000000004)</f>
        <v>124168.14</v>
      </c>
      <c r="K327" s="46" t="str">
        <f t="array" ref="K327">TEXT(D327, "mmmm")</f>
        <v>August</v>
      </c>
      <c r="M327" s="46" t="str">
        <f>IFERROR(__xludf.DUMMYFUNCTION("""COMPUTED_VALUE"""),"Montenegro")</f>
        <v>Montenegro</v>
      </c>
      <c r="N327" s="94">
        <f>IFERROR(__xludf.DUMMYFUNCTION("""COMPUTED_VALUE"""),40969.0)</f>
        <v>40969</v>
      </c>
      <c r="O327" s="46">
        <f>IFERROR(__xludf.DUMMYFUNCTION("""COMPUTED_VALUE"""),1.0)</f>
        <v>1</v>
      </c>
      <c r="P327" s="46">
        <f>IFERROR(__xludf.DUMMYFUNCTION("""COMPUTED_VALUE"""),9914.0)</f>
        <v>9914</v>
      </c>
      <c r="Q327" s="46">
        <f>IFERROR(__xludf.DUMMYFUNCTION("""COMPUTED_VALUE"""),1083401.92)</f>
        <v>1083401.92</v>
      </c>
      <c r="R327" s="46">
        <f>IFERROR(__xludf.DUMMYFUNCTION("""COMPUTED_VALUE"""),355317.76)</f>
        <v>355317.76</v>
      </c>
      <c r="S327" s="46">
        <f>IFERROR(__xludf.DUMMYFUNCTION("""COMPUTED_VALUE"""),728084.1599999999)</f>
        <v>728084.16</v>
      </c>
    </row>
    <row r="328">
      <c r="A328" s="46" t="str">
        <f>IFERROR(__xludf.DUMMYFUNCTION("""COMPUTED_VALUE"""),"Beverages")</f>
        <v>Beverages</v>
      </c>
      <c r="B328" s="46" t="str">
        <f>IFERROR(__xludf.DUMMYFUNCTION("""COMPUTED_VALUE"""),"Italy")</f>
        <v>Italy</v>
      </c>
      <c r="C328" s="46" t="str">
        <f>IFERROR(__xludf.DUMMYFUNCTION("""COMPUTED_VALUE"""),"Europe")</f>
        <v>Europe</v>
      </c>
      <c r="D328" s="90">
        <f>IFERROR(__xludf.DUMMYFUNCTION("""COMPUTED_VALUE"""),42217.0)</f>
        <v>42217</v>
      </c>
      <c r="E328" s="46">
        <f>IFERROR(__xludf.DUMMYFUNCTION("""COMPUTED_VALUE"""),2015.0)</f>
        <v>2015</v>
      </c>
      <c r="F328" s="46">
        <f>IFERROR(__xludf.DUMMYFUNCTION("""COMPUTED_VALUE"""),1.0)</f>
        <v>1</v>
      </c>
      <c r="G328" s="46">
        <f>IFERROR(__xludf.DUMMYFUNCTION("""COMPUTED_VALUE"""),4957.0)</f>
        <v>4957</v>
      </c>
      <c r="H328" s="46">
        <f>IFERROR(__xludf.DUMMYFUNCTION("""COMPUTED_VALUE"""),235209.65000000002)</f>
        <v>235209.65</v>
      </c>
      <c r="I328" s="46">
        <f>IFERROR(__xludf.DUMMYFUNCTION("""COMPUTED_VALUE"""),157583.03)</f>
        <v>157583.03</v>
      </c>
      <c r="J328" s="46">
        <f>IFERROR(__xludf.DUMMYFUNCTION("""COMPUTED_VALUE"""),77626.62000000002)</f>
        <v>77626.62</v>
      </c>
      <c r="K328" s="46" t="str">
        <f t="array" ref="K328">TEXT(D328, "mmmm")</f>
        <v>August</v>
      </c>
      <c r="M328" s="46" t="str">
        <f>IFERROR(__xludf.DUMMYFUNCTION("""COMPUTED_VALUE"""),"Netherlands")</f>
        <v>Netherlands</v>
      </c>
      <c r="N328" s="94">
        <f>IFERROR(__xludf.DUMMYFUNCTION("""COMPUTED_VALUE"""),40969.0)</f>
        <v>40969</v>
      </c>
      <c r="O328" s="46">
        <f>IFERROR(__xludf.DUMMYFUNCTION("""COMPUTED_VALUE"""),1.0)</f>
        <v>1</v>
      </c>
      <c r="P328" s="46">
        <f>IFERROR(__xludf.DUMMYFUNCTION("""COMPUTED_VALUE"""),9963.0)</f>
        <v>9963</v>
      </c>
      <c r="Q328" s="46">
        <f>IFERROR(__xludf.DUMMYFUNCTION("""COMPUTED_VALUE"""),814275.99)</f>
        <v>814275.99</v>
      </c>
      <c r="R328" s="46">
        <f>IFERROR(__xludf.DUMMYFUNCTION("""COMPUTED_VALUE"""),564603.21)</f>
        <v>564603.21</v>
      </c>
      <c r="S328" s="46">
        <f>IFERROR(__xludf.DUMMYFUNCTION("""COMPUTED_VALUE"""),249672.78000000003)</f>
        <v>249672.78</v>
      </c>
    </row>
    <row r="329">
      <c r="A329" s="46" t="str">
        <f>IFERROR(__xludf.DUMMYFUNCTION("""COMPUTED_VALUE"""),"Cereal")</f>
        <v>Cereal</v>
      </c>
      <c r="B329" s="46" t="str">
        <f>IFERROR(__xludf.DUMMYFUNCTION("""COMPUTED_VALUE"""),"Greece")</f>
        <v>Greece</v>
      </c>
      <c r="C329" s="46" t="str">
        <f>IFERROR(__xludf.DUMMYFUNCTION("""COMPUTED_VALUE"""),"Europe")</f>
        <v>Europe</v>
      </c>
      <c r="D329" s="90">
        <f>IFERROR(__xludf.DUMMYFUNCTION("""COMPUTED_VALUE"""),42217.0)</f>
        <v>42217</v>
      </c>
      <c r="E329" s="46">
        <f>IFERROR(__xludf.DUMMYFUNCTION("""COMPUTED_VALUE"""),2015.0)</f>
        <v>2015</v>
      </c>
      <c r="F329" s="46">
        <f>IFERROR(__xludf.DUMMYFUNCTION("""COMPUTED_VALUE"""),1.0)</f>
        <v>1</v>
      </c>
      <c r="G329" s="46">
        <f>IFERROR(__xludf.DUMMYFUNCTION("""COMPUTED_VALUE"""),2558.0)</f>
        <v>2558</v>
      </c>
      <c r="H329" s="46">
        <f>IFERROR(__xludf.DUMMYFUNCTION("""COMPUTED_VALUE"""),526180.6)</f>
        <v>526180.6</v>
      </c>
      <c r="I329" s="46">
        <f>IFERROR(__xludf.DUMMYFUNCTION("""COMPUTED_VALUE"""),299567.38)</f>
        <v>299567.38</v>
      </c>
      <c r="J329" s="46">
        <f>IFERROR(__xludf.DUMMYFUNCTION("""COMPUTED_VALUE"""),226613.21999999997)</f>
        <v>226613.22</v>
      </c>
      <c r="K329" s="46" t="str">
        <f t="array" ref="K329">TEXT(D329, "mmmm")</f>
        <v>August</v>
      </c>
      <c r="M329" s="46" t="str">
        <f>IFERROR(__xludf.DUMMYFUNCTION("""COMPUTED_VALUE"""),"Poland")</f>
        <v>Poland</v>
      </c>
      <c r="N329" s="94">
        <f>IFERROR(__xludf.DUMMYFUNCTION("""COMPUTED_VALUE"""),40969.0)</f>
        <v>40969</v>
      </c>
      <c r="O329" s="46">
        <f>IFERROR(__xludf.DUMMYFUNCTION("""COMPUTED_VALUE"""),1.0)</f>
        <v>1</v>
      </c>
      <c r="P329" s="46">
        <f>IFERROR(__xludf.DUMMYFUNCTION("""COMPUTED_VALUE"""),4908.0)</f>
        <v>4908</v>
      </c>
      <c r="Q329" s="46">
        <f>IFERROR(__xludf.DUMMYFUNCTION("""COMPUTED_VALUE"""),536346.24)</f>
        <v>536346.24</v>
      </c>
      <c r="R329" s="46">
        <f>IFERROR(__xludf.DUMMYFUNCTION("""COMPUTED_VALUE"""),175902.72000000003)</f>
        <v>175902.72</v>
      </c>
      <c r="S329" s="46">
        <f>IFERROR(__xludf.DUMMYFUNCTION("""COMPUTED_VALUE"""),360443.51999999996)</f>
        <v>360443.52</v>
      </c>
    </row>
    <row r="330">
      <c r="A330" s="46" t="str">
        <f>IFERROR(__xludf.DUMMYFUNCTION("""COMPUTED_VALUE"""),"Cereal")</f>
        <v>Cereal</v>
      </c>
      <c r="B330" s="46" t="str">
        <f>IFERROR(__xludf.DUMMYFUNCTION("""COMPUTED_VALUE"""),"Portugal")</f>
        <v>Portugal</v>
      </c>
      <c r="C330" s="46" t="str">
        <f>IFERROR(__xludf.DUMMYFUNCTION("""COMPUTED_VALUE"""),"Europe")</f>
        <v>Europe</v>
      </c>
      <c r="D330" s="90">
        <f>IFERROR(__xludf.DUMMYFUNCTION("""COMPUTED_VALUE"""),42217.0)</f>
        <v>42217</v>
      </c>
      <c r="E330" s="46">
        <f>IFERROR(__xludf.DUMMYFUNCTION("""COMPUTED_VALUE"""),2015.0)</f>
        <v>2015</v>
      </c>
      <c r="F330" s="46">
        <f>IFERROR(__xludf.DUMMYFUNCTION("""COMPUTED_VALUE"""),1.0)</f>
        <v>1</v>
      </c>
      <c r="G330" s="46">
        <f>IFERROR(__xludf.DUMMYFUNCTION("""COMPUTED_VALUE"""),4868.0)</f>
        <v>4868</v>
      </c>
      <c r="H330" s="46">
        <f>IFERROR(__xludf.DUMMYFUNCTION("""COMPUTED_VALUE"""),1001347.6)</f>
        <v>1001347.6</v>
      </c>
      <c r="I330" s="46">
        <f>IFERROR(__xludf.DUMMYFUNCTION("""COMPUTED_VALUE"""),570091.48)</f>
        <v>570091.48</v>
      </c>
      <c r="J330" s="46">
        <f>IFERROR(__xludf.DUMMYFUNCTION("""COMPUTED_VALUE"""),431256.12)</f>
        <v>431256.12</v>
      </c>
      <c r="K330" s="46" t="str">
        <f t="array" ref="K330">TEXT(D330, "mmmm")</f>
        <v>August</v>
      </c>
      <c r="M330" s="46" t="str">
        <f>IFERROR(__xludf.DUMMYFUNCTION("""COMPUTED_VALUE"""),"Romania")</f>
        <v>Romania</v>
      </c>
      <c r="N330" s="94">
        <f>IFERROR(__xludf.DUMMYFUNCTION("""COMPUTED_VALUE"""),40969.0)</f>
        <v>40969</v>
      </c>
      <c r="O330" s="46">
        <f>IFERROR(__xludf.DUMMYFUNCTION("""COMPUTED_VALUE"""),1.0)</f>
        <v>1</v>
      </c>
      <c r="P330" s="46">
        <f>IFERROR(__xludf.DUMMYFUNCTION("""COMPUTED_VALUE"""),1494.0)</f>
        <v>1494</v>
      </c>
      <c r="Q330" s="46">
        <f>IFERROR(__xludf.DUMMYFUNCTION("""COMPUTED_VALUE"""),630303.66)</f>
        <v>630303.66</v>
      </c>
      <c r="R330" s="46">
        <f>IFERROR(__xludf.DUMMYFUNCTION("""COMPUTED_VALUE"""),544846.86)</f>
        <v>544846.86</v>
      </c>
      <c r="S330" s="46">
        <f>IFERROR(__xludf.DUMMYFUNCTION("""COMPUTED_VALUE"""),85456.80000000005)</f>
        <v>85456.8</v>
      </c>
    </row>
    <row r="331">
      <c r="A331" s="46" t="str">
        <f>IFERROR(__xludf.DUMMYFUNCTION("""COMPUTED_VALUE"""),"Clothes")</f>
        <v>Clothes</v>
      </c>
      <c r="B331" s="46" t="str">
        <f>IFERROR(__xludf.DUMMYFUNCTION("""COMPUTED_VALUE"""),"Russia")</f>
        <v>Russia</v>
      </c>
      <c r="C331" s="46" t="str">
        <f>IFERROR(__xludf.DUMMYFUNCTION("""COMPUTED_VALUE"""),"Europe")</f>
        <v>Europe</v>
      </c>
      <c r="D331" s="90">
        <f>IFERROR(__xludf.DUMMYFUNCTION("""COMPUTED_VALUE"""),42217.0)</f>
        <v>42217</v>
      </c>
      <c r="E331" s="46">
        <f>IFERROR(__xludf.DUMMYFUNCTION("""COMPUTED_VALUE"""),2015.0)</f>
        <v>2015</v>
      </c>
      <c r="F331" s="46">
        <f>IFERROR(__xludf.DUMMYFUNCTION("""COMPUTED_VALUE"""),1.0)</f>
        <v>1</v>
      </c>
      <c r="G331" s="46">
        <f>IFERROR(__xludf.DUMMYFUNCTION("""COMPUTED_VALUE"""),3685.0)</f>
        <v>3685</v>
      </c>
      <c r="H331" s="46">
        <f>IFERROR(__xludf.DUMMYFUNCTION("""COMPUTED_VALUE"""),402696.8)</f>
        <v>402696.8</v>
      </c>
      <c r="I331" s="46">
        <f>IFERROR(__xludf.DUMMYFUNCTION("""COMPUTED_VALUE"""),132070.40000000002)</f>
        <v>132070.4</v>
      </c>
      <c r="J331" s="46">
        <f>IFERROR(__xludf.DUMMYFUNCTION("""COMPUTED_VALUE"""),270626.39999999997)</f>
        <v>270626.4</v>
      </c>
      <c r="K331" s="46" t="str">
        <f t="array" ref="K331">TEXT(D331, "mmmm")</f>
        <v>August</v>
      </c>
      <c r="M331" s="46" t="str">
        <f>IFERROR(__xludf.DUMMYFUNCTION("""COMPUTED_VALUE"""),"San Marino")</f>
        <v>San Marino</v>
      </c>
      <c r="N331" s="94">
        <f>IFERROR(__xludf.DUMMYFUNCTION("""COMPUTED_VALUE"""),40969.0)</f>
        <v>40969</v>
      </c>
      <c r="O331" s="46">
        <f>IFERROR(__xludf.DUMMYFUNCTION("""COMPUTED_VALUE"""),1.0)</f>
        <v>1</v>
      </c>
      <c r="P331" s="46">
        <f>IFERROR(__xludf.DUMMYFUNCTION("""COMPUTED_VALUE"""),6065.0)</f>
        <v>6065</v>
      </c>
      <c r="Q331" s="46">
        <f>IFERROR(__xludf.DUMMYFUNCTION("""COMPUTED_VALUE"""),2558762.85)</f>
        <v>2558762.85</v>
      </c>
      <c r="R331" s="46">
        <f>IFERROR(__xludf.DUMMYFUNCTION("""COMPUTED_VALUE"""),2211844.85)</f>
        <v>2211844.85</v>
      </c>
      <c r="S331" s="46">
        <f>IFERROR(__xludf.DUMMYFUNCTION("""COMPUTED_VALUE"""),346918.0)</f>
        <v>346918</v>
      </c>
    </row>
    <row r="332">
      <c r="A332" s="46" t="str">
        <f>IFERROR(__xludf.DUMMYFUNCTION("""COMPUTED_VALUE"""),"Cosmetics")</f>
        <v>Cosmetics</v>
      </c>
      <c r="B332" s="46" t="str">
        <f>IFERROR(__xludf.DUMMYFUNCTION("""COMPUTED_VALUE"""),"Albania")</f>
        <v>Albania</v>
      </c>
      <c r="C332" s="46" t="str">
        <f>IFERROR(__xludf.DUMMYFUNCTION("""COMPUTED_VALUE"""),"Europe")</f>
        <v>Europe</v>
      </c>
      <c r="D332" s="90">
        <f>IFERROR(__xludf.DUMMYFUNCTION("""COMPUTED_VALUE"""),42217.0)</f>
        <v>42217</v>
      </c>
      <c r="E332" s="46">
        <f>IFERROR(__xludf.DUMMYFUNCTION("""COMPUTED_VALUE"""),2015.0)</f>
        <v>2015</v>
      </c>
      <c r="F332" s="46">
        <f>IFERROR(__xludf.DUMMYFUNCTION("""COMPUTED_VALUE"""),1.0)</f>
        <v>1</v>
      </c>
      <c r="G332" s="46">
        <f>IFERROR(__xludf.DUMMYFUNCTION("""COMPUTED_VALUE"""),1224.0)</f>
        <v>1224</v>
      </c>
      <c r="H332" s="46">
        <f>IFERROR(__xludf.DUMMYFUNCTION("""COMPUTED_VALUE"""),535132.7999999999)</f>
        <v>535132.8</v>
      </c>
      <c r="I332" s="46">
        <f>IFERROR(__xludf.DUMMYFUNCTION("""COMPUTED_VALUE"""),322315.92)</f>
        <v>322315.92</v>
      </c>
      <c r="J332" s="46">
        <f>IFERROR(__xludf.DUMMYFUNCTION("""COMPUTED_VALUE"""),212816.87999999995)</f>
        <v>212816.88</v>
      </c>
      <c r="K332" s="46" t="str">
        <f t="array" ref="K332">TEXT(D332, "mmmm")</f>
        <v>August</v>
      </c>
      <c r="M332" s="46" t="str">
        <f>IFERROR(__xludf.DUMMYFUNCTION("""COMPUTED_VALUE"""),"Serbia")</f>
        <v>Serbia</v>
      </c>
      <c r="N332" s="94">
        <f>IFERROR(__xludf.DUMMYFUNCTION("""COMPUTED_VALUE"""),40969.0)</f>
        <v>40969</v>
      </c>
      <c r="O332" s="46">
        <f>IFERROR(__xludf.DUMMYFUNCTION("""COMPUTED_VALUE"""),1.0)</f>
        <v>1</v>
      </c>
      <c r="P332" s="46">
        <f>IFERROR(__xludf.DUMMYFUNCTION("""COMPUTED_VALUE"""),4508.0)</f>
        <v>4508</v>
      </c>
      <c r="Q332" s="46">
        <f>IFERROR(__xludf.DUMMYFUNCTION("""COMPUTED_VALUE"""),1970897.5999999999)</f>
        <v>1970897.6</v>
      </c>
      <c r="R332" s="46">
        <f>IFERROR(__xludf.DUMMYFUNCTION("""COMPUTED_VALUE"""),1187091.64)</f>
        <v>1187091.64</v>
      </c>
      <c r="S332" s="46">
        <f>IFERROR(__xludf.DUMMYFUNCTION("""COMPUTED_VALUE"""),783805.96)</f>
        <v>783805.96</v>
      </c>
    </row>
    <row r="333">
      <c r="A333" s="46" t="str">
        <f>IFERROR(__xludf.DUMMYFUNCTION("""COMPUTED_VALUE"""),"Household")</f>
        <v>Household</v>
      </c>
      <c r="B333" s="46" t="str">
        <f>IFERROR(__xludf.DUMMYFUNCTION("""COMPUTED_VALUE"""),"Liechtenstein")</f>
        <v>Liechtenstein</v>
      </c>
      <c r="C333" s="46" t="str">
        <f>IFERROR(__xludf.DUMMYFUNCTION("""COMPUTED_VALUE"""),"Europe")</f>
        <v>Europe</v>
      </c>
      <c r="D333" s="90">
        <f>IFERROR(__xludf.DUMMYFUNCTION("""COMPUTED_VALUE"""),42217.0)</f>
        <v>42217</v>
      </c>
      <c r="E333" s="46">
        <f>IFERROR(__xludf.DUMMYFUNCTION("""COMPUTED_VALUE"""),2015.0)</f>
        <v>2015</v>
      </c>
      <c r="F333" s="46">
        <f>IFERROR(__xludf.DUMMYFUNCTION("""COMPUTED_VALUE"""),1.0)</f>
        <v>1</v>
      </c>
      <c r="G333" s="46">
        <f>IFERROR(__xludf.DUMMYFUNCTION("""COMPUTED_VALUE"""),7658.0)</f>
        <v>7658</v>
      </c>
      <c r="H333" s="46">
        <f>IFERROR(__xludf.DUMMYFUNCTION("""COMPUTED_VALUE"""),5117611.66)</f>
        <v>5117611.66</v>
      </c>
      <c r="I333" s="46">
        <f>IFERROR(__xludf.DUMMYFUNCTION("""COMPUTED_VALUE"""),3848451.3200000003)</f>
        <v>3848451.32</v>
      </c>
      <c r="J333" s="46">
        <f>IFERROR(__xludf.DUMMYFUNCTION("""COMPUTED_VALUE"""),1269160.3399999999)</f>
        <v>1269160.34</v>
      </c>
      <c r="K333" s="46" t="str">
        <f t="array" ref="K333">TEXT(D333, "mmmm")</f>
        <v>August</v>
      </c>
      <c r="M333" s="46" t="str">
        <f>IFERROR(__xludf.DUMMYFUNCTION("""COMPUTED_VALUE"""),"Switzerland")</f>
        <v>Switzerland</v>
      </c>
      <c r="N333" s="94">
        <f>IFERROR(__xludf.DUMMYFUNCTION("""COMPUTED_VALUE"""),40969.0)</f>
        <v>40969</v>
      </c>
      <c r="O333" s="46">
        <f>IFERROR(__xludf.DUMMYFUNCTION("""COMPUTED_VALUE"""),2.0)</f>
        <v>2</v>
      </c>
      <c r="P333" s="46">
        <f>IFERROR(__xludf.DUMMYFUNCTION("""COMPUTED_VALUE"""),11668.0)</f>
        <v>11668</v>
      </c>
      <c r="Q333" s="46">
        <f>IFERROR(__xludf.DUMMYFUNCTION("""COMPUTED_VALUE"""),503945.94)</f>
        <v>503945.94</v>
      </c>
      <c r="R333" s="46">
        <f>IFERROR(__xludf.DUMMYFUNCTION("""COMPUTED_VALUE"""),330396.72000000003)</f>
        <v>330396.72</v>
      </c>
      <c r="S333" s="46">
        <f>IFERROR(__xludf.DUMMYFUNCTION("""COMPUTED_VALUE"""),173549.22)</f>
        <v>173549.22</v>
      </c>
    </row>
    <row r="334">
      <c r="A334" s="46" t="str">
        <f>IFERROR(__xludf.DUMMYFUNCTION("""COMPUTED_VALUE"""),"Personal Care")</f>
        <v>Personal Care</v>
      </c>
      <c r="B334" s="46" t="str">
        <f>IFERROR(__xludf.DUMMYFUNCTION("""COMPUTED_VALUE"""),"France")</f>
        <v>France</v>
      </c>
      <c r="C334" s="46" t="str">
        <f>IFERROR(__xludf.DUMMYFUNCTION("""COMPUTED_VALUE"""),"Europe")</f>
        <v>Europe</v>
      </c>
      <c r="D334" s="90">
        <f>IFERROR(__xludf.DUMMYFUNCTION("""COMPUTED_VALUE"""),42217.0)</f>
        <v>42217</v>
      </c>
      <c r="E334" s="46">
        <f>IFERROR(__xludf.DUMMYFUNCTION("""COMPUTED_VALUE"""),2015.0)</f>
        <v>2015</v>
      </c>
      <c r="F334" s="46">
        <f>IFERROR(__xludf.DUMMYFUNCTION("""COMPUTED_VALUE"""),1.0)</f>
        <v>1</v>
      </c>
      <c r="G334" s="46">
        <f>IFERROR(__xludf.DUMMYFUNCTION("""COMPUTED_VALUE"""),9808.0)</f>
        <v>9808</v>
      </c>
      <c r="H334" s="46">
        <f>IFERROR(__xludf.DUMMYFUNCTION("""COMPUTED_VALUE"""),801607.8400000001)</f>
        <v>801607.84</v>
      </c>
      <c r="I334" s="46">
        <f>IFERROR(__xludf.DUMMYFUNCTION("""COMPUTED_VALUE"""),555819.36)</f>
        <v>555819.36</v>
      </c>
      <c r="J334" s="46">
        <f>IFERROR(__xludf.DUMMYFUNCTION("""COMPUTED_VALUE"""),245788.4800000001)</f>
        <v>245788.48</v>
      </c>
      <c r="K334" s="46" t="str">
        <f t="array" ref="K334">TEXT(D334, "mmmm")</f>
        <v>August</v>
      </c>
      <c r="M334" s="46" t="str">
        <f>IFERROR(__xludf.DUMMYFUNCTION("""COMPUTED_VALUE"""),"Undefined")</f>
        <v>Undefined</v>
      </c>
      <c r="N334" s="94">
        <f>IFERROR(__xludf.DUMMYFUNCTION("""COMPUTED_VALUE"""),40969.0)</f>
        <v>40969</v>
      </c>
      <c r="O334" s="46">
        <f>IFERROR(__xludf.DUMMYFUNCTION("""COMPUTED_VALUE"""),2.0)</f>
        <v>2</v>
      </c>
      <c r="P334" s="46">
        <f>IFERROR(__xludf.DUMMYFUNCTION("""COMPUTED_VALUE"""),17885.0)</f>
        <v>17885</v>
      </c>
      <c r="Q334" s="46">
        <f>IFERROR(__xludf.DUMMYFUNCTION("""COMPUTED_VALUE"""),972863.8500000001)</f>
        <v>972863.85</v>
      </c>
      <c r="R334" s="46">
        <f>IFERROR(__xludf.DUMMYFUNCTION("""COMPUTED_VALUE"""),356975.08)</f>
        <v>356975.08</v>
      </c>
      <c r="S334" s="46">
        <f>IFERROR(__xludf.DUMMYFUNCTION("""COMPUTED_VALUE"""),615888.77)</f>
        <v>615888.77</v>
      </c>
    </row>
    <row r="335">
      <c r="A335" s="46" t="str">
        <f>IFERROR(__xludf.DUMMYFUNCTION("""COMPUTED_VALUE"""),"Vegetables")</f>
        <v>Vegetables</v>
      </c>
      <c r="B335" s="46" t="str">
        <f>IFERROR(__xludf.DUMMYFUNCTION("""COMPUTED_VALUE"""),"Denmark")</f>
        <v>Denmark</v>
      </c>
      <c r="C335" s="46" t="str">
        <f>IFERROR(__xludf.DUMMYFUNCTION("""COMPUTED_VALUE"""),"Europe")</f>
        <v>Europe</v>
      </c>
      <c r="D335" s="90">
        <f>IFERROR(__xludf.DUMMYFUNCTION("""COMPUTED_VALUE"""),42217.0)</f>
        <v>42217</v>
      </c>
      <c r="E335" s="46">
        <f>IFERROR(__xludf.DUMMYFUNCTION("""COMPUTED_VALUE"""),2015.0)</f>
        <v>2015</v>
      </c>
      <c r="F335" s="46">
        <f>IFERROR(__xludf.DUMMYFUNCTION("""COMPUTED_VALUE"""),1.0)</f>
        <v>1</v>
      </c>
      <c r="G335" s="46">
        <f>IFERROR(__xludf.DUMMYFUNCTION("""COMPUTED_VALUE"""),3911.0)</f>
        <v>3911</v>
      </c>
      <c r="H335" s="46">
        <f>IFERROR(__xludf.DUMMYFUNCTION("""COMPUTED_VALUE"""),602528.66)</f>
        <v>602528.66</v>
      </c>
      <c r="I335" s="46">
        <f>IFERROR(__xludf.DUMMYFUNCTION("""COMPUTED_VALUE"""),355627.23000000004)</f>
        <v>355627.23</v>
      </c>
      <c r="J335" s="46">
        <f>IFERROR(__xludf.DUMMYFUNCTION("""COMPUTED_VALUE"""),246901.43)</f>
        <v>246901.43</v>
      </c>
      <c r="K335" s="46" t="str">
        <f t="array" ref="K335">TEXT(D335, "mmmm")</f>
        <v>August</v>
      </c>
      <c r="M335" s="46" t="str">
        <f>IFERROR(__xludf.DUMMYFUNCTION("""COMPUTED_VALUE"""),"United Kingdom")</f>
        <v>United Kingdom</v>
      </c>
      <c r="N335" s="94">
        <f>IFERROR(__xludf.DUMMYFUNCTION("""COMPUTED_VALUE"""),40969.0)</f>
        <v>40969</v>
      </c>
      <c r="O335" s="46">
        <f>IFERROR(__xludf.DUMMYFUNCTION("""COMPUTED_VALUE"""),1.0)</f>
        <v>1</v>
      </c>
      <c r="P335" s="46">
        <f>IFERROR(__xludf.DUMMYFUNCTION("""COMPUTED_VALUE"""),3493.0)</f>
        <v>3493</v>
      </c>
      <c r="Q335" s="46">
        <f>IFERROR(__xludf.DUMMYFUNCTION("""COMPUTED_VALUE"""),2334267.11)</f>
        <v>2334267.11</v>
      </c>
      <c r="R335" s="46">
        <f>IFERROR(__xludf.DUMMYFUNCTION("""COMPUTED_VALUE"""),1755372.22)</f>
        <v>1755372.22</v>
      </c>
      <c r="S335" s="46">
        <f>IFERROR(__xludf.DUMMYFUNCTION("""COMPUTED_VALUE"""),578894.8899999999)</f>
        <v>578894.89</v>
      </c>
    </row>
    <row r="336">
      <c r="A336" s="46" t="str">
        <f>IFERROR(__xludf.DUMMYFUNCTION("""COMPUTED_VALUE"""),"Vegetables")</f>
        <v>Vegetables</v>
      </c>
      <c r="B336" s="46" t="str">
        <f>IFERROR(__xludf.DUMMYFUNCTION("""COMPUTED_VALUE"""),"Finland")</f>
        <v>Finland</v>
      </c>
      <c r="C336" s="46" t="str">
        <f>IFERROR(__xludf.DUMMYFUNCTION("""COMPUTED_VALUE"""),"Europe")</f>
        <v>Europe</v>
      </c>
      <c r="D336" s="90">
        <f>IFERROR(__xludf.DUMMYFUNCTION("""COMPUTED_VALUE"""),42217.0)</f>
        <v>42217</v>
      </c>
      <c r="E336" s="46">
        <f>IFERROR(__xludf.DUMMYFUNCTION("""COMPUTED_VALUE"""),2015.0)</f>
        <v>2015</v>
      </c>
      <c r="F336" s="46">
        <f>IFERROR(__xludf.DUMMYFUNCTION("""COMPUTED_VALUE"""),1.0)</f>
        <v>1</v>
      </c>
      <c r="G336" s="46">
        <f>IFERROR(__xludf.DUMMYFUNCTION("""COMPUTED_VALUE"""),9169.0)</f>
        <v>9169</v>
      </c>
      <c r="H336" s="46">
        <f>IFERROR(__xludf.DUMMYFUNCTION("""COMPUTED_VALUE"""),1412576.1400000001)</f>
        <v>1412576.14</v>
      </c>
      <c r="I336" s="46">
        <f>IFERROR(__xludf.DUMMYFUNCTION("""COMPUTED_VALUE"""),833737.17)</f>
        <v>833737.17</v>
      </c>
      <c r="J336" s="46">
        <f>IFERROR(__xludf.DUMMYFUNCTION("""COMPUTED_VALUE"""),578838.9700000001)</f>
        <v>578838.97</v>
      </c>
      <c r="K336" s="46" t="str">
        <f t="array" ref="K336">TEXT(D336, "mmmm")</f>
        <v>August</v>
      </c>
      <c r="M336" s="46" t="str">
        <f>IFERROR(__xludf.DUMMYFUNCTION("""COMPUTED_VALUE"""),"Andorra")</f>
        <v>Andorra</v>
      </c>
      <c r="N336" s="94">
        <f>IFERROR(__xludf.DUMMYFUNCTION("""COMPUTED_VALUE"""),41000.0)</f>
        <v>41000</v>
      </c>
      <c r="O336" s="46">
        <f>IFERROR(__xludf.DUMMYFUNCTION("""COMPUTED_VALUE"""),1.0)</f>
        <v>1</v>
      </c>
      <c r="P336" s="46">
        <f>IFERROR(__xludf.DUMMYFUNCTION("""COMPUTED_VALUE"""),9780.0)</f>
        <v>9780</v>
      </c>
      <c r="Q336" s="46">
        <f>IFERROR(__xludf.DUMMYFUNCTION("""COMPUTED_VALUE"""),4275816.0)</f>
        <v>4275816</v>
      </c>
      <c r="R336" s="46">
        <f>IFERROR(__xludf.DUMMYFUNCTION("""COMPUTED_VALUE"""),2575367.4)</f>
        <v>2575367.4</v>
      </c>
      <c r="S336" s="46">
        <f>IFERROR(__xludf.DUMMYFUNCTION("""COMPUTED_VALUE"""),1700448.6)</f>
        <v>1700448.6</v>
      </c>
    </row>
    <row r="337">
      <c r="A337" s="46" t="str">
        <f>IFERROR(__xludf.DUMMYFUNCTION("""COMPUTED_VALUE"""),"Vegetables")</f>
        <v>Vegetables</v>
      </c>
      <c r="B337" s="46" t="str">
        <f>IFERROR(__xludf.DUMMYFUNCTION("""COMPUTED_VALUE"""),"Germany")</f>
        <v>Germany</v>
      </c>
      <c r="C337" s="46" t="str">
        <f>IFERROR(__xludf.DUMMYFUNCTION("""COMPUTED_VALUE"""),"Europe")</f>
        <v>Europe</v>
      </c>
      <c r="D337" s="90">
        <f>IFERROR(__xludf.DUMMYFUNCTION("""COMPUTED_VALUE"""),42217.0)</f>
        <v>42217</v>
      </c>
      <c r="E337" s="46">
        <f>IFERROR(__xludf.DUMMYFUNCTION("""COMPUTED_VALUE"""),2015.0)</f>
        <v>2015</v>
      </c>
      <c r="F337" s="46">
        <f>IFERROR(__xludf.DUMMYFUNCTION("""COMPUTED_VALUE"""),1.0)</f>
        <v>1</v>
      </c>
      <c r="G337" s="46">
        <f>IFERROR(__xludf.DUMMYFUNCTION("""COMPUTED_VALUE"""),833.0)</f>
        <v>833</v>
      </c>
      <c r="H337" s="46">
        <f>IFERROR(__xludf.DUMMYFUNCTION("""COMPUTED_VALUE"""),128331.98)</f>
        <v>128331.98</v>
      </c>
      <c r="I337" s="46">
        <f>IFERROR(__xludf.DUMMYFUNCTION("""COMPUTED_VALUE"""),75744.69)</f>
        <v>75744.69</v>
      </c>
      <c r="J337" s="46">
        <f>IFERROR(__xludf.DUMMYFUNCTION("""COMPUTED_VALUE"""),52587.28999999999)</f>
        <v>52587.29</v>
      </c>
      <c r="K337" s="46" t="str">
        <f t="array" ref="K337">TEXT(D337, "mmmm")</f>
        <v>August</v>
      </c>
      <c r="M337" s="46" t="str">
        <f>IFERROR(__xludf.DUMMYFUNCTION("""COMPUTED_VALUE"""),"Austria")</f>
        <v>Austria</v>
      </c>
      <c r="N337" s="94">
        <f>IFERROR(__xludf.DUMMYFUNCTION("""COMPUTED_VALUE"""),41000.0)</f>
        <v>41000</v>
      </c>
      <c r="O337" s="46">
        <f>IFERROR(__xludf.DUMMYFUNCTION("""COMPUTED_VALUE"""),1.0)</f>
        <v>1</v>
      </c>
      <c r="P337" s="46">
        <f>IFERROR(__xludf.DUMMYFUNCTION("""COMPUTED_VALUE"""),8863.0)</f>
        <v>8863</v>
      </c>
      <c r="Q337" s="46">
        <f>IFERROR(__xludf.DUMMYFUNCTION("""COMPUTED_VALUE"""),420549.35000000003)</f>
        <v>420549.35</v>
      </c>
      <c r="R337" s="46">
        <f>IFERROR(__xludf.DUMMYFUNCTION("""COMPUTED_VALUE"""),281754.77)</f>
        <v>281754.77</v>
      </c>
      <c r="S337" s="46">
        <f>IFERROR(__xludf.DUMMYFUNCTION("""COMPUTED_VALUE"""),138794.58000000002)</f>
        <v>138794.58</v>
      </c>
    </row>
    <row r="338">
      <c r="A338" s="46" t="str">
        <f>IFERROR(__xludf.DUMMYFUNCTION("""COMPUTED_VALUE"""),"Baby Food")</f>
        <v>Baby Food</v>
      </c>
      <c r="B338" s="46" t="str">
        <f>IFERROR(__xludf.DUMMYFUNCTION("""COMPUTED_VALUE"""),"Czech Republic")</f>
        <v>Czech Republic</v>
      </c>
      <c r="C338" s="46" t="str">
        <f>IFERROR(__xludf.DUMMYFUNCTION("""COMPUTED_VALUE"""),"Europe")</f>
        <v>Europe</v>
      </c>
      <c r="D338" s="90">
        <f>IFERROR(__xludf.DUMMYFUNCTION("""COMPUTED_VALUE"""),42186.0)</f>
        <v>42186</v>
      </c>
      <c r="E338" s="46">
        <f>IFERROR(__xludf.DUMMYFUNCTION("""COMPUTED_VALUE"""),2015.0)</f>
        <v>2015</v>
      </c>
      <c r="F338" s="46">
        <f>IFERROR(__xludf.DUMMYFUNCTION("""COMPUTED_VALUE"""),1.0)</f>
        <v>1</v>
      </c>
      <c r="G338" s="46">
        <f>IFERROR(__xludf.DUMMYFUNCTION("""COMPUTED_VALUE"""),810.0)</f>
        <v>810</v>
      </c>
      <c r="H338" s="46">
        <f>IFERROR(__xludf.DUMMYFUNCTION("""COMPUTED_VALUE"""),206776.8)</f>
        <v>206776.8</v>
      </c>
      <c r="I338" s="46">
        <f>IFERROR(__xludf.DUMMYFUNCTION("""COMPUTED_VALUE"""),129130.2)</f>
        <v>129130.2</v>
      </c>
      <c r="J338" s="46">
        <f>IFERROR(__xludf.DUMMYFUNCTION("""COMPUTED_VALUE"""),77646.59999999999)</f>
        <v>77646.6</v>
      </c>
      <c r="K338" s="46" t="str">
        <f t="array" ref="K338">TEXT(D338, "mmmm")</f>
        <v>July</v>
      </c>
      <c r="M338" s="46" t="str">
        <f>IFERROR(__xludf.DUMMYFUNCTION("""COMPUTED_VALUE"""),"Bulgaria")</f>
        <v>Bulgaria</v>
      </c>
      <c r="N338" s="94">
        <f>IFERROR(__xludf.DUMMYFUNCTION("""COMPUTED_VALUE"""),41000.0)</f>
        <v>41000</v>
      </c>
      <c r="O338" s="46">
        <f>IFERROR(__xludf.DUMMYFUNCTION("""COMPUTED_VALUE"""),2.0)</f>
        <v>2</v>
      </c>
      <c r="P338" s="46">
        <f>IFERROR(__xludf.DUMMYFUNCTION("""COMPUTED_VALUE"""),12344.0)</f>
        <v>12344</v>
      </c>
      <c r="Q338" s="46">
        <f>IFERROR(__xludf.DUMMYFUNCTION("""COMPUTED_VALUE"""),6654307.14)</f>
        <v>6654307.14</v>
      </c>
      <c r="R338" s="46">
        <f>IFERROR(__xludf.DUMMYFUNCTION("""COMPUTED_VALUE"""),5311050.710000001)</f>
        <v>5311050.71</v>
      </c>
      <c r="S338" s="46">
        <f>IFERROR(__xludf.DUMMYFUNCTION("""COMPUTED_VALUE"""),1343256.4299999992)</f>
        <v>1343256.43</v>
      </c>
    </row>
    <row r="339">
      <c r="A339" s="46" t="str">
        <f>IFERROR(__xludf.DUMMYFUNCTION("""COMPUTED_VALUE"""),"Beverages")</f>
        <v>Beverages</v>
      </c>
      <c r="B339" s="46" t="str">
        <f>IFERROR(__xludf.DUMMYFUNCTION("""COMPUTED_VALUE"""),"Lithuania")</f>
        <v>Lithuania</v>
      </c>
      <c r="C339" s="46" t="str">
        <f>IFERROR(__xludf.DUMMYFUNCTION("""COMPUTED_VALUE"""),"Europe")</f>
        <v>Europe</v>
      </c>
      <c r="D339" s="90">
        <f>IFERROR(__xludf.DUMMYFUNCTION("""COMPUTED_VALUE"""),42186.0)</f>
        <v>42186</v>
      </c>
      <c r="E339" s="46">
        <f>IFERROR(__xludf.DUMMYFUNCTION("""COMPUTED_VALUE"""),2015.0)</f>
        <v>2015</v>
      </c>
      <c r="F339" s="46">
        <f>IFERROR(__xludf.DUMMYFUNCTION("""COMPUTED_VALUE"""),1.0)</f>
        <v>1</v>
      </c>
      <c r="G339" s="46">
        <f>IFERROR(__xludf.DUMMYFUNCTION("""COMPUTED_VALUE"""),5919.0)</f>
        <v>5919</v>
      </c>
      <c r="H339" s="46">
        <f>IFERROR(__xludf.DUMMYFUNCTION("""COMPUTED_VALUE"""),280856.55)</f>
        <v>280856.55</v>
      </c>
      <c r="I339" s="46">
        <f>IFERROR(__xludf.DUMMYFUNCTION("""COMPUTED_VALUE"""),188165.01)</f>
        <v>188165.01</v>
      </c>
      <c r="J339" s="46">
        <f>IFERROR(__xludf.DUMMYFUNCTION("""COMPUTED_VALUE"""),92691.53999999998)</f>
        <v>92691.54</v>
      </c>
      <c r="K339" s="46" t="str">
        <f t="array" ref="K339">TEXT(D339, "mmmm")</f>
        <v>July</v>
      </c>
      <c r="M339" s="46" t="str">
        <f>IFERROR(__xludf.DUMMYFUNCTION("""COMPUTED_VALUE"""),"Czech Republic")</f>
        <v>Czech Republic</v>
      </c>
      <c r="N339" s="94">
        <f>IFERROR(__xludf.DUMMYFUNCTION("""COMPUTED_VALUE"""),41000.0)</f>
        <v>41000</v>
      </c>
      <c r="O339" s="46">
        <f>IFERROR(__xludf.DUMMYFUNCTION("""COMPUTED_VALUE"""),1.0)</f>
        <v>1</v>
      </c>
      <c r="P339" s="46">
        <f>IFERROR(__xludf.DUMMYFUNCTION("""COMPUTED_VALUE"""),3095.0)</f>
        <v>3095</v>
      </c>
      <c r="Q339" s="46">
        <f>IFERROR(__xludf.DUMMYFUNCTION("""COMPUTED_VALUE"""),252954.35)</f>
        <v>252954.35</v>
      </c>
      <c r="R339" s="46">
        <f>IFERROR(__xludf.DUMMYFUNCTION("""COMPUTED_VALUE"""),175393.65)</f>
        <v>175393.65</v>
      </c>
      <c r="S339" s="46">
        <f>IFERROR(__xludf.DUMMYFUNCTION("""COMPUTED_VALUE"""),77560.70000000001)</f>
        <v>77560.7</v>
      </c>
    </row>
    <row r="340">
      <c r="A340" s="46" t="str">
        <f>IFERROR(__xludf.DUMMYFUNCTION("""COMPUTED_VALUE"""),"Cosmetics")</f>
        <v>Cosmetics</v>
      </c>
      <c r="B340" s="46" t="str">
        <f>IFERROR(__xludf.DUMMYFUNCTION("""COMPUTED_VALUE"""),"Belarus")</f>
        <v>Belarus</v>
      </c>
      <c r="C340" s="46" t="str">
        <f>IFERROR(__xludf.DUMMYFUNCTION("""COMPUTED_VALUE"""),"Europe")</f>
        <v>Europe</v>
      </c>
      <c r="D340" s="90">
        <f>IFERROR(__xludf.DUMMYFUNCTION("""COMPUTED_VALUE"""),42186.0)</f>
        <v>42186</v>
      </c>
      <c r="E340" s="46">
        <f>IFERROR(__xludf.DUMMYFUNCTION("""COMPUTED_VALUE"""),2015.0)</f>
        <v>2015</v>
      </c>
      <c r="F340" s="46">
        <f>IFERROR(__xludf.DUMMYFUNCTION("""COMPUTED_VALUE"""),1.0)</f>
        <v>1</v>
      </c>
      <c r="G340" s="46">
        <f>IFERROR(__xludf.DUMMYFUNCTION("""COMPUTED_VALUE"""),3840.0)</f>
        <v>3840</v>
      </c>
      <c r="H340" s="46">
        <f>IFERROR(__xludf.DUMMYFUNCTION("""COMPUTED_VALUE"""),1678848.0)</f>
        <v>1678848</v>
      </c>
      <c r="I340" s="46">
        <f>IFERROR(__xludf.DUMMYFUNCTION("""COMPUTED_VALUE"""),1011187.2)</f>
        <v>1011187.2</v>
      </c>
      <c r="J340" s="46">
        <f>IFERROR(__xludf.DUMMYFUNCTION("""COMPUTED_VALUE"""),667660.8)</f>
        <v>667660.8</v>
      </c>
      <c r="K340" s="46" t="str">
        <f t="array" ref="K340">TEXT(D340, "mmmm")</f>
        <v>July</v>
      </c>
      <c r="M340" s="46" t="str">
        <f>IFERROR(__xludf.DUMMYFUNCTION("""COMPUTED_VALUE"""),"Denmark")</f>
        <v>Denmark</v>
      </c>
      <c r="N340" s="94">
        <f>IFERROR(__xludf.DUMMYFUNCTION("""COMPUTED_VALUE"""),41000.0)</f>
        <v>41000</v>
      </c>
      <c r="O340" s="46">
        <f>IFERROR(__xludf.DUMMYFUNCTION("""COMPUTED_VALUE"""),1.0)</f>
        <v>1</v>
      </c>
      <c r="P340" s="46">
        <f>IFERROR(__xludf.DUMMYFUNCTION("""COMPUTED_VALUE"""),3734.0)</f>
        <v>3734</v>
      </c>
      <c r="Q340" s="46">
        <f>IFERROR(__xludf.DUMMYFUNCTION("""COMPUTED_VALUE"""),569733.7200000001)</f>
        <v>569733.72</v>
      </c>
      <c r="R340" s="46">
        <f>IFERROR(__xludf.DUMMYFUNCTION("""COMPUTED_VALUE"""),363840.95999999996)</f>
        <v>363840.96</v>
      </c>
      <c r="S340" s="46">
        <f>IFERROR(__xludf.DUMMYFUNCTION("""COMPUTED_VALUE"""),205892.76000000013)</f>
        <v>205892.76</v>
      </c>
    </row>
    <row r="341">
      <c r="A341" s="46" t="str">
        <f>IFERROR(__xludf.DUMMYFUNCTION("""COMPUTED_VALUE"""),"Cosmetics")</f>
        <v>Cosmetics</v>
      </c>
      <c r="B341" s="46" t="str">
        <f>IFERROR(__xludf.DUMMYFUNCTION("""COMPUTED_VALUE"""),"Russia")</f>
        <v>Russia</v>
      </c>
      <c r="C341" s="46" t="str">
        <f>IFERROR(__xludf.DUMMYFUNCTION("""COMPUTED_VALUE"""),"Europe")</f>
        <v>Europe</v>
      </c>
      <c r="D341" s="90">
        <f>IFERROR(__xludf.DUMMYFUNCTION("""COMPUTED_VALUE"""),42186.0)</f>
        <v>42186</v>
      </c>
      <c r="E341" s="46">
        <f>IFERROR(__xludf.DUMMYFUNCTION("""COMPUTED_VALUE"""),2015.0)</f>
        <v>2015</v>
      </c>
      <c r="F341" s="46">
        <f>IFERROR(__xludf.DUMMYFUNCTION("""COMPUTED_VALUE"""),1.0)</f>
        <v>1</v>
      </c>
      <c r="G341" s="46">
        <f>IFERROR(__xludf.DUMMYFUNCTION("""COMPUTED_VALUE"""),391.0)</f>
        <v>391</v>
      </c>
      <c r="H341" s="46">
        <f>IFERROR(__xludf.DUMMYFUNCTION("""COMPUTED_VALUE"""),170945.19999999998)</f>
        <v>170945.2</v>
      </c>
      <c r="I341" s="46">
        <f>IFERROR(__xludf.DUMMYFUNCTION("""COMPUTED_VALUE"""),102962.03)</f>
        <v>102962.03</v>
      </c>
      <c r="J341" s="46">
        <f>IFERROR(__xludf.DUMMYFUNCTION("""COMPUTED_VALUE"""),67983.16999999998)</f>
        <v>67983.17</v>
      </c>
      <c r="K341" s="46" t="str">
        <f t="array" ref="K341">TEXT(D341, "mmmm")</f>
        <v>July</v>
      </c>
      <c r="M341" s="46" t="str">
        <f>IFERROR(__xludf.DUMMYFUNCTION("""COMPUTED_VALUE"""),"Iceland")</f>
        <v>Iceland</v>
      </c>
      <c r="N341" s="94">
        <f>IFERROR(__xludf.DUMMYFUNCTION("""COMPUTED_VALUE"""),41000.0)</f>
        <v>41000</v>
      </c>
      <c r="O341" s="46">
        <f>IFERROR(__xludf.DUMMYFUNCTION("""COMPUTED_VALUE"""),1.0)</f>
        <v>1</v>
      </c>
      <c r="P341" s="46">
        <f>IFERROR(__xludf.DUMMYFUNCTION("""COMPUTED_VALUE"""),3743.0)</f>
        <v>3743</v>
      </c>
      <c r="Q341" s="46">
        <f>IFERROR(__xludf.DUMMYFUNCTION("""COMPUTED_VALUE"""),1636439.5999999999)</f>
        <v>1636439.6</v>
      </c>
      <c r="R341" s="46">
        <f>IFERROR(__xludf.DUMMYFUNCTION("""COMPUTED_VALUE"""),985644.19)</f>
        <v>985644.19</v>
      </c>
      <c r="S341" s="46">
        <f>IFERROR(__xludf.DUMMYFUNCTION("""COMPUTED_VALUE"""),650795.4099999999)</f>
        <v>650795.41</v>
      </c>
    </row>
    <row r="342">
      <c r="A342" s="46" t="str">
        <f>IFERROR(__xludf.DUMMYFUNCTION("""COMPUTED_VALUE"""),"Fruits")</f>
        <v>Fruits</v>
      </c>
      <c r="B342" s="46" t="str">
        <f>IFERROR(__xludf.DUMMYFUNCTION("""COMPUTED_VALUE"""),"Belgium")</f>
        <v>Belgium</v>
      </c>
      <c r="C342" s="46" t="str">
        <f>IFERROR(__xludf.DUMMYFUNCTION("""COMPUTED_VALUE"""),"Europe")</f>
        <v>Europe</v>
      </c>
      <c r="D342" s="90">
        <f>IFERROR(__xludf.DUMMYFUNCTION("""COMPUTED_VALUE"""),42186.0)</f>
        <v>42186</v>
      </c>
      <c r="E342" s="46">
        <f>IFERROR(__xludf.DUMMYFUNCTION("""COMPUTED_VALUE"""),2015.0)</f>
        <v>2015</v>
      </c>
      <c r="F342" s="46">
        <f>IFERROR(__xludf.DUMMYFUNCTION("""COMPUTED_VALUE"""),1.0)</f>
        <v>1</v>
      </c>
      <c r="G342" s="46">
        <f>IFERROR(__xludf.DUMMYFUNCTION("""COMPUTED_VALUE"""),4503.0)</f>
        <v>4503</v>
      </c>
      <c r="H342" s="46">
        <f>IFERROR(__xludf.DUMMYFUNCTION("""COMPUTED_VALUE"""),42012.99)</f>
        <v>42012.99</v>
      </c>
      <c r="I342" s="46">
        <f>IFERROR(__xludf.DUMMYFUNCTION("""COMPUTED_VALUE"""),31160.76)</f>
        <v>31160.76</v>
      </c>
      <c r="J342" s="46">
        <f>IFERROR(__xludf.DUMMYFUNCTION("""COMPUTED_VALUE"""),10852.23)</f>
        <v>10852.23</v>
      </c>
      <c r="K342" s="46" t="str">
        <f t="array" ref="K342">TEXT(D342, "mmmm")</f>
        <v>July</v>
      </c>
      <c r="M342" s="46" t="str">
        <f>IFERROR(__xludf.DUMMYFUNCTION("""COMPUTED_VALUE"""),"Ireland")</f>
        <v>Ireland</v>
      </c>
      <c r="N342" s="94">
        <f>IFERROR(__xludf.DUMMYFUNCTION("""COMPUTED_VALUE"""),41000.0)</f>
        <v>41000</v>
      </c>
      <c r="O342" s="46">
        <f>IFERROR(__xludf.DUMMYFUNCTION("""COMPUTED_VALUE"""),1.0)</f>
        <v>1</v>
      </c>
      <c r="P342" s="46">
        <f>IFERROR(__xludf.DUMMYFUNCTION("""COMPUTED_VALUE"""),5143.0)</f>
        <v>5143</v>
      </c>
      <c r="Q342" s="46">
        <f>IFERROR(__xludf.DUMMYFUNCTION("""COMPUTED_VALUE"""),420337.39)</f>
        <v>420337.39</v>
      </c>
      <c r="R342" s="46">
        <f>IFERROR(__xludf.DUMMYFUNCTION("""COMPUTED_VALUE"""),291453.81)</f>
        <v>291453.81</v>
      </c>
      <c r="S342" s="46">
        <f>IFERROR(__xludf.DUMMYFUNCTION("""COMPUTED_VALUE"""),128883.58000000002)</f>
        <v>128883.58</v>
      </c>
    </row>
    <row r="343">
      <c r="A343" s="46" t="str">
        <f>IFERROR(__xludf.DUMMYFUNCTION("""COMPUTED_VALUE"""),"Fruits")</f>
        <v>Fruits</v>
      </c>
      <c r="B343" s="46" t="str">
        <f>IFERROR(__xludf.DUMMYFUNCTION("""COMPUTED_VALUE"""),"Cyprus")</f>
        <v>Cyprus</v>
      </c>
      <c r="C343" s="46" t="str">
        <f>IFERROR(__xludf.DUMMYFUNCTION("""COMPUTED_VALUE"""),"Asia")</f>
        <v>Asia</v>
      </c>
      <c r="D343" s="90">
        <f>IFERROR(__xludf.DUMMYFUNCTION("""COMPUTED_VALUE"""),42186.0)</f>
        <v>42186</v>
      </c>
      <c r="E343" s="46">
        <f>IFERROR(__xludf.DUMMYFUNCTION("""COMPUTED_VALUE"""),2015.0)</f>
        <v>2015</v>
      </c>
      <c r="F343" s="46">
        <f>IFERROR(__xludf.DUMMYFUNCTION("""COMPUTED_VALUE"""),1.0)</f>
        <v>1</v>
      </c>
      <c r="G343" s="46">
        <f>IFERROR(__xludf.DUMMYFUNCTION("""COMPUTED_VALUE"""),4622.0)</f>
        <v>4622</v>
      </c>
      <c r="H343" s="46">
        <f>IFERROR(__xludf.DUMMYFUNCTION("""COMPUTED_VALUE"""),43123.26)</f>
        <v>43123.26</v>
      </c>
      <c r="I343" s="46">
        <f>IFERROR(__xludf.DUMMYFUNCTION("""COMPUTED_VALUE"""),31984.239999999998)</f>
        <v>31984.24</v>
      </c>
      <c r="J343" s="46">
        <f>IFERROR(__xludf.DUMMYFUNCTION("""COMPUTED_VALUE"""),11139.020000000004)</f>
        <v>11139.02</v>
      </c>
      <c r="K343" s="46" t="str">
        <f t="array" ref="K343">TEXT(D343, "mmmm")</f>
        <v>July</v>
      </c>
      <c r="M343" s="46" t="str">
        <f>IFERROR(__xludf.DUMMYFUNCTION("""COMPUTED_VALUE"""),"Italy")</f>
        <v>Italy</v>
      </c>
      <c r="N343" s="94">
        <f>IFERROR(__xludf.DUMMYFUNCTION("""COMPUTED_VALUE"""),41000.0)</f>
        <v>41000</v>
      </c>
      <c r="O343" s="46">
        <f>IFERROR(__xludf.DUMMYFUNCTION("""COMPUTED_VALUE"""),1.0)</f>
        <v>1</v>
      </c>
      <c r="P343" s="46">
        <f>IFERROR(__xludf.DUMMYFUNCTION("""COMPUTED_VALUE"""),6360.0)</f>
        <v>6360</v>
      </c>
      <c r="Q343" s="46">
        <f>IFERROR(__xludf.DUMMYFUNCTION("""COMPUTED_VALUE"""),695020.8)</f>
        <v>695020.8</v>
      </c>
      <c r="R343" s="46">
        <f>IFERROR(__xludf.DUMMYFUNCTION("""COMPUTED_VALUE"""),227942.40000000002)</f>
        <v>227942.4</v>
      </c>
      <c r="S343" s="46">
        <f>IFERROR(__xludf.DUMMYFUNCTION("""COMPUTED_VALUE"""),467078.4)</f>
        <v>467078.4</v>
      </c>
    </row>
    <row r="344">
      <c r="A344" s="46" t="str">
        <f>IFERROR(__xludf.DUMMYFUNCTION("""COMPUTED_VALUE"""),"Household")</f>
        <v>Household</v>
      </c>
      <c r="B344" s="46" t="str">
        <f>IFERROR(__xludf.DUMMYFUNCTION("""COMPUTED_VALUE"""),"Switzerland")</f>
        <v>Switzerland</v>
      </c>
      <c r="C344" s="46" t="str">
        <f>IFERROR(__xludf.DUMMYFUNCTION("""COMPUTED_VALUE"""),"Europe")</f>
        <v>Europe</v>
      </c>
      <c r="D344" s="90">
        <f>IFERROR(__xludf.DUMMYFUNCTION("""COMPUTED_VALUE"""),42186.0)</f>
        <v>42186</v>
      </c>
      <c r="E344" s="46">
        <f>IFERROR(__xludf.DUMMYFUNCTION("""COMPUTED_VALUE"""),2015.0)</f>
        <v>2015</v>
      </c>
      <c r="F344" s="46">
        <f>IFERROR(__xludf.DUMMYFUNCTION("""COMPUTED_VALUE"""),1.0)</f>
        <v>1</v>
      </c>
      <c r="G344" s="46">
        <f>IFERROR(__xludf.DUMMYFUNCTION("""COMPUTED_VALUE"""),1607.0)</f>
        <v>1607</v>
      </c>
      <c r="H344" s="46">
        <f>IFERROR(__xludf.DUMMYFUNCTION("""COMPUTED_VALUE"""),1073909.89)</f>
        <v>1073909.89</v>
      </c>
      <c r="I344" s="46">
        <f>IFERROR(__xludf.DUMMYFUNCTION("""COMPUTED_VALUE"""),807581.78)</f>
        <v>807581.78</v>
      </c>
      <c r="J344" s="46">
        <f>IFERROR(__xludf.DUMMYFUNCTION("""COMPUTED_VALUE"""),266328.10999999987)</f>
        <v>266328.11</v>
      </c>
      <c r="K344" s="46" t="str">
        <f t="array" ref="K344">TEXT(D344, "mmmm")</f>
        <v>July</v>
      </c>
      <c r="M344" s="46" t="str">
        <f>IFERROR(__xludf.DUMMYFUNCTION("""COMPUTED_VALUE"""),"Lithuania")</f>
        <v>Lithuania</v>
      </c>
      <c r="N344" s="94">
        <f>IFERROR(__xludf.DUMMYFUNCTION("""COMPUTED_VALUE"""),41000.0)</f>
        <v>41000</v>
      </c>
      <c r="O344" s="46">
        <f>IFERROR(__xludf.DUMMYFUNCTION("""COMPUTED_VALUE"""),1.0)</f>
        <v>1</v>
      </c>
      <c r="P344" s="46">
        <f>IFERROR(__xludf.DUMMYFUNCTION("""COMPUTED_VALUE"""),5370.0)</f>
        <v>5370</v>
      </c>
      <c r="Q344" s="46">
        <f>IFERROR(__xludf.DUMMYFUNCTION("""COMPUTED_VALUE"""),586833.6)</f>
        <v>586833.6</v>
      </c>
      <c r="R344" s="46">
        <f>IFERROR(__xludf.DUMMYFUNCTION("""COMPUTED_VALUE"""),192460.80000000002)</f>
        <v>192460.8</v>
      </c>
      <c r="S344" s="46">
        <f>IFERROR(__xludf.DUMMYFUNCTION("""COMPUTED_VALUE"""),394372.79999999993)</f>
        <v>394372.8</v>
      </c>
    </row>
    <row r="345">
      <c r="A345" s="46" t="str">
        <f>IFERROR(__xludf.DUMMYFUNCTION("""COMPUTED_VALUE"""),"Meat")</f>
        <v>Meat</v>
      </c>
      <c r="B345" s="46" t="str">
        <f>IFERROR(__xludf.DUMMYFUNCTION("""COMPUTED_VALUE"""),"Iceland")</f>
        <v>Iceland</v>
      </c>
      <c r="C345" s="46" t="str">
        <f>IFERROR(__xludf.DUMMYFUNCTION("""COMPUTED_VALUE"""),"Europe")</f>
        <v>Europe</v>
      </c>
      <c r="D345" s="90">
        <f>IFERROR(__xludf.DUMMYFUNCTION("""COMPUTED_VALUE"""),42186.0)</f>
        <v>42186</v>
      </c>
      <c r="E345" s="46">
        <f>IFERROR(__xludf.DUMMYFUNCTION("""COMPUTED_VALUE"""),2015.0)</f>
        <v>2015</v>
      </c>
      <c r="F345" s="46">
        <f>IFERROR(__xludf.DUMMYFUNCTION("""COMPUTED_VALUE"""),1.0)</f>
        <v>1</v>
      </c>
      <c r="G345" s="46">
        <f>IFERROR(__xludf.DUMMYFUNCTION("""COMPUTED_VALUE"""),7309.0)</f>
        <v>7309</v>
      </c>
      <c r="H345" s="46">
        <f>IFERROR(__xludf.DUMMYFUNCTION("""COMPUTED_VALUE"""),3083594.01)</f>
        <v>3083594.01</v>
      </c>
      <c r="I345" s="46">
        <f>IFERROR(__xludf.DUMMYFUNCTION("""COMPUTED_VALUE"""),2665519.21)</f>
        <v>2665519.21</v>
      </c>
      <c r="J345" s="46">
        <f>IFERROR(__xludf.DUMMYFUNCTION("""COMPUTED_VALUE"""),418074.7999999998)</f>
        <v>418074.8</v>
      </c>
      <c r="K345" s="46" t="str">
        <f t="array" ref="K345">TEXT(D345, "mmmm")</f>
        <v>July</v>
      </c>
      <c r="M345" s="46" t="str">
        <f>IFERROR(__xludf.DUMMYFUNCTION("""COMPUTED_VALUE"""),"Macedonia")</f>
        <v>Macedonia</v>
      </c>
      <c r="N345" s="94">
        <f>IFERROR(__xludf.DUMMYFUNCTION("""COMPUTED_VALUE"""),41000.0)</f>
        <v>41000</v>
      </c>
      <c r="O345" s="46">
        <f>IFERROR(__xludf.DUMMYFUNCTION("""COMPUTED_VALUE"""),1.0)</f>
        <v>1</v>
      </c>
      <c r="P345" s="46">
        <f>IFERROR(__xludf.DUMMYFUNCTION("""COMPUTED_VALUE"""),8940.0)</f>
        <v>8940</v>
      </c>
      <c r="Q345" s="46">
        <f>IFERROR(__xludf.DUMMYFUNCTION("""COMPUTED_VALUE"""),1377296.4)</f>
        <v>1377296.4</v>
      </c>
      <c r="R345" s="46">
        <f>IFERROR(__xludf.DUMMYFUNCTION("""COMPUTED_VALUE"""),812914.2000000001)</f>
        <v>812914.2</v>
      </c>
      <c r="S345" s="46">
        <f>IFERROR(__xludf.DUMMYFUNCTION("""COMPUTED_VALUE"""),564382.1999999998)</f>
        <v>564382.2</v>
      </c>
    </row>
    <row r="346">
      <c r="A346" s="46" t="str">
        <f>IFERROR(__xludf.DUMMYFUNCTION("""COMPUTED_VALUE"""),"Office Supplies")</f>
        <v>Office Supplies</v>
      </c>
      <c r="B346" s="46" t="str">
        <f>IFERROR(__xludf.DUMMYFUNCTION("""COMPUTED_VALUE"""),"Albania")</f>
        <v>Albania</v>
      </c>
      <c r="C346" s="46" t="str">
        <f>IFERROR(__xludf.DUMMYFUNCTION("""COMPUTED_VALUE"""),"Europe")</f>
        <v>Europe</v>
      </c>
      <c r="D346" s="90">
        <f>IFERROR(__xludf.DUMMYFUNCTION("""COMPUTED_VALUE"""),42186.0)</f>
        <v>42186</v>
      </c>
      <c r="E346" s="46">
        <f>IFERROR(__xludf.DUMMYFUNCTION("""COMPUTED_VALUE"""),2015.0)</f>
        <v>2015</v>
      </c>
      <c r="F346" s="46">
        <f>IFERROR(__xludf.DUMMYFUNCTION("""COMPUTED_VALUE"""),1.0)</f>
        <v>1</v>
      </c>
      <c r="G346" s="46">
        <f>IFERROR(__xludf.DUMMYFUNCTION("""COMPUTED_VALUE"""),8775.0)</f>
        <v>8775</v>
      </c>
      <c r="H346" s="46">
        <f>IFERROR(__xludf.DUMMYFUNCTION("""COMPUTED_VALUE"""),5714367.75)</f>
        <v>5714367.75</v>
      </c>
      <c r="I346" s="46">
        <f>IFERROR(__xludf.DUMMYFUNCTION("""COMPUTED_VALUE"""),4606524.0)</f>
        <v>4606524</v>
      </c>
      <c r="J346" s="46">
        <f>IFERROR(__xludf.DUMMYFUNCTION("""COMPUTED_VALUE"""),1107843.75)</f>
        <v>1107843.75</v>
      </c>
      <c r="K346" s="46" t="str">
        <f t="array" ref="K346">TEXT(D346, "mmmm")</f>
        <v>July</v>
      </c>
      <c r="M346" s="46" t="str">
        <f>IFERROR(__xludf.DUMMYFUNCTION("""COMPUTED_VALUE"""),"Montenegro")</f>
        <v>Montenegro</v>
      </c>
      <c r="N346" s="94">
        <f>IFERROR(__xludf.DUMMYFUNCTION("""COMPUTED_VALUE"""),41000.0)</f>
        <v>41000</v>
      </c>
      <c r="O346" s="46">
        <f>IFERROR(__xludf.DUMMYFUNCTION("""COMPUTED_VALUE"""),1.0)</f>
        <v>1</v>
      </c>
      <c r="P346" s="46">
        <f>IFERROR(__xludf.DUMMYFUNCTION("""COMPUTED_VALUE"""),4282.0)</f>
        <v>4282</v>
      </c>
      <c r="Q346" s="46">
        <f>IFERROR(__xludf.DUMMYFUNCTION("""COMPUTED_VALUE"""),349967.86000000004)</f>
        <v>349967.86</v>
      </c>
      <c r="R346" s="46">
        <f>IFERROR(__xludf.DUMMYFUNCTION("""COMPUTED_VALUE"""),242660.94)</f>
        <v>242660.94</v>
      </c>
      <c r="S346" s="46">
        <f>IFERROR(__xludf.DUMMYFUNCTION("""COMPUTED_VALUE"""),107306.92000000004)</f>
        <v>107306.92</v>
      </c>
    </row>
    <row r="347">
      <c r="A347" s="46" t="str">
        <f>IFERROR(__xludf.DUMMYFUNCTION("""COMPUTED_VALUE"""),"Office Supplies")</f>
        <v>Office Supplies</v>
      </c>
      <c r="B347" s="46" t="str">
        <f>IFERROR(__xludf.DUMMYFUNCTION("""COMPUTED_VALUE"""),"United Kingdom")</f>
        <v>United Kingdom</v>
      </c>
      <c r="C347" s="46" t="str">
        <f>IFERROR(__xludf.DUMMYFUNCTION("""COMPUTED_VALUE"""),"Europe")</f>
        <v>Europe</v>
      </c>
      <c r="D347" s="90">
        <f>IFERROR(__xludf.DUMMYFUNCTION("""COMPUTED_VALUE"""),42186.0)</f>
        <v>42186</v>
      </c>
      <c r="E347" s="46">
        <f>IFERROR(__xludf.DUMMYFUNCTION("""COMPUTED_VALUE"""),2015.0)</f>
        <v>2015</v>
      </c>
      <c r="F347" s="46">
        <f>IFERROR(__xludf.DUMMYFUNCTION("""COMPUTED_VALUE"""),1.0)</f>
        <v>1</v>
      </c>
      <c r="G347" s="46">
        <f>IFERROR(__xludf.DUMMYFUNCTION("""COMPUTED_VALUE"""),979.0)</f>
        <v>979</v>
      </c>
      <c r="H347" s="46">
        <f>IFERROR(__xludf.DUMMYFUNCTION("""COMPUTED_VALUE"""),637534.5900000001)</f>
        <v>637534.59</v>
      </c>
      <c r="I347" s="46">
        <f>IFERROR(__xludf.DUMMYFUNCTION("""COMPUTED_VALUE"""),513935.84)</f>
        <v>513935.84</v>
      </c>
      <c r="J347" s="46">
        <f>IFERROR(__xludf.DUMMYFUNCTION("""COMPUTED_VALUE"""),123598.75000000006)</f>
        <v>123598.75</v>
      </c>
      <c r="K347" s="46" t="str">
        <f t="array" ref="K347">TEXT(D347, "mmmm")</f>
        <v>July</v>
      </c>
      <c r="M347" s="46" t="str">
        <f>IFERROR(__xludf.DUMMYFUNCTION("""COMPUTED_VALUE"""),"Netherlands")</f>
        <v>Netherlands</v>
      </c>
      <c r="N347" s="94">
        <f>IFERROR(__xludf.DUMMYFUNCTION("""COMPUTED_VALUE"""),41000.0)</f>
        <v>41000</v>
      </c>
      <c r="O347" s="46">
        <f>IFERROR(__xludf.DUMMYFUNCTION("""COMPUTED_VALUE"""),1.0)</f>
        <v>1</v>
      </c>
      <c r="P347" s="46">
        <f>IFERROR(__xludf.DUMMYFUNCTION("""COMPUTED_VALUE"""),2979.0)</f>
        <v>2979</v>
      </c>
      <c r="Q347" s="46">
        <f>IFERROR(__xludf.DUMMYFUNCTION("""COMPUTED_VALUE"""),325545.12)</f>
        <v>325545.12</v>
      </c>
      <c r="R347" s="46">
        <f>IFERROR(__xludf.DUMMYFUNCTION("""COMPUTED_VALUE"""),106767.36000000002)</f>
        <v>106767.36</v>
      </c>
      <c r="S347" s="46">
        <f>IFERROR(__xludf.DUMMYFUNCTION("""COMPUTED_VALUE"""),218777.75999999998)</f>
        <v>218777.76</v>
      </c>
    </row>
    <row r="348">
      <c r="A348" s="46" t="str">
        <f>IFERROR(__xludf.DUMMYFUNCTION("""COMPUTED_VALUE"""),"Personal Care")</f>
        <v>Personal Care</v>
      </c>
      <c r="B348" s="46" t="str">
        <f>IFERROR(__xludf.DUMMYFUNCTION("""COMPUTED_VALUE"""),"Georgia")</f>
        <v>Georgia</v>
      </c>
      <c r="C348" s="46" t="str">
        <f>IFERROR(__xludf.DUMMYFUNCTION("""COMPUTED_VALUE"""),"Asia")</f>
        <v>Asia</v>
      </c>
      <c r="D348" s="90">
        <f>IFERROR(__xludf.DUMMYFUNCTION("""COMPUTED_VALUE"""),42186.0)</f>
        <v>42186</v>
      </c>
      <c r="E348" s="46">
        <f>IFERROR(__xludf.DUMMYFUNCTION("""COMPUTED_VALUE"""),2015.0)</f>
        <v>2015</v>
      </c>
      <c r="F348" s="46">
        <f>IFERROR(__xludf.DUMMYFUNCTION("""COMPUTED_VALUE"""),1.0)</f>
        <v>1</v>
      </c>
      <c r="G348" s="46">
        <f>IFERROR(__xludf.DUMMYFUNCTION("""COMPUTED_VALUE"""),4934.0)</f>
        <v>4934</v>
      </c>
      <c r="H348" s="46">
        <f>IFERROR(__xludf.DUMMYFUNCTION("""COMPUTED_VALUE"""),403255.82)</f>
        <v>403255.82</v>
      </c>
      <c r="I348" s="46">
        <f>IFERROR(__xludf.DUMMYFUNCTION("""COMPUTED_VALUE"""),279609.78)</f>
        <v>279609.78</v>
      </c>
      <c r="J348" s="46">
        <f>IFERROR(__xludf.DUMMYFUNCTION("""COMPUTED_VALUE"""),123646.03999999998)</f>
        <v>123646.04</v>
      </c>
      <c r="K348" s="46" t="str">
        <f t="array" ref="K348">TEXT(D348, "mmmm")</f>
        <v>July</v>
      </c>
      <c r="M348" s="46" t="str">
        <f>IFERROR(__xludf.DUMMYFUNCTION("""COMPUTED_VALUE"""),"Norway")</f>
        <v>Norway</v>
      </c>
      <c r="N348" s="94">
        <f>IFERROR(__xludf.DUMMYFUNCTION("""COMPUTED_VALUE"""),41000.0)</f>
        <v>41000</v>
      </c>
      <c r="O348" s="46">
        <f>IFERROR(__xludf.DUMMYFUNCTION("""COMPUTED_VALUE"""),2.0)</f>
        <v>2</v>
      </c>
      <c r="P348" s="46">
        <f>IFERROR(__xludf.DUMMYFUNCTION("""COMPUTED_VALUE"""),15946.0)</f>
        <v>15946</v>
      </c>
      <c r="Q348" s="46">
        <f>IFERROR(__xludf.DUMMYFUNCTION("""COMPUTED_VALUE"""),1042129.28)</f>
        <v>1042129.28</v>
      </c>
      <c r="R348" s="46">
        <f>IFERROR(__xludf.DUMMYFUNCTION("""COMPUTED_VALUE"""),368833.28)</f>
        <v>368833.28</v>
      </c>
      <c r="S348" s="46">
        <f>IFERROR(__xludf.DUMMYFUNCTION("""COMPUTED_VALUE"""),673296.0)</f>
        <v>673296</v>
      </c>
    </row>
    <row r="349">
      <c r="A349" s="46" t="str">
        <f>IFERROR(__xludf.DUMMYFUNCTION("""COMPUTED_VALUE"""),"Snacks")</f>
        <v>Snacks</v>
      </c>
      <c r="B349" s="46" t="str">
        <f>IFERROR(__xludf.DUMMYFUNCTION("""COMPUTED_VALUE"""),"Cyprus")</f>
        <v>Cyprus</v>
      </c>
      <c r="C349" s="46" t="str">
        <f>IFERROR(__xludf.DUMMYFUNCTION("""COMPUTED_VALUE"""),"Asia")</f>
        <v>Asia</v>
      </c>
      <c r="D349" s="90">
        <f>IFERROR(__xludf.DUMMYFUNCTION("""COMPUTED_VALUE"""),42186.0)</f>
        <v>42186</v>
      </c>
      <c r="E349" s="46">
        <f>IFERROR(__xludf.DUMMYFUNCTION("""COMPUTED_VALUE"""),2015.0)</f>
        <v>2015</v>
      </c>
      <c r="F349" s="46">
        <f>IFERROR(__xludf.DUMMYFUNCTION("""COMPUTED_VALUE"""),1.0)</f>
        <v>1</v>
      </c>
      <c r="G349" s="46">
        <f>IFERROR(__xludf.DUMMYFUNCTION("""COMPUTED_VALUE"""),171.0)</f>
        <v>171</v>
      </c>
      <c r="H349" s="46">
        <f>IFERROR(__xludf.DUMMYFUNCTION("""COMPUTED_VALUE"""),26091.180000000004)</f>
        <v>26091.18</v>
      </c>
      <c r="I349" s="46">
        <f>IFERROR(__xludf.DUMMYFUNCTION("""COMPUTED_VALUE"""),16662.239999999998)</f>
        <v>16662.24</v>
      </c>
      <c r="J349" s="46">
        <f>IFERROR(__xludf.DUMMYFUNCTION("""COMPUTED_VALUE"""),9428.940000000006)</f>
        <v>9428.94</v>
      </c>
      <c r="K349" s="46" t="str">
        <f t="array" ref="K349">TEXT(D349, "mmmm")</f>
        <v>July</v>
      </c>
      <c r="M349" s="46" t="str">
        <f>IFERROR(__xludf.DUMMYFUNCTION("""COMPUTED_VALUE"""),"Spain")</f>
        <v>Spain</v>
      </c>
      <c r="N349" s="94">
        <f>IFERROR(__xludf.DUMMYFUNCTION("""COMPUTED_VALUE"""),41000.0)</f>
        <v>41000</v>
      </c>
      <c r="O349" s="46">
        <f>IFERROR(__xludf.DUMMYFUNCTION("""COMPUTED_VALUE"""),1.0)</f>
        <v>1</v>
      </c>
      <c r="P349" s="46">
        <f>IFERROR(__xludf.DUMMYFUNCTION("""COMPUTED_VALUE"""),2819.0)</f>
        <v>2819</v>
      </c>
      <c r="Q349" s="46">
        <f>IFERROR(__xludf.DUMMYFUNCTION("""COMPUTED_VALUE"""),1883853.13)</f>
        <v>1883853.13</v>
      </c>
      <c r="R349" s="46">
        <f>IFERROR(__xludf.DUMMYFUNCTION("""COMPUTED_VALUE"""),1416660.26)</f>
        <v>1416660.26</v>
      </c>
      <c r="S349" s="46">
        <f>IFERROR(__xludf.DUMMYFUNCTION("""COMPUTED_VALUE"""),467192.8699999999)</f>
        <v>467192.87</v>
      </c>
    </row>
    <row r="350">
      <c r="A350" s="46" t="str">
        <f>IFERROR(__xludf.DUMMYFUNCTION("""COMPUTED_VALUE"""),"Snacks")</f>
        <v>Snacks</v>
      </c>
      <c r="B350" s="46" t="str">
        <f>IFERROR(__xludf.DUMMYFUNCTION("""COMPUTED_VALUE"""),"Estonia")</f>
        <v>Estonia</v>
      </c>
      <c r="C350" s="46" t="str">
        <f>IFERROR(__xludf.DUMMYFUNCTION("""COMPUTED_VALUE"""),"Europe")</f>
        <v>Europe</v>
      </c>
      <c r="D350" s="90">
        <f>IFERROR(__xludf.DUMMYFUNCTION("""COMPUTED_VALUE"""),42186.0)</f>
        <v>42186</v>
      </c>
      <c r="E350" s="46">
        <f>IFERROR(__xludf.DUMMYFUNCTION("""COMPUTED_VALUE"""),2015.0)</f>
        <v>2015</v>
      </c>
      <c r="F350" s="46">
        <f>IFERROR(__xludf.DUMMYFUNCTION("""COMPUTED_VALUE"""),1.0)</f>
        <v>1</v>
      </c>
      <c r="G350" s="46">
        <f>IFERROR(__xludf.DUMMYFUNCTION("""COMPUTED_VALUE"""),3488.0)</f>
        <v>3488</v>
      </c>
      <c r="H350" s="46">
        <f>IFERROR(__xludf.DUMMYFUNCTION("""COMPUTED_VALUE"""),532199.04)</f>
        <v>532199.04</v>
      </c>
      <c r="I350" s="46">
        <f>IFERROR(__xludf.DUMMYFUNCTION("""COMPUTED_VALUE"""),339870.72)</f>
        <v>339870.72</v>
      </c>
      <c r="J350" s="46">
        <f>IFERROR(__xludf.DUMMYFUNCTION("""COMPUTED_VALUE"""),192328.32000000007)</f>
        <v>192328.32</v>
      </c>
      <c r="K350" s="46" t="str">
        <f t="array" ref="K350">TEXT(D350, "mmmm")</f>
        <v>July</v>
      </c>
      <c r="M350" s="46" t="str">
        <f>IFERROR(__xludf.DUMMYFUNCTION("""COMPUTED_VALUE"""),"Switzerland")</f>
        <v>Switzerland</v>
      </c>
      <c r="N350" s="94">
        <f>IFERROR(__xludf.DUMMYFUNCTION("""COMPUTED_VALUE"""),41000.0)</f>
        <v>41000</v>
      </c>
      <c r="O350" s="46">
        <f>IFERROR(__xludf.DUMMYFUNCTION("""COMPUTED_VALUE"""),3.0)</f>
        <v>3</v>
      </c>
      <c r="P350" s="46">
        <f>IFERROR(__xludf.DUMMYFUNCTION("""COMPUTED_VALUE"""),19602.0)</f>
        <v>19602</v>
      </c>
      <c r="Q350" s="46">
        <f>IFERROR(__xludf.DUMMYFUNCTION("""COMPUTED_VALUE"""),6029497.890000001)</f>
        <v>6029497.89</v>
      </c>
      <c r="R350" s="46">
        <f>IFERROR(__xludf.DUMMYFUNCTION("""COMPUTED_VALUE"""),4925400.63)</f>
        <v>4925400.63</v>
      </c>
      <c r="S350" s="46">
        <f>IFERROR(__xludf.DUMMYFUNCTION("""COMPUTED_VALUE"""),1104097.2600000002)</f>
        <v>1104097.26</v>
      </c>
    </row>
    <row r="351">
      <c r="A351" s="46" t="str">
        <f>IFERROR(__xludf.DUMMYFUNCTION("""COMPUTED_VALUE"""),"Snacks")</f>
        <v>Snacks</v>
      </c>
      <c r="B351" s="46" t="str">
        <f>IFERROR(__xludf.DUMMYFUNCTION("""COMPUTED_VALUE"""),"Slovakia")</f>
        <v>Slovakia</v>
      </c>
      <c r="C351" s="46" t="str">
        <f>IFERROR(__xludf.DUMMYFUNCTION("""COMPUTED_VALUE"""),"Europe")</f>
        <v>Europe</v>
      </c>
      <c r="D351" s="90">
        <f>IFERROR(__xludf.DUMMYFUNCTION("""COMPUTED_VALUE"""),42186.0)</f>
        <v>42186</v>
      </c>
      <c r="E351" s="46">
        <f>IFERROR(__xludf.DUMMYFUNCTION("""COMPUTED_VALUE"""),2015.0)</f>
        <v>2015</v>
      </c>
      <c r="F351" s="46">
        <f>IFERROR(__xludf.DUMMYFUNCTION("""COMPUTED_VALUE"""),1.0)</f>
        <v>1</v>
      </c>
      <c r="G351" s="46">
        <f>IFERROR(__xludf.DUMMYFUNCTION("""COMPUTED_VALUE"""),3382.0)</f>
        <v>3382</v>
      </c>
      <c r="H351" s="46">
        <f>IFERROR(__xludf.DUMMYFUNCTION("""COMPUTED_VALUE"""),516025.56000000006)</f>
        <v>516025.56</v>
      </c>
      <c r="I351" s="46">
        <f>IFERROR(__xludf.DUMMYFUNCTION("""COMPUTED_VALUE"""),329542.08)</f>
        <v>329542.08</v>
      </c>
      <c r="J351" s="46">
        <f>IFERROR(__xludf.DUMMYFUNCTION("""COMPUTED_VALUE"""),186483.48000000004)</f>
        <v>186483.48</v>
      </c>
      <c r="K351" s="46" t="str">
        <f t="array" ref="K351">TEXT(D351, "mmmm")</f>
        <v>July</v>
      </c>
      <c r="M351" s="46" t="str">
        <f>IFERROR(__xludf.DUMMYFUNCTION("""COMPUTED_VALUE"""),"Albania")</f>
        <v>Albania</v>
      </c>
      <c r="N351" s="94">
        <f>IFERROR(__xludf.DUMMYFUNCTION("""COMPUTED_VALUE"""),41030.0)</f>
        <v>41030</v>
      </c>
      <c r="O351" s="46">
        <f>IFERROR(__xludf.DUMMYFUNCTION("""COMPUTED_VALUE"""),1.0)</f>
        <v>1</v>
      </c>
      <c r="P351" s="46">
        <f>IFERROR(__xludf.DUMMYFUNCTION("""COMPUTED_VALUE"""),5669.0)</f>
        <v>5669</v>
      </c>
      <c r="Q351" s="46">
        <f>IFERROR(__xludf.DUMMYFUNCTION("""COMPUTED_VALUE"""),1447182.32)</f>
        <v>1447182.32</v>
      </c>
      <c r="R351" s="46">
        <f>IFERROR(__xludf.DUMMYFUNCTION("""COMPUTED_VALUE"""),903751.98)</f>
        <v>903751.98</v>
      </c>
      <c r="S351" s="46">
        <f>IFERROR(__xludf.DUMMYFUNCTION("""COMPUTED_VALUE"""),543430.3400000001)</f>
        <v>543430.34</v>
      </c>
    </row>
    <row r="352">
      <c r="A352" s="46" t="str">
        <f>IFERROR(__xludf.DUMMYFUNCTION("""COMPUTED_VALUE"""),"Vegetables")</f>
        <v>Vegetables</v>
      </c>
      <c r="B352" s="46" t="str">
        <f>IFERROR(__xludf.DUMMYFUNCTION("""COMPUTED_VALUE"""),"Poland")</f>
        <v>Poland</v>
      </c>
      <c r="C352" s="46" t="str">
        <f>IFERROR(__xludf.DUMMYFUNCTION("""COMPUTED_VALUE"""),"Europe")</f>
        <v>Europe</v>
      </c>
      <c r="D352" s="90">
        <f>IFERROR(__xludf.DUMMYFUNCTION("""COMPUTED_VALUE"""),42186.0)</f>
        <v>42186</v>
      </c>
      <c r="E352" s="46">
        <f>IFERROR(__xludf.DUMMYFUNCTION("""COMPUTED_VALUE"""),2015.0)</f>
        <v>2015</v>
      </c>
      <c r="F352" s="46">
        <f>IFERROR(__xludf.DUMMYFUNCTION("""COMPUTED_VALUE"""),1.0)</f>
        <v>1</v>
      </c>
      <c r="G352" s="46">
        <f>IFERROR(__xludf.DUMMYFUNCTION("""COMPUTED_VALUE"""),1176.0)</f>
        <v>1176</v>
      </c>
      <c r="H352" s="46">
        <f>IFERROR(__xludf.DUMMYFUNCTION("""COMPUTED_VALUE"""),181174.56)</f>
        <v>181174.56</v>
      </c>
      <c r="I352" s="46">
        <f>IFERROR(__xludf.DUMMYFUNCTION("""COMPUTED_VALUE"""),106933.68000000001)</f>
        <v>106933.68</v>
      </c>
      <c r="J352" s="46">
        <f>IFERROR(__xludf.DUMMYFUNCTION("""COMPUTED_VALUE"""),74240.87999999999)</f>
        <v>74240.88</v>
      </c>
      <c r="K352" s="46" t="str">
        <f t="array" ref="K352">TEXT(D352, "mmmm")</f>
        <v>July</v>
      </c>
      <c r="M352" s="46" t="str">
        <f>IFERROR(__xludf.DUMMYFUNCTION("""COMPUTED_VALUE"""),"Bulgaria")</f>
        <v>Bulgaria</v>
      </c>
      <c r="N352" s="94">
        <f>IFERROR(__xludf.DUMMYFUNCTION("""COMPUTED_VALUE"""),41030.0)</f>
        <v>41030</v>
      </c>
      <c r="O352" s="46">
        <f>IFERROR(__xludf.DUMMYFUNCTION("""COMPUTED_VALUE"""),2.0)</f>
        <v>2</v>
      </c>
      <c r="P352" s="46">
        <f>IFERROR(__xludf.DUMMYFUNCTION("""COMPUTED_VALUE"""),6121.0)</f>
        <v>6121</v>
      </c>
      <c r="Q352" s="46">
        <f>IFERROR(__xludf.DUMMYFUNCTION("""COMPUTED_VALUE"""),3682162.21)</f>
        <v>3682162.21</v>
      </c>
      <c r="R352" s="46">
        <f>IFERROR(__xludf.DUMMYFUNCTION("""COMPUTED_VALUE"""),2841765.56)</f>
        <v>2841765.56</v>
      </c>
      <c r="S352" s="46">
        <f>IFERROR(__xludf.DUMMYFUNCTION("""COMPUTED_VALUE"""),840396.65)</f>
        <v>840396.65</v>
      </c>
    </row>
    <row r="353">
      <c r="A353" s="46" t="str">
        <f>IFERROR(__xludf.DUMMYFUNCTION("""COMPUTED_VALUE"""),"Baby Food")</f>
        <v>Baby Food</v>
      </c>
      <c r="B353" s="46" t="str">
        <f>IFERROR(__xludf.DUMMYFUNCTION("""COMPUTED_VALUE"""),"Georgia")</f>
        <v>Georgia</v>
      </c>
      <c r="C353" s="46" t="str">
        <f>IFERROR(__xludf.DUMMYFUNCTION("""COMPUTED_VALUE"""),"Asia")</f>
        <v>Asia</v>
      </c>
      <c r="D353" s="90">
        <f>IFERROR(__xludf.DUMMYFUNCTION("""COMPUTED_VALUE"""),42156.0)</f>
        <v>42156</v>
      </c>
      <c r="E353" s="46">
        <f>IFERROR(__xludf.DUMMYFUNCTION("""COMPUTED_VALUE"""),2015.0)</f>
        <v>2015</v>
      </c>
      <c r="F353" s="46">
        <f>IFERROR(__xludf.DUMMYFUNCTION("""COMPUTED_VALUE"""),1.0)</f>
        <v>1</v>
      </c>
      <c r="G353" s="46">
        <f>IFERROR(__xludf.DUMMYFUNCTION("""COMPUTED_VALUE"""),1905.0)</f>
        <v>1905</v>
      </c>
      <c r="H353" s="46">
        <f>IFERROR(__xludf.DUMMYFUNCTION("""COMPUTED_VALUE"""),486308.4)</f>
        <v>486308.4</v>
      </c>
      <c r="I353" s="46">
        <f>IFERROR(__xludf.DUMMYFUNCTION("""COMPUTED_VALUE"""),303695.1)</f>
        <v>303695.1</v>
      </c>
      <c r="J353" s="46">
        <f>IFERROR(__xludf.DUMMYFUNCTION("""COMPUTED_VALUE"""),182613.30000000005)</f>
        <v>182613.3</v>
      </c>
      <c r="K353" s="46" t="str">
        <f t="array" ref="K353">TEXT(D353, "mmmm")</f>
        <v>June</v>
      </c>
      <c r="M353" s="46" t="str">
        <f>IFERROR(__xludf.DUMMYFUNCTION("""COMPUTED_VALUE"""),"Cyprus")</f>
        <v>Cyprus</v>
      </c>
      <c r="N353" s="94">
        <f>IFERROR(__xludf.DUMMYFUNCTION("""COMPUTED_VALUE"""),41030.0)</f>
        <v>41030</v>
      </c>
      <c r="O353" s="46">
        <f>IFERROR(__xludf.DUMMYFUNCTION("""COMPUTED_VALUE"""),1.0)</f>
        <v>1</v>
      </c>
      <c r="P353" s="46">
        <f>IFERROR(__xludf.DUMMYFUNCTION("""COMPUTED_VALUE"""),7656.0)</f>
        <v>7656</v>
      </c>
      <c r="Q353" s="46">
        <f>IFERROR(__xludf.DUMMYFUNCTION("""COMPUTED_VALUE"""),836647.68)</f>
        <v>836647.68</v>
      </c>
      <c r="R353" s="46">
        <f>IFERROR(__xludf.DUMMYFUNCTION("""COMPUTED_VALUE"""),274391.04000000004)</f>
        <v>274391.04</v>
      </c>
      <c r="S353" s="46">
        <f>IFERROR(__xludf.DUMMYFUNCTION("""COMPUTED_VALUE"""),562256.64)</f>
        <v>562256.64</v>
      </c>
    </row>
    <row r="354">
      <c r="A354" s="46" t="str">
        <f>IFERROR(__xludf.DUMMYFUNCTION("""COMPUTED_VALUE"""),"Baby Food")</f>
        <v>Baby Food</v>
      </c>
      <c r="B354" s="46" t="str">
        <f>IFERROR(__xludf.DUMMYFUNCTION("""COMPUTED_VALUE"""),"Romania")</f>
        <v>Romania</v>
      </c>
      <c r="C354" s="46" t="str">
        <f>IFERROR(__xludf.DUMMYFUNCTION("""COMPUTED_VALUE"""),"Europe")</f>
        <v>Europe</v>
      </c>
      <c r="D354" s="90">
        <f>IFERROR(__xludf.DUMMYFUNCTION("""COMPUTED_VALUE"""),42156.0)</f>
        <v>42156</v>
      </c>
      <c r="E354" s="46">
        <f>IFERROR(__xludf.DUMMYFUNCTION("""COMPUTED_VALUE"""),2015.0)</f>
        <v>2015</v>
      </c>
      <c r="F354" s="46">
        <f>IFERROR(__xludf.DUMMYFUNCTION("""COMPUTED_VALUE"""),1.0)</f>
        <v>1</v>
      </c>
      <c r="G354" s="46">
        <f>IFERROR(__xludf.DUMMYFUNCTION("""COMPUTED_VALUE"""),8895.0)</f>
        <v>8895</v>
      </c>
      <c r="H354" s="46">
        <f>IFERROR(__xludf.DUMMYFUNCTION("""COMPUTED_VALUE"""),2270715.6)</f>
        <v>2270715.6</v>
      </c>
      <c r="I354" s="46">
        <f>IFERROR(__xludf.DUMMYFUNCTION("""COMPUTED_VALUE"""),1418040.9)</f>
        <v>1418040.9</v>
      </c>
      <c r="J354" s="46">
        <f>IFERROR(__xludf.DUMMYFUNCTION("""COMPUTED_VALUE"""),852674.7000000002)</f>
        <v>852674.7</v>
      </c>
      <c r="K354" s="46" t="str">
        <f t="array" ref="K354">TEXT(D354, "mmmm")</f>
        <v>June</v>
      </c>
      <c r="M354" s="46" t="str">
        <f>IFERROR(__xludf.DUMMYFUNCTION("""COMPUTED_VALUE"""),"Czech Republic")</f>
        <v>Czech Republic</v>
      </c>
      <c r="N354" s="94">
        <f>IFERROR(__xludf.DUMMYFUNCTION("""COMPUTED_VALUE"""),41030.0)</f>
        <v>41030</v>
      </c>
      <c r="O354" s="46">
        <f>IFERROR(__xludf.DUMMYFUNCTION("""COMPUTED_VALUE"""),1.0)</f>
        <v>1</v>
      </c>
      <c r="P354" s="46">
        <f>IFERROR(__xludf.DUMMYFUNCTION("""COMPUTED_VALUE"""),249.0)</f>
        <v>249</v>
      </c>
      <c r="Q354" s="46">
        <f>IFERROR(__xludf.DUMMYFUNCTION("""COMPUTED_VALUE"""),162151.29)</f>
        <v>162151.29</v>
      </c>
      <c r="R354" s="46">
        <f>IFERROR(__xludf.DUMMYFUNCTION("""COMPUTED_VALUE"""),130715.04000000001)</f>
        <v>130715.04</v>
      </c>
      <c r="S354" s="46">
        <f>IFERROR(__xludf.DUMMYFUNCTION("""COMPUTED_VALUE"""),31436.25)</f>
        <v>31436.25</v>
      </c>
    </row>
    <row r="355">
      <c r="A355" s="46" t="str">
        <f>IFERROR(__xludf.DUMMYFUNCTION("""COMPUTED_VALUE"""),"Baby Food")</f>
        <v>Baby Food</v>
      </c>
      <c r="B355" s="46" t="str">
        <f>IFERROR(__xludf.DUMMYFUNCTION("""COMPUTED_VALUE"""),"Switzerland")</f>
        <v>Switzerland</v>
      </c>
      <c r="C355" s="46" t="str">
        <f>IFERROR(__xludf.DUMMYFUNCTION("""COMPUTED_VALUE"""),"Europe")</f>
        <v>Europe</v>
      </c>
      <c r="D355" s="90">
        <f>IFERROR(__xludf.DUMMYFUNCTION("""COMPUTED_VALUE"""),42156.0)</f>
        <v>42156</v>
      </c>
      <c r="E355" s="46">
        <f>IFERROR(__xludf.DUMMYFUNCTION("""COMPUTED_VALUE"""),2015.0)</f>
        <v>2015</v>
      </c>
      <c r="F355" s="46">
        <f>IFERROR(__xludf.DUMMYFUNCTION("""COMPUTED_VALUE"""),1.0)</f>
        <v>1</v>
      </c>
      <c r="G355" s="46">
        <f>IFERROR(__xludf.DUMMYFUNCTION("""COMPUTED_VALUE"""),4429.0)</f>
        <v>4429</v>
      </c>
      <c r="H355" s="46">
        <f>IFERROR(__xludf.DUMMYFUNCTION("""COMPUTED_VALUE"""),1130635.12)</f>
        <v>1130635.12</v>
      </c>
      <c r="I355" s="46">
        <f>IFERROR(__xludf.DUMMYFUNCTION("""COMPUTED_VALUE"""),706071.1799999999)</f>
        <v>706071.18</v>
      </c>
      <c r="J355" s="46">
        <f>IFERROR(__xludf.DUMMYFUNCTION("""COMPUTED_VALUE"""),424563.9400000002)</f>
        <v>424563.94</v>
      </c>
      <c r="K355" s="46" t="str">
        <f t="array" ref="K355">TEXT(D355, "mmmm")</f>
        <v>June</v>
      </c>
      <c r="M355" s="46" t="str">
        <f>IFERROR(__xludf.DUMMYFUNCTION("""COMPUTED_VALUE"""),"Denmark")</f>
        <v>Denmark</v>
      </c>
      <c r="N355" s="94">
        <f>IFERROR(__xludf.DUMMYFUNCTION("""COMPUTED_VALUE"""),41030.0)</f>
        <v>41030</v>
      </c>
      <c r="O355" s="46">
        <f>IFERROR(__xludf.DUMMYFUNCTION("""COMPUTED_VALUE"""),1.0)</f>
        <v>1</v>
      </c>
      <c r="P355" s="46">
        <f>IFERROR(__xludf.DUMMYFUNCTION("""COMPUTED_VALUE"""),7088.0)</f>
        <v>7088</v>
      </c>
      <c r="Q355" s="46">
        <f>IFERROR(__xludf.DUMMYFUNCTION("""COMPUTED_VALUE"""),774576.64)</f>
        <v>774576.64</v>
      </c>
      <c r="R355" s="46">
        <f>IFERROR(__xludf.DUMMYFUNCTION("""COMPUTED_VALUE"""),254033.92)</f>
        <v>254033.92</v>
      </c>
      <c r="S355" s="46">
        <f>IFERROR(__xludf.DUMMYFUNCTION("""COMPUTED_VALUE"""),520542.72)</f>
        <v>520542.72</v>
      </c>
    </row>
    <row r="356">
      <c r="A356" s="46" t="str">
        <f>IFERROR(__xludf.DUMMYFUNCTION("""COMPUTED_VALUE"""),"Beverages")</f>
        <v>Beverages</v>
      </c>
      <c r="B356" s="46" t="str">
        <f>IFERROR(__xludf.DUMMYFUNCTION("""COMPUTED_VALUE"""),"Malta")</f>
        <v>Malta</v>
      </c>
      <c r="C356" s="46" t="str">
        <f>IFERROR(__xludf.DUMMYFUNCTION("""COMPUTED_VALUE"""),"Europe")</f>
        <v>Europe</v>
      </c>
      <c r="D356" s="90">
        <f>IFERROR(__xludf.DUMMYFUNCTION("""COMPUTED_VALUE"""),42156.0)</f>
        <v>42156</v>
      </c>
      <c r="E356" s="46">
        <f>IFERROR(__xludf.DUMMYFUNCTION("""COMPUTED_VALUE"""),2015.0)</f>
        <v>2015</v>
      </c>
      <c r="F356" s="46">
        <f>IFERROR(__xludf.DUMMYFUNCTION("""COMPUTED_VALUE"""),1.0)</f>
        <v>1</v>
      </c>
      <c r="G356" s="46">
        <f>IFERROR(__xludf.DUMMYFUNCTION("""COMPUTED_VALUE"""),5906.0)</f>
        <v>5906</v>
      </c>
      <c r="H356" s="46">
        <f>IFERROR(__xludf.DUMMYFUNCTION("""COMPUTED_VALUE"""),280239.7)</f>
        <v>280239.7</v>
      </c>
      <c r="I356" s="46">
        <f>IFERROR(__xludf.DUMMYFUNCTION("""COMPUTED_VALUE"""),187751.74)</f>
        <v>187751.74</v>
      </c>
      <c r="J356" s="46">
        <f>IFERROR(__xludf.DUMMYFUNCTION("""COMPUTED_VALUE"""),92487.96000000002)</f>
        <v>92487.96</v>
      </c>
      <c r="K356" s="46" t="str">
        <f t="array" ref="K356">TEXT(D356, "mmmm")</f>
        <v>June</v>
      </c>
      <c r="M356" s="46" t="str">
        <f>IFERROR(__xludf.DUMMYFUNCTION("""COMPUTED_VALUE"""),"Georgia")</f>
        <v>Georgia</v>
      </c>
      <c r="N356" s="94">
        <f>IFERROR(__xludf.DUMMYFUNCTION("""COMPUTED_VALUE"""),41030.0)</f>
        <v>41030</v>
      </c>
      <c r="O356" s="46">
        <f>IFERROR(__xludf.DUMMYFUNCTION("""COMPUTED_VALUE"""),1.0)</f>
        <v>1</v>
      </c>
      <c r="P356" s="46">
        <f>IFERROR(__xludf.DUMMYFUNCTION("""COMPUTED_VALUE"""),2129.0)</f>
        <v>2129</v>
      </c>
      <c r="Q356" s="46">
        <f>IFERROR(__xludf.DUMMYFUNCTION("""COMPUTED_VALUE"""),174003.17)</f>
        <v>174003.17</v>
      </c>
      <c r="R356" s="46">
        <f>IFERROR(__xludf.DUMMYFUNCTION("""COMPUTED_VALUE"""),120650.43000000001)</f>
        <v>120650.43</v>
      </c>
      <c r="S356" s="46">
        <f>IFERROR(__xludf.DUMMYFUNCTION("""COMPUTED_VALUE"""),53352.740000000005)</f>
        <v>53352.74</v>
      </c>
    </row>
    <row r="357">
      <c r="A357" s="46" t="str">
        <f>IFERROR(__xludf.DUMMYFUNCTION("""COMPUTED_VALUE"""),"Beverages")</f>
        <v>Beverages</v>
      </c>
      <c r="B357" s="46" t="str">
        <f>IFERROR(__xludf.DUMMYFUNCTION("""COMPUTED_VALUE"""),"Undefined")</f>
        <v>Undefined</v>
      </c>
      <c r="C357" s="46" t="str">
        <f>IFERROR(__xludf.DUMMYFUNCTION("""COMPUTED_VALUE"""),"Undefined")</f>
        <v>Undefined</v>
      </c>
      <c r="D357" s="90">
        <f>IFERROR(__xludf.DUMMYFUNCTION("""COMPUTED_VALUE"""),42156.0)</f>
        <v>42156</v>
      </c>
      <c r="E357" s="46">
        <f>IFERROR(__xludf.DUMMYFUNCTION("""COMPUTED_VALUE"""),2015.0)</f>
        <v>2015</v>
      </c>
      <c r="F357" s="46">
        <f>IFERROR(__xludf.DUMMYFUNCTION("""COMPUTED_VALUE"""),1.0)</f>
        <v>1</v>
      </c>
      <c r="G357" s="46">
        <f>IFERROR(__xludf.DUMMYFUNCTION("""COMPUTED_VALUE"""),9923.0)</f>
        <v>9923</v>
      </c>
      <c r="H357" s="46">
        <f>IFERROR(__xludf.DUMMYFUNCTION("""COMPUTED_VALUE"""),470846.35000000003)</f>
        <v>470846.35</v>
      </c>
      <c r="I357" s="46">
        <f>IFERROR(__xludf.DUMMYFUNCTION("""COMPUTED_VALUE"""),315452.17)</f>
        <v>315452.17</v>
      </c>
      <c r="J357" s="46">
        <f>IFERROR(__xludf.DUMMYFUNCTION("""COMPUTED_VALUE"""),155394.18000000005)</f>
        <v>155394.18</v>
      </c>
      <c r="K357" s="46" t="str">
        <f t="array" ref="K357">TEXT(D357, "mmmm")</f>
        <v>June</v>
      </c>
      <c r="M357" s="46" t="str">
        <f>IFERROR(__xludf.DUMMYFUNCTION("""COMPUTED_VALUE"""),"Ireland")</f>
        <v>Ireland</v>
      </c>
      <c r="N357" s="94">
        <f>IFERROR(__xludf.DUMMYFUNCTION("""COMPUTED_VALUE"""),41030.0)</f>
        <v>41030</v>
      </c>
      <c r="O357" s="46">
        <f>IFERROR(__xludf.DUMMYFUNCTION("""COMPUTED_VALUE"""),1.0)</f>
        <v>1</v>
      </c>
      <c r="P357" s="46">
        <f>IFERROR(__xludf.DUMMYFUNCTION("""COMPUTED_VALUE"""),8473.0)</f>
        <v>8473</v>
      </c>
      <c r="Q357" s="46">
        <f>IFERROR(__xludf.DUMMYFUNCTION("""COMPUTED_VALUE"""),5662251.71)</f>
        <v>5662251.71</v>
      </c>
      <c r="R357" s="46">
        <f>IFERROR(__xludf.DUMMYFUNCTION("""COMPUTED_VALUE"""),4258021.42)</f>
        <v>4258021.42</v>
      </c>
      <c r="S357" s="46">
        <f>IFERROR(__xludf.DUMMYFUNCTION("""COMPUTED_VALUE"""),1404230.29)</f>
        <v>1404230.29</v>
      </c>
    </row>
    <row r="358">
      <c r="A358" s="46" t="str">
        <f>IFERROR(__xludf.DUMMYFUNCTION("""COMPUTED_VALUE"""),"Cereal")</f>
        <v>Cereal</v>
      </c>
      <c r="B358" s="46" t="str">
        <f>IFERROR(__xludf.DUMMYFUNCTION("""COMPUTED_VALUE"""),"Norway")</f>
        <v>Norway</v>
      </c>
      <c r="C358" s="46" t="str">
        <f>IFERROR(__xludf.DUMMYFUNCTION("""COMPUTED_VALUE"""),"Europe")</f>
        <v>Europe</v>
      </c>
      <c r="D358" s="90">
        <f>IFERROR(__xludf.DUMMYFUNCTION("""COMPUTED_VALUE"""),42156.0)</f>
        <v>42156</v>
      </c>
      <c r="E358" s="46">
        <f>IFERROR(__xludf.DUMMYFUNCTION("""COMPUTED_VALUE"""),2015.0)</f>
        <v>2015</v>
      </c>
      <c r="F358" s="46">
        <f>IFERROR(__xludf.DUMMYFUNCTION("""COMPUTED_VALUE"""),1.0)</f>
        <v>1</v>
      </c>
      <c r="G358" s="46">
        <f>IFERROR(__xludf.DUMMYFUNCTION("""COMPUTED_VALUE"""),6109.0)</f>
        <v>6109</v>
      </c>
      <c r="H358" s="46">
        <f>IFERROR(__xludf.DUMMYFUNCTION("""COMPUTED_VALUE"""),1256621.3)</f>
        <v>1256621.3</v>
      </c>
      <c r="I358" s="46">
        <f>IFERROR(__xludf.DUMMYFUNCTION("""COMPUTED_VALUE"""),715424.99)</f>
        <v>715424.99</v>
      </c>
      <c r="J358" s="46">
        <f>IFERROR(__xludf.DUMMYFUNCTION("""COMPUTED_VALUE"""),541196.31)</f>
        <v>541196.31</v>
      </c>
      <c r="K358" s="46" t="str">
        <f t="array" ref="K358">TEXT(D358, "mmmm")</f>
        <v>June</v>
      </c>
      <c r="M358" s="46" t="str">
        <f>IFERROR(__xludf.DUMMYFUNCTION("""COMPUTED_VALUE"""),"Latvia")</f>
        <v>Latvia</v>
      </c>
      <c r="N358" s="94">
        <f>IFERROR(__xludf.DUMMYFUNCTION("""COMPUTED_VALUE"""),41030.0)</f>
        <v>41030</v>
      </c>
      <c r="O358" s="46">
        <f>IFERROR(__xludf.DUMMYFUNCTION("""COMPUTED_VALUE"""),1.0)</f>
        <v>1</v>
      </c>
      <c r="P358" s="46">
        <f>IFERROR(__xludf.DUMMYFUNCTION("""COMPUTED_VALUE"""),461.0)</f>
        <v>461</v>
      </c>
      <c r="Q358" s="46">
        <f>IFERROR(__xludf.DUMMYFUNCTION("""COMPUTED_VALUE"""),21874.45)</f>
        <v>21874.45</v>
      </c>
      <c r="R358" s="46">
        <f>IFERROR(__xludf.DUMMYFUNCTION("""COMPUTED_VALUE"""),14655.19)</f>
        <v>14655.19</v>
      </c>
      <c r="S358" s="46">
        <f>IFERROR(__xludf.DUMMYFUNCTION("""COMPUTED_VALUE"""),7219.26)</f>
        <v>7219.26</v>
      </c>
    </row>
    <row r="359">
      <c r="A359" s="46" t="str">
        <f>IFERROR(__xludf.DUMMYFUNCTION("""COMPUTED_VALUE"""),"Clothes")</f>
        <v>Clothes</v>
      </c>
      <c r="B359" s="46" t="str">
        <f>IFERROR(__xludf.DUMMYFUNCTION("""COMPUTED_VALUE"""),"Belarus")</f>
        <v>Belarus</v>
      </c>
      <c r="C359" s="46" t="str">
        <f>IFERROR(__xludf.DUMMYFUNCTION("""COMPUTED_VALUE"""),"Europe")</f>
        <v>Europe</v>
      </c>
      <c r="D359" s="90">
        <f>IFERROR(__xludf.DUMMYFUNCTION("""COMPUTED_VALUE"""),42156.0)</f>
        <v>42156</v>
      </c>
      <c r="E359" s="46">
        <f>IFERROR(__xludf.DUMMYFUNCTION("""COMPUTED_VALUE"""),2015.0)</f>
        <v>2015</v>
      </c>
      <c r="F359" s="46">
        <f>IFERROR(__xludf.DUMMYFUNCTION("""COMPUTED_VALUE"""),1.0)</f>
        <v>1</v>
      </c>
      <c r="G359" s="46">
        <f>IFERROR(__xludf.DUMMYFUNCTION("""COMPUTED_VALUE"""),9773.0)</f>
        <v>9773</v>
      </c>
      <c r="H359" s="46">
        <f>IFERROR(__xludf.DUMMYFUNCTION("""COMPUTED_VALUE"""),1067993.44)</f>
        <v>1067993.44</v>
      </c>
      <c r="I359" s="46">
        <f>IFERROR(__xludf.DUMMYFUNCTION("""COMPUTED_VALUE"""),350264.32)</f>
        <v>350264.32</v>
      </c>
      <c r="J359" s="46">
        <f>IFERROR(__xludf.DUMMYFUNCTION("""COMPUTED_VALUE"""),717729.1199999999)</f>
        <v>717729.12</v>
      </c>
      <c r="K359" s="46" t="str">
        <f t="array" ref="K359">TEXT(D359, "mmmm")</f>
        <v>June</v>
      </c>
      <c r="M359" s="46" t="str">
        <f>IFERROR(__xludf.DUMMYFUNCTION("""COMPUTED_VALUE"""),"Luxembourg")</f>
        <v>Luxembourg</v>
      </c>
      <c r="N359" s="94">
        <f>IFERROR(__xludf.DUMMYFUNCTION("""COMPUTED_VALUE"""),41030.0)</f>
        <v>41030</v>
      </c>
      <c r="O359" s="46">
        <f>IFERROR(__xludf.DUMMYFUNCTION("""COMPUTED_VALUE"""),1.0)</f>
        <v>1</v>
      </c>
      <c r="P359" s="46">
        <f>IFERROR(__xludf.DUMMYFUNCTION("""COMPUTED_VALUE"""),4876.0)</f>
        <v>4876</v>
      </c>
      <c r="Q359" s="46">
        <f>IFERROR(__xludf.DUMMYFUNCTION("""COMPUTED_VALUE"""),1244745.28)</f>
        <v>1244745.28</v>
      </c>
      <c r="R359" s="46">
        <f>IFERROR(__xludf.DUMMYFUNCTION("""COMPUTED_VALUE"""),777331.9199999999)</f>
        <v>777331.92</v>
      </c>
      <c r="S359" s="46">
        <f>IFERROR(__xludf.DUMMYFUNCTION("""COMPUTED_VALUE"""),467413.3600000001)</f>
        <v>467413.36</v>
      </c>
    </row>
    <row r="360">
      <c r="A360" s="46" t="str">
        <f>IFERROR(__xludf.DUMMYFUNCTION("""COMPUTED_VALUE"""),"Fruits")</f>
        <v>Fruits</v>
      </c>
      <c r="B360" s="46" t="str">
        <f>IFERROR(__xludf.DUMMYFUNCTION("""COMPUTED_VALUE"""),"Greece")</f>
        <v>Greece</v>
      </c>
      <c r="C360" s="46" t="str">
        <f>IFERROR(__xludf.DUMMYFUNCTION("""COMPUTED_VALUE"""),"Europe")</f>
        <v>Europe</v>
      </c>
      <c r="D360" s="90">
        <f>IFERROR(__xludf.DUMMYFUNCTION("""COMPUTED_VALUE"""),42156.0)</f>
        <v>42156</v>
      </c>
      <c r="E360" s="46">
        <f>IFERROR(__xludf.DUMMYFUNCTION("""COMPUTED_VALUE"""),2015.0)</f>
        <v>2015</v>
      </c>
      <c r="F360" s="46">
        <f>IFERROR(__xludf.DUMMYFUNCTION("""COMPUTED_VALUE"""),1.0)</f>
        <v>1</v>
      </c>
      <c r="G360" s="46">
        <f>IFERROR(__xludf.DUMMYFUNCTION("""COMPUTED_VALUE"""),9034.0)</f>
        <v>9034</v>
      </c>
      <c r="H360" s="46">
        <f>IFERROR(__xludf.DUMMYFUNCTION("""COMPUTED_VALUE"""),84287.22)</f>
        <v>84287.22</v>
      </c>
      <c r="I360" s="46">
        <f>IFERROR(__xludf.DUMMYFUNCTION("""COMPUTED_VALUE"""),62515.28)</f>
        <v>62515.28</v>
      </c>
      <c r="J360" s="46">
        <f>IFERROR(__xludf.DUMMYFUNCTION("""COMPUTED_VALUE"""),21771.940000000002)</f>
        <v>21771.94</v>
      </c>
      <c r="K360" s="46" t="str">
        <f t="array" ref="K360">TEXT(D360, "mmmm")</f>
        <v>June</v>
      </c>
      <c r="M360" s="46" t="str">
        <f>IFERROR(__xludf.DUMMYFUNCTION("""COMPUTED_VALUE"""),"San Marino")</f>
        <v>San Marino</v>
      </c>
      <c r="N360" s="94">
        <f>IFERROR(__xludf.DUMMYFUNCTION("""COMPUTED_VALUE"""),41030.0)</f>
        <v>41030</v>
      </c>
      <c r="O360" s="46">
        <f>IFERROR(__xludf.DUMMYFUNCTION("""COMPUTED_VALUE"""),2.0)</f>
        <v>2</v>
      </c>
      <c r="P360" s="46">
        <f>IFERROR(__xludf.DUMMYFUNCTION("""COMPUTED_VALUE"""),10950.0)</f>
        <v>10950</v>
      </c>
      <c r="Q360" s="46">
        <f>IFERROR(__xludf.DUMMYFUNCTION("""COMPUTED_VALUE"""),1432555.74)</f>
        <v>1432555.74</v>
      </c>
      <c r="R360" s="46">
        <f>IFERROR(__xludf.DUMMYFUNCTION("""COMPUTED_VALUE"""),591315.69)</f>
        <v>591315.69</v>
      </c>
      <c r="S360" s="46">
        <f>IFERROR(__xludf.DUMMYFUNCTION("""COMPUTED_VALUE"""),841240.0499999999)</f>
        <v>841240.05</v>
      </c>
    </row>
    <row r="361">
      <c r="A361" s="46" t="str">
        <f>IFERROR(__xludf.DUMMYFUNCTION("""COMPUTED_VALUE"""),"Household")</f>
        <v>Household</v>
      </c>
      <c r="B361" s="46" t="str">
        <f>IFERROR(__xludf.DUMMYFUNCTION("""COMPUTED_VALUE"""),"Bosnia and Herzegovina")</f>
        <v>Bosnia and Herzegovina</v>
      </c>
      <c r="C361" s="46" t="str">
        <f>IFERROR(__xludf.DUMMYFUNCTION("""COMPUTED_VALUE"""),"Europe")</f>
        <v>Europe</v>
      </c>
      <c r="D361" s="90">
        <f>IFERROR(__xludf.DUMMYFUNCTION("""COMPUTED_VALUE"""),42156.0)</f>
        <v>42156</v>
      </c>
      <c r="E361" s="46">
        <f>IFERROR(__xludf.DUMMYFUNCTION("""COMPUTED_VALUE"""),2015.0)</f>
        <v>2015</v>
      </c>
      <c r="F361" s="46">
        <f>IFERROR(__xludf.DUMMYFUNCTION("""COMPUTED_VALUE"""),1.0)</f>
        <v>1</v>
      </c>
      <c r="G361" s="46">
        <f>IFERROR(__xludf.DUMMYFUNCTION("""COMPUTED_VALUE"""),4104.0)</f>
        <v>4104</v>
      </c>
      <c r="H361" s="46">
        <f>IFERROR(__xludf.DUMMYFUNCTION("""COMPUTED_VALUE"""),2742580.08)</f>
        <v>2742580.08</v>
      </c>
      <c r="I361" s="46">
        <f>IFERROR(__xludf.DUMMYFUNCTION("""COMPUTED_VALUE"""),2062424.1600000001)</f>
        <v>2062424.16</v>
      </c>
      <c r="J361" s="46">
        <f>IFERROR(__xludf.DUMMYFUNCTION("""COMPUTED_VALUE"""),680155.9199999999)</f>
        <v>680155.92</v>
      </c>
      <c r="K361" s="46" t="str">
        <f t="array" ref="K361">TEXT(D361, "mmmm")</f>
        <v>June</v>
      </c>
      <c r="M361" s="46" t="str">
        <f>IFERROR(__xludf.DUMMYFUNCTION("""COMPUTED_VALUE"""),"Slovakia")</f>
        <v>Slovakia</v>
      </c>
      <c r="N361" s="94">
        <f>IFERROR(__xludf.DUMMYFUNCTION("""COMPUTED_VALUE"""),41030.0)</f>
        <v>41030</v>
      </c>
      <c r="O361" s="46">
        <f>IFERROR(__xludf.DUMMYFUNCTION("""COMPUTED_VALUE"""),2.0)</f>
        <v>2</v>
      </c>
      <c r="P361" s="46">
        <f>IFERROR(__xludf.DUMMYFUNCTION("""COMPUTED_VALUE"""),12468.0)</f>
        <v>12468</v>
      </c>
      <c r="Q361" s="46">
        <f>IFERROR(__xludf.DUMMYFUNCTION("""COMPUTED_VALUE"""),6204964.73)</f>
        <v>6204964.73</v>
      </c>
      <c r="R361" s="46">
        <f>IFERROR(__xludf.DUMMYFUNCTION("""COMPUTED_VALUE"""),4777815.38)</f>
        <v>4777815.38</v>
      </c>
      <c r="S361" s="46">
        <f>IFERROR(__xludf.DUMMYFUNCTION("""COMPUTED_VALUE"""),1427149.3500000006)</f>
        <v>1427149.35</v>
      </c>
    </row>
    <row r="362">
      <c r="A362" s="46" t="str">
        <f>IFERROR(__xludf.DUMMYFUNCTION("""COMPUTED_VALUE"""),"Meat")</f>
        <v>Meat</v>
      </c>
      <c r="B362" s="46" t="str">
        <f>IFERROR(__xludf.DUMMYFUNCTION("""COMPUTED_VALUE"""),"Armenia")</f>
        <v>Armenia</v>
      </c>
      <c r="C362" s="46" t="str">
        <f>IFERROR(__xludf.DUMMYFUNCTION("""COMPUTED_VALUE"""),"Asia")</f>
        <v>Asia</v>
      </c>
      <c r="D362" s="90">
        <f>IFERROR(__xludf.DUMMYFUNCTION("""COMPUTED_VALUE"""),42156.0)</f>
        <v>42156</v>
      </c>
      <c r="E362" s="46">
        <f>IFERROR(__xludf.DUMMYFUNCTION("""COMPUTED_VALUE"""),2015.0)</f>
        <v>2015</v>
      </c>
      <c r="F362" s="46">
        <f>IFERROR(__xludf.DUMMYFUNCTION("""COMPUTED_VALUE"""),1.0)</f>
        <v>1</v>
      </c>
      <c r="G362" s="46">
        <f>IFERROR(__xludf.DUMMYFUNCTION("""COMPUTED_VALUE"""),7084.0)</f>
        <v>7084</v>
      </c>
      <c r="H362" s="46">
        <f>IFERROR(__xludf.DUMMYFUNCTION("""COMPUTED_VALUE"""),2988668.76)</f>
        <v>2988668.76</v>
      </c>
      <c r="I362" s="46">
        <f>IFERROR(__xludf.DUMMYFUNCTION("""COMPUTED_VALUE"""),2583463.96)</f>
        <v>2583463.96</v>
      </c>
      <c r="J362" s="46">
        <f>IFERROR(__xludf.DUMMYFUNCTION("""COMPUTED_VALUE"""),405204.7999999998)</f>
        <v>405204.8</v>
      </c>
      <c r="K362" s="46" t="str">
        <f t="array" ref="K362">TEXT(D362, "mmmm")</f>
        <v>June</v>
      </c>
      <c r="M362" s="46" t="str">
        <f>IFERROR(__xludf.DUMMYFUNCTION("""COMPUTED_VALUE"""),"Slovenia")</f>
        <v>Slovenia</v>
      </c>
      <c r="N362" s="94">
        <f>IFERROR(__xludf.DUMMYFUNCTION("""COMPUTED_VALUE"""),41030.0)</f>
        <v>41030</v>
      </c>
      <c r="O362" s="46">
        <f>IFERROR(__xludf.DUMMYFUNCTION("""COMPUTED_VALUE"""),1.0)</f>
        <v>1</v>
      </c>
      <c r="P362" s="46">
        <f>IFERROR(__xludf.DUMMYFUNCTION("""COMPUTED_VALUE"""),3231.0)</f>
        <v>3231</v>
      </c>
      <c r="Q362" s="46">
        <f>IFERROR(__xludf.DUMMYFUNCTION("""COMPUTED_VALUE"""),353083.68)</f>
        <v>353083.68</v>
      </c>
      <c r="R362" s="46">
        <f>IFERROR(__xludf.DUMMYFUNCTION("""COMPUTED_VALUE"""),115799.04000000001)</f>
        <v>115799.04</v>
      </c>
      <c r="S362" s="46">
        <f>IFERROR(__xludf.DUMMYFUNCTION("""COMPUTED_VALUE"""),237284.63999999998)</f>
        <v>237284.64</v>
      </c>
    </row>
    <row r="363">
      <c r="A363" s="46" t="str">
        <f>IFERROR(__xludf.DUMMYFUNCTION("""COMPUTED_VALUE"""),"Personal Care")</f>
        <v>Personal Care</v>
      </c>
      <c r="B363" s="46" t="str">
        <f>IFERROR(__xludf.DUMMYFUNCTION("""COMPUTED_VALUE"""),"Cyprus")</f>
        <v>Cyprus</v>
      </c>
      <c r="C363" s="46" t="str">
        <f>IFERROR(__xludf.DUMMYFUNCTION("""COMPUTED_VALUE"""),"Asia")</f>
        <v>Asia</v>
      </c>
      <c r="D363" s="90">
        <f>IFERROR(__xludf.DUMMYFUNCTION("""COMPUTED_VALUE"""),42156.0)</f>
        <v>42156</v>
      </c>
      <c r="E363" s="46">
        <f>IFERROR(__xludf.DUMMYFUNCTION("""COMPUTED_VALUE"""),2015.0)</f>
        <v>2015</v>
      </c>
      <c r="F363" s="46">
        <f>IFERROR(__xludf.DUMMYFUNCTION("""COMPUTED_VALUE"""),1.0)</f>
        <v>1</v>
      </c>
      <c r="G363" s="46">
        <f>IFERROR(__xludf.DUMMYFUNCTION("""COMPUTED_VALUE"""),9941.0)</f>
        <v>9941</v>
      </c>
      <c r="H363" s="46">
        <f>IFERROR(__xludf.DUMMYFUNCTION("""COMPUTED_VALUE"""),812477.93)</f>
        <v>812477.93</v>
      </c>
      <c r="I363" s="46">
        <f>IFERROR(__xludf.DUMMYFUNCTION("""COMPUTED_VALUE"""),563356.47)</f>
        <v>563356.47</v>
      </c>
      <c r="J363" s="46">
        <f>IFERROR(__xludf.DUMMYFUNCTION("""COMPUTED_VALUE"""),249121.46000000008)</f>
        <v>249121.46</v>
      </c>
      <c r="K363" s="46" t="str">
        <f t="array" ref="K363">TEXT(D363, "mmmm")</f>
        <v>June</v>
      </c>
      <c r="M363" s="46" t="str">
        <f>IFERROR(__xludf.DUMMYFUNCTION("""COMPUTED_VALUE"""),"Sweden")</f>
        <v>Sweden</v>
      </c>
      <c r="N363" s="94">
        <f>IFERROR(__xludf.DUMMYFUNCTION("""COMPUTED_VALUE"""),41030.0)</f>
        <v>41030</v>
      </c>
      <c r="O363" s="46">
        <f>IFERROR(__xludf.DUMMYFUNCTION("""COMPUTED_VALUE"""),1.0)</f>
        <v>1</v>
      </c>
      <c r="P363" s="46">
        <f>IFERROR(__xludf.DUMMYFUNCTION("""COMPUTED_VALUE"""),4316.0)</f>
        <v>4316</v>
      </c>
      <c r="Q363" s="46">
        <f>IFERROR(__xludf.DUMMYFUNCTION("""COMPUTED_VALUE"""),658535.28)</f>
        <v>658535.28</v>
      </c>
      <c r="R363" s="46">
        <f>IFERROR(__xludf.DUMMYFUNCTION("""COMPUTED_VALUE"""),420551.04)</f>
        <v>420551.04</v>
      </c>
      <c r="S363" s="46">
        <f>IFERROR(__xludf.DUMMYFUNCTION("""COMPUTED_VALUE"""),237984.24000000005)</f>
        <v>237984.24</v>
      </c>
    </row>
    <row r="364">
      <c r="A364" s="46" t="str">
        <f>IFERROR(__xludf.DUMMYFUNCTION("""COMPUTED_VALUE"""),"Vegetables")</f>
        <v>Vegetables</v>
      </c>
      <c r="B364" s="46" t="str">
        <f>IFERROR(__xludf.DUMMYFUNCTION("""COMPUTED_VALUE"""),"Spain")</f>
        <v>Spain</v>
      </c>
      <c r="C364" s="46" t="str">
        <f>IFERROR(__xludf.DUMMYFUNCTION("""COMPUTED_VALUE"""),"Europe")</f>
        <v>Europe</v>
      </c>
      <c r="D364" s="90">
        <f>IFERROR(__xludf.DUMMYFUNCTION("""COMPUTED_VALUE"""),42156.0)</f>
        <v>42156</v>
      </c>
      <c r="E364" s="46">
        <f>IFERROR(__xludf.DUMMYFUNCTION("""COMPUTED_VALUE"""),2015.0)</f>
        <v>2015</v>
      </c>
      <c r="F364" s="46">
        <f>IFERROR(__xludf.DUMMYFUNCTION("""COMPUTED_VALUE"""),1.0)</f>
        <v>1</v>
      </c>
      <c r="G364" s="46">
        <f>IFERROR(__xludf.DUMMYFUNCTION("""COMPUTED_VALUE"""),6142.0)</f>
        <v>6142</v>
      </c>
      <c r="H364" s="46">
        <f>IFERROR(__xludf.DUMMYFUNCTION("""COMPUTED_VALUE"""),946236.52)</f>
        <v>946236.52</v>
      </c>
      <c r="I364" s="46">
        <f>IFERROR(__xludf.DUMMYFUNCTION("""COMPUTED_VALUE"""),558492.06)</f>
        <v>558492.06</v>
      </c>
      <c r="J364" s="46">
        <f>IFERROR(__xludf.DUMMYFUNCTION("""COMPUTED_VALUE"""),387744.45999999996)</f>
        <v>387744.46</v>
      </c>
      <c r="K364" s="46" t="str">
        <f t="array" ref="K364">TEXT(D364, "mmmm")</f>
        <v>June</v>
      </c>
      <c r="M364" s="46" t="str">
        <f>IFERROR(__xludf.DUMMYFUNCTION("""COMPUTED_VALUE"""),"Undefined")</f>
        <v>Undefined</v>
      </c>
      <c r="N364" s="94">
        <f>IFERROR(__xludf.DUMMYFUNCTION("""COMPUTED_VALUE"""),41030.0)</f>
        <v>41030</v>
      </c>
      <c r="O364" s="46">
        <f>IFERROR(__xludf.DUMMYFUNCTION("""COMPUTED_VALUE"""),2.0)</f>
        <v>2</v>
      </c>
      <c r="P364" s="46">
        <f>IFERROR(__xludf.DUMMYFUNCTION("""COMPUTED_VALUE"""),5638.0)</f>
        <v>5638</v>
      </c>
      <c r="Q364" s="46">
        <f>IFERROR(__xludf.DUMMYFUNCTION("""COMPUTED_VALUE"""),1805892.22)</f>
        <v>1805892.22</v>
      </c>
      <c r="R364" s="46">
        <f>IFERROR(__xludf.DUMMYFUNCTION("""COMPUTED_VALUE"""),1101506.9)</f>
        <v>1101506.9</v>
      </c>
      <c r="S364" s="46">
        <f>IFERROR(__xludf.DUMMYFUNCTION("""COMPUTED_VALUE"""),704385.3200000001)</f>
        <v>704385.32</v>
      </c>
    </row>
    <row r="365">
      <c r="A365" s="46" t="str">
        <f>IFERROR(__xludf.DUMMYFUNCTION("""COMPUTED_VALUE"""),"Baby Food")</f>
        <v>Baby Food</v>
      </c>
      <c r="B365" s="46" t="str">
        <f>IFERROR(__xludf.DUMMYFUNCTION("""COMPUTED_VALUE"""),"Russia")</f>
        <v>Russia</v>
      </c>
      <c r="C365" s="46" t="str">
        <f>IFERROR(__xludf.DUMMYFUNCTION("""COMPUTED_VALUE"""),"Europe")</f>
        <v>Europe</v>
      </c>
      <c r="D365" s="90">
        <f>IFERROR(__xludf.DUMMYFUNCTION("""COMPUTED_VALUE"""),42125.0)</f>
        <v>42125</v>
      </c>
      <c r="E365" s="46">
        <f>IFERROR(__xludf.DUMMYFUNCTION("""COMPUTED_VALUE"""),2015.0)</f>
        <v>2015</v>
      </c>
      <c r="F365" s="46">
        <f>IFERROR(__xludf.DUMMYFUNCTION("""COMPUTED_VALUE"""),1.0)</f>
        <v>1</v>
      </c>
      <c r="G365" s="46">
        <f>IFERROR(__xludf.DUMMYFUNCTION("""COMPUTED_VALUE"""),6542.0)</f>
        <v>6542</v>
      </c>
      <c r="H365" s="46">
        <f>IFERROR(__xludf.DUMMYFUNCTION("""COMPUTED_VALUE"""),1670041.76)</f>
        <v>1670041.76</v>
      </c>
      <c r="I365" s="46">
        <f>IFERROR(__xludf.DUMMYFUNCTION("""COMPUTED_VALUE"""),1042925.6399999999)</f>
        <v>1042925.64</v>
      </c>
      <c r="J365" s="46">
        <f>IFERROR(__xludf.DUMMYFUNCTION("""COMPUTED_VALUE"""),627116.1200000001)</f>
        <v>627116.12</v>
      </c>
      <c r="K365" s="46" t="str">
        <f t="array" ref="K365">TEXT(D365, "mmmm")</f>
        <v>May</v>
      </c>
      <c r="M365" s="46" t="str">
        <f>IFERROR(__xludf.DUMMYFUNCTION("""COMPUTED_VALUE"""),"Andorra")</f>
        <v>Andorra</v>
      </c>
      <c r="N365" s="94">
        <f>IFERROR(__xludf.DUMMYFUNCTION("""COMPUTED_VALUE"""),41061.0)</f>
        <v>41061</v>
      </c>
      <c r="O365" s="46">
        <f>IFERROR(__xludf.DUMMYFUNCTION("""COMPUTED_VALUE"""),1.0)</f>
        <v>1</v>
      </c>
      <c r="P365" s="46">
        <f>IFERROR(__xludf.DUMMYFUNCTION("""COMPUTED_VALUE"""),6876.0)</f>
        <v>6876</v>
      </c>
      <c r="Q365" s="46">
        <f>IFERROR(__xludf.DUMMYFUNCTION("""COMPUTED_VALUE"""),3006187.1999999997)</f>
        <v>3006187.2</v>
      </c>
      <c r="R365" s="46">
        <f>IFERROR(__xludf.DUMMYFUNCTION("""COMPUTED_VALUE"""),1810657.0799999998)</f>
        <v>1810657.08</v>
      </c>
      <c r="S365" s="46">
        <f>IFERROR(__xludf.DUMMYFUNCTION("""COMPUTED_VALUE"""),1195530.1199999999)</f>
        <v>1195530.12</v>
      </c>
    </row>
    <row r="366">
      <c r="A366" s="46" t="str">
        <f>IFERROR(__xludf.DUMMYFUNCTION("""COMPUTED_VALUE"""),"Beverages")</f>
        <v>Beverages</v>
      </c>
      <c r="B366" s="46" t="str">
        <f>IFERROR(__xludf.DUMMYFUNCTION("""COMPUTED_VALUE"""),"Austria")</f>
        <v>Austria</v>
      </c>
      <c r="C366" s="46" t="str">
        <f>IFERROR(__xludf.DUMMYFUNCTION("""COMPUTED_VALUE"""),"Europe")</f>
        <v>Europe</v>
      </c>
      <c r="D366" s="90">
        <f>IFERROR(__xludf.DUMMYFUNCTION("""COMPUTED_VALUE"""),42125.0)</f>
        <v>42125</v>
      </c>
      <c r="E366" s="46">
        <f>IFERROR(__xludf.DUMMYFUNCTION("""COMPUTED_VALUE"""),2015.0)</f>
        <v>2015</v>
      </c>
      <c r="F366" s="46">
        <f>IFERROR(__xludf.DUMMYFUNCTION("""COMPUTED_VALUE"""),1.0)</f>
        <v>1</v>
      </c>
      <c r="G366" s="46">
        <f>IFERROR(__xludf.DUMMYFUNCTION("""COMPUTED_VALUE"""),6395.0)</f>
        <v>6395</v>
      </c>
      <c r="H366" s="46">
        <f>IFERROR(__xludf.DUMMYFUNCTION("""COMPUTED_VALUE"""),303442.75)</f>
        <v>303442.75</v>
      </c>
      <c r="I366" s="46">
        <f>IFERROR(__xludf.DUMMYFUNCTION("""COMPUTED_VALUE"""),203297.05)</f>
        <v>203297.05</v>
      </c>
      <c r="J366" s="46">
        <f>IFERROR(__xludf.DUMMYFUNCTION("""COMPUTED_VALUE"""),100145.70000000001)</f>
        <v>100145.7</v>
      </c>
      <c r="K366" s="46" t="str">
        <f t="array" ref="K366">TEXT(D366, "mmmm")</f>
        <v>May</v>
      </c>
      <c r="M366" s="46" t="str">
        <f>IFERROR(__xludf.DUMMYFUNCTION("""COMPUTED_VALUE"""),"Armenia")</f>
        <v>Armenia</v>
      </c>
      <c r="N366" s="94">
        <f>IFERROR(__xludf.DUMMYFUNCTION("""COMPUTED_VALUE"""),41061.0)</f>
        <v>41061</v>
      </c>
      <c r="O366" s="46">
        <f>IFERROR(__xludf.DUMMYFUNCTION("""COMPUTED_VALUE"""),1.0)</f>
        <v>1</v>
      </c>
      <c r="P366" s="46">
        <f>IFERROR(__xludf.DUMMYFUNCTION("""COMPUTED_VALUE"""),5259.0)</f>
        <v>5259</v>
      </c>
      <c r="Q366" s="46">
        <f>IFERROR(__xludf.DUMMYFUNCTION("""COMPUTED_VALUE"""),2218719.51)</f>
        <v>2218719.51</v>
      </c>
      <c r="R366" s="46">
        <f>IFERROR(__xludf.DUMMYFUNCTION("""COMPUTED_VALUE"""),1917904.71)</f>
        <v>1917904.71</v>
      </c>
      <c r="S366" s="46">
        <f>IFERROR(__xludf.DUMMYFUNCTION("""COMPUTED_VALUE"""),300814.7999999998)</f>
        <v>300814.8</v>
      </c>
    </row>
    <row r="367">
      <c r="A367" s="46" t="str">
        <f>IFERROR(__xludf.DUMMYFUNCTION("""COMPUTED_VALUE"""),"Beverages")</f>
        <v>Beverages</v>
      </c>
      <c r="B367" s="46" t="str">
        <f>IFERROR(__xludf.DUMMYFUNCTION("""COMPUTED_VALUE"""),"Romania")</f>
        <v>Romania</v>
      </c>
      <c r="C367" s="46" t="str">
        <f>IFERROR(__xludf.DUMMYFUNCTION("""COMPUTED_VALUE"""),"Europe")</f>
        <v>Europe</v>
      </c>
      <c r="D367" s="90">
        <f>IFERROR(__xludf.DUMMYFUNCTION("""COMPUTED_VALUE"""),42125.0)</f>
        <v>42125</v>
      </c>
      <c r="E367" s="46">
        <f>IFERROR(__xludf.DUMMYFUNCTION("""COMPUTED_VALUE"""),2015.0)</f>
        <v>2015</v>
      </c>
      <c r="F367" s="46">
        <f>IFERROR(__xludf.DUMMYFUNCTION("""COMPUTED_VALUE"""),1.0)</f>
        <v>1</v>
      </c>
      <c r="G367" s="46">
        <f>IFERROR(__xludf.DUMMYFUNCTION("""COMPUTED_VALUE"""),317.0)</f>
        <v>317</v>
      </c>
      <c r="H367" s="46">
        <f>IFERROR(__xludf.DUMMYFUNCTION("""COMPUTED_VALUE"""),15041.650000000001)</f>
        <v>15041.65</v>
      </c>
      <c r="I367" s="46">
        <f>IFERROR(__xludf.DUMMYFUNCTION("""COMPUTED_VALUE"""),10077.43)</f>
        <v>10077.43</v>
      </c>
      <c r="J367" s="46">
        <f>IFERROR(__xludf.DUMMYFUNCTION("""COMPUTED_VALUE"""),4964.220000000001)</f>
        <v>4964.22</v>
      </c>
      <c r="K367" s="46" t="str">
        <f t="array" ref="K367">TEXT(D367, "mmmm")</f>
        <v>May</v>
      </c>
      <c r="M367" s="46" t="str">
        <f>IFERROR(__xludf.DUMMYFUNCTION("""COMPUTED_VALUE"""),"Cyprus")</f>
        <v>Cyprus</v>
      </c>
      <c r="N367" s="94">
        <f>IFERROR(__xludf.DUMMYFUNCTION("""COMPUTED_VALUE"""),41061.0)</f>
        <v>41061</v>
      </c>
      <c r="O367" s="46">
        <f>IFERROR(__xludf.DUMMYFUNCTION("""COMPUTED_VALUE"""),1.0)</f>
        <v>1</v>
      </c>
      <c r="P367" s="46">
        <f>IFERROR(__xludf.DUMMYFUNCTION("""COMPUTED_VALUE"""),8778.0)</f>
        <v>8778</v>
      </c>
      <c r="Q367" s="46">
        <f>IFERROR(__xludf.DUMMYFUNCTION("""COMPUTED_VALUE"""),5866074.06)</f>
        <v>5866074.06</v>
      </c>
      <c r="R367" s="46">
        <f>IFERROR(__xludf.DUMMYFUNCTION("""COMPUTED_VALUE"""),4411296.12)</f>
        <v>4411296.12</v>
      </c>
      <c r="S367" s="46">
        <f>IFERROR(__xludf.DUMMYFUNCTION("""COMPUTED_VALUE"""),1454777.9399999995)</f>
        <v>1454777.94</v>
      </c>
    </row>
    <row r="368">
      <c r="A368" s="46" t="str">
        <f>IFERROR(__xludf.DUMMYFUNCTION("""COMPUTED_VALUE"""),"Cereal")</f>
        <v>Cereal</v>
      </c>
      <c r="B368" s="46" t="str">
        <f>IFERROR(__xludf.DUMMYFUNCTION("""COMPUTED_VALUE"""),"Czech Republic")</f>
        <v>Czech Republic</v>
      </c>
      <c r="C368" s="46" t="str">
        <f>IFERROR(__xludf.DUMMYFUNCTION("""COMPUTED_VALUE"""),"Europe")</f>
        <v>Europe</v>
      </c>
      <c r="D368" s="90">
        <f>IFERROR(__xludf.DUMMYFUNCTION("""COMPUTED_VALUE"""),42125.0)</f>
        <v>42125</v>
      </c>
      <c r="E368" s="46">
        <f>IFERROR(__xludf.DUMMYFUNCTION("""COMPUTED_VALUE"""),2015.0)</f>
        <v>2015</v>
      </c>
      <c r="F368" s="46">
        <f>IFERROR(__xludf.DUMMYFUNCTION("""COMPUTED_VALUE"""),1.0)</f>
        <v>1</v>
      </c>
      <c r="G368" s="46">
        <f>IFERROR(__xludf.DUMMYFUNCTION("""COMPUTED_VALUE"""),905.0)</f>
        <v>905</v>
      </c>
      <c r="H368" s="46">
        <f>IFERROR(__xludf.DUMMYFUNCTION("""COMPUTED_VALUE"""),186158.5)</f>
        <v>186158.5</v>
      </c>
      <c r="I368" s="46">
        <f>IFERROR(__xludf.DUMMYFUNCTION("""COMPUTED_VALUE"""),105984.55)</f>
        <v>105984.55</v>
      </c>
      <c r="J368" s="46">
        <f>IFERROR(__xludf.DUMMYFUNCTION("""COMPUTED_VALUE"""),80173.95)</f>
        <v>80173.95</v>
      </c>
      <c r="K368" s="46" t="str">
        <f t="array" ref="K368">TEXT(D368, "mmmm")</f>
        <v>May</v>
      </c>
      <c r="M368" s="46" t="str">
        <f>IFERROR(__xludf.DUMMYFUNCTION("""COMPUTED_VALUE"""),"Czech Republic")</f>
        <v>Czech Republic</v>
      </c>
      <c r="N368" s="94">
        <f>IFERROR(__xludf.DUMMYFUNCTION("""COMPUTED_VALUE"""),41061.0)</f>
        <v>41061</v>
      </c>
      <c r="O368" s="46">
        <f>IFERROR(__xludf.DUMMYFUNCTION("""COMPUTED_VALUE"""),1.0)</f>
        <v>1</v>
      </c>
      <c r="P368" s="46">
        <f>IFERROR(__xludf.DUMMYFUNCTION("""COMPUTED_VALUE"""),3314.0)</f>
        <v>3314</v>
      </c>
      <c r="Q368" s="46">
        <f>IFERROR(__xludf.DUMMYFUNCTION("""COMPUTED_VALUE"""),510554.84)</f>
        <v>510554.84</v>
      </c>
      <c r="R368" s="46">
        <f>IFERROR(__xludf.DUMMYFUNCTION("""COMPUTED_VALUE"""),301342.02)</f>
        <v>301342.02</v>
      </c>
      <c r="S368" s="46">
        <f>IFERROR(__xludf.DUMMYFUNCTION("""COMPUTED_VALUE"""),209212.82)</f>
        <v>209212.82</v>
      </c>
    </row>
    <row r="369">
      <c r="A369" s="46" t="str">
        <f>IFERROR(__xludf.DUMMYFUNCTION("""COMPUTED_VALUE"""),"Cereal")</f>
        <v>Cereal</v>
      </c>
      <c r="B369" s="46" t="str">
        <f>IFERROR(__xludf.DUMMYFUNCTION("""COMPUTED_VALUE"""),"Greece")</f>
        <v>Greece</v>
      </c>
      <c r="C369" s="46" t="str">
        <f>IFERROR(__xludf.DUMMYFUNCTION("""COMPUTED_VALUE"""),"Europe")</f>
        <v>Europe</v>
      </c>
      <c r="D369" s="90">
        <f>IFERROR(__xludf.DUMMYFUNCTION("""COMPUTED_VALUE"""),42125.0)</f>
        <v>42125</v>
      </c>
      <c r="E369" s="46">
        <f>IFERROR(__xludf.DUMMYFUNCTION("""COMPUTED_VALUE"""),2015.0)</f>
        <v>2015</v>
      </c>
      <c r="F369" s="46">
        <f>IFERROR(__xludf.DUMMYFUNCTION("""COMPUTED_VALUE"""),1.0)</f>
        <v>1</v>
      </c>
      <c r="G369" s="46">
        <f>IFERROR(__xludf.DUMMYFUNCTION("""COMPUTED_VALUE"""),2422.0)</f>
        <v>2422</v>
      </c>
      <c r="H369" s="46">
        <f>IFERROR(__xludf.DUMMYFUNCTION("""COMPUTED_VALUE"""),498205.39999999997)</f>
        <v>498205.4</v>
      </c>
      <c r="I369" s="46">
        <f>IFERROR(__xludf.DUMMYFUNCTION("""COMPUTED_VALUE"""),283640.42)</f>
        <v>283640.42</v>
      </c>
      <c r="J369" s="46">
        <f>IFERROR(__xludf.DUMMYFUNCTION("""COMPUTED_VALUE"""),214564.97999999998)</f>
        <v>214564.98</v>
      </c>
      <c r="K369" s="46" t="str">
        <f t="array" ref="K369">TEXT(D369, "mmmm")</f>
        <v>May</v>
      </c>
      <c r="M369" s="46" t="str">
        <f>IFERROR(__xludf.DUMMYFUNCTION("""COMPUTED_VALUE"""),"Hungary")</f>
        <v>Hungary</v>
      </c>
      <c r="N369" s="94">
        <f>IFERROR(__xludf.DUMMYFUNCTION("""COMPUTED_VALUE"""),41061.0)</f>
        <v>41061</v>
      </c>
      <c r="O369" s="46">
        <f>IFERROR(__xludf.DUMMYFUNCTION("""COMPUTED_VALUE"""),1.0)</f>
        <v>1</v>
      </c>
      <c r="P369" s="46">
        <f>IFERROR(__xludf.DUMMYFUNCTION("""COMPUTED_VALUE"""),7171.0)</f>
        <v>7171</v>
      </c>
      <c r="Q369" s="46">
        <f>IFERROR(__xludf.DUMMYFUNCTION("""COMPUTED_VALUE"""),1104764.26)</f>
        <v>1104764.26</v>
      </c>
      <c r="R369" s="46">
        <f>IFERROR(__xludf.DUMMYFUNCTION("""COMPUTED_VALUE"""),652059.03)</f>
        <v>652059.03</v>
      </c>
      <c r="S369" s="46">
        <f>IFERROR(__xludf.DUMMYFUNCTION("""COMPUTED_VALUE"""),452705.23)</f>
        <v>452705.23</v>
      </c>
    </row>
    <row r="370">
      <c r="A370" s="46" t="str">
        <f>IFERROR(__xludf.DUMMYFUNCTION("""COMPUTED_VALUE"""),"Clothes")</f>
        <v>Clothes</v>
      </c>
      <c r="B370" s="46" t="str">
        <f>IFERROR(__xludf.DUMMYFUNCTION("""COMPUTED_VALUE"""),"Slovakia")</f>
        <v>Slovakia</v>
      </c>
      <c r="C370" s="46" t="str">
        <f>IFERROR(__xludf.DUMMYFUNCTION("""COMPUTED_VALUE"""),"Europe")</f>
        <v>Europe</v>
      </c>
      <c r="D370" s="90">
        <f>IFERROR(__xludf.DUMMYFUNCTION("""COMPUTED_VALUE"""),42125.0)</f>
        <v>42125</v>
      </c>
      <c r="E370" s="46">
        <f>IFERROR(__xludf.DUMMYFUNCTION("""COMPUTED_VALUE"""),2015.0)</f>
        <v>2015</v>
      </c>
      <c r="F370" s="46">
        <f>IFERROR(__xludf.DUMMYFUNCTION("""COMPUTED_VALUE"""),1.0)</f>
        <v>1</v>
      </c>
      <c r="G370" s="46">
        <f>IFERROR(__xludf.DUMMYFUNCTION("""COMPUTED_VALUE"""),6311.0)</f>
        <v>6311</v>
      </c>
      <c r="H370" s="46">
        <f>IFERROR(__xludf.DUMMYFUNCTION("""COMPUTED_VALUE"""),689666.08)</f>
        <v>689666.08</v>
      </c>
      <c r="I370" s="46">
        <f>IFERROR(__xludf.DUMMYFUNCTION("""COMPUTED_VALUE"""),226186.24000000002)</f>
        <v>226186.24</v>
      </c>
      <c r="J370" s="46">
        <f>IFERROR(__xludf.DUMMYFUNCTION("""COMPUTED_VALUE"""),463479.83999999997)</f>
        <v>463479.84</v>
      </c>
      <c r="K370" s="46" t="str">
        <f t="array" ref="K370">TEXT(D370, "mmmm")</f>
        <v>May</v>
      </c>
      <c r="M370" s="46" t="str">
        <f>IFERROR(__xludf.DUMMYFUNCTION("""COMPUTED_VALUE"""),"Italy")</f>
        <v>Italy</v>
      </c>
      <c r="N370" s="94">
        <f>IFERROR(__xludf.DUMMYFUNCTION("""COMPUTED_VALUE"""),41061.0)</f>
        <v>41061</v>
      </c>
      <c r="O370" s="46">
        <f>IFERROR(__xludf.DUMMYFUNCTION("""COMPUTED_VALUE"""),1.0)</f>
        <v>1</v>
      </c>
      <c r="P370" s="46">
        <f>IFERROR(__xludf.DUMMYFUNCTION("""COMPUTED_VALUE"""),9896.0)</f>
        <v>9896</v>
      </c>
      <c r="Q370" s="46">
        <f>IFERROR(__xludf.DUMMYFUNCTION("""COMPUTED_VALUE"""),2526250.88)</f>
        <v>2526250.88</v>
      </c>
      <c r="R370" s="46">
        <f>IFERROR(__xludf.DUMMYFUNCTION("""COMPUTED_VALUE"""),1577620.3199999998)</f>
        <v>1577620.32</v>
      </c>
      <c r="S370" s="46">
        <f>IFERROR(__xludf.DUMMYFUNCTION("""COMPUTED_VALUE"""),948630.56)</f>
        <v>948630.56</v>
      </c>
    </row>
    <row r="371">
      <c r="A371" s="46" t="str">
        <f>IFERROR(__xludf.DUMMYFUNCTION("""COMPUTED_VALUE"""),"Cosmetics")</f>
        <v>Cosmetics</v>
      </c>
      <c r="B371" s="46" t="str">
        <f>IFERROR(__xludf.DUMMYFUNCTION("""COMPUTED_VALUE"""),"Montenegro")</f>
        <v>Montenegro</v>
      </c>
      <c r="C371" s="46" t="str">
        <f>IFERROR(__xludf.DUMMYFUNCTION("""COMPUTED_VALUE"""),"Europe")</f>
        <v>Europe</v>
      </c>
      <c r="D371" s="90">
        <f>IFERROR(__xludf.DUMMYFUNCTION("""COMPUTED_VALUE"""),42125.0)</f>
        <v>42125</v>
      </c>
      <c r="E371" s="46">
        <f>IFERROR(__xludf.DUMMYFUNCTION("""COMPUTED_VALUE"""),2015.0)</f>
        <v>2015</v>
      </c>
      <c r="F371" s="46">
        <f>IFERROR(__xludf.DUMMYFUNCTION("""COMPUTED_VALUE"""),1.0)</f>
        <v>1</v>
      </c>
      <c r="G371" s="46">
        <f>IFERROR(__xludf.DUMMYFUNCTION("""COMPUTED_VALUE"""),1779.0)</f>
        <v>1779</v>
      </c>
      <c r="H371" s="46">
        <f>IFERROR(__xludf.DUMMYFUNCTION("""COMPUTED_VALUE"""),777778.7999999999)</f>
        <v>777778.8</v>
      </c>
      <c r="I371" s="46">
        <f>IFERROR(__xludf.DUMMYFUNCTION("""COMPUTED_VALUE"""),468464.06999999995)</f>
        <v>468464.07</v>
      </c>
      <c r="J371" s="46">
        <f>IFERROR(__xludf.DUMMYFUNCTION("""COMPUTED_VALUE"""),309314.73)</f>
        <v>309314.73</v>
      </c>
      <c r="K371" s="46" t="str">
        <f t="array" ref="K371">TEXT(D371, "mmmm")</f>
        <v>May</v>
      </c>
      <c r="M371" s="46" t="str">
        <f>IFERROR(__xludf.DUMMYFUNCTION("""COMPUTED_VALUE"""),"Liechtenstein")</f>
        <v>Liechtenstein</v>
      </c>
      <c r="N371" s="94">
        <f>IFERROR(__xludf.DUMMYFUNCTION("""COMPUTED_VALUE"""),41061.0)</f>
        <v>41061</v>
      </c>
      <c r="O371" s="46">
        <f>IFERROR(__xludf.DUMMYFUNCTION("""COMPUTED_VALUE"""),2.0)</f>
        <v>2</v>
      </c>
      <c r="P371" s="46">
        <f>IFERROR(__xludf.DUMMYFUNCTION("""COMPUTED_VALUE"""),5956.0)</f>
        <v>5956</v>
      </c>
      <c r="Q371" s="46">
        <f>IFERROR(__xludf.DUMMYFUNCTION("""COMPUTED_VALUE"""),780630.0800000001)</f>
        <v>780630.08</v>
      </c>
      <c r="R371" s="46">
        <f>IFERROR(__xludf.DUMMYFUNCTION("""COMPUTED_VALUE"""),490785.51999999996)</f>
        <v>490785.52</v>
      </c>
      <c r="S371" s="46">
        <f>IFERROR(__xludf.DUMMYFUNCTION("""COMPUTED_VALUE"""),289844.56000000006)</f>
        <v>289844.56</v>
      </c>
    </row>
    <row r="372">
      <c r="A372" s="46" t="str">
        <f>IFERROR(__xludf.DUMMYFUNCTION("""COMPUTED_VALUE"""),"Cosmetics")</f>
        <v>Cosmetics</v>
      </c>
      <c r="B372" s="46" t="str">
        <f>IFERROR(__xludf.DUMMYFUNCTION("""COMPUTED_VALUE"""),"Norway")</f>
        <v>Norway</v>
      </c>
      <c r="C372" s="46" t="str">
        <f>IFERROR(__xludf.DUMMYFUNCTION("""COMPUTED_VALUE"""),"Europe")</f>
        <v>Europe</v>
      </c>
      <c r="D372" s="90">
        <f>IFERROR(__xludf.DUMMYFUNCTION("""COMPUTED_VALUE"""),42125.0)</f>
        <v>42125</v>
      </c>
      <c r="E372" s="46">
        <f>IFERROR(__xludf.DUMMYFUNCTION("""COMPUTED_VALUE"""),2015.0)</f>
        <v>2015</v>
      </c>
      <c r="F372" s="46">
        <f>IFERROR(__xludf.DUMMYFUNCTION("""COMPUTED_VALUE"""),1.0)</f>
        <v>1</v>
      </c>
      <c r="G372" s="46">
        <f>IFERROR(__xludf.DUMMYFUNCTION("""COMPUTED_VALUE"""),1211.0)</f>
        <v>1211</v>
      </c>
      <c r="H372" s="46">
        <f>IFERROR(__xludf.DUMMYFUNCTION("""COMPUTED_VALUE"""),529449.2)</f>
        <v>529449.2</v>
      </c>
      <c r="I372" s="46">
        <f>IFERROR(__xludf.DUMMYFUNCTION("""COMPUTED_VALUE"""),318892.63)</f>
        <v>318892.63</v>
      </c>
      <c r="J372" s="46">
        <f>IFERROR(__xludf.DUMMYFUNCTION("""COMPUTED_VALUE"""),210556.56999999995)</f>
        <v>210556.57</v>
      </c>
      <c r="K372" s="46" t="str">
        <f t="array" ref="K372">TEXT(D372, "mmmm")</f>
        <v>May</v>
      </c>
      <c r="M372" s="46" t="str">
        <f>IFERROR(__xludf.DUMMYFUNCTION("""COMPUTED_VALUE"""),"Luxembourg")</f>
        <v>Luxembourg</v>
      </c>
      <c r="N372" s="94">
        <f>IFERROR(__xludf.DUMMYFUNCTION("""COMPUTED_VALUE"""),41061.0)</f>
        <v>41061</v>
      </c>
      <c r="O372" s="46">
        <f>IFERROR(__xludf.DUMMYFUNCTION("""COMPUTED_VALUE"""),1.0)</f>
        <v>1</v>
      </c>
      <c r="P372" s="46">
        <f>IFERROR(__xludf.DUMMYFUNCTION("""COMPUTED_VALUE"""),1801.0)</f>
        <v>1801</v>
      </c>
      <c r="Q372" s="46">
        <f>IFERROR(__xludf.DUMMYFUNCTION("""COMPUTED_VALUE"""),370465.69999999995)</f>
        <v>370465.7</v>
      </c>
      <c r="R372" s="46">
        <f>IFERROR(__xludf.DUMMYFUNCTION("""COMPUTED_VALUE"""),210915.11)</f>
        <v>210915.11</v>
      </c>
      <c r="S372" s="46">
        <f>IFERROR(__xludf.DUMMYFUNCTION("""COMPUTED_VALUE"""),159550.58999999997)</f>
        <v>159550.59</v>
      </c>
    </row>
    <row r="373">
      <c r="A373" s="46" t="str">
        <f>IFERROR(__xludf.DUMMYFUNCTION("""COMPUTED_VALUE"""),"Cosmetics")</f>
        <v>Cosmetics</v>
      </c>
      <c r="B373" s="46" t="str">
        <f>IFERROR(__xludf.DUMMYFUNCTION("""COMPUTED_VALUE"""),"Slovakia")</f>
        <v>Slovakia</v>
      </c>
      <c r="C373" s="46" t="str">
        <f>IFERROR(__xludf.DUMMYFUNCTION("""COMPUTED_VALUE"""),"Europe")</f>
        <v>Europe</v>
      </c>
      <c r="D373" s="90">
        <f>IFERROR(__xludf.DUMMYFUNCTION("""COMPUTED_VALUE"""),42125.0)</f>
        <v>42125</v>
      </c>
      <c r="E373" s="46">
        <f>IFERROR(__xludf.DUMMYFUNCTION("""COMPUTED_VALUE"""),2015.0)</f>
        <v>2015</v>
      </c>
      <c r="F373" s="46">
        <f>IFERROR(__xludf.DUMMYFUNCTION("""COMPUTED_VALUE"""),1.0)</f>
        <v>1</v>
      </c>
      <c r="G373" s="46">
        <f>IFERROR(__xludf.DUMMYFUNCTION("""COMPUTED_VALUE"""),5769.0)</f>
        <v>5769</v>
      </c>
      <c r="H373" s="46">
        <f>IFERROR(__xludf.DUMMYFUNCTION("""COMPUTED_VALUE"""),2522206.8)</f>
        <v>2522206.8</v>
      </c>
      <c r="I373" s="46">
        <f>IFERROR(__xludf.DUMMYFUNCTION("""COMPUTED_VALUE"""),1519150.77)</f>
        <v>1519150.77</v>
      </c>
      <c r="J373" s="46">
        <f>IFERROR(__xludf.DUMMYFUNCTION("""COMPUTED_VALUE"""),1003056.0299999998)</f>
        <v>1003056.03</v>
      </c>
      <c r="K373" s="46" t="str">
        <f t="array" ref="K373">TEXT(D373, "mmmm")</f>
        <v>May</v>
      </c>
      <c r="M373" s="46" t="str">
        <f>IFERROR(__xludf.DUMMYFUNCTION("""COMPUTED_VALUE"""),"Malta")</f>
        <v>Malta</v>
      </c>
      <c r="N373" s="94">
        <f>IFERROR(__xludf.DUMMYFUNCTION("""COMPUTED_VALUE"""),41061.0)</f>
        <v>41061</v>
      </c>
      <c r="O373" s="46">
        <f>IFERROR(__xludf.DUMMYFUNCTION("""COMPUTED_VALUE"""),1.0)</f>
        <v>1</v>
      </c>
      <c r="P373" s="46">
        <f>IFERROR(__xludf.DUMMYFUNCTION("""COMPUTED_VALUE"""),6686.0)</f>
        <v>6686</v>
      </c>
      <c r="Q373" s="46">
        <f>IFERROR(__xludf.DUMMYFUNCTION("""COMPUTED_VALUE"""),1706802.08)</f>
        <v>1706802.08</v>
      </c>
      <c r="R373" s="46">
        <f>IFERROR(__xludf.DUMMYFUNCTION("""COMPUTED_VALUE"""),1065882.1199999999)</f>
        <v>1065882.12</v>
      </c>
      <c r="S373" s="46">
        <f>IFERROR(__xludf.DUMMYFUNCTION("""COMPUTED_VALUE"""),640919.9600000002)</f>
        <v>640919.96</v>
      </c>
    </row>
    <row r="374">
      <c r="A374" s="46" t="str">
        <f>IFERROR(__xludf.DUMMYFUNCTION("""COMPUTED_VALUE"""),"Cosmetics")</f>
        <v>Cosmetics</v>
      </c>
      <c r="B374" s="46" t="str">
        <f>IFERROR(__xludf.DUMMYFUNCTION("""COMPUTED_VALUE"""),"United Kingdom")</f>
        <v>United Kingdom</v>
      </c>
      <c r="C374" s="46" t="str">
        <f>IFERROR(__xludf.DUMMYFUNCTION("""COMPUTED_VALUE"""),"Europe")</f>
        <v>Europe</v>
      </c>
      <c r="D374" s="90">
        <f>IFERROR(__xludf.DUMMYFUNCTION("""COMPUTED_VALUE"""),42125.0)</f>
        <v>42125</v>
      </c>
      <c r="E374" s="46">
        <f>IFERROR(__xludf.DUMMYFUNCTION("""COMPUTED_VALUE"""),2015.0)</f>
        <v>2015</v>
      </c>
      <c r="F374" s="46">
        <f>IFERROR(__xludf.DUMMYFUNCTION("""COMPUTED_VALUE"""),1.0)</f>
        <v>1</v>
      </c>
      <c r="G374" s="46">
        <f>IFERROR(__xludf.DUMMYFUNCTION("""COMPUTED_VALUE"""),6864.0)</f>
        <v>6864</v>
      </c>
      <c r="H374" s="46">
        <f>IFERROR(__xludf.DUMMYFUNCTION("""COMPUTED_VALUE"""),3000940.8)</f>
        <v>3000940.8</v>
      </c>
      <c r="I374" s="46">
        <f>IFERROR(__xludf.DUMMYFUNCTION("""COMPUTED_VALUE"""),1807497.1199999999)</f>
        <v>1807497.12</v>
      </c>
      <c r="J374" s="46">
        <f>IFERROR(__xludf.DUMMYFUNCTION("""COMPUTED_VALUE"""),1193443.68)</f>
        <v>1193443.68</v>
      </c>
      <c r="K374" s="46" t="str">
        <f t="array" ref="K374">TEXT(D374, "mmmm")</f>
        <v>May</v>
      </c>
      <c r="M374" s="46" t="str">
        <f>IFERROR(__xludf.DUMMYFUNCTION("""COMPUTED_VALUE"""),"Norway")</f>
        <v>Norway</v>
      </c>
      <c r="N374" s="94">
        <f>IFERROR(__xludf.DUMMYFUNCTION("""COMPUTED_VALUE"""),41061.0)</f>
        <v>41061</v>
      </c>
      <c r="O374" s="46">
        <f>IFERROR(__xludf.DUMMYFUNCTION("""COMPUTED_VALUE"""),1.0)</f>
        <v>1</v>
      </c>
      <c r="P374" s="46">
        <f>IFERROR(__xludf.DUMMYFUNCTION("""COMPUTED_VALUE"""),7480.0)</f>
        <v>7480</v>
      </c>
      <c r="Q374" s="46">
        <f>IFERROR(__xludf.DUMMYFUNCTION("""COMPUTED_VALUE"""),611340.4)</f>
        <v>611340.4</v>
      </c>
      <c r="R374" s="46">
        <f>IFERROR(__xludf.DUMMYFUNCTION("""COMPUTED_VALUE"""),423891.60000000003)</f>
        <v>423891.6</v>
      </c>
      <c r="S374" s="46">
        <f>IFERROR(__xludf.DUMMYFUNCTION("""COMPUTED_VALUE"""),187448.8)</f>
        <v>187448.8</v>
      </c>
    </row>
    <row r="375">
      <c r="A375" s="46" t="str">
        <f>IFERROR(__xludf.DUMMYFUNCTION("""COMPUTED_VALUE"""),"Household")</f>
        <v>Household</v>
      </c>
      <c r="B375" s="46" t="str">
        <f>IFERROR(__xludf.DUMMYFUNCTION("""COMPUTED_VALUE"""),"Czech Republic")</f>
        <v>Czech Republic</v>
      </c>
      <c r="C375" s="46" t="str">
        <f>IFERROR(__xludf.DUMMYFUNCTION("""COMPUTED_VALUE"""),"Europe")</f>
        <v>Europe</v>
      </c>
      <c r="D375" s="90">
        <f>IFERROR(__xludf.DUMMYFUNCTION("""COMPUTED_VALUE"""),42125.0)</f>
        <v>42125</v>
      </c>
      <c r="E375" s="46">
        <f>IFERROR(__xludf.DUMMYFUNCTION("""COMPUTED_VALUE"""),2015.0)</f>
        <v>2015</v>
      </c>
      <c r="F375" s="46">
        <f>IFERROR(__xludf.DUMMYFUNCTION("""COMPUTED_VALUE"""),1.0)</f>
        <v>1</v>
      </c>
      <c r="G375" s="46">
        <f>IFERROR(__xludf.DUMMYFUNCTION("""COMPUTED_VALUE"""),7009.0)</f>
        <v>7009</v>
      </c>
      <c r="H375" s="46">
        <f>IFERROR(__xludf.DUMMYFUNCTION("""COMPUTED_VALUE"""),4683904.43)</f>
        <v>4683904.43</v>
      </c>
      <c r="I375" s="46">
        <f>IFERROR(__xludf.DUMMYFUNCTION("""COMPUTED_VALUE"""),3522302.8600000003)</f>
        <v>3522302.86</v>
      </c>
      <c r="J375" s="46">
        <f>IFERROR(__xludf.DUMMYFUNCTION("""COMPUTED_VALUE"""),1161601.5699999994)</f>
        <v>1161601.57</v>
      </c>
      <c r="K375" s="46" t="str">
        <f t="array" ref="K375">TEXT(D375, "mmmm")</f>
        <v>May</v>
      </c>
      <c r="M375" s="46" t="str">
        <f>IFERROR(__xludf.DUMMYFUNCTION("""COMPUTED_VALUE"""),"Russia")</f>
        <v>Russia</v>
      </c>
      <c r="N375" s="94">
        <f>IFERROR(__xludf.DUMMYFUNCTION("""COMPUTED_VALUE"""),41061.0)</f>
        <v>41061</v>
      </c>
      <c r="O375" s="46">
        <f>IFERROR(__xludf.DUMMYFUNCTION("""COMPUTED_VALUE"""),1.0)</f>
        <v>1</v>
      </c>
      <c r="P375" s="46">
        <f>IFERROR(__xludf.DUMMYFUNCTION("""COMPUTED_VALUE"""),651.0)</f>
        <v>651</v>
      </c>
      <c r="Q375" s="46">
        <f>IFERROR(__xludf.DUMMYFUNCTION("""COMPUTED_VALUE"""),133910.69999999998)</f>
        <v>133910.7</v>
      </c>
      <c r="R375" s="46">
        <f>IFERROR(__xludf.DUMMYFUNCTION("""COMPUTED_VALUE"""),76238.61)</f>
        <v>76238.61</v>
      </c>
      <c r="S375" s="46">
        <f>IFERROR(__xludf.DUMMYFUNCTION("""COMPUTED_VALUE"""),57672.08999999998)</f>
        <v>57672.09</v>
      </c>
    </row>
    <row r="376">
      <c r="A376" s="46" t="str">
        <f>IFERROR(__xludf.DUMMYFUNCTION("""COMPUTED_VALUE"""),"Office Supplies")</f>
        <v>Office Supplies</v>
      </c>
      <c r="B376" s="46" t="str">
        <f>IFERROR(__xludf.DUMMYFUNCTION("""COMPUTED_VALUE"""),"Serbia")</f>
        <v>Serbia</v>
      </c>
      <c r="C376" s="46" t="str">
        <f>IFERROR(__xludf.DUMMYFUNCTION("""COMPUTED_VALUE"""),"Europe")</f>
        <v>Europe</v>
      </c>
      <c r="D376" s="90">
        <f>IFERROR(__xludf.DUMMYFUNCTION("""COMPUTED_VALUE"""),42125.0)</f>
        <v>42125</v>
      </c>
      <c r="E376" s="46">
        <f>IFERROR(__xludf.DUMMYFUNCTION("""COMPUTED_VALUE"""),2015.0)</f>
        <v>2015</v>
      </c>
      <c r="F376" s="46">
        <f>IFERROR(__xludf.DUMMYFUNCTION("""COMPUTED_VALUE"""),1.0)</f>
        <v>1</v>
      </c>
      <c r="G376" s="46">
        <f>IFERROR(__xludf.DUMMYFUNCTION("""COMPUTED_VALUE"""),8918.0)</f>
        <v>8918</v>
      </c>
      <c r="H376" s="46">
        <f>IFERROR(__xludf.DUMMYFUNCTION("""COMPUTED_VALUE"""),5807490.78)</f>
        <v>5807490.78</v>
      </c>
      <c r="I376" s="46">
        <f>IFERROR(__xludf.DUMMYFUNCTION("""COMPUTED_VALUE"""),4681593.28)</f>
        <v>4681593.28</v>
      </c>
      <c r="J376" s="46">
        <f>IFERROR(__xludf.DUMMYFUNCTION("""COMPUTED_VALUE"""),1125897.5)</f>
        <v>1125897.5</v>
      </c>
      <c r="K376" s="46" t="str">
        <f t="array" ref="K376">TEXT(D376, "mmmm")</f>
        <v>May</v>
      </c>
      <c r="M376" s="46" t="str">
        <f>IFERROR(__xludf.DUMMYFUNCTION("""COMPUTED_VALUE"""),"Slovakia")</f>
        <v>Slovakia</v>
      </c>
      <c r="N376" s="94">
        <f>IFERROR(__xludf.DUMMYFUNCTION("""COMPUTED_VALUE"""),41061.0)</f>
        <v>41061</v>
      </c>
      <c r="O376" s="46">
        <f>IFERROR(__xludf.DUMMYFUNCTION("""COMPUTED_VALUE"""),1.0)</f>
        <v>1</v>
      </c>
      <c r="P376" s="46">
        <f>IFERROR(__xludf.DUMMYFUNCTION("""COMPUTED_VALUE"""),4233.0)</f>
        <v>4233</v>
      </c>
      <c r="Q376" s="46">
        <f>IFERROR(__xludf.DUMMYFUNCTION("""COMPUTED_VALUE"""),1850667.5999999999)</f>
        <v>1850667.6</v>
      </c>
      <c r="R376" s="46">
        <f>IFERROR(__xludf.DUMMYFUNCTION("""COMPUTED_VALUE"""),1114675.89)</f>
        <v>1114675.89</v>
      </c>
      <c r="S376" s="46">
        <f>IFERROR(__xludf.DUMMYFUNCTION("""COMPUTED_VALUE"""),735991.71)</f>
        <v>735991.71</v>
      </c>
    </row>
    <row r="377">
      <c r="A377" s="46" t="str">
        <f>IFERROR(__xludf.DUMMYFUNCTION("""COMPUTED_VALUE"""),"Office Supplies")</f>
        <v>Office Supplies</v>
      </c>
      <c r="B377" s="46" t="str">
        <f>IFERROR(__xludf.DUMMYFUNCTION("""COMPUTED_VALUE"""),"Undefined")</f>
        <v>Undefined</v>
      </c>
      <c r="C377" s="46" t="str">
        <f>IFERROR(__xludf.DUMMYFUNCTION("""COMPUTED_VALUE"""),"Undefined")</f>
        <v>Undefined</v>
      </c>
      <c r="D377" s="90">
        <f>IFERROR(__xludf.DUMMYFUNCTION("""COMPUTED_VALUE"""),42125.0)</f>
        <v>42125</v>
      </c>
      <c r="E377" s="46">
        <f>IFERROR(__xludf.DUMMYFUNCTION("""COMPUTED_VALUE"""),2015.0)</f>
        <v>2015</v>
      </c>
      <c r="F377" s="46">
        <f>IFERROR(__xludf.DUMMYFUNCTION("""COMPUTED_VALUE"""),1.0)</f>
        <v>1</v>
      </c>
      <c r="G377" s="46">
        <f>IFERROR(__xludf.DUMMYFUNCTION("""COMPUTED_VALUE"""),3965.0)</f>
        <v>3965</v>
      </c>
      <c r="H377" s="46">
        <f>IFERROR(__xludf.DUMMYFUNCTION("""COMPUTED_VALUE"""),2582047.6500000004)</f>
        <v>2582047.65</v>
      </c>
      <c r="I377" s="46">
        <f>IFERROR(__xludf.DUMMYFUNCTION("""COMPUTED_VALUE"""),2081466.4000000001)</f>
        <v>2081466.4</v>
      </c>
      <c r="J377" s="46">
        <f>IFERROR(__xludf.DUMMYFUNCTION("""COMPUTED_VALUE"""),500581.25000000023)</f>
        <v>500581.25</v>
      </c>
      <c r="K377" s="46" t="str">
        <f t="array" ref="K377">TEXT(D377, "mmmm")</f>
        <v>May</v>
      </c>
      <c r="M377" s="46" t="str">
        <f>IFERROR(__xludf.DUMMYFUNCTION("""COMPUTED_VALUE"""),"Sweden")</f>
        <v>Sweden</v>
      </c>
      <c r="N377" s="94">
        <f>IFERROR(__xludf.DUMMYFUNCTION("""COMPUTED_VALUE"""),41061.0)</f>
        <v>41061</v>
      </c>
      <c r="O377" s="46">
        <f>IFERROR(__xludf.DUMMYFUNCTION("""COMPUTED_VALUE"""),1.0)</f>
        <v>1</v>
      </c>
      <c r="P377" s="46">
        <f>IFERROR(__xludf.DUMMYFUNCTION("""COMPUTED_VALUE"""),1723.0)</f>
        <v>1723</v>
      </c>
      <c r="Q377" s="46">
        <f>IFERROR(__xludf.DUMMYFUNCTION("""COMPUTED_VALUE"""),753295.6)</f>
        <v>753295.6</v>
      </c>
      <c r="R377" s="46">
        <f>IFERROR(__xludf.DUMMYFUNCTION("""COMPUTED_VALUE"""),453717.58999999997)</f>
        <v>453717.59</v>
      </c>
      <c r="S377" s="46">
        <f>IFERROR(__xludf.DUMMYFUNCTION("""COMPUTED_VALUE"""),299578.01)</f>
        <v>299578.01</v>
      </c>
    </row>
    <row r="378">
      <c r="A378" s="46" t="str">
        <f>IFERROR(__xludf.DUMMYFUNCTION("""COMPUTED_VALUE"""),"Personal Care")</f>
        <v>Personal Care</v>
      </c>
      <c r="B378" s="46" t="str">
        <f>IFERROR(__xludf.DUMMYFUNCTION("""COMPUTED_VALUE"""),"Lithuania")</f>
        <v>Lithuania</v>
      </c>
      <c r="C378" s="46" t="str">
        <f>IFERROR(__xludf.DUMMYFUNCTION("""COMPUTED_VALUE"""),"Europe")</f>
        <v>Europe</v>
      </c>
      <c r="D378" s="90">
        <f>IFERROR(__xludf.DUMMYFUNCTION("""COMPUTED_VALUE"""),42125.0)</f>
        <v>42125</v>
      </c>
      <c r="E378" s="46">
        <f>IFERROR(__xludf.DUMMYFUNCTION("""COMPUTED_VALUE"""),2015.0)</f>
        <v>2015</v>
      </c>
      <c r="F378" s="46">
        <f>IFERROR(__xludf.DUMMYFUNCTION("""COMPUTED_VALUE"""),1.0)</f>
        <v>1</v>
      </c>
      <c r="G378" s="46">
        <f>IFERROR(__xludf.DUMMYFUNCTION("""COMPUTED_VALUE"""),3771.0)</f>
        <v>3771</v>
      </c>
      <c r="H378" s="46">
        <f>IFERROR(__xludf.DUMMYFUNCTION("""COMPUTED_VALUE"""),308203.83)</f>
        <v>308203.83</v>
      </c>
      <c r="I378" s="46">
        <f>IFERROR(__xludf.DUMMYFUNCTION("""COMPUTED_VALUE"""),213702.57)</f>
        <v>213702.57</v>
      </c>
      <c r="J378" s="46">
        <f>IFERROR(__xludf.DUMMYFUNCTION("""COMPUTED_VALUE"""),94501.26000000001)</f>
        <v>94501.26</v>
      </c>
      <c r="K378" s="46" t="str">
        <f t="array" ref="K378">TEXT(D378, "mmmm")</f>
        <v>May</v>
      </c>
      <c r="M378" s="46" t="str">
        <f>IFERROR(__xludf.DUMMYFUNCTION("""COMPUTED_VALUE"""),"Undefined")</f>
        <v>Undefined</v>
      </c>
      <c r="N378" s="94">
        <f>IFERROR(__xludf.DUMMYFUNCTION("""COMPUTED_VALUE"""),41061.0)</f>
        <v>41061</v>
      </c>
      <c r="O378" s="46">
        <f>IFERROR(__xludf.DUMMYFUNCTION("""COMPUTED_VALUE"""),4.0)</f>
        <v>4</v>
      </c>
      <c r="P378" s="46">
        <f>IFERROR(__xludf.DUMMYFUNCTION("""COMPUTED_VALUE"""),27223.0)</f>
        <v>27223</v>
      </c>
      <c r="Q378" s="46">
        <f>IFERROR(__xludf.DUMMYFUNCTION("""COMPUTED_VALUE"""),6357692.58)</f>
        <v>6357692.58</v>
      </c>
      <c r="R378" s="46">
        <f>IFERROR(__xludf.DUMMYFUNCTION("""COMPUTED_VALUE"""),4932981.96)</f>
        <v>4932981.96</v>
      </c>
      <c r="S378" s="46">
        <f>IFERROR(__xludf.DUMMYFUNCTION("""COMPUTED_VALUE"""),1424710.6199999996)</f>
        <v>1424710.62</v>
      </c>
    </row>
    <row r="379">
      <c r="A379" s="46" t="str">
        <f>IFERROR(__xludf.DUMMYFUNCTION("""COMPUTED_VALUE"""),"Snacks")</f>
        <v>Snacks</v>
      </c>
      <c r="B379" s="46" t="str">
        <f>IFERROR(__xludf.DUMMYFUNCTION("""COMPUTED_VALUE"""),"Malta")</f>
        <v>Malta</v>
      </c>
      <c r="C379" s="46" t="str">
        <f>IFERROR(__xludf.DUMMYFUNCTION("""COMPUTED_VALUE"""),"Europe")</f>
        <v>Europe</v>
      </c>
      <c r="D379" s="90">
        <f>IFERROR(__xludf.DUMMYFUNCTION("""COMPUTED_VALUE"""),42125.0)</f>
        <v>42125</v>
      </c>
      <c r="E379" s="46">
        <f>IFERROR(__xludf.DUMMYFUNCTION("""COMPUTED_VALUE"""),2015.0)</f>
        <v>2015</v>
      </c>
      <c r="F379" s="46">
        <f>IFERROR(__xludf.DUMMYFUNCTION("""COMPUTED_VALUE"""),1.0)</f>
        <v>1</v>
      </c>
      <c r="G379" s="46">
        <f>IFERROR(__xludf.DUMMYFUNCTION("""COMPUTED_VALUE"""),2311.0)</f>
        <v>2311</v>
      </c>
      <c r="H379" s="46">
        <f>IFERROR(__xludf.DUMMYFUNCTION("""COMPUTED_VALUE"""),352612.38)</f>
        <v>352612.38</v>
      </c>
      <c r="I379" s="46">
        <f>IFERROR(__xludf.DUMMYFUNCTION("""COMPUTED_VALUE"""),225183.84)</f>
        <v>225183.84</v>
      </c>
      <c r="J379" s="46">
        <f>IFERROR(__xludf.DUMMYFUNCTION("""COMPUTED_VALUE"""),127428.54000000001)</f>
        <v>127428.54</v>
      </c>
      <c r="K379" s="46" t="str">
        <f t="array" ref="K379">TEXT(D379, "mmmm")</f>
        <v>May</v>
      </c>
      <c r="M379" s="46" t="str">
        <f>IFERROR(__xludf.DUMMYFUNCTION("""COMPUTED_VALUE"""),"United Kingdom")</f>
        <v>United Kingdom</v>
      </c>
      <c r="N379" s="94">
        <f>IFERROR(__xludf.DUMMYFUNCTION("""COMPUTED_VALUE"""),41061.0)</f>
        <v>41061</v>
      </c>
      <c r="O379" s="46">
        <f>IFERROR(__xludf.DUMMYFUNCTION("""COMPUTED_VALUE"""),1.0)</f>
        <v>1</v>
      </c>
      <c r="P379" s="46">
        <f>IFERROR(__xludf.DUMMYFUNCTION("""COMPUTED_VALUE"""),2554.0)</f>
        <v>2554</v>
      </c>
      <c r="Q379" s="46">
        <f>IFERROR(__xludf.DUMMYFUNCTION("""COMPUTED_VALUE"""),208738.42)</f>
        <v>208738.42</v>
      </c>
      <c r="R379" s="46">
        <f>IFERROR(__xludf.DUMMYFUNCTION("""COMPUTED_VALUE"""),144735.18)</f>
        <v>144735.18</v>
      </c>
      <c r="S379" s="46">
        <f>IFERROR(__xludf.DUMMYFUNCTION("""COMPUTED_VALUE"""),64003.24000000002)</f>
        <v>64003.24</v>
      </c>
    </row>
    <row r="380">
      <c r="A380" s="46" t="str">
        <f>IFERROR(__xludf.DUMMYFUNCTION("""COMPUTED_VALUE"""),"Baby Food")</f>
        <v>Baby Food</v>
      </c>
      <c r="B380" s="46" t="str">
        <f>IFERROR(__xludf.DUMMYFUNCTION("""COMPUTED_VALUE"""),"Bosnia and Herzegovina")</f>
        <v>Bosnia and Herzegovina</v>
      </c>
      <c r="C380" s="46" t="str">
        <f>IFERROR(__xludf.DUMMYFUNCTION("""COMPUTED_VALUE"""),"Europe")</f>
        <v>Europe</v>
      </c>
      <c r="D380" s="90">
        <f>IFERROR(__xludf.DUMMYFUNCTION("""COMPUTED_VALUE"""),42095.0)</f>
        <v>42095</v>
      </c>
      <c r="E380" s="46">
        <f>IFERROR(__xludf.DUMMYFUNCTION("""COMPUTED_VALUE"""),2015.0)</f>
        <v>2015</v>
      </c>
      <c r="F380" s="46">
        <f>IFERROR(__xludf.DUMMYFUNCTION("""COMPUTED_VALUE"""),2.0)</f>
        <v>2</v>
      </c>
      <c r="G380" s="46">
        <f>IFERROR(__xludf.DUMMYFUNCTION("""COMPUTED_VALUE"""),7178.0)</f>
        <v>7178</v>
      </c>
      <c r="H380" s="46">
        <f>IFERROR(__xludf.DUMMYFUNCTION("""COMPUTED_VALUE"""),1832399.8399999999)</f>
        <v>1832399.84</v>
      </c>
      <c r="I380" s="46">
        <f>IFERROR(__xludf.DUMMYFUNCTION("""COMPUTED_VALUE"""),1144316.76)</f>
        <v>1144316.76</v>
      </c>
      <c r="J380" s="46">
        <f>IFERROR(__xludf.DUMMYFUNCTION("""COMPUTED_VALUE"""),688083.08)</f>
        <v>688083.08</v>
      </c>
      <c r="K380" s="46" t="str">
        <f t="array" ref="K380">TEXT(D380, "mmmm")</f>
        <v>April</v>
      </c>
      <c r="M380" s="46" t="str">
        <f>IFERROR(__xludf.DUMMYFUNCTION("""COMPUTED_VALUE"""),"Austria")</f>
        <v>Austria</v>
      </c>
      <c r="N380" s="94">
        <f>IFERROR(__xludf.DUMMYFUNCTION("""COMPUTED_VALUE"""),41091.0)</f>
        <v>41091</v>
      </c>
      <c r="O380" s="46">
        <f>IFERROR(__xludf.DUMMYFUNCTION("""COMPUTED_VALUE"""),1.0)</f>
        <v>1</v>
      </c>
      <c r="P380" s="46">
        <f>IFERROR(__xludf.DUMMYFUNCTION("""COMPUTED_VALUE"""),4487.0)</f>
        <v>4487</v>
      </c>
      <c r="Q380" s="46">
        <f>IFERROR(__xludf.DUMMYFUNCTION("""COMPUTED_VALUE"""),41863.71)</f>
        <v>41863.71</v>
      </c>
      <c r="R380" s="46">
        <f>IFERROR(__xludf.DUMMYFUNCTION("""COMPUTED_VALUE"""),31050.04)</f>
        <v>31050.04</v>
      </c>
      <c r="S380" s="46">
        <f>IFERROR(__xludf.DUMMYFUNCTION("""COMPUTED_VALUE"""),10813.669999999998)</f>
        <v>10813.67</v>
      </c>
    </row>
    <row r="381">
      <c r="A381" s="46" t="str">
        <f>IFERROR(__xludf.DUMMYFUNCTION("""COMPUTED_VALUE"""),"Baby Food")</f>
        <v>Baby Food</v>
      </c>
      <c r="B381" s="46" t="str">
        <f>IFERROR(__xludf.DUMMYFUNCTION("""COMPUTED_VALUE"""),"Ireland")</f>
        <v>Ireland</v>
      </c>
      <c r="C381" s="46" t="str">
        <f>IFERROR(__xludf.DUMMYFUNCTION("""COMPUTED_VALUE"""),"Europe")</f>
        <v>Europe</v>
      </c>
      <c r="D381" s="90">
        <f>IFERROR(__xludf.DUMMYFUNCTION("""COMPUTED_VALUE"""),42095.0)</f>
        <v>42095</v>
      </c>
      <c r="E381" s="46">
        <f>IFERROR(__xludf.DUMMYFUNCTION("""COMPUTED_VALUE"""),2015.0)</f>
        <v>2015</v>
      </c>
      <c r="F381" s="46">
        <f>IFERROR(__xludf.DUMMYFUNCTION("""COMPUTED_VALUE"""),1.0)</f>
        <v>1</v>
      </c>
      <c r="G381" s="46">
        <f>IFERROR(__xludf.DUMMYFUNCTION("""COMPUTED_VALUE"""),2144.0)</f>
        <v>2144</v>
      </c>
      <c r="H381" s="46">
        <f>IFERROR(__xludf.DUMMYFUNCTION("""COMPUTED_VALUE"""),547320.32)</f>
        <v>547320.32</v>
      </c>
      <c r="I381" s="46">
        <f>IFERROR(__xludf.DUMMYFUNCTION("""COMPUTED_VALUE"""),341796.48)</f>
        <v>341796.48</v>
      </c>
      <c r="J381" s="46">
        <f>IFERROR(__xludf.DUMMYFUNCTION("""COMPUTED_VALUE"""),205523.83999999997)</f>
        <v>205523.84</v>
      </c>
      <c r="K381" s="46" t="str">
        <f t="array" ref="K381">TEXT(D381, "mmmm")</f>
        <v>April</v>
      </c>
      <c r="M381" s="46" t="str">
        <f>IFERROR(__xludf.DUMMYFUNCTION("""COMPUTED_VALUE"""),"Belarus")</f>
        <v>Belarus</v>
      </c>
      <c r="N381" s="94">
        <f>IFERROR(__xludf.DUMMYFUNCTION("""COMPUTED_VALUE"""),41091.0)</f>
        <v>41091</v>
      </c>
      <c r="O381" s="46">
        <f>IFERROR(__xludf.DUMMYFUNCTION("""COMPUTED_VALUE"""),1.0)</f>
        <v>1</v>
      </c>
      <c r="P381" s="46">
        <f>IFERROR(__xludf.DUMMYFUNCTION("""COMPUTED_VALUE"""),5138.0)</f>
        <v>5138</v>
      </c>
      <c r="Q381" s="46">
        <f>IFERROR(__xludf.DUMMYFUNCTION("""COMPUTED_VALUE"""),243798.1)</f>
        <v>243798.1</v>
      </c>
      <c r="R381" s="46">
        <f>IFERROR(__xludf.DUMMYFUNCTION("""COMPUTED_VALUE"""),163337.02)</f>
        <v>163337.02</v>
      </c>
      <c r="S381" s="46">
        <f>IFERROR(__xludf.DUMMYFUNCTION("""COMPUTED_VALUE"""),80461.08000000002)</f>
        <v>80461.08</v>
      </c>
    </row>
    <row r="382">
      <c r="A382" s="46" t="str">
        <f>IFERROR(__xludf.DUMMYFUNCTION("""COMPUTED_VALUE"""),"Baby Food")</f>
        <v>Baby Food</v>
      </c>
      <c r="B382" s="46" t="str">
        <f>IFERROR(__xludf.DUMMYFUNCTION("""COMPUTED_VALUE"""),"Malta")</f>
        <v>Malta</v>
      </c>
      <c r="C382" s="46" t="str">
        <f>IFERROR(__xludf.DUMMYFUNCTION("""COMPUTED_VALUE"""),"Europe")</f>
        <v>Europe</v>
      </c>
      <c r="D382" s="90">
        <f>IFERROR(__xludf.DUMMYFUNCTION("""COMPUTED_VALUE"""),42095.0)</f>
        <v>42095</v>
      </c>
      <c r="E382" s="46">
        <f>IFERROR(__xludf.DUMMYFUNCTION("""COMPUTED_VALUE"""),2015.0)</f>
        <v>2015</v>
      </c>
      <c r="F382" s="46">
        <f>IFERROR(__xludf.DUMMYFUNCTION("""COMPUTED_VALUE"""),1.0)</f>
        <v>1</v>
      </c>
      <c r="G382" s="46">
        <f>IFERROR(__xludf.DUMMYFUNCTION("""COMPUTED_VALUE"""),3504.0)</f>
        <v>3504</v>
      </c>
      <c r="H382" s="46">
        <f>IFERROR(__xludf.DUMMYFUNCTION("""COMPUTED_VALUE"""),894501.12)</f>
        <v>894501.12</v>
      </c>
      <c r="I382" s="46">
        <f>IFERROR(__xludf.DUMMYFUNCTION("""COMPUTED_VALUE"""),558607.6799999999)</f>
        <v>558607.68</v>
      </c>
      <c r="J382" s="46">
        <f>IFERROR(__xludf.DUMMYFUNCTION("""COMPUTED_VALUE"""),335893.44000000006)</f>
        <v>335893.44</v>
      </c>
      <c r="K382" s="46" t="str">
        <f t="array" ref="K382">TEXT(D382, "mmmm")</f>
        <v>April</v>
      </c>
      <c r="M382" s="46" t="str">
        <f>IFERROR(__xludf.DUMMYFUNCTION("""COMPUTED_VALUE"""),"Bosnia and Herzegovina")</f>
        <v>Bosnia and Herzegovina</v>
      </c>
      <c r="N382" s="94">
        <f>IFERROR(__xludf.DUMMYFUNCTION("""COMPUTED_VALUE"""),41091.0)</f>
        <v>41091</v>
      </c>
      <c r="O382" s="46">
        <f>IFERROR(__xludf.DUMMYFUNCTION("""COMPUTED_VALUE"""),2.0)</f>
        <v>2</v>
      </c>
      <c r="P382" s="46">
        <f>IFERROR(__xludf.DUMMYFUNCTION("""COMPUTED_VALUE"""),6885.0)</f>
        <v>6885</v>
      </c>
      <c r="Q382" s="46">
        <f>IFERROR(__xludf.DUMMYFUNCTION("""COMPUTED_VALUE"""),3059274.33)</f>
        <v>3059274.33</v>
      </c>
      <c r="R382" s="46">
        <f>IFERROR(__xludf.DUMMYFUNCTION("""COMPUTED_VALUE"""),2618912.63)</f>
        <v>2618912.63</v>
      </c>
      <c r="S382" s="46">
        <f>IFERROR(__xludf.DUMMYFUNCTION("""COMPUTED_VALUE"""),440361.7000000002)</f>
        <v>440361.7</v>
      </c>
    </row>
    <row r="383">
      <c r="A383" s="46" t="str">
        <f>IFERROR(__xludf.DUMMYFUNCTION("""COMPUTED_VALUE"""),"Beverages")</f>
        <v>Beverages</v>
      </c>
      <c r="B383" s="46" t="str">
        <f>IFERROR(__xludf.DUMMYFUNCTION("""COMPUTED_VALUE"""),"Macedonia")</f>
        <v>Macedonia</v>
      </c>
      <c r="C383" s="46" t="str">
        <f>IFERROR(__xludf.DUMMYFUNCTION("""COMPUTED_VALUE"""),"Europe")</f>
        <v>Europe</v>
      </c>
      <c r="D383" s="90">
        <f>IFERROR(__xludf.DUMMYFUNCTION("""COMPUTED_VALUE"""),42095.0)</f>
        <v>42095</v>
      </c>
      <c r="E383" s="46">
        <f>IFERROR(__xludf.DUMMYFUNCTION("""COMPUTED_VALUE"""),2015.0)</f>
        <v>2015</v>
      </c>
      <c r="F383" s="46">
        <f>IFERROR(__xludf.DUMMYFUNCTION("""COMPUTED_VALUE"""),1.0)</f>
        <v>1</v>
      </c>
      <c r="G383" s="46">
        <f>IFERROR(__xludf.DUMMYFUNCTION("""COMPUTED_VALUE"""),8957.0)</f>
        <v>8957</v>
      </c>
      <c r="H383" s="46">
        <f>IFERROR(__xludf.DUMMYFUNCTION("""COMPUTED_VALUE"""),425009.65)</f>
        <v>425009.65</v>
      </c>
      <c r="I383" s="46">
        <f>IFERROR(__xludf.DUMMYFUNCTION("""COMPUTED_VALUE"""),284743.02999999997)</f>
        <v>284743.03</v>
      </c>
      <c r="J383" s="46">
        <f>IFERROR(__xludf.DUMMYFUNCTION("""COMPUTED_VALUE"""),140266.62000000005)</f>
        <v>140266.62</v>
      </c>
      <c r="K383" s="46" t="str">
        <f t="array" ref="K383">TEXT(D383, "mmmm")</f>
        <v>April</v>
      </c>
      <c r="M383" s="46" t="str">
        <f>IFERROR(__xludf.DUMMYFUNCTION("""COMPUTED_VALUE"""),"Denmark")</f>
        <v>Denmark</v>
      </c>
      <c r="N383" s="94">
        <f>IFERROR(__xludf.DUMMYFUNCTION("""COMPUTED_VALUE"""),41091.0)</f>
        <v>41091</v>
      </c>
      <c r="O383" s="46">
        <f>IFERROR(__xludf.DUMMYFUNCTION("""COMPUTED_VALUE"""),1.0)</f>
        <v>1</v>
      </c>
      <c r="P383" s="46">
        <f>IFERROR(__xludf.DUMMYFUNCTION("""COMPUTED_VALUE"""),4484.0)</f>
        <v>4484</v>
      </c>
      <c r="Q383" s="46">
        <f>IFERROR(__xludf.DUMMYFUNCTION("""COMPUTED_VALUE"""),1960404.8)</f>
        <v>1960404.8</v>
      </c>
      <c r="R383" s="46">
        <f>IFERROR(__xludf.DUMMYFUNCTION("""COMPUTED_VALUE"""),1180771.72)</f>
        <v>1180771.72</v>
      </c>
      <c r="S383" s="46">
        <f>IFERROR(__xludf.DUMMYFUNCTION("""COMPUTED_VALUE"""),779633.0800000001)</f>
        <v>779633.08</v>
      </c>
    </row>
    <row r="384">
      <c r="A384" s="46" t="str">
        <f>IFERROR(__xludf.DUMMYFUNCTION("""COMPUTED_VALUE"""),"Clothes")</f>
        <v>Clothes</v>
      </c>
      <c r="B384" s="46" t="str">
        <f>IFERROR(__xludf.DUMMYFUNCTION("""COMPUTED_VALUE"""),"Macedonia")</f>
        <v>Macedonia</v>
      </c>
      <c r="C384" s="46" t="str">
        <f>IFERROR(__xludf.DUMMYFUNCTION("""COMPUTED_VALUE"""),"Europe")</f>
        <v>Europe</v>
      </c>
      <c r="D384" s="90">
        <f>IFERROR(__xludf.DUMMYFUNCTION("""COMPUTED_VALUE"""),42095.0)</f>
        <v>42095</v>
      </c>
      <c r="E384" s="46">
        <f>IFERROR(__xludf.DUMMYFUNCTION("""COMPUTED_VALUE"""),2015.0)</f>
        <v>2015</v>
      </c>
      <c r="F384" s="46">
        <f>IFERROR(__xludf.DUMMYFUNCTION("""COMPUTED_VALUE"""),1.0)</f>
        <v>1</v>
      </c>
      <c r="G384" s="46">
        <f>IFERROR(__xludf.DUMMYFUNCTION("""COMPUTED_VALUE"""),5386.0)</f>
        <v>5386</v>
      </c>
      <c r="H384" s="46">
        <f>IFERROR(__xludf.DUMMYFUNCTION("""COMPUTED_VALUE"""),588582.08)</f>
        <v>588582.08</v>
      </c>
      <c r="I384" s="46">
        <f>IFERROR(__xludf.DUMMYFUNCTION("""COMPUTED_VALUE"""),193034.24000000002)</f>
        <v>193034.24</v>
      </c>
      <c r="J384" s="46">
        <f>IFERROR(__xludf.DUMMYFUNCTION("""COMPUTED_VALUE"""),395547.83999999997)</f>
        <v>395547.84</v>
      </c>
      <c r="K384" s="46" t="str">
        <f t="array" ref="K384">TEXT(D384, "mmmm")</f>
        <v>April</v>
      </c>
      <c r="M384" s="46" t="str">
        <f>IFERROR(__xludf.DUMMYFUNCTION("""COMPUTED_VALUE"""),"Georgia")</f>
        <v>Georgia</v>
      </c>
      <c r="N384" s="94">
        <f>IFERROR(__xludf.DUMMYFUNCTION("""COMPUTED_VALUE"""),41091.0)</f>
        <v>41091</v>
      </c>
      <c r="O384" s="46">
        <f>IFERROR(__xludf.DUMMYFUNCTION("""COMPUTED_VALUE"""),1.0)</f>
        <v>1</v>
      </c>
      <c r="P384" s="46">
        <f>IFERROR(__xludf.DUMMYFUNCTION("""COMPUTED_VALUE"""),4302.0)</f>
        <v>4302</v>
      </c>
      <c r="Q384" s="46">
        <f>IFERROR(__xludf.DUMMYFUNCTION("""COMPUTED_VALUE"""),470122.56)</f>
        <v>470122.56</v>
      </c>
      <c r="R384" s="46">
        <f>IFERROR(__xludf.DUMMYFUNCTION("""COMPUTED_VALUE"""),154183.68000000002)</f>
        <v>154183.68</v>
      </c>
      <c r="S384" s="46">
        <f>IFERROR(__xludf.DUMMYFUNCTION("""COMPUTED_VALUE"""),315938.88)</f>
        <v>315938.88</v>
      </c>
    </row>
    <row r="385">
      <c r="A385" s="46" t="str">
        <f>IFERROR(__xludf.DUMMYFUNCTION("""COMPUTED_VALUE"""),"Cosmetics")</f>
        <v>Cosmetics</v>
      </c>
      <c r="B385" s="46" t="str">
        <f>IFERROR(__xludf.DUMMYFUNCTION("""COMPUTED_VALUE"""),"Switzerland")</f>
        <v>Switzerland</v>
      </c>
      <c r="C385" s="46" t="str">
        <f>IFERROR(__xludf.DUMMYFUNCTION("""COMPUTED_VALUE"""),"Europe")</f>
        <v>Europe</v>
      </c>
      <c r="D385" s="90">
        <f>IFERROR(__xludf.DUMMYFUNCTION("""COMPUTED_VALUE"""),42095.0)</f>
        <v>42095</v>
      </c>
      <c r="E385" s="46">
        <f>IFERROR(__xludf.DUMMYFUNCTION("""COMPUTED_VALUE"""),2015.0)</f>
        <v>2015</v>
      </c>
      <c r="F385" s="46">
        <f>IFERROR(__xludf.DUMMYFUNCTION("""COMPUTED_VALUE"""),1.0)</f>
        <v>1</v>
      </c>
      <c r="G385" s="46">
        <f>IFERROR(__xludf.DUMMYFUNCTION("""COMPUTED_VALUE"""),905.0)</f>
        <v>905</v>
      </c>
      <c r="H385" s="46">
        <f>IFERROR(__xludf.DUMMYFUNCTION("""COMPUTED_VALUE"""),395666.0)</f>
        <v>395666</v>
      </c>
      <c r="I385" s="46">
        <f>IFERROR(__xludf.DUMMYFUNCTION("""COMPUTED_VALUE"""),238313.65)</f>
        <v>238313.65</v>
      </c>
      <c r="J385" s="46">
        <f>IFERROR(__xludf.DUMMYFUNCTION("""COMPUTED_VALUE"""),157352.35)</f>
        <v>157352.35</v>
      </c>
      <c r="K385" s="46" t="str">
        <f t="array" ref="K385">TEXT(D385, "mmmm")</f>
        <v>April</v>
      </c>
      <c r="M385" s="46" t="str">
        <f>IFERROR(__xludf.DUMMYFUNCTION("""COMPUTED_VALUE"""),"Liechtenstein")</f>
        <v>Liechtenstein</v>
      </c>
      <c r="N385" s="94">
        <f>IFERROR(__xludf.DUMMYFUNCTION("""COMPUTED_VALUE"""),41091.0)</f>
        <v>41091</v>
      </c>
      <c r="O385" s="46">
        <f>IFERROR(__xludf.DUMMYFUNCTION("""COMPUTED_VALUE"""),1.0)</f>
        <v>1</v>
      </c>
      <c r="P385" s="46">
        <f>IFERROR(__xludf.DUMMYFUNCTION("""COMPUTED_VALUE"""),138.0)</f>
        <v>138</v>
      </c>
      <c r="Q385" s="46">
        <f>IFERROR(__xludf.DUMMYFUNCTION("""COMPUTED_VALUE"""),60333.6)</f>
        <v>60333.6</v>
      </c>
      <c r="R385" s="46">
        <f>IFERROR(__xludf.DUMMYFUNCTION("""COMPUTED_VALUE"""),36339.54)</f>
        <v>36339.54</v>
      </c>
      <c r="S385" s="46">
        <f>IFERROR(__xludf.DUMMYFUNCTION("""COMPUTED_VALUE"""),23994.059999999998)</f>
        <v>23994.06</v>
      </c>
    </row>
    <row r="386">
      <c r="A386" s="46" t="str">
        <f>IFERROR(__xludf.DUMMYFUNCTION("""COMPUTED_VALUE"""),"Household")</f>
        <v>Household</v>
      </c>
      <c r="B386" s="46" t="str">
        <f>IFERROR(__xludf.DUMMYFUNCTION("""COMPUTED_VALUE"""),"Belgium")</f>
        <v>Belgium</v>
      </c>
      <c r="C386" s="46" t="str">
        <f>IFERROR(__xludf.DUMMYFUNCTION("""COMPUTED_VALUE"""),"Europe")</f>
        <v>Europe</v>
      </c>
      <c r="D386" s="90">
        <f>IFERROR(__xludf.DUMMYFUNCTION("""COMPUTED_VALUE"""),42095.0)</f>
        <v>42095</v>
      </c>
      <c r="E386" s="46">
        <f>IFERROR(__xludf.DUMMYFUNCTION("""COMPUTED_VALUE"""),2015.0)</f>
        <v>2015</v>
      </c>
      <c r="F386" s="46">
        <f>IFERROR(__xludf.DUMMYFUNCTION("""COMPUTED_VALUE"""),1.0)</f>
        <v>1</v>
      </c>
      <c r="G386" s="46">
        <f>IFERROR(__xludf.DUMMYFUNCTION("""COMPUTED_VALUE"""),206.0)</f>
        <v>206</v>
      </c>
      <c r="H386" s="46">
        <f>IFERROR(__xludf.DUMMYFUNCTION("""COMPUTED_VALUE"""),137663.62)</f>
        <v>137663.62</v>
      </c>
      <c r="I386" s="46">
        <f>IFERROR(__xludf.DUMMYFUNCTION("""COMPUTED_VALUE"""),103523.24)</f>
        <v>103523.24</v>
      </c>
      <c r="J386" s="46">
        <f>IFERROR(__xludf.DUMMYFUNCTION("""COMPUTED_VALUE"""),34140.37999999999)</f>
        <v>34140.38</v>
      </c>
      <c r="K386" s="46" t="str">
        <f t="array" ref="K386">TEXT(D386, "mmmm")</f>
        <v>April</v>
      </c>
      <c r="M386" s="46" t="str">
        <f>IFERROR(__xludf.DUMMYFUNCTION("""COMPUTED_VALUE"""),"Lithuania")</f>
        <v>Lithuania</v>
      </c>
      <c r="N386" s="94">
        <f>IFERROR(__xludf.DUMMYFUNCTION("""COMPUTED_VALUE"""),41091.0)</f>
        <v>41091</v>
      </c>
      <c r="O386" s="46">
        <f>IFERROR(__xludf.DUMMYFUNCTION("""COMPUTED_VALUE"""),1.0)</f>
        <v>1</v>
      </c>
      <c r="P386" s="46">
        <f>IFERROR(__xludf.DUMMYFUNCTION("""COMPUTED_VALUE"""),1150.0)</f>
        <v>1150</v>
      </c>
      <c r="Q386" s="46">
        <f>IFERROR(__xludf.DUMMYFUNCTION("""COMPUTED_VALUE"""),748891.5)</f>
        <v>748891.5</v>
      </c>
      <c r="R386" s="46">
        <f>IFERROR(__xludf.DUMMYFUNCTION("""COMPUTED_VALUE"""),603704.0)</f>
        <v>603704</v>
      </c>
      <c r="S386" s="46">
        <f>IFERROR(__xludf.DUMMYFUNCTION("""COMPUTED_VALUE"""),145187.5)</f>
        <v>145187.5</v>
      </c>
    </row>
    <row r="387">
      <c r="A387" s="46" t="str">
        <f>IFERROR(__xludf.DUMMYFUNCTION("""COMPUTED_VALUE"""),"Office Supplies")</f>
        <v>Office Supplies</v>
      </c>
      <c r="B387" s="46" t="str">
        <f>IFERROR(__xludf.DUMMYFUNCTION("""COMPUTED_VALUE"""),"Austria")</f>
        <v>Austria</v>
      </c>
      <c r="C387" s="46" t="str">
        <f>IFERROR(__xludf.DUMMYFUNCTION("""COMPUTED_VALUE"""),"Europe")</f>
        <v>Europe</v>
      </c>
      <c r="D387" s="90">
        <f>IFERROR(__xludf.DUMMYFUNCTION("""COMPUTED_VALUE"""),42095.0)</f>
        <v>42095</v>
      </c>
      <c r="E387" s="46">
        <f>IFERROR(__xludf.DUMMYFUNCTION("""COMPUTED_VALUE"""),2015.0)</f>
        <v>2015</v>
      </c>
      <c r="F387" s="46">
        <f>IFERROR(__xludf.DUMMYFUNCTION("""COMPUTED_VALUE"""),1.0)</f>
        <v>1</v>
      </c>
      <c r="G387" s="46">
        <f>IFERROR(__xludf.DUMMYFUNCTION("""COMPUTED_VALUE"""),7516.0)</f>
        <v>7516</v>
      </c>
      <c r="H387" s="46">
        <f>IFERROR(__xludf.DUMMYFUNCTION("""COMPUTED_VALUE"""),4894494.36)</f>
        <v>4894494.36</v>
      </c>
      <c r="I387" s="46">
        <f>IFERROR(__xludf.DUMMYFUNCTION("""COMPUTED_VALUE"""),3945599.3600000003)</f>
        <v>3945599.36</v>
      </c>
      <c r="J387" s="46">
        <f>IFERROR(__xludf.DUMMYFUNCTION("""COMPUTED_VALUE"""),948895.0)</f>
        <v>948895</v>
      </c>
      <c r="K387" s="46" t="str">
        <f t="array" ref="K387">TEXT(D387, "mmmm")</f>
        <v>April</v>
      </c>
      <c r="M387" s="46" t="str">
        <f>IFERROR(__xludf.DUMMYFUNCTION("""COMPUTED_VALUE"""),"Macedonia")</f>
        <v>Macedonia</v>
      </c>
      <c r="N387" s="94">
        <f>IFERROR(__xludf.DUMMYFUNCTION("""COMPUTED_VALUE"""),41091.0)</f>
        <v>41091</v>
      </c>
      <c r="O387" s="46">
        <f>IFERROR(__xludf.DUMMYFUNCTION("""COMPUTED_VALUE"""),1.0)</f>
        <v>1</v>
      </c>
      <c r="P387" s="46">
        <f>IFERROR(__xludf.DUMMYFUNCTION("""COMPUTED_VALUE"""),9353.0)</f>
        <v>9353</v>
      </c>
      <c r="Q387" s="46">
        <f>IFERROR(__xludf.DUMMYFUNCTION("""COMPUTED_VALUE"""),443799.85000000003)</f>
        <v>443799.85</v>
      </c>
      <c r="R387" s="46">
        <f>IFERROR(__xludf.DUMMYFUNCTION("""COMPUTED_VALUE"""),297331.87)</f>
        <v>297331.87</v>
      </c>
      <c r="S387" s="46">
        <f>IFERROR(__xludf.DUMMYFUNCTION("""COMPUTED_VALUE"""),146467.98000000004)</f>
        <v>146467.98</v>
      </c>
    </row>
    <row r="388">
      <c r="A388" s="46" t="str">
        <f>IFERROR(__xludf.DUMMYFUNCTION("""COMPUTED_VALUE"""),"Office Supplies")</f>
        <v>Office Supplies</v>
      </c>
      <c r="B388" s="46" t="str">
        <f>IFERROR(__xludf.DUMMYFUNCTION("""COMPUTED_VALUE"""),"Undefined")</f>
        <v>Undefined</v>
      </c>
      <c r="C388" s="46" t="str">
        <f>IFERROR(__xludf.DUMMYFUNCTION("""COMPUTED_VALUE"""),"Undefined")</f>
        <v>Undefined</v>
      </c>
      <c r="D388" s="90">
        <f>IFERROR(__xludf.DUMMYFUNCTION("""COMPUTED_VALUE"""),42095.0)</f>
        <v>42095</v>
      </c>
      <c r="E388" s="46">
        <f>IFERROR(__xludf.DUMMYFUNCTION("""COMPUTED_VALUE"""),2015.0)</f>
        <v>2015</v>
      </c>
      <c r="F388" s="46">
        <f>IFERROR(__xludf.DUMMYFUNCTION("""COMPUTED_VALUE"""),1.0)</f>
        <v>1</v>
      </c>
      <c r="G388" s="46">
        <f>IFERROR(__xludf.DUMMYFUNCTION("""COMPUTED_VALUE"""),2815.0)</f>
        <v>2815</v>
      </c>
      <c r="H388" s="46">
        <f>IFERROR(__xludf.DUMMYFUNCTION("""COMPUTED_VALUE"""),1833156.1500000001)</f>
        <v>1833156.15</v>
      </c>
      <c r="I388" s="46">
        <f>IFERROR(__xludf.DUMMYFUNCTION("""COMPUTED_VALUE"""),1477762.4000000001)</f>
        <v>1477762.4</v>
      </c>
      <c r="J388" s="46">
        <f>IFERROR(__xludf.DUMMYFUNCTION("""COMPUTED_VALUE"""),355393.75)</f>
        <v>355393.75</v>
      </c>
      <c r="K388" s="46" t="str">
        <f t="array" ref="K388">TEXT(D388, "mmmm")</f>
        <v>April</v>
      </c>
      <c r="M388" s="46" t="str">
        <f>IFERROR(__xludf.DUMMYFUNCTION("""COMPUTED_VALUE"""),"Norway")</f>
        <v>Norway</v>
      </c>
      <c r="N388" s="94">
        <f>IFERROR(__xludf.DUMMYFUNCTION("""COMPUTED_VALUE"""),41091.0)</f>
        <v>41091</v>
      </c>
      <c r="O388" s="46">
        <f>IFERROR(__xludf.DUMMYFUNCTION("""COMPUTED_VALUE"""),1.0)</f>
        <v>1</v>
      </c>
      <c r="P388" s="46">
        <f>IFERROR(__xludf.DUMMYFUNCTION("""COMPUTED_VALUE"""),4344.0)</f>
        <v>4344</v>
      </c>
      <c r="Q388" s="46">
        <f>IFERROR(__xludf.DUMMYFUNCTION("""COMPUTED_VALUE"""),669236.64)</f>
        <v>669236.64</v>
      </c>
      <c r="R388" s="46">
        <f>IFERROR(__xludf.DUMMYFUNCTION("""COMPUTED_VALUE"""),394999.92000000004)</f>
        <v>394999.92</v>
      </c>
      <c r="S388" s="46">
        <f>IFERROR(__xludf.DUMMYFUNCTION("""COMPUTED_VALUE"""),274236.72)</f>
        <v>274236.72</v>
      </c>
    </row>
    <row r="389">
      <c r="A389" s="46" t="str">
        <f>IFERROR(__xludf.DUMMYFUNCTION("""COMPUTED_VALUE"""),"Personal Care")</f>
        <v>Personal Care</v>
      </c>
      <c r="B389" s="46" t="str">
        <f>IFERROR(__xludf.DUMMYFUNCTION("""COMPUTED_VALUE"""),"Russia")</f>
        <v>Russia</v>
      </c>
      <c r="C389" s="46" t="str">
        <f>IFERROR(__xludf.DUMMYFUNCTION("""COMPUTED_VALUE"""),"Europe")</f>
        <v>Europe</v>
      </c>
      <c r="D389" s="90">
        <f>IFERROR(__xludf.DUMMYFUNCTION("""COMPUTED_VALUE"""),42095.0)</f>
        <v>42095</v>
      </c>
      <c r="E389" s="46">
        <f>IFERROR(__xludf.DUMMYFUNCTION("""COMPUTED_VALUE"""),2015.0)</f>
        <v>2015</v>
      </c>
      <c r="F389" s="46">
        <f>IFERROR(__xludf.DUMMYFUNCTION("""COMPUTED_VALUE"""),1.0)</f>
        <v>1</v>
      </c>
      <c r="G389" s="46">
        <f>IFERROR(__xludf.DUMMYFUNCTION("""COMPUTED_VALUE"""),9689.0)</f>
        <v>9689</v>
      </c>
      <c r="H389" s="46">
        <f>IFERROR(__xludf.DUMMYFUNCTION("""COMPUTED_VALUE"""),791881.9700000001)</f>
        <v>791881.97</v>
      </c>
      <c r="I389" s="46">
        <f>IFERROR(__xludf.DUMMYFUNCTION("""COMPUTED_VALUE"""),549075.63)</f>
        <v>549075.63</v>
      </c>
      <c r="J389" s="46">
        <f>IFERROR(__xludf.DUMMYFUNCTION("""COMPUTED_VALUE"""),242806.34000000008)</f>
        <v>242806.34</v>
      </c>
      <c r="K389" s="46" t="str">
        <f t="array" ref="K389">TEXT(D389, "mmmm")</f>
        <v>April</v>
      </c>
      <c r="M389" s="46" t="str">
        <f>IFERROR(__xludf.DUMMYFUNCTION("""COMPUTED_VALUE"""),"Russia")</f>
        <v>Russia</v>
      </c>
      <c r="N389" s="94">
        <f>IFERROR(__xludf.DUMMYFUNCTION("""COMPUTED_VALUE"""),41091.0)</f>
        <v>41091</v>
      </c>
      <c r="O389" s="46">
        <f>IFERROR(__xludf.DUMMYFUNCTION("""COMPUTED_VALUE"""),1.0)</f>
        <v>1</v>
      </c>
      <c r="P389" s="46">
        <f>IFERROR(__xludf.DUMMYFUNCTION("""COMPUTED_VALUE"""),5598.0)</f>
        <v>5598</v>
      </c>
      <c r="Q389" s="46">
        <f>IFERROR(__xludf.DUMMYFUNCTION("""COMPUTED_VALUE"""),854142.8400000001)</f>
        <v>854142.84</v>
      </c>
      <c r="R389" s="46">
        <f>IFERROR(__xludf.DUMMYFUNCTION("""COMPUTED_VALUE"""),545469.12)</f>
        <v>545469.12</v>
      </c>
      <c r="S389" s="46">
        <f>IFERROR(__xludf.DUMMYFUNCTION("""COMPUTED_VALUE"""),308673.7200000001)</f>
        <v>308673.72</v>
      </c>
    </row>
    <row r="390">
      <c r="A390" s="46" t="str">
        <f>IFERROR(__xludf.DUMMYFUNCTION("""COMPUTED_VALUE"""),"Beverages")</f>
        <v>Beverages</v>
      </c>
      <c r="B390" s="46" t="str">
        <f>IFERROR(__xludf.DUMMYFUNCTION("""COMPUTED_VALUE"""),"Andorra")</f>
        <v>Andorra</v>
      </c>
      <c r="C390" s="46" t="str">
        <f>IFERROR(__xludf.DUMMYFUNCTION("""COMPUTED_VALUE"""),"Europe")</f>
        <v>Europe</v>
      </c>
      <c r="D390" s="90">
        <f>IFERROR(__xludf.DUMMYFUNCTION("""COMPUTED_VALUE"""),42064.0)</f>
        <v>42064</v>
      </c>
      <c r="E390" s="46">
        <f>IFERROR(__xludf.DUMMYFUNCTION("""COMPUTED_VALUE"""),2015.0)</f>
        <v>2015</v>
      </c>
      <c r="F390" s="46">
        <f>IFERROR(__xludf.DUMMYFUNCTION("""COMPUTED_VALUE"""),1.0)</f>
        <v>1</v>
      </c>
      <c r="G390" s="46">
        <f>IFERROR(__xludf.DUMMYFUNCTION("""COMPUTED_VALUE"""),1545.0)</f>
        <v>1545</v>
      </c>
      <c r="H390" s="46">
        <f>IFERROR(__xludf.DUMMYFUNCTION("""COMPUTED_VALUE"""),73310.25)</f>
        <v>73310.25</v>
      </c>
      <c r="I390" s="46">
        <f>IFERROR(__xludf.DUMMYFUNCTION("""COMPUTED_VALUE"""),49115.549999999996)</f>
        <v>49115.55</v>
      </c>
      <c r="J390" s="46">
        <f>IFERROR(__xludf.DUMMYFUNCTION("""COMPUTED_VALUE"""),24194.700000000004)</f>
        <v>24194.7</v>
      </c>
      <c r="K390" s="46" t="str">
        <f t="array" ref="K390">TEXT(D390, "mmmm")</f>
        <v>March</v>
      </c>
      <c r="M390" s="46" t="str">
        <f>IFERROR(__xludf.DUMMYFUNCTION("""COMPUTED_VALUE"""),"San Marino")</f>
        <v>San Marino</v>
      </c>
      <c r="N390" s="94">
        <f>IFERROR(__xludf.DUMMYFUNCTION("""COMPUTED_VALUE"""),41091.0)</f>
        <v>41091</v>
      </c>
      <c r="O390" s="46">
        <f>IFERROR(__xludf.DUMMYFUNCTION("""COMPUTED_VALUE"""),1.0)</f>
        <v>1</v>
      </c>
      <c r="P390" s="46">
        <f>IFERROR(__xludf.DUMMYFUNCTION("""COMPUTED_VALUE"""),3981.0)</f>
        <v>3981</v>
      </c>
      <c r="Q390" s="46">
        <f>IFERROR(__xludf.DUMMYFUNCTION("""COMPUTED_VALUE"""),818891.7)</f>
        <v>818891.7</v>
      </c>
      <c r="R390" s="46">
        <f>IFERROR(__xludf.DUMMYFUNCTION("""COMPUTED_VALUE"""),466214.91)</f>
        <v>466214.91</v>
      </c>
      <c r="S390" s="46">
        <f>IFERROR(__xludf.DUMMYFUNCTION("""COMPUTED_VALUE"""),352676.79)</f>
        <v>352676.79</v>
      </c>
    </row>
    <row r="391">
      <c r="A391" s="46" t="str">
        <f>IFERROR(__xludf.DUMMYFUNCTION("""COMPUTED_VALUE"""),"Beverages")</f>
        <v>Beverages</v>
      </c>
      <c r="B391" s="46" t="str">
        <f>IFERROR(__xludf.DUMMYFUNCTION("""COMPUTED_VALUE"""),"Ukraine")</f>
        <v>Ukraine</v>
      </c>
      <c r="C391" s="46" t="str">
        <f>IFERROR(__xludf.DUMMYFUNCTION("""COMPUTED_VALUE"""),"Europe")</f>
        <v>Europe</v>
      </c>
      <c r="D391" s="90">
        <f>IFERROR(__xludf.DUMMYFUNCTION("""COMPUTED_VALUE"""),42064.0)</f>
        <v>42064</v>
      </c>
      <c r="E391" s="46">
        <f>IFERROR(__xludf.DUMMYFUNCTION("""COMPUTED_VALUE"""),2015.0)</f>
        <v>2015</v>
      </c>
      <c r="F391" s="46">
        <f>IFERROR(__xludf.DUMMYFUNCTION("""COMPUTED_VALUE"""),2.0)</f>
        <v>2</v>
      </c>
      <c r="G391" s="46">
        <f>IFERROR(__xludf.DUMMYFUNCTION("""COMPUTED_VALUE"""),7768.0)</f>
        <v>7768</v>
      </c>
      <c r="H391" s="46">
        <f>IFERROR(__xludf.DUMMYFUNCTION("""COMPUTED_VALUE"""),368591.60000000003)</f>
        <v>368591.6</v>
      </c>
      <c r="I391" s="46">
        <f>IFERROR(__xludf.DUMMYFUNCTION("""COMPUTED_VALUE"""),246944.72)</f>
        <v>246944.72</v>
      </c>
      <c r="J391" s="46">
        <f>IFERROR(__xludf.DUMMYFUNCTION("""COMPUTED_VALUE"""),121646.88000000003)</f>
        <v>121646.88</v>
      </c>
      <c r="K391" s="46" t="str">
        <f t="array" ref="K391">TEXT(D391, "mmmm")</f>
        <v>March</v>
      </c>
      <c r="M391" s="46" t="str">
        <f>IFERROR(__xludf.DUMMYFUNCTION("""COMPUTED_VALUE"""),"Slovenia")</f>
        <v>Slovenia</v>
      </c>
      <c r="N391" s="94">
        <f>IFERROR(__xludf.DUMMYFUNCTION("""COMPUTED_VALUE"""),41091.0)</f>
        <v>41091</v>
      </c>
      <c r="O391" s="46">
        <f>IFERROR(__xludf.DUMMYFUNCTION("""COMPUTED_VALUE"""),1.0)</f>
        <v>1</v>
      </c>
      <c r="P391" s="46">
        <f>IFERROR(__xludf.DUMMYFUNCTION("""COMPUTED_VALUE"""),9264.0)</f>
        <v>9264</v>
      </c>
      <c r="Q391" s="46">
        <f>IFERROR(__xludf.DUMMYFUNCTION("""COMPUTED_VALUE"""),1905604.7999999998)</f>
        <v>1905604.8</v>
      </c>
      <c r="R391" s="46">
        <f>IFERROR(__xludf.DUMMYFUNCTION("""COMPUTED_VALUE"""),1084907.04)</f>
        <v>1084907.04</v>
      </c>
      <c r="S391" s="46">
        <f>IFERROR(__xludf.DUMMYFUNCTION("""COMPUTED_VALUE"""),820697.7599999998)</f>
        <v>820697.76</v>
      </c>
    </row>
    <row r="392">
      <c r="A392" s="46" t="str">
        <f>IFERROR(__xludf.DUMMYFUNCTION("""COMPUTED_VALUE"""),"Cereal")</f>
        <v>Cereal</v>
      </c>
      <c r="B392" s="46" t="str">
        <f>IFERROR(__xludf.DUMMYFUNCTION("""COMPUTED_VALUE"""),"Andorra")</f>
        <v>Andorra</v>
      </c>
      <c r="C392" s="46" t="str">
        <f>IFERROR(__xludf.DUMMYFUNCTION("""COMPUTED_VALUE"""),"Europe")</f>
        <v>Europe</v>
      </c>
      <c r="D392" s="90">
        <f>IFERROR(__xludf.DUMMYFUNCTION("""COMPUTED_VALUE"""),42064.0)</f>
        <v>42064</v>
      </c>
      <c r="E392" s="46">
        <f>IFERROR(__xludf.DUMMYFUNCTION("""COMPUTED_VALUE"""),2015.0)</f>
        <v>2015</v>
      </c>
      <c r="F392" s="46">
        <f>IFERROR(__xludf.DUMMYFUNCTION("""COMPUTED_VALUE"""),1.0)</f>
        <v>1</v>
      </c>
      <c r="G392" s="46">
        <f>IFERROR(__xludf.DUMMYFUNCTION("""COMPUTED_VALUE"""),5116.0)</f>
        <v>5116</v>
      </c>
      <c r="H392" s="46">
        <f>IFERROR(__xludf.DUMMYFUNCTION("""COMPUTED_VALUE"""),1052361.2)</f>
        <v>1052361.2</v>
      </c>
      <c r="I392" s="46">
        <f>IFERROR(__xludf.DUMMYFUNCTION("""COMPUTED_VALUE"""),599134.76)</f>
        <v>599134.76</v>
      </c>
      <c r="J392" s="46">
        <f>IFERROR(__xludf.DUMMYFUNCTION("""COMPUTED_VALUE"""),453226.43999999994)</f>
        <v>453226.44</v>
      </c>
      <c r="K392" s="46" t="str">
        <f t="array" ref="K392">TEXT(D392, "mmmm")</f>
        <v>March</v>
      </c>
      <c r="M392" s="46" t="str">
        <f>IFERROR(__xludf.DUMMYFUNCTION("""COMPUTED_VALUE"""),"United Kingdom")</f>
        <v>United Kingdom</v>
      </c>
      <c r="N392" s="94">
        <f>IFERROR(__xludf.DUMMYFUNCTION("""COMPUTED_VALUE"""),41091.0)</f>
        <v>41091</v>
      </c>
      <c r="O392" s="46">
        <f>IFERROR(__xludf.DUMMYFUNCTION("""COMPUTED_VALUE"""),1.0)</f>
        <v>1</v>
      </c>
      <c r="P392" s="46">
        <f>IFERROR(__xludf.DUMMYFUNCTION("""COMPUTED_VALUE"""),8152.0)</f>
        <v>8152</v>
      </c>
      <c r="Q392" s="46">
        <f>IFERROR(__xludf.DUMMYFUNCTION("""COMPUTED_VALUE"""),2081042.56)</f>
        <v>2081042.56</v>
      </c>
      <c r="R392" s="46">
        <f>IFERROR(__xludf.DUMMYFUNCTION("""COMPUTED_VALUE"""),1299591.8399999999)</f>
        <v>1299591.84</v>
      </c>
      <c r="S392" s="46">
        <f>IFERROR(__xludf.DUMMYFUNCTION("""COMPUTED_VALUE"""),781450.7200000002)</f>
        <v>781450.72</v>
      </c>
    </row>
    <row r="393">
      <c r="A393" s="46" t="str">
        <f>IFERROR(__xludf.DUMMYFUNCTION("""COMPUTED_VALUE"""),"Clothes")</f>
        <v>Clothes</v>
      </c>
      <c r="B393" s="46" t="str">
        <f>IFERROR(__xludf.DUMMYFUNCTION("""COMPUTED_VALUE"""),"Albania")</f>
        <v>Albania</v>
      </c>
      <c r="C393" s="46" t="str">
        <f>IFERROR(__xludf.DUMMYFUNCTION("""COMPUTED_VALUE"""),"Europe")</f>
        <v>Europe</v>
      </c>
      <c r="D393" s="90">
        <f>IFERROR(__xludf.DUMMYFUNCTION("""COMPUTED_VALUE"""),42064.0)</f>
        <v>42064</v>
      </c>
      <c r="E393" s="46">
        <f>IFERROR(__xludf.DUMMYFUNCTION("""COMPUTED_VALUE"""),2015.0)</f>
        <v>2015</v>
      </c>
      <c r="F393" s="46">
        <f>IFERROR(__xludf.DUMMYFUNCTION("""COMPUTED_VALUE"""),1.0)</f>
        <v>1</v>
      </c>
      <c r="G393" s="46">
        <f>IFERROR(__xludf.DUMMYFUNCTION("""COMPUTED_VALUE"""),1172.0)</f>
        <v>1172</v>
      </c>
      <c r="H393" s="46">
        <f>IFERROR(__xludf.DUMMYFUNCTION("""COMPUTED_VALUE"""),128076.16)</f>
        <v>128076.16</v>
      </c>
      <c r="I393" s="46">
        <f>IFERROR(__xludf.DUMMYFUNCTION("""COMPUTED_VALUE"""),42004.48)</f>
        <v>42004.48</v>
      </c>
      <c r="J393" s="46">
        <f>IFERROR(__xludf.DUMMYFUNCTION("""COMPUTED_VALUE"""),86071.68)</f>
        <v>86071.68</v>
      </c>
      <c r="K393" s="46" t="str">
        <f t="array" ref="K393">TEXT(D393, "mmmm")</f>
        <v>March</v>
      </c>
      <c r="M393" s="46" t="str">
        <f>IFERROR(__xludf.DUMMYFUNCTION("""COMPUTED_VALUE"""),"Czech Republic")</f>
        <v>Czech Republic</v>
      </c>
      <c r="N393" s="94">
        <f>IFERROR(__xludf.DUMMYFUNCTION("""COMPUTED_VALUE"""),41122.0)</f>
        <v>41122</v>
      </c>
      <c r="O393" s="46">
        <f>IFERROR(__xludf.DUMMYFUNCTION("""COMPUTED_VALUE"""),1.0)</f>
        <v>1</v>
      </c>
      <c r="P393" s="46">
        <f>IFERROR(__xludf.DUMMYFUNCTION("""COMPUTED_VALUE"""),2942.0)</f>
        <v>2942</v>
      </c>
      <c r="Q393" s="46">
        <f>IFERROR(__xludf.DUMMYFUNCTION("""COMPUTED_VALUE"""),321501.76)</f>
        <v>321501.76</v>
      </c>
      <c r="R393" s="46">
        <f>IFERROR(__xludf.DUMMYFUNCTION("""COMPUTED_VALUE"""),105441.28000000001)</f>
        <v>105441.28</v>
      </c>
      <c r="S393" s="46">
        <f>IFERROR(__xludf.DUMMYFUNCTION("""COMPUTED_VALUE"""),216060.47999999998)</f>
        <v>216060.48</v>
      </c>
    </row>
    <row r="394">
      <c r="A394" s="46" t="str">
        <f>IFERROR(__xludf.DUMMYFUNCTION("""COMPUTED_VALUE"""),"Clothes")</f>
        <v>Clothes</v>
      </c>
      <c r="B394" s="46" t="str">
        <f>IFERROR(__xludf.DUMMYFUNCTION("""COMPUTED_VALUE"""),"Germany")</f>
        <v>Germany</v>
      </c>
      <c r="C394" s="46" t="str">
        <f>IFERROR(__xludf.DUMMYFUNCTION("""COMPUTED_VALUE"""),"Europe")</f>
        <v>Europe</v>
      </c>
      <c r="D394" s="90">
        <f>IFERROR(__xludf.DUMMYFUNCTION("""COMPUTED_VALUE"""),42064.0)</f>
        <v>42064</v>
      </c>
      <c r="E394" s="46">
        <f>IFERROR(__xludf.DUMMYFUNCTION("""COMPUTED_VALUE"""),2015.0)</f>
        <v>2015</v>
      </c>
      <c r="F394" s="46">
        <f>IFERROR(__xludf.DUMMYFUNCTION("""COMPUTED_VALUE"""),1.0)</f>
        <v>1</v>
      </c>
      <c r="G394" s="46">
        <f>IFERROR(__xludf.DUMMYFUNCTION("""COMPUTED_VALUE"""),5413.0)</f>
        <v>5413</v>
      </c>
      <c r="H394" s="46">
        <f>IFERROR(__xludf.DUMMYFUNCTION("""COMPUTED_VALUE"""),591532.64)</f>
        <v>591532.64</v>
      </c>
      <c r="I394" s="46">
        <f>IFERROR(__xludf.DUMMYFUNCTION("""COMPUTED_VALUE"""),194001.92)</f>
        <v>194001.92</v>
      </c>
      <c r="J394" s="46">
        <f>IFERROR(__xludf.DUMMYFUNCTION("""COMPUTED_VALUE"""),397530.72)</f>
        <v>397530.72</v>
      </c>
      <c r="K394" s="46" t="str">
        <f t="array" ref="K394">TEXT(D394, "mmmm")</f>
        <v>March</v>
      </c>
      <c r="M394" s="46" t="str">
        <f>IFERROR(__xludf.DUMMYFUNCTION("""COMPUTED_VALUE"""),"Denmark")</f>
        <v>Denmark</v>
      </c>
      <c r="N394" s="94">
        <f>IFERROR(__xludf.DUMMYFUNCTION("""COMPUTED_VALUE"""),41122.0)</f>
        <v>41122</v>
      </c>
      <c r="O394" s="46">
        <f>IFERROR(__xludf.DUMMYFUNCTION("""COMPUTED_VALUE"""),2.0)</f>
        <v>2</v>
      </c>
      <c r="P394" s="46">
        <f>IFERROR(__xludf.DUMMYFUNCTION("""COMPUTED_VALUE"""),10779.0)</f>
        <v>10779</v>
      </c>
      <c r="Q394" s="46">
        <f>IFERROR(__xludf.DUMMYFUNCTION("""COMPUTED_VALUE"""),3136356.04)</f>
        <v>3136356.04</v>
      </c>
      <c r="R394" s="46">
        <f>IFERROR(__xludf.DUMMYFUNCTION("""COMPUTED_VALUE"""),2488552.07)</f>
        <v>2488552.07</v>
      </c>
      <c r="S394" s="46">
        <f>IFERROR(__xludf.DUMMYFUNCTION("""COMPUTED_VALUE"""),647803.97)</f>
        <v>647803.97</v>
      </c>
    </row>
    <row r="395">
      <c r="A395" s="46" t="str">
        <f>IFERROR(__xludf.DUMMYFUNCTION("""COMPUTED_VALUE"""),"Clothes")</f>
        <v>Clothes</v>
      </c>
      <c r="B395" s="46" t="str">
        <f>IFERROR(__xludf.DUMMYFUNCTION("""COMPUTED_VALUE"""),"Ukraine")</f>
        <v>Ukraine</v>
      </c>
      <c r="C395" s="46" t="str">
        <f>IFERROR(__xludf.DUMMYFUNCTION("""COMPUTED_VALUE"""),"Europe")</f>
        <v>Europe</v>
      </c>
      <c r="D395" s="90">
        <f>IFERROR(__xludf.DUMMYFUNCTION("""COMPUTED_VALUE"""),42064.0)</f>
        <v>42064</v>
      </c>
      <c r="E395" s="46">
        <f>IFERROR(__xludf.DUMMYFUNCTION("""COMPUTED_VALUE"""),2015.0)</f>
        <v>2015</v>
      </c>
      <c r="F395" s="46">
        <f>IFERROR(__xludf.DUMMYFUNCTION("""COMPUTED_VALUE"""),1.0)</f>
        <v>1</v>
      </c>
      <c r="G395" s="46">
        <f>IFERROR(__xludf.DUMMYFUNCTION("""COMPUTED_VALUE"""),2400.0)</f>
        <v>2400</v>
      </c>
      <c r="H395" s="46">
        <f>IFERROR(__xludf.DUMMYFUNCTION("""COMPUTED_VALUE"""),262272.0)</f>
        <v>262272</v>
      </c>
      <c r="I395" s="46">
        <f>IFERROR(__xludf.DUMMYFUNCTION("""COMPUTED_VALUE"""),86016.00000000001)</f>
        <v>86016</v>
      </c>
      <c r="J395" s="46">
        <f>IFERROR(__xludf.DUMMYFUNCTION("""COMPUTED_VALUE"""),176256.0)</f>
        <v>176256</v>
      </c>
      <c r="K395" s="46" t="str">
        <f t="array" ref="K395">TEXT(D395, "mmmm")</f>
        <v>March</v>
      </c>
      <c r="M395" s="46" t="str">
        <f>IFERROR(__xludf.DUMMYFUNCTION("""COMPUTED_VALUE"""),"Georgia")</f>
        <v>Georgia</v>
      </c>
      <c r="N395" s="94">
        <f>IFERROR(__xludf.DUMMYFUNCTION("""COMPUTED_VALUE"""),41122.0)</f>
        <v>41122</v>
      </c>
      <c r="O395" s="46">
        <f>IFERROR(__xludf.DUMMYFUNCTION("""COMPUTED_VALUE"""),1.0)</f>
        <v>1</v>
      </c>
      <c r="P395" s="46">
        <f>IFERROR(__xludf.DUMMYFUNCTION("""COMPUTED_VALUE"""),8959.0)</f>
        <v>8959</v>
      </c>
      <c r="Q395" s="46">
        <f>IFERROR(__xludf.DUMMYFUNCTION("""COMPUTED_VALUE"""),3779712.51)</f>
        <v>3779712.51</v>
      </c>
      <c r="R395" s="46">
        <f>IFERROR(__xludf.DUMMYFUNCTION("""COMPUTED_VALUE"""),3267257.71)</f>
        <v>3267257.71</v>
      </c>
      <c r="S395" s="46">
        <f>IFERROR(__xludf.DUMMYFUNCTION("""COMPUTED_VALUE"""),512454.7999999998)</f>
        <v>512454.8</v>
      </c>
    </row>
    <row r="396">
      <c r="A396" s="46" t="str">
        <f>IFERROR(__xludf.DUMMYFUNCTION("""COMPUTED_VALUE"""),"Fruits")</f>
        <v>Fruits</v>
      </c>
      <c r="B396" s="46" t="str">
        <f>IFERROR(__xludf.DUMMYFUNCTION("""COMPUTED_VALUE"""),"Armenia")</f>
        <v>Armenia</v>
      </c>
      <c r="C396" s="46" t="str">
        <f>IFERROR(__xludf.DUMMYFUNCTION("""COMPUTED_VALUE"""),"Asia")</f>
        <v>Asia</v>
      </c>
      <c r="D396" s="90">
        <f>IFERROR(__xludf.DUMMYFUNCTION("""COMPUTED_VALUE"""),42064.0)</f>
        <v>42064</v>
      </c>
      <c r="E396" s="46">
        <f>IFERROR(__xludf.DUMMYFUNCTION("""COMPUTED_VALUE"""),2015.0)</f>
        <v>2015</v>
      </c>
      <c r="F396" s="46">
        <f>IFERROR(__xludf.DUMMYFUNCTION("""COMPUTED_VALUE"""),1.0)</f>
        <v>1</v>
      </c>
      <c r="G396" s="46">
        <f>IFERROR(__xludf.DUMMYFUNCTION("""COMPUTED_VALUE"""),3524.0)</f>
        <v>3524</v>
      </c>
      <c r="H396" s="46">
        <f>IFERROR(__xludf.DUMMYFUNCTION("""COMPUTED_VALUE"""),32878.92)</f>
        <v>32878.92</v>
      </c>
      <c r="I396" s="46">
        <f>IFERROR(__xludf.DUMMYFUNCTION("""COMPUTED_VALUE"""),24386.079999999998)</f>
        <v>24386.08</v>
      </c>
      <c r="J396" s="46">
        <f>IFERROR(__xludf.DUMMYFUNCTION("""COMPUTED_VALUE"""),8492.84)</f>
        <v>8492.84</v>
      </c>
      <c r="K396" s="46" t="str">
        <f t="array" ref="K396">TEXT(D396, "mmmm")</f>
        <v>March</v>
      </c>
      <c r="M396" s="46" t="str">
        <f>IFERROR(__xludf.DUMMYFUNCTION("""COMPUTED_VALUE"""),"Montenegro")</f>
        <v>Montenegro</v>
      </c>
      <c r="N396" s="94">
        <f>IFERROR(__xludf.DUMMYFUNCTION("""COMPUTED_VALUE"""),41122.0)</f>
        <v>41122</v>
      </c>
      <c r="O396" s="46">
        <f>IFERROR(__xludf.DUMMYFUNCTION("""COMPUTED_VALUE"""),2.0)</f>
        <v>2</v>
      </c>
      <c r="P396" s="46">
        <f>IFERROR(__xludf.DUMMYFUNCTION("""COMPUTED_VALUE"""),8005.0)</f>
        <v>8005</v>
      </c>
      <c r="Q396" s="46">
        <f>IFERROR(__xludf.DUMMYFUNCTION("""COMPUTED_VALUE"""),4392640.4799999995)</f>
        <v>4392640.48</v>
      </c>
      <c r="R396" s="46">
        <f>IFERROR(__xludf.DUMMYFUNCTION("""COMPUTED_VALUE"""),3032264.09)</f>
        <v>3032264.09</v>
      </c>
      <c r="S396" s="46">
        <f>IFERROR(__xludf.DUMMYFUNCTION("""COMPUTED_VALUE"""),1360376.3899999997)</f>
        <v>1360376.39</v>
      </c>
    </row>
    <row r="397">
      <c r="A397" s="46" t="str">
        <f>IFERROR(__xludf.DUMMYFUNCTION("""COMPUTED_VALUE"""),"Fruits")</f>
        <v>Fruits</v>
      </c>
      <c r="B397" s="46" t="str">
        <f>IFERROR(__xludf.DUMMYFUNCTION("""COMPUTED_VALUE"""),"Ireland")</f>
        <v>Ireland</v>
      </c>
      <c r="C397" s="46" t="str">
        <f>IFERROR(__xludf.DUMMYFUNCTION("""COMPUTED_VALUE"""),"Europe")</f>
        <v>Europe</v>
      </c>
      <c r="D397" s="90">
        <f>IFERROR(__xludf.DUMMYFUNCTION("""COMPUTED_VALUE"""),42064.0)</f>
        <v>42064</v>
      </c>
      <c r="E397" s="46">
        <f>IFERROR(__xludf.DUMMYFUNCTION("""COMPUTED_VALUE"""),2015.0)</f>
        <v>2015</v>
      </c>
      <c r="F397" s="46">
        <f>IFERROR(__xludf.DUMMYFUNCTION("""COMPUTED_VALUE"""),1.0)</f>
        <v>1</v>
      </c>
      <c r="G397" s="46">
        <f>IFERROR(__xludf.DUMMYFUNCTION("""COMPUTED_VALUE"""),7486.0)</f>
        <v>7486</v>
      </c>
      <c r="H397" s="46">
        <f>IFERROR(__xludf.DUMMYFUNCTION("""COMPUTED_VALUE"""),69844.38)</f>
        <v>69844.38</v>
      </c>
      <c r="I397" s="46">
        <f>IFERROR(__xludf.DUMMYFUNCTION("""COMPUTED_VALUE"""),51803.12)</f>
        <v>51803.12</v>
      </c>
      <c r="J397" s="46">
        <f>IFERROR(__xludf.DUMMYFUNCTION("""COMPUTED_VALUE"""),18041.260000000002)</f>
        <v>18041.26</v>
      </c>
      <c r="K397" s="46" t="str">
        <f t="array" ref="K397">TEXT(D397, "mmmm")</f>
        <v>March</v>
      </c>
      <c r="M397" s="46" t="str">
        <f>IFERROR(__xludf.DUMMYFUNCTION("""COMPUTED_VALUE"""),"Romania")</f>
        <v>Romania</v>
      </c>
      <c r="N397" s="94">
        <f>IFERROR(__xludf.DUMMYFUNCTION("""COMPUTED_VALUE"""),41122.0)</f>
        <v>41122</v>
      </c>
      <c r="O397" s="46">
        <f>IFERROR(__xludf.DUMMYFUNCTION("""COMPUTED_VALUE"""),1.0)</f>
        <v>1</v>
      </c>
      <c r="P397" s="46">
        <f>IFERROR(__xludf.DUMMYFUNCTION("""COMPUTED_VALUE"""),2089.0)</f>
        <v>2089</v>
      </c>
      <c r="Q397" s="46">
        <f>IFERROR(__xludf.DUMMYFUNCTION("""COMPUTED_VALUE"""),881328.21)</f>
        <v>881328.21</v>
      </c>
      <c r="R397" s="46">
        <f>IFERROR(__xludf.DUMMYFUNCTION("""COMPUTED_VALUE"""),761837.41)</f>
        <v>761837.41</v>
      </c>
      <c r="S397" s="46">
        <f>IFERROR(__xludf.DUMMYFUNCTION("""COMPUTED_VALUE"""),119490.79999999993)</f>
        <v>119490.8</v>
      </c>
    </row>
    <row r="398">
      <c r="A398" s="46" t="str">
        <f>IFERROR(__xludf.DUMMYFUNCTION("""COMPUTED_VALUE"""),"Fruits")</f>
        <v>Fruits</v>
      </c>
      <c r="B398" s="46" t="str">
        <f>IFERROR(__xludf.DUMMYFUNCTION("""COMPUTED_VALUE"""),"Undefined")</f>
        <v>Undefined</v>
      </c>
      <c r="C398" s="46" t="str">
        <f>IFERROR(__xludf.DUMMYFUNCTION("""COMPUTED_VALUE"""),"Undefined")</f>
        <v>Undefined</v>
      </c>
      <c r="D398" s="90">
        <f>IFERROR(__xludf.DUMMYFUNCTION("""COMPUTED_VALUE"""),42064.0)</f>
        <v>42064</v>
      </c>
      <c r="E398" s="46">
        <f>IFERROR(__xludf.DUMMYFUNCTION("""COMPUTED_VALUE"""),2015.0)</f>
        <v>2015</v>
      </c>
      <c r="F398" s="46">
        <f>IFERROR(__xludf.DUMMYFUNCTION("""COMPUTED_VALUE"""),1.0)</f>
        <v>1</v>
      </c>
      <c r="G398" s="46">
        <f>IFERROR(__xludf.DUMMYFUNCTION("""COMPUTED_VALUE"""),803.0)</f>
        <v>803</v>
      </c>
      <c r="H398" s="46">
        <f>IFERROR(__xludf.DUMMYFUNCTION("""COMPUTED_VALUE"""),7491.99)</f>
        <v>7491.99</v>
      </c>
      <c r="I398" s="46">
        <f>IFERROR(__xludf.DUMMYFUNCTION("""COMPUTED_VALUE"""),5556.76)</f>
        <v>5556.76</v>
      </c>
      <c r="J398" s="46">
        <f>IFERROR(__xludf.DUMMYFUNCTION("""COMPUTED_VALUE"""),1935.2299999999996)</f>
        <v>1935.23</v>
      </c>
      <c r="K398" s="46" t="str">
        <f t="array" ref="K398">TEXT(D398, "mmmm")</f>
        <v>March</v>
      </c>
      <c r="M398" s="46" t="str">
        <f>IFERROR(__xludf.DUMMYFUNCTION("""COMPUTED_VALUE"""),"Russia")</f>
        <v>Russia</v>
      </c>
      <c r="N398" s="94">
        <f>IFERROR(__xludf.DUMMYFUNCTION("""COMPUTED_VALUE"""),41122.0)</f>
        <v>41122</v>
      </c>
      <c r="O398" s="46">
        <f>IFERROR(__xludf.DUMMYFUNCTION("""COMPUTED_VALUE"""),1.0)</f>
        <v>1</v>
      </c>
      <c r="P398" s="46">
        <f>IFERROR(__xludf.DUMMYFUNCTION("""COMPUTED_VALUE"""),1111.0)</f>
        <v>1111</v>
      </c>
      <c r="Q398" s="46">
        <f>IFERROR(__xludf.DUMMYFUNCTION("""COMPUTED_VALUE"""),52716.950000000004)</f>
        <v>52716.95</v>
      </c>
      <c r="R398" s="46">
        <f>IFERROR(__xludf.DUMMYFUNCTION("""COMPUTED_VALUE"""),35318.69)</f>
        <v>35318.69</v>
      </c>
      <c r="S398" s="46">
        <f>IFERROR(__xludf.DUMMYFUNCTION("""COMPUTED_VALUE"""),17398.260000000002)</f>
        <v>17398.26</v>
      </c>
    </row>
    <row r="399">
      <c r="A399" s="46" t="str">
        <f>IFERROR(__xludf.DUMMYFUNCTION("""COMPUTED_VALUE"""),"Household")</f>
        <v>Household</v>
      </c>
      <c r="B399" s="46" t="str">
        <f>IFERROR(__xludf.DUMMYFUNCTION("""COMPUTED_VALUE"""),"Ireland")</f>
        <v>Ireland</v>
      </c>
      <c r="C399" s="46" t="str">
        <f>IFERROR(__xludf.DUMMYFUNCTION("""COMPUTED_VALUE"""),"Europe")</f>
        <v>Europe</v>
      </c>
      <c r="D399" s="90">
        <f>IFERROR(__xludf.DUMMYFUNCTION("""COMPUTED_VALUE"""),42064.0)</f>
        <v>42064</v>
      </c>
      <c r="E399" s="46">
        <f>IFERROR(__xludf.DUMMYFUNCTION("""COMPUTED_VALUE"""),2015.0)</f>
        <v>2015</v>
      </c>
      <c r="F399" s="46">
        <f>IFERROR(__xludf.DUMMYFUNCTION("""COMPUTED_VALUE"""),1.0)</f>
        <v>1</v>
      </c>
      <c r="G399" s="46">
        <f>IFERROR(__xludf.DUMMYFUNCTION("""COMPUTED_VALUE"""),7498.0)</f>
        <v>7498</v>
      </c>
      <c r="H399" s="46">
        <f>IFERROR(__xludf.DUMMYFUNCTION("""COMPUTED_VALUE"""),5010688.46)</f>
        <v>5010688.46</v>
      </c>
      <c r="I399" s="46">
        <f>IFERROR(__xludf.DUMMYFUNCTION("""COMPUTED_VALUE"""),3768044.92)</f>
        <v>3768044.92</v>
      </c>
      <c r="J399" s="46">
        <f>IFERROR(__xludf.DUMMYFUNCTION("""COMPUTED_VALUE"""),1242643.54)</f>
        <v>1242643.54</v>
      </c>
      <c r="K399" s="46" t="str">
        <f t="array" ref="K399">TEXT(D399, "mmmm")</f>
        <v>March</v>
      </c>
      <c r="M399" s="46" t="str">
        <f>IFERROR(__xludf.DUMMYFUNCTION("""COMPUTED_VALUE"""),"Serbia")</f>
        <v>Serbia</v>
      </c>
      <c r="N399" s="94">
        <f>IFERROR(__xludf.DUMMYFUNCTION("""COMPUTED_VALUE"""),41122.0)</f>
        <v>41122</v>
      </c>
      <c r="O399" s="46">
        <f>IFERROR(__xludf.DUMMYFUNCTION("""COMPUTED_VALUE"""),1.0)</f>
        <v>1</v>
      </c>
      <c r="P399" s="46">
        <f>IFERROR(__xludf.DUMMYFUNCTION("""COMPUTED_VALUE"""),7648.0)</f>
        <v>7648</v>
      </c>
      <c r="Q399" s="46">
        <f>IFERROR(__xludf.DUMMYFUNCTION("""COMPUTED_VALUE"""),362897.60000000003)</f>
        <v>362897.6</v>
      </c>
      <c r="R399" s="46">
        <f>IFERROR(__xludf.DUMMYFUNCTION("""COMPUTED_VALUE"""),243129.91999999998)</f>
        <v>243129.92</v>
      </c>
      <c r="S399" s="46">
        <f>IFERROR(__xludf.DUMMYFUNCTION("""COMPUTED_VALUE"""),119767.68000000005)</f>
        <v>119767.68</v>
      </c>
    </row>
    <row r="400">
      <c r="A400" s="46" t="str">
        <f>IFERROR(__xludf.DUMMYFUNCTION("""COMPUTED_VALUE"""),"Meat")</f>
        <v>Meat</v>
      </c>
      <c r="B400" s="46" t="str">
        <f>IFERROR(__xludf.DUMMYFUNCTION("""COMPUTED_VALUE"""),"Belgium")</f>
        <v>Belgium</v>
      </c>
      <c r="C400" s="46" t="str">
        <f>IFERROR(__xludf.DUMMYFUNCTION("""COMPUTED_VALUE"""),"Europe")</f>
        <v>Europe</v>
      </c>
      <c r="D400" s="90">
        <f>IFERROR(__xludf.DUMMYFUNCTION("""COMPUTED_VALUE"""),42064.0)</f>
        <v>42064</v>
      </c>
      <c r="E400" s="46">
        <f>IFERROR(__xludf.DUMMYFUNCTION("""COMPUTED_VALUE"""),2015.0)</f>
        <v>2015</v>
      </c>
      <c r="F400" s="46">
        <f>IFERROR(__xludf.DUMMYFUNCTION("""COMPUTED_VALUE"""),1.0)</f>
        <v>1</v>
      </c>
      <c r="G400" s="46">
        <f>IFERROR(__xludf.DUMMYFUNCTION("""COMPUTED_VALUE"""),6924.0)</f>
        <v>6924</v>
      </c>
      <c r="H400" s="46">
        <f>IFERROR(__xludf.DUMMYFUNCTION("""COMPUTED_VALUE"""),2921166.36)</f>
        <v>2921166.36</v>
      </c>
      <c r="I400" s="46">
        <f>IFERROR(__xludf.DUMMYFUNCTION("""COMPUTED_VALUE"""),2525113.56)</f>
        <v>2525113.56</v>
      </c>
      <c r="J400" s="46">
        <f>IFERROR(__xludf.DUMMYFUNCTION("""COMPUTED_VALUE"""),396052.7999999998)</f>
        <v>396052.8</v>
      </c>
      <c r="K400" s="46" t="str">
        <f t="array" ref="K400">TEXT(D400, "mmmm")</f>
        <v>March</v>
      </c>
      <c r="M400" s="46" t="str">
        <f>IFERROR(__xludf.DUMMYFUNCTION("""COMPUTED_VALUE"""),"Slovakia")</f>
        <v>Slovakia</v>
      </c>
      <c r="N400" s="94">
        <f>IFERROR(__xludf.DUMMYFUNCTION("""COMPUTED_VALUE"""),41122.0)</f>
        <v>41122</v>
      </c>
      <c r="O400" s="46">
        <f>IFERROR(__xludf.DUMMYFUNCTION("""COMPUTED_VALUE"""),1.0)</f>
        <v>1</v>
      </c>
      <c r="P400" s="46">
        <f>IFERROR(__xludf.DUMMYFUNCTION("""COMPUTED_VALUE"""),314.0)</f>
        <v>314</v>
      </c>
      <c r="Q400" s="46">
        <f>IFERROR(__xludf.DUMMYFUNCTION("""COMPUTED_VALUE"""),2929.62)</f>
        <v>2929.62</v>
      </c>
      <c r="R400" s="46">
        <f>IFERROR(__xludf.DUMMYFUNCTION("""COMPUTED_VALUE"""),2172.88)</f>
        <v>2172.88</v>
      </c>
      <c r="S400" s="46">
        <f>IFERROR(__xludf.DUMMYFUNCTION("""COMPUTED_VALUE"""),756.7399999999998)</f>
        <v>756.74</v>
      </c>
    </row>
    <row r="401">
      <c r="A401" s="46" t="str">
        <f>IFERROR(__xludf.DUMMYFUNCTION("""COMPUTED_VALUE"""),"Meat")</f>
        <v>Meat</v>
      </c>
      <c r="B401" s="46" t="str">
        <f>IFERROR(__xludf.DUMMYFUNCTION("""COMPUTED_VALUE"""),"Macedonia")</f>
        <v>Macedonia</v>
      </c>
      <c r="C401" s="46" t="str">
        <f>IFERROR(__xludf.DUMMYFUNCTION("""COMPUTED_VALUE"""),"Europe")</f>
        <v>Europe</v>
      </c>
      <c r="D401" s="90">
        <f>IFERROR(__xludf.DUMMYFUNCTION("""COMPUTED_VALUE"""),42064.0)</f>
        <v>42064</v>
      </c>
      <c r="E401" s="46">
        <f>IFERROR(__xludf.DUMMYFUNCTION("""COMPUTED_VALUE"""),2015.0)</f>
        <v>2015</v>
      </c>
      <c r="F401" s="46">
        <f>IFERROR(__xludf.DUMMYFUNCTION("""COMPUTED_VALUE"""),1.0)</f>
        <v>1</v>
      </c>
      <c r="G401" s="46">
        <f>IFERROR(__xludf.DUMMYFUNCTION("""COMPUTED_VALUE"""),2659.0)</f>
        <v>2659</v>
      </c>
      <c r="H401" s="46">
        <f>IFERROR(__xludf.DUMMYFUNCTION("""COMPUTED_VALUE"""),1121805.51)</f>
        <v>1121805.51</v>
      </c>
      <c r="I401" s="46">
        <f>IFERROR(__xludf.DUMMYFUNCTION("""COMPUTED_VALUE"""),969710.71)</f>
        <v>969710.71</v>
      </c>
      <c r="J401" s="46">
        <f>IFERROR(__xludf.DUMMYFUNCTION("""COMPUTED_VALUE"""),152094.80000000005)</f>
        <v>152094.8</v>
      </c>
      <c r="K401" s="46" t="str">
        <f t="array" ref="K401">TEXT(D401, "mmmm")</f>
        <v>March</v>
      </c>
      <c r="M401" s="46" t="str">
        <f>IFERROR(__xludf.DUMMYFUNCTION("""COMPUTED_VALUE"""),"Spain")</f>
        <v>Spain</v>
      </c>
      <c r="N401" s="94">
        <f>IFERROR(__xludf.DUMMYFUNCTION("""COMPUTED_VALUE"""),41122.0)</f>
        <v>41122</v>
      </c>
      <c r="O401" s="46">
        <f>IFERROR(__xludf.DUMMYFUNCTION("""COMPUTED_VALUE"""),1.0)</f>
        <v>1</v>
      </c>
      <c r="P401" s="46">
        <f>IFERROR(__xludf.DUMMYFUNCTION("""COMPUTED_VALUE"""),4897.0)</f>
        <v>4897</v>
      </c>
      <c r="Q401" s="46">
        <f>IFERROR(__xludf.DUMMYFUNCTION("""COMPUTED_VALUE"""),535144.16)</f>
        <v>535144.16</v>
      </c>
      <c r="R401" s="46">
        <f>IFERROR(__xludf.DUMMYFUNCTION("""COMPUTED_VALUE"""),175508.48)</f>
        <v>175508.48</v>
      </c>
      <c r="S401" s="46">
        <f>IFERROR(__xludf.DUMMYFUNCTION("""COMPUTED_VALUE"""),359635.68000000005)</f>
        <v>359635.68</v>
      </c>
    </row>
    <row r="402">
      <c r="A402" s="46" t="str">
        <f>IFERROR(__xludf.DUMMYFUNCTION("""COMPUTED_VALUE"""),"Meat")</f>
        <v>Meat</v>
      </c>
      <c r="B402" s="46" t="str">
        <f>IFERROR(__xludf.DUMMYFUNCTION("""COMPUTED_VALUE"""),"Malta")</f>
        <v>Malta</v>
      </c>
      <c r="C402" s="46" t="str">
        <f>IFERROR(__xludf.DUMMYFUNCTION("""COMPUTED_VALUE"""),"Europe")</f>
        <v>Europe</v>
      </c>
      <c r="D402" s="90">
        <f>IFERROR(__xludf.DUMMYFUNCTION("""COMPUTED_VALUE"""),42064.0)</f>
        <v>42064</v>
      </c>
      <c r="E402" s="46">
        <f>IFERROR(__xludf.DUMMYFUNCTION("""COMPUTED_VALUE"""),2015.0)</f>
        <v>2015</v>
      </c>
      <c r="F402" s="46">
        <f>IFERROR(__xludf.DUMMYFUNCTION("""COMPUTED_VALUE"""),1.0)</f>
        <v>1</v>
      </c>
      <c r="G402" s="46">
        <f>IFERROR(__xludf.DUMMYFUNCTION("""COMPUTED_VALUE"""),8509.0)</f>
        <v>8509</v>
      </c>
      <c r="H402" s="46">
        <f>IFERROR(__xludf.DUMMYFUNCTION("""COMPUTED_VALUE"""),3589862.01)</f>
        <v>3589862.01</v>
      </c>
      <c r="I402" s="46">
        <f>IFERROR(__xludf.DUMMYFUNCTION("""COMPUTED_VALUE"""),3103147.21)</f>
        <v>3103147.21</v>
      </c>
      <c r="J402" s="46">
        <f>IFERROR(__xludf.DUMMYFUNCTION("""COMPUTED_VALUE"""),486714.7999999998)</f>
        <v>486714.8</v>
      </c>
      <c r="K402" s="46" t="str">
        <f t="array" ref="K402">TEXT(D402, "mmmm")</f>
        <v>March</v>
      </c>
      <c r="M402" s="46" t="str">
        <f>IFERROR(__xludf.DUMMYFUNCTION("""COMPUTED_VALUE"""),"Ukraine")</f>
        <v>Ukraine</v>
      </c>
      <c r="N402" s="94">
        <f>IFERROR(__xludf.DUMMYFUNCTION("""COMPUTED_VALUE"""),41122.0)</f>
        <v>41122</v>
      </c>
      <c r="O402" s="46">
        <f>IFERROR(__xludf.DUMMYFUNCTION("""COMPUTED_VALUE"""),2.0)</f>
        <v>2</v>
      </c>
      <c r="P402" s="46">
        <f>IFERROR(__xludf.DUMMYFUNCTION("""COMPUTED_VALUE"""),16825.0)</f>
        <v>16825</v>
      </c>
      <c r="Q402" s="46">
        <f>IFERROR(__xludf.DUMMYFUNCTION("""COMPUTED_VALUE"""),5252252.84)</f>
        <v>5252252.84</v>
      </c>
      <c r="R402" s="46">
        <f>IFERROR(__xludf.DUMMYFUNCTION("""COMPUTED_VALUE"""),4021823.63)</f>
        <v>4021823.63</v>
      </c>
      <c r="S402" s="46">
        <f>IFERROR(__xludf.DUMMYFUNCTION("""COMPUTED_VALUE"""),1230429.21)</f>
        <v>1230429.21</v>
      </c>
    </row>
    <row r="403">
      <c r="A403" s="46" t="str">
        <f>IFERROR(__xludf.DUMMYFUNCTION("""COMPUTED_VALUE"""),"Office Supplies")</f>
        <v>Office Supplies</v>
      </c>
      <c r="B403" s="46" t="str">
        <f>IFERROR(__xludf.DUMMYFUNCTION("""COMPUTED_VALUE"""),"Austria")</f>
        <v>Austria</v>
      </c>
      <c r="C403" s="46" t="str">
        <f>IFERROR(__xludf.DUMMYFUNCTION("""COMPUTED_VALUE"""),"Europe")</f>
        <v>Europe</v>
      </c>
      <c r="D403" s="90">
        <f>IFERROR(__xludf.DUMMYFUNCTION("""COMPUTED_VALUE"""),42064.0)</f>
        <v>42064</v>
      </c>
      <c r="E403" s="46">
        <f>IFERROR(__xludf.DUMMYFUNCTION("""COMPUTED_VALUE"""),2015.0)</f>
        <v>2015</v>
      </c>
      <c r="F403" s="46">
        <f>IFERROR(__xludf.DUMMYFUNCTION("""COMPUTED_VALUE"""),1.0)</f>
        <v>1</v>
      </c>
      <c r="G403" s="46">
        <f>IFERROR(__xludf.DUMMYFUNCTION("""COMPUTED_VALUE"""),5839.0)</f>
        <v>5839</v>
      </c>
      <c r="H403" s="46">
        <f>IFERROR(__xludf.DUMMYFUNCTION("""COMPUTED_VALUE"""),3802415.1900000004)</f>
        <v>3802415.19</v>
      </c>
      <c r="I403" s="46">
        <f>IFERROR(__xludf.DUMMYFUNCTION("""COMPUTED_VALUE"""),3065241.4400000004)</f>
        <v>3065241.44</v>
      </c>
      <c r="J403" s="46">
        <f>IFERROR(__xludf.DUMMYFUNCTION("""COMPUTED_VALUE"""),737173.75)</f>
        <v>737173.75</v>
      </c>
      <c r="K403" s="46" t="str">
        <f t="array" ref="K403">TEXT(D403, "mmmm")</f>
        <v>March</v>
      </c>
      <c r="M403" s="46" t="str">
        <f>IFERROR(__xludf.DUMMYFUNCTION("""COMPUTED_VALUE"""),"Undefined")</f>
        <v>Undefined</v>
      </c>
      <c r="N403" s="94">
        <f>IFERROR(__xludf.DUMMYFUNCTION("""COMPUTED_VALUE"""),41122.0)</f>
        <v>41122</v>
      </c>
      <c r="O403" s="46">
        <f>IFERROR(__xludf.DUMMYFUNCTION("""COMPUTED_VALUE"""),1.0)</f>
        <v>1</v>
      </c>
      <c r="P403" s="46">
        <f>IFERROR(__xludf.DUMMYFUNCTION("""COMPUTED_VALUE"""),2708.0)</f>
        <v>2708</v>
      </c>
      <c r="Q403" s="46">
        <f>IFERROR(__xludf.DUMMYFUNCTION("""COMPUTED_VALUE"""),1763476.6800000002)</f>
        <v>1763476.68</v>
      </c>
      <c r="R403" s="46">
        <f>IFERROR(__xludf.DUMMYFUNCTION("""COMPUTED_VALUE"""),1421591.6800000002)</f>
        <v>1421591.68</v>
      </c>
      <c r="S403" s="46">
        <f>IFERROR(__xludf.DUMMYFUNCTION("""COMPUTED_VALUE"""),341885.0)</f>
        <v>341885</v>
      </c>
    </row>
    <row r="404">
      <c r="A404" s="46" t="str">
        <f>IFERROR(__xludf.DUMMYFUNCTION("""COMPUTED_VALUE"""),"Office Supplies")</f>
        <v>Office Supplies</v>
      </c>
      <c r="B404" s="46" t="str">
        <f>IFERROR(__xludf.DUMMYFUNCTION("""COMPUTED_VALUE"""),"Slovakia")</f>
        <v>Slovakia</v>
      </c>
      <c r="C404" s="46" t="str">
        <f>IFERROR(__xludf.DUMMYFUNCTION("""COMPUTED_VALUE"""),"Europe")</f>
        <v>Europe</v>
      </c>
      <c r="D404" s="90">
        <f>IFERROR(__xludf.DUMMYFUNCTION("""COMPUTED_VALUE"""),42064.0)</f>
        <v>42064</v>
      </c>
      <c r="E404" s="46">
        <f>IFERROR(__xludf.DUMMYFUNCTION("""COMPUTED_VALUE"""),2015.0)</f>
        <v>2015</v>
      </c>
      <c r="F404" s="46">
        <f>IFERROR(__xludf.DUMMYFUNCTION("""COMPUTED_VALUE"""),1.0)</f>
        <v>1</v>
      </c>
      <c r="G404" s="46">
        <f>IFERROR(__xludf.DUMMYFUNCTION("""COMPUTED_VALUE"""),2220.0)</f>
        <v>2220</v>
      </c>
      <c r="H404" s="46">
        <f>IFERROR(__xludf.DUMMYFUNCTION("""COMPUTED_VALUE"""),1445686.2000000002)</f>
        <v>1445686.2</v>
      </c>
      <c r="I404" s="46">
        <f>IFERROR(__xludf.DUMMYFUNCTION("""COMPUTED_VALUE"""),1165411.2000000002)</f>
        <v>1165411.2</v>
      </c>
      <c r="J404" s="46">
        <f>IFERROR(__xludf.DUMMYFUNCTION("""COMPUTED_VALUE"""),280275.0)</f>
        <v>280275</v>
      </c>
      <c r="K404" s="46" t="str">
        <f t="array" ref="K404">TEXT(D404, "mmmm")</f>
        <v>March</v>
      </c>
      <c r="M404" s="46" t="str">
        <f>IFERROR(__xludf.DUMMYFUNCTION("""COMPUTED_VALUE"""),"Armenia")</f>
        <v>Armenia</v>
      </c>
      <c r="N404" s="94">
        <f>IFERROR(__xludf.DUMMYFUNCTION("""COMPUTED_VALUE"""),41153.0)</f>
        <v>41153</v>
      </c>
      <c r="O404" s="46">
        <f>IFERROR(__xludf.DUMMYFUNCTION("""COMPUTED_VALUE"""),1.0)</f>
        <v>1</v>
      </c>
      <c r="P404" s="46">
        <f>IFERROR(__xludf.DUMMYFUNCTION("""COMPUTED_VALUE"""),1051.0)</f>
        <v>1051</v>
      </c>
      <c r="Q404" s="46">
        <f>IFERROR(__xludf.DUMMYFUNCTION("""COMPUTED_VALUE"""),702351.77)</f>
        <v>702351.77</v>
      </c>
      <c r="R404" s="46">
        <f>IFERROR(__xludf.DUMMYFUNCTION("""COMPUTED_VALUE"""),528169.54)</f>
        <v>528169.54</v>
      </c>
      <c r="S404" s="46">
        <f>IFERROR(__xludf.DUMMYFUNCTION("""COMPUTED_VALUE"""),174182.22999999998)</f>
        <v>174182.23</v>
      </c>
    </row>
    <row r="405">
      <c r="A405" s="46" t="str">
        <f>IFERROR(__xludf.DUMMYFUNCTION("""COMPUTED_VALUE"""),"Snacks")</f>
        <v>Snacks</v>
      </c>
      <c r="B405" s="46" t="str">
        <f>IFERROR(__xludf.DUMMYFUNCTION("""COMPUTED_VALUE"""),"Undefined")</f>
        <v>Undefined</v>
      </c>
      <c r="C405" s="46" t="str">
        <f>IFERROR(__xludf.DUMMYFUNCTION("""COMPUTED_VALUE"""),"Undefined")</f>
        <v>Undefined</v>
      </c>
      <c r="D405" s="90">
        <f>IFERROR(__xludf.DUMMYFUNCTION("""COMPUTED_VALUE"""),42064.0)</f>
        <v>42064</v>
      </c>
      <c r="E405" s="46">
        <f>IFERROR(__xludf.DUMMYFUNCTION("""COMPUTED_VALUE"""),2015.0)</f>
        <v>2015</v>
      </c>
      <c r="F405" s="46">
        <f>IFERROR(__xludf.DUMMYFUNCTION("""COMPUTED_VALUE"""),1.0)</f>
        <v>1</v>
      </c>
      <c r="G405" s="46">
        <f>IFERROR(__xludf.DUMMYFUNCTION("""COMPUTED_VALUE"""),3961.0)</f>
        <v>3961</v>
      </c>
      <c r="H405" s="46">
        <f>IFERROR(__xludf.DUMMYFUNCTION("""COMPUTED_VALUE"""),604369.38)</f>
        <v>604369.38</v>
      </c>
      <c r="I405" s="46">
        <f>IFERROR(__xludf.DUMMYFUNCTION("""COMPUTED_VALUE"""),385959.83999999997)</f>
        <v>385959.84</v>
      </c>
      <c r="J405" s="46">
        <f>IFERROR(__xludf.DUMMYFUNCTION("""COMPUTED_VALUE"""),218409.54000000004)</f>
        <v>218409.54</v>
      </c>
      <c r="K405" s="46" t="str">
        <f t="array" ref="K405">TEXT(D405, "mmmm")</f>
        <v>March</v>
      </c>
      <c r="M405" s="46" t="str">
        <f>IFERROR(__xludf.DUMMYFUNCTION("""COMPUTED_VALUE"""),"Belarus")</f>
        <v>Belarus</v>
      </c>
      <c r="N405" s="94">
        <f>IFERROR(__xludf.DUMMYFUNCTION("""COMPUTED_VALUE"""),41153.0)</f>
        <v>41153</v>
      </c>
      <c r="O405" s="46">
        <f>IFERROR(__xludf.DUMMYFUNCTION("""COMPUTED_VALUE"""),1.0)</f>
        <v>1</v>
      </c>
      <c r="P405" s="46">
        <f>IFERROR(__xludf.DUMMYFUNCTION("""COMPUTED_VALUE"""),9880.0)</f>
        <v>9880</v>
      </c>
      <c r="Q405" s="46">
        <f>IFERROR(__xludf.DUMMYFUNCTION("""COMPUTED_VALUE"""),1507490.4000000001)</f>
        <v>1507490.4</v>
      </c>
      <c r="R405" s="46">
        <f>IFERROR(__xludf.DUMMYFUNCTION("""COMPUTED_VALUE"""),962707.2)</f>
        <v>962707.2</v>
      </c>
      <c r="S405" s="46">
        <f>IFERROR(__xludf.DUMMYFUNCTION("""COMPUTED_VALUE"""),544783.2000000002)</f>
        <v>544783.2</v>
      </c>
    </row>
    <row r="406">
      <c r="A406" s="46" t="str">
        <f>IFERROR(__xludf.DUMMYFUNCTION("""COMPUTED_VALUE"""),"Vegetables")</f>
        <v>Vegetables</v>
      </c>
      <c r="B406" s="46" t="str">
        <f>IFERROR(__xludf.DUMMYFUNCTION("""COMPUTED_VALUE"""),"Serbia")</f>
        <v>Serbia</v>
      </c>
      <c r="C406" s="46" t="str">
        <f>IFERROR(__xludf.DUMMYFUNCTION("""COMPUTED_VALUE"""),"Europe")</f>
        <v>Europe</v>
      </c>
      <c r="D406" s="90">
        <f>IFERROR(__xludf.DUMMYFUNCTION("""COMPUTED_VALUE"""),42064.0)</f>
        <v>42064</v>
      </c>
      <c r="E406" s="46">
        <f>IFERROR(__xludf.DUMMYFUNCTION("""COMPUTED_VALUE"""),2015.0)</f>
        <v>2015</v>
      </c>
      <c r="F406" s="46">
        <f>IFERROR(__xludf.DUMMYFUNCTION("""COMPUTED_VALUE"""),1.0)</f>
        <v>1</v>
      </c>
      <c r="G406" s="46">
        <f>IFERROR(__xludf.DUMMYFUNCTION("""COMPUTED_VALUE"""),5731.0)</f>
        <v>5731</v>
      </c>
      <c r="H406" s="46">
        <f>IFERROR(__xludf.DUMMYFUNCTION("""COMPUTED_VALUE"""),882917.86)</f>
        <v>882917.86</v>
      </c>
      <c r="I406" s="46">
        <f>IFERROR(__xludf.DUMMYFUNCTION("""COMPUTED_VALUE"""),521119.83)</f>
        <v>521119.83</v>
      </c>
      <c r="J406" s="46">
        <f>IFERROR(__xludf.DUMMYFUNCTION("""COMPUTED_VALUE"""),361798.02999999997)</f>
        <v>361798.03</v>
      </c>
      <c r="K406" s="46" t="str">
        <f t="array" ref="K406">TEXT(D406, "mmmm")</f>
        <v>March</v>
      </c>
      <c r="M406" s="46" t="str">
        <f>IFERROR(__xludf.DUMMYFUNCTION("""COMPUTED_VALUE"""),"Croatia")</f>
        <v>Croatia</v>
      </c>
      <c r="N406" s="94">
        <f>IFERROR(__xludf.DUMMYFUNCTION("""COMPUTED_VALUE"""),41153.0)</f>
        <v>41153</v>
      </c>
      <c r="O406" s="46">
        <f>IFERROR(__xludf.DUMMYFUNCTION("""COMPUTED_VALUE"""),1.0)</f>
        <v>1</v>
      </c>
      <c r="P406" s="46">
        <f>IFERROR(__xludf.DUMMYFUNCTION("""COMPUTED_VALUE"""),5247.0)</f>
        <v>5247</v>
      </c>
      <c r="Q406" s="46">
        <f>IFERROR(__xludf.DUMMYFUNCTION("""COMPUTED_VALUE"""),1339454.16)</f>
        <v>1339454.16</v>
      </c>
      <c r="R406" s="46">
        <f>IFERROR(__xludf.DUMMYFUNCTION("""COMPUTED_VALUE"""),836476.74)</f>
        <v>836476.74</v>
      </c>
      <c r="S406" s="46">
        <f>IFERROR(__xludf.DUMMYFUNCTION("""COMPUTED_VALUE"""),502977.4199999999)</f>
        <v>502977.42</v>
      </c>
    </row>
    <row r="407">
      <c r="A407" s="46" t="str">
        <f>IFERROR(__xludf.DUMMYFUNCTION("""COMPUTED_VALUE"""),"Baby Food")</f>
        <v>Baby Food</v>
      </c>
      <c r="B407" s="46" t="str">
        <f>IFERROR(__xludf.DUMMYFUNCTION("""COMPUTED_VALUE"""),"Romania")</f>
        <v>Romania</v>
      </c>
      <c r="C407" s="46" t="str">
        <f>IFERROR(__xludf.DUMMYFUNCTION("""COMPUTED_VALUE"""),"Europe")</f>
        <v>Europe</v>
      </c>
      <c r="D407" s="90">
        <f>IFERROR(__xludf.DUMMYFUNCTION("""COMPUTED_VALUE"""),42036.0)</f>
        <v>42036</v>
      </c>
      <c r="E407" s="46">
        <f>IFERROR(__xludf.DUMMYFUNCTION("""COMPUTED_VALUE"""),2015.0)</f>
        <v>2015</v>
      </c>
      <c r="F407" s="46">
        <f>IFERROR(__xludf.DUMMYFUNCTION("""COMPUTED_VALUE"""),1.0)</f>
        <v>1</v>
      </c>
      <c r="G407" s="46">
        <f>IFERROR(__xludf.DUMMYFUNCTION("""COMPUTED_VALUE"""),9025.0)</f>
        <v>9025</v>
      </c>
      <c r="H407" s="46">
        <f>IFERROR(__xludf.DUMMYFUNCTION("""COMPUTED_VALUE"""),2303902.0)</f>
        <v>2303902</v>
      </c>
      <c r="I407" s="46">
        <f>IFERROR(__xludf.DUMMYFUNCTION("""COMPUTED_VALUE"""),1438765.5)</f>
        <v>1438765.5</v>
      </c>
      <c r="J407" s="46">
        <f>IFERROR(__xludf.DUMMYFUNCTION("""COMPUTED_VALUE"""),865136.5)</f>
        <v>865136.5</v>
      </c>
      <c r="K407" s="46" t="str">
        <f t="array" ref="K407">TEXT(D407, "mmmm")</f>
        <v>February</v>
      </c>
      <c r="M407" s="46" t="str">
        <f>IFERROR(__xludf.DUMMYFUNCTION("""COMPUTED_VALUE"""),"Estonia")</f>
        <v>Estonia</v>
      </c>
      <c r="N407" s="94">
        <f>IFERROR(__xludf.DUMMYFUNCTION("""COMPUTED_VALUE"""),41153.0)</f>
        <v>41153</v>
      </c>
      <c r="O407" s="46">
        <f>IFERROR(__xludf.DUMMYFUNCTION("""COMPUTED_VALUE"""),1.0)</f>
        <v>1</v>
      </c>
      <c r="P407" s="46">
        <f>IFERROR(__xludf.DUMMYFUNCTION("""COMPUTED_VALUE"""),5016.0)</f>
        <v>5016</v>
      </c>
      <c r="Q407" s="46">
        <f>IFERROR(__xludf.DUMMYFUNCTION("""COMPUTED_VALUE"""),548148.48)</f>
        <v>548148.48</v>
      </c>
      <c r="R407" s="46">
        <f>IFERROR(__xludf.DUMMYFUNCTION("""COMPUTED_VALUE"""),179773.44000000003)</f>
        <v>179773.44</v>
      </c>
      <c r="S407" s="46">
        <f>IFERROR(__xludf.DUMMYFUNCTION("""COMPUTED_VALUE"""),368375.0399999999)</f>
        <v>368375.04</v>
      </c>
    </row>
    <row r="408">
      <c r="A408" s="46" t="str">
        <f>IFERROR(__xludf.DUMMYFUNCTION("""COMPUTED_VALUE"""),"Household")</f>
        <v>Household</v>
      </c>
      <c r="B408" s="46" t="str">
        <f>IFERROR(__xludf.DUMMYFUNCTION("""COMPUTED_VALUE"""),"Belarus")</f>
        <v>Belarus</v>
      </c>
      <c r="C408" s="46" t="str">
        <f>IFERROR(__xludf.DUMMYFUNCTION("""COMPUTED_VALUE"""),"Europe")</f>
        <v>Europe</v>
      </c>
      <c r="D408" s="90">
        <f>IFERROR(__xludf.DUMMYFUNCTION("""COMPUTED_VALUE"""),42036.0)</f>
        <v>42036</v>
      </c>
      <c r="E408" s="46">
        <f>IFERROR(__xludf.DUMMYFUNCTION("""COMPUTED_VALUE"""),2015.0)</f>
        <v>2015</v>
      </c>
      <c r="F408" s="46">
        <f>IFERROR(__xludf.DUMMYFUNCTION("""COMPUTED_VALUE"""),1.0)</f>
        <v>1</v>
      </c>
      <c r="G408" s="46">
        <f>IFERROR(__xludf.DUMMYFUNCTION("""COMPUTED_VALUE"""),5754.0)</f>
        <v>5754</v>
      </c>
      <c r="H408" s="46">
        <f>IFERROR(__xludf.DUMMYFUNCTION("""COMPUTED_VALUE"""),3845225.58)</f>
        <v>3845225.58</v>
      </c>
      <c r="I408" s="46">
        <f>IFERROR(__xludf.DUMMYFUNCTION("""COMPUTED_VALUE"""),2891615.16)</f>
        <v>2891615.16</v>
      </c>
      <c r="J408" s="46">
        <f>IFERROR(__xludf.DUMMYFUNCTION("""COMPUTED_VALUE"""),953610.4199999999)</f>
        <v>953610.42</v>
      </c>
      <c r="K408" s="46" t="str">
        <f t="array" ref="K408">TEXT(D408, "mmmm")</f>
        <v>February</v>
      </c>
      <c r="M408" s="46" t="str">
        <f>IFERROR(__xludf.DUMMYFUNCTION("""COMPUTED_VALUE"""),"Finland")</f>
        <v>Finland</v>
      </c>
      <c r="N408" s="94">
        <f>IFERROR(__xludf.DUMMYFUNCTION("""COMPUTED_VALUE"""),41153.0)</f>
        <v>41153</v>
      </c>
      <c r="O408" s="46">
        <f>IFERROR(__xludf.DUMMYFUNCTION("""COMPUTED_VALUE"""),1.0)</f>
        <v>1</v>
      </c>
      <c r="P408" s="46">
        <f>IFERROR(__xludf.DUMMYFUNCTION("""COMPUTED_VALUE"""),963.0)</f>
        <v>963</v>
      </c>
      <c r="Q408" s="46">
        <f>IFERROR(__xludf.DUMMYFUNCTION("""COMPUTED_VALUE"""),148359.78)</f>
        <v>148359.78</v>
      </c>
      <c r="R408" s="46">
        <f>IFERROR(__xludf.DUMMYFUNCTION("""COMPUTED_VALUE"""),87565.59000000001)</f>
        <v>87565.59</v>
      </c>
      <c r="S408" s="46">
        <f>IFERROR(__xludf.DUMMYFUNCTION("""COMPUTED_VALUE"""),60794.18999999999)</f>
        <v>60794.19</v>
      </c>
    </row>
    <row r="409">
      <c r="A409" s="46" t="str">
        <f>IFERROR(__xludf.DUMMYFUNCTION("""COMPUTED_VALUE"""),"Household")</f>
        <v>Household</v>
      </c>
      <c r="B409" s="46" t="str">
        <f>IFERROR(__xludf.DUMMYFUNCTION("""COMPUTED_VALUE"""),"Portugal")</f>
        <v>Portugal</v>
      </c>
      <c r="C409" s="46" t="str">
        <f>IFERROR(__xludf.DUMMYFUNCTION("""COMPUTED_VALUE"""),"Europe")</f>
        <v>Europe</v>
      </c>
      <c r="D409" s="90">
        <f>IFERROR(__xludf.DUMMYFUNCTION("""COMPUTED_VALUE"""),42036.0)</f>
        <v>42036</v>
      </c>
      <c r="E409" s="46">
        <f>IFERROR(__xludf.DUMMYFUNCTION("""COMPUTED_VALUE"""),2015.0)</f>
        <v>2015</v>
      </c>
      <c r="F409" s="46">
        <f>IFERROR(__xludf.DUMMYFUNCTION("""COMPUTED_VALUE"""),1.0)</f>
        <v>1</v>
      </c>
      <c r="G409" s="46">
        <f>IFERROR(__xludf.DUMMYFUNCTION("""COMPUTED_VALUE"""),2873.0)</f>
        <v>2873</v>
      </c>
      <c r="H409" s="46">
        <f>IFERROR(__xludf.DUMMYFUNCTION("""COMPUTED_VALUE"""),1919939.71)</f>
        <v>1919939.71</v>
      </c>
      <c r="I409" s="46">
        <f>IFERROR(__xludf.DUMMYFUNCTION("""COMPUTED_VALUE"""),1443797.4200000002)</f>
        <v>1443797.42</v>
      </c>
      <c r="J409" s="46">
        <f>IFERROR(__xludf.DUMMYFUNCTION("""COMPUTED_VALUE"""),476142.2899999998)</f>
        <v>476142.29</v>
      </c>
      <c r="K409" s="46" t="str">
        <f t="array" ref="K409">TEXT(D409, "mmmm")</f>
        <v>February</v>
      </c>
      <c r="M409" s="46" t="str">
        <f>IFERROR(__xludf.DUMMYFUNCTION("""COMPUTED_VALUE"""),"France")</f>
        <v>France</v>
      </c>
      <c r="N409" s="94">
        <f>IFERROR(__xludf.DUMMYFUNCTION("""COMPUTED_VALUE"""),41153.0)</f>
        <v>41153</v>
      </c>
      <c r="O409" s="46">
        <f>IFERROR(__xludf.DUMMYFUNCTION("""COMPUTED_VALUE"""),1.0)</f>
        <v>1</v>
      </c>
      <c r="P409" s="46">
        <f>IFERROR(__xludf.DUMMYFUNCTION("""COMPUTED_VALUE"""),3532.0)</f>
        <v>3532</v>
      </c>
      <c r="Q409" s="46">
        <f>IFERROR(__xludf.DUMMYFUNCTION("""COMPUTED_VALUE"""),726532.3999999999)</f>
        <v>726532.4</v>
      </c>
      <c r="R409" s="46">
        <f>IFERROR(__xludf.DUMMYFUNCTION("""COMPUTED_VALUE"""),413632.52)</f>
        <v>413632.52</v>
      </c>
      <c r="S409" s="46">
        <f>IFERROR(__xludf.DUMMYFUNCTION("""COMPUTED_VALUE"""),312899.8799999999)</f>
        <v>312899.88</v>
      </c>
    </row>
    <row r="410">
      <c r="A410" s="46" t="str">
        <f>IFERROR(__xludf.DUMMYFUNCTION("""COMPUTED_VALUE"""),"Meat")</f>
        <v>Meat</v>
      </c>
      <c r="B410" s="46" t="str">
        <f>IFERROR(__xludf.DUMMYFUNCTION("""COMPUTED_VALUE"""),"Andorra")</f>
        <v>Andorra</v>
      </c>
      <c r="C410" s="46" t="str">
        <f>IFERROR(__xludf.DUMMYFUNCTION("""COMPUTED_VALUE"""),"Europe")</f>
        <v>Europe</v>
      </c>
      <c r="D410" s="90">
        <f>IFERROR(__xludf.DUMMYFUNCTION("""COMPUTED_VALUE"""),42036.0)</f>
        <v>42036</v>
      </c>
      <c r="E410" s="46">
        <f>IFERROR(__xludf.DUMMYFUNCTION("""COMPUTED_VALUE"""),2015.0)</f>
        <v>2015</v>
      </c>
      <c r="F410" s="46">
        <f>IFERROR(__xludf.DUMMYFUNCTION("""COMPUTED_VALUE"""),1.0)</f>
        <v>1</v>
      </c>
      <c r="G410" s="46">
        <f>IFERROR(__xludf.DUMMYFUNCTION("""COMPUTED_VALUE"""),1798.0)</f>
        <v>1798</v>
      </c>
      <c r="H410" s="46">
        <f>IFERROR(__xludf.DUMMYFUNCTION("""COMPUTED_VALUE"""),758558.22)</f>
        <v>758558.22</v>
      </c>
      <c r="I410" s="46">
        <f>IFERROR(__xludf.DUMMYFUNCTION("""COMPUTED_VALUE"""),655712.62)</f>
        <v>655712.62</v>
      </c>
      <c r="J410" s="46">
        <f>IFERROR(__xludf.DUMMYFUNCTION("""COMPUTED_VALUE"""),102845.59999999998)</f>
        <v>102845.6</v>
      </c>
      <c r="K410" s="46" t="str">
        <f t="array" ref="K410">TEXT(D410, "mmmm")</f>
        <v>February</v>
      </c>
      <c r="M410" s="46" t="str">
        <f>IFERROR(__xludf.DUMMYFUNCTION("""COMPUTED_VALUE"""),"Hungary")</f>
        <v>Hungary</v>
      </c>
      <c r="N410" s="94">
        <f>IFERROR(__xludf.DUMMYFUNCTION("""COMPUTED_VALUE"""),41153.0)</f>
        <v>41153</v>
      </c>
      <c r="O410" s="46">
        <f>IFERROR(__xludf.DUMMYFUNCTION("""COMPUTED_VALUE"""),1.0)</f>
        <v>1</v>
      </c>
      <c r="P410" s="46">
        <f>IFERROR(__xludf.DUMMYFUNCTION("""COMPUTED_VALUE"""),9188.0)</f>
        <v>9188</v>
      </c>
      <c r="Q410" s="46">
        <f>IFERROR(__xludf.DUMMYFUNCTION("""COMPUTED_VALUE"""),4016993.6)</f>
        <v>4016993.6</v>
      </c>
      <c r="R410" s="46">
        <f>IFERROR(__xludf.DUMMYFUNCTION("""COMPUTED_VALUE"""),2419476.04)</f>
        <v>2419476.04</v>
      </c>
      <c r="S410" s="46">
        <f>IFERROR(__xludf.DUMMYFUNCTION("""COMPUTED_VALUE"""),1597517.56)</f>
        <v>1597517.56</v>
      </c>
    </row>
    <row r="411">
      <c r="A411" s="46" t="str">
        <f>IFERROR(__xludf.DUMMYFUNCTION("""COMPUTED_VALUE"""),"Office Supplies")</f>
        <v>Office Supplies</v>
      </c>
      <c r="B411" s="46" t="str">
        <f>IFERROR(__xludf.DUMMYFUNCTION("""COMPUTED_VALUE"""),"Iceland")</f>
        <v>Iceland</v>
      </c>
      <c r="C411" s="46" t="str">
        <f>IFERROR(__xludf.DUMMYFUNCTION("""COMPUTED_VALUE"""),"Europe")</f>
        <v>Europe</v>
      </c>
      <c r="D411" s="90">
        <f>IFERROR(__xludf.DUMMYFUNCTION("""COMPUTED_VALUE"""),42036.0)</f>
        <v>42036</v>
      </c>
      <c r="E411" s="46">
        <f>IFERROR(__xludf.DUMMYFUNCTION("""COMPUTED_VALUE"""),2015.0)</f>
        <v>2015</v>
      </c>
      <c r="F411" s="46">
        <f>IFERROR(__xludf.DUMMYFUNCTION("""COMPUTED_VALUE"""),1.0)</f>
        <v>1</v>
      </c>
      <c r="G411" s="46">
        <f>IFERROR(__xludf.DUMMYFUNCTION("""COMPUTED_VALUE"""),1877.0)</f>
        <v>1877</v>
      </c>
      <c r="H411" s="46">
        <f>IFERROR(__xludf.DUMMYFUNCTION("""COMPUTED_VALUE"""),1222321.1700000002)</f>
        <v>1222321.17</v>
      </c>
      <c r="I411" s="46">
        <f>IFERROR(__xludf.DUMMYFUNCTION("""COMPUTED_VALUE"""),985349.92)</f>
        <v>985349.92</v>
      </c>
      <c r="J411" s="46">
        <f>IFERROR(__xludf.DUMMYFUNCTION("""COMPUTED_VALUE"""),236971.25000000012)</f>
        <v>236971.25</v>
      </c>
      <c r="K411" s="46" t="str">
        <f t="array" ref="K411">TEXT(D411, "mmmm")</f>
        <v>February</v>
      </c>
      <c r="M411" s="46" t="str">
        <f>IFERROR(__xludf.DUMMYFUNCTION("""COMPUTED_VALUE"""),"Italy")</f>
        <v>Italy</v>
      </c>
      <c r="N411" s="94">
        <f>IFERROR(__xludf.DUMMYFUNCTION("""COMPUTED_VALUE"""),41153.0)</f>
        <v>41153</v>
      </c>
      <c r="O411" s="46">
        <f>IFERROR(__xludf.DUMMYFUNCTION("""COMPUTED_VALUE"""),2.0)</f>
        <v>2</v>
      </c>
      <c r="P411" s="46">
        <f>IFERROR(__xludf.DUMMYFUNCTION("""COMPUTED_VALUE"""),6046.0)</f>
        <v>6046</v>
      </c>
      <c r="Q411" s="46">
        <f>IFERROR(__xludf.DUMMYFUNCTION("""COMPUTED_VALUE"""),784804.68)</f>
        <v>784804.68</v>
      </c>
      <c r="R411" s="46">
        <f>IFERROR(__xludf.DUMMYFUNCTION("""COMPUTED_VALUE"""),393234.24)</f>
        <v>393234.24</v>
      </c>
      <c r="S411" s="46">
        <f>IFERROR(__xludf.DUMMYFUNCTION("""COMPUTED_VALUE"""),391570.44000000006)</f>
        <v>391570.44</v>
      </c>
    </row>
    <row r="412">
      <c r="A412" s="46" t="str">
        <f>IFERROR(__xludf.DUMMYFUNCTION("""COMPUTED_VALUE"""),"Office Supplies")</f>
        <v>Office Supplies</v>
      </c>
      <c r="B412" s="46" t="str">
        <f>IFERROR(__xludf.DUMMYFUNCTION("""COMPUTED_VALUE"""),"Undefined")</f>
        <v>Undefined</v>
      </c>
      <c r="C412" s="46" t="str">
        <f>IFERROR(__xludf.DUMMYFUNCTION("""COMPUTED_VALUE"""),"Undefined")</f>
        <v>Undefined</v>
      </c>
      <c r="D412" s="90">
        <f>IFERROR(__xludf.DUMMYFUNCTION("""COMPUTED_VALUE"""),42036.0)</f>
        <v>42036</v>
      </c>
      <c r="E412" s="46">
        <f>IFERROR(__xludf.DUMMYFUNCTION("""COMPUTED_VALUE"""),2015.0)</f>
        <v>2015</v>
      </c>
      <c r="F412" s="46">
        <f>IFERROR(__xludf.DUMMYFUNCTION("""COMPUTED_VALUE"""),1.0)</f>
        <v>1</v>
      </c>
      <c r="G412" s="46">
        <f>IFERROR(__xludf.DUMMYFUNCTION("""COMPUTED_VALUE"""),5217.0)</f>
        <v>5217</v>
      </c>
      <c r="H412" s="46">
        <f>IFERROR(__xludf.DUMMYFUNCTION("""COMPUTED_VALUE"""),3397362.5700000003)</f>
        <v>3397362.57</v>
      </c>
      <c r="I412" s="46">
        <f>IFERROR(__xludf.DUMMYFUNCTION("""COMPUTED_VALUE"""),2738716.3200000003)</f>
        <v>2738716.32</v>
      </c>
      <c r="J412" s="46">
        <f>IFERROR(__xludf.DUMMYFUNCTION("""COMPUTED_VALUE"""),658646.25)</f>
        <v>658646.25</v>
      </c>
      <c r="K412" s="46" t="str">
        <f t="array" ref="K412">TEXT(D412, "mmmm")</f>
        <v>February</v>
      </c>
      <c r="M412" s="46" t="str">
        <f>IFERROR(__xludf.DUMMYFUNCTION("""COMPUTED_VALUE"""),"Latvia")</f>
        <v>Latvia</v>
      </c>
      <c r="N412" s="94">
        <f>IFERROR(__xludf.DUMMYFUNCTION("""COMPUTED_VALUE"""),41153.0)</f>
        <v>41153</v>
      </c>
      <c r="O412" s="46">
        <f>IFERROR(__xludf.DUMMYFUNCTION("""COMPUTED_VALUE"""),1.0)</f>
        <v>1</v>
      </c>
      <c r="P412" s="46">
        <f>IFERROR(__xludf.DUMMYFUNCTION("""COMPUTED_VALUE"""),3915.0)</f>
        <v>3915</v>
      </c>
      <c r="Q412" s="46">
        <f>IFERROR(__xludf.DUMMYFUNCTION("""COMPUTED_VALUE"""),319972.95)</f>
        <v>319972.95</v>
      </c>
      <c r="R412" s="46">
        <f>IFERROR(__xludf.DUMMYFUNCTION("""COMPUTED_VALUE"""),221863.05000000002)</f>
        <v>221863.05</v>
      </c>
      <c r="S412" s="46">
        <f>IFERROR(__xludf.DUMMYFUNCTION("""COMPUTED_VALUE"""),98109.9)</f>
        <v>98109.9</v>
      </c>
    </row>
    <row r="413">
      <c r="A413" s="46" t="str">
        <f>IFERROR(__xludf.DUMMYFUNCTION("""COMPUTED_VALUE"""),"Personal Care")</f>
        <v>Personal Care</v>
      </c>
      <c r="B413" s="46" t="str">
        <f>IFERROR(__xludf.DUMMYFUNCTION("""COMPUTED_VALUE"""),"Portugal")</f>
        <v>Portugal</v>
      </c>
      <c r="C413" s="46" t="str">
        <f>IFERROR(__xludf.DUMMYFUNCTION("""COMPUTED_VALUE"""),"Europe")</f>
        <v>Europe</v>
      </c>
      <c r="D413" s="90">
        <f>IFERROR(__xludf.DUMMYFUNCTION("""COMPUTED_VALUE"""),42036.0)</f>
        <v>42036</v>
      </c>
      <c r="E413" s="46">
        <f>IFERROR(__xludf.DUMMYFUNCTION("""COMPUTED_VALUE"""),2015.0)</f>
        <v>2015</v>
      </c>
      <c r="F413" s="46">
        <f>IFERROR(__xludf.DUMMYFUNCTION("""COMPUTED_VALUE"""),1.0)</f>
        <v>1</v>
      </c>
      <c r="G413" s="46">
        <f>IFERROR(__xludf.DUMMYFUNCTION("""COMPUTED_VALUE"""),5104.0)</f>
        <v>5104</v>
      </c>
      <c r="H413" s="46">
        <f>IFERROR(__xludf.DUMMYFUNCTION("""COMPUTED_VALUE"""),417149.92000000004)</f>
        <v>417149.92</v>
      </c>
      <c r="I413" s="46">
        <f>IFERROR(__xludf.DUMMYFUNCTION("""COMPUTED_VALUE"""),289243.68)</f>
        <v>289243.68</v>
      </c>
      <c r="J413" s="46">
        <f>IFERROR(__xludf.DUMMYFUNCTION("""COMPUTED_VALUE"""),127906.24000000005)</f>
        <v>127906.24</v>
      </c>
      <c r="K413" s="46" t="str">
        <f t="array" ref="K413">TEXT(D413, "mmmm")</f>
        <v>February</v>
      </c>
      <c r="M413" s="46" t="str">
        <f>IFERROR(__xludf.DUMMYFUNCTION("""COMPUTED_VALUE"""),"Macedonia")</f>
        <v>Macedonia</v>
      </c>
      <c r="N413" s="94">
        <f>IFERROR(__xludf.DUMMYFUNCTION("""COMPUTED_VALUE"""),41153.0)</f>
        <v>41153</v>
      </c>
      <c r="O413" s="46">
        <f>IFERROR(__xludf.DUMMYFUNCTION("""COMPUTED_VALUE"""),1.0)</f>
        <v>1</v>
      </c>
      <c r="P413" s="46">
        <f>IFERROR(__xludf.DUMMYFUNCTION("""COMPUTED_VALUE"""),5639.0)</f>
        <v>5639</v>
      </c>
      <c r="Q413" s="46">
        <f>IFERROR(__xludf.DUMMYFUNCTION("""COMPUTED_VALUE"""),860398.6200000001)</f>
        <v>860398.62</v>
      </c>
      <c r="R413" s="46">
        <f>IFERROR(__xludf.DUMMYFUNCTION("""COMPUTED_VALUE"""),549464.16)</f>
        <v>549464.16</v>
      </c>
      <c r="S413" s="46">
        <f>IFERROR(__xludf.DUMMYFUNCTION("""COMPUTED_VALUE"""),310934.4600000001)</f>
        <v>310934.46</v>
      </c>
    </row>
    <row r="414">
      <c r="A414" s="46" t="str">
        <f>IFERROR(__xludf.DUMMYFUNCTION("""COMPUTED_VALUE"""),"Vegetables")</f>
        <v>Vegetables</v>
      </c>
      <c r="B414" s="46" t="str">
        <f>IFERROR(__xludf.DUMMYFUNCTION("""COMPUTED_VALUE"""),"Georgia")</f>
        <v>Georgia</v>
      </c>
      <c r="C414" s="46" t="str">
        <f>IFERROR(__xludf.DUMMYFUNCTION("""COMPUTED_VALUE"""),"Asia")</f>
        <v>Asia</v>
      </c>
      <c r="D414" s="90">
        <f>IFERROR(__xludf.DUMMYFUNCTION("""COMPUTED_VALUE"""),42036.0)</f>
        <v>42036</v>
      </c>
      <c r="E414" s="46">
        <f>IFERROR(__xludf.DUMMYFUNCTION("""COMPUTED_VALUE"""),2015.0)</f>
        <v>2015</v>
      </c>
      <c r="F414" s="46">
        <f>IFERROR(__xludf.DUMMYFUNCTION("""COMPUTED_VALUE"""),1.0)</f>
        <v>1</v>
      </c>
      <c r="G414" s="46">
        <f>IFERROR(__xludf.DUMMYFUNCTION("""COMPUTED_VALUE"""),4013.0)</f>
        <v>4013</v>
      </c>
      <c r="H414" s="46">
        <f>IFERROR(__xludf.DUMMYFUNCTION("""COMPUTED_VALUE"""),618242.78)</f>
        <v>618242.78</v>
      </c>
      <c r="I414" s="46">
        <f>IFERROR(__xludf.DUMMYFUNCTION("""COMPUTED_VALUE"""),364902.09)</f>
        <v>364902.09</v>
      </c>
      <c r="J414" s="46">
        <f>IFERROR(__xludf.DUMMYFUNCTION("""COMPUTED_VALUE"""),253340.69)</f>
        <v>253340.69</v>
      </c>
      <c r="K414" s="46" t="str">
        <f t="array" ref="K414">TEXT(D414, "mmmm")</f>
        <v>February</v>
      </c>
      <c r="M414" s="46" t="str">
        <f>IFERROR(__xludf.DUMMYFUNCTION("""COMPUTED_VALUE"""),"Norway")</f>
        <v>Norway</v>
      </c>
      <c r="N414" s="94">
        <f>IFERROR(__xludf.DUMMYFUNCTION("""COMPUTED_VALUE"""),41153.0)</f>
        <v>41153</v>
      </c>
      <c r="O414" s="46">
        <f>IFERROR(__xludf.DUMMYFUNCTION("""COMPUTED_VALUE"""),1.0)</f>
        <v>1</v>
      </c>
      <c r="P414" s="46">
        <f>IFERROR(__xludf.DUMMYFUNCTION("""COMPUTED_VALUE"""),8194.0)</f>
        <v>8194</v>
      </c>
      <c r="Q414" s="46">
        <f>IFERROR(__xludf.DUMMYFUNCTION("""COMPUTED_VALUE"""),3456966.6599999997)</f>
        <v>3456966.66</v>
      </c>
      <c r="R414" s="46">
        <f>IFERROR(__xludf.DUMMYFUNCTION("""COMPUTED_VALUE"""),2988269.86)</f>
        <v>2988269.86</v>
      </c>
      <c r="S414" s="46">
        <f>IFERROR(__xludf.DUMMYFUNCTION("""COMPUTED_VALUE"""),468696.7999999998)</f>
        <v>468696.8</v>
      </c>
    </row>
    <row r="415">
      <c r="A415" s="46" t="str">
        <f>IFERROR(__xludf.DUMMYFUNCTION("""COMPUTED_VALUE"""),"Vegetables")</f>
        <v>Vegetables</v>
      </c>
      <c r="B415" s="46" t="str">
        <f>IFERROR(__xludf.DUMMYFUNCTION("""COMPUTED_VALUE"""),"Iceland")</f>
        <v>Iceland</v>
      </c>
      <c r="C415" s="46" t="str">
        <f>IFERROR(__xludf.DUMMYFUNCTION("""COMPUTED_VALUE"""),"Europe")</f>
        <v>Europe</v>
      </c>
      <c r="D415" s="90">
        <f>IFERROR(__xludf.DUMMYFUNCTION("""COMPUTED_VALUE"""),42036.0)</f>
        <v>42036</v>
      </c>
      <c r="E415" s="46">
        <f>IFERROR(__xludf.DUMMYFUNCTION("""COMPUTED_VALUE"""),2015.0)</f>
        <v>2015</v>
      </c>
      <c r="F415" s="46">
        <f>IFERROR(__xludf.DUMMYFUNCTION("""COMPUTED_VALUE"""),1.0)</f>
        <v>1</v>
      </c>
      <c r="G415" s="46">
        <f>IFERROR(__xludf.DUMMYFUNCTION("""COMPUTED_VALUE"""),2190.0)</f>
        <v>2190</v>
      </c>
      <c r="H415" s="46">
        <f>IFERROR(__xludf.DUMMYFUNCTION("""COMPUTED_VALUE"""),337391.4)</f>
        <v>337391.4</v>
      </c>
      <c r="I415" s="46">
        <f>IFERROR(__xludf.DUMMYFUNCTION("""COMPUTED_VALUE"""),199136.7)</f>
        <v>199136.7</v>
      </c>
      <c r="J415" s="46">
        <f>IFERROR(__xludf.DUMMYFUNCTION("""COMPUTED_VALUE"""),138254.7)</f>
        <v>138254.7</v>
      </c>
      <c r="K415" s="46" t="str">
        <f t="array" ref="K415">TEXT(D415, "mmmm")</f>
        <v>February</v>
      </c>
      <c r="M415" s="46" t="str">
        <f>IFERROR(__xludf.DUMMYFUNCTION("""COMPUTED_VALUE"""),"Romania")</f>
        <v>Romania</v>
      </c>
      <c r="N415" s="94">
        <f>IFERROR(__xludf.DUMMYFUNCTION("""COMPUTED_VALUE"""),41153.0)</f>
        <v>41153</v>
      </c>
      <c r="O415" s="46">
        <f>IFERROR(__xludf.DUMMYFUNCTION("""COMPUTED_VALUE"""),1.0)</f>
        <v>1</v>
      </c>
      <c r="P415" s="46">
        <f>IFERROR(__xludf.DUMMYFUNCTION("""COMPUTED_VALUE"""),4828.0)</f>
        <v>4828</v>
      </c>
      <c r="Q415" s="46">
        <f>IFERROR(__xludf.DUMMYFUNCTION("""COMPUTED_VALUE"""),993119.6)</f>
        <v>993119.6</v>
      </c>
      <c r="R415" s="46">
        <f>IFERROR(__xludf.DUMMYFUNCTION("""COMPUTED_VALUE"""),565407.08)</f>
        <v>565407.08</v>
      </c>
      <c r="S415" s="46">
        <f>IFERROR(__xludf.DUMMYFUNCTION("""COMPUTED_VALUE"""),427712.52)</f>
        <v>427712.52</v>
      </c>
    </row>
    <row r="416">
      <c r="A416" s="46" t="str">
        <f>IFERROR(__xludf.DUMMYFUNCTION("""COMPUTED_VALUE"""),"Baby Food")</f>
        <v>Baby Food</v>
      </c>
      <c r="B416" s="46" t="str">
        <f>IFERROR(__xludf.DUMMYFUNCTION("""COMPUTED_VALUE"""),"Greece")</f>
        <v>Greece</v>
      </c>
      <c r="C416" s="46" t="str">
        <f>IFERROR(__xludf.DUMMYFUNCTION("""COMPUTED_VALUE"""),"Europe")</f>
        <v>Europe</v>
      </c>
      <c r="D416" s="90">
        <f>IFERROR(__xludf.DUMMYFUNCTION("""COMPUTED_VALUE"""),42005.0)</f>
        <v>42005</v>
      </c>
      <c r="E416" s="46">
        <f>IFERROR(__xludf.DUMMYFUNCTION("""COMPUTED_VALUE"""),2015.0)</f>
        <v>2015</v>
      </c>
      <c r="F416" s="46">
        <f>IFERROR(__xludf.DUMMYFUNCTION("""COMPUTED_VALUE"""),1.0)</f>
        <v>1</v>
      </c>
      <c r="G416" s="46">
        <f>IFERROR(__xludf.DUMMYFUNCTION("""COMPUTED_VALUE"""),6171.0)</f>
        <v>6171</v>
      </c>
      <c r="H416" s="46">
        <f>IFERROR(__xludf.DUMMYFUNCTION("""COMPUTED_VALUE"""),1575332.8800000001)</f>
        <v>1575332.88</v>
      </c>
      <c r="I416" s="46">
        <f>IFERROR(__xludf.DUMMYFUNCTION("""COMPUTED_VALUE"""),983780.82)</f>
        <v>983780.82</v>
      </c>
      <c r="J416" s="46">
        <f>IFERROR(__xludf.DUMMYFUNCTION("""COMPUTED_VALUE"""),591552.0600000002)</f>
        <v>591552.06</v>
      </c>
      <c r="K416" s="46" t="str">
        <f t="array" ref="K416">TEXT(D416, "mmmm")</f>
        <v>January</v>
      </c>
      <c r="M416" s="46" t="str">
        <f>IFERROR(__xludf.DUMMYFUNCTION("""COMPUTED_VALUE"""),"Serbia")</f>
        <v>Serbia</v>
      </c>
      <c r="N416" s="94">
        <f>IFERROR(__xludf.DUMMYFUNCTION("""COMPUTED_VALUE"""),41153.0)</f>
        <v>41153</v>
      </c>
      <c r="O416" s="46">
        <f>IFERROR(__xludf.DUMMYFUNCTION("""COMPUTED_VALUE"""),1.0)</f>
        <v>1</v>
      </c>
      <c r="P416" s="46">
        <f>IFERROR(__xludf.DUMMYFUNCTION("""COMPUTED_VALUE"""),978.0)</f>
        <v>978</v>
      </c>
      <c r="Q416" s="46">
        <f>IFERROR(__xludf.DUMMYFUNCTION("""COMPUTED_VALUE"""),46406.100000000006)</f>
        <v>46406.1</v>
      </c>
      <c r="R416" s="46">
        <f>IFERROR(__xludf.DUMMYFUNCTION("""COMPUTED_VALUE"""),31090.62)</f>
        <v>31090.62</v>
      </c>
      <c r="S416" s="46">
        <f>IFERROR(__xludf.DUMMYFUNCTION("""COMPUTED_VALUE"""),15315.480000000007)</f>
        <v>15315.48</v>
      </c>
    </row>
    <row r="417">
      <c r="A417" s="46" t="str">
        <f>IFERROR(__xludf.DUMMYFUNCTION("""COMPUTED_VALUE"""),"Baby Food")</f>
        <v>Baby Food</v>
      </c>
      <c r="B417" s="46" t="str">
        <f>IFERROR(__xludf.DUMMYFUNCTION("""COMPUTED_VALUE"""),"Liechtenstein")</f>
        <v>Liechtenstein</v>
      </c>
      <c r="C417" s="46" t="str">
        <f>IFERROR(__xludf.DUMMYFUNCTION("""COMPUTED_VALUE"""),"Europe")</f>
        <v>Europe</v>
      </c>
      <c r="D417" s="90">
        <f>IFERROR(__xludf.DUMMYFUNCTION("""COMPUTED_VALUE"""),42005.0)</f>
        <v>42005</v>
      </c>
      <c r="E417" s="46">
        <f>IFERROR(__xludf.DUMMYFUNCTION("""COMPUTED_VALUE"""),2015.0)</f>
        <v>2015</v>
      </c>
      <c r="F417" s="46">
        <f>IFERROR(__xludf.DUMMYFUNCTION("""COMPUTED_VALUE"""),1.0)</f>
        <v>1</v>
      </c>
      <c r="G417" s="46">
        <f>IFERROR(__xludf.DUMMYFUNCTION("""COMPUTED_VALUE"""),9052.0)</f>
        <v>9052</v>
      </c>
      <c r="H417" s="46">
        <f>IFERROR(__xludf.DUMMYFUNCTION("""COMPUTED_VALUE"""),2310794.56)</f>
        <v>2310794.56</v>
      </c>
      <c r="I417" s="46">
        <f>IFERROR(__xludf.DUMMYFUNCTION("""COMPUTED_VALUE"""),1443069.8399999999)</f>
        <v>1443069.84</v>
      </c>
      <c r="J417" s="46">
        <f>IFERROR(__xludf.DUMMYFUNCTION("""COMPUTED_VALUE"""),867724.7200000002)</f>
        <v>867724.72</v>
      </c>
      <c r="K417" s="46" t="str">
        <f t="array" ref="K417">TEXT(D417, "mmmm")</f>
        <v>January</v>
      </c>
      <c r="M417" s="46" t="str">
        <f>IFERROR(__xludf.DUMMYFUNCTION("""COMPUTED_VALUE"""),"Undefined")</f>
        <v>Undefined</v>
      </c>
      <c r="N417" s="94">
        <f>IFERROR(__xludf.DUMMYFUNCTION("""COMPUTED_VALUE"""),41153.0)</f>
        <v>41153</v>
      </c>
      <c r="O417" s="46">
        <f>IFERROR(__xludf.DUMMYFUNCTION("""COMPUTED_VALUE"""),2.0)</f>
        <v>2</v>
      </c>
      <c r="P417" s="46">
        <f>IFERROR(__xludf.DUMMYFUNCTION("""COMPUTED_VALUE"""),7719.0)</f>
        <v>7719</v>
      </c>
      <c r="Q417" s="46">
        <f>IFERROR(__xludf.DUMMYFUNCTION("""COMPUTED_VALUE"""),2021488.98)</f>
        <v>2021488.98</v>
      </c>
      <c r="R417" s="46">
        <f>IFERROR(__xludf.DUMMYFUNCTION("""COMPUTED_VALUE"""),1293375.5999999999)</f>
        <v>1293375.6</v>
      </c>
      <c r="S417" s="46">
        <f>IFERROR(__xludf.DUMMYFUNCTION("""COMPUTED_VALUE"""),728113.3799999999)</f>
        <v>728113.38</v>
      </c>
    </row>
    <row r="418">
      <c r="A418" s="46" t="str">
        <f>IFERROR(__xludf.DUMMYFUNCTION("""COMPUTED_VALUE"""),"Cereal")</f>
        <v>Cereal</v>
      </c>
      <c r="B418" s="46" t="str">
        <f>IFERROR(__xludf.DUMMYFUNCTION("""COMPUTED_VALUE"""),"Slovakia")</f>
        <v>Slovakia</v>
      </c>
      <c r="C418" s="46" t="str">
        <f>IFERROR(__xludf.DUMMYFUNCTION("""COMPUTED_VALUE"""),"Europe")</f>
        <v>Europe</v>
      </c>
      <c r="D418" s="90">
        <f>IFERROR(__xludf.DUMMYFUNCTION("""COMPUTED_VALUE"""),42005.0)</f>
        <v>42005</v>
      </c>
      <c r="E418" s="46">
        <f>IFERROR(__xludf.DUMMYFUNCTION("""COMPUTED_VALUE"""),2015.0)</f>
        <v>2015</v>
      </c>
      <c r="F418" s="46">
        <f>IFERROR(__xludf.DUMMYFUNCTION("""COMPUTED_VALUE"""),1.0)</f>
        <v>1</v>
      </c>
      <c r="G418" s="46">
        <f>IFERROR(__xludf.DUMMYFUNCTION("""COMPUTED_VALUE"""),2303.0)</f>
        <v>2303</v>
      </c>
      <c r="H418" s="46">
        <f>IFERROR(__xludf.DUMMYFUNCTION("""COMPUTED_VALUE"""),473727.1)</f>
        <v>473727.1</v>
      </c>
      <c r="I418" s="46">
        <f>IFERROR(__xludf.DUMMYFUNCTION("""COMPUTED_VALUE"""),269704.33)</f>
        <v>269704.33</v>
      </c>
      <c r="J418" s="46">
        <f>IFERROR(__xludf.DUMMYFUNCTION("""COMPUTED_VALUE"""),204022.76999999996)</f>
        <v>204022.77</v>
      </c>
      <c r="K418" s="46" t="str">
        <f t="array" ref="K418">TEXT(D418, "mmmm")</f>
        <v>January</v>
      </c>
      <c r="M418" s="46" t="str">
        <f>IFERROR(__xludf.DUMMYFUNCTION("""COMPUTED_VALUE"""),"United Kingdom")</f>
        <v>United Kingdom</v>
      </c>
      <c r="N418" s="94">
        <f>IFERROR(__xludf.DUMMYFUNCTION("""COMPUTED_VALUE"""),41153.0)</f>
        <v>41153</v>
      </c>
      <c r="O418" s="46">
        <f>IFERROR(__xludf.DUMMYFUNCTION("""COMPUTED_VALUE"""),1.0)</f>
        <v>1</v>
      </c>
      <c r="P418" s="46">
        <f>IFERROR(__xludf.DUMMYFUNCTION("""COMPUTED_VALUE"""),3341.0)</f>
        <v>3341</v>
      </c>
      <c r="Q418" s="46">
        <f>IFERROR(__xludf.DUMMYFUNCTION("""COMPUTED_VALUE"""),514714.46)</f>
        <v>514714.46</v>
      </c>
      <c r="R418" s="46">
        <f>IFERROR(__xludf.DUMMYFUNCTION("""COMPUTED_VALUE"""),303797.13)</f>
        <v>303797.13</v>
      </c>
      <c r="S418" s="46">
        <f>IFERROR(__xludf.DUMMYFUNCTION("""COMPUTED_VALUE"""),210917.33000000002)</f>
        <v>210917.33</v>
      </c>
    </row>
    <row r="419">
      <c r="A419" s="46" t="str">
        <f>IFERROR(__xludf.DUMMYFUNCTION("""COMPUTED_VALUE"""),"Cereal")</f>
        <v>Cereal</v>
      </c>
      <c r="B419" s="46" t="str">
        <f>IFERROR(__xludf.DUMMYFUNCTION("""COMPUTED_VALUE"""),"Spain")</f>
        <v>Spain</v>
      </c>
      <c r="C419" s="46" t="str">
        <f>IFERROR(__xludf.DUMMYFUNCTION("""COMPUTED_VALUE"""),"Europe")</f>
        <v>Europe</v>
      </c>
      <c r="D419" s="90">
        <f>IFERROR(__xludf.DUMMYFUNCTION("""COMPUTED_VALUE"""),42005.0)</f>
        <v>42005</v>
      </c>
      <c r="E419" s="46">
        <f>IFERROR(__xludf.DUMMYFUNCTION("""COMPUTED_VALUE"""),2015.0)</f>
        <v>2015</v>
      </c>
      <c r="F419" s="46">
        <f>IFERROR(__xludf.DUMMYFUNCTION("""COMPUTED_VALUE"""),1.0)</f>
        <v>1</v>
      </c>
      <c r="G419" s="46">
        <f>IFERROR(__xludf.DUMMYFUNCTION("""COMPUTED_VALUE"""),5222.0)</f>
        <v>5222</v>
      </c>
      <c r="H419" s="46">
        <f>IFERROR(__xludf.DUMMYFUNCTION("""COMPUTED_VALUE"""),1074165.4)</f>
        <v>1074165.4</v>
      </c>
      <c r="I419" s="46">
        <f>IFERROR(__xludf.DUMMYFUNCTION("""COMPUTED_VALUE"""),611548.42)</f>
        <v>611548.42</v>
      </c>
      <c r="J419" s="46">
        <f>IFERROR(__xludf.DUMMYFUNCTION("""COMPUTED_VALUE"""),462616.97999999986)</f>
        <v>462616.98</v>
      </c>
      <c r="K419" s="46" t="str">
        <f t="array" ref="K419">TEXT(D419, "mmmm")</f>
        <v>January</v>
      </c>
      <c r="M419" s="46" t="str">
        <f>IFERROR(__xludf.DUMMYFUNCTION("""COMPUTED_VALUE"""),"Albania")</f>
        <v>Albania</v>
      </c>
      <c r="N419" s="94">
        <f>IFERROR(__xludf.DUMMYFUNCTION("""COMPUTED_VALUE"""),41183.0)</f>
        <v>41183</v>
      </c>
      <c r="O419" s="46">
        <f>IFERROR(__xludf.DUMMYFUNCTION("""COMPUTED_VALUE"""),2.0)</f>
        <v>2</v>
      </c>
      <c r="P419" s="46">
        <f>IFERROR(__xludf.DUMMYFUNCTION("""COMPUTED_VALUE"""),6434.0)</f>
        <v>6434</v>
      </c>
      <c r="Q419" s="46">
        <f>IFERROR(__xludf.DUMMYFUNCTION("""COMPUTED_VALUE"""),871392.4)</f>
        <v>871392.4</v>
      </c>
      <c r="R419" s="46">
        <f>IFERROR(__xludf.DUMMYFUNCTION("""COMPUTED_VALUE"""),518570.26000000007)</f>
        <v>518570.26</v>
      </c>
      <c r="S419" s="46">
        <f>IFERROR(__xludf.DUMMYFUNCTION("""COMPUTED_VALUE"""),352822.13999999996)</f>
        <v>352822.14</v>
      </c>
    </row>
    <row r="420">
      <c r="A420" s="46" t="str">
        <f>IFERROR(__xludf.DUMMYFUNCTION("""COMPUTED_VALUE"""),"Clothes")</f>
        <v>Clothes</v>
      </c>
      <c r="B420" s="46" t="str">
        <f>IFERROR(__xludf.DUMMYFUNCTION("""COMPUTED_VALUE"""),"Greece")</f>
        <v>Greece</v>
      </c>
      <c r="C420" s="46" t="str">
        <f>IFERROR(__xludf.DUMMYFUNCTION("""COMPUTED_VALUE"""),"Europe")</f>
        <v>Europe</v>
      </c>
      <c r="D420" s="90">
        <f>IFERROR(__xludf.DUMMYFUNCTION("""COMPUTED_VALUE"""),42005.0)</f>
        <v>42005</v>
      </c>
      <c r="E420" s="46">
        <f>IFERROR(__xludf.DUMMYFUNCTION("""COMPUTED_VALUE"""),2015.0)</f>
        <v>2015</v>
      </c>
      <c r="F420" s="46">
        <f>IFERROR(__xludf.DUMMYFUNCTION("""COMPUTED_VALUE"""),1.0)</f>
        <v>1</v>
      </c>
      <c r="G420" s="46">
        <f>IFERROR(__xludf.DUMMYFUNCTION("""COMPUTED_VALUE"""),9440.0)</f>
        <v>9440</v>
      </c>
      <c r="H420" s="46">
        <f>IFERROR(__xludf.DUMMYFUNCTION("""COMPUTED_VALUE"""),1031603.2)</f>
        <v>1031603.2</v>
      </c>
      <c r="I420" s="46">
        <f>IFERROR(__xludf.DUMMYFUNCTION("""COMPUTED_VALUE"""),338329.60000000003)</f>
        <v>338329.6</v>
      </c>
      <c r="J420" s="46">
        <f>IFERROR(__xludf.DUMMYFUNCTION("""COMPUTED_VALUE"""),693273.5999999999)</f>
        <v>693273.6</v>
      </c>
      <c r="K420" s="46" t="str">
        <f t="array" ref="K420">TEXT(D420, "mmmm")</f>
        <v>January</v>
      </c>
      <c r="M420" s="46" t="str">
        <f>IFERROR(__xludf.DUMMYFUNCTION("""COMPUTED_VALUE"""),"Bosnia and Herzegovina")</f>
        <v>Bosnia and Herzegovina</v>
      </c>
      <c r="N420" s="94">
        <f>IFERROR(__xludf.DUMMYFUNCTION("""COMPUTED_VALUE"""),41183.0)</f>
        <v>41183</v>
      </c>
      <c r="O420" s="46">
        <f>IFERROR(__xludf.DUMMYFUNCTION("""COMPUTED_VALUE"""),1.0)</f>
        <v>1</v>
      </c>
      <c r="P420" s="46">
        <f>IFERROR(__xludf.DUMMYFUNCTION("""COMPUTED_VALUE"""),9410.0)</f>
        <v>9410</v>
      </c>
      <c r="Q420" s="46">
        <f>IFERROR(__xludf.DUMMYFUNCTION("""COMPUTED_VALUE"""),2402184.8)</f>
        <v>2402184.8</v>
      </c>
      <c r="R420" s="46">
        <f>IFERROR(__xludf.DUMMYFUNCTION("""COMPUTED_VALUE"""),1500142.2)</f>
        <v>1500142.2</v>
      </c>
      <c r="S420" s="46">
        <f>IFERROR(__xludf.DUMMYFUNCTION("""COMPUTED_VALUE"""),902042.5999999999)</f>
        <v>902042.6</v>
      </c>
    </row>
    <row r="421">
      <c r="A421" s="46" t="str">
        <f>IFERROR(__xludf.DUMMYFUNCTION("""COMPUTED_VALUE"""),"Clothes")</f>
        <v>Clothes</v>
      </c>
      <c r="B421" s="46" t="str">
        <f>IFERROR(__xludf.DUMMYFUNCTION("""COMPUTED_VALUE"""),"Hungary")</f>
        <v>Hungary</v>
      </c>
      <c r="C421" s="46" t="str">
        <f>IFERROR(__xludf.DUMMYFUNCTION("""COMPUTED_VALUE"""),"Europe")</f>
        <v>Europe</v>
      </c>
      <c r="D421" s="90">
        <f>IFERROR(__xludf.DUMMYFUNCTION("""COMPUTED_VALUE"""),42005.0)</f>
        <v>42005</v>
      </c>
      <c r="E421" s="46">
        <f>IFERROR(__xludf.DUMMYFUNCTION("""COMPUTED_VALUE"""),2015.0)</f>
        <v>2015</v>
      </c>
      <c r="F421" s="46">
        <f>IFERROR(__xludf.DUMMYFUNCTION("""COMPUTED_VALUE"""),1.0)</f>
        <v>1</v>
      </c>
      <c r="G421" s="46">
        <f>IFERROR(__xludf.DUMMYFUNCTION("""COMPUTED_VALUE"""),2359.0)</f>
        <v>2359</v>
      </c>
      <c r="H421" s="46">
        <f>IFERROR(__xludf.DUMMYFUNCTION("""COMPUTED_VALUE"""),257791.52)</f>
        <v>257791.52</v>
      </c>
      <c r="I421" s="46">
        <f>IFERROR(__xludf.DUMMYFUNCTION("""COMPUTED_VALUE"""),84546.56000000001)</f>
        <v>84546.56</v>
      </c>
      <c r="J421" s="46">
        <f>IFERROR(__xludf.DUMMYFUNCTION("""COMPUTED_VALUE"""),173244.95999999996)</f>
        <v>173244.96</v>
      </c>
      <c r="K421" s="46" t="str">
        <f t="array" ref="K421">TEXT(D421, "mmmm")</f>
        <v>January</v>
      </c>
      <c r="M421" s="46" t="str">
        <f>IFERROR(__xludf.DUMMYFUNCTION("""COMPUTED_VALUE"""),"Bulgaria")</f>
        <v>Bulgaria</v>
      </c>
      <c r="N421" s="94">
        <f>IFERROR(__xludf.DUMMYFUNCTION("""COMPUTED_VALUE"""),41183.0)</f>
        <v>41183</v>
      </c>
      <c r="O421" s="46">
        <f>IFERROR(__xludf.DUMMYFUNCTION("""COMPUTED_VALUE"""),1.0)</f>
        <v>1</v>
      </c>
      <c r="P421" s="46">
        <f>IFERROR(__xludf.DUMMYFUNCTION("""COMPUTED_VALUE"""),9530.0)</f>
        <v>9530</v>
      </c>
      <c r="Q421" s="46">
        <f>IFERROR(__xludf.DUMMYFUNCTION("""COMPUTED_VALUE"""),778886.9)</f>
        <v>778886.9</v>
      </c>
      <c r="R421" s="46">
        <f>IFERROR(__xludf.DUMMYFUNCTION("""COMPUTED_VALUE"""),540065.1)</f>
        <v>540065.1</v>
      </c>
      <c r="S421" s="46">
        <f>IFERROR(__xludf.DUMMYFUNCTION("""COMPUTED_VALUE"""),238821.80000000005)</f>
        <v>238821.8</v>
      </c>
    </row>
    <row r="422">
      <c r="A422" s="46" t="str">
        <f>IFERROR(__xludf.DUMMYFUNCTION("""COMPUTED_VALUE"""),"Cosmetics")</f>
        <v>Cosmetics</v>
      </c>
      <c r="B422" s="46" t="str">
        <f>IFERROR(__xludf.DUMMYFUNCTION("""COMPUTED_VALUE"""),"Luxembourg")</f>
        <v>Luxembourg</v>
      </c>
      <c r="C422" s="46" t="str">
        <f>IFERROR(__xludf.DUMMYFUNCTION("""COMPUTED_VALUE"""),"Europe")</f>
        <v>Europe</v>
      </c>
      <c r="D422" s="90">
        <f>IFERROR(__xludf.DUMMYFUNCTION("""COMPUTED_VALUE"""),42005.0)</f>
        <v>42005</v>
      </c>
      <c r="E422" s="46">
        <f>IFERROR(__xludf.DUMMYFUNCTION("""COMPUTED_VALUE"""),2015.0)</f>
        <v>2015</v>
      </c>
      <c r="F422" s="46">
        <f>IFERROR(__xludf.DUMMYFUNCTION("""COMPUTED_VALUE"""),1.0)</f>
        <v>1</v>
      </c>
      <c r="G422" s="46">
        <f>IFERROR(__xludf.DUMMYFUNCTION("""COMPUTED_VALUE"""),1789.0)</f>
        <v>1789</v>
      </c>
      <c r="H422" s="46">
        <f>IFERROR(__xludf.DUMMYFUNCTION("""COMPUTED_VALUE"""),782150.7999999999)</f>
        <v>782150.8</v>
      </c>
      <c r="I422" s="46">
        <f>IFERROR(__xludf.DUMMYFUNCTION("""COMPUTED_VALUE"""),471097.37)</f>
        <v>471097.37</v>
      </c>
      <c r="J422" s="46">
        <f>IFERROR(__xludf.DUMMYFUNCTION("""COMPUTED_VALUE"""),311053.42999999993)</f>
        <v>311053.43</v>
      </c>
      <c r="K422" s="46" t="str">
        <f t="array" ref="K422">TEXT(D422, "mmmm")</f>
        <v>January</v>
      </c>
      <c r="M422" s="46" t="str">
        <f>IFERROR(__xludf.DUMMYFUNCTION("""COMPUTED_VALUE"""),"Cyprus")</f>
        <v>Cyprus</v>
      </c>
      <c r="N422" s="94">
        <f>IFERROR(__xludf.DUMMYFUNCTION("""COMPUTED_VALUE"""),41183.0)</f>
        <v>41183</v>
      </c>
      <c r="O422" s="46">
        <f>IFERROR(__xludf.DUMMYFUNCTION("""COMPUTED_VALUE"""),1.0)</f>
        <v>1</v>
      </c>
      <c r="P422" s="46">
        <f>IFERROR(__xludf.DUMMYFUNCTION("""COMPUTED_VALUE"""),3064.0)</f>
        <v>3064</v>
      </c>
      <c r="Q422" s="46">
        <f>IFERROR(__xludf.DUMMYFUNCTION("""COMPUTED_VALUE"""),467505.12000000005)</f>
        <v>467505.12</v>
      </c>
      <c r="R422" s="46">
        <f>IFERROR(__xludf.DUMMYFUNCTION("""COMPUTED_VALUE"""),298556.16)</f>
        <v>298556.16</v>
      </c>
      <c r="S422" s="46">
        <f>IFERROR(__xludf.DUMMYFUNCTION("""COMPUTED_VALUE"""),168948.96000000008)</f>
        <v>168948.96</v>
      </c>
    </row>
    <row r="423">
      <c r="A423" s="46" t="str">
        <f>IFERROR(__xludf.DUMMYFUNCTION("""COMPUTED_VALUE"""),"Cosmetics")</f>
        <v>Cosmetics</v>
      </c>
      <c r="B423" s="46" t="str">
        <f>IFERROR(__xludf.DUMMYFUNCTION("""COMPUTED_VALUE"""),"Malta")</f>
        <v>Malta</v>
      </c>
      <c r="C423" s="46" t="str">
        <f>IFERROR(__xludf.DUMMYFUNCTION("""COMPUTED_VALUE"""),"Europe")</f>
        <v>Europe</v>
      </c>
      <c r="D423" s="90">
        <f>IFERROR(__xludf.DUMMYFUNCTION("""COMPUTED_VALUE"""),42005.0)</f>
        <v>42005</v>
      </c>
      <c r="E423" s="46">
        <f>IFERROR(__xludf.DUMMYFUNCTION("""COMPUTED_VALUE"""),2015.0)</f>
        <v>2015</v>
      </c>
      <c r="F423" s="46">
        <f>IFERROR(__xludf.DUMMYFUNCTION("""COMPUTED_VALUE"""),1.0)</f>
        <v>1</v>
      </c>
      <c r="G423" s="46">
        <f>IFERROR(__xludf.DUMMYFUNCTION("""COMPUTED_VALUE"""),8857.0)</f>
        <v>8857</v>
      </c>
      <c r="H423" s="46">
        <f>IFERROR(__xludf.DUMMYFUNCTION("""COMPUTED_VALUE"""),3872280.4)</f>
        <v>3872280.4</v>
      </c>
      <c r="I423" s="46">
        <f>IFERROR(__xludf.DUMMYFUNCTION("""COMPUTED_VALUE"""),2332313.81)</f>
        <v>2332313.81</v>
      </c>
      <c r="J423" s="46">
        <f>IFERROR(__xludf.DUMMYFUNCTION("""COMPUTED_VALUE"""),1539966.5899999999)</f>
        <v>1539966.59</v>
      </c>
      <c r="K423" s="46" t="str">
        <f t="array" ref="K423">TEXT(D423, "mmmm")</f>
        <v>January</v>
      </c>
      <c r="M423" s="46" t="str">
        <f>IFERROR(__xludf.DUMMYFUNCTION("""COMPUTED_VALUE"""),"Georgia")</f>
        <v>Georgia</v>
      </c>
      <c r="N423" s="94">
        <f>IFERROR(__xludf.DUMMYFUNCTION("""COMPUTED_VALUE"""),41183.0)</f>
        <v>41183</v>
      </c>
      <c r="O423" s="46">
        <f>IFERROR(__xludf.DUMMYFUNCTION("""COMPUTED_VALUE"""),1.0)</f>
        <v>1</v>
      </c>
      <c r="P423" s="46">
        <f>IFERROR(__xludf.DUMMYFUNCTION("""COMPUTED_VALUE"""),855.0)</f>
        <v>855</v>
      </c>
      <c r="Q423" s="46">
        <f>IFERROR(__xludf.DUMMYFUNCTION("""COMPUTED_VALUE"""),7977.15)</f>
        <v>7977.15</v>
      </c>
      <c r="R423" s="46">
        <f>IFERROR(__xludf.DUMMYFUNCTION("""COMPUTED_VALUE"""),5916.6)</f>
        <v>5916.6</v>
      </c>
      <c r="S423" s="46">
        <f>IFERROR(__xludf.DUMMYFUNCTION("""COMPUTED_VALUE"""),2060.5499999999993)</f>
        <v>2060.55</v>
      </c>
    </row>
    <row r="424">
      <c r="A424" s="46" t="str">
        <f>IFERROR(__xludf.DUMMYFUNCTION("""COMPUTED_VALUE"""),"Fruits")</f>
        <v>Fruits</v>
      </c>
      <c r="B424" s="46" t="str">
        <f>IFERROR(__xludf.DUMMYFUNCTION("""COMPUTED_VALUE"""),"Sweden")</f>
        <v>Sweden</v>
      </c>
      <c r="C424" s="46" t="str">
        <f>IFERROR(__xludf.DUMMYFUNCTION("""COMPUTED_VALUE"""),"Europe")</f>
        <v>Europe</v>
      </c>
      <c r="D424" s="90">
        <f>IFERROR(__xludf.DUMMYFUNCTION("""COMPUTED_VALUE"""),42005.0)</f>
        <v>42005</v>
      </c>
      <c r="E424" s="46">
        <f>IFERROR(__xludf.DUMMYFUNCTION("""COMPUTED_VALUE"""),2015.0)</f>
        <v>2015</v>
      </c>
      <c r="F424" s="46">
        <f>IFERROR(__xludf.DUMMYFUNCTION("""COMPUTED_VALUE"""),1.0)</f>
        <v>1</v>
      </c>
      <c r="G424" s="46">
        <f>IFERROR(__xludf.DUMMYFUNCTION("""COMPUTED_VALUE"""),5306.0)</f>
        <v>5306</v>
      </c>
      <c r="H424" s="46">
        <f>IFERROR(__xludf.DUMMYFUNCTION("""COMPUTED_VALUE"""),49504.98)</f>
        <v>49504.98</v>
      </c>
      <c r="I424" s="46">
        <f>IFERROR(__xludf.DUMMYFUNCTION("""COMPUTED_VALUE"""),36717.52)</f>
        <v>36717.52</v>
      </c>
      <c r="J424" s="46">
        <f>IFERROR(__xludf.DUMMYFUNCTION("""COMPUTED_VALUE"""),12787.460000000006)</f>
        <v>12787.46</v>
      </c>
      <c r="K424" s="46" t="str">
        <f t="array" ref="K424">TEXT(D424, "mmmm")</f>
        <v>January</v>
      </c>
      <c r="M424" s="46" t="str">
        <f>IFERROR(__xludf.DUMMYFUNCTION("""COMPUTED_VALUE"""),"Greece")</f>
        <v>Greece</v>
      </c>
      <c r="N424" s="94">
        <f>IFERROR(__xludf.DUMMYFUNCTION("""COMPUTED_VALUE"""),41183.0)</f>
        <v>41183</v>
      </c>
      <c r="O424" s="46">
        <f>IFERROR(__xludf.DUMMYFUNCTION("""COMPUTED_VALUE"""),1.0)</f>
        <v>1</v>
      </c>
      <c r="P424" s="46">
        <f>IFERROR(__xludf.DUMMYFUNCTION("""COMPUTED_VALUE"""),8586.0)</f>
        <v>8586</v>
      </c>
      <c r="Q424" s="46">
        <f>IFERROR(__xludf.DUMMYFUNCTION("""COMPUTED_VALUE"""),1322759.16)</f>
        <v>1322759.16</v>
      </c>
      <c r="R424" s="46">
        <f>IFERROR(__xludf.DUMMYFUNCTION("""COMPUTED_VALUE"""),780724.9800000001)</f>
        <v>780724.98</v>
      </c>
      <c r="S424" s="46">
        <f>IFERROR(__xludf.DUMMYFUNCTION("""COMPUTED_VALUE"""),542034.1799999998)</f>
        <v>542034.18</v>
      </c>
    </row>
    <row r="425">
      <c r="A425" s="46" t="str">
        <f>IFERROR(__xludf.DUMMYFUNCTION("""COMPUTED_VALUE"""),"Fruits")</f>
        <v>Fruits</v>
      </c>
      <c r="B425" s="46" t="str">
        <f>IFERROR(__xludf.DUMMYFUNCTION("""COMPUTED_VALUE"""),"Undefined")</f>
        <v>Undefined</v>
      </c>
      <c r="C425" s="46" t="str">
        <f>IFERROR(__xludf.DUMMYFUNCTION("""COMPUTED_VALUE"""),"Undefined")</f>
        <v>Undefined</v>
      </c>
      <c r="D425" s="90">
        <f>IFERROR(__xludf.DUMMYFUNCTION("""COMPUTED_VALUE"""),42005.0)</f>
        <v>42005</v>
      </c>
      <c r="E425" s="46">
        <f>IFERROR(__xludf.DUMMYFUNCTION("""COMPUTED_VALUE"""),2015.0)</f>
        <v>2015</v>
      </c>
      <c r="F425" s="46">
        <f>IFERROR(__xludf.DUMMYFUNCTION("""COMPUTED_VALUE"""),1.0)</f>
        <v>1</v>
      </c>
      <c r="G425" s="46">
        <f>IFERROR(__xludf.DUMMYFUNCTION("""COMPUTED_VALUE"""),6813.0)</f>
        <v>6813</v>
      </c>
      <c r="H425" s="46">
        <f>IFERROR(__xludf.DUMMYFUNCTION("""COMPUTED_VALUE"""),63565.29)</f>
        <v>63565.29</v>
      </c>
      <c r="I425" s="46">
        <f>IFERROR(__xludf.DUMMYFUNCTION("""COMPUTED_VALUE"""),47145.96)</f>
        <v>47145.96</v>
      </c>
      <c r="J425" s="46">
        <f>IFERROR(__xludf.DUMMYFUNCTION("""COMPUTED_VALUE"""),16419.33)</f>
        <v>16419.33</v>
      </c>
      <c r="K425" s="46" t="str">
        <f t="array" ref="K425">TEXT(D425, "mmmm")</f>
        <v>January</v>
      </c>
      <c r="M425" s="46" t="str">
        <f>IFERROR(__xludf.DUMMYFUNCTION("""COMPUTED_VALUE"""),"Iceland")</f>
        <v>Iceland</v>
      </c>
      <c r="N425" s="94">
        <f>IFERROR(__xludf.DUMMYFUNCTION("""COMPUTED_VALUE"""),41183.0)</f>
        <v>41183</v>
      </c>
      <c r="O425" s="46">
        <f>IFERROR(__xludf.DUMMYFUNCTION("""COMPUTED_VALUE"""),1.0)</f>
        <v>1</v>
      </c>
      <c r="P425" s="46">
        <f>IFERROR(__xludf.DUMMYFUNCTION("""COMPUTED_VALUE"""),8441.0)</f>
        <v>8441</v>
      </c>
      <c r="Q425" s="46">
        <f>IFERROR(__xludf.DUMMYFUNCTION("""COMPUTED_VALUE"""),1287927.78)</f>
        <v>1287927.78</v>
      </c>
      <c r="R425" s="46">
        <f>IFERROR(__xludf.DUMMYFUNCTION("""COMPUTED_VALUE"""),822491.04)</f>
        <v>822491.04</v>
      </c>
      <c r="S425" s="46">
        <f>IFERROR(__xludf.DUMMYFUNCTION("""COMPUTED_VALUE"""),465436.74)</f>
        <v>465436.74</v>
      </c>
    </row>
    <row r="426">
      <c r="A426" s="46" t="str">
        <f>IFERROR(__xludf.DUMMYFUNCTION("""COMPUTED_VALUE"""),"Meat")</f>
        <v>Meat</v>
      </c>
      <c r="B426" s="46" t="str">
        <f>IFERROR(__xludf.DUMMYFUNCTION("""COMPUTED_VALUE"""),"Czech Republic")</f>
        <v>Czech Republic</v>
      </c>
      <c r="C426" s="46" t="str">
        <f>IFERROR(__xludf.DUMMYFUNCTION("""COMPUTED_VALUE"""),"Europe")</f>
        <v>Europe</v>
      </c>
      <c r="D426" s="90">
        <f>IFERROR(__xludf.DUMMYFUNCTION("""COMPUTED_VALUE"""),42005.0)</f>
        <v>42005</v>
      </c>
      <c r="E426" s="46">
        <f>IFERROR(__xludf.DUMMYFUNCTION("""COMPUTED_VALUE"""),2015.0)</f>
        <v>2015</v>
      </c>
      <c r="F426" s="46">
        <f>IFERROR(__xludf.DUMMYFUNCTION("""COMPUTED_VALUE"""),2.0)</f>
        <v>2</v>
      </c>
      <c r="G426" s="46">
        <f>IFERROR(__xludf.DUMMYFUNCTION("""COMPUTED_VALUE"""),4349.0)</f>
        <v>4349</v>
      </c>
      <c r="H426" s="46">
        <f>IFERROR(__xludf.DUMMYFUNCTION("""COMPUTED_VALUE"""),1834799.61)</f>
        <v>1834799.61</v>
      </c>
      <c r="I426" s="46">
        <f>IFERROR(__xludf.DUMMYFUNCTION("""COMPUTED_VALUE"""),1586036.81)</f>
        <v>1586036.81</v>
      </c>
      <c r="J426" s="46">
        <f>IFERROR(__xludf.DUMMYFUNCTION("""COMPUTED_VALUE"""),248762.8000000001)</f>
        <v>248762.8</v>
      </c>
      <c r="K426" s="46" t="str">
        <f t="array" ref="K426">TEXT(D426, "mmmm")</f>
        <v>January</v>
      </c>
      <c r="M426" s="46" t="str">
        <f>IFERROR(__xludf.DUMMYFUNCTION("""COMPUTED_VALUE"""),"Ireland")</f>
        <v>Ireland</v>
      </c>
      <c r="N426" s="94">
        <f>IFERROR(__xludf.DUMMYFUNCTION("""COMPUTED_VALUE"""),41183.0)</f>
        <v>41183</v>
      </c>
      <c r="O426" s="46">
        <f>IFERROR(__xludf.DUMMYFUNCTION("""COMPUTED_VALUE"""),1.0)</f>
        <v>1</v>
      </c>
      <c r="P426" s="46">
        <f>IFERROR(__xludf.DUMMYFUNCTION("""COMPUTED_VALUE"""),9996.0)</f>
        <v>9996</v>
      </c>
      <c r="Q426" s="46">
        <f>IFERROR(__xludf.DUMMYFUNCTION("""COMPUTED_VALUE"""),1092362.8800000001)</f>
        <v>1092362.88</v>
      </c>
      <c r="R426" s="46">
        <f>IFERROR(__xludf.DUMMYFUNCTION("""COMPUTED_VALUE"""),358256.64)</f>
        <v>358256.64</v>
      </c>
      <c r="S426" s="46">
        <f>IFERROR(__xludf.DUMMYFUNCTION("""COMPUTED_VALUE"""),734106.2400000001)</f>
        <v>734106.24</v>
      </c>
    </row>
    <row r="427">
      <c r="A427" s="46" t="str">
        <f>IFERROR(__xludf.DUMMYFUNCTION("""COMPUTED_VALUE"""),"Meat")</f>
        <v>Meat</v>
      </c>
      <c r="B427" s="46" t="str">
        <f>IFERROR(__xludf.DUMMYFUNCTION("""COMPUTED_VALUE"""),"Sweden")</f>
        <v>Sweden</v>
      </c>
      <c r="C427" s="46" t="str">
        <f>IFERROR(__xludf.DUMMYFUNCTION("""COMPUTED_VALUE"""),"Europe")</f>
        <v>Europe</v>
      </c>
      <c r="D427" s="90">
        <f>IFERROR(__xludf.DUMMYFUNCTION("""COMPUTED_VALUE"""),42005.0)</f>
        <v>42005</v>
      </c>
      <c r="E427" s="46">
        <f>IFERROR(__xludf.DUMMYFUNCTION("""COMPUTED_VALUE"""),2015.0)</f>
        <v>2015</v>
      </c>
      <c r="F427" s="46">
        <f>IFERROR(__xludf.DUMMYFUNCTION("""COMPUTED_VALUE"""),1.0)</f>
        <v>1</v>
      </c>
      <c r="G427" s="46">
        <f>IFERROR(__xludf.DUMMYFUNCTION("""COMPUTED_VALUE"""),1482.0)</f>
        <v>1482</v>
      </c>
      <c r="H427" s="46">
        <f>IFERROR(__xludf.DUMMYFUNCTION("""COMPUTED_VALUE"""),625240.98)</f>
        <v>625240.98</v>
      </c>
      <c r="I427" s="46">
        <f>IFERROR(__xludf.DUMMYFUNCTION("""COMPUTED_VALUE"""),540470.58)</f>
        <v>540470.58</v>
      </c>
      <c r="J427" s="46">
        <f>IFERROR(__xludf.DUMMYFUNCTION("""COMPUTED_VALUE"""),84770.40000000002)</f>
        <v>84770.4</v>
      </c>
      <c r="K427" s="46" t="str">
        <f t="array" ref="K427">TEXT(D427, "mmmm")</f>
        <v>January</v>
      </c>
      <c r="M427" s="46" t="str">
        <f>IFERROR(__xludf.DUMMYFUNCTION("""COMPUTED_VALUE"""),"Liechtenstein")</f>
        <v>Liechtenstein</v>
      </c>
      <c r="N427" s="94">
        <f>IFERROR(__xludf.DUMMYFUNCTION("""COMPUTED_VALUE"""),41183.0)</f>
        <v>41183</v>
      </c>
      <c r="O427" s="46">
        <f>IFERROR(__xludf.DUMMYFUNCTION("""COMPUTED_VALUE"""),1.0)</f>
        <v>1</v>
      </c>
      <c r="P427" s="46">
        <f>IFERROR(__xludf.DUMMYFUNCTION("""COMPUTED_VALUE"""),9223.0)</f>
        <v>9223</v>
      </c>
      <c r="Q427" s="46">
        <f>IFERROR(__xludf.DUMMYFUNCTION("""COMPUTED_VALUE"""),2354447.44)</f>
        <v>2354447.44</v>
      </c>
      <c r="R427" s="46">
        <f>IFERROR(__xludf.DUMMYFUNCTION("""COMPUTED_VALUE"""),1470330.66)</f>
        <v>1470330.66</v>
      </c>
      <c r="S427" s="46">
        <f>IFERROR(__xludf.DUMMYFUNCTION("""COMPUTED_VALUE"""),884116.78)</f>
        <v>884116.78</v>
      </c>
    </row>
    <row r="428">
      <c r="A428" s="46" t="str">
        <f>IFERROR(__xludf.DUMMYFUNCTION("""COMPUTED_VALUE"""),"Office Supplies")</f>
        <v>Office Supplies</v>
      </c>
      <c r="B428" s="46" t="str">
        <f>IFERROR(__xludf.DUMMYFUNCTION("""COMPUTED_VALUE"""),"Russia")</f>
        <v>Russia</v>
      </c>
      <c r="C428" s="46" t="str">
        <f>IFERROR(__xludf.DUMMYFUNCTION("""COMPUTED_VALUE"""),"Europe")</f>
        <v>Europe</v>
      </c>
      <c r="D428" s="90">
        <f>IFERROR(__xludf.DUMMYFUNCTION("""COMPUTED_VALUE"""),42005.0)</f>
        <v>42005</v>
      </c>
      <c r="E428" s="46">
        <f>IFERROR(__xludf.DUMMYFUNCTION("""COMPUTED_VALUE"""),2015.0)</f>
        <v>2015</v>
      </c>
      <c r="F428" s="46">
        <f>IFERROR(__xludf.DUMMYFUNCTION("""COMPUTED_VALUE"""),1.0)</f>
        <v>1</v>
      </c>
      <c r="G428" s="46">
        <f>IFERROR(__xludf.DUMMYFUNCTION("""COMPUTED_VALUE"""),567.0)</f>
        <v>567</v>
      </c>
      <c r="H428" s="46">
        <f>IFERROR(__xludf.DUMMYFUNCTION("""COMPUTED_VALUE"""),369236.07)</f>
        <v>369236.07</v>
      </c>
      <c r="I428" s="46">
        <f>IFERROR(__xludf.DUMMYFUNCTION("""COMPUTED_VALUE"""),297652.32)</f>
        <v>297652.32</v>
      </c>
      <c r="J428" s="46">
        <f>IFERROR(__xludf.DUMMYFUNCTION("""COMPUTED_VALUE"""),71583.75)</f>
        <v>71583.75</v>
      </c>
      <c r="K428" s="46" t="str">
        <f t="array" ref="K428">TEXT(D428, "mmmm")</f>
        <v>January</v>
      </c>
      <c r="M428" s="46" t="str">
        <f>IFERROR(__xludf.DUMMYFUNCTION("""COMPUTED_VALUE"""),"Monaco")</f>
        <v>Monaco</v>
      </c>
      <c r="N428" s="94">
        <f>IFERROR(__xludf.DUMMYFUNCTION("""COMPUTED_VALUE"""),41183.0)</f>
        <v>41183</v>
      </c>
      <c r="O428" s="46">
        <f>IFERROR(__xludf.DUMMYFUNCTION("""COMPUTED_VALUE"""),1.0)</f>
        <v>1</v>
      </c>
      <c r="P428" s="46">
        <f>IFERROR(__xludf.DUMMYFUNCTION("""COMPUTED_VALUE"""),1429.0)</f>
        <v>1429</v>
      </c>
      <c r="Q428" s="46">
        <f>IFERROR(__xludf.DUMMYFUNCTION("""COMPUTED_VALUE"""),930579.0900000001)</f>
        <v>930579.09</v>
      </c>
      <c r="R428" s="46">
        <f>IFERROR(__xludf.DUMMYFUNCTION("""COMPUTED_VALUE"""),750167.8400000001)</f>
        <v>750167.84</v>
      </c>
      <c r="S428" s="46">
        <f>IFERROR(__xludf.DUMMYFUNCTION("""COMPUTED_VALUE"""),180411.25)</f>
        <v>180411.25</v>
      </c>
    </row>
    <row r="429">
      <c r="A429" s="46" t="str">
        <f>IFERROR(__xludf.DUMMYFUNCTION("""COMPUTED_VALUE"""),"Personal Care")</f>
        <v>Personal Care</v>
      </c>
      <c r="B429" s="46" t="str">
        <f>IFERROR(__xludf.DUMMYFUNCTION("""COMPUTED_VALUE"""),"Romania")</f>
        <v>Romania</v>
      </c>
      <c r="C429" s="46" t="str">
        <f>IFERROR(__xludf.DUMMYFUNCTION("""COMPUTED_VALUE"""),"Europe")</f>
        <v>Europe</v>
      </c>
      <c r="D429" s="90">
        <f>IFERROR(__xludf.DUMMYFUNCTION("""COMPUTED_VALUE"""),42005.0)</f>
        <v>42005</v>
      </c>
      <c r="E429" s="46">
        <f>IFERROR(__xludf.DUMMYFUNCTION("""COMPUTED_VALUE"""),2015.0)</f>
        <v>2015</v>
      </c>
      <c r="F429" s="46">
        <f>IFERROR(__xludf.DUMMYFUNCTION("""COMPUTED_VALUE"""),1.0)</f>
        <v>1</v>
      </c>
      <c r="G429" s="46">
        <f>IFERROR(__xludf.DUMMYFUNCTION("""COMPUTED_VALUE"""),519.0)</f>
        <v>519</v>
      </c>
      <c r="H429" s="46">
        <f>IFERROR(__xludf.DUMMYFUNCTION("""COMPUTED_VALUE"""),42417.87)</f>
        <v>42417.87</v>
      </c>
      <c r="I429" s="46">
        <f>IFERROR(__xludf.DUMMYFUNCTION("""COMPUTED_VALUE"""),29411.73)</f>
        <v>29411.73</v>
      </c>
      <c r="J429" s="46">
        <f>IFERROR(__xludf.DUMMYFUNCTION("""COMPUTED_VALUE"""),13006.140000000003)</f>
        <v>13006.14</v>
      </c>
      <c r="K429" s="46" t="str">
        <f t="array" ref="K429">TEXT(D429, "mmmm")</f>
        <v>January</v>
      </c>
      <c r="M429" s="46" t="str">
        <f>IFERROR(__xludf.DUMMYFUNCTION("""COMPUTED_VALUE"""),"Netherlands")</f>
        <v>Netherlands</v>
      </c>
      <c r="N429" s="94">
        <f>IFERROR(__xludf.DUMMYFUNCTION("""COMPUTED_VALUE"""),41183.0)</f>
        <v>41183</v>
      </c>
      <c r="O429" s="46">
        <f>IFERROR(__xludf.DUMMYFUNCTION("""COMPUTED_VALUE"""),1.0)</f>
        <v>1</v>
      </c>
      <c r="P429" s="46">
        <f>IFERROR(__xludf.DUMMYFUNCTION("""COMPUTED_VALUE"""),6699.0)</f>
        <v>6699</v>
      </c>
      <c r="Q429" s="46">
        <f>IFERROR(__xludf.DUMMYFUNCTION("""COMPUTED_VALUE"""),317867.55000000005)</f>
        <v>317867.55</v>
      </c>
      <c r="R429" s="46">
        <f>IFERROR(__xludf.DUMMYFUNCTION("""COMPUTED_VALUE"""),212961.21)</f>
        <v>212961.21</v>
      </c>
      <c r="S429" s="46">
        <f>IFERROR(__xludf.DUMMYFUNCTION("""COMPUTED_VALUE"""),104906.34000000005)</f>
        <v>104906.34</v>
      </c>
    </row>
    <row r="430">
      <c r="A430" s="46" t="str">
        <f>IFERROR(__xludf.DUMMYFUNCTION("""COMPUTED_VALUE"""),"Personal Care")</f>
        <v>Personal Care</v>
      </c>
      <c r="B430" s="46" t="str">
        <f>IFERROR(__xludf.DUMMYFUNCTION("""COMPUTED_VALUE"""),"United Kingdom")</f>
        <v>United Kingdom</v>
      </c>
      <c r="C430" s="46" t="str">
        <f>IFERROR(__xludf.DUMMYFUNCTION("""COMPUTED_VALUE"""),"Europe")</f>
        <v>Europe</v>
      </c>
      <c r="D430" s="90">
        <f>IFERROR(__xludf.DUMMYFUNCTION("""COMPUTED_VALUE"""),42005.0)</f>
        <v>42005</v>
      </c>
      <c r="E430" s="46">
        <f>IFERROR(__xludf.DUMMYFUNCTION("""COMPUTED_VALUE"""),2015.0)</f>
        <v>2015</v>
      </c>
      <c r="F430" s="46">
        <f>IFERROR(__xludf.DUMMYFUNCTION("""COMPUTED_VALUE"""),1.0)</f>
        <v>1</v>
      </c>
      <c r="G430" s="46">
        <f>IFERROR(__xludf.DUMMYFUNCTION("""COMPUTED_VALUE"""),4509.0)</f>
        <v>4509</v>
      </c>
      <c r="H430" s="46">
        <f>IFERROR(__xludf.DUMMYFUNCTION("""COMPUTED_VALUE"""),368520.57)</f>
        <v>368520.57</v>
      </c>
      <c r="I430" s="46">
        <f>IFERROR(__xludf.DUMMYFUNCTION("""COMPUTED_VALUE"""),255525.03)</f>
        <v>255525.03</v>
      </c>
      <c r="J430" s="46">
        <f>IFERROR(__xludf.DUMMYFUNCTION("""COMPUTED_VALUE"""),112995.54000000001)</f>
        <v>112995.54</v>
      </c>
      <c r="K430" s="46" t="str">
        <f t="array" ref="K430">TEXT(D430, "mmmm")</f>
        <v>January</v>
      </c>
      <c r="M430" s="46" t="str">
        <f>IFERROR(__xludf.DUMMYFUNCTION("""COMPUTED_VALUE"""),"San Marino")</f>
        <v>San Marino</v>
      </c>
      <c r="N430" s="94">
        <f>IFERROR(__xludf.DUMMYFUNCTION("""COMPUTED_VALUE"""),41183.0)</f>
        <v>41183</v>
      </c>
      <c r="O430" s="46">
        <f>IFERROR(__xludf.DUMMYFUNCTION("""COMPUTED_VALUE"""),2.0)</f>
        <v>2</v>
      </c>
      <c r="P430" s="46">
        <f>IFERROR(__xludf.DUMMYFUNCTION("""COMPUTED_VALUE"""),10295.0)</f>
        <v>10295</v>
      </c>
      <c r="Q430" s="46">
        <f>IFERROR(__xludf.DUMMYFUNCTION("""COMPUTED_VALUE"""),2090629.4)</f>
        <v>2090629.4</v>
      </c>
      <c r="R430" s="46">
        <f>IFERROR(__xludf.DUMMYFUNCTION("""COMPUTED_VALUE"""),1277547.0)</f>
        <v>1277547</v>
      </c>
      <c r="S430" s="46">
        <f>IFERROR(__xludf.DUMMYFUNCTION("""COMPUTED_VALUE"""),813082.4)</f>
        <v>813082.4</v>
      </c>
    </row>
    <row r="431">
      <c r="A431" s="46" t="str">
        <f>IFERROR(__xludf.DUMMYFUNCTION("""COMPUTED_VALUE"""),"Snacks")</f>
        <v>Snacks</v>
      </c>
      <c r="B431" s="46" t="str">
        <f>IFERROR(__xludf.DUMMYFUNCTION("""COMPUTED_VALUE"""),"Belgium")</f>
        <v>Belgium</v>
      </c>
      <c r="C431" s="46" t="str">
        <f>IFERROR(__xludf.DUMMYFUNCTION("""COMPUTED_VALUE"""),"Europe")</f>
        <v>Europe</v>
      </c>
      <c r="D431" s="90">
        <f>IFERROR(__xludf.DUMMYFUNCTION("""COMPUTED_VALUE"""),42005.0)</f>
        <v>42005</v>
      </c>
      <c r="E431" s="46">
        <f>IFERROR(__xludf.DUMMYFUNCTION("""COMPUTED_VALUE"""),2015.0)</f>
        <v>2015</v>
      </c>
      <c r="F431" s="46">
        <f>IFERROR(__xludf.DUMMYFUNCTION("""COMPUTED_VALUE"""),1.0)</f>
        <v>1</v>
      </c>
      <c r="G431" s="46">
        <f>IFERROR(__xludf.DUMMYFUNCTION("""COMPUTED_VALUE"""),5005.0)</f>
        <v>5005</v>
      </c>
      <c r="H431" s="46">
        <f>IFERROR(__xludf.DUMMYFUNCTION("""COMPUTED_VALUE"""),763662.9)</f>
        <v>763662.9</v>
      </c>
      <c r="I431" s="46">
        <f>IFERROR(__xludf.DUMMYFUNCTION("""COMPUTED_VALUE"""),487687.2)</f>
        <v>487687.2</v>
      </c>
      <c r="J431" s="46">
        <f>IFERROR(__xludf.DUMMYFUNCTION("""COMPUTED_VALUE"""),275975.7)</f>
        <v>275975.7</v>
      </c>
      <c r="K431" s="46" t="str">
        <f t="array" ref="K431">TEXT(D431, "mmmm")</f>
        <v>January</v>
      </c>
      <c r="M431" s="46" t="str">
        <f>IFERROR(__xludf.DUMMYFUNCTION("""COMPUTED_VALUE"""),"Slovenia")</f>
        <v>Slovenia</v>
      </c>
      <c r="N431" s="94">
        <f>IFERROR(__xludf.DUMMYFUNCTION("""COMPUTED_VALUE"""),41183.0)</f>
        <v>41183</v>
      </c>
      <c r="O431" s="46">
        <f>IFERROR(__xludf.DUMMYFUNCTION("""COMPUTED_VALUE"""),1.0)</f>
        <v>1</v>
      </c>
      <c r="P431" s="46">
        <f>IFERROR(__xludf.DUMMYFUNCTION("""COMPUTED_VALUE"""),6443.0)</f>
        <v>6443</v>
      </c>
      <c r="Q431" s="46">
        <f>IFERROR(__xludf.DUMMYFUNCTION("""COMPUTED_VALUE"""),60113.19)</f>
        <v>60113.19</v>
      </c>
      <c r="R431" s="46">
        <f>IFERROR(__xludf.DUMMYFUNCTION("""COMPUTED_VALUE"""),44585.56)</f>
        <v>44585.56</v>
      </c>
      <c r="S431" s="46">
        <f>IFERROR(__xludf.DUMMYFUNCTION("""COMPUTED_VALUE"""),15527.630000000005)</f>
        <v>15527.63</v>
      </c>
    </row>
    <row r="432">
      <c r="A432" s="46" t="str">
        <f>IFERROR(__xludf.DUMMYFUNCTION("""COMPUTED_VALUE"""),"Baby Food")</f>
        <v>Baby Food</v>
      </c>
      <c r="B432" s="46" t="str">
        <f>IFERROR(__xludf.DUMMYFUNCTION("""COMPUTED_VALUE"""),"Bulgaria")</f>
        <v>Bulgaria</v>
      </c>
      <c r="C432" s="46" t="str">
        <f>IFERROR(__xludf.DUMMYFUNCTION("""COMPUTED_VALUE"""),"Europe")</f>
        <v>Europe</v>
      </c>
      <c r="D432" s="90">
        <f>IFERROR(__xludf.DUMMYFUNCTION("""COMPUTED_VALUE"""),41974.0)</f>
        <v>41974</v>
      </c>
      <c r="E432" s="46">
        <f>IFERROR(__xludf.DUMMYFUNCTION("""COMPUTED_VALUE"""),2014.0)</f>
        <v>2014</v>
      </c>
      <c r="F432" s="46">
        <f>IFERROR(__xludf.DUMMYFUNCTION("""COMPUTED_VALUE"""),1.0)</f>
        <v>1</v>
      </c>
      <c r="G432" s="46">
        <f>IFERROR(__xludf.DUMMYFUNCTION("""COMPUTED_VALUE"""),2736.0)</f>
        <v>2736</v>
      </c>
      <c r="H432" s="46">
        <f>IFERROR(__xludf.DUMMYFUNCTION("""COMPUTED_VALUE"""),698446.08)</f>
        <v>698446.08</v>
      </c>
      <c r="I432" s="46">
        <f>IFERROR(__xludf.DUMMYFUNCTION("""COMPUTED_VALUE"""),436173.11999999994)</f>
        <v>436173.12</v>
      </c>
      <c r="J432" s="46">
        <f>IFERROR(__xludf.DUMMYFUNCTION("""COMPUTED_VALUE"""),262272.96)</f>
        <v>262272.96</v>
      </c>
      <c r="K432" s="46" t="str">
        <f t="array" ref="K432">TEXT(D432, "mmmm")</f>
        <v>December</v>
      </c>
      <c r="M432" s="46" t="str">
        <f>IFERROR(__xludf.DUMMYFUNCTION("""COMPUTED_VALUE"""),"Sweden")</f>
        <v>Sweden</v>
      </c>
      <c r="N432" s="94">
        <f>IFERROR(__xludf.DUMMYFUNCTION("""COMPUTED_VALUE"""),41183.0)</f>
        <v>41183</v>
      </c>
      <c r="O432" s="46">
        <f>IFERROR(__xludf.DUMMYFUNCTION("""COMPUTED_VALUE"""),3.0)</f>
        <v>3</v>
      </c>
      <c r="P432" s="46">
        <f>IFERROR(__xludf.DUMMYFUNCTION("""COMPUTED_VALUE"""),13104.0)</f>
        <v>13104</v>
      </c>
      <c r="Q432" s="46">
        <f>IFERROR(__xludf.DUMMYFUNCTION("""COMPUTED_VALUE"""),2919678.7800000003)</f>
        <v>2919678.78</v>
      </c>
      <c r="R432" s="46">
        <f>IFERROR(__xludf.DUMMYFUNCTION("""COMPUTED_VALUE"""),1797965.69)</f>
        <v>1797965.69</v>
      </c>
      <c r="S432" s="46">
        <f>IFERROR(__xludf.DUMMYFUNCTION("""COMPUTED_VALUE"""),1121713.09)</f>
        <v>1121713.09</v>
      </c>
    </row>
    <row r="433">
      <c r="A433" s="46" t="str">
        <f>IFERROR(__xludf.DUMMYFUNCTION("""COMPUTED_VALUE"""),"Baby Food")</f>
        <v>Baby Food</v>
      </c>
      <c r="B433" s="46" t="str">
        <f>IFERROR(__xludf.DUMMYFUNCTION("""COMPUTED_VALUE"""),"Germany")</f>
        <v>Germany</v>
      </c>
      <c r="C433" s="46" t="str">
        <f>IFERROR(__xludf.DUMMYFUNCTION("""COMPUTED_VALUE"""),"Europe")</f>
        <v>Europe</v>
      </c>
      <c r="D433" s="90">
        <f>IFERROR(__xludf.DUMMYFUNCTION("""COMPUTED_VALUE"""),41974.0)</f>
        <v>41974</v>
      </c>
      <c r="E433" s="46">
        <f>IFERROR(__xludf.DUMMYFUNCTION("""COMPUTED_VALUE"""),2014.0)</f>
        <v>2014</v>
      </c>
      <c r="F433" s="46">
        <f>IFERROR(__xludf.DUMMYFUNCTION("""COMPUTED_VALUE"""),1.0)</f>
        <v>1</v>
      </c>
      <c r="G433" s="46">
        <f>IFERROR(__xludf.DUMMYFUNCTION("""COMPUTED_VALUE"""),9222.0)</f>
        <v>9222</v>
      </c>
      <c r="H433" s="46">
        <f>IFERROR(__xludf.DUMMYFUNCTION("""COMPUTED_VALUE"""),2354192.16)</f>
        <v>2354192.16</v>
      </c>
      <c r="I433" s="46">
        <f>IFERROR(__xludf.DUMMYFUNCTION("""COMPUTED_VALUE"""),1470171.24)</f>
        <v>1470171.24</v>
      </c>
      <c r="J433" s="46">
        <f>IFERROR(__xludf.DUMMYFUNCTION("""COMPUTED_VALUE"""),884020.9200000002)</f>
        <v>884020.92</v>
      </c>
      <c r="K433" s="46" t="str">
        <f t="array" ref="K433">TEXT(D433, "mmmm")</f>
        <v>December</v>
      </c>
      <c r="M433" s="46" t="str">
        <f>IFERROR(__xludf.DUMMYFUNCTION("""COMPUTED_VALUE"""),"Switzerland")</f>
        <v>Switzerland</v>
      </c>
      <c r="N433" s="94">
        <f>IFERROR(__xludf.DUMMYFUNCTION("""COMPUTED_VALUE"""),41183.0)</f>
        <v>41183</v>
      </c>
      <c r="O433" s="46">
        <f>IFERROR(__xludf.DUMMYFUNCTION("""COMPUTED_VALUE"""),1.0)</f>
        <v>1</v>
      </c>
      <c r="P433" s="46">
        <f>IFERROR(__xludf.DUMMYFUNCTION("""COMPUTED_VALUE"""),8082.0)</f>
        <v>8082</v>
      </c>
      <c r="Q433" s="46">
        <f>IFERROR(__xludf.DUMMYFUNCTION("""COMPUTED_VALUE"""),1245112.92)</f>
        <v>1245112.92</v>
      </c>
      <c r="R433" s="46">
        <f>IFERROR(__xludf.DUMMYFUNCTION("""COMPUTED_VALUE"""),734896.26)</f>
        <v>734896.26</v>
      </c>
      <c r="S433" s="46">
        <f>IFERROR(__xludf.DUMMYFUNCTION("""COMPUTED_VALUE"""),510216.6599999999)</f>
        <v>510216.66</v>
      </c>
    </row>
    <row r="434">
      <c r="A434" s="46" t="str">
        <f>IFERROR(__xludf.DUMMYFUNCTION("""COMPUTED_VALUE"""),"Beverages")</f>
        <v>Beverages</v>
      </c>
      <c r="B434" s="46" t="str">
        <f>IFERROR(__xludf.DUMMYFUNCTION("""COMPUTED_VALUE"""),"Albania")</f>
        <v>Albania</v>
      </c>
      <c r="C434" s="46" t="str">
        <f>IFERROR(__xludf.DUMMYFUNCTION("""COMPUTED_VALUE"""),"Europe")</f>
        <v>Europe</v>
      </c>
      <c r="D434" s="90">
        <f>IFERROR(__xludf.DUMMYFUNCTION("""COMPUTED_VALUE"""),41974.0)</f>
        <v>41974</v>
      </c>
      <c r="E434" s="46">
        <f>IFERROR(__xludf.DUMMYFUNCTION("""COMPUTED_VALUE"""),2014.0)</f>
        <v>2014</v>
      </c>
      <c r="F434" s="46">
        <f>IFERROR(__xludf.DUMMYFUNCTION("""COMPUTED_VALUE"""),1.0)</f>
        <v>1</v>
      </c>
      <c r="G434" s="46">
        <f>IFERROR(__xludf.DUMMYFUNCTION("""COMPUTED_VALUE"""),4028.0)</f>
        <v>4028</v>
      </c>
      <c r="H434" s="46">
        <f>IFERROR(__xludf.DUMMYFUNCTION("""COMPUTED_VALUE"""),191128.6)</f>
        <v>191128.6</v>
      </c>
      <c r="I434" s="46">
        <f>IFERROR(__xludf.DUMMYFUNCTION("""COMPUTED_VALUE"""),128050.12)</f>
        <v>128050.12</v>
      </c>
      <c r="J434" s="46">
        <f>IFERROR(__xludf.DUMMYFUNCTION("""COMPUTED_VALUE"""),63078.48000000001)</f>
        <v>63078.48</v>
      </c>
      <c r="K434" s="46" t="str">
        <f t="array" ref="K434">TEXT(D434, "mmmm")</f>
        <v>December</v>
      </c>
      <c r="M434" s="46" t="str">
        <f>IFERROR(__xludf.DUMMYFUNCTION("""COMPUTED_VALUE"""),"Andorra")</f>
        <v>Andorra</v>
      </c>
      <c r="N434" s="94">
        <f>IFERROR(__xludf.DUMMYFUNCTION("""COMPUTED_VALUE"""),41214.0)</f>
        <v>41214</v>
      </c>
      <c r="O434" s="46">
        <f>IFERROR(__xludf.DUMMYFUNCTION("""COMPUTED_VALUE"""),1.0)</f>
        <v>1</v>
      </c>
      <c r="P434" s="46">
        <f>IFERROR(__xludf.DUMMYFUNCTION("""COMPUTED_VALUE"""),5866.0)</f>
        <v>5866</v>
      </c>
      <c r="Q434" s="46">
        <f>IFERROR(__xludf.DUMMYFUNCTION("""COMPUTED_VALUE"""),278341.7)</f>
        <v>278341.7</v>
      </c>
      <c r="R434" s="46">
        <f>IFERROR(__xludf.DUMMYFUNCTION("""COMPUTED_VALUE"""),186480.13999999998)</f>
        <v>186480.14</v>
      </c>
      <c r="S434" s="46">
        <f>IFERROR(__xludf.DUMMYFUNCTION("""COMPUTED_VALUE"""),91861.56000000003)</f>
        <v>91861.56</v>
      </c>
    </row>
    <row r="435">
      <c r="A435" s="46" t="str">
        <f>IFERROR(__xludf.DUMMYFUNCTION("""COMPUTED_VALUE"""),"Beverages")</f>
        <v>Beverages</v>
      </c>
      <c r="B435" s="46" t="str">
        <f>IFERROR(__xludf.DUMMYFUNCTION("""COMPUTED_VALUE"""),"Italy")</f>
        <v>Italy</v>
      </c>
      <c r="C435" s="46" t="str">
        <f>IFERROR(__xludf.DUMMYFUNCTION("""COMPUTED_VALUE"""),"Europe")</f>
        <v>Europe</v>
      </c>
      <c r="D435" s="90">
        <f>IFERROR(__xludf.DUMMYFUNCTION("""COMPUTED_VALUE"""),41974.0)</f>
        <v>41974</v>
      </c>
      <c r="E435" s="46">
        <f>IFERROR(__xludf.DUMMYFUNCTION("""COMPUTED_VALUE"""),2014.0)</f>
        <v>2014</v>
      </c>
      <c r="F435" s="46">
        <f>IFERROR(__xludf.DUMMYFUNCTION("""COMPUTED_VALUE"""),1.0)</f>
        <v>1</v>
      </c>
      <c r="G435" s="46">
        <f>IFERROR(__xludf.DUMMYFUNCTION("""COMPUTED_VALUE"""),5192.0)</f>
        <v>5192</v>
      </c>
      <c r="H435" s="46">
        <f>IFERROR(__xludf.DUMMYFUNCTION("""COMPUTED_VALUE"""),246360.40000000002)</f>
        <v>246360.4</v>
      </c>
      <c r="I435" s="46">
        <f>IFERROR(__xludf.DUMMYFUNCTION("""COMPUTED_VALUE"""),165053.68)</f>
        <v>165053.68</v>
      </c>
      <c r="J435" s="46">
        <f>IFERROR(__xludf.DUMMYFUNCTION("""COMPUTED_VALUE"""),81306.72000000003)</f>
        <v>81306.72</v>
      </c>
      <c r="K435" s="46" t="str">
        <f t="array" ref="K435">TEXT(D435, "mmmm")</f>
        <v>December</v>
      </c>
      <c r="M435" s="46" t="str">
        <f>IFERROR(__xludf.DUMMYFUNCTION("""COMPUTED_VALUE"""),"Belgium")</f>
        <v>Belgium</v>
      </c>
      <c r="N435" s="94">
        <f>IFERROR(__xludf.DUMMYFUNCTION("""COMPUTED_VALUE"""),41214.0)</f>
        <v>41214</v>
      </c>
      <c r="O435" s="46">
        <f>IFERROR(__xludf.DUMMYFUNCTION("""COMPUTED_VALUE"""),1.0)</f>
        <v>1</v>
      </c>
      <c r="P435" s="46">
        <f>IFERROR(__xludf.DUMMYFUNCTION("""COMPUTED_VALUE"""),3705.0)</f>
        <v>3705</v>
      </c>
      <c r="Q435" s="46">
        <f>IFERROR(__xludf.DUMMYFUNCTION("""COMPUTED_VALUE"""),762118.5)</f>
        <v>762118.5</v>
      </c>
      <c r="R435" s="46">
        <f>IFERROR(__xludf.DUMMYFUNCTION("""COMPUTED_VALUE"""),433892.55)</f>
        <v>433892.55</v>
      </c>
      <c r="S435" s="46">
        <f>IFERROR(__xludf.DUMMYFUNCTION("""COMPUTED_VALUE"""),328225.95)</f>
        <v>328225.95</v>
      </c>
    </row>
    <row r="436">
      <c r="A436" s="46" t="str">
        <f>IFERROR(__xludf.DUMMYFUNCTION("""COMPUTED_VALUE"""),"Clothes")</f>
        <v>Clothes</v>
      </c>
      <c r="B436" s="46" t="str">
        <f>IFERROR(__xludf.DUMMYFUNCTION("""COMPUTED_VALUE"""),"Belarus")</f>
        <v>Belarus</v>
      </c>
      <c r="C436" s="46" t="str">
        <f>IFERROR(__xludf.DUMMYFUNCTION("""COMPUTED_VALUE"""),"Europe")</f>
        <v>Europe</v>
      </c>
      <c r="D436" s="90">
        <f>IFERROR(__xludf.DUMMYFUNCTION("""COMPUTED_VALUE"""),41974.0)</f>
        <v>41974</v>
      </c>
      <c r="E436" s="46">
        <f>IFERROR(__xludf.DUMMYFUNCTION("""COMPUTED_VALUE"""),2014.0)</f>
        <v>2014</v>
      </c>
      <c r="F436" s="46">
        <f>IFERROR(__xludf.DUMMYFUNCTION("""COMPUTED_VALUE"""),1.0)</f>
        <v>1</v>
      </c>
      <c r="G436" s="46">
        <f>IFERROR(__xludf.DUMMYFUNCTION("""COMPUTED_VALUE"""),7128.0)</f>
        <v>7128</v>
      </c>
      <c r="H436" s="46">
        <f>IFERROR(__xludf.DUMMYFUNCTION("""COMPUTED_VALUE"""),778947.84)</f>
        <v>778947.84</v>
      </c>
      <c r="I436" s="46">
        <f>IFERROR(__xludf.DUMMYFUNCTION("""COMPUTED_VALUE"""),255467.52000000002)</f>
        <v>255467.52</v>
      </c>
      <c r="J436" s="46">
        <f>IFERROR(__xludf.DUMMYFUNCTION("""COMPUTED_VALUE"""),523480.31999999995)</f>
        <v>523480.32</v>
      </c>
      <c r="K436" s="46" t="str">
        <f t="array" ref="K436">TEXT(D436, "mmmm")</f>
        <v>December</v>
      </c>
      <c r="M436" s="46" t="str">
        <f>IFERROR(__xludf.DUMMYFUNCTION("""COMPUTED_VALUE"""),"Bosnia and Herzegovina")</f>
        <v>Bosnia and Herzegovina</v>
      </c>
      <c r="N436" s="94">
        <f>IFERROR(__xludf.DUMMYFUNCTION("""COMPUTED_VALUE"""),41214.0)</f>
        <v>41214</v>
      </c>
      <c r="O436" s="46">
        <f>IFERROR(__xludf.DUMMYFUNCTION("""COMPUTED_VALUE"""),1.0)</f>
        <v>1</v>
      </c>
      <c r="P436" s="46">
        <f>IFERROR(__xludf.DUMMYFUNCTION("""COMPUTED_VALUE"""),6660.0)</f>
        <v>6660</v>
      </c>
      <c r="Q436" s="46">
        <f>IFERROR(__xludf.DUMMYFUNCTION("""COMPUTED_VALUE"""),4337058.600000001)</f>
        <v>4337058.6</v>
      </c>
      <c r="R436" s="46">
        <f>IFERROR(__xludf.DUMMYFUNCTION("""COMPUTED_VALUE"""),3496233.6)</f>
        <v>3496233.6</v>
      </c>
      <c r="S436" s="46">
        <f>IFERROR(__xludf.DUMMYFUNCTION("""COMPUTED_VALUE"""),840825.0000000005)</f>
        <v>840825</v>
      </c>
    </row>
    <row r="437">
      <c r="A437" s="46" t="str">
        <f>IFERROR(__xludf.DUMMYFUNCTION("""COMPUTED_VALUE"""),"Fruits")</f>
        <v>Fruits</v>
      </c>
      <c r="B437" s="46" t="str">
        <f>IFERROR(__xludf.DUMMYFUNCTION("""COMPUTED_VALUE"""),"Slovenia")</f>
        <v>Slovenia</v>
      </c>
      <c r="C437" s="46" t="str">
        <f>IFERROR(__xludf.DUMMYFUNCTION("""COMPUTED_VALUE"""),"Europe")</f>
        <v>Europe</v>
      </c>
      <c r="D437" s="90">
        <f>IFERROR(__xludf.DUMMYFUNCTION("""COMPUTED_VALUE"""),41974.0)</f>
        <v>41974</v>
      </c>
      <c r="E437" s="46">
        <f>IFERROR(__xludf.DUMMYFUNCTION("""COMPUTED_VALUE"""),2014.0)</f>
        <v>2014</v>
      </c>
      <c r="F437" s="46">
        <f>IFERROR(__xludf.DUMMYFUNCTION("""COMPUTED_VALUE"""),1.0)</f>
        <v>1</v>
      </c>
      <c r="G437" s="46">
        <f>IFERROR(__xludf.DUMMYFUNCTION("""COMPUTED_VALUE"""),7670.0)</f>
        <v>7670</v>
      </c>
      <c r="H437" s="46">
        <f>IFERROR(__xludf.DUMMYFUNCTION("""COMPUTED_VALUE"""),71561.1)</f>
        <v>71561.1</v>
      </c>
      <c r="I437" s="46">
        <f>IFERROR(__xludf.DUMMYFUNCTION("""COMPUTED_VALUE"""),53076.4)</f>
        <v>53076.4</v>
      </c>
      <c r="J437" s="46">
        <f>IFERROR(__xludf.DUMMYFUNCTION("""COMPUTED_VALUE"""),18484.700000000004)</f>
        <v>18484.7</v>
      </c>
      <c r="K437" s="46" t="str">
        <f t="array" ref="K437">TEXT(D437, "mmmm")</f>
        <v>December</v>
      </c>
      <c r="M437" s="46" t="str">
        <f>IFERROR(__xludf.DUMMYFUNCTION("""COMPUTED_VALUE"""),"Croatia")</f>
        <v>Croatia</v>
      </c>
      <c r="N437" s="94">
        <f>IFERROR(__xludf.DUMMYFUNCTION("""COMPUTED_VALUE"""),41214.0)</f>
        <v>41214</v>
      </c>
      <c r="O437" s="46">
        <f>IFERROR(__xludf.DUMMYFUNCTION("""COMPUTED_VALUE"""),1.0)</f>
        <v>1</v>
      </c>
      <c r="P437" s="46">
        <f>IFERROR(__xludf.DUMMYFUNCTION("""COMPUTED_VALUE"""),2908.0)</f>
        <v>2908</v>
      </c>
      <c r="Q437" s="46">
        <f>IFERROR(__xludf.DUMMYFUNCTION("""COMPUTED_VALUE"""),1893718.6800000002)</f>
        <v>1893718.68</v>
      </c>
      <c r="R437" s="46">
        <f>IFERROR(__xludf.DUMMYFUNCTION("""COMPUTED_VALUE"""),1526583.6800000002)</f>
        <v>1526583.68</v>
      </c>
      <c r="S437" s="46">
        <f>IFERROR(__xludf.DUMMYFUNCTION("""COMPUTED_VALUE"""),367135.0)</f>
        <v>367135</v>
      </c>
    </row>
    <row r="438">
      <c r="A438" s="46" t="str">
        <f>IFERROR(__xludf.DUMMYFUNCTION("""COMPUTED_VALUE"""),"Household")</f>
        <v>Household</v>
      </c>
      <c r="B438" s="46" t="str">
        <f>IFERROR(__xludf.DUMMYFUNCTION("""COMPUTED_VALUE"""),"Montenegro")</f>
        <v>Montenegro</v>
      </c>
      <c r="C438" s="46" t="str">
        <f>IFERROR(__xludf.DUMMYFUNCTION("""COMPUTED_VALUE"""),"Europe")</f>
        <v>Europe</v>
      </c>
      <c r="D438" s="90">
        <f>IFERROR(__xludf.DUMMYFUNCTION("""COMPUTED_VALUE"""),41974.0)</f>
        <v>41974</v>
      </c>
      <c r="E438" s="46">
        <f>IFERROR(__xludf.DUMMYFUNCTION("""COMPUTED_VALUE"""),2014.0)</f>
        <v>2014</v>
      </c>
      <c r="F438" s="46">
        <f>IFERROR(__xludf.DUMMYFUNCTION("""COMPUTED_VALUE"""),1.0)</f>
        <v>1</v>
      </c>
      <c r="G438" s="46">
        <f>IFERROR(__xludf.DUMMYFUNCTION("""COMPUTED_VALUE"""),3138.0)</f>
        <v>3138</v>
      </c>
      <c r="H438" s="46">
        <f>IFERROR(__xludf.DUMMYFUNCTION("""COMPUTED_VALUE"""),2097031.26)</f>
        <v>2097031.26</v>
      </c>
      <c r="I438" s="46">
        <f>IFERROR(__xludf.DUMMYFUNCTION("""COMPUTED_VALUE"""),1576970.52)</f>
        <v>1576970.52</v>
      </c>
      <c r="J438" s="46">
        <f>IFERROR(__xludf.DUMMYFUNCTION("""COMPUTED_VALUE"""),520060.74)</f>
        <v>520060.74</v>
      </c>
      <c r="K438" s="46" t="str">
        <f t="array" ref="K438">TEXT(D438, "mmmm")</f>
        <v>December</v>
      </c>
      <c r="M438" s="46" t="str">
        <f>IFERROR(__xludf.DUMMYFUNCTION("""COMPUTED_VALUE"""),"Cyprus")</f>
        <v>Cyprus</v>
      </c>
      <c r="N438" s="94">
        <f>IFERROR(__xludf.DUMMYFUNCTION("""COMPUTED_VALUE"""),41214.0)</f>
        <v>41214</v>
      </c>
      <c r="O438" s="46">
        <f>IFERROR(__xludf.DUMMYFUNCTION("""COMPUTED_VALUE"""),1.0)</f>
        <v>1</v>
      </c>
      <c r="P438" s="46">
        <f>IFERROR(__xludf.DUMMYFUNCTION("""COMPUTED_VALUE"""),6128.0)</f>
        <v>6128</v>
      </c>
      <c r="Q438" s="46">
        <f>IFERROR(__xludf.DUMMYFUNCTION("""COMPUTED_VALUE"""),935010.2400000001)</f>
        <v>935010.24</v>
      </c>
      <c r="R438" s="46">
        <f>IFERROR(__xludf.DUMMYFUNCTION("""COMPUTED_VALUE"""),597112.32)</f>
        <v>597112.32</v>
      </c>
      <c r="S438" s="46">
        <f>IFERROR(__xludf.DUMMYFUNCTION("""COMPUTED_VALUE"""),337897.92000000016)</f>
        <v>337897.92</v>
      </c>
    </row>
    <row r="439">
      <c r="A439" s="46" t="str">
        <f>IFERROR(__xludf.DUMMYFUNCTION("""COMPUTED_VALUE"""),"Office Supplies")</f>
        <v>Office Supplies</v>
      </c>
      <c r="B439" s="46" t="str">
        <f>IFERROR(__xludf.DUMMYFUNCTION("""COMPUTED_VALUE"""),"Malta")</f>
        <v>Malta</v>
      </c>
      <c r="C439" s="46" t="str">
        <f>IFERROR(__xludf.DUMMYFUNCTION("""COMPUTED_VALUE"""),"Europe")</f>
        <v>Europe</v>
      </c>
      <c r="D439" s="90">
        <f>IFERROR(__xludf.DUMMYFUNCTION("""COMPUTED_VALUE"""),41974.0)</f>
        <v>41974</v>
      </c>
      <c r="E439" s="46">
        <f>IFERROR(__xludf.DUMMYFUNCTION("""COMPUTED_VALUE"""),2014.0)</f>
        <v>2014</v>
      </c>
      <c r="F439" s="46">
        <f>IFERROR(__xludf.DUMMYFUNCTION("""COMPUTED_VALUE"""),1.0)</f>
        <v>1</v>
      </c>
      <c r="G439" s="46">
        <f>IFERROR(__xludf.DUMMYFUNCTION("""COMPUTED_VALUE"""),2258.0)</f>
        <v>2258</v>
      </c>
      <c r="H439" s="46">
        <f>IFERROR(__xludf.DUMMYFUNCTION("""COMPUTED_VALUE"""),1470432.1800000002)</f>
        <v>1470432.18</v>
      </c>
      <c r="I439" s="46">
        <f>IFERROR(__xludf.DUMMYFUNCTION("""COMPUTED_VALUE"""),1185359.6800000002)</f>
        <v>1185359.68</v>
      </c>
      <c r="J439" s="46">
        <f>IFERROR(__xludf.DUMMYFUNCTION("""COMPUTED_VALUE"""),285072.5)</f>
        <v>285072.5</v>
      </c>
      <c r="K439" s="46" t="str">
        <f t="array" ref="K439">TEXT(D439, "mmmm")</f>
        <v>December</v>
      </c>
      <c r="M439" s="46" t="str">
        <f>IFERROR(__xludf.DUMMYFUNCTION("""COMPUTED_VALUE"""),"Czech Republic")</f>
        <v>Czech Republic</v>
      </c>
      <c r="N439" s="94">
        <f>IFERROR(__xludf.DUMMYFUNCTION("""COMPUTED_VALUE"""),41214.0)</f>
        <v>41214</v>
      </c>
      <c r="O439" s="46">
        <f>IFERROR(__xludf.DUMMYFUNCTION("""COMPUTED_VALUE"""),1.0)</f>
        <v>1</v>
      </c>
      <c r="P439" s="46">
        <f>IFERROR(__xludf.DUMMYFUNCTION("""COMPUTED_VALUE"""),314.0)</f>
        <v>314</v>
      </c>
      <c r="Q439" s="46">
        <f>IFERROR(__xludf.DUMMYFUNCTION("""COMPUTED_VALUE"""),2929.62)</f>
        <v>2929.62</v>
      </c>
      <c r="R439" s="46">
        <f>IFERROR(__xludf.DUMMYFUNCTION("""COMPUTED_VALUE"""),2172.88)</f>
        <v>2172.88</v>
      </c>
      <c r="S439" s="46">
        <f>IFERROR(__xludf.DUMMYFUNCTION("""COMPUTED_VALUE"""),756.7399999999998)</f>
        <v>756.74</v>
      </c>
    </row>
    <row r="440">
      <c r="A440" s="46" t="str">
        <f>IFERROR(__xludf.DUMMYFUNCTION("""COMPUTED_VALUE"""),"Personal Care")</f>
        <v>Personal Care</v>
      </c>
      <c r="B440" s="46" t="str">
        <f>IFERROR(__xludf.DUMMYFUNCTION("""COMPUTED_VALUE"""),"Andorra")</f>
        <v>Andorra</v>
      </c>
      <c r="C440" s="46" t="str">
        <f>IFERROR(__xludf.DUMMYFUNCTION("""COMPUTED_VALUE"""),"Europe")</f>
        <v>Europe</v>
      </c>
      <c r="D440" s="90">
        <f>IFERROR(__xludf.DUMMYFUNCTION("""COMPUTED_VALUE"""),41974.0)</f>
        <v>41974</v>
      </c>
      <c r="E440" s="46">
        <f>IFERROR(__xludf.DUMMYFUNCTION("""COMPUTED_VALUE"""),2014.0)</f>
        <v>2014</v>
      </c>
      <c r="F440" s="46">
        <f>IFERROR(__xludf.DUMMYFUNCTION("""COMPUTED_VALUE"""),1.0)</f>
        <v>1</v>
      </c>
      <c r="G440" s="46">
        <f>IFERROR(__xludf.DUMMYFUNCTION("""COMPUTED_VALUE"""),4390.0)</f>
        <v>4390</v>
      </c>
      <c r="H440" s="46">
        <f>IFERROR(__xludf.DUMMYFUNCTION("""COMPUTED_VALUE"""),358794.7)</f>
        <v>358794.7</v>
      </c>
      <c r="I440" s="46">
        <f>IFERROR(__xludf.DUMMYFUNCTION("""COMPUTED_VALUE"""),248781.30000000002)</f>
        <v>248781.3</v>
      </c>
      <c r="J440" s="46">
        <f>IFERROR(__xludf.DUMMYFUNCTION("""COMPUTED_VALUE"""),110013.4)</f>
        <v>110013.4</v>
      </c>
      <c r="K440" s="46" t="str">
        <f t="array" ref="K440">TEXT(D440, "mmmm")</f>
        <v>December</v>
      </c>
      <c r="M440" s="46" t="str">
        <f>IFERROR(__xludf.DUMMYFUNCTION("""COMPUTED_VALUE"""),"Denmark")</f>
        <v>Denmark</v>
      </c>
      <c r="N440" s="94">
        <f>IFERROR(__xludf.DUMMYFUNCTION("""COMPUTED_VALUE"""),41214.0)</f>
        <v>41214</v>
      </c>
      <c r="O440" s="46">
        <f>IFERROR(__xludf.DUMMYFUNCTION("""COMPUTED_VALUE"""),1.0)</f>
        <v>1</v>
      </c>
      <c r="P440" s="46">
        <f>IFERROR(__xludf.DUMMYFUNCTION("""COMPUTED_VALUE"""),2666.0)</f>
        <v>2666</v>
      </c>
      <c r="Q440" s="46">
        <f>IFERROR(__xludf.DUMMYFUNCTION("""COMPUTED_VALUE"""),291340.48)</f>
        <v>291340.48</v>
      </c>
      <c r="R440" s="46">
        <f>IFERROR(__xludf.DUMMYFUNCTION("""COMPUTED_VALUE"""),95549.44)</f>
        <v>95549.44</v>
      </c>
      <c r="S440" s="46">
        <f>IFERROR(__xludf.DUMMYFUNCTION("""COMPUTED_VALUE"""),195791.03999999998)</f>
        <v>195791.04</v>
      </c>
    </row>
    <row r="441">
      <c r="A441" s="46" t="str">
        <f>IFERROR(__xludf.DUMMYFUNCTION("""COMPUTED_VALUE"""),"Personal Care")</f>
        <v>Personal Care</v>
      </c>
      <c r="B441" s="46" t="str">
        <f>IFERROR(__xludf.DUMMYFUNCTION("""COMPUTED_VALUE"""),"Cyprus")</f>
        <v>Cyprus</v>
      </c>
      <c r="C441" s="46" t="str">
        <f>IFERROR(__xludf.DUMMYFUNCTION("""COMPUTED_VALUE"""),"Asia")</f>
        <v>Asia</v>
      </c>
      <c r="D441" s="90">
        <f>IFERROR(__xludf.DUMMYFUNCTION("""COMPUTED_VALUE"""),41974.0)</f>
        <v>41974</v>
      </c>
      <c r="E441" s="46">
        <f>IFERROR(__xludf.DUMMYFUNCTION("""COMPUTED_VALUE"""),2014.0)</f>
        <v>2014</v>
      </c>
      <c r="F441" s="46">
        <f>IFERROR(__xludf.DUMMYFUNCTION("""COMPUTED_VALUE"""),1.0)</f>
        <v>1</v>
      </c>
      <c r="G441" s="46">
        <f>IFERROR(__xludf.DUMMYFUNCTION("""COMPUTED_VALUE"""),5751.0)</f>
        <v>5751</v>
      </c>
      <c r="H441" s="46">
        <f>IFERROR(__xludf.DUMMYFUNCTION("""COMPUTED_VALUE"""),470029.23000000004)</f>
        <v>470029.23</v>
      </c>
      <c r="I441" s="46">
        <f>IFERROR(__xludf.DUMMYFUNCTION("""COMPUTED_VALUE"""),325909.17)</f>
        <v>325909.17</v>
      </c>
      <c r="J441" s="46">
        <f>IFERROR(__xludf.DUMMYFUNCTION("""COMPUTED_VALUE"""),144120.06000000006)</f>
        <v>144120.06</v>
      </c>
      <c r="K441" s="46" t="str">
        <f t="array" ref="K441">TEXT(D441, "mmmm")</f>
        <v>December</v>
      </c>
      <c r="M441" s="46" t="str">
        <f>IFERROR(__xludf.DUMMYFUNCTION("""COMPUTED_VALUE"""),"Italy")</f>
        <v>Italy</v>
      </c>
      <c r="N441" s="94">
        <f>IFERROR(__xludf.DUMMYFUNCTION("""COMPUTED_VALUE"""),41214.0)</f>
        <v>41214</v>
      </c>
      <c r="O441" s="46">
        <f>IFERROR(__xludf.DUMMYFUNCTION("""COMPUTED_VALUE"""),1.0)</f>
        <v>1</v>
      </c>
      <c r="P441" s="46">
        <f>IFERROR(__xludf.DUMMYFUNCTION("""COMPUTED_VALUE"""),6993.0)</f>
        <v>6993</v>
      </c>
      <c r="Q441" s="46">
        <f>IFERROR(__xludf.DUMMYFUNCTION("""COMPUTED_VALUE"""),571537.89)</f>
        <v>571537.89</v>
      </c>
      <c r="R441" s="46">
        <f>IFERROR(__xludf.DUMMYFUNCTION("""COMPUTED_VALUE"""),396293.31)</f>
        <v>396293.31</v>
      </c>
      <c r="S441" s="46">
        <f>IFERROR(__xludf.DUMMYFUNCTION("""COMPUTED_VALUE"""),175244.58000000002)</f>
        <v>175244.58</v>
      </c>
    </row>
    <row r="442">
      <c r="A442" s="46" t="str">
        <f>IFERROR(__xludf.DUMMYFUNCTION("""COMPUTED_VALUE"""),"Snacks")</f>
        <v>Snacks</v>
      </c>
      <c r="B442" s="46" t="str">
        <f>IFERROR(__xludf.DUMMYFUNCTION("""COMPUTED_VALUE"""),"Cyprus")</f>
        <v>Cyprus</v>
      </c>
      <c r="C442" s="46" t="str">
        <f>IFERROR(__xludf.DUMMYFUNCTION("""COMPUTED_VALUE"""),"Asia")</f>
        <v>Asia</v>
      </c>
      <c r="D442" s="90">
        <f>IFERROR(__xludf.DUMMYFUNCTION("""COMPUTED_VALUE"""),41974.0)</f>
        <v>41974</v>
      </c>
      <c r="E442" s="46">
        <f>IFERROR(__xludf.DUMMYFUNCTION("""COMPUTED_VALUE"""),2014.0)</f>
        <v>2014</v>
      </c>
      <c r="F442" s="46">
        <f>IFERROR(__xludf.DUMMYFUNCTION("""COMPUTED_VALUE"""),1.0)</f>
        <v>1</v>
      </c>
      <c r="G442" s="46">
        <f>IFERROR(__xludf.DUMMYFUNCTION("""COMPUTED_VALUE"""),5967.0)</f>
        <v>5967</v>
      </c>
      <c r="H442" s="46">
        <f>IFERROR(__xludf.DUMMYFUNCTION("""COMPUTED_VALUE"""),910444.8600000001)</f>
        <v>910444.86</v>
      </c>
      <c r="I442" s="46">
        <f>IFERROR(__xludf.DUMMYFUNCTION("""COMPUTED_VALUE"""),581424.48)</f>
        <v>581424.48</v>
      </c>
      <c r="J442" s="46">
        <f>IFERROR(__xludf.DUMMYFUNCTION("""COMPUTED_VALUE"""),329020.3800000001)</f>
        <v>329020.38</v>
      </c>
      <c r="K442" s="46" t="str">
        <f t="array" ref="K442">TEXT(D442, "mmmm")</f>
        <v>December</v>
      </c>
      <c r="M442" s="46" t="str">
        <f>IFERROR(__xludf.DUMMYFUNCTION("""COMPUTED_VALUE"""),"Monaco")</f>
        <v>Monaco</v>
      </c>
      <c r="N442" s="94">
        <f>IFERROR(__xludf.DUMMYFUNCTION("""COMPUTED_VALUE"""),41214.0)</f>
        <v>41214</v>
      </c>
      <c r="O442" s="46">
        <f>IFERROR(__xludf.DUMMYFUNCTION("""COMPUTED_VALUE"""),1.0)</f>
        <v>1</v>
      </c>
      <c r="P442" s="46">
        <f>IFERROR(__xludf.DUMMYFUNCTION("""COMPUTED_VALUE"""),5072.0)</f>
        <v>5072</v>
      </c>
      <c r="Q442" s="46">
        <f>IFERROR(__xludf.DUMMYFUNCTION("""COMPUTED_VALUE"""),781392.3200000001)</f>
        <v>781392.32</v>
      </c>
      <c r="R442" s="46">
        <f>IFERROR(__xludf.DUMMYFUNCTION("""COMPUTED_VALUE"""),461196.96)</f>
        <v>461196.96</v>
      </c>
      <c r="S442" s="46">
        <f>IFERROR(__xludf.DUMMYFUNCTION("""COMPUTED_VALUE"""),320195.36000000004)</f>
        <v>320195.36</v>
      </c>
    </row>
    <row r="443">
      <c r="A443" s="46" t="str">
        <f>IFERROR(__xludf.DUMMYFUNCTION("""COMPUTED_VALUE"""),"Baby Food")</f>
        <v>Baby Food</v>
      </c>
      <c r="B443" s="46" t="str">
        <f>IFERROR(__xludf.DUMMYFUNCTION("""COMPUTED_VALUE"""),"Germany")</f>
        <v>Germany</v>
      </c>
      <c r="C443" s="46" t="str">
        <f>IFERROR(__xludf.DUMMYFUNCTION("""COMPUTED_VALUE"""),"Europe")</f>
        <v>Europe</v>
      </c>
      <c r="D443" s="90">
        <f>IFERROR(__xludf.DUMMYFUNCTION("""COMPUTED_VALUE"""),41944.0)</f>
        <v>41944</v>
      </c>
      <c r="E443" s="46">
        <f>IFERROR(__xludf.DUMMYFUNCTION("""COMPUTED_VALUE"""),2014.0)</f>
        <v>2014</v>
      </c>
      <c r="F443" s="46">
        <f>IFERROR(__xludf.DUMMYFUNCTION("""COMPUTED_VALUE"""),1.0)</f>
        <v>1</v>
      </c>
      <c r="G443" s="46">
        <f>IFERROR(__xludf.DUMMYFUNCTION("""COMPUTED_VALUE"""),2273.0)</f>
        <v>2273</v>
      </c>
      <c r="H443" s="46">
        <f>IFERROR(__xludf.DUMMYFUNCTION("""COMPUTED_VALUE"""),580251.4400000001)</f>
        <v>580251.44</v>
      </c>
      <c r="I443" s="46">
        <f>IFERROR(__xludf.DUMMYFUNCTION("""COMPUTED_VALUE"""),362361.66)</f>
        <v>362361.66</v>
      </c>
      <c r="J443" s="46">
        <f>IFERROR(__xludf.DUMMYFUNCTION("""COMPUTED_VALUE"""),217889.7800000001)</f>
        <v>217889.78</v>
      </c>
      <c r="K443" s="46" t="str">
        <f t="array" ref="K443">TEXT(D443, "mmmm")</f>
        <v>November</v>
      </c>
      <c r="M443" s="46" t="str">
        <f>IFERROR(__xludf.DUMMYFUNCTION("""COMPUTED_VALUE"""),"Montenegro")</f>
        <v>Montenegro</v>
      </c>
      <c r="N443" s="94">
        <f>IFERROR(__xludf.DUMMYFUNCTION("""COMPUTED_VALUE"""),41214.0)</f>
        <v>41214</v>
      </c>
      <c r="O443" s="46">
        <f>IFERROR(__xludf.DUMMYFUNCTION("""COMPUTED_VALUE"""),1.0)</f>
        <v>1</v>
      </c>
      <c r="P443" s="46">
        <f>IFERROR(__xludf.DUMMYFUNCTION("""COMPUTED_VALUE"""),9005.0)</f>
        <v>9005</v>
      </c>
      <c r="Q443" s="46">
        <f>IFERROR(__xludf.DUMMYFUNCTION("""COMPUTED_VALUE"""),3936986.0)</f>
        <v>3936986</v>
      </c>
      <c r="R443" s="46">
        <f>IFERROR(__xludf.DUMMYFUNCTION("""COMPUTED_VALUE"""),2371286.65)</f>
        <v>2371286.65</v>
      </c>
      <c r="S443" s="46">
        <f>IFERROR(__xludf.DUMMYFUNCTION("""COMPUTED_VALUE"""),1565699.35)</f>
        <v>1565699.35</v>
      </c>
    </row>
    <row r="444">
      <c r="A444" s="46" t="str">
        <f>IFERROR(__xludf.DUMMYFUNCTION("""COMPUTED_VALUE"""),"Cereal")</f>
        <v>Cereal</v>
      </c>
      <c r="B444" s="46" t="str">
        <f>IFERROR(__xludf.DUMMYFUNCTION("""COMPUTED_VALUE"""),"Belgium")</f>
        <v>Belgium</v>
      </c>
      <c r="C444" s="46" t="str">
        <f>IFERROR(__xludf.DUMMYFUNCTION("""COMPUTED_VALUE"""),"Europe")</f>
        <v>Europe</v>
      </c>
      <c r="D444" s="90">
        <f>IFERROR(__xludf.DUMMYFUNCTION("""COMPUTED_VALUE"""),41944.0)</f>
        <v>41944</v>
      </c>
      <c r="E444" s="46">
        <f>IFERROR(__xludf.DUMMYFUNCTION("""COMPUTED_VALUE"""),2014.0)</f>
        <v>2014</v>
      </c>
      <c r="F444" s="46">
        <f>IFERROR(__xludf.DUMMYFUNCTION("""COMPUTED_VALUE"""),1.0)</f>
        <v>1</v>
      </c>
      <c r="G444" s="46">
        <f>IFERROR(__xludf.DUMMYFUNCTION("""COMPUTED_VALUE"""),6728.0)</f>
        <v>6728</v>
      </c>
      <c r="H444" s="46">
        <f>IFERROR(__xludf.DUMMYFUNCTION("""COMPUTED_VALUE"""),1383949.5999999999)</f>
        <v>1383949.6</v>
      </c>
      <c r="I444" s="46">
        <f>IFERROR(__xludf.DUMMYFUNCTION("""COMPUTED_VALUE"""),787916.08)</f>
        <v>787916.08</v>
      </c>
      <c r="J444" s="46">
        <f>IFERROR(__xludf.DUMMYFUNCTION("""COMPUTED_VALUE"""),596033.5199999999)</f>
        <v>596033.52</v>
      </c>
      <c r="K444" s="46" t="str">
        <f t="array" ref="K444">TEXT(D444, "mmmm")</f>
        <v>November</v>
      </c>
      <c r="M444" s="46" t="str">
        <f>IFERROR(__xludf.DUMMYFUNCTION("""COMPUTED_VALUE"""),"San Marino")</f>
        <v>San Marino</v>
      </c>
      <c r="N444" s="94">
        <f>IFERROR(__xludf.DUMMYFUNCTION("""COMPUTED_VALUE"""),41214.0)</f>
        <v>41214</v>
      </c>
      <c r="O444" s="46">
        <f>IFERROR(__xludf.DUMMYFUNCTION("""COMPUTED_VALUE"""),1.0)</f>
        <v>1</v>
      </c>
      <c r="P444" s="46">
        <f>IFERROR(__xludf.DUMMYFUNCTION("""COMPUTED_VALUE"""),1620.0)</f>
        <v>1620</v>
      </c>
      <c r="Q444" s="46">
        <f>IFERROR(__xludf.DUMMYFUNCTION("""COMPUTED_VALUE"""),708264.0)</f>
        <v>708264</v>
      </c>
      <c r="R444" s="46">
        <f>IFERROR(__xludf.DUMMYFUNCTION("""COMPUTED_VALUE"""),426594.6)</f>
        <v>426594.6</v>
      </c>
      <c r="S444" s="46">
        <f>IFERROR(__xludf.DUMMYFUNCTION("""COMPUTED_VALUE"""),281669.4)</f>
        <v>281669.4</v>
      </c>
    </row>
    <row r="445">
      <c r="A445" s="46" t="str">
        <f>IFERROR(__xludf.DUMMYFUNCTION("""COMPUTED_VALUE"""),"Cereal")</f>
        <v>Cereal</v>
      </c>
      <c r="B445" s="46" t="str">
        <f>IFERROR(__xludf.DUMMYFUNCTION("""COMPUTED_VALUE"""),"Germany")</f>
        <v>Germany</v>
      </c>
      <c r="C445" s="46" t="str">
        <f>IFERROR(__xludf.DUMMYFUNCTION("""COMPUTED_VALUE"""),"Europe")</f>
        <v>Europe</v>
      </c>
      <c r="D445" s="90">
        <f>IFERROR(__xludf.DUMMYFUNCTION("""COMPUTED_VALUE"""),41944.0)</f>
        <v>41944</v>
      </c>
      <c r="E445" s="46">
        <f>IFERROR(__xludf.DUMMYFUNCTION("""COMPUTED_VALUE"""),2014.0)</f>
        <v>2014</v>
      </c>
      <c r="F445" s="46">
        <f>IFERROR(__xludf.DUMMYFUNCTION("""COMPUTED_VALUE"""),1.0)</f>
        <v>1</v>
      </c>
      <c r="G445" s="46">
        <f>IFERROR(__xludf.DUMMYFUNCTION("""COMPUTED_VALUE"""),1984.0)</f>
        <v>1984</v>
      </c>
      <c r="H445" s="46">
        <f>IFERROR(__xludf.DUMMYFUNCTION("""COMPUTED_VALUE"""),408108.8)</f>
        <v>408108.8</v>
      </c>
      <c r="I445" s="46">
        <f>IFERROR(__xludf.DUMMYFUNCTION("""COMPUTED_VALUE"""),232346.24)</f>
        <v>232346.24</v>
      </c>
      <c r="J445" s="46">
        <f>IFERROR(__xludf.DUMMYFUNCTION("""COMPUTED_VALUE"""),175762.56)</f>
        <v>175762.56</v>
      </c>
      <c r="K445" s="46" t="str">
        <f t="array" ref="K445">TEXT(D445, "mmmm")</f>
        <v>November</v>
      </c>
      <c r="M445" s="46" t="str">
        <f>IFERROR(__xludf.DUMMYFUNCTION("""COMPUTED_VALUE"""),"Ukraine")</f>
        <v>Ukraine</v>
      </c>
      <c r="N445" s="94">
        <f>IFERROR(__xludf.DUMMYFUNCTION("""COMPUTED_VALUE"""),41214.0)</f>
        <v>41214</v>
      </c>
      <c r="O445" s="46">
        <f>IFERROR(__xludf.DUMMYFUNCTION("""COMPUTED_VALUE"""),1.0)</f>
        <v>1</v>
      </c>
      <c r="P445" s="46">
        <f>IFERROR(__xludf.DUMMYFUNCTION("""COMPUTED_VALUE"""),7347.0)</f>
        <v>7347</v>
      </c>
      <c r="Q445" s="46">
        <f>IFERROR(__xludf.DUMMYFUNCTION("""COMPUTED_VALUE"""),4784439.87)</f>
        <v>4784439.87</v>
      </c>
      <c r="R445" s="46">
        <f>IFERROR(__xludf.DUMMYFUNCTION("""COMPUTED_VALUE"""),3856881.12)</f>
        <v>3856881.12</v>
      </c>
      <c r="S445" s="46">
        <f>IFERROR(__xludf.DUMMYFUNCTION("""COMPUTED_VALUE"""),927558.75)</f>
        <v>927558.75</v>
      </c>
    </row>
    <row r="446">
      <c r="A446" s="46" t="str">
        <f>IFERROR(__xludf.DUMMYFUNCTION("""COMPUTED_VALUE"""),"Fruits")</f>
        <v>Fruits</v>
      </c>
      <c r="B446" s="46" t="str">
        <f>IFERROR(__xludf.DUMMYFUNCTION("""COMPUTED_VALUE"""),"Armenia")</f>
        <v>Armenia</v>
      </c>
      <c r="C446" s="46" t="str">
        <f>IFERROR(__xludf.DUMMYFUNCTION("""COMPUTED_VALUE"""),"Asia")</f>
        <v>Asia</v>
      </c>
      <c r="D446" s="90">
        <f>IFERROR(__xludf.DUMMYFUNCTION("""COMPUTED_VALUE"""),41944.0)</f>
        <v>41944</v>
      </c>
      <c r="E446" s="46">
        <f>IFERROR(__xludf.DUMMYFUNCTION("""COMPUTED_VALUE"""),2014.0)</f>
        <v>2014</v>
      </c>
      <c r="F446" s="46">
        <f>IFERROR(__xludf.DUMMYFUNCTION("""COMPUTED_VALUE"""),1.0)</f>
        <v>1</v>
      </c>
      <c r="G446" s="46">
        <f>IFERROR(__xludf.DUMMYFUNCTION("""COMPUTED_VALUE"""),9214.0)</f>
        <v>9214</v>
      </c>
      <c r="H446" s="46">
        <f>IFERROR(__xludf.DUMMYFUNCTION("""COMPUTED_VALUE"""),85966.62)</f>
        <v>85966.62</v>
      </c>
      <c r="I446" s="46">
        <f>IFERROR(__xludf.DUMMYFUNCTION("""COMPUTED_VALUE"""),63760.88)</f>
        <v>63760.88</v>
      </c>
      <c r="J446" s="46">
        <f>IFERROR(__xludf.DUMMYFUNCTION("""COMPUTED_VALUE"""),22205.739999999998)</f>
        <v>22205.74</v>
      </c>
      <c r="K446" s="46" t="str">
        <f t="array" ref="K446">TEXT(D446, "mmmm")</f>
        <v>November</v>
      </c>
      <c r="M446" s="46" t="str">
        <f>IFERROR(__xludf.DUMMYFUNCTION("""COMPUTED_VALUE"""),"Undefined")</f>
        <v>Undefined</v>
      </c>
      <c r="N446" s="94">
        <f>IFERROR(__xludf.DUMMYFUNCTION("""COMPUTED_VALUE"""),41214.0)</f>
        <v>41214</v>
      </c>
      <c r="O446" s="46">
        <f>IFERROR(__xludf.DUMMYFUNCTION("""COMPUTED_VALUE"""),2.0)</f>
        <v>2</v>
      </c>
      <c r="P446" s="46">
        <f>IFERROR(__xludf.DUMMYFUNCTION("""COMPUTED_VALUE"""),10777.0)</f>
        <v>10777</v>
      </c>
      <c r="Q446" s="46">
        <f>IFERROR(__xludf.DUMMYFUNCTION("""COMPUTED_VALUE"""),4574542.109999999)</f>
        <v>4574542.11</v>
      </c>
      <c r="R446" s="46">
        <f>IFERROR(__xludf.DUMMYFUNCTION("""COMPUTED_VALUE"""),3745991.65)</f>
        <v>3745991.65</v>
      </c>
      <c r="S446" s="46">
        <f>IFERROR(__xludf.DUMMYFUNCTION("""COMPUTED_VALUE"""),828550.4599999998)</f>
        <v>828550.46</v>
      </c>
    </row>
    <row r="447">
      <c r="A447" s="46" t="str">
        <f>IFERROR(__xludf.DUMMYFUNCTION("""COMPUTED_VALUE"""),"Fruits")</f>
        <v>Fruits</v>
      </c>
      <c r="B447" s="46" t="str">
        <f>IFERROR(__xludf.DUMMYFUNCTION("""COMPUTED_VALUE"""),"Czech Republic")</f>
        <v>Czech Republic</v>
      </c>
      <c r="C447" s="46" t="str">
        <f>IFERROR(__xludf.DUMMYFUNCTION("""COMPUTED_VALUE"""),"Europe")</f>
        <v>Europe</v>
      </c>
      <c r="D447" s="90">
        <f>IFERROR(__xludf.DUMMYFUNCTION("""COMPUTED_VALUE"""),41944.0)</f>
        <v>41944</v>
      </c>
      <c r="E447" s="46">
        <f>IFERROR(__xludf.DUMMYFUNCTION("""COMPUTED_VALUE"""),2014.0)</f>
        <v>2014</v>
      </c>
      <c r="F447" s="46">
        <f>IFERROR(__xludf.DUMMYFUNCTION("""COMPUTED_VALUE"""),1.0)</f>
        <v>1</v>
      </c>
      <c r="G447" s="46">
        <f>IFERROR(__xludf.DUMMYFUNCTION("""COMPUTED_VALUE"""),6956.0)</f>
        <v>6956</v>
      </c>
      <c r="H447" s="46">
        <f>IFERROR(__xludf.DUMMYFUNCTION("""COMPUTED_VALUE"""),64899.48)</f>
        <v>64899.48</v>
      </c>
      <c r="I447" s="46">
        <f>IFERROR(__xludf.DUMMYFUNCTION("""COMPUTED_VALUE"""),48135.52)</f>
        <v>48135.52</v>
      </c>
      <c r="J447" s="46">
        <f>IFERROR(__xludf.DUMMYFUNCTION("""COMPUTED_VALUE"""),16763.960000000006)</f>
        <v>16763.96</v>
      </c>
      <c r="K447" s="46" t="str">
        <f t="array" ref="K447">TEXT(D447, "mmmm")</f>
        <v>November</v>
      </c>
      <c r="M447" s="46" t="str">
        <f>IFERROR(__xludf.DUMMYFUNCTION("""COMPUTED_VALUE"""),"Belarus")</f>
        <v>Belarus</v>
      </c>
      <c r="N447" s="94">
        <f>IFERROR(__xludf.DUMMYFUNCTION("""COMPUTED_VALUE"""),41244.0)</f>
        <v>41244</v>
      </c>
      <c r="O447" s="46">
        <f>IFERROR(__xludf.DUMMYFUNCTION("""COMPUTED_VALUE"""),2.0)</f>
        <v>2</v>
      </c>
      <c r="P447" s="46">
        <f>IFERROR(__xludf.DUMMYFUNCTION("""COMPUTED_VALUE"""),16401.0)</f>
        <v>16401</v>
      </c>
      <c r="Q447" s="46">
        <f>IFERROR(__xludf.DUMMYFUNCTION("""COMPUTED_VALUE"""),2956124.66)</f>
        <v>2956124.66</v>
      </c>
      <c r="R447" s="46">
        <f>IFERROR(__xludf.DUMMYFUNCTION("""COMPUTED_VALUE"""),1709029.6300000001)</f>
        <v>1709029.63</v>
      </c>
      <c r="S447" s="46">
        <f>IFERROR(__xludf.DUMMYFUNCTION("""COMPUTED_VALUE"""),1247095.0299999998)</f>
        <v>1247095.03</v>
      </c>
    </row>
    <row r="448">
      <c r="A448" s="46" t="str">
        <f>IFERROR(__xludf.DUMMYFUNCTION("""COMPUTED_VALUE"""),"Fruits")</f>
        <v>Fruits</v>
      </c>
      <c r="B448" s="46" t="str">
        <f>IFERROR(__xludf.DUMMYFUNCTION("""COMPUTED_VALUE"""),"Undefined")</f>
        <v>Undefined</v>
      </c>
      <c r="C448" s="46" t="str">
        <f>IFERROR(__xludf.DUMMYFUNCTION("""COMPUTED_VALUE"""),"Undefined")</f>
        <v>Undefined</v>
      </c>
      <c r="D448" s="90">
        <f>IFERROR(__xludf.DUMMYFUNCTION("""COMPUTED_VALUE"""),41944.0)</f>
        <v>41944</v>
      </c>
      <c r="E448" s="46">
        <f>IFERROR(__xludf.DUMMYFUNCTION("""COMPUTED_VALUE"""),2014.0)</f>
        <v>2014</v>
      </c>
      <c r="F448" s="46">
        <f>IFERROR(__xludf.DUMMYFUNCTION("""COMPUTED_VALUE"""),1.0)</f>
        <v>1</v>
      </c>
      <c r="G448" s="46">
        <f>IFERROR(__xludf.DUMMYFUNCTION("""COMPUTED_VALUE"""),9929.0)</f>
        <v>9929</v>
      </c>
      <c r="H448" s="46">
        <f>IFERROR(__xludf.DUMMYFUNCTION("""COMPUTED_VALUE"""),92637.57)</f>
        <v>92637.57</v>
      </c>
      <c r="I448" s="46">
        <f>IFERROR(__xludf.DUMMYFUNCTION("""COMPUTED_VALUE"""),68708.68)</f>
        <v>68708.68</v>
      </c>
      <c r="J448" s="46">
        <f>IFERROR(__xludf.DUMMYFUNCTION("""COMPUTED_VALUE"""),23928.890000000014)</f>
        <v>23928.89</v>
      </c>
      <c r="K448" s="46" t="str">
        <f t="array" ref="K448">TEXT(D448, "mmmm")</f>
        <v>November</v>
      </c>
      <c r="M448" s="46" t="str">
        <f>IFERROR(__xludf.DUMMYFUNCTION("""COMPUTED_VALUE"""),"Belgium")</f>
        <v>Belgium</v>
      </c>
      <c r="N448" s="94">
        <f>IFERROR(__xludf.DUMMYFUNCTION("""COMPUTED_VALUE"""),41244.0)</f>
        <v>41244</v>
      </c>
      <c r="O448" s="46">
        <f>IFERROR(__xludf.DUMMYFUNCTION("""COMPUTED_VALUE"""),1.0)</f>
        <v>1</v>
      </c>
      <c r="P448" s="46">
        <f>IFERROR(__xludf.DUMMYFUNCTION("""COMPUTED_VALUE"""),5419.0)</f>
        <v>5419</v>
      </c>
      <c r="Q448" s="46">
        <f>IFERROR(__xludf.DUMMYFUNCTION("""COMPUTED_VALUE"""),3528906.99)</f>
        <v>3528906.99</v>
      </c>
      <c r="R448" s="46">
        <f>IFERROR(__xludf.DUMMYFUNCTION("""COMPUTED_VALUE"""),2844758.24)</f>
        <v>2844758.24</v>
      </c>
      <c r="S448" s="46">
        <f>IFERROR(__xludf.DUMMYFUNCTION("""COMPUTED_VALUE"""),684148.75)</f>
        <v>684148.75</v>
      </c>
    </row>
    <row r="449">
      <c r="A449" s="46" t="str">
        <f>IFERROR(__xludf.DUMMYFUNCTION("""COMPUTED_VALUE"""),"Household")</f>
        <v>Household</v>
      </c>
      <c r="B449" s="46" t="str">
        <f>IFERROR(__xludf.DUMMYFUNCTION("""COMPUTED_VALUE"""),"Czech Republic")</f>
        <v>Czech Republic</v>
      </c>
      <c r="C449" s="46" t="str">
        <f>IFERROR(__xludf.DUMMYFUNCTION("""COMPUTED_VALUE"""),"Europe")</f>
        <v>Europe</v>
      </c>
      <c r="D449" s="90">
        <f>IFERROR(__xludf.DUMMYFUNCTION("""COMPUTED_VALUE"""),41944.0)</f>
        <v>41944</v>
      </c>
      <c r="E449" s="46">
        <f>IFERROR(__xludf.DUMMYFUNCTION("""COMPUTED_VALUE"""),2014.0)</f>
        <v>2014</v>
      </c>
      <c r="F449" s="46">
        <f>IFERROR(__xludf.DUMMYFUNCTION("""COMPUTED_VALUE"""),1.0)</f>
        <v>1</v>
      </c>
      <c r="G449" s="46">
        <f>IFERROR(__xludf.DUMMYFUNCTION("""COMPUTED_VALUE"""),7522.0)</f>
        <v>7522</v>
      </c>
      <c r="H449" s="46">
        <f>IFERROR(__xludf.DUMMYFUNCTION("""COMPUTED_VALUE"""),5026726.9399999995)</f>
        <v>5026726.94</v>
      </c>
      <c r="I449" s="46">
        <f>IFERROR(__xludf.DUMMYFUNCTION("""COMPUTED_VALUE"""),3780105.8800000004)</f>
        <v>3780105.88</v>
      </c>
      <c r="J449" s="46">
        <f>IFERROR(__xludf.DUMMYFUNCTION("""COMPUTED_VALUE"""),1246621.0599999991)</f>
        <v>1246621.06</v>
      </c>
      <c r="K449" s="46" t="str">
        <f t="array" ref="K449">TEXT(D449, "mmmm")</f>
        <v>November</v>
      </c>
      <c r="M449" s="46" t="str">
        <f>IFERROR(__xludf.DUMMYFUNCTION("""COMPUTED_VALUE"""),"Bosnia and Herzegovina")</f>
        <v>Bosnia and Herzegovina</v>
      </c>
      <c r="N449" s="94">
        <f>IFERROR(__xludf.DUMMYFUNCTION("""COMPUTED_VALUE"""),41244.0)</f>
        <v>41244</v>
      </c>
      <c r="O449" s="46">
        <f>IFERROR(__xludf.DUMMYFUNCTION("""COMPUTED_VALUE"""),1.0)</f>
        <v>1</v>
      </c>
      <c r="P449" s="46">
        <f>IFERROR(__xludf.DUMMYFUNCTION("""COMPUTED_VALUE"""),2958.0)</f>
        <v>2958</v>
      </c>
      <c r="Q449" s="46">
        <f>IFERROR(__xludf.DUMMYFUNCTION("""COMPUTED_VALUE"""),451331.64)</f>
        <v>451331.64</v>
      </c>
      <c r="R449" s="46">
        <f>IFERROR(__xludf.DUMMYFUNCTION("""COMPUTED_VALUE"""),288227.52)</f>
        <v>288227.52</v>
      </c>
      <c r="S449" s="46">
        <f>IFERROR(__xludf.DUMMYFUNCTION("""COMPUTED_VALUE"""),163104.12)</f>
        <v>163104.12</v>
      </c>
    </row>
    <row r="450">
      <c r="A450" s="46" t="str">
        <f>IFERROR(__xludf.DUMMYFUNCTION("""COMPUTED_VALUE"""),"Meat")</f>
        <v>Meat</v>
      </c>
      <c r="B450" s="46" t="str">
        <f>IFERROR(__xludf.DUMMYFUNCTION("""COMPUTED_VALUE"""),"Latvia")</f>
        <v>Latvia</v>
      </c>
      <c r="C450" s="46" t="str">
        <f>IFERROR(__xludf.DUMMYFUNCTION("""COMPUTED_VALUE"""),"Europe")</f>
        <v>Europe</v>
      </c>
      <c r="D450" s="90">
        <f>IFERROR(__xludf.DUMMYFUNCTION("""COMPUTED_VALUE"""),41944.0)</f>
        <v>41944</v>
      </c>
      <c r="E450" s="46">
        <f>IFERROR(__xludf.DUMMYFUNCTION("""COMPUTED_VALUE"""),2014.0)</f>
        <v>2014</v>
      </c>
      <c r="F450" s="46">
        <f>IFERROR(__xludf.DUMMYFUNCTION("""COMPUTED_VALUE"""),1.0)</f>
        <v>1</v>
      </c>
      <c r="G450" s="46">
        <f>IFERROR(__xludf.DUMMYFUNCTION("""COMPUTED_VALUE"""),4611.0)</f>
        <v>4611</v>
      </c>
      <c r="H450" s="46">
        <f>IFERROR(__xludf.DUMMYFUNCTION("""COMPUTED_VALUE"""),1945334.79)</f>
        <v>1945334.79</v>
      </c>
      <c r="I450" s="46">
        <f>IFERROR(__xludf.DUMMYFUNCTION("""COMPUTED_VALUE"""),1681585.59)</f>
        <v>1681585.59</v>
      </c>
      <c r="J450" s="46">
        <f>IFERROR(__xludf.DUMMYFUNCTION("""COMPUTED_VALUE"""),263749.19999999995)</f>
        <v>263749.2</v>
      </c>
      <c r="K450" s="46" t="str">
        <f t="array" ref="K450">TEXT(D450, "mmmm")</f>
        <v>November</v>
      </c>
      <c r="M450" s="46" t="str">
        <f>IFERROR(__xludf.DUMMYFUNCTION("""COMPUTED_VALUE"""),"Czech Republic")</f>
        <v>Czech Republic</v>
      </c>
      <c r="N450" s="94">
        <f>IFERROR(__xludf.DUMMYFUNCTION("""COMPUTED_VALUE"""),41244.0)</f>
        <v>41244</v>
      </c>
      <c r="O450" s="46">
        <f>IFERROR(__xludf.DUMMYFUNCTION("""COMPUTED_VALUE"""),1.0)</f>
        <v>1</v>
      </c>
      <c r="P450" s="46">
        <f>IFERROR(__xludf.DUMMYFUNCTION("""COMPUTED_VALUE"""),1448.0)</f>
        <v>1448</v>
      </c>
      <c r="Q450" s="46">
        <f>IFERROR(__xludf.DUMMYFUNCTION("""COMPUTED_VALUE"""),967654.96)</f>
        <v>967654.96</v>
      </c>
      <c r="R450" s="46">
        <f>IFERROR(__xludf.DUMMYFUNCTION("""COMPUTED_VALUE"""),727677.92)</f>
        <v>727677.92</v>
      </c>
      <c r="S450" s="46">
        <f>IFERROR(__xludf.DUMMYFUNCTION("""COMPUTED_VALUE"""),239977.03999999992)</f>
        <v>239977.04</v>
      </c>
    </row>
    <row r="451">
      <c r="A451" s="46" t="str">
        <f>IFERROR(__xludf.DUMMYFUNCTION("""COMPUTED_VALUE"""),"Personal Care")</f>
        <v>Personal Care</v>
      </c>
      <c r="B451" s="46" t="str">
        <f>IFERROR(__xludf.DUMMYFUNCTION("""COMPUTED_VALUE"""),"Slovenia")</f>
        <v>Slovenia</v>
      </c>
      <c r="C451" s="46" t="str">
        <f>IFERROR(__xludf.DUMMYFUNCTION("""COMPUTED_VALUE"""),"Europe")</f>
        <v>Europe</v>
      </c>
      <c r="D451" s="90">
        <f>IFERROR(__xludf.DUMMYFUNCTION("""COMPUTED_VALUE"""),41944.0)</f>
        <v>41944</v>
      </c>
      <c r="E451" s="46">
        <f>IFERROR(__xludf.DUMMYFUNCTION("""COMPUTED_VALUE"""),2014.0)</f>
        <v>2014</v>
      </c>
      <c r="F451" s="46">
        <f>IFERROR(__xludf.DUMMYFUNCTION("""COMPUTED_VALUE"""),1.0)</f>
        <v>1</v>
      </c>
      <c r="G451" s="46">
        <f>IFERROR(__xludf.DUMMYFUNCTION("""COMPUTED_VALUE"""),4376.0)</f>
        <v>4376</v>
      </c>
      <c r="H451" s="46">
        <f>IFERROR(__xludf.DUMMYFUNCTION("""COMPUTED_VALUE"""),357650.48000000004)</f>
        <v>357650.48</v>
      </c>
      <c r="I451" s="46">
        <f>IFERROR(__xludf.DUMMYFUNCTION("""COMPUTED_VALUE"""),247987.92)</f>
        <v>247987.92</v>
      </c>
      <c r="J451" s="46">
        <f>IFERROR(__xludf.DUMMYFUNCTION("""COMPUTED_VALUE"""),109662.56000000003)</f>
        <v>109662.56</v>
      </c>
      <c r="K451" s="46" t="str">
        <f t="array" ref="K451">TEXT(D451, "mmmm")</f>
        <v>November</v>
      </c>
      <c r="M451" s="46" t="str">
        <f>IFERROR(__xludf.DUMMYFUNCTION("""COMPUTED_VALUE"""),"Denmark")</f>
        <v>Denmark</v>
      </c>
      <c r="N451" s="94">
        <f>IFERROR(__xludf.DUMMYFUNCTION("""COMPUTED_VALUE"""),41244.0)</f>
        <v>41244</v>
      </c>
      <c r="O451" s="46">
        <f>IFERROR(__xludf.DUMMYFUNCTION("""COMPUTED_VALUE"""),1.0)</f>
        <v>1</v>
      </c>
      <c r="P451" s="46">
        <f>IFERROR(__xludf.DUMMYFUNCTION("""COMPUTED_VALUE"""),1485.0)</f>
        <v>1485</v>
      </c>
      <c r="Q451" s="46">
        <f>IFERROR(__xludf.DUMMYFUNCTION("""COMPUTED_VALUE"""),379090.8)</f>
        <v>379090.8</v>
      </c>
      <c r="R451" s="46">
        <f>IFERROR(__xludf.DUMMYFUNCTION("""COMPUTED_VALUE"""),236738.69999999998)</f>
        <v>236738.7</v>
      </c>
      <c r="S451" s="46">
        <f>IFERROR(__xludf.DUMMYFUNCTION("""COMPUTED_VALUE"""),142352.1)</f>
        <v>142352.1</v>
      </c>
    </row>
    <row r="452">
      <c r="A452" s="46" t="str">
        <f>IFERROR(__xludf.DUMMYFUNCTION("""COMPUTED_VALUE"""),"Vegetables")</f>
        <v>Vegetables</v>
      </c>
      <c r="B452" s="46" t="str">
        <f>IFERROR(__xludf.DUMMYFUNCTION("""COMPUTED_VALUE"""),"Romania")</f>
        <v>Romania</v>
      </c>
      <c r="C452" s="46" t="str">
        <f>IFERROR(__xludf.DUMMYFUNCTION("""COMPUTED_VALUE"""),"Europe")</f>
        <v>Europe</v>
      </c>
      <c r="D452" s="90">
        <f>IFERROR(__xludf.DUMMYFUNCTION("""COMPUTED_VALUE"""),41944.0)</f>
        <v>41944</v>
      </c>
      <c r="E452" s="46">
        <f>IFERROR(__xludf.DUMMYFUNCTION("""COMPUTED_VALUE"""),2014.0)</f>
        <v>2014</v>
      </c>
      <c r="F452" s="46">
        <f>IFERROR(__xludf.DUMMYFUNCTION("""COMPUTED_VALUE"""),1.0)</f>
        <v>1</v>
      </c>
      <c r="G452" s="46">
        <f>IFERROR(__xludf.DUMMYFUNCTION("""COMPUTED_VALUE"""),2809.0)</f>
        <v>2809</v>
      </c>
      <c r="H452" s="46">
        <f>IFERROR(__xludf.DUMMYFUNCTION("""COMPUTED_VALUE"""),432754.54)</f>
        <v>432754.54</v>
      </c>
      <c r="I452" s="46">
        <f>IFERROR(__xludf.DUMMYFUNCTION("""COMPUTED_VALUE"""),255422.37000000002)</f>
        <v>255422.37</v>
      </c>
      <c r="J452" s="46">
        <f>IFERROR(__xludf.DUMMYFUNCTION("""COMPUTED_VALUE"""),177332.16999999995)</f>
        <v>177332.17</v>
      </c>
      <c r="K452" s="46" t="str">
        <f t="array" ref="K452">TEXT(D452, "mmmm")</f>
        <v>November</v>
      </c>
      <c r="M452" s="46" t="str">
        <f>IFERROR(__xludf.DUMMYFUNCTION("""COMPUTED_VALUE"""),"Germany")</f>
        <v>Germany</v>
      </c>
      <c r="N452" s="94">
        <f>IFERROR(__xludf.DUMMYFUNCTION("""COMPUTED_VALUE"""),41244.0)</f>
        <v>41244</v>
      </c>
      <c r="O452" s="46">
        <f>IFERROR(__xludf.DUMMYFUNCTION("""COMPUTED_VALUE"""),1.0)</f>
        <v>1</v>
      </c>
      <c r="P452" s="46">
        <f>IFERROR(__xludf.DUMMYFUNCTION("""COMPUTED_VALUE"""),71.0)</f>
        <v>71</v>
      </c>
      <c r="Q452" s="46">
        <f>IFERROR(__xludf.DUMMYFUNCTION("""COMPUTED_VALUE"""),5802.83)</f>
        <v>5802.83</v>
      </c>
      <c r="R452" s="46">
        <f>IFERROR(__xludf.DUMMYFUNCTION("""COMPUTED_VALUE"""),4023.57)</f>
        <v>4023.57</v>
      </c>
      <c r="S452" s="46">
        <f>IFERROR(__xludf.DUMMYFUNCTION("""COMPUTED_VALUE"""),1779.2599999999998)</f>
        <v>1779.26</v>
      </c>
    </row>
    <row r="453">
      <c r="A453" s="46" t="str">
        <f>IFERROR(__xludf.DUMMYFUNCTION("""COMPUTED_VALUE"""),"Vegetables")</f>
        <v>Vegetables</v>
      </c>
      <c r="B453" s="46" t="str">
        <f>IFERROR(__xludf.DUMMYFUNCTION("""COMPUTED_VALUE"""),"Undefined")</f>
        <v>Undefined</v>
      </c>
      <c r="C453" s="46" t="str">
        <f>IFERROR(__xludf.DUMMYFUNCTION("""COMPUTED_VALUE"""),"Undefined")</f>
        <v>Undefined</v>
      </c>
      <c r="D453" s="90">
        <f>IFERROR(__xludf.DUMMYFUNCTION("""COMPUTED_VALUE"""),41944.0)</f>
        <v>41944</v>
      </c>
      <c r="E453" s="46">
        <f>IFERROR(__xludf.DUMMYFUNCTION("""COMPUTED_VALUE"""),2014.0)</f>
        <v>2014</v>
      </c>
      <c r="F453" s="46">
        <f>IFERROR(__xludf.DUMMYFUNCTION("""COMPUTED_VALUE"""),1.0)</f>
        <v>1</v>
      </c>
      <c r="G453" s="46">
        <f>IFERROR(__xludf.DUMMYFUNCTION("""COMPUTED_VALUE"""),8676.0)</f>
        <v>8676</v>
      </c>
      <c r="H453" s="46">
        <f>IFERROR(__xludf.DUMMYFUNCTION("""COMPUTED_VALUE"""),1336624.56)</f>
        <v>1336624.56</v>
      </c>
      <c r="I453" s="46">
        <f>IFERROR(__xludf.DUMMYFUNCTION("""COMPUTED_VALUE"""),788908.68)</f>
        <v>788908.68</v>
      </c>
      <c r="J453" s="46">
        <f>IFERROR(__xludf.DUMMYFUNCTION("""COMPUTED_VALUE"""),547715.88)</f>
        <v>547715.88</v>
      </c>
      <c r="K453" s="46" t="str">
        <f t="array" ref="K453">TEXT(D453, "mmmm")</f>
        <v>November</v>
      </c>
      <c r="M453" s="46" t="str">
        <f>IFERROR(__xludf.DUMMYFUNCTION("""COMPUTED_VALUE"""),"Luxembourg")</f>
        <v>Luxembourg</v>
      </c>
      <c r="N453" s="94">
        <f>IFERROR(__xludf.DUMMYFUNCTION("""COMPUTED_VALUE"""),41244.0)</f>
        <v>41244</v>
      </c>
      <c r="O453" s="46">
        <f>IFERROR(__xludf.DUMMYFUNCTION("""COMPUTED_VALUE"""),1.0)</f>
        <v>1</v>
      </c>
      <c r="P453" s="46">
        <f>IFERROR(__xludf.DUMMYFUNCTION("""COMPUTED_VALUE"""),1842.0)</f>
        <v>1842</v>
      </c>
      <c r="Q453" s="46">
        <f>IFERROR(__xludf.DUMMYFUNCTION("""COMPUTED_VALUE"""),378899.39999999997)</f>
        <v>378899.4</v>
      </c>
      <c r="R453" s="46">
        <f>IFERROR(__xludf.DUMMYFUNCTION("""COMPUTED_VALUE"""),215716.62)</f>
        <v>215716.62</v>
      </c>
      <c r="S453" s="46">
        <f>IFERROR(__xludf.DUMMYFUNCTION("""COMPUTED_VALUE"""),163182.77999999997)</f>
        <v>163182.78</v>
      </c>
    </row>
    <row r="454">
      <c r="A454" s="46" t="str">
        <f>IFERROR(__xludf.DUMMYFUNCTION("""COMPUTED_VALUE"""),"Beverages")</f>
        <v>Beverages</v>
      </c>
      <c r="B454" s="46" t="str">
        <f>IFERROR(__xludf.DUMMYFUNCTION("""COMPUTED_VALUE"""),"Slovakia")</f>
        <v>Slovakia</v>
      </c>
      <c r="C454" s="46" t="str">
        <f>IFERROR(__xludf.DUMMYFUNCTION("""COMPUTED_VALUE"""),"Europe")</f>
        <v>Europe</v>
      </c>
      <c r="D454" s="90">
        <f>IFERROR(__xludf.DUMMYFUNCTION("""COMPUTED_VALUE"""),41913.0)</f>
        <v>41913</v>
      </c>
      <c r="E454" s="46">
        <f>IFERROR(__xludf.DUMMYFUNCTION("""COMPUTED_VALUE"""),2014.0)</f>
        <v>2014</v>
      </c>
      <c r="F454" s="46">
        <f>IFERROR(__xludf.DUMMYFUNCTION("""COMPUTED_VALUE"""),1.0)</f>
        <v>1</v>
      </c>
      <c r="G454" s="46">
        <f>IFERROR(__xludf.DUMMYFUNCTION("""COMPUTED_VALUE"""),8743.0)</f>
        <v>8743</v>
      </c>
      <c r="H454" s="46">
        <f>IFERROR(__xludf.DUMMYFUNCTION("""COMPUTED_VALUE"""),414855.35000000003)</f>
        <v>414855.35</v>
      </c>
      <c r="I454" s="46">
        <f>IFERROR(__xludf.DUMMYFUNCTION("""COMPUTED_VALUE"""),277939.97)</f>
        <v>277939.97</v>
      </c>
      <c r="J454" s="46">
        <f>IFERROR(__xludf.DUMMYFUNCTION("""COMPUTED_VALUE"""),136915.38000000006)</f>
        <v>136915.38</v>
      </c>
      <c r="K454" s="46" t="str">
        <f t="array" ref="K454">TEXT(D454, "mmmm")</f>
        <v>October</v>
      </c>
      <c r="M454" s="46" t="str">
        <f>IFERROR(__xludf.DUMMYFUNCTION("""COMPUTED_VALUE"""),"Malta")</f>
        <v>Malta</v>
      </c>
      <c r="N454" s="94">
        <f>IFERROR(__xludf.DUMMYFUNCTION("""COMPUTED_VALUE"""),41244.0)</f>
        <v>41244</v>
      </c>
      <c r="O454" s="46">
        <f>IFERROR(__xludf.DUMMYFUNCTION("""COMPUTED_VALUE"""),2.0)</f>
        <v>2</v>
      </c>
      <c r="P454" s="46">
        <f>IFERROR(__xludf.DUMMYFUNCTION("""COMPUTED_VALUE"""),17397.0)</f>
        <v>17397</v>
      </c>
      <c r="Q454" s="46">
        <f>IFERROR(__xludf.DUMMYFUNCTION("""COMPUTED_VALUE"""),6081660.720000001)</f>
        <v>6081660.72</v>
      </c>
      <c r="R454" s="46">
        <f>IFERROR(__xludf.DUMMYFUNCTION("""COMPUTED_VALUE"""),3710490.12)</f>
        <v>3710490.12</v>
      </c>
      <c r="S454" s="46">
        <f>IFERROR(__xludf.DUMMYFUNCTION("""COMPUTED_VALUE"""),2371170.6000000006)</f>
        <v>2371170.6</v>
      </c>
    </row>
    <row r="455">
      <c r="A455" s="46" t="str">
        <f>IFERROR(__xludf.DUMMYFUNCTION("""COMPUTED_VALUE"""),"Cereal")</f>
        <v>Cereal</v>
      </c>
      <c r="B455" s="46" t="str">
        <f>IFERROR(__xludf.DUMMYFUNCTION("""COMPUTED_VALUE"""),"Liechtenstein")</f>
        <v>Liechtenstein</v>
      </c>
      <c r="C455" s="46" t="str">
        <f>IFERROR(__xludf.DUMMYFUNCTION("""COMPUTED_VALUE"""),"Europe")</f>
        <v>Europe</v>
      </c>
      <c r="D455" s="90">
        <f>IFERROR(__xludf.DUMMYFUNCTION("""COMPUTED_VALUE"""),41913.0)</f>
        <v>41913</v>
      </c>
      <c r="E455" s="46">
        <f>IFERROR(__xludf.DUMMYFUNCTION("""COMPUTED_VALUE"""),2014.0)</f>
        <v>2014</v>
      </c>
      <c r="F455" s="46">
        <f>IFERROR(__xludf.DUMMYFUNCTION("""COMPUTED_VALUE"""),1.0)</f>
        <v>1</v>
      </c>
      <c r="G455" s="46">
        <f>IFERROR(__xludf.DUMMYFUNCTION("""COMPUTED_VALUE"""),280.0)</f>
        <v>280</v>
      </c>
      <c r="H455" s="46">
        <f>IFERROR(__xludf.DUMMYFUNCTION("""COMPUTED_VALUE"""),57596.0)</f>
        <v>57596</v>
      </c>
      <c r="I455" s="46">
        <f>IFERROR(__xludf.DUMMYFUNCTION("""COMPUTED_VALUE"""),32790.8)</f>
        <v>32790.8</v>
      </c>
      <c r="J455" s="46">
        <f>IFERROR(__xludf.DUMMYFUNCTION("""COMPUTED_VALUE"""),24805.199999999997)</f>
        <v>24805.2</v>
      </c>
      <c r="K455" s="46" t="str">
        <f t="array" ref="K455">TEXT(D455, "mmmm")</f>
        <v>October</v>
      </c>
      <c r="M455" s="46" t="str">
        <f>IFERROR(__xludf.DUMMYFUNCTION("""COMPUTED_VALUE"""),"Norway")</f>
        <v>Norway</v>
      </c>
      <c r="N455" s="94">
        <f>IFERROR(__xludf.DUMMYFUNCTION("""COMPUTED_VALUE"""),41244.0)</f>
        <v>41244</v>
      </c>
      <c r="O455" s="46">
        <f>IFERROR(__xludf.DUMMYFUNCTION("""COMPUTED_VALUE"""),2.0)</f>
        <v>2</v>
      </c>
      <c r="P455" s="46">
        <f>IFERROR(__xludf.DUMMYFUNCTION("""COMPUTED_VALUE"""),10108.0)</f>
        <v>10108</v>
      </c>
      <c r="Q455" s="46">
        <f>IFERROR(__xludf.DUMMYFUNCTION("""COMPUTED_VALUE"""),1182401.2400000002)</f>
        <v>1182401.24</v>
      </c>
      <c r="R455" s="46">
        <f>IFERROR(__xludf.DUMMYFUNCTION("""COMPUTED_VALUE"""),895383.2000000001)</f>
        <v>895383.2</v>
      </c>
      <c r="S455" s="46">
        <f>IFERROR(__xludf.DUMMYFUNCTION("""COMPUTED_VALUE"""),287018.04000000004)</f>
        <v>287018.04</v>
      </c>
    </row>
    <row r="456">
      <c r="A456" s="46" t="str">
        <f>IFERROR(__xludf.DUMMYFUNCTION("""COMPUTED_VALUE"""),"Cereal")</f>
        <v>Cereal</v>
      </c>
      <c r="B456" s="46" t="str">
        <f>IFERROR(__xludf.DUMMYFUNCTION("""COMPUTED_VALUE"""),"Norway")</f>
        <v>Norway</v>
      </c>
      <c r="C456" s="46" t="str">
        <f>IFERROR(__xludf.DUMMYFUNCTION("""COMPUTED_VALUE"""),"Europe")</f>
        <v>Europe</v>
      </c>
      <c r="D456" s="90">
        <f>IFERROR(__xludf.DUMMYFUNCTION("""COMPUTED_VALUE"""),41913.0)</f>
        <v>41913</v>
      </c>
      <c r="E456" s="46">
        <f>IFERROR(__xludf.DUMMYFUNCTION("""COMPUTED_VALUE"""),2014.0)</f>
        <v>2014</v>
      </c>
      <c r="F456" s="46">
        <f>IFERROR(__xludf.DUMMYFUNCTION("""COMPUTED_VALUE"""),1.0)</f>
        <v>1</v>
      </c>
      <c r="G456" s="46">
        <f>IFERROR(__xludf.DUMMYFUNCTION("""COMPUTED_VALUE"""),650.0)</f>
        <v>650</v>
      </c>
      <c r="H456" s="46">
        <f>IFERROR(__xludf.DUMMYFUNCTION("""COMPUTED_VALUE"""),133705.0)</f>
        <v>133705</v>
      </c>
      <c r="I456" s="46">
        <f>IFERROR(__xludf.DUMMYFUNCTION("""COMPUTED_VALUE"""),76121.5)</f>
        <v>76121.5</v>
      </c>
      <c r="J456" s="46">
        <f>IFERROR(__xludf.DUMMYFUNCTION("""COMPUTED_VALUE"""),57583.5)</f>
        <v>57583.5</v>
      </c>
      <c r="K456" s="46" t="str">
        <f t="array" ref="K456">TEXT(D456, "mmmm")</f>
        <v>October</v>
      </c>
      <c r="M456" s="46" t="str">
        <f>IFERROR(__xludf.DUMMYFUNCTION("""COMPUTED_VALUE"""),"Romania")</f>
        <v>Romania</v>
      </c>
      <c r="N456" s="94">
        <f>IFERROR(__xludf.DUMMYFUNCTION("""COMPUTED_VALUE"""),41244.0)</f>
        <v>41244</v>
      </c>
      <c r="O456" s="46">
        <f>IFERROR(__xludf.DUMMYFUNCTION("""COMPUTED_VALUE"""),2.0)</f>
        <v>2</v>
      </c>
      <c r="P456" s="46">
        <f>IFERROR(__xludf.DUMMYFUNCTION("""COMPUTED_VALUE"""),1952.0)</f>
        <v>1952</v>
      </c>
      <c r="Q456" s="46">
        <f>IFERROR(__xludf.DUMMYFUNCTION("""COMPUTED_VALUE"""),165319.68000000002)</f>
        <v>165319.68</v>
      </c>
      <c r="R456" s="46">
        <f>IFERROR(__xludf.DUMMYFUNCTION("""COMPUTED_VALUE"""),115856.18)</f>
        <v>115856.18</v>
      </c>
      <c r="S456" s="46">
        <f>IFERROR(__xludf.DUMMYFUNCTION("""COMPUTED_VALUE"""),49463.50000000002)</f>
        <v>49463.5</v>
      </c>
    </row>
    <row r="457">
      <c r="A457" s="46" t="str">
        <f>IFERROR(__xludf.DUMMYFUNCTION("""COMPUTED_VALUE"""),"Clothes")</f>
        <v>Clothes</v>
      </c>
      <c r="B457" s="46" t="str">
        <f>IFERROR(__xludf.DUMMYFUNCTION("""COMPUTED_VALUE"""),"Denmark")</f>
        <v>Denmark</v>
      </c>
      <c r="C457" s="46" t="str">
        <f>IFERROR(__xludf.DUMMYFUNCTION("""COMPUTED_VALUE"""),"Europe")</f>
        <v>Europe</v>
      </c>
      <c r="D457" s="90">
        <f>IFERROR(__xludf.DUMMYFUNCTION("""COMPUTED_VALUE"""),41913.0)</f>
        <v>41913</v>
      </c>
      <c r="E457" s="46">
        <f>IFERROR(__xludf.DUMMYFUNCTION("""COMPUTED_VALUE"""),2014.0)</f>
        <v>2014</v>
      </c>
      <c r="F457" s="46">
        <f>IFERROR(__xludf.DUMMYFUNCTION("""COMPUTED_VALUE"""),1.0)</f>
        <v>1</v>
      </c>
      <c r="G457" s="46">
        <f>IFERROR(__xludf.DUMMYFUNCTION("""COMPUTED_VALUE"""),4301.0)</f>
        <v>4301</v>
      </c>
      <c r="H457" s="46">
        <f>IFERROR(__xludf.DUMMYFUNCTION("""COMPUTED_VALUE"""),470013.28)</f>
        <v>470013.28</v>
      </c>
      <c r="I457" s="46">
        <f>IFERROR(__xludf.DUMMYFUNCTION("""COMPUTED_VALUE"""),154147.84000000003)</f>
        <v>154147.84</v>
      </c>
      <c r="J457" s="46">
        <f>IFERROR(__xludf.DUMMYFUNCTION("""COMPUTED_VALUE"""),315865.44)</f>
        <v>315865.44</v>
      </c>
      <c r="K457" s="46" t="str">
        <f t="array" ref="K457">TEXT(D457, "mmmm")</f>
        <v>October</v>
      </c>
      <c r="M457" s="46" t="str">
        <f>IFERROR(__xludf.DUMMYFUNCTION("""COMPUTED_VALUE"""),"Serbia")</f>
        <v>Serbia</v>
      </c>
      <c r="N457" s="94">
        <f>IFERROR(__xludf.DUMMYFUNCTION("""COMPUTED_VALUE"""),41244.0)</f>
        <v>41244</v>
      </c>
      <c r="O457" s="46">
        <f>IFERROR(__xludf.DUMMYFUNCTION("""COMPUTED_VALUE"""),1.0)</f>
        <v>1</v>
      </c>
      <c r="P457" s="46">
        <f>IFERROR(__xludf.DUMMYFUNCTION("""COMPUTED_VALUE"""),5312.0)</f>
        <v>5312</v>
      </c>
      <c r="Q457" s="46">
        <f>IFERROR(__xludf.DUMMYFUNCTION("""COMPUTED_VALUE"""),252054.40000000002)</f>
        <v>252054.4</v>
      </c>
      <c r="R457" s="46">
        <f>IFERROR(__xludf.DUMMYFUNCTION("""COMPUTED_VALUE"""),168868.47999999998)</f>
        <v>168868.48</v>
      </c>
      <c r="S457" s="46">
        <f>IFERROR(__xludf.DUMMYFUNCTION("""COMPUTED_VALUE"""),83185.92000000004)</f>
        <v>83185.92</v>
      </c>
    </row>
    <row r="458">
      <c r="A458" s="46" t="str">
        <f>IFERROR(__xludf.DUMMYFUNCTION("""COMPUTED_VALUE"""),"Cosmetics")</f>
        <v>Cosmetics</v>
      </c>
      <c r="B458" s="46" t="str">
        <f>IFERROR(__xludf.DUMMYFUNCTION("""COMPUTED_VALUE"""),"Belarus")</f>
        <v>Belarus</v>
      </c>
      <c r="C458" s="46" t="str">
        <f>IFERROR(__xludf.DUMMYFUNCTION("""COMPUTED_VALUE"""),"Europe")</f>
        <v>Europe</v>
      </c>
      <c r="D458" s="90">
        <f>IFERROR(__xludf.DUMMYFUNCTION("""COMPUTED_VALUE"""),41913.0)</f>
        <v>41913</v>
      </c>
      <c r="E458" s="46">
        <f>IFERROR(__xludf.DUMMYFUNCTION("""COMPUTED_VALUE"""),2014.0)</f>
        <v>2014</v>
      </c>
      <c r="F458" s="46">
        <f>IFERROR(__xludf.DUMMYFUNCTION("""COMPUTED_VALUE"""),1.0)</f>
        <v>1</v>
      </c>
      <c r="G458" s="46">
        <f>IFERROR(__xludf.DUMMYFUNCTION("""COMPUTED_VALUE"""),1722.0)</f>
        <v>1722</v>
      </c>
      <c r="H458" s="46">
        <f>IFERROR(__xludf.DUMMYFUNCTION("""COMPUTED_VALUE"""),752858.4)</f>
        <v>752858.4</v>
      </c>
      <c r="I458" s="46">
        <f>IFERROR(__xludf.DUMMYFUNCTION("""COMPUTED_VALUE"""),453454.25999999995)</f>
        <v>453454.26</v>
      </c>
      <c r="J458" s="46">
        <f>IFERROR(__xludf.DUMMYFUNCTION("""COMPUTED_VALUE"""),299404.1400000001)</f>
        <v>299404.14</v>
      </c>
      <c r="K458" s="46" t="str">
        <f t="array" ref="K458">TEXT(D458, "mmmm")</f>
        <v>October</v>
      </c>
      <c r="M458" s="46" t="str">
        <f>IFERROR(__xludf.DUMMYFUNCTION("""COMPUTED_VALUE"""),"Spain")</f>
        <v>Spain</v>
      </c>
      <c r="N458" s="94">
        <f>IFERROR(__xludf.DUMMYFUNCTION("""COMPUTED_VALUE"""),41244.0)</f>
        <v>41244</v>
      </c>
      <c r="O458" s="46">
        <f>IFERROR(__xludf.DUMMYFUNCTION("""COMPUTED_VALUE"""),1.0)</f>
        <v>1</v>
      </c>
      <c r="P458" s="46">
        <f>IFERROR(__xludf.DUMMYFUNCTION("""COMPUTED_VALUE"""),3103.0)</f>
        <v>3103</v>
      </c>
      <c r="Q458" s="46">
        <f>IFERROR(__xludf.DUMMYFUNCTION("""COMPUTED_VALUE"""),28950.99)</f>
        <v>28950.99</v>
      </c>
      <c r="R458" s="46">
        <f>IFERROR(__xludf.DUMMYFUNCTION("""COMPUTED_VALUE"""),21472.76)</f>
        <v>21472.76</v>
      </c>
      <c r="S458" s="46">
        <f>IFERROR(__xludf.DUMMYFUNCTION("""COMPUTED_VALUE"""),7478.230000000003)</f>
        <v>7478.23</v>
      </c>
    </row>
    <row r="459">
      <c r="A459" s="46" t="str">
        <f>IFERROR(__xludf.DUMMYFUNCTION("""COMPUTED_VALUE"""),"Fruits")</f>
        <v>Fruits</v>
      </c>
      <c r="B459" s="46" t="str">
        <f>IFERROR(__xludf.DUMMYFUNCTION("""COMPUTED_VALUE"""),"Iceland")</f>
        <v>Iceland</v>
      </c>
      <c r="C459" s="46" t="str">
        <f>IFERROR(__xludf.DUMMYFUNCTION("""COMPUTED_VALUE"""),"Europe")</f>
        <v>Europe</v>
      </c>
      <c r="D459" s="90">
        <f>IFERROR(__xludf.DUMMYFUNCTION("""COMPUTED_VALUE"""),41913.0)</f>
        <v>41913</v>
      </c>
      <c r="E459" s="46">
        <f>IFERROR(__xludf.DUMMYFUNCTION("""COMPUTED_VALUE"""),2014.0)</f>
        <v>2014</v>
      </c>
      <c r="F459" s="46">
        <f>IFERROR(__xludf.DUMMYFUNCTION("""COMPUTED_VALUE"""),1.0)</f>
        <v>1</v>
      </c>
      <c r="G459" s="46">
        <f>IFERROR(__xludf.DUMMYFUNCTION("""COMPUTED_VALUE"""),112.0)</f>
        <v>112</v>
      </c>
      <c r="H459" s="46">
        <f>IFERROR(__xludf.DUMMYFUNCTION("""COMPUTED_VALUE"""),1044.96)</f>
        <v>1044.96</v>
      </c>
      <c r="I459" s="46">
        <f>IFERROR(__xludf.DUMMYFUNCTION("""COMPUTED_VALUE"""),775.04)</f>
        <v>775.04</v>
      </c>
      <c r="J459" s="46">
        <f>IFERROR(__xludf.DUMMYFUNCTION("""COMPUTED_VALUE"""),269.9200000000001)</f>
        <v>269.92</v>
      </c>
      <c r="K459" s="46" t="str">
        <f t="array" ref="K459">TEXT(D459, "mmmm")</f>
        <v>October</v>
      </c>
      <c r="M459" s="46" t="str">
        <f>IFERROR(__xludf.DUMMYFUNCTION("""COMPUTED_VALUE"""),"Undefined")</f>
        <v>Undefined</v>
      </c>
      <c r="N459" s="94">
        <f>IFERROR(__xludf.DUMMYFUNCTION("""COMPUTED_VALUE"""),41244.0)</f>
        <v>41244</v>
      </c>
      <c r="O459" s="46">
        <f>IFERROR(__xludf.DUMMYFUNCTION("""COMPUTED_VALUE"""),1.0)</f>
        <v>1</v>
      </c>
      <c r="P459" s="46">
        <f>IFERROR(__xludf.DUMMYFUNCTION("""COMPUTED_VALUE"""),2337.0)</f>
        <v>2337</v>
      </c>
      <c r="Q459" s="46">
        <f>IFERROR(__xludf.DUMMYFUNCTION("""COMPUTED_VALUE"""),360038.22000000003)</f>
        <v>360038.22</v>
      </c>
      <c r="R459" s="46">
        <f>IFERROR(__xludf.DUMMYFUNCTION("""COMPUTED_VALUE"""),212503.41)</f>
        <v>212503.41</v>
      </c>
      <c r="S459" s="46">
        <f>IFERROR(__xludf.DUMMYFUNCTION("""COMPUTED_VALUE"""),147534.81000000003)</f>
        <v>147534.81</v>
      </c>
    </row>
    <row r="460">
      <c r="A460" s="46" t="str">
        <f>IFERROR(__xludf.DUMMYFUNCTION("""COMPUTED_VALUE"""),"Fruits")</f>
        <v>Fruits</v>
      </c>
      <c r="B460" s="46" t="str">
        <f>IFERROR(__xludf.DUMMYFUNCTION("""COMPUTED_VALUE"""),"Norway")</f>
        <v>Norway</v>
      </c>
      <c r="C460" s="46" t="str">
        <f>IFERROR(__xludf.DUMMYFUNCTION("""COMPUTED_VALUE"""),"Europe")</f>
        <v>Europe</v>
      </c>
      <c r="D460" s="90">
        <f>IFERROR(__xludf.DUMMYFUNCTION("""COMPUTED_VALUE"""),41913.0)</f>
        <v>41913</v>
      </c>
      <c r="E460" s="46">
        <f>IFERROR(__xludf.DUMMYFUNCTION("""COMPUTED_VALUE"""),2014.0)</f>
        <v>2014</v>
      </c>
      <c r="F460" s="46">
        <f>IFERROR(__xludf.DUMMYFUNCTION("""COMPUTED_VALUE"""),1.0)</f>
        <v>1</v>
      </c>
      <c r="G460" s="46">
        <f>IFERROR(__xludf.DUMMYFUNCTION("""COMPUTED_VALUE"""),4486.0)</f>
        <v>4486</v>
      </c>
      <c r="H460" s="46">
        <f>IFERROR(__xludf.DUMMYFUNCTION("""COMPUTED_VALUE"""),41854.38)</f>
        <v>41854.38</v>
      </c>
      <c r="I460" s="46">
        <f>IFERROR(__xludf.DUMMYFUNCTION("""COMPUTED_VALUE"""),31043.12)</f>
        <v>31043.12</v>
      </c>
      <c r="J460" s="46">
        <f>IFERROR(__xludf.DUMMYFUNCTION("""COMPUTED_VALUE"""),10811.259999999998)</f>
        <v>10811.26</v>
      </c>
      <c r="K460" s="46" t="str">
        <f t="array" ref="K460">TEXT(D460, "mmmm")</f>
        <v>October</v>
      </c>
      <c r="M460" s="46" t="str">
        <f>IFERROR(__xludf.DUMMYFUNCTION("""COMPUTED_VALUE"""),"United Kingdom")</f>
        <v>United Kingdom</v>
      </c>
      <c r="N460" s="94">
        <f>IFERROR(__xludf.DUMMYFUNCTION("""COMPUTED_VALUE"""),41244.0)</f>
        <v>41244</v>
      </c>
      <c r="O460" s="46">
        <f>IFERROR(__xludf.DUMMYFUNCTION("""COMPUTED_VALUE"""),1.0)</f>
        <v>1</v>
      </c>
      <c r="P460" s="46">
        <f>IFERROR(__xludf.DUMMYFUNCTION("""COMPUTED_VALUE"""),8807.0)</f>
        <v>8807</v>
      </c>
      <c r="Q460" s="46">
        <f>IFERROR(__xludf.DUMMYFUNCTION("""COMPUTED_VALUE"""),3850420.4)</f>
        <v>3850420.4</v>
      </c>
      <c r="R460" s="46">
        <f>IFERROR(__xludf.DUMMYFUNCTION("""COMPUTED_VALUE"""),2319147.31)</f>
        <v>2319147.31</v>
      </c>
      <c r="S460" s="46">
        <f>IFERROR(__xludf.DUMMYFUNCTION("""COMPUTED_VALUE"""),1531273.0899999999)</f>
        <v>1531273.09</v>
      </c>
    </row>
    <row r="461">
      <c r="A461" s="46" t="str">
        <f>IFERROR(__xludf.DUMMYFUNCTION("""COMPUTED_VALUE"""),"Household")</f>
        <v>Household</v>
      </c>
      <c r="B461" s="46" t="str">
        <f>IFERROR(__xludf.DUMMYFUNCTION("""COMPUTED_VALUE"""),"Lithuania")</f>
        <v>Lithuania</v>
      </c>
      <c r="C461" s="46" t="str">
        <f>IFERROR(__xludf.DUMMYFUNCTION("""COMPUTED_VALUE"""),"Europe")</f>
        <v>Europe</v>
      </c>
      <c r="D461" s="90">
        <f>IFERROR(__xludf.DUMMYFUNCTION("""COMPUTED_VALUE"""),41913.0)</f>
        <v>41913</v>
      </c>
      <c r="E461" s="46">
        <f>IFERROR(__xludf.DUMMYFUNCTION("""COMPUTED_VALUE"""),2014.0)</f>
        <v>2014</v>
      </c>
      <c r="F461" s="46">
        <f>IFERROR(__xludf.DUMMYFUNCTION("""COMPUTED_VALUE"""),1.0)</f>
        <v>1</v>
      </c>
      <c r="G461" s="46">
        <f>IFERROR(__xludf.DUMMYFUNCTION("""COMPUTED_VALUE"""),4839.0)</f>
        <v>4839</v>
      </c>
      <c r="H461" s="46">
        <f>IFERROR(__xludf.DUMMYFUNCTION("""COMPUTED_VALUE"""),3233758.53)</f>
        <v>3233758.53</v>
      </c>
      <c r="I461" s="46">
        <f>IFERROR(__xludf.DUMMYFUNCTION("""COMPUTED_VALUE"""),2431791.06)</f>
        <v>2431791.06</v>
      </c>
      <c r="J461" s="46">
        <f>IFERROR(__xludf.DUMMYFUNCTION("""COMPUTED_VALUE"""),801967.4699999997)</f>
        <v>801967.47</v>
      </c>
      <c r="K461" s="46" t="str">
        <f t="array" ref="K461">TEXT(D461, "mmmm")</f>
        <v>October</v>
      </c>
      <c r="M461" s="46" t="str">
        <f>IFERROR(__xludf.DUMMYFUNCTION("""COMPUTED_VALUE"""),"Albania")</f>
        <v>Albania</v>
      </c>
      <c r="N461" s="94">
        <f>IFERROR(__xludf.DUMMYFUNCTION("""COMPUTED_VALUE"""),41275.0)</f>
        <v>41275</v>
      </c>
      <c r="O461" s="46">
        <f>IFERROR(__xludf.DUMMYFUNCTION("""COMPUTED_VALUE"""),1.0)</f>
        <v>1</v>
      </c>
      <c r="P461" s="46">
        <f>IFERROR(__xludf.DUMMYFUNCTION("""COMPUTED_VALUE"""),1272.0)</f>
        <v>1272</v>
      </c>
      <c r="Q461" s="46">
        <f>IFERROR(__xludf.DUMMYFUNCTION("""COMPUTED_VALUE"""),536644.08)</f>
        <v>536644.08</v>
      </c>
      <c r="R461" s="46">
        <f>IFERROR(__xludf.DUMMYFUNCTION("""COMPUTED_VALUE"""),463885.68)</f>
        <v>463885.68</v>
      </c>
      <c r="S461" s="46">
        <f>IFERROR(__xludf.DUMMYFUNCTION("""COMPUTED_VALUE"""),72758.39999999997)</f>
        <v>72758.4</v>
      </c>
    </row>
    <row r="462">
      <c r="A462" s="46" t="str">
        <f>IFERROR(__xludf.DUMMYFUNCTION("""COMPUTED_VALUE"""),"Office Supplies")</f>
        <v>Office Supplies</v>
      </c>
      <c r="B462" s="46" t="str">
        <f>IFERROR(__xludf.DUMMYFUNCTION("""COMPUTED_VALUE"""),"Luxembourg")</f>
        <v>Luxembourg</v>
      </c>
      <c r="C462" s="46" t="str">
        <f>IFERROR(__xludf.DUMMYFUNCTION("""COMPUTED_VALUE"""),"Europe")</f>
        <v>Europe</v>
      </c>
      <c r="D462" s="90">
        <f>IFERROR(__xludf.DUMMYFUNCTION("""COMPUTED_VALUE"""),41913.0)</f>
        <v>41913</v>
      </c>
      <c r="E462" s="46">
        <f>IFERROR(__xludf.DUMMYFUNCTION("""COMPUTED_VALUE"""),2014.0)</f>
        <v>2014</v>
      </c>
      <c r="F462" s="46">
        <f>IFERROR(__xludf.DUMMYFUNCTION("""COMPUTED_VALUE"""),1.0)</f>
        <v>1</v>
      </c>
      <c r="G462" s="46">
        <f>IFERROR(__xludf.DUMMYFUNCTION("""COMPUTED_VALUE"""),4622.0)</f>
        <v>4622</v>
      </c>
      <c r="H462" s="46">
        <f>IFERROR(__xludf.DUMMYFUNCTION("""COMPUTED_VALUE"""),3009892.62)</f>
        <v>3009892.62</v>
      </c>
      <c r="I462" s="46">
        <f>IFERROR(__xludf.DUMMYFUNCTION("""COMPUTED_VALUE"""),2426365.12)</f>
        <v>2426365.12</v>
      </c>
      <c r="J462" s="46">
        <f>IFERROR(__xludf.DUMMYFUNCTION("""COMPUTED_VALUE"""),583527.5)</f>
        <v>583527.5</v>
      </c>
      <c r="K462" s="46" t="str">
        <f t="array" ref="K462">TEXT(D462, "mmmm")</f>
        <v>October</v>
      </c>
      <c r="M462" s="46" t="str">
        <f>IFERROR(__xludf.DUMMYFUNCTION("""COMPUTED_VALUE"""),"Bosnia and Herzegovina")</f>
        <v>Bosnia and Herzegovina</v>
      </c>
      <c r="N462" s="94">
        <f>IFERROR(__xludf.DUMMYFUNCTION("""COMPUTED_VALUE"""),41275.0)</f>
        <v>41275</v>
      </c>
      <c r="O462" s="46">
        <f>IFERROR(__xludf.DUMMYFUNCTION("""COMPUTED_VALUE"""),1.0)</f>
        <v>1</v>
      </c>
      <c r="P462" s="46">
        <f>IFERROR(__xludf.DUMMYFUNCTION("""COMPUTED_VALUE"""),2705.0)</f>
        <v>2705</v>
      </c>
      <c r="Q462" s="46">
        <f>IFERROR(__xludf.DUMMYFUNCTION("""COMPUTED_VALUE"""),25237.65)</f>
        <v>25237.65</v>
      </c>
      <c r="R462" s="46">
        <f>IFERROR(__xludf.DUMMYFUNCTION("""COMPUTED_VALUE"""),18718.6)</f>
        <v>18718.6</v>
      </c>
      <c r="S462" s="46">
        <f>IFERROR(__xludf.DUMMYFUNCTION("""COMPUTED_VALUE"""),6519.050000000003)</f>
        <v>6519.05</v>
      </c>
    </row>
    <row r="463">
      <c r="A463" s="46" t="str">
        <f>IFERROR(__xludf.DUMMYFUNCTION("""COMPUTED_VALUE"""),"Personal Care")</f>
        <v>Personal Care</v>
      </c>
      <c r="B463" s="46" t="str">
        <f>IFERROR(__xludf.DUMMYFUNCTION("""COMPUTED_VALUE"""),"Hungary")</f>
        <v>Hungary</v>
      </c>
      <c r="C463" s="46" t="str">
        <f>IFERROR(__xludf.DUMMYFUNCTION("""COMPUTED_VALUE"""),"Europe")</f>
        <v>Europe</v>
      </c>
      <c r="D463" s="90">
        <f>IFERROR(__xludf.DUMMYFUNCTION("""COMPUTED_VALUE"""),41913.0)</f>
        <v>41913</v>
      </c>
      <c r="E463" s="46">
        <f>IFERROR(__xludf.DUMMYFUNCTION("""COMPUTED_VALUE"""),2014.0)</f>
        <v>2014</v>
      </c>
      <c r="F463" s="46">
        <f>IFERROR(__xludf.DUMMYFUNCTION("""COMPUTED_VALUE"""),1.0)</f>
        <v>1</v>
      </c>
      <c r="G463" s="46">
        <f>IFERROR(__xludf.DUMMYFUNCTION("""COMPUTED_VALUE"""),7785.0)</f>
        <v>7785</v>
      </c>
      <c r="H463" s="46">
        <f>IFERROR(__xludf.DUMMYFUNCTION("""COMPUTED_VALUE"""),636268.05)</f>
        <v>636268.05</v>
      </c>
      <c r="I463" s="46">
        <f>IFERROR(__xludf.DUMMYFUNCTION("""COMPUTED_VALUE"""),441175.95)</f>
        <v>441175.95</v>
      </c>
      <c r="J463" s="46">
        <f>IFERROR(__xludf.DUMMYFUNCTION("""COMPUTED_VALUE"""),195092.10000000003)</f>
        <v>195092.1</v>
      </c>
      <c r="K463" s="46" t="str">
        <f t="array" ref="K463">TEXT(D463, "mmmm")</f>
        <v>October</v>
      </c>
      <c r="M463" s="46" t="str">
        <f>IFERROR(__xludf.DUMMYFUNCTION("""COMPUTED_VALUE"""),"Cyprus")</f>
        <v>Cyprus</v>
      </c>
      <c r="N463" s="94">
        <f>IFERROR(__xludf.DUMMYFUNCTION("""COMPUTED_VALUE"""),41275.0)</f>
        <v>41275</v>
      </c>
      <c r="O463" s="46">
        <f>IFERROR(__xludf.DUMMYFUNCTION("""COMPUTED_VALUE"""),1.0)</f>
        <v>1</v>
      </c>
      <c r="P463" s="46">
        <f>IFERROR(__xludf.DUMMYFUNCTION("""COMPUTED_VALUE"""),3802.0)</f>
        <v>3802</v>
      </c>
      <c r="Q463" s="46">
        <f>IFERROR(__xludf.DUMMYFUNCTION("""COMPUTED_VALUE"""),415482.56)</f>
        <v>415482.56</v>
      </c>
      <c r="R463" s="46">
        <f>IFERROR(__xludf.DUMMYFUNCTION("""COMPUTED_VALUE"""),136263.68000000002)</f>
        <v>136263.68</v>
      </c>
      <c r="S463" s="46">
        <f>IFERROR(__xludf.DUMMYFUNCTION("""COMPUTED_VALUE"""),279218.88)</f>
        <v>279218.88</v>
      </c>
    </row>
    <row r="464">
      <c r="A464" s="46" t="str">
        <f>IFERROR(__xludf.DUMMYFUNCTION("""COMPUTED_VALUE"""),"Personal Care")</f>
        <v>Personal Care</v>
      </c>
      <c r="B464" s="46" t="str">
        <f>IFERROR(__xludf.DUMMYFUNCTION("""COMPUTED_VALUE"""),"Ireland")</f>
        <v>Ireland</v>
      </c>
      <c r="C464" s="46" t="str">
        <f>IFERROR(__xludf.DUMMYFUNCTION("""COMPUTED_VALUE"""),"Europe")</f>
        <v>Europe</v>
      </c>
      <c r="D464" s="90">
        <f>IFERROR(__xludf.DUMMYFUNCTION("""COMPUTED_VALUE"""),41913.0)</f>
        <v>41913</v>
      </c>
      <c r="E464" s="46">
        <f>IFERROR(__xludf.DUMMYFUNCTION("""COMPUTED_VALUE"""),2014.0)</f>
        <v>2014</v>
      </c>
      <c r="F464" s="46">
        <f>IFERROR(__xludf.DUMMYFUNCTION("""COMPUTED_VALUE"""),1.0)</f>
        <v>1</v>
      </c>
      <c r="G464" s="46">
        <f>IFERROR(__xludf.DUMMYFUNCTION("""COMPUTED_VALUE"""),6819.0)</f>
        <v>6819</v>
      </c>
      <c r="H464" s="46">
        <f>IFERROR(__xludf.DUMMYFUNCTION("""COMPUTED_VALUE"""),557316.87)</f>
        <v>557316.87</v>
      </c>
      <c r="I464" s="46">
        <f>IFERROR(__xludf.DUMMYFUNCTION("""COMPUTED_VALUE"""),386432.73000000004)</f>
        <v>386432.73</v>
      </c>
      <c r="J464" s="46">
        <f>IFERROR(__xludf.DUMMYFUNCTION("""COMPUTED_VALUE"""),170884.13999999996)</f>
        <v>170884.14</v>
      </c>
      <c r="K464" s="46" t="str">
        <f t="array" ref="K464">TEXT(D464, "mmmm")</f>
        <v>October</v>
      </c>
      <c r="M464" s="46" t="str">
        <f>IFERROR(__xludf.DUMMYFUNCTION("""COMPUTED_VALUE"""),"Greece")</f>
        <v>Greece</v>
      </c>
      <c r="N464" s="94">
        <f>IFERROR(__xludf.DUMMYFUNCTION("""COMPUTED_VALUE"""),41275.0)</f>
        <v>41275</v>
      </c>
      <c r="O464" s="46">
        <f>IFERROR(__xludf.DUMMYFUNCTION("""COMPUTED_VALUE"""),1.0)</f>
        <v>1</v>
      </c>
      <c r="P464" s="46">
        <f>IFERROR(__xludf.DUMMYFUNCTION("""COMPUTED_VALUE"""),2569.0)</f>
        <v>2569</v>
      </c>
      <c r="Q464" s="46">
        <f>IFERROR(__xludf.DUMMYFUNCTION("""COMPUTED_VALUE"""),528443.2999999999)</f>
        <v>528443.3</v>
      </c>
      <c r="R464" s="46">
        <f>IFERROR(__xludf.DUMMYFUNCTION("""COMPUTED_VALUE"""),300855.59)</f>
        <v>300855.59</v>
      </c>
      <c r="S464" s="46">
        <f>IFERROR(__xludf.DUMMYFUNCTION("""COMPUTED_VALUE"""),227587.7099999999)</f>
        <v>227587.71</v>
      </c>
    </row>
    <row r="465">
      <c r="A465" s="46" t="str">
        <f>IFERROR(__xludf.DUMMYFUNCTION("""COMPUTED_VALUE"""),"Personal Care")</f>
        <v>Personal Care</v>
      </c>
      <c r="B465" s="46" t="str">
        <f>IFERROR(__xludf.DUMMYFUNCTION("""COMPUTED_VALUE"""),"Netherlands")</f>
        <v>Netherlands</v>
      </c>
      <c r="C465" s="46" t="str">
        <f>IFERROR(__xludf.DUMMYFUNCTION("""COMPUTED_VALUE"""),"Europe")</f>
        <v>Europe</v>
      </c>
      <c r="D465" s="90">
        <f>IFERROR(__xludf.DUMMYFUNCTION("""COMPUTED_VALUE"""),41913.0)</f>
        <v>41913</v>
      </c>
      <c r="E465" s="46">
        <f>IFERROR(__xludf.DUMMYFUNCTION("""COMPUTED_VALUE"""),2014.0)</f>
        <v>2014</v>
      </c>
      <c r="F465" s="46">
        <f>IFERROR(__xludf.DUMMYFUNCTION("""COMPUTED_VALUE"""),1.0)</f>
        <v>1</v>
      </c>
      <c r="G465" s="46">
        <f>IFERROR(__xludf.DUMMYFUNCTION("""COMPUTED_VALUE"""),240.0)</f>
        <v>240</v>
      </c>
      <c r="H465" s="46">
        <f>IFERROR(__xludf.DUMMYFUNCTION("""COMPUTED_VALUE"""),19615.2)</f>
        <v>19615.2</v>
      </c>
      <c r="I465" s="46">
        <f>IFERROR(__xludf.DUMMYFUNCTION("""COMPUTED_VALUE"""),13600.800000000001)</f>
        <v>13600.8</v>
      </c>
      <c r="J465" s="46">
        <f>IFERROR(__xludf.DUMMYFUNCTION("""COMPUTED_VALUE"""),6014.4)</f>
        <v>6014.4</v>
      </c>
      <c r="K465" s="46" t="str">
        <f t="array" ref="K465">TEXT(D465, "mmmm")</f>
        <v>October</v>
      </c>
      <c r="M465" s="46" t="str">
        <f>IFERROR(__xludf.DUMMYFUNCTION("""COMPUTED_VALUE"""),"Italy")</f>
        <v>Italy</v>
      </c>
      <c r="N465" s="94">
        <f>IFERROR(__xludf.DUMMYFUNCTION("""COMPUTED_VALUE"""),41275.0)</f>
        <v>41275</v>
      </c>
      <c r="O465" s="46">
        <f>IFERROR(__xludf.DUMMYFUNCTION("""COMPUTED_VALUE"""),1.0)</f>
        <v>1</v>
      </c>
      <c r="P465" s="46">
        <f>IFERROR(__xludf.DUMMYFUNCTION("""COMPUTED_VALUE"""),4920.0)</f>
        <v>4920</v>
      </c>
      <c r="Q465" s="46">
        <f>IFERROR(__xludf.DUMMYFUNCTION("""COMPUTED_VALUE"""),1012044.0)</f>
        <v>1012044</v>
      </c>
      <c r="R465" s="46">
        <f>IFERROR(__xludf.DUMMYFUNCTION("""COMPUTED_VALUE"""),576181.2)</f>
        <v>576181.2</v>
      </c>
      <c r="S465" s="46">
        <f>IFERROR(__xludf.DUMMYFUNCTION("""COMPUTED_VALUE"""),435862.80000000005)</f>
        <v>435862.8</v>
      </c>
    </row>
    <row r="466">
      <c r="A466" s="46" t="str">
        <f>IFERROR(__xludf.DUMMYFUNCTION("""COMPUTED_VALUE"""),"Snacks")</f>
        <v>Snacks</v>
      </c>
      <c r="B466" s="46" t="str">
        <f>IFERROR(__xludf.DUMMYFUNCTION("""COMPUTED_VALUE"""),"Undefined")</f>
        <v>Undefined</v>
      </c>
      <c r="C466" s="46" t="str">
        <f>IFERROR(__xludf.DUMMYFUNCTION("""COMPUTED_VALUE"""),"Undefined")</f>
        <v>Undefined</v>
      </c>
      <c r="D466" s="90">
        <f>IFERROR(__xludf.DUMMYFUNCTION("""COMPUTED_VALUE"""),41913.0)</f>
        <v>41913</v>
      </c>
      <c r="E466" s="46">
        <f>IFERROR(__xludf.DUMMYFUNCTION("""COMPUTED_VALUE"""),2014.0)</f>
        <v>2014</v>
      </c>
      <c r="F466" s="46">
        <f>IFERROR(__xludf.DUMMYFUNCTION("""COMPUTED_VALUE"""),1.0)</f>
        <v>1</v>
      </c>
      <c r="G466" s="46">
        <f>IFERROR(__xludf.DUMMYFUNCTION("""COMPUTED_VALUE"""),6086.0)</f>
        <v>6086</v>
      </c>
      <c r="H466" s="46">
        <f>IFERROR(__xludf.DUMMYFUNCTION("""COMPUTED_VALUE"""),928601.8800000001)</f>
        <v>928601.88</v>
      </c>
      <c r="I466" s="46">
        <f>IFERROR(__xludf.DUMMYFUNCTION("""COMPUTED_VALUE"""),593019.84)</f>
        <v>593019.84</v>
      </c>
      <c r="J466" s="46">
        <f>IFERROR(__xludf.DUMMYFUNCTION("""COMPUTED_VALUE"""),335582.04000000015)</f>
        <v>335582.04</v>
      </c>
      <c r="K466" s="46" t="str">
        <f t="array" ref="K466">TEXT(D466, "mmmm")</f>
        <v>October</v>
      </c>
      <c r="M466" s="46" t="str">
        <f>IFERROR(__xludf.DUMMYFUNCTION("""COMPUTED_VALUE"""),"Luxembourg")</f>
        <v>Luxembourg</v>
      </c>
      <c r="N466" s="94">
        <f>IFERROR(__xludf.DUMMYFUNCTION("""COMPUTED_VALUE"""),41275.0)</f>
        <v>41275</v>
      </c>
      <c r="O466" s="46">
        <f>IFERROR(__xludf.DUMMYFUNCTION("""COMPUTED_VALUE"""),1.0)</f>
        <v>1</v>
      </c>
      <c r="P466" s="46">
        <f>IFERROR(__xludf.DUMMYFUNCTION("""COMPUTED_VALUE"""),407.0)</f>
        <v>407</v>
      </c>
      <c r="Q466" s="46">
        <f>IFERROR(__xludf.DUMMYFUNCTION("""COMPUTED_VALUE"""),44476.96)</f>
        <v>44476.96</v>
      </c>
      <c r="R466" s="46">
        <f>IFERROR(__xludf.DUMMYFUNCTION("""COMPUTED_VALUE"""),14586.880000000001)</f>
        <v>14586.88</v>
      </c>
      <c r="S466" s="46">
        <f>IFERROR(__xludf.DUMMYFUNCTION("""COMPUTED_VALUE"""),29890.079999999998)</f>
        <v>29890.08</v>
      </c>
    </row>
    <row r="467">
      <c r="A467" s="46" t="str">
        <f>IFERROR(__xludf.DUMMYFUNCTION("""COMPUTED_VALUE"""),"Baby Food")</f>
        <v>Baby Food</v>
      </c>
      <c r="B467" s="46" t="str">
        <f>IFERROR(__xludf.DUMMYFUNCTION("""COMPUTED_VALUE"""),"Finland")</f>
        <v>Finland</v>
      </c>
      <c r="C467" s="46" t="str">
        <f>IFERROR(__xludf.DUMMYFUNCTION("""COMPUTED_VALUE"""),"Europe")</f>
        <v>Europe</v>
      </c>
      <c r="D467" s="90">
        <f>IFERROR(__xludf.DUMMYFUNCTION("""COMPUTED_VALUE"""),41883.0)</f>
        <v>41883</v>
      </c>
      <c r="E467" s="46">
        <f>IFERROR(__xludf.DUMMYFUNCTION("""COMPUTED_VALUE"""),2014.0)</f>
        <v>2014</v>
      </c>
      <c r="F467" s="46">
        <f>IFERROR(__xludf.DUMMYFUNCTION("""COMPUTED_VALUE"""),1.0)</f>
        <v>1</v>
      </c>
      <c r="G467" s="46">
        <f>IFERROR(__xludf.DUMMYFUNCTION("""COMPUTED_VALUE"""),8678.0)</f>
        <v>8678</v>
      </c>
      <c r="H467" s="46">
        <f>IFERROR(__xludf.DUMMYFUNCTION("""COMPUTED_VALUE"""),2215319.84)</f>
        <v>2215319.84</v>
      </c>
      <c r="I467" s="46">
        <f>IFERROR(__xludf.DUMMYFUNCTION("""COMPUTED_VALUE"""),1383446.7599999998)</f>
        <v>1383446.76</v>
      </c>
      <c r="J467" s="46">
        <f>IFERROR(__xludf.DUMMYFUNCTION("""COMPUTED_VALUE"""),831873.0800000001)</f>
        <v>831873.08</v>
      </c>
      <c r="K467" s="46" t="str">
        <f t="array" ref="K467">TEXT(D467, "mmmm")</f>
        <v>September</v>
      </c>
      <c r="M467" s="46" t="str">
        <f>IFERROR(__xludf.DUMMYFUNCTION("""COMPUTED_VALUE"""),"Poland")</f>
        <v>Poland</v>
      </c>
      <c r="N467" s="94">
        <f>IFERROR(__xludf.DUMMYFUNCTION("""COMPUTED_VALUE"""),41275.0)</f>
        <v>41275</v>
      </c>
      <c r="O467" s="46">
        <f>IFERROR(__xludf.DUMMYFUNCTION("""COMPUTED_VALUE"""),1.0)</f>
        <v>1</v>
      </c>
      <c r="P467" s="46">
        <f>IFERROR(__xludf.DUMMYFUNCTION("""COMPUTED_VALUE"""),6448.0)</f>
        <v>6448</v>
      </c>
      <c r="Q467" s="46">
        <f>IFERROR(__xludf.DUMMYFUNCTION("""COMPUTED_VALUE"""),983835.8400000001)</f>
        <v>983835.84</v>
      </c>
      <c r="R467" s="46">
        <f>IFERROR(__xludf.DUMMYFUNCTION("""COMPUTED_VALUE"""),628293.12)</f>
        <v>628293.12</v>
      </c>
      <c r="S467" s="46">
        <f>IFERROR(__xludf.DUMMYFUNCTION("""COMPUTED_VALUE"""),355542.7200000001)</f>
        <v>355542.72</v>
      </c>
    </row>
    <row r="468">
      <c r="A468" s="46" t="str">
        <f>IFERROR(__xludf.DUMMYFUNCTION("""COMPUTED_VALUE"""),"Cereal")</f>
        <v>Cereal</v>
      </c>
      <c r="B468" s="46" t="str">
        <f>IFERROR(__xludf.DUMMYFUNCTION("""COMPUTED_VALUE"""),"Denmark")</f>
        <v>Denmark</v>
      </c>
      <c r="C468" s="46" t="str">
        <f>IFERROR(__xludf.DUMMYFUNCTION("""COMPUTED_VALUE"""),"Europe")</f>
        <v>Europe</v>
      </c>
      <c r="D468" s="90">
        <f>IFERROR(__xludf.DUMMYFUNCTION("""COMPUTED_VALUE"""),41883.0)</f>
        <v>41883</v>
      </c>
      <c r="E468" s="46">
        <f>IFERROR(__xludf.DUMMYFUNCTION("""COMPUTED_VALUE"""),2014.0)</f>
        <v>2014</v>
      </c>
      <c r="F468" s="46">
        <f>IFERROR(__xludf.DUMMYFUNCTION("""COMPUTED_VALUE"""),1.0)</f>
        <v>1</v>
      </c>
      <c r="G468" s="46">
        <f>IFERROR(__xludf.DUMMYFUNCTION("""COMPUTED_VALUE"""),5735.0)</f>
        <v>5735</v>
      </c>
      <c r="H468" s="46">
        <f>IFERROR(__xludf.DUMMYFUNCTION("""COMPUTED_VALUE"""),1179689.5)</f>
        <v>1179689.5</v>
      </c>
      <c r="I468" s="46">
        <f>IFERROR(__xludf.DUMMYFUNCTION("""COMPUTED_VALUE"""),671625.85)</f>
        <v>671625.85</v>
      </c>
      <c r="J468" s="46">
        <f>IFERROR(__xludf.DUMMYFUNCTION("""COMPUTED_VALUE"""),508063.65)</f>
        <v>508063.65</v>
      </c>
      <c r="K468" s="46" t="str">
        <f t="array" ref="K468">TEXT(D468, "mmmm")</f>
        <v>September</v>
      </c>
      <c r="M468" s="46" t="str">
        <f>IFERROR(__xludf.DUMMYFUNCTION("""COMPUTED_VALUE"""),"Russia")</f>
        <v>Russia</v>
      </c>
      <c r="N468" s="94">
        <f>IFERROR(__xludf.DUMMYFUNCTION("""COMPUTED_VALUE"""),41275.0)</f>
        <v>41275</v>
      </c>
      <c r="O468" s="46">
        <f>IFERROR(__xludf.DUMMYFUNCTION("""COMPUTED_VALUE"""),1.0)</f>
        <v>1</v>
      </c>
      <c r="P468" s="46">
        <f>IFERROR(__xludf.DUMMYFUNCTION("""COMPUTED_VALUE"""),7846.0)</f>
        <v>7846</v>
      </c>
      <c r="Q468" s="46">
        <f>IFERROR(__xludf.DUMMYFUNCTION("""COMPUTED_VALUE"""),1197142.6800000002)</f>
        <v>1197142.68</v>
      </c>
      <c r="R468" s="46">
        <f>IFERROR(__xludf.DUMMYFUNCTION("""COMPUTED_VALUE"""),764514.24)</f>
        <v>764514.24</v>
      </c>
      <c r="S468" s="46">
        <f>IFERROR(__xludf.DUMMYFUNCTION("""COMPUTED_VALUE"""),432628.4400000002)</f>
        <v>432628.44</v>
      </c>
    </row>
    <row r="469">
      <c r="A469" s="46" t="str">
        <f>IFERROR(__xludf.DUMMYFUNCTION("""COMPUTED_VALUE"""),"Cereal")</f>
        <v>Cereal</v>
      </c>
      <c r="B469" s="46" t="str">
        <f>IFERROR(__xludf.DUMMYFUNCTION("""COMPUTED_VALUE"""),"Portugal")</f>
        <v>Portugal</v>
      </c>
      <c r="C469" s="46" t="str">
        <f>IFERROR(__xludf.DUMMYFUNCTION("""COMPUTED_VALUE"""),"Europe")</f>
        <v>Europe</v>
      </c>
      <c r="D469" s="90">
        <f>IFERROR(__xludf.DUMMYFUNCTION("""COMPUTED_VALUE"""),41883.0)</f>
        <v>41883</v>
      </c>
      <c r="E469" s="46">
        <f>IFERROR(__xludf.DUMMYFUNCTION("""COMPUTED_VALUE"""),2014.0)</f>
        <v>2014</v>
      </c>
      <c r="F469" s="46">
        <f>IFERROR(__xludf.DUMMYFUNCTION("""COMPUTED_VALUE"""),1.0)</f>
        <v>1</v>
      </c>
      <c r="G469" s="46">
        <f>IFERROR(__xludf.DUMMYFUNCTION("""COMPUTED_VALUE"""),9950.0)</f>
        <v>9950</v>
      </c>
      <c r="H469" s="46">
        <f>IFERROR(__xludf.DUMMYFUNCTION("""COMPUTED_VALUE"""),2046715.0)</f>
        <v>2046715</v>
      </c>
      <c r="I469" s="46">
        <f>IFERROR(__xludf.DUMMYFUNCTION("""COMPUTED_VALUE"""),1165244.5)</f>
        <v>1165244.5</v>
      </c>
      <c r="J469" s="46">
        <f>IFERROR(__xludf.DUMMYFUNCTION("""COMPUTED_VALUE"""),881470.5)</f>
        <v>881470.5</v>
      </c>
      <c r="K469" s="46" t="str">
        <f t="array" ref="K469">TEXT(D469, "mmmm")</f>
        <v>September</v>
      </c>
      <c r="M469" s="46" t="str">
        <f>IFERROR(__xludf.DUMMYFUNCTION("""COMPUTED_VALUE"""),"San Marino")</f>
        <v>San Marino</v>
      </c>
      <c r="N469" s="94">
        <f>IFERROR(__xludf.DUMMYFUNCTION("""COMPUTED_VALUE"""),41275.0)</f>
        <v>41275</v>
      </c>
      <c r="O469" s="46">
        <f>IFERROR(__xludf.DUMMYFUNCTION("""COMPUTED_VALUE"""),1.0)</f>
        <v>1</v>
      </c>
      <c r="P469" s="46">
        <f>IFERROR(__xludf.DUMMYFUNCTION("""COMPUTED_VALUE"""),6302.0)</f>
        <v>6302</v>
      </c>
      <c r="Q469" s="46">
        <f>IFERROR(__xludf.DUMMYFUNCTION("""COMPUTED_VALUE"""),961559.16)</f>
        <v>961559.16</v>
      </c>
      <c r="R469" s="46">
        <f>IFERROR(__xludf.DUMMYFUNCTION("""COMPUTED_VALUE"""),614066.88)</f>
        <v>614066.88</v>
      </c>
      <c r="S469" s="46">
        <f>IFERROR(__xludf.DUMMYFUNCTION("""COMPUTED_VALUE"""),347492.28)</f>
        <v>347492.28</v>
      </c>
    </row>
    <row r="470">
      <c r="A470" s="46" t="str">
        <f>IFERROR(__xludf.DUMMYFUNCTION("""COMPUTED_VALUE"""),"Clothes")</f>
        <v>Clothes</v>
      </c>
      <c r="B470" s="46" t="str">
        <f>IFERROR(__xludf.DUMMYFUNCTION("""COMPUTED_VALUE"""),"Latvia")</f>
        <v>Latvia</v>
      </c>
      <c r="C470" s="46" t="str">
        <f>IFERROR(__xludf.DUMMYFUNCTION("""COMPUTED_VALUE"""),"Europe")</f>
        <v>Europe</v>
      </c>
      <c r="D470" s="90">
        <f>IFERROR(__xludf.DUMMYFUNCTION("""COMPUTED_VALUE"""),41883.0)</f>
        <v>41883</v>
      </c>
      <c r="E470" s="46">
        <f>IFERROR(__xludf.DUMMYFUNCTION("""COMPUTED_VALUE"""),2014.0)</f>
        <v>2014</v>
      </c>
      <c r="F470" s="46">
        <f>IFERROR(__xludf.DUMMYFUNCTION("""COMPUTED_VALUE"""),1.0)</f>
        <v>1</v>
      </c>
      <c r="G470" s="46">
        <f>IFERROR(__xludf.DUMMYFUNCTION("""COMPUTED_VALUE"""),8566.0)</f>
        <v>8566</v>
      </c>
      <c r="H470" s="46">
        <f>IFERROR(__xludf.DUMMYFUNCTION("""COMPUTED_VALUE"""),936092.48)</f>
        <v>936092.48</v>
      </c>
      <c r="I470" s="46">
        <f>IFERROR(__xludf.DUMMYFUNCTION("""COMPUTED_VALUE"""),307005.44)</f>
        <v>307005.44</v>
      </c>
      <c r="J470" s="46">
        <f>IFERROR(__xludf.DUMMYFUNCTION("""COMPUTED_VALUE"""),629087.04)</f>
        <v>629087.04</v>
      </c>
      <c r="K470" s="46" t="str">
        <f t="array" ref="K470">TEXT(D470, "mmmm")</f>
        <v>September</v>
      </c>
      <c r="M470" s="46" t="str">
        <f>IFERROR(__xludf.DUMMYFUNCTION("""COMPUTED_VALUE"""),"Sweden")</f>
        <v>Sweden</v>
      </c>
      <c r="N470" s="94">
        <f>IFERROR(__xludf.DUMMYFUNCTION("""COMPUTED_VALUE"""),41275.0)</f>
        <v>41275</v>
      </c>
      <c r="O470" s="46">
        <f>IFERROR(__xludf.DUMMYFUNCTION("""COMPUTED_VALUE"""),1.0)</f>
        <v>1</v>
      </c>
      <c r="P470" s="46">
        <f>IFERROR(__xludf.DUMMYFUNCTION("""COMPUTED_VALUE"""),691.0)</f>
        <v>691</v>
      </c>
      <c r="Q470" s="46">
        <f>IFERROR(__xludf.DUMMYFUNCTION("""COMPUTED_VALUE"""),291525.99)</f>
        <v>291525.99</v>
      </c>
      <c r="R470" s="46">
        <f>IFERROR(__xludf.DUMMYFUNCTION("""COMPUTED_VALUE"""),252000.79)</f>
        <v>252000.79</v>
      </c>
      <c r="S470" s="46">
        <f>IFERROR(__xludf.DUMMYFUNCTION("""COMPUTED_VALUE"""),39525.19999999998)</f>
        <v>39525.2</v>
      </c>
    </row>
    <row r="471">
      <c r="A471" s="46" t="str">
        <f>IFERROR(__xludf.DUMMYFUNCTION("""COMPUTED_VALUE"""),"Cosmetics")</f>
        <v>Cosmetics</v>
      </c>
      <c r="B471" s="46" t="str">
        <f>IFERROR(__xludf.DUMMYFUNCTION("""COMPUTED_VALUE"""),"Russia")</f>
        <v>Russia</v>
      </c>
      <c r="C471" s="46" t="str">
        <f>IFERROR(__xludf.DUMMYFUNCTION("""COMPUTED_VALUE"""),"Europe")</f>
        <v>Europe</v>
      </c>
      <c r="D471" s="90">
        <f>IFERROR(__xludf.DUMMYFUNCTION("""COMPUTED_VALUE"""),41883.0)</f>
        <v>41883</v>
      </c>
      <c r="E471" s="46">
        <f>IFERROR(__xludf.DUMMYFUNCTION("""COMPUTED_VALUE"""),2014.0)</f>
        <v>2014</v>
      </c>
      <c r="F471" s="46">
        <f>IFERROR(__xludf.DUMMYFUNCTION("""COMPUTED_VALUE"""),1.0)</f>
        <v>1</v>
      </c>
      <c r="G471" s="46">
        <f>IFERROR(__xludf.DUMMYFUNCTION("""COMPUTED_VALUE"""),9357.0)</f>
        <v>9357</v>
      </c>
      <c r="H471" s="46">
        <f>IFERROR(__xludf.DUMMYFUNCTION("""COMPUTED_VALUE"""),4090880.4)</f>
        <v>4090880.4</v>
      </c>
      <c r="I471" s="46">
        <f>IFERROR(__xludf.DUMMYFUNCTION("""COMPUTED_VALUE"""),2463978.81)</f>
        <v>2463978.81</v>
      </c>
      <c r="J471" s="46">
        <f>IFERROR(__xludf.DUMMYFUNCTION("""COMPUTED_VALUE"""),1626901.5899999999)</f>
        <v>1626901.59</v>
      </c>
      <c r="K471" s="46" t="str">
        <f t="array" ref="K471">TEXT(D471, "mmmm")</f>
        <v>September</v>
      </c>
      <c r="M471" s="46" t="str">
        <f>IFERROR(__xludf.DUMMYFUNCTION("""COMPUTED_VALUE"""),"Armenia")</f>
        <v>Armenia</v>
      </c>
      <c r="N471" s="94">
        <f>IFERROR(__xludf.DUMMYFUNCTION("""COMPUTED_VALUE"""),41306.0)</f>
        <v>41306</v>
      </c>
      <c r="O471" s="46">
        <f>IFERROR(__xludf.DUMMYFUNCTION("""COMPUTED_VALUE"""),1.0)</f>
        <v>1</v>
      </c>
      <c r="P471" s="46">
        <f>IFERROR(__xludf.DUMMYFUNCTION("""COMPUTED_VALUE"""),3600.0)</f>
        <v>3600</v>
      </c>
      <c r="Q471" s="46">
        <f>IFERROR(__xludf.DUMMYFUNCTION("""COMPUTED_VALUE"""),740520.0)</f>
        <v>740520</v>
      </c>
      <c r="R471" s="46">
        <f>IFERROR(__xludf.DUMMYFUNCTION("""COMPUTED_VALUE"""),421596.0)</f>
        <v>421596</v>
      </c>
      <c r="S471" s="46">
        <f>IFERROR(__xludf.DUMMYFUNCTION("""COMPUTED_VALUE"""),318924.0)</f>
        <v>318924</v>
      </c>
    </row>
    <row r="472">
      <c r="A472" s="46" t="str">
        <f>IFERROR(__xludf.DUMMYFUNCTION("""COMPUTED_VALUE"""),"Cosmetics")</f>
        <v>Cosmetics</v>
      </c>
      <c r="B472" s="46" t="str">
        <f>IFERROR(__xludf.DUMMYFUNCTION("""COMPUTED_VALUE"""),"Switzerland")</f>
        <v>Switzerland</v>
      </c>
      <c r="C472" s="46" t="str">
        <f>IFERROR(__xludf.DUMMYFUNCTION("""COMPUTED_VALUE"""),"Europe")</f>
        <v>Europe</v>
      </c>
      <c r="D472" s="90">
        <f>IFERROR(__xludf.DUMMYFUNCTION("""COMPUTED_VALUE"""),41883.0)</f>
        <v>41883</v>
      </c>
      <c r="E472" s="46">
        <f>IFERROR(__xludf.DUMMYFUNCTION("""COMPUTED_VALUE"""),2014.0)</f>
        <v>2014</v>
      </c>
      <c r="F472" s="46">
        <f>IFERROR(__xludf.DUMMYFUNCTION("""COMPUTED_VALUE"""),1.0)</f>
        <v>1</v>
      </c>
      <c r="G472" s="46">
        <f>IFERROR(__xludf.DUMMYFUNCTION("""COMPUTED_VALUE"""),4205.0)</f>
        <v>4205</v>
      </c>
      <c r="H472" s="46">
        <f>IFERROR(__xludf.DUMMYFUNCTION("""COMPUTED_VALUE"""),1838426.0)</f>
        <v>1838426</v>
      </c>
      <c r="I472" s="46">
        <f>IFERROR(__xludf.DUMMYFUNCTION("""COMPUTED_VALUE"""),1107302.65)</f>
        <v>1107302.65</v>
      </c>
      <c r="J472" s="46">
        <f>IFERROR(__xludf.DUMMYFUNCTION("""COMPUTED_VALUE"""),731123.3500000001)</f>
        <v>731123.35</v>
      </c>
      <c r="K472" s="46" t="str">
        <f t="array" ref="K472">TEXT(D472, "mmmm")</f>
        <v>September</v>
      </c>
      <c r="M472" s="46" t="str">
        <f>IFERROR(__xludf.DUMMYFUNCTION("""COMPUTED_VALUE"""),"Bosnia and Herzegovina")</f>
        <v>Bosnia and Herzegovina</v>
      </c>
      <c r="N472" s="94">
        <f>IFERROR(__xludf.DUMMYFUNCTION("""COMPUTED_VALUE"""),41306.0)</f>
        <v>41306</v>
      </c>
      <c r="O472" s="46">
        <f>IFERROR(__xludf.DUMMYFUNCTION("""COMPUTED_VALUE"""),1.0)</f>
        <v>1</v>
      </c>
      <c r="P472" s="46">
        <f>IFERROR(__xludf.DUMMYFUNCTION("""COMPUTED_VALUE"""),5095.0)</f>
        <v>5095</v>
      </c>
      <c r="Q472" s="46">
        <f>IFERROR(__xludf.DUMMYFUNCTION("""COMPUTED_VALUE"""),3404835.65)</f>
        <v>3404835.65</v>
      </c>
      <c r="R472" s="46">
        <f>IFERROR(__xludf.DUMMYFUNCTION("""COMPUTED_VALUE"""),2560441.3000000003)</f>
        <v>2560441.3</v>
      </c>
      <c r="S472" s="46">
        <f>IFERROR(__xludf.DUMMYFUNCTION("""COMPUTED_VALUE"""),844394.3499999996)</f>
        <v>844394.35</v>
      </c>
    </row>
    <row r="473">
      <c r="A473" s="46" t="str">
        <f>IFERROR(__xludf.DUMMYFUNCTION("""COMPUTED_VALUE"""),"Household")</f>
        <v>Household</v>
      </c>
      <c r="B473" s="46" t="str">
        <f>IFERROR(__xludf.DUMMYFUNCTION("""COMPUTED_VALUE"""),"Slovenia")</f>
        <v>Slovenia</v>
      </c>
      <c r="C473" s="46" t="str">
        <f>IFERROR(__xludf.DUMMYFUNCTION("""COMPUTED_VALUE"""),"Europe")</f>
        <v>Europe</v>
      </c>
      <c r="D473" s="90">
        <f>IFERROR(__xludf.DUMMYFUNCTION("""COMPUTED_VALUE"""),41883.0)</f>
        <v>41883</v>
      </c>
      <c r="E473" s="46">
        <f>IFERROR(__xludf.DUMMYFUNCTION("""COMPUTED_VALUE"""),2014.0)</f>
        <v>2014</v>
      </c>
      <c r="F473" s="46">
        <f>IFERROR(__xludf.DUMMYFUNCTION("""COMPUTED_VALUE"""),1.0)</f>
        <v>1</v>
      </c>
      <c r="G473" s="46">
        <f>IFERROR(__xludf.DUMMYFUNCTION("""COMPUTED_VALUE"""),6992.0)</f>
        <v>6992</v>
      </c>
      <c r="H473" s="46">
        <f>IFERROR(__xludf.DUMMYFUNCTION("""COMPUTED_VALUE"""),4672543.84)</f>
        <v>4672543.84</v>
      </c>
      <c r="I473" s="46">
        <f>IFERROR(__xludf.DUMMYFUNCTION("""COMPUTED_VALUE"""),3513759.68)</f>
        <v>3513759.68</v>
      </c>
      <c r="J473" s="46">
        <f>IFERROR(__xludf.DUMMYFUNCTION("""COMPUTED_VALUE"""),1158784.1599999997)</f>
        <v>1158784.16</v>
      </c>
      <c r="K473" s="46" t="str">
        <f t="array" ref="K473">TEXT(D473, "mmmm")</f>
        <v>September</v>
      </c>
      <c r="M473" s="46" t="str">
        <f>IFERROR(__xludf.DUMMYFUNCTION("""COMPUTED_VALUE"""),"Croatia")</f>
        <v>Croatia</v>
      </c>
      <c r="N473" s="94">
        <f>IFERROR(__xludf.DUMMYFUNCTION("""COMPUTED_VALUE"""),41306.0)</f>
        <v>41306</v>
      </c>
      <c r="O473" s="46">
        <f>IFERROR(__xludf.DUMMYFUNCTION("""COMPUTED_VALUE"""),1.0)</f>
        <v>1</v>
      </c>
      <c r="P473" s="46">
        <f>IFERROR(__xludf.DUMMYFUNCTION("""COMPUTED_VALUE"""),1668.0)</f>
        <v>1668</v>
      </c>
      <c r="Q473" s="46">
        <f>IFERROR(__xludf.DUMMYFUNCTION("""COMPUTED_VALUE"""),79146.6)</f>
        <v>79146.6</v>
      </c>
      <c r="R473" s="46">
        <f>IFERROR(__xludf.DUMMYFUNCTION("""COMPUTED_VALUE"""),53025.72)</f>
        <v>53025.72</v>
      </c>
      <c r="S473" s="46">
        <f>IFERROR(__xludf.DUMMYFUNCTION("""COMPUTED_VALUE"""),26120.880000000005)</f>
        <v>26120.88</v>
      </c>
    </row>
    <row r="474">
      <c r="A474" s="46" t="str">
        <f>IFERROR(__xludf.DUMMYFUNCTION("""COMPUTED_VALUE"""),"Meat")</f>
        <v>Meat</v>
      </c>
      <c r="B474" s="46" t="str">
        <f>IFERROR(__xludf.DUMMYFUNCTION("""COMPUTED_VALUE"""),"Slovenia")</f>
        <v>Slovenia</v>
      </c>
      <c r="C474" s="46" t="str">
        <f>IFERROR(__xludf.DUMMYFUNCTION("""COMPUTED_VALUE"""),"Europe")</f>
        <v>Europe</v>
      </c>
      <c r="D474" s="90">
        <f>IFERROR(__xludf.DUMMYFUNCTION("""COMPUTED_VALUE"""),41883.0)</f>
        <v>41883</v>
      </c>
      <c r="E474" s="46">
        <f>IFERROR(__xludf.DUMMYFUNCTION("""COMPUTED_VALUE"""),2014.0)</f>
        <v>2014</v>
      </c>
      <c r="F474" s="46">
        <f>IFERROR(__xludf.DUMMYFUNCTION("""COMPUTED_VALUE"""),1.0)</f>
        <v>1</v>
      </c>
      <c r="G474" s="46">
        <f>IFERROR(__xludf.DUMMYFUNCTION("""COMPUTED_VALUE"""),2180.0)</f>
        <v>2180</v>
      </c>
      <c r="H474" s="46">
        <f>IFERROR(__xludf.DUMMYFUNCTION("""COMPUTED_VALUE"""),919720.2)</f>
        <v>919720.2</v>
      </c>
      <c r="I474" s="46">
        <f>IFERROR(__xludf.DUMMYFUNCTION("""COMPUTED_VALUE"""),795024.2)</f>
        <v>795024.2</v>
      </c>
      <c r="J474" s="46">
        <f>IFERROR(__xludf.DUMMYFUNCTION("""COMPUTED_VALUE"""),124696.0)</f>
        <v>124696</v>
      </c>
      <c r="K474" s="46" t="str">
        <f t="array" ref="K474">TEXT(D474, "mmmm")</f>
        <v>September</v>
      </c>
      <c r="M474" s="46" t="str">
        <f>IFERROR(__xludf.DUMMYFUNCTION("""COMPUTED_VALUE"""),"Czech Republic")</f>
        <v>Czech Republic</v>
      </c>
      <c r="N474" s="94">
        <f>IFERROR(__xludf.DUMMYFUNCTION("""COMPUTED_VALUE"""),41306.0)</f>
        <v>41306</v>
      </c>
      <c r="O474" s="46">
        <f>IFERROR(__xludf.DUMMYFUNCTION("""COMPUTED_VALUE"""),1.0)</f>
        <v>1</v>
      </c>
      <c r="P474" s="46">
        <f>IFERROR(__xludf.DUMMYFUNCTION("""COMPUTED_VALUE"""),6903.0)</f>
        <v>6903</v>
      </c>
      <c r="Q474" s="46">
        <f>IFERROR(__xludf.DUMMYFUNCTION("""COMPUTED_VALUE"""),1419947.0999999999)</f>
        <v>1419947.1</v>
      </c>
      <c r="R474" s="46">
        <f>IFERROR(__xludf.DUMMYFUNCTION("""COMPUTED_VALUE"""),808410.33)</f>
        <v>808410.33</v>
      </c>
      <c r="S474" s="46">
        <f>IFERROR(__xludf.DUMMYFUNCTION("""COMPUTED_VALUE"""),611536.7699999999)</f>
        <v>611536.77</v>
      </c>
    </row>
    <row r="475">
      <c r="A475" s="46" t="str">
        <f>IFERROR(__xludf.DUMMYFUNCTION("""COMPUTED_VALUE"""),"Personal Care")</f>
        <v>Personal Care</v>
      </c>
      <c r="B475" s="46" t="str">
        <f>IFERROR(__xludf.DUMMYFUNCTION("""COMPUTED_VALUE"""),"Romania")</f>
        <v>Romania</v>
      </c>
      <c r="C475" s="46" t="str">
        <f>IFERROR(__xludf.DUMMYFUNCTION("""COMPUTED_VALUE"""),"Europe")</f>
        <v>Europe</v>
      </c>
      <c r="D475" s="90">
        <f>IFERROR(__xludf.DUMMYFUNCTION("""COMPUTED_VALUE"""),41883.0)</f>
        <v>41883</v>
      </c>
      <c r="E475" s="46">
        <f>IFERROR(__xludf.DUMMYFUNCTION("""COMPUTED_VALUE"""),2014.0)</f>
        <v>2014</v>
      </c>
      <c r="F475" s="46">
        <f>IFERROR(__xludf.DUMMYFUNCTION("""COMPUTED_VALUE"""),1.0)</f>
        <v>1</v>
      </c>
      <c r="G475" s="46">
        <f>IFERROR(__xludf.DUMMYFUNCTION("""COMPUTED_VALUE"""),8152.0)</f>
        <v>8152</v>
      </c>
      <c r="H475" s="46">
        <f>IFERROR(__xludf.DUMMYFUNCTION("""COMPUTED_VALUE"""),666262.9600000001)</f>
        <v>666262.96</v>
      </c>
      <c r="I475" s="46">
        <f>IFERROR(__xludf.DUMMYFUNCTION("""COMPUTED_VALUE"""),461973.84)</f>
        <v>461973.84</v>
      </c>
      <c r="J475" s="46">
        <f>IFERROR(__xludf.DUMMYFUNCTION("""COMPUTED_VALUE"""),204289.12000000005)</f>
        <v>204289.12</v>
      </c>
      <c r="K475" s="46" t="str">
        <f t="array" ref="K475">TEXT(D475, "mmmm")</f>
        <v>September</v>
      </c>
      <c r="M475" s="46" t="str">
        <f>IFERROR(__xludf.DUMMYFUNCTION("""COMPUTED_VALUE"""),"Estonia")</f>
        <v>Estonia</v>
      </c>
      <c r="N475" s="94">
        <f>IFERROR(__xludf.DUMMYFUNCTION("""COMPUTED_VALUE"""),41306.0)</f>
        <v>41306</v>
      </c>
      <c r="O475" s="46">
        <f>IFERROR(__xludf.DUMMYFUNCTION("""COMPUTED_VALUE"""),1.0)</f>
        <v>1</v>
      </c>
      <c r="P475" s="46">
        <f>IFERROR(__xludf.DUMMYFUNCTION("""COMPUTED_VALUE"""),9616.0)</f>
        <v>9616</v>
      </c>
      <c r="Q475" s="46">
        <f>IFERROR(__xludf.DUMMYFUNCTION("""COMPUTED_VALUE"""),89717.28)</f>
        <v>89717.28</v>
      </c>
      <c r="R475" s="46">
        <f>IFERROR(__xludf.DUMMYFUNCTION("""COMPUTED_VALUE"""),66542.72)</f>
        <v>66542.72</v>
      </c>
      <c r="S475" s="46">
        <f>IFERROR(__xludf.DUMMYFUNCTION("""COMPUTED_VALUE"""),23174.559999999998)</f>
        <v>23174.56</v>
      </c>
    </row>
    <row r="476">
      <c r="A476" s="46" t="str">
        <f>IFERROR(__xludf.DUMMYFUNCTION("""COMPUTED_VALUE"""),"Personal Care")</f>
        <v>Personal Care</v>
      </c>
      <c r="B476" s="46" t="str">
        <f>IFERROR(__xludf.DUMMYFUNCTION("""COMPUTED_VALUE"""),"Russia")</f>
        <v>Russia</v>
      </c>
      <c r="C476" s="46" t="str">
        <f>IFERROR(__xludf.DUMMYFUNCTION("""COMPUTED_VALUE"""),"Europe")</f>
        <v>Europe</v>
      </c>
      <c r="D476" s="90">
        <f>IFERROR(__xludf.DUMMYFUNCTION("""COMPUTED_VALUE"""),41883.0)</f>
        <v>41883</v>
      </c>
      <c r="E476" s="46">
        <f>IFERROR(__xludf.DUMMYFUNCTION("""COMPUTED_VALUE"""),2014.0)</f>
        <v>2014</v>
      </c>
      <c r="F476" s="46">
        <f>IFERROR(__xludf.DUMMYFUNCTION("""COMPUTED_VALUE"""),1.0)</f>
        <v>1</v>
      </c>
      <c r="G476" s="46">
        <f>IFERROR(__xludf.DUMMYFUNCTION("""COMPUTED_VALUE"""),7162.0)</f>
        <v>7162</v>
      </c>
      <c r="H476" s="46">
        <f>IFERROR(__xludf.DUMMYFUNCTION("""COMPUTED_VALUE"""),585350.26)</f>
        <v>585350.26</v>
      </c>
      <c r="I476" s="46">
        <f>IFERROR(__xludf.DUMMYFUNCTION("""COMPUTED_VALUE"""),405870.54000000004)</f>
        <v>405870.54</v>
      </c>
      <c r="J476" s="46">
        <f>IFERROR(__xludf.DUMMYFUNCTION("""COMPUTED_VALUE"""),179479.71999999997)</f>
        <v>179479.72</v>
      </c>
      <c r="K476" s="46" t="str">
        <f t="array" ref="K476">TEXT(D476, "mmmm")</f>
        <v>September</v>
      </c>
      <c r="M476" s="46" t="str">
        <f>IFERROR(__xludf.DUMMYFUNCTION("""COMPUTED_VALUE"""),"Finland")</f>
        <v>Finland</v>
      </c>
      <c r="N476" s="94">
        <f>IFERROR(__xludf.DUMMYFUNCTION("""COMPUTED_VALUE"""),41306.0)</f>
        <v>41306</v>
      </c>
      <c r="O476" s="46">
        <f>IFERROR(__xludf.DUMMYFUNCTION("""COMPUTED_VALUE"""),1.0)</f>
        <v>1</v>
      </c>
      <c r="P476" s="46">
        <f>IFERROR(__xludf.DUMMYFUNCTION("""COMPUTED_VALUE"""),4453.0)</f>
        <v>4453</v>
      </c>
      <c r="Q476" s="46">
        <f>IFERROR(__xludf.DUMMYFUNCTION("""COMPUTED_VALUE"""),686029.18)</f>
        <v>686029.18</v>
      </c>
      <c r="R476" s="46">
        <f>IFERROR(__xludf.DUMMYFUNCTION("""COMPUTED_VALUE"""),404911.29000000004)</f>
        <v>404911.29</v>
      </c>
      <c r="S476" s="46">
        <f>IFERROR(__xludf.DUMMYFUNCTION("""COMPUTED_VALUE"""),281117.89)</f>
        <v>281117.89</v>
      </c>
    </row>
    <row r="477">
      <c r="A477" s="46" t="str">
        <f>IFERROR(__xludf.DUMMYFUNCTION("""COMPUTED_VALUE"""),"Vegetables")</f>
        <v>Vegetables</v>
      </c>
      <c r="B477" s="46" t="str">
        <f>IFERROR(__xludf.DUMMYFUNCTION("""COMPUTED_VALUE"""),"Luxembourg")</f>
        <v>Luxembourg</v>
      </c>
      <c r="C477" s="46" t="str">
        <f>IFERROR(__xludf.DUMMYFUNCTION("""COMPUTED_VALUE"""),"Europe")</f>
        <v>Europe</v>
      </c>
      <c r="D477" s="90">
        <f>IFERROR(__xludf.DUMMYFUNCTION("""COMPUTED_VALUE"""),41883.0)</f>
        <v>41883</v>
      </c>
      <c r="E477" s="46">
        <f>IFERROR(__xludf.DUMMYFUNCTION("""COMPUTED_VALUE"""),2014.0)</f>
        <v>2014</v>
      </c>
      <c r="F477" s="46">
        <f>IFERROR(__xludf.DUMMYFUNCTION("""COMPUTED_VALUE"""),1.0)</f>
        <v>1</v>
      </c>
      <c r="G477" s="46">
        <f>IFERROR(__xludf.DUMMYFUNCTION("""COMPUTED_VALUE"""),1581.0)</f>
        <v>1581</v>
      </c>
      <c r="H477" s="46">
        <f>IFERROR(__xludf.DUMMYFUNCTION("""COMPUTED_VALUE"""),243568.86000000002)</f>
        <v>243568.86</v>
      </c>
      <c r="I477" s="46">
        <f>IFERROR(__xludf.DUMMYFUNCTION("""COMPUTED_VALUE"""),143760.33000000002)</f>
        <v>143760.33</v>
      </c>
      <c r="J477" s="46">
        <f>IFERROR(__xludf.DUMMYFUNCTION("""COMPUTED_VALUE"""),99808.53)</f>
        <v>99808.53</v>
      </c>
      <c r="K477" s="46" t="str">
        <f t="array" ref="K477">TEXT(D477, "mmmm")</f>
        <v>September</v>
      </c>
      <c r="M477" s="46" t="str">
        <f>IFERROR(__xludf.DUMMYFUNCTION("""COMPUTED_VALUE"""),"Ireland")</f>
        <v>Ireland</v>
      </c>
      <c r="N477" s="94">
        <f>IFERROR(__xludf.DUMMYFUNCTION("""COMPUTED_VALUE"""),41306.0)</f>
        <v>41306</v>
      </c>
      <c r="O477" s="46">
        <f>IFERROR(__xludf.DUMMYFUNCTION("""COMPUTED_VALUE"""),1.0)</f>
        <v>1</v>
      </c>
      <c r="P477" s="46">
        <f>IFERROR(__xludf.DUMMYFUNCTION("""COMPUTED_VALUE"""),3112.0)</f>
        <v>3112</v>
      </c>
      <c r="Q477" s="46">
        <f>IFERROR(__xludf.DUMMYFUNCTION("""COMPUTED_VALUE"""),254343.76)</f>
        <v>254343.76</v>
      </c>
      <c r="R477" s="46">
        <f>IFERROR(__xludf.DUMMYFUNCTION("""COMPUTED_VALUE"""),176357.04)</f>
        <v>176357.04</v>
      </c>
      <c r="S477" s="46">
        <f>IFERROR(__xludf.DUMMYFUNCTION("""COMPUTED_VALUE"""),77986.72)</f>
        <v>77986.72</v>
      </c>
    </row>
    <row r="478">
      <c r="A478" s="46" t="str">
        <f>IFERROR(__xludf.DUMMYFUNCTION("""COMPUTED_VALUE"""),"Baby Food")</f>
        <v>Baby Food</v>
      </c>
      <c r="B478" s="46" t="str">
        <f>IFERROR(__xludf.DUMMYFUNCTION("""COMPUTED_VALUE"""),"Hungary")</f>
        <v>Hungary</v>
      </c>
      <c r="C478" s="46" t="str">
        <f>IFERROR(__xludf.DUMMYFUNCTION("""COMPUTED_VALUE"""),"Europe")</f>
        <v>Europe</v>
      </c>
      <c r="D478" s="90">
        <f>IFERROR(__xludf.DUMMYFUNCTION("""COMPUTED_VALUE"""),41852.0)</f>
        <v>41852</v>
      </c>
      <c r="E478" s="46">
        <f>IFERROR(__xludf.DUMMYFUNCTION("""COMPUTED_VALUE"""),2014.0)</f>
        <v>2014</v>
      </c>
      <c r="F478" s="46">
        <f>IFERROR(__xludf.DUMMYFUNCTION("""COMPUTED_VALUE"""),1.0)</f>
        <v>1</v>
      </c>
      <c r="G478" s="46">
        <f>IFERROR(__xludf.DUMMYFUNCTION("""COMPUTED_VALUE"""),7807.0)</f>
        <v>7807</v>
      </c>
      <c r="H478" s="46">
        <f>IFERROR(__xludf.DUMMYFUNCTION("""COMPUTED_VALUE"""),1992970.96)</f>
        <v>1992970.96</v>
      </c>
      <c r="I478" s="46">
        <f>IFERROR(__xludf.DUMMYFUNCTION("""COMPUTED_VALUE"""),1244591.94)</f>
        <v>1244591.94</v>
      </c>
      <c r="J478" s="46">
        <f>IFERROR(__xludf.DUMMYFUNCTION("""COMPUTED_VALUE"""),748379.02)</f>
        <v>748379.02</v>
      </c>
      <c r="K478" s="46" t="str">
        <f t="array" ref="K478">TEXT(D478, "mmmm")</f>
        <v>August</v>
      </c>
      <c r="M478" s="46" t="str">
        <f>IFERROR(__xludf.DUMMYFUNCTION("""COMPUTED_VALUE"""),"Latvia")</f>
        <v>Latvia</v>
      </c>
      <c r="N478" s="94">
        <f>IFERROR(__xludf.DUMMYFUNCTION("""COMPUTED_VALUE"""),41306.0)</f>
        <v>41306</v>
      </c>
      <c r="O478" s="46">
        <f>IFERROR(__xludf.DUMMYFUNCTION("""COMPUTED_VALUE"""),1.0)</f>
        <v>1</v>
      </c>
      <c r="P478" s="46">
        <f>IFERROR(__xludf.DUMMYFUNCTION("""COMPUTED_VALUE"""),4836.0)</f>
        <v>4836</v>
      </c>
      <c r="Q478" s="46">
        <f>IFERROR(__xludf.DUMMYFUNCTION("""COMPUTED_VALUE"""),737876.88)</f>
        <v>737876.88</v>
      </c>
      <c r="R478" s="46">
        <f>IFERROR(__xludf.DUMMYFUNCTION("""COMPUTED_VALUE"""),471219.83999999997)</f>
        <v>471219.84</v>
      </c>
      <c r="S478" s="46">
        <f>IFERROR(__xludf.DUMMYFUNCTION("""COMPUTED_VALUE"""),266657.04000000004)</f>
        <v>266657.04</v>
      </c>
    </row>
    <row r="479">
      <c r="A479" s="46" t="str">
        <f>IFERROR(__xludf.DUMMYFUNCTION("""COMPUTED_VALUE"""),"Baby Food")</f>
        <v>Baby Food</v>
      </c>
      <c r="B479" s="46" t="str">
        <f>IFERROR(__xludf.DUMMYFUNCTION("""COMPUTED_VALUE"""),"Iceland")</f>
        <v>Iceland</v>
      </c>
      <c r="C479" s="46" t="str">
        <f>IFERROR(__xludf.DUMMYFUNCTION("""COMPUTED_VALUE"""),"Europe")</f>
        <v>Europe</v>
      </c>
      <c r="D479" s="90">
        <f>IFERROR(__xludf.DUMMYFUNCTION("""COMPUTED_VALUE"""),41852.0)</f>
        <v>41852</v>
      </c>
      <c r="E479" s="46">
        <f>IFERROR(__xludf.DUMMYFUNCTION("""COMPUTED_VALUE"""),2014.0)</f>
        <v>2014</v>
      </c>
      <c r="F479" s="46">
        <f>IFERROR(__xludf.DUMMYFUNCTION("""COMPUTED_VALUE"""),1.0)</f>
        <v>1</v>
      </c>
      <c r="G479" s="46">
        <f>IFERROR(__xludf.DUMMYFUNCTION("""COMPUTED_VALUE"""),6552.0)</f>
        <v>6552</v>
      </c>
      <c r="H479" s="46">
        <f>IFERROR(__xludf.DUMMYFUNCTION("""COMPUTED_VALUE"""),1672594.56)</f>
        <v>1672594.56</v>
      </c>
      <c r="I479" s="46">
        <f>IFERROR(__xludf.DUMMYFUNCTION("""COMPUTED_VALUE"""),1044519.84)</f>
        <v>1044519.84</v>
      </c>
      <c r="J479" s="46">
        <f>IFERROR(__xludf.DUMMYFUNCTION("""COMPUTED_VALUE"""),628074.7200000001)</f>
        <v>628074.72</v>
      </c>
      <c r="K479" s="46" t="str">
        <f t="array" ref="K479">TEXT(D479, "mmmm")</f>
        <v>August</v>
      </c>
      <c r="M479" s="46" t="str">
        <f>IFERROR(__xludf.DUMMYFUNCTION("""COMPUTED_VALUE"""),"Lithuania")</f>
        <v>Lithuania</v>
      </c>
      <c r="N479" s="94">
        <f>IFERROR(__xludf.DUMMYFUNCTION("""COMPUTED_VALUE"""),41306.0)</f>
        <v>41306</v>
      </c>
      <c r="O479" s="46">
        <f>IFERROR(__xludf.DUMMYFUNCTION("""COMPUTED_VALUE"""),1.0)</f>
        <v>1</v>
      </c>
      <c r="P479" s="46">
        <f>IFERROR(__xludf.DUMMYFUNCTION("""COMPUTED_VALUE"""),3605.0)</f>
        <v>3605</v>
      </c>
      <c r="Q479" s="46">
        <f>IFERROR(__xludf.DUMMYFUNCTION("""COMPUTED_VALUE"""),393954.4)</f>
        <v>393954.4</v>
      </c>
      <c r="R479" s="46">
        <f>IFERROR(__xludf.DUMMYFUNCTION("""COMPUTED_VALUE"""),129203.20000000001)</f>
        <v>129203.2</v>
      </c>
      <c r="S479" s="46">
        <f>IFERROR(__xludf.DUMMYFUNCTION("""COMPUTED_VALUE"""),264751.2)</f>
        <v>264751.2</v>
      </c>
    </row>
    <row r="480">
      <c r="A480" s="46" t="str">
        <f>IFERROR(__xludf.DUMMYFUNCTION("""COMPUTED_VALUE"""),"Baby Food")</f>
        <v>Baby Food</v>
      </c>
      <c r="B480" s="46" t="str">
        <f>IFERROR(__xludf.DUMMYFUNCTION("""COMPUTED_VALUE"""),"Romania")</f>
        <v>Romania</v>
      </c>
      <c r="C480" s="46" t="str">
        <f>IFERROR(__xludf.DUMMYFUNCTION("""COMPUTED_VALUE"""),"Europe")</f>
        <v>Europe</v>
      </c>
      <c r="D480" s="90">
        <f>IFERROR(__xludf.DUMMYFUNCTION("""COMPUTED_VALUE"""),41852.0)</f>
        <v>41852</v>
      </c>
      <c r="E480" s="46">
        <f>IFERROR(__xludf.DUMMYFUNCTION("""COMPUTED_VALUE"""),2014.0)</f>
        <v>2014</v>
      </c>
      <c r="F480" s="46">
        <f>IFERROR(__xludf.DUMMYFUNCTION("""COMPUTED_VALUE"""),1.0)</f>
        <v>1</v>
      </c>
      <c r="G480" s="46">
        <f>IFERROR(__xludf.DUMMYFUNCTION("""COMPUTED_VALUE"""),7042.0)</f>
        <v>7042</v>
      </c>
      <c r="H480" s="46">
        <f>IFERROR(__xludf.DUMMYFUNCTION("""COMPUTED_VALUE"""),1797681.76)</f>
        <v>1797681.76</v>
      </c>
      <c r="I480" s="46">
        <f>IFERROR(__xludf.DUMMYFUNCTION("""COMPUTED_VALUE"""),1122635.64)</f>
        <v>1122635.64</v>
      </c>
      <c r="J480" s="46">
        <f>IFERROR(__xludf.DUMMYFUNCTION("""COMPUTED_VALUE"""),675046.1200000001)</f>
        <v>675046.12</v>
      </c>
      <c r="K480" s="46" t="str">
        <f t="array" ref="K480">TEXT(D480, "mmmm")</f>
        <v>August</v>
      </c>
      <c r="M480" s="46" t="str">
        <f>IFERROR(__xludf.DUMMYFUNCTION("""COMPUTED_VALUE"""),"Luxembourg")</f>
        <v>Luxembourg</v>
      </c>
      <c r="N480" s="94">
        <f>IFERROR(__xludf.DUMMYFUNCTION("""COMPUTED_VALUE"""),41306.0)</f>
        <v>41306</v>
      </c>
      <c r="O480" s="46">
        <f>IFERROR(__xludf.DUMMYFUNCTION("""COMPUTED_VALUE"""),1.0)</f>
        <v>1</v>
      </c>
      <c r="P480" s="46">
        <f>IFERROR(__xludf.DUMMYFUNCTION("""COMPUTED_VALUE"""),5655.0)</f>
        <v>5655</v>
      </c>
      <c r="Q480" s="46">
        <f>IFERROR(__xludf.DUMMYFUNCTION("""COMPUTED_VALUE"""),862839.9)</f>
        <v>862839.9</v>
      </c>
      <c r="R480" s="46">
        <f>IFERROR(__xludf.DUMMYFUNCTION("""COMPUTED_VALUE"""),551023.2)</f>
        <v>551023.2</v>
      </c>
      <c r="S480" s="46">
        <f>IFERROR(__xludf.DUMMYFUNCTION("""COMPUTED_VALUE"""),311816.70000000007)</f>
        <v>311816.7</v>
      </c>
    </row>
    <row r="481">
      <c r="A481" s="46" t="str">
        <f>IFERROR(__xludf.DUMMYFUNCTION("""COMPUTED_VALUE"""),"Baby Food")</f>
        <v>Baby Food</v>
      </c>
      <c r="B481" s="46" t="str">
        <f>IFERROR(__xludf.DUMMYFUNCTION("""COMPUTED_VALUE"""),"Switzerland")</f>
        <v>Switzerland</v>
      </c>
      <c r="C481" s="46" t="str">
        <f>IFERROR(__xludf.DUMMYFUNCTION("""COMPUTED_VALUE"""),"Europe")</f>
        <v>Europe</v>
      </c>
      <c r="D481" s="90">
        <f>IFERROR(__xludf.DUMMYFUNCTION("""COMPUTED_VALUE"""),41852.0)</f>
        <v>41852</v>
      </c>
      <c r="E481" s="46">
        <f>IFERROR(__xludf.DUMMYFUNCTION("""COMPUTED_VALUE"""),2014.0)</f>
        <v>2014</v>
      </c>
      <c r="F481" s="46">
        <f>IFERROR(__xludf.DUMMYFUNCTION("""COMPUTED_VALUE"""),1.0)</f>
        <v>1</v>
      </c>
      <c r="G481" s="46">
        <f>IFERROR(__xludf.DUMMYFUNCTION("""COMPUTED_VALUE"""),9246.0)</f>
        <v>9246</v>
      </c>
      <c r="H481" s="46">
        <f>IFERROR(__xludf.DUMMYFUNCTION("""COMPUTED_VALUE"""),2360318.88)</f>
        <v>2360318.88</v>
      </c>
      <c r="I481" s="46">
        <f>IFERROR(__xludf.DUMMYFUNCTION("""COMPUTED_VALUE"""),1473997.3199999998)</f>
        <v>1473997.32</v>
      </c>
      <c r="J481" s="46">
        <f>IFERROR(__xludf.DUMMYFUNCTION("""COMPUTED_VALUE"""),886321.56)</f>
        <v>886321.56</v>
      </c>
      <c r="K481" s="46" t="str">
        <f t="array" ref="K481">TEXT(D481, "mmmm")</f>
        <v>August</v>
      </c>
      <c r="M481" s="46" t="str">
        <f>IFERROR(__xludf.DUMMYFUNCTION("""COMPUTED_VALUE"""),"Norway")</f>
        <v>Norway</v>
      </c>
      <c r="N481" s="94">
        <f>IFERROR(__xludf.DUMMYFUNCTION("""COMPUTED_VALUE"""),41306.0)</f>
        <v>41306</v>
      </c>
      <c r="O481" s="46">
        <f>IFERROR(__xludf.DUMMYFUNCTION("""COMPUTED_VALUE"""),1.0)</f>
        <v>1</v>
      </c>
      <c r="P481" s="46">
        <f>IFERROR(__xludf.DUMMYFUNCTION("""COMPUTED_VALUE"""),2396.0)</f>
        <v>2396</v>
      </c>
      <c r="Q481" s="46">
        <f>IFERROR(__xludf.DUMMYFUNCTION("""COMPUTED_VALUE"""),611650.88)</f>
        <v>611650.88</v>
      </c>
      <c r="R481" s="46">
        <f>IFERROR(__xludf.DUMMYFUNCTION("""COMPUTED_VALUE"""),381970.31999999995)</f>
        <v>381970.32</v>
      </c>
      <c r="S481" s="46">
        <f>IFERROR(__xludf.DUMMYFUNCTION("""COMPUTED_VALUE"""),229680.56000000006)</f>
        <v>229680.56</v>
      </c>
    </row>
    <row r="482">
      <c r="A482" s="46" t="str">
        <f>IFERROR(__xludf.DUMMYFUNCTION("""COMPUTED_VALUE"""),"Cereal")</f>
        <v>Cereal</v>
      </c>
      <c r="B482" s="46" t="str">
        <f>IFERROR(__xludf.DUMMYFUNCTION("""COMPUTED_VALUE"""),"Austria")</f>
        <v>Austria</v>
      </c>
      <c r="C482" s="46" t="str">
        <f>IFERROR(__xludf.DUMMYFUNCTION("""COMPUTED_VALUE"""),"Europe")</f>
        <v>Europe</v>
      </c>
      <c r="D482" s="90">
        <f>IFERROR(__xludf.DUMMYFUNCTION("""COMPUTED_VALUE"""),41852.0)</f>
        <v>41852</v>
      </c>
      <c r="E482" s="46">
        <f>IFERROR(__xludf.DUMMYFUNCTION("""COMPUTED_VALUE"""),2014.0)</f>
        <v>2014</v>
      </c>
      <c r="F482" s="46">
        <f>IFERROR(__xludf.DUMMYFUNCTION("""COMPUTED_VALUE"""),1.0)</f>
        <v>1</v>
      </c>
      <c r="G482" s="46">
        <f>IFERROR(__xludf.DUMMYFUNCTION("""COMPUTED_VALUE"""),5616.0)</f>
        <v>5616</v>
      </c>
      <c r="H482" s="46">
        <f>IFERROR(__xludf.DUMMYFUNCTION("""COMPUTED_VALUE"""),1155211.2)</f>
        <v>1155211.2</v>
      </c>
      <c r="I482" s="46">
        <f>IFERROR(__xludf.DUMMYFUNCTION("""COMPUTED_VALUE"""),657689.76)</f>
        <v>657689.76</v>
      </c>
      <c r="J482" s="46">
        <f>IFERROR(__xludf.DUMMYFUNCTION("""COMPUTED_VALUE"""),497521.43999999994)</f>
        <v>497521.44</v>
      </c>
      <c r="K482" s="46" t="str">
        <f t="array" ref="K482">TEXT(D482, "mmmm")</f>
        <v>August</v>
      </c>
      <c r="M482" s="46" t="str">
        <f>IFERROR(__xludf.DUMMYFUNCTION("""COMPUTED_VALUE"""),"Portugal")</f>
        <v>Portugal</v>
      </c>
      <c r="N482" s="94">
        <f>IFERROR(__xludf.DUMMYFUNCTION("""COMPUTED_VALUE"""),41306.0)</f>
        <v>41306</v>
      </c>
      <c r="O482" s="46">
        <f>IFERROR(__xludf.DUMMYFUNCTION("""COMPUTED_VALUE"""),3.0)</f>
        <v>3</v>
      </c>
      <c r="P482" s="46">
        <f>IFERROR(__xludf.DUMMYFUNCTION("""COMPUTED_VALUE"""),12155.0)</f>
        <v>12155</v>
      </c>
      <c r="Q482" s="46">
        <f>IFERROR(__xludf.DUMMYFUNCTION("""COMPUTED_VALUE"""),5164038.88)</f>
        <v>5164038.88</v>
      </c>
      <c r="R482" s="46">
        <f>IFERROR(__xludf.DUMMYFUNCTION("""COMPUTED_VALUE"""),4255997.11)</f>
        <v>4255997.11</v>
      </c>
      <c r="S482" s="46">
        <f>IFERROR(__xludf.DUMMYFUNCTION("""COMPUTED_VALUE"""),908041.7699999999)</f>
        <v>908041.77</v>
      </c>
    </row>
    <row r="483">
      <c r="A483" s="46" t="str">
        <f>IFERROR(__xludf.DUMMYFUNCTION("""COMPUTED_VALUE"""),"Cereal")</f>
        <v>Cereal</v>
      </c>
      <c r="B483" s="46" t="str">
        <f>IFERROR(__xludf.DUMMYFUNCTION("""COMPUTED_VALUE"""),"Czech Republic")</f>
        <v>Czech Republic</v>
      </c>
      <c r="C483" s="46" t="str">
        <f>IFERROR(__xludf.DUMMYFUNCTION("""COMPUTED_VALUE"""),"Europe")</f>
        <v>Europe</v>
      </c>
      <c r="D483" s="90">
        <f>IFERROR(__xludf.DUMMYFUNCTION("""COMPUTED_VALUE"""),41852.0)</f>
        <v>41852</v>
      </c>
      <c r="E483" s="46">
        <f>IFERROR(__xludf.DUMMYFUNCTION("""COMPUTED_VALUE"""),2014.0)</f>
        <v>2014</v>
      </c>
      <c r="F483" s="46">
        <f>IFERROR(__xludf.DUMMYFUNCTION("""COMPUTED_VALUE"""),1.0)</f>
        <v>1</v>
      </c>
      <c r="G483" s="46">
        <f>IFERROR(__xludf.DUMMYFUNCTION("""COMPUTED_VALUE"""),2960.0)</f>
        <v>2960</v>
      </c>
      <c r="H483" s="46">
        <f>IFERROR(__xludf.DUMMYFUNCTION("""COMPUTED_VALUE"""),608872.0)</f>
        <v>608872</v>
      </c>
      <c r="I483" s="46">
        <f>IFERROR(__xludf.DUMMYFUNCTION("""COMPUTED_VALUE"""),346645.6)</f>
        <v>346645.6</v>
      </c>
      <c r="J483" s="46">
        <f>IFERROR(__xludf.DUMMYFUNCTION("""COMPUTED_VALUE"""),262226.4)</f>
        <v>262226.4</v>
      </c>
      <c r="K483" s="46" t="str">
        <f t="array" ref="K483">TEXT(D483, "mmmm")</f>
        <v>August</v>
      </c>
      <c r="M483" s="46" t="str">
        <f>IFERROR(__xludf.DUMMYFUNCTION("""COMPUTED_VALUE"""),"Serbia")</f>
        <v>Serbia</v>
      </c>
      <c r="N483" s="94">
        <f>IFERROR(__xludf.DUMMYFUNCTION("""COMPUTED_VALUE"""),41306.0)</f>
        <v>41306</v>
      </c>
      <c r="O483" s="46">
        <f>IFERROR(__xludf.DUMMYFUNCTION("""COMPUTED_VALUE"""),1.0)</f>
        <v>1</v>
      </c>
      <c r="P483" s="46">
        <f>IFERROR(__xludf.DUMMYFUNCTION("""COMPUTED_VALUE"""),2973.0)</f>
        <v>2973</v>
      </c>
      <c r="Q483" s="46">
        <f>IFERROR(__xludf.DUMMYFUNCTION("""COMPUTED_VALUE"""),458020.38)</f>
        <v>458020.38</v>
      </c>
      <c r="R483" s="46">
        <f>IFERROR(__xludf.DUMMYFUNCTION("""COMPUTED_VALUE"""),270334.89)</f>
        <v>270334.89</v>
      </c>
      <c r="S483" s="46">
        <f>IFERROR(__xludf.DUMMYFUNCTION("""COMPUTED_VALUE"""),187685.49)</f>
        <v>187685.49</v>
      </c>
    </row>
    <row r="484">
      <c r="A484" s="46" t="str">
        <f>IFERROR(__xludf.DUMMYFUNCTION("""COMPUTED_VALUE"""),"Cosmetics")</f>
        <v>Cosmetics</v>
      </c>
      <c r="B484" s="46" t="str">
        <f>IFERROR(__xludf.DUMMYFUNCTION("""COMPUTED_VALUE"""),"San Marino")</f>
        <v>San Marino</v>
      </c>
      <c r="C484" s="46" t="str">
        <f>IFERROR(__xludf.DUMMYFUNCTION("""COMPUTED_VALUE"""),"Europe")</f>
        <v>Europe</v>
      </c>
      <c r="D484" s="90">
        <f>IFERROR(__xludf.DUMMYFUNCTION("""COMPUTED_VALUE"""),41852.0)</f>
        <v>41852</v>
      </c>
      <c r="E484" s="46">
        <f>IFERROR(__xludf.DUMMYFUNCTION("""COMPUTED_VALUE"""),2014.0)</f>
        <v>2014</v>
      </c>
      <c r="F484" s="46">
        <f>IFERROR(__xludf.DUMMYFUNCTION("""COMPUTED_VALUE"""),1.0)</f>
        <v>1</v>
      </c>
      <c r="G484" s="46">
        <f>IFERROR(__xludf.DUMMYFUNCTION("""COMPUTED_VALUE"""),334.0)</f>
        <v>334</v>
      </c>
      <c r="H484" s="46">
        <f>IFERROR(__xludf.DUMMYFUNCTION("""COMPUTED_VALUE"""),146024.8)</f>
        <v>146024.8</v>
      </c>
      <c r="I484" s="46">
        <f>IFERROR(__xludf.DUMMYFUNCTION("""COMPUTED_VALUE"""),87952.22)</f>
        <v>87952.22</v>
      </c>
      <c r="J484" s="46">
        <f>IFERROR(__xludf.DUMMYFUNCTION("""COMPUTED_VALUE"""),58072.57999999999)</f>
        <v>58072.58</v>
      </c>
      <c r="K484" s="46" t="str">
        <f t="array" ref="K484">TEXT(D484, "mmmm")</f>
        <v>August</v>
      </c>
      <c r="M484" s="46" t="str">
        <f>IFERROR(__xludf.DUMMYFUNCTION("""COMPUTED_VALUE"""),"Slovenia")</f>
        <v>Slovenia</v>
      </c>
      <c r="N484" s="94">
        <f>IFERROR(__xludf.DUMMYFUNCTION("""COMPUTED_VALUE"""),41306.0)</f>
        <v>41306</v>
      </c>
      <c r="O484" s="46">
        <f>IFERROR(__xludf.DUMMYFUNCTION("""COMPUTED_VALUE"""),1.0)</f>
        <v>1</v>
      </c>
      <c r="P484" s="46">
        <f>IFERROR(__xludf.DUMMYFUNCTION("""COMPUTED_VALUE"""),4637.0)</f>
        <v>4637</v>
      </c>
      <c r="Q484" s="46">
        <f>IFERROR(__xludf.DUMMYFUNCTION("""COMPUTED_VALUE"""),714376.22)</f>
        <v>714376.22</v>
      </c>
      <c r="R484" s="46">
        <f>IFERROR(__xludf.DUMMYFUNCTION("""COMPUTED_VALUE"""),421642.41000000003)</f>
        <v>421642.41</v>
      </c>
      <c r="S484" s="46">
        <f>IFERROR(__xludf.DUMMYFUNCTION("""COMPUTED_VALUE"""),292733.80999999994)</f>
        <v>292733.81</v>
      </c>
    </row>
    <row r="485">
      <c r="A485" s="46" t="str">
        <f>IFERROR(__xludf.DUMMYFUNCTION("""COMPUTED_VALUE"""),"Fruits")</f>
        <v>Fruits</v>
      </c>
      <c r="B485" s="46" t="str">
        <f>IFERROR(__xludf.DUMMYFUNCTION("""COMPUTED_VALUE"""),"Greece")</f>
        <v>Greece</v>
      </c>
      <c r="C485" s="46" t="str">
        <f>IFERROR(__xludf.DUMMYFUNCTION("""COMPUTED_VALUE"""),"Europe")</f>
        <v>Europe</v>
      </c>
      <c r="D485" s="90">
        <f>IFERROR(__xludf.DUMMYFUNCTION("""COMPUTED_VALUE"""),41852.0)</f>
        <v>41852</v>
      </c>
      <c r="E485" s="46">
        <f>IFERROR(__xludf.DUMMYFUNCTION("""COMPUTED_VALUE"""),2014.0)</f>
        <v>2014</v>
      </c>
      <c r="F485" s="46">
        <f>IFERROR(__xludf.DUMMYFUNCTION("""COMPUTED_VALUE"""),1.0)</f>
        <v>1</v>
      </c>
      <c r="G485" s="46">
        <f>IFERROR(__xludf.DUMMYFUNCTION("""COMPUTED_VALUE"""),1354.0)</f>
        <v>1354</v>
      </c>
      <c r="H485" s="46">
        <f>IFERROR(__xludf.DUMMYFUNCTION("""COMPUTED_VALUE"""),12632.82)</f>
        <v>12632.82</v>
      </c>
      <c r="I485" s="46">
        <f>IFERROR(__xludf.DUMMYFUNCTION("""COMPUTED_VALUE"""),9369.68)</f>
        <v>9369.68</v>
      </c>
      <c r="J485" s="46">
        <f>IFERROR(__xludf.DUMMYFUNCTION("""COMPUTED_VALUE"""),3263.1399999999994)</f>
        <v>3263.14</v>
      </c>
      <c r="K485" s="46" t="str">
        <f t="array" ref="K485">TEXT(D485, "mmmm")</f>
        <v>August</v>
      </c>
      <c r="M485" s="46" t="str">
        <f>IFERROR(__xludf.DUMMYFUNCTION("""COMPUTED_VALUE"""),"Undefined")</f>
        <v>Undefined</v>
      </c>
      <c r="N485" s="94">
        <f>IFERROR(__xludf.DUMMYFUNCTION("""COMPUTED_VALUE"""),41306.0)</f>
        <v>41306</v>
      </c>
      <c r="O485" s="46">
        <f>IFERROR(__xludf.DUMMYFUNCTION("""COMPUTED_VALUE"""),1.0)</f>
        <v>1</v>
      </c>
      <c r="P485" s="46">
        <f>IFERROR(__xludf.DUMMYFUNCTION("""COMPUTED_VALUE"""),6380.0)</f>
        <v>6380</v>
      </c>
      <c r="Q485" s="46">
        <f>IFERROR(__xludf.DUMMYFUNCTION("""COMPUTED_VALUE"""),973460.4)</f>
        <v>973460.4</v>
      </c>
      <c r="R485" s="46">
        <f>IFERROR(__xludf.DUMMYFUNCTION("""COMPUTED_VALUE"""),621667.2)</f>
        <v>621667.2</v>
      </c>
      <c r="S485" s="46">
        <f>IFERROR(__xludf.DUMMYFUNCTION("""COMPUTED_VALUE"""),351793.20000000007)</f>
        <v>351793.2</v>
      </c>
    </row>
    <row r="486">
      <c r="A486" s="46" t="str">
        <f>IFERROR(__xludf.DUMMYFUNCTION("""COMPUTED_VALUE"""),"Household")</f>
        <v>Household</v>
      </c>
      <c r="B486" s="46" t="str">
        <f>IFERROR(__xludf.DUMMYFUNCTION("""COMPUTED_VALUE"""),"Czech Republic")</f>
        <v>Czech Republic</v>
      </c>
      <c r="C486" s="46" t="str">
        <f>IFERROR(__xludf.DUMMYFUNCTION("""COMPUTED_VALUE"""),"Europe")</f>
        <v>Europe</v>
      </c>
      <c r="D486" s="90">
        <f>IFERROR(__xludf.DUMMYFUNCTION("""COMPUTED_VALUE"""),41852.0)</f>
        <v>41852</v>
      </c>
      <c r="E486" s="46">
        <f>IFERROR(__xludf.DUMMYFUNCTION("""COMPUTED_VALUE"""),2014.0)</f>
        <v>2014</v>
      </c>
      <c r="F486" s="46">
        <f>IFERROR(__xludf.DUMMYFUNCTION("""COMPUTED_VALUE"""),1.0)</f>
        <v>1</v>
      </c>
      <c r="G486" s="46">
        <f>IFERROR(__xludf.DUMMYFUNCTION("""COMPUTED_VALUE"""),8220.0)</f>
        <v>8220</v>
      </c>
      <c r="H486" s="46">
        <f>IFERROR(__xludf.DUMMYFUNCTION("""COMPUTED_VALUE"""),5493179.399999999)</f>
        <v>5493179.4</v>
      </c>
      <c r="I486" s="46">
        <f>IFERROR(__xludf.DUMMYFUNCTION("""COMPUTED_VALUE"""),4130878.8000000003)</f>
        <v>4130878.8</v>
      </c>
      <c r="J486" s="46">
        <f>IFERROR(__xludf.DUMMYFUNCTION("""COMPUTED_VALUE"""),1362300.5999999992)</f>
        <v>1362300.6</v>
      </c>
      <c r="K486" s="46" t="str">
        <f t="array" ref="K486">TEXT(D486, "mmmm")</f>
        <v>August</v>
      </c>
      <c r="M486" s="46" t="str">
        <f>IFERROR(__xludf.DUMMYFUNCTION("""COMPUTED_VALUE"""),"Andorra")</f>
        <v>Andorra</v>
      </c>
      <c r="N486" s="94">
        <f>IFERROR(__xludf.DUMMYFUNCTION("""COMPUTED_VALUE"""),41334.0)</f>
        <v>41334</v>
      </c>
      <c r="O486" s="46">
        <f>IFERROR(__xludf.DUMMYFUNCTION("""COMPUTED_VALUE"""),2.0)</f>
        <v>2</v>
      </c>
      <c r="P486" s="46">
        <f>IFERROR(__xludf.DUMMYFUNCTION("""COMPUTED_VALUE"""),12859.0)</f>
        <v>12859</v>
      </c>
      <c r="Q486" s="46">
        <f>IFERROR(__xludf.DUMMYFUNCTION("""COMPUTED_VALUE"""),2615403.2800000003)</f>
        <v>2615403.28</v>
      </c>
      <c r="R486" s="46">
        <f>IFERROR(__xludf.DUMMYFUNCTION("""COMPUTED_VALUE"""),1598495.7)</f>
        <v>1598495.7</v>
      </c>
      <c r="S486" s="46">
        <f>IFERROR(__xludf.DUMMYFUNCTION("""COMPUTED_VALUE"""),1016907.5800000001)</f>
        <v>1016907.58</v>
      </c>
    </row>
    <row r="487">
      <c r="A487" s="46" t="str">
        <f>IFERROR(__xludf.DUMMYFUNCTION("""COMPUTED_VALUE"""),"Household")</f>
        <v>Household</v>
      </c>
      <c r="B487" s="46" t="str">
        <f>IFERROR(__xludf.DUMMYFUNCTION("""COMPUTED_VALUE"""),"San Marino")</f>
        <v>San Marino</v>
      </c>
      <c r="C487" s="46" t="str">
        <f>IFERROR(__xludf.DUMMYFUNCTION("""COMPUTED_VALUE"""),"Europe")</f>
        <v>Europe</v>
      </c>
      <c r="D487" s="90">
        <f>IFERROR(__xludf.DUMMYFUNCTION("""COMPUTED_VALUE"""),41852.0)</f>
        <v>41852</v>
      </c>
      <c r="E487" s="46">
        <f>IFERROR(__xludf.DUMMYFUNCTION("""COMPUTED_VALUE"""),2014.0)</f>
        <v>2014</v>
      </c>
      <c r="F487" s="46">
        <f>IFERROR(__xludf.DUMMYFUNCTION("""COMPUTED_VALUE"""),1.0)</f>
        <v>1</v>
      </c>
      <c r="G487" s="46">
        <f>IFERROR(__xludf.DUMMYFUNCTION("""COMPUTED_VALUE"""),611.0)</f>
        <v>611</v>
      </c>
      <c r="H487" s="46">
        <f>IFERROR(__xludf.DUMMYFUNCTION("""COMPUTED_VALUE"""),408312.97)</f>
        <v>408312.97</v>
      </c>
      <c r="I487" s="46">
        <f>IFERROR(__xludf.DUMMYFUNCTION("""COMPUTED_VALUE"""),307051.94)</f>
        <v>307051.94</v>
      </c>
      <c r="J487" s="46">
        <f>IFERROR(__xludf.DUMMYFUNCTION("""COMPUTED_VALUE"""),101261.02999999997)</f>
        <v>101261.03</v>
      </c>
      <c r="K487" s="46" t="str">
        <f t="array" ref="K487">TEXT(D487, "mmmm")</f>
        <v>August</v>
      </c>
      <c r="M487" s="46" t="str">
        <f>IFERROR(__xludf.DUMMYFUNCTION("""COMPUTED_VALUE"""),"Croatia")</f>
        <v>Croatia</v>
      </c>
      <c r="N487" s="94">
        <f>IFERROR(__xludf.DUMMYFUNCTION("""COMPUTED_VALUE"""),41334.0)</f>
        <v>41334</v>
      </c>
      <c r="O487" s="46">
        <f>IFERROR(__xludf.DUMMYFUNCTION("""COMPUTED_VALUE"""),1.0)</f>
        <v>1</v>
      </c>
      <c r="P487" s="46">
        <f>IFERROR(__xludf.DUMMYFUNCTION("""COMPUTED_VALUE"""),523.0)</f>
        <v>523</v>
      </c>
      <c r="Q487" s="46">
        <f>IFERROR(__xludf.DUMMYFUNCTION("""COMPUTED_VALUE"""),42744.79)</f>
        <v>42744.79</v>
      </c>
      <c r="R487" s="46">
        <f>IFERROR(__xludf.DUMMYFUNCTION("""COMPUTED_VALUE"""),29638.41)</f>
        <v>29638.41</v>
      </c>
      <c r="S487" s="46">
        <f>IFERROR(__xludf.DUMMYFUNCTION("""COMPUTED_VALUE"""),13106.380000000001)</f>
        <v>13106.38</v>
      </c>
    </row>
    <row r="488">
      <c r="A488" s="46" t="str">
        <f>IFERROR(__xludf.DUMMYFUNCTION("""COMPUTED_VALUE"""),"Meat")</f>
        <v>Meat</v>
      </c>
      <c r="B488" s="46" t="str">
        <f>IFERROR(__xludf.DUMMYFUNCTION("""COMPUTED_VALUE"""),"Georgia")</f>
        <v>Georgia</v>
      </c>
      <c r="C488" s="46" t="str">
        <f>IFERROR(__xludf.DUMMYFUNCTION("""COMPUTED_VALUE"""),"Asia")</f>
        <v>Asia</v>
      </c>
      <c r="D488" s="90">
        <f>IFERROR(__xludf.DUMMYFUNCTION("""COMPUTED_VALUE"""),41852.0)</f>
        <v>41852</v>
      </c>
      <c r="E488" s="46">
        <f>IFERROR(__xludf.DUMMYFUNCTION("""COMPUTED_VALUE"""),2014.0)</f>
        <v>2014</v>
      </c>
      <c r="F488" s="46">
        <f>IFERROR(__xludf.DUMMYFUNCTION("""COMPUTED_VALUE"""),1.0)</f>
        <v>1</v>
      </c>
      <c r="G488" s="46">
        <f>IFERROR(__xludf.DUMMYFUNCTION("""COMPUTED_VALUE"""),2826.0)</f>
        <v>2826</v>
      </c>
      <c r="H488" s="46">
        <f>IFERROR(__xludf.DUMMYFUNCTION("""COMPUTED_VALUE"""),1192261.14)</f>
        <v>1192261.14</v>
      </c>
      <c r="I488" s="46">
        <f>IFERROR(__xludf.DUMMYFUNCTION("""COMPUTED_VALUE"""),1030613.94)</f>
        <v>1030613.94</v>
      </c>
      <c r="J488" s="46">
        <f>IFERROR(__xludf.DUMMYFUNCTION("""COMPUTED_VALUE"""),161647.19999999995)</f>
        <v>161647.2</v>
      </c>
      <c r="K488" s="46" t="str">
        <f t="array" ref="K488">TEXT(D488, "mmmm")</f>
        <v>August</v>
      </c>
      <c r="M488" s="46" t="str">
        <f>IFERROR(__xludf.DUMMYFUNCTION("""COMPUTED_VALUE"""),"Cyprus")</f>
        <v>Cyprus</v>
      </c>
      <c r="N488" s="94">
        <f>IFERROR(__xludf.DUMMYFUNCTION("""COMPUTED_VALUE"""),41334.0)</f>
        <v>41334</v>
      </c>
      <c r="O488" s="46">
        <f>IFERROR(__xludf.DUMMYFUNCTION("""COMPUTED_VALUE"""),2.0)</f>
        <v>2</v>
      </c>
      <c r="P488" s="46">
        <f>IFERROR(__xludf.DUMMYFUNCTION("""COMPUTED_VALUE"""),8525.0)</f>
        <v>8525</v>
      </c>
      <c r="Q488" s="46">
        <f>IFERROR(__xludf.DUMMYFUNCTION("""COMPUTED_VALUE"""),5131278.64)</f>
        <v>5131278.64</v>
      </c>
      <c r="R488" s="46">
        <f>IFERROR(__xludf.DUMMYFUNCTION("""COMPUTED_VALUE"""),3812772.61)</f>
        <v>3812772.61</v>
      </c>
      <c r="S488" s="46">
        <f>IFERROR(__xludf.DUMMYFUNCTION("""COMPUTED_VALUE"""),1318506.03)</f>
        <v>1318506.03</v>
      </c>
    </row>
    <row r="489">
      <c r="A489" s="46" t="str">
        <f>IFERROR(__xludf.DUMMYFUNCTION("""COMPUTED_VALUE"""),"Office Supplies")</f>
        <v>Office Supplies</v>
      </c>
      <c r="B489" s="46" t="str">
        <f>IFERROR(__xludf.DUMMYFUNCTION("""COMPUTED_VALUE"""),"Armenia")</f>
        <v>Armenia</v>
      </c>
      <c r="C489" s="46" t="str">
        <f>IFERROR(__xludf.DUMMYFUNCTION("""COMPUTED_VALUE"""),"Asia")</f>
        <v>Asia</v>
      </c>
      <c r="D489" s="90">
        <f>IFERROR(__xludf.DUMMYFUNCTION("""COMPUTED_VALUE"""),41852.0)</f>
        <v>41852</v>
      </c>
      <c r="E489" s="46">
        <f>IFERROR(__xludf.DUMMYFUNCTION("""COMPUTED_VALUE"""),2014.0)</f>
        <v>2014</v>
      </c>
      <c r="F489" s="46">
        <f>IFERROR(__xludf.DUMMYFUNCTION("""COMPUTED_VALUE"""),1.0)</f>
        <v>1</v>
      </c>
      <c r="G489" s="46">
        <f>IFERROR(__xludf.DUMMYFUNCTION("""COMPUTED_VALUE"""),7462.0)</f>
        <v>7462</v>
      </c>
      <c r="H489" s="46">
        <f>IFERROR(__xludf.DUMMYFUNCTION("""COMPUTED_VALUE"""),4859329.0200000005)</f>
        <v>4859329.02</v>
      </c>
      <c r="I489" s="46">
        <f>IFERROR(__xludf.DUMMYFUNCTION("""COMPUTED_VALUE"""),3917251.5200000005)</f>
        <v>3917251.52</v>
      </c>
      <c r="J489" s="46">
        <f>IFERROR(__xludf.DUMMYFUNCTION("""COMPUTED_VALUE"""),942077.5)</f>
        <v>942077.5</v>
      </c>
      <c r="K489" s="46" t="str">
        <f t="array" ref="K489">TEXT(D489, "mmmm")</f>
        <v>August</v>
      </c>
      <c r="M489" s="46" t="str">
        <f>IFERROR(__xludf.DUMMYFUNCTION("""COMPUTED_VALUE"""),"Estonia")</f>
        <v>Estonia</v>
      </c>
      <c r="N489" s="94">
        <f>IFERROR(__xludf.DUMMYFUNCTION("""COMPUTED_VALUE"""),41334.0)</f>
        <v>41334</v>
      </c>
      <c r="O489" s="46">
        <f>IFERROR(__xludf.DUMMYFUNCTION("""COMPUTED_VALUE"""),1.0)</f>
        <v>1</v>
      </c>
      <c r="P489" s="46">
        <f>IFERROR(__xludf.DUMMYFUNCTION("""COMPUTED_VALUE"""),5129.0)</f>
        <v>5129</v>
      </c>
      <c r="Q489" s="46">
        <f>IFERROR(__xludf.DUMMYFUNCTION("""COMPUTED_VALUE"""),3340056.0900000003)</f>
        <v>3340056.09</v>
      </c>
      <c r="R489" s="46">
        <f>IFERROR(__xludf.DUMMYFUNCTION("""COMPUTED_VALUE"""),2692519.8400000003)</f>
        <v>2692519.84</v>
      </c>
      <c r="S489" s="46">
        <f>IFERROR(__xludf.DUMMYFUNCTION("""COMPUTED_VALUE"""),647536.25)</f>
        <v>647536.25</v>
      </c>
    </row>
    <row r="490">
      <c r="A490" s="46" t="str">
        <f>IFERROR(__xludf.DUMMYFUNCTION("""COMPUTED_VALUE"""),"Office Supplies")</f>
        <v>Office Supplies</v>
      </c>
      <c r="B490" s="46" t="str">
        <f>IFERROR(__xludf.DUMMYFUNCTION("""COMPUTED_VALUE"""),"Netherlands")</f>
        <v>Netherlands</v>
      </c>
      <c r="C490" s="46" t="str">
        <f>IFERROR(__xludf.DUMMYFUNCTION("""COMPUTED_VALUE"""),"Europe")</f>
        <v>Europe</v>
      </c>
      <c r="D490" s="90">
        <f>IFERROR(__xludf.DUMMYFUNCTION("""COMPUTED_VALUE"""),41852.0)</f>
        <v>41852</v>
      </c>
      <c r="E490" s="46">
        <f>IFERROR(__xludf.DUMMYFUNCTION("""COMPUTED_VALUE"""),2014.0)</f>
        <v>2014</v>
      </c>
      <c r="F490" s="46">
        <f>IFERROR(__xludf.DUMMYFUNCTION("""COMPUTED_VALUE"""),1.0)</f>
        <v>1</v>
      </c>
      <c r="G490" s="46">
        <f>IFERROR(__xludf.DUMMYFUNCTION("""COMPUTED_VALUE"""),10.0)</f>
        <v>10</v>
      </c>
      <c r="H490" s="46">
        <f>IFERROR(__xludf.DUMMYFUNCTION("""COMPUTED_VALUE"""),6512.1)</f>
        <v>6512.1</v>
      </c>
      <c r="I490" s="46">
        <f>IFERROR(__xludf.DUMMYFUNCTION("""COMPUTED_VALUE"""),5249.6)</f>
        <v>5249.6</v>
      </c>
      <c r="J490" s="46">
        <f>IFERROR(__xludf.DUMMYFUNCTION("""COMPUTED_VALUE"""),1262.5)</f>
        <v>1262.5</v>
      </c>
      <c r="K490" s="46" t="str">
        <f t="array" ref="K490">TEXT(D490, "mmmm")</f>
        <v>August</v>
      </c>
      <c r="M490" s="46" t="str">
        <f>IFERROR(__xludf.DUMMYFUNCTION("""COMPUTED_VALUE"""),"Finland")</f>
        <v>Finland</v>
      </c>
      <c r="N490" s="94">
        <f>IFERROR(__xludf.DUMMYFUNCTION("""COMPUTED_VALUE"""),41334.0)</f>
        <v>41334</v>
      </c>
      <c r="O490" s="46">
        <f>IFERROR(__xludf.DUMMYFUNCTION("""COMPUTED_VALUE"""),1.0)</f>
        <v>1</v>
      </c>
      <c r="P490" s="46">
        <f>IFERROR(__xludf.DUMMYFUNCTION("""COMPUTED_VALUE"""),3223.0)</f>
        <v>3223</v>
      </c>
      <c r="Q490" s="46">
        <f>IFERROR(__xludf.DUMMYFUNCTION("""COMPUTED_VALUE"""),491765.34)</f>
        <v>491765.34</v>
      </c>
      <c r="R490" s="46">
        <f>IFERROR(__xludf.DUMMYFUNCTION("""COMPUTED_VALUE"""),314049.12)</f>
        <v>314049.12</v>
      </c>
      <c r="S490" s="46">
        <f>IFERROR(__xludf.DUMMYFUNCTION("""COMPUTED_VALUE"""),177716.22000000003)</f>
        <v>177716.22</v>
      </c>
    </row>
    <row r="491">
      <c r="A491" s="46" t="str">
        <f>IFERROR(__xludf.DUMMYFUNCTION("""COMPUTED_VALUE"""),"Office Supplies")</f>
        <v>Office Supplies</v>
      </c>
      <c r="B491" s="46" t="str">
        <f>IFERROR(__xludf.DUMMYFUNCTION("""COMPUTED_VALUE"""),"Serbia")</f>
        <v>Serbia</v>
      </c>
      <c r="C491" s="46" t="str">
        <f>IFERROR(__xludf.DUMMYFUNCTION("""COMPUTED_VALUE"""),"Europe")</f>
        <v>Europe</v>
      </c>
      <c r="D491" s="90">
        <f>IFERROR(__xludf.DUMMYFUNCTION("""COMPUTED_VALUE"""),41852.0)</f>
        <v>41852</v>
      </c>
      <c r="E491" s="46">
        <f>IFERROR(__xludf.DUMMYFUNCTION("""COMPUTED_VALUE"""),2014.0)</f>
        <v>2014</v>
      </c>
      <c r="F491" s="46">
        <f>IFERROR(__xludf.DUMMYFUNCTION("""COMPUTED_VALUE"""),1.0)</f>
        <v>1</v>
      </c>
      <c r="G491" s="46">
        <f>IFERROR(__xludf.DUMMYFUNCTION("""COMPUTED_VALUE"""),4568.0)</f>
        <v>4568</v>
      </c>
      <c r="H491" s="46">
        <f>IFERROR(__xludf.DUMMYFUNCTION("""COMPUTED_VALUE"""),2974727.2800000003)</f>
        <v>2974727.28</v>
      </c>
      <c r="I491" s="46">
        <f>IFERROR(__xludf.DUMMYFUNCTION("""COMPUTED_VALUE"""),2398017.2800000003)</f>
        <v>2398017.28</v>
      </c>
      <c r="J491" s="46">
        <f>IFERROR(__xludf.DUMMYFUNCTION("""COMPUTED_VALUE"""),576710.0)</f>
        <v>576710</v>
      </c>
      <c r="K491" s="46" t="str">
        <f t="array" ref="K491">TEXT(D491, "mmmm")</f>
        <v>August</v>
      </c>
      <c r="M491" s="46" t="str">
        <f>IFERROR(__xludf.DUMMYFUNCTION("""COMPUTED_VALUE"""),"Iceland")</f>
        <v>Iceland</v>
      </c>
      <c r="N491" s="94">
        <f>IFERROR(__xludf.DUMMYFUNCTION("""COMPUTED_VALUE"""),41334.0)</f>
        <v>41334</v>
      </c>
      <c r="O491" s="46">
        <f>IFERROR(__xludf.DUMMYFUNCTION("""COMPUTED_VALUE"""),1.0)</f>
        <v>1</v>
      </c>
      <c r="P491" s="46">
        <f>IFERROR(__xludf.DUMMYFUNCTION("""COMPUTED_VALUE"""),7733.0)</f>
        <v>7733</v>
      </c>
      <c r="Q491" s="46">
        <f>IFERROR(__xludf.DUMMYFUNCTION("""COMPUTED_VALUE"""),1974080.24)</f>
        <v>1974080.24</v>
      </c>
      <c r="R491" s="46">
        <f>IFERROR(__xludf.DUMMYFUNCTION("""COMPUTED_VALUE"""),1232794.8599999999)</f>
        <v>1232794.86</v>
      </c>
      <c r="S491" s="46">
        <f>IFERROR(__xludf.DUMMYFUNCTION("""COMPUTED_VALUE"""),741285.3800000001)</f>
        <v>741285.38</v>
      </c>
    </row>
    <row r="492">
      <c r="A492" s="46" t="str">
        <f>IFERROR(__xludf.DUMMYFUNCTION("""COMPUTED_VALUE"""),"Office Supplies")</f>
        <v>Office Supplies</v>
      </c>
      <c r="B492" s="46" t="str">
        <f>IFERROR(__xludf.DUMMYFUNCTION("""COMPUTED_VALUE"""),"Undefined")</f>
        <v>Undefined</v>
      </c>
      <c r="C492" s="46" t="str">
        <f>IFERROR(__xludf.DUMMYFUNCTION("""COMPUTED_VALUE"""),"Undefined")</f>
        <v>Undefined</v>
      </c>
      <c r="D492" s="90">
        <f>IFERROR(__xludf.DUMMYFUNCTION("""COMPUTED_VALUE"""),41852.0)</f>
        <v>41852</v>
      </c>
      <c r="E492" s="46">
        <f>IFERROR(__xludf.DUMMYFUNCTION("""COMPUTED_VALUE"""),2014.0)</f>
        <v>2014</v>
      </c>
      <c r="F492" s="46">
        <f>IFERROR(__xludf.DUMMYFUNCTION("""COMPUTED_VALUE"""),1.0)</f>
        <v>1</v>
      </c>
      <c r="G492" s="46">
        <f>IFERROR(__xludf.DUMMYFUNCTION("""COMPUTED_VALUE"""),7962.0)</f>
        <v>7962</v>
      </c>
      <c r="H492" s="46">
        <f>IFERROR(__xludf.DUMMYFUNCTION("""COMPUTED_VALUE"""),5184934.0200000005)</f>
        <v>5184934.02</v>
      </c>
      <c r="I492" s="46">
        <f>IFERROR(__xludf.DUMMYFUNCTION("""COMPUTED_VALUE"""),4179731.5200000005)</f>
        <v>4179731.52</v>
      </c>
      <c r="J492" s="46">
        <f>IFERROR(__xludf.DUMMYFUNCTION("""COMPUTED_VALUE"""),1005202.5)</f>
        <v>1005202.5</v>
      </c>
      <c r="K492" s="46" t="str">
        <f t="array" ref="K492">TEXT(D492, "mmmm")</f>
        <v>August</v>
      </c>
      <c r="M492" s="46" t="str">
        <f>IFERROR(__xludf.DUMMYFUNCTION("""COMPUTED_VALUE"""),"Lithuania")</f>
        <v>Lithuania</v>
      </c>
      <c r="N492" s="94">
        <f>IFERROR(__xludf.DUMMYFUNCTION("""COMPUTED_VALUE"""),41334.0)</f>
        <v>41334</v>
      </c>
      <c r="O492" s="46">
        <f>IFERROR(__xludf.DUMMYFUNCTION("""COMPUTED_VALUE"""),2.0)</f>
        <v>2</v>
      </c>
      <c r="P492" s="46">
        <f>IFERROR(__xludf.DUMMYFUNCTION("""COMPUTED_VALUE"""),14292.0)</f>
        <v>14292</v>
      </c>
      <c r="Q492" s="46">
        <f>IFERROR(__xludf.DUMMYFUNCTION("""COMPUTED_VALUE"""),4931778.48)</f>
        <v>4931778.48</v>
      </c>
      <c r="R492" s="46">
        <f>IFERROR(__xludf.DUMMYFUNCTION("""COMPUTED_VALUE"""),3904856.25)</f>
        <v>3904856.25</v>
      </c>
      <c r="S492" s="46">
        <f>IFERROR(__xludf.DUMMYFUNCTION("""COMPUTED_VALUE"""),1026922.2300000006)</f>
        <v>1026922.23</v>
      </c>
    </row>
    <row r="493">
      <c r="A493" s="46" t="str">
        <f>IFERROR(__xludf.DUMMYFUNCTION("""COMPUTED_VALUE"""),"Personal Care")</f>
        <v>Personal Care</v>
      </c>
      <c r="B493" s="46" t="str">
        <f>IFERROR(__xludf.DUMMYFUNCTION("""COMPUTED_VALUE"""),"Switzerland")</f>
        <v>Switzerland</v>
      </c>
      <c r="C493" s="46" t="str">
        <f>IFERROR(__xludf.DUMMYFUNCTION("""COMPUTED_VALUE"""),"Europe")</f>
        <v>Europe</v>
      </c>
      <c r="D493" s="90">
        <f>IFERROR(__xludf.DUMMYFUNCTION("""COMPUTED_VALUE"""),41852.0)</f>
        <v>41852</v>
      </c>
      <c r="E493" s="46">
        <f>IFERROR(__xludf.DUMMYFUNCTION("""COMPUTED_VALUE"""),2014.0)</f>
        <v>2014</v>
      </c>
      <c r="F493" s="46">
        <f>IFERROR(__xludf.DUMMYFUNCTION("""COMPUTED_VALUE"""),1.0)</f>
        <v>1</v>
      </c>
      <c r="G493" s="46">
        <f>IFERROR(__xludf.DUMMYFUNCTION("""COMPUTED_VALUE"""),3383.0)</f>
        <v>3383</v>
      </c>
      <c r="H493" s="46">
        <f>IFERROR(__xludf.DUMMYFUNCTION("""COMPUTED_VALUE"""),276492.59)</f>
        <v>276492.59</v>
      </c>
      <c r="I493" s="46">
        <f>IFERROR(__xludf.DUMMYFUNCTION("""COMPUTED_VALUE"""),191714.61000000002)</f>
        <v>191714.61</v>
      </c>
      <c r="J493" s="46">
        <f>IFERROR(__xludf.DUMMYFUNCTION("""COMPUTED_VALUE"""),84777.98000000001)</f>
        <v>84777.98</v>
      </c>
      <c r="K493" s="46" t="str">
        <f t="array" ref="K493">TEXT(D493, "mmmm")</f>
        <v>August</v>
      </c>
      <c r="M493" s="46" t="str">
        <f>IFERROR(__xludf.DUMMYFUNCTION("""COMPUTED_VALUE"""),"Macedonia")</f>
        <v>Macedonia</v>
      </c>
      <c r="N493" s="94">
        <f>IFERROR(__xludf.DUMMYFUNCTION("""COMPUTED_VALUE"""),41334.0)</f>
        <v>41334</v>
      </c>
      <c r="O493" s="46">
        <f>IFERROR(__xludf.DUMMYFUNCTION("""COMPUTED_VALUE"""),1.0)</f>
        <v>1</v>
      </c>
      <c r="P493" s="46">
        <f>IFERROR(__xludf.DUMMYFUNCTION("""COMPUTED_VALUE"""),3183.0)</f>
        <v>3183</v>
      </c>
      <c r="Q493" s="46">
        <f>IFERROR(__xludf.DUMMYFUNCTION("""COMPUTED_VALUE"""),347838.24)</f>
        <v>347838.24</v>
      </c>
      <c r="R493" s="46">
        <f>IFERROR(__xludf.DUMMYFUNCTION("""COMPUTED_VALUE"""),114078.72000000002)</f>
        <v>114078.72</v>
      </c>
      <c r="S493" s="46">
        <f>IFERROR(__xludf.DUMMYFUNCTION("""COMPUTED_VALUE"""),233759.51999999996)</f>
        <v>233759.52</v>
      </c>
    </row>
    <row r="494">
      <c r="A494" s="46" t="str">
        <f>IFERROR(__xludf.DUMMYFUNCTION("""COMPUTED_VALUE"""),"Snacks")</f>
        <v>Snacks</v>
      </c>
      <c r="B494" s="46" t="str">
        <f>IFERROR(__xludf.DUMMYFUNCTION("""COMPUTED_VALUE"""),"Romania")</f>
        <v>Romania</v>
      </c>
      <c r="C494" s="46" t="str">
        <f>IFERROR(__xludf.DUMMYFUNCTION("""COMPUTED_VALUE"""),"Europe")</f>
        <v>Europe</v>
      </c>
      <c r="D494" s="90">
        <f>IFERROR(__xludf.DUMMYFUNCTION("""COMPUTED_VALUE"""),41852.0)</f>
        <v>41852</v>
      </c>
      <c r="E494" s="46">
        <f>IFERROR(__xludf.DUMMYFUNCTION("""COMPUTED_VALUE"""),2014.0)</f>
        <v>2014</v>
      </c>
      <c r="F494" s="46">
        <f>IFERROR(__xludf.DUMMYFUNCTION("""COMPUTED_VALUE"""),1.0)</f>
        <v>1</v>
      </c>
      <c r="G494" s="46">
        <f>IFERROR(__xludf.DUMMYFUNCTION("""COMPUTED_VALUE"""),9587.0)</f>
        <v>9587</v>
      </c>
      <c r="H494" s="46">
        <f>IFERROR(__xludf.DUMMYFUNCTION("""COMPUTED_VALUE"""),1462784.4600000002)</f>
        <v>1462784.46</v>
      </c>
      <c r="I494" s="46">
        <f>IFERROR(__xludf.DUMMYFUNCTION("""COMPUTED_VALUE"""),934157.28)</f>
        <v>934157.28</v>
      </c>
      <c r="J494" s="46">
        <f>IFERROR(__xludf.DUMMYFUNCTION("""COMPUTED_VALUE"""),528627.1800000002)</f>
        <v>528627.18</v>
      </c>
      <c r="K494" s="46" t="str">
        <f t="array" ref="K494">TEXT(D494, "mmmm")</f>
        <v>August</v>
      </c>
      <c r="M494" s="46" t="str">
        <f>IFERROR(__xludf.DUMMYFUNCTION("""COMPUTED_VALUE"""),"Monaco")</f>
        <v>Monaco</v>
      </c>
      <c r="N494" s="94">
        <f>IFERROR(__xludf.DUMMYFUNCTION("""COMPUTED_VALUE"""),41334.0)</f>
        <v>41334</v>
      </c>
      <c r="O494" s="46">
        <f>IFERROR(__xludf.DUMMYFUNCTION("""COMPUTED_VALUE"""),1.0)</f>
        <v>1</v>
      </c>
      <c r="P494" s="46">
        <f>IFERROR(__xludf.DUMMYFUNCTION("""COMPUTED_VALUE"""),757.0)</f>
        <v>757</v>
      </c>
      <c r="Q494" s="46">
        <f>IFERROR(__xludf.DUMMYFUNCTION("""COMPUTED_VALUE"""),35919.65)</f>
        <v>35919.65</v>
      </c>
      <c r="R494" s="46">
        <f>IFERROR(__xludf.DUMMYFUNCTION("""COMPUTED_VALUE"""),24065.03)</f>
        <v>24065.03</v>
      </c>
      <c r="S494" s="46">
        <f>IFERROR(__xludf.DUMMYFUNCTION("""COMPUTED_VALUE"""),11854.620000000003)</f>
        <v>11854.62</v>
      </c>
    </row>
    <row r="495">
      <c r="A495" s="46" t="str">
        <f>IFERROR(__xludf.DUMMYFUNCTION("""COMPUTED_VALUE"""),"Snacks")</f>
        <v>Snacks</v>
      </c>
      <c r="B495" s="46" t="str">
        <f>IFERROR(__xludf.DUMMYFUNCTION("""COMPUTED_VALUE"""),"Serbia")</f>
        <v>Serbia</v>
      </c>
      <c r="C495" s="46" t="str">
        <f>IFERROR(__xludf.DUMMYFUNCTION("""COMPUTED_VALUE"""),"Europe")</f>
        <v>Europe</v>
      </c>
      <c r="D495" s="90">
        <f>IFERROR(__xludf.DUMMYFUNCTION("""COMPUTED_VALUE"""),41852.0)</f>
        <v>41852</v>
      </c>
      <c r="E495" s="46">
        <f>IFERROR(__xludf.DUMMYFUNCTION("""COMPUTED_VALUE"""),2014.0)</f>
        <v>2014</v>
      </c>
      <c r="F495" s="46">
        <f>IFERROR(__xludf.DUMMYFUNCTION("""COMPUTED_VALUE"""),1.0)</f>
        <v>1</v>
      </c>
      <c r="G495" s="46">
        <f>IFERROR(__xludf.DUMMYFUNCTION("""COMPUTED_VALUE"""),4869.0)</f>
        <v>4869</v>
      </c>
      <c r="H495" s="46">
        <f>IFERROR(__xludf.DUMMYFUNCTION("""COMPUTED_VALUE"""),742912.02)</f>
        <v>742912.02</v>
      </c>
      <c r="I495" s="46">
        <f>IFERROR(__xludf.DUMMYFUNCTION("""COMPUTED_VALUE"""),474435.36)</f>
        <v>474435.36</v>
      </c>
      <c r="J495" s="46">
        <f>IFERROR(__xludf.DUMMYFUNCTION("""COMPUTED_VALUE"""),268476.66000000003)</f>
        <v>268476.66</v>
      </c>
      <c r="K495" s="46" t="str">
        <f t="array" ref="K495">TEXT(D495, "mmmm")</f>
        <v>August</v>
      </c>
      <c r="M495" s="46" t="str">
        <f>IFERROR(__xludf.DUMMYFUNCTION("""COMPUTED_VALUE"""),"Montenegro")</f>
        <v>Montenegro</v>
      </c>
      <c r="N495" s="94">
        <f>IFERROR(__xludf.DUMMYFUNCTION("""COMPUTED_VALUE"""),41334.0)</f>
        <v>41334</v>
      </c>
      <c r="O495" s="46">
        <f>IFERROR(__xludf.DUMMYFUNCTION("""COMPUTED_VALUE"""),2.0)</f>
        <v>2</v>
      </c>
      <c r="P495" s="46">
        <f>IFERROR(__xludf.DUMMYFUNCTION("""COMPUTED_VALUE"""),9981.0)</f>
        <v>9981</v>
      </c>
      <c r="Q495" s="46">
        <f>IFERROR(__xludf.DUMMYFUNCTION("""COMPUTED_VALUE"""),2103796.3200000003)</f>
        <v>2103796.32</v>
      </c>
      <c r="R495" s="46">
        <f>IFERROR(__xludf.DUMMYFUNCTION("""COMPUTED_VALUE"""),1290636.9)</f>
        <v>1290636.9</v>
      </c>
      <c r="S495" s="46">
        <f>IFERROR(__xludf.DUMMYFUNCTION("""COMPUTED_VALUE"""),813159.4200000002)</f>
        <v>813159.42</v>
      </c>
    </row>
    <row r="496">
      <c r="A496" s="46" t="str">
        <f>IFERROR(__xludf.DUMMYFUNCTION("""COMPUTED_VALUE"""),"Vegetables")</f>
        <v>Vegetables</v>
      </c>
      <c r="B496" s="46" t="str">
        <f>IFERROR(__xludf.DUMMYFUNCTION("""COMPUTED_VALUE"""),"Albania")</f>
        <v>Albania</v>
      </c>
      <c r="C496" s="46" t="str">
        <f>IFERROR(__xludf.DUMMYFUNCTION("""COMPUTED_VALUE"""),"Europe")</f>
        <v>Europe</v>
      </c>
      <c r="D496" s="90">
        <f>IFERROR(__xludf.DUMMYFUNCTION("""COMPUTED_VALUE"""),41852.0)</f>
        <v>41852</v>
      </c>
      <c r="E496" s="46">
        <f>IFERROR(__xludf.DUMMYFUNCTION("""COMPUTED_VALUE"""),2014.0)</f>
        <v>2014</v>
      </c>
      <c r="F496" s="46">
        <f>IFERROR(__xludf.DUMMYFUNCTION("""COMPUTED_VALUE"""),1.0)</f>
        <v>1</v>
      </c>
      <c r="G496" s="46">
        <f>IFERROR(__xludf.DUMMYFUNCTION("""COMPUTED_VALUE"""),286.0)</f>
        <v>286</v>
      </c>
      <c r="H496" s="46">
        <f>IFERROR(__xludf.DUMMYFUNCTION("""COMPUTED_VALUE"""),44061.16)</f>
        <v>44061.16</v>
      </c>
      <c r="I496" s="46">
        <f>IFERROR(__xludf.DUMMYFUNCTION("""COMPUTED_VALUE"""),26005.980000000003)</f>
        <v>26005.98</v>
      </c>
      <c r="J496" s="46">
        <f>IFERROR(__xludf.DUMMYFUNCTION("""COMPUTED_VALUE"""),18055.18)</f>
        <v>18055.18</v>
      </c>
      <c r="K496" s="46" t="str">
        <f t="array" ref="K496">TEXT(D496, "mmmm")</f>
        <v>August</v>
      </c>
      <c r="M496" s="46" t="str">
        <f>IFERROR(__xludf.DUMMYFUNCTION("""COMPUTED_VALUE"""),"Netherlands")</f>
        <v>Netherlands</v>
      </c>
      <c r="N496" s="94">
        <f>IFERROR(__xludf.DUMMYFUNCTION("""COMPUTED_VALUE"""),41334.0)</f>
        <v>41334</v>
      </c>
      <c r="O496" s="46">
        <f>IFERROR(__xludf.DUMMYFUNCTION("""COMPUTED_VALUE"""),1.0)</f>
        <v>1</v>
      </c>
      <c r="P496" s="46">
        <f>IFERROR(__xludf.DUMMYFUNCTION("""COMPUTED_VALUE"""),7270.0)</f>
        <v>7270</v>
      </c>
      <c r="Q496" s="46">
        <f>IFERROR(__xludf.DUMMYFUNCTION("""COMPUTED_VALUE"""),1855885.6)</f>
        <v>1855885.6</v>
      </c>
      <c r="R496" s="46">
        <f>IFERROR(__xludf.DUMMYFUNCTION("""COMPUTED_VALUE"""),1158983.4)</f>
        <v>1158983.4</v>
      </c>
      <c r="S496" s="46">
        <f>IFERROR(__xludf.DUMMYFUNCTION("""COMPUTED_VALUE"""),696902.2000000002)</f>
        <v>696902.2</v>
      </c>
    </row>
    <row r="497">
      <c r="A497" s="46" t="str">
        <f>IFERROR(__xludf.DUMMYFUNCTION("""COMPUTED_VALUE"""),"Vegetables")</f>
        <v>Vegetables</v>
      </c>
      <c r="B497" s="46" t="str">
        <f>IFERROR(__xludf.DUMMYFUNCTION("""COMPUTED_VALUE"""),"Serbia")</f>
        <v>Serbia</v>
      </c>
      <c r="C497" s="46" t="str">
        <f>IFERROR(__xludf.DUMMYFUNCTION("""COMPUTED_VALUE"""),"Europe")</f>
        <v>Europe</v>
      </c>
      <c r="D497" s="90">
        <f>IFERROR(__xludf.DUMMYFUNCTION("""COMPUTED_VALUE"""),41852.0)</f>
        <v>41852</v>
      </c>
      <c r="E497" s="46">
        <f>IFERROR(__xludf.DUMMYFUNCTION("""COMPUTED_VALUE"""),2014.0)</f>
        <v>2014</v>
      </c>
      <c r="F497" s="46">
        <f>IFERROR(__xludf.DUMMYFUNCTION("""COMPUTED_VALUE"""),1.0)</f>
        <v>1</v>
      </c>
      <c r="G497" s="46">
        <f>IFERROR(__xludf.DUMMYFUNCTION("""COMPUTED_VALUE"""),8476.0)</f>
        <v>8476</v>
      </c>
      <c r="H497" s="46">
        <f>IFERROR(__xludf.DUMMYFUNCTION("""COMPUTED_VALUE"""),1305812.56)</f>
        <v>1305812.56</v>
      </c>
      <c r="I497" s="46">
        <f>IFERROR(__xludf.DUMMYFUNCTION("""COMPUTED_VALUE"""),770722.68)</f>
        <v>770722.68</v>
      </c>
      <c r="J497" s="46">
        <f>IFERROR(__xludf.DUMMYFUNCTION("""COMPUTED_VALUE"""),535089.88)</f>
        <v>535089.88</v>
      </c>
      <c r="K497" s="46" t="str">
        <f t="array" ref="K497">TEXT(D497, "mmmm")</f>
        <v>August</v>
      </c>
      <c r="M497" s="46" t="str">
        <f>IFERROR(__xludf.DUMMYFUNCTION("""COMPUTED_VALUE"""),"Russia")</f>
        <v>Russia</v>
      </c>
      <c r="N497" s="94">
        <f>IFERROR(__xludf.DUMMYFUNCTION("""COMPUTED_VALUE"""),41334.0)</f>
        <v>41334</v>
      </c>
      <c r="O497" s="46">
        <f>IFERROR(__xludf.DUMMYFUNCTION("""COMPUTED_VALUE"""),2.0)</f>
        <v>2</v>
      </c>
      <c r="P497" s="46">
        <f>IFERROR(__xludf.DUMMYFUNCTION("""COMPUTED_VALUE"""),18893.0)</f>
        <v>18893</v>
      </c>
      <c r="Q497" s="46">
        <f>IFERROR(__xludf.DUMMYFUNCTION("""COMPUTED_VALUE"""),6444871.7700000005)</f>
        <v>6444871.77</v>
      </c>
      <c r="R497" s="46">
        <f>IFERROR(__xludf.DUMMYFUNCTION("""COMPUTED_VALUE"""),5189918.2)</f>
        <v>5189918.2</v>
      </c>
      <c r="S497" s="46">
        <f>IFERROR(__xludf.DUMMYFUNCTION("""COMPUTED_VALUE"""),1254953.57)</f>
        <v>1254953.57</v>
      </c>
    </row>
    <row r="498">
      <c r="A498" s="46" t="str">
        <f>IFERROR(__xludf.DUMMYFUNCTION("""COMPUTED_VALUE"""),"Beverages")</f>
        <v>Beverages</v>
      </c>
      <c r="B498" s="46" t="str">
        <f>IFERROR(__xludf.DUMMYFUNCTION("""COMPUTED_VALUE"""),"Ireland")</f>
        <v>Ireland</v>
      </c>
      <c r="C498" s="46" t="str">
        <f>IFERROR(__xludf.DUMMYFUNCTION("""COMPUTED_VALUE"""),"Europe")</f>
        <v>Europe</v>
      </c>
      <c r="D498" s="90">
        <f>IFERROR(__xludf.DUMMYFUNCTION("""COMPUTED_VALUE"""),41821.0)</f>
        <v>41821</v>
      </c>
      <c r="E498" s="46">
        <f>IFERROR(__xludf.DUMMYFUNCTION("""COMPUTED_VALUE"""),2014.0)</f>
        <v>2014</v>
      </c>
      <c r="F498" s="46">
        <f>IFERROR(__xludf.DUMMYFUNCTION("""COMPUTED_VALUE"""),1.0)</f>
        <v>1</v>
      </c>
      <c r="G498" s="46">
        <f>IFERROR(__xludf.DUMMYFUNCTION("""COMPUTED_VALUE"""),5875.0)</f>
        <v>5875</v>
      </c>
      <c r="H498" s="46">
        <f>IFERROR(__xludf.DUMMYFUNCTION("""COMPUTED_VALUE"""),278768.75)</f>
        <v>278768.75</v>
      </c>
      <c r="I498" s="46">
        <f>IFERROR(__xludf.DUMMYFUNCTION("""COMPUTED_VALUE"""),186766.25)</f>
        <v>186766.25</v>
      </c>
      <c r="J498" s="46">
        <f>IFERROR(__xludf.DUMMYFUNCTION("""COMPUTED_VALUE"""),92002.5)</f>
        <v>92002.5</v>
      </c>
      <c r="K498" s="46" t="str">
        <f t="array" ref="K498">TEXT(D498, "mmmm")</f>
        <v>July</v>
      </c>
      <c r="M498" s="46" t="str">
        <f>IFERROR(__xludf.DUMMYFUNCTION("""COMPUTED_VALUE"""),"Slovenia")</f>
        <v>Slovenia</v>
      </c>
      <c r="N498" s="94">
        <f>IFERROR(__xludf.DUMMYFUNCTION("""COMPUTED_VALUE"""),41334.0)</f>
        <v>41334</v>
      </c>
      <c r="O498" s="46">
        <f>IFERROR(__xludf.DUMMYFUNCTION("""COMPUTED_VALUE"""),1.0)</f>
        <v>1</v>
      </c>
      <c r="P498" s="46">
        <f>IFERROR(__xludf.DUMMYFUNCTION("""COMPUTED_VALUE"""),1525.0)</f>
        <v>1525</v>
      </c>
      <c r="Q498" s="46">
        <f>IFERROR(__xludf.DUMMYFUNCTION("""COMPUTED_VALUE"""),389302.0)</f>
        <v>389302</v>
      </c>
      <c r="R498" s="46">
        <f>IFERROR(__xludf.DUMMYFUNCTION("""COMPUTED_VALUE"""),243115.49999999997)</f>
        <v>243115.5</v>
      </c>
      <c r="S498" s="46">
        <f>IFERROR(__xludf.DUMMYFUNCTION("""COMPUTED_VALUE"""),146186.50000000003)</f>
        <v>146186.5</v>
      </c>
    </row>
    <row r="499">
      <c r="A499" s="46" t="str">
        <f>IFERROR(__xludf.DUMMYFUNCTION("""COMPUTED_VALUE"""),"Clothes")</f>
        <v>Clothes</v>
      </c>
      <c r="B499" s="46" t="str">
        <f>IFERROR(__xludf.DUMMYFUNCTION("""COMPUTED_VALUE"""),"Denmark")</f>
        <v>Denmark</v>
      </c>
      <c r="C499" s="46" t="str">
        <f>IFERROR(__xludf.DUMMYFUNCTION("""COMPUTED_VALUE"""),"Europe")</f>
        <v>Europe</v>
      </c>
      <c r="D499" s="90">
        <f>IFERROR(__xludf.DUMMYFUNCTION("""COMPUTED_VALUE"""),41821.0)</f>
        <v>41821</v>
      </c>
      <c r="E499" s="46">
        <f>IFERROR(__xludf.DUMMYFUNCTION("""COMPUTED_VALUE"""),2014.0)</f>
        <v>2014</v>
      </c>
      <c r="F499" s="46">
        <f>IFERROR(__xludf.DUMMYFUNCTION("""COMPUTED_VALUE"""),1.0)</f>
        <v>1</v>
      </c>
      <c r="G499" s="46">
        <f>IFERROR(__xludf.DUMMYFUNCTION("""COMPUTED_VALUE"""),1645.0)</f>
        <v>1645</v>
      </c>
      <c r="H499" s="46">
        <f>IFERROR(__xludf.DUMMYFUNCTION("""COMPUTED_VALUE"""),179765.6)</f>
        <v>179765.6</v>
      </c>
      <c r="I499" s="46">
        <f>IFERROR(__xludf.DUMMYFUNCTION("""COMPUTED_VALUE"""),58956.8)</f>
        <v>58956.8</v>
      </c>
      <c r="J499" s="46">
        <f>IFERROR(__xludf.DUMMYFUNCTION("""COMPUTED_VALUE"""),120808.8)</f>
        <v>120808.8</v>
      </c>
      <c r="K499" s="46" t="str">
        <f t="array" ref="K499">TEXT(D499, "mmmm")</f>
        <v>July</v>
      </c>
      <c r="M499" s="46" t="str">
        <f>IFERROR(__xludf.DUMMYFUNCTION("""COMPUTED_VALUE"""),"Undefined")</f>
        <v>Undefined</v>
      </c>
      <c r="N499" s="94">
        <f>IFERROR(__xludf.DUMMYFUNCTION("""COMPUTED_VALUE"""),41334.0)</f>
        <v>41334</v>
      </c>
      <c r="O499" s="46">
        <f>IFERROR(__xludf.DUMMYFUNCTION("""COMPUTED_VALUE"""),1.0)</f>
        <v>1</v>
      </c>
      <c r="P499" s="46">
        <f>IFERROR(__xludf.DUMMYFUNCTION("""COMPUTED_VALUE"""),8092.0)</f>
        <v>8092</v>
      </c>
      <c r="Q499" s="46">
        <f>IFERROR(__xludf.DUMMYFUNCTION("""COMPUTED_VALUE"""),661359.16)</f>
        <v>661359.16</v>
      </c>
      <c r="R499" s="46">
        <f>IFERROR(__xludf.DUMMYFUNCTION("""COMPUTED_VALUE"""),458573.64)</f>
        <v>458573.64</v>
      </c>
      <c r="S499" s="46">
        <f>IFERROR(__xludf.DUMMYFUNCTION("""COMPUTED_VALUE"""),202785.52000000002)</f>
        <v>202785.52</v>
      </c>
    </row>
    <row r="500">
      <c r="A500" s="46" t="str">
        <f>IFERROR(__xludf.DUMMYFUNCTION("""COMPUTED_VALUE"""),"Cosmetics")</f>
        <v>Cosmetics</v>
      </c>
      <c r="B500" s="46" t="str">
        <f>IFERROR(__xludf.DUMMYFUNCTION("""COMPUTED_VALUE"""),"Denmark")</f>
        <v>Denmark</v>
      </c>
      <c r="C500" s="46" t="str">
        <f>IFERROR(__xludf.DUMMYFUNCTION("""COMPUTED_VALUE"""),"Europe")</f>
        <v>Europe</v>
      </c>
      <c r="D500" s="90">
        <f>IFERROR(__xludf.DUMMYFUNCTION("""COMPUTED_VALUE"""),41821.0)</f>
        <v>41821</v>
      </c>
      <c r="E500" s="46">
        <f>IFERROR(__xludf.DUMMYFUNCTION("""COMPUTED_VALUE"""),2014.0)</f>
        <v>2014</v>
      </c>
      <c r="F500" s="46">
        <f>IFERROR(__xludf.DUMMYFUNCTION("""COMPUTED_VALUE"""),1.0)</f>
        <v>1</v>
      </c>
      <c r="G500" s="46">
        <f>IFERROR(__xludf.DUMMYFUNCTION("""COMPUTED_VALUE"""),4177.0)</f>
        <v>4177</v>
      </c>
      <c r="H500" s="46">
        <f>IFERROR(__xludf.DUMMYFUNCTION("""COMPUTED_VALUE"""),1826184.4)</f>
        <v>1826184.4</v>
      </c>
      <c r="I500" s="46">
        <f>IFERROR(__xludf.DUMMYFUNCTION("""COMPUTED_VALUE"""),1099929.41)</f>
        <v>1099929.41</v>
      </c>
      <c r="J500" s="46">
        <f>IFERROR(__xludf.DUMMYFUNCTION("""COMPUTED_VALUE"""),726254.99)</f>
        <v>726254.99</v>
      </c>
      <c r="K500" s="46" t="str">
        <f t="array" ref="K500">TEXT(D500, "mmmm")</f>
        <v>July</v>
      </c>
      <c r="M500" s="46" t="str">
        <f>IFERROR(__xludf.DUMMYFUNCTION("""COMPUTED_VALUE"""),"United Kingdom")</f>
        <v>United Kingdom</v>
      </c>
      <c r="N500" s="94">
        <f>IFERROR(__xludf.DUMMYFUNCTION("""COMPUTED_VALUE"""),41334.0)</f>
        <v>41334</v>
      </c>
      <c r="O500" s="46">
        <f>IFERROR(__xludf.DUMMYFUNCTION("""COMPUTED_VALUE"""),1.0)</f>
        <v>1</v>
      </c>
      <c r="P500" s="46">
        <f>IFERROR(__xludf.DUMMYFUNCTION("""COMPUTED_VALUE"""),7290.0)</f>
        <v>7290</v>
      </c>
      <c r="Q500" s="46">
        <f>IFERROR(__xludf.DUMMYFUNCTION("""COMPUTED_VALUE"""),68015.7)</f>
        <v>68015.7</v>
      </c>
      <c r="R500" s="46">
        <f>IFERROR(__xludf.DUMMYFUNCTION("""COMPUTED_VALUE"""),50446.8)</f>
        <v>50446.8</v>
      </c>
      <c r="S500" s="46">
        <f>IFERROR(__xludf.DUMMYFUNCTION("""COMPUTED_VALUE"""),17568.899999999994)</f>
        <v>17568.9</v>
      </c>
    </row>
    <row r="501">
      <c r="A501" s="46" t="str">
        <f>IFERROR(__xludf.DUMMYFUNCTION("""COMPUTED_VALUE"""),"Cosmetics")</f>
        <v>Cosmetics</v>
      </c>
      <c r="B501" s="46" t="str">
        <f>IFERROR(__xludf.DUMMYFUNCTION("""COMPUTED_VALUE"""),"Ukraine")</f>
        <v>Ukraine</v>
      </c>
      <c r="C501" s="46" t="str">
        <f>IFERROR(__xludf.DUMMYFUNCTION("""COMPUTED_VALUE"""),"Europe")</f>
        <v>Europe</v>
      </c>
      <c r="D501" s="90">
        <f>IFERROR(__xludf.DUMMYFUNCTION("""COMPUTED_VALUE"""),41821.0)</f>
        <v>41821</v>
      </c>
      <c r="E501" s="46">
        <f>IFERROR(__xludf.DUMMYFUNCTION("""COMPUTED_VALUE"""),2014.0)</f>
        <v>2014</v>
      </c>
      <c r="F501" s="46">
        <f>IFERROR(__xludf.DUMMYFUNCTION("""COMPUTED_VALUE"""),1.0)</f>
        <v>1</v>
      </c>
      <c r="G501" s="46">
        <f>IFERROR(__xludf.DUMMYFUNCTION("""COMPUTED_VALUE"""),4613.0)</f>
        <v>4613</v>
      </c>
      <c r="H501" s="46">
        <f>IFERROR(__xludf.DUMMYFUNCTION("""COMPUTED_VALUE"""),2016803.5999999999)</f>
        <v>2016803.6</v>
      </c>
      <c r="I501" s="46">
        <f>IFERROR(__xludf.DUMMYFUNCTION("""COMPUTED_VALUE"""),1214741.29)</f>
        <v>1214741.29</v>
      </c>
      <c r="J501" s="46">
        <f>IFERROR(__xludf.DUMMYFUNCTION("""COMPUTED_VALUE"""),802062.3099999998)</f>
        <v>802062.31</v>
      </c>
      <c r="K501" s="46" t="str">
        <f t="array" ref="K501">TEXT(D501, "mmmm")</f>
        <v>July</v>
      </c>
      <c r="M501" s="46" t="str">
        <f>IFERROR(__xludf.DUMMYFUNCTION("""COMPUTED_VALUE"""),"Albania")</f>
        <v>Albania</v>
      </c>
      <c r="N501" s="94">
        <f>IFERROR(__xludf.DUMMYFUNCTION("""COMPUTED_VALUE"""),41365.0)</f>
        <v>41365</v>
      </c>
      <c r="O501" s="46">
        <f>IFERROR(__xludf.DUMMYFUNCTION("""COMPUTED_VALUE"""),1.0)</f>
        <v>1</v>
      </c>
      <c r="P501" s="46">
        <f>IFERROR(__xludf.DUMMYFUNCTION("""COMPUTED_VALUE"""),2264.0)</f>
        <v>2264</v>
      </c>
      <c r="Q501" s="46">
        <f>IFERROR(__xludf.DUMMYFUNCTION("""COMPUTED_VALUE"""),107426.8)</f>
        <v>107426.8</v>
      </c>
      <c r="R501" s="46">
        <f>IFERROR(__xludf.DUMMYFUNCTION("""COMPUTED_VALUE"""),71972.56)</f>
        <v>71972.56</v>
      </c>
      <c r="S501" s="46">
        <f>IFERROR(__xludf.DUMMYFUNCTION("""COMPUTED_VALUE"""),35454.240000000005)</f>
        <v>35454.24</v>
      </c>
    </row>
    <row r="502">
      <c r="A502" s="46" t="str">
        <f>IFERROR(__xludf.DUMMYFUNCTION("""COMPUTED_VALUE"""),"Household")</f>
        <v>Household</v>
      </c>
      <c r="B502" s="46" t="str">
        <f>IFERROR(__xludf.DUMMYFUNCTION("""COMPUTED_VALUE"""),"Macedonia")</f>
        <v>Macedonia</v>
      </c>
      <c r="C502" s="46" t="str">
        <f>IFERROR(__xludf.DUMMYFUNCTION("""COMPUTED_VALUE"""),"Europe")</f>
        <v>Europe</v>
      </c>
      <c r="D502" s="90">
        <f>IFERROR(__xludf.DUMMYFUNCTION("""COMPUTED_VALUE"""),41821.0)</f>
        <v>41821</v>
      </c>
      <c r="E502" s="46">
        <f>IFERROR(__xludf.DUMMYFUNCTION("""COMPUTED_VALUE"""),2014.0)</f>
        <v>2014</v>
      </c>
      <c r="F502" s="46">
        <f>IFERROR(__xludf.DUMMYFUNCTION("""COMPUTED_VALUE"""),1.0)</f>
        <v>1</v>
      </c>
      <c r="G502" s="46">
        <f>IFERROR(__xludf.DUMMYFUNCTION("""COMPUTED_VALUE"""),6199.0)</f>
        <v>6199</v>
      </c>
      <c r="H502" s="46">
        <f>IFERROR(__xludf.DUMMYFUNCTION("""COMPUTED_VALUE"""),4142605.73)</f>
        <v>4142605.73</v>
      </c>
      <c r="I502" s="46">
        <f>IFERROR(__xludf.DUMMYFUNCTION("""COMPUTED_VALUE"""),3115245.46)</f>
        <v>3115245.46</v>
      </c>
      <c r="J502" s="46">
        <f>IFERROR(__xludf.DUMMYFUNCTION("""COMPUTED_VALUE"""),1027360.27)</f>
        <v>1027360.27</v>
      </c>
      <c r="K502" s="46" t="str">
        <f t="array" ref="K502">TEXT(D502, "mmmm")</f>
        <v>July</v>
      </c>
      <c r="M502" s="46" t="str">
        <f>IFERROR(__xludf.DUMMYFUNCTION("""COMPUTED_VALUE"""),"Croatia")</f>
        <v>Croatia</v>
      </c>
      <c r="N502" s="94">
        <f>IFERROR(__xludf.DUMMYFUNCTION("""COMPUTED_VALUE"""),41365.0)</f>
        <v>41365</v>
      </c>
      <c r="O502" s="46">
        <f>IFERROR(__xludf.DUMMYFUNCTION("""COMPUTED_VALUE"""),1.0)</f>
        <v>1</v>
      </c>
      <c r="P502" s="46">
        <f>IFERROR(__xludf.DUMMYFUNCTION("""COMPUTED_VALUE"""),9680.0)</f>
        <v>9680</v>
      </c>
      <c r="Q502" s="46">
        <f>IFERROR(__xludf.DUMMYFUNCTION("""COMPUTED_VALUE"""),6468853.6)</f>
        <v>6468853.6</v>
      </c>
      <c r="R502" s="46">
        <f>IFERROR(__xludf.DUMMYFUNCTION("""COMPUTED_VALUE"""),4864587.2)</f>
        <v>4864587.2</v>
      </c>
      <c r="S502" s="46">
        <f>IFERROR(__xludf.DUMMYFUNCTION("""COMPUTED_VALUE"""),1604266.3999999994)</f>
        <v>1604266.4</v>
      </c>
    </row>
    <row r="503">
      <c r="A503" s="46" t="str">
        <f>IFERROR(__xludf.DUMMYFUNCTION("""COMPUTED_VALUE"""),"Household")</f>
        <v>Household</v>
      </c>
      <c r="B503" s="46" t="str">
        <f>IFERROR(__xludf.DUMMYFUNCTION("""COMPUTED_VALUE"""),"Undefined")</f>
        <v>Undefined</v>
      </c>
      <c r="C503" s="46" t="str">
        <f>IFERROR(__xludf.DUMMYFUNCTION("""COMPUTED_VALUE"""),"Undefined")</f>
        <v>Undefined</v>
      </c>
      <c r="D503" s="90">
        <f>IFERROR(__xludf.DUMMYFUNCTION("""COMPUTED_VALUE"""),41821.0)</f>
        <v>41821</v>
      </c>
      <c r="E503" s="46">
        <f>IFERROR(__xludf.DUMMYFUNCTION("""COMPUTED_VALUE"""),2014.0)</f>
        <v>2014</v>
      </c>
      <c r="F503" s="46">
        <f>IFERROR(__xludf.DUMMYFUNCTION("""COMPUTED_VALUE"""),1.0)</f>
        <v>1</v>
      </c>
      <c r="G503" s="46">
        <f>IFERROR(__xludf.DUMMYFUNCTION("""COMPUTED_VALUE"""),4693.0)</f>
        <v>4693</v>
      </c>
      <c r="H503" s="46">
        <f>IFERROR(__xludf.DUMMYFUNCTION("""COMPUTED_VALUE"""),3136191.11)</f>
        <v>3136191.11</v>
      </c>
      <c r="I503" s="46">
        <f>IFERROR(__xludf.DUMMYFUNCTION("""COMPUTED_VALUE"""),2358420.22)</f>
        <v>2358420.22</v>
      </c>
      <c r="J503" s="46">
        <f>IFERROR(__xludf.DUMMYFUNCTION("""COMPUTED_VALUE"""),777770.8899999997)</f>
        <v>777770.89</v>
      </c>
      <c r="K503" s="46" t="str">
        <f t="array" ref="K503">TEXT(D503, "mmmm")</f>
        <v>July</v>
      </c>
      <c r="M503" s="46" t="str">
        <f>IFERROR(__xludf.DUMMYFUNCTION("""COMPUTED_VALUE"""),"France")</f>
        <v>France</v>
      </c>
      <c r="N503" s="94">
        <f>IFERROR(__xludf.DUMMYFUNCTION("""COMPUTED_VALUE"""),41365.0)</f>
        <v>41365</v>
      </c>
      <c r="O503" s="46">
        <f>IFERROR(__xludf.DUMMYFUNCTION("""COMPUTED_VALUE"""),1.0)</f>
        <v>1</v>
      </c>
      <c r="P503" s="46">
        <f>IFERROR(__xludf.DUMMYFUNCTION("""COMPUTED_VALUE"""),6698.0)</f>
        <v>6698</v>
      </c>
      <c r="Q503" s="46">
        <f>IFERROR(__xludf.DUMMYFUNCTION("""COMPUTED_VALUE"""),62492.340000000004)</f>
        <v>62492.34</v>
      </c>
      <c r="R503" s="46">
        <f>IFERROR(__xludf.DUMMYFUNCTION("""COMPUTED_VALUE"""),46350.159999999996)</f>
        <v>46350.16</v>
      </c>
      <c r="S503" s="46">
        <f>IFERROR(__xludf.DUMMYFUNCTION("""COMPUTED_VALUE"""),16142.180000000008)</f>
        <v>16142.18</v>
      </c>
    </row>
    <row r="504">
      <c r="A504" s="46" t="str">
        <f>IFERROR(__xludf.DUMMYFUNCTION("""COMPUTED_VALUE"""),"Meat")</f>
        <v>Meat</v>
      </c>
      <c r="B504" s="46" t="str">
        <f>IFERROR(__xludf.DUMMYFUNCTION("""COMPUTED_VALUE"""),"Lithuania")</f>
        <v>Lithuania</v>
      </c>
      <c r="C504" s="46" t="str">
        <f>IFERROR(__xludf.DUMMYFUNCTION("""COMPUTED_VALUE"""),"Europe")</f>
        <v>Europe</v>
      </c>
      <c r="D504" s="90">
        <f>IFERROR(__xludf.DUMMYFUNCTION("""COMPUTED_VALUE"""),41821.0)</f>
        <v>41821</v>
      </c>
      <c r="E504" s="46">
        <f>IFERROR(__xludf.DUMMYFUNCTION("""COMPUTED_VALUE"""),2014.0)</f>
        <v>2014</v>
      </c>
      <c r="F504" s="46">
        <f>IFERROR(__xludf.DUMMYFUNCTION("""COMPUTED_VALUE"""),1.0)</f>
        <v>1</v>
      </c>
      <c r="G504" s="46">
        <f>IFERROR(__xludf.DUMMYFUNCTION("""COMPUTED_VALUE"""),6380.0)</f>
        <v>6380</v>
      </c>
      <c r="H504" s="46">
        <f>IFERROR(__xludf.DUMMYFUNCTION("""COMPUTED_VALUE"""),2691658.1999999997)</f>
        <v>2691658.2</v>
      </c>
      <c r="I504" s="46">
        <f>IFERROR(__xludf.DUMMYFUNCTION("""COMPUTED_VALUE"""),2326722.2)</f>
        <v>2326722.2</v>
      </c>
      <c r="J504" s="46">
        <f>IFERROR(__xludf.DUMMYFUNCTION("""COMPUTED_VALUE"""),364935.99999999953)</f>
        <v>364936</v>
      </c>
      <c r="K504" s="46" t="str">
        <f t="array" ref="K504">TEXT(D504, "mmmm")</f>
        <v>July</v>
      </c>
      <c r="M504" s="46" t="str">
        <f>IFERROR(__xludf.DUMMYFUNCTION("""COMPUTED_VALUE"""),"Greece")</f>
        <v>Greece</v>
      </c>
      <c r="N504" s="94">
        <f>IFERROR(__xludf.DUMMYFUNCTION("""COMPUTED_VALUE"""),41365.0)</f>
        <v>41365</v>
      </c>
      <c r="O504" s="46">
        <f>IFERROR(__xludf.DUMMYFUNCTION("""COMPUTED_VALUE"""),1.0)</f>
        <v>1</v>
      </c>
      <c r="P504" s="46">
        <f>IFERROR(__xludf.DUMMYFUNCTION("""COMPUTED_VALUE"""),2197.0)</f>
        <v>2197</v>
      </c>
      <c r="Q504" s="46">
        <f>IFERROR(__xludf.DUMMYFUNCTION("""COMPUTED_VALUE"""),1430708.37)</f>
        <v>1430708.37</v>
      </c>
      <c r="R504" s="46">
        <f>IFERROR(__xludf.DUMMYFUNCTION("""COMPUTED_VALUE"""),1153337.12)</f>
        <v>1153337.12</v>
      </c>
      <c r="S504" s="46">
        <f>IFERROR(__xludf.DUMMYFUNCTION("""COMPUTED_VALUE"""),277371.25)</f>
        <v>277371.25</v>
      </c>
    </row>
    <row r="505">
      <c r="A505" s="46" t="str">
        <f>IFERROR(__xludf.DUMMYFUNCTION("""COMPUTED_VALUE"""),"Office Supplies")</f>
        <v>Office Supplies</v>
      </c>
      <c r="B505" s="46" t="str">
        <f>IFERROR(__xludf.DUMMYFUNCTION("""COMPUTED_VALUE"""),"Montenegro")</f>
        <v>Montenegro</v>
      </c>
      <c r="C505" s="46" t="str">
        <f>IFERROR(__xludf.DUMMYFUNCTION("""COMPUTED_VALUE"""),"Europe")</f>
        <v>Europe</v>
      </c>
      <c r="D505" s="90">
        <f>IFERROR(__xludf.DUMMYFUNCTION("""COMPUTED_VALUE"""),41821.0)</f>
        <v>41821</v>
      </c>
      <c r="E505" s="46">
        <f>IFERROR(__xludf.DUMMYFUNCTION("""COMPUTED_VALUE"""),2014.0)</f>
        <v>2014</v>
      </c>
      <c r="F505" s="46">
        <f>IFERROR(__xludf.DUMMYFUNCTION("""COMPUTED_VALUE"""),1.0)</f>
        <v>1</v>
      </c>
      <c r="G505" s="46">
        <f>IFERROR(__xludf.DUMMYFUNCTION("""COMPUTED_VALUE"""),3061.0)</f>
        <v>3061</v>
      </c>
      <c r="H505" s="46">
        <f>IFERROR(__xludf.DUMMYFUNCTION("""COMPUTED_VALUE"""),1993353.81)</f>
        <v>1993353.81</v>
      </c>
      <c r="I505" s="46">
        <f>IFERROR(__xludf.DUMMYFUNCTION("""COMPUTED_VALUE"""),1606902.56)</f>
        <v>1606902.56</v>
      </c>
      <c r="J505" s="46">
        <f>IFERROR(__xludf.DUMMYFUNCTION("""COMPUTED_VALUE"""),386451.25)</f>
        <v>386451.25</v>
      </c>
      <c r="K505" s="46" t="str">
        <f t="array" ref="K505">TEXT(D505, "mmmm")</f>
        <v>July</v>
      </c>
      <c r="M505" s="46" t="str">
        <f>IFERROR(__xludf.DUMMYFUNCTION("""COMPUTED_VALUE"""),"Hungary")</f>
        <v>Hungary</v>
      </c>
      <c r="N505" s="94">
        <f>IFERROR(__xludf.DUMMYFUNCTION("""COMPUTED_VALUE"""),41365.0)</f>
        <v>41365</v>
      </c>
      <c r="O505" s="46">
        <f>IFERROR(__xludf.DUMMYFUNCTION("""COMPUTED_VALUE"""),1.0)</f>
        <v>1</v>
      </c>
      <c r="P505" s="46">
        <f>IFERROR(__xludf.DUMMYFUNCTION("""COMPUTED_VALUE"""),4284.0)</f>
        <v>4284</v>
      </c>
      <c r="Q505" s="46">
        <f>IFERROR(__xludf.DUMMYFUNCTION("""COMPUTED_VALUE"""),203275.80000000002)</f>
        <v>203275.8</v>
      </c>
      <c r="R505" s="46">
        <f>IFERROR(__xludf.DUMMYFUNCTION("""COMPUTED_VALUE"""),136188.36)</f>
        <v>136188.36</v>
      </c>
      <c r="S505" s="46">
        <f>IFERROR(__xludf.DUMMYFUNCTION("""COMPUTED_VALUE"""),67087.44000000003)</f>
        <v>67087.44</v>
      </c>
    </row>
    <row r="506">
      <c r="A506" s="46" t="str">
        <f>IFERROR(__xludf.DUMMYFUNCTION("""COMPUTED_VALUE"""),"Office Supplies")</f>
        <v>Office Supplies</v>
      </c>
      <c r="B506" s="46" t="str">
        <f>IFERROR(__xludf.DUMMYFUNCTION("""COMPUTED_VALUE"""),"Undefined")</f>
        <v>Undefined</v>
      </c>
      <c r="C506" s="46" t="str">
        <f>IFERROR(__xludf.DUMMYFUNCTION("""COMPUTED_VALUE"""),"Undefined")</f>
        <v>Undefined</v>
      </c>
      <c r="D506" s="90">
        <f>IFERROR(__xludf.DUMMYFUNCTION("""COMPUTED_VALUE"""),41821.0)</f>
        <v>41821</v>
      </c>
      <c r="E506" s="46">
        <f>IFERROR(__xludf.DUMMYFUNCTION("""COMPUTED_VALUE"""),2014.0)</f>
        <v>2014</v>
      </c>
      <c r="F506" s="46">
        <f>IFERROR(__xludf.DUMMYFUNCTION("""COMPUTED_VALUE"""),1.0)</f>
        <v>1</v>
      </c>
      <c r="G506" s="46">
        <f>IFERROR(__xludf.DUMMYFUNCTION("""COMPUTED_VALUE"""),2112.0)</f>
        <v>2112</v>
      </c>
      <c r="H506" s="46">
        <f>IFERROR(__xludf.DUMMYFUNCTION("""COMPUTED_VALUE"""),1375355.52)</f>
        <v>1375355.52</v>
      </c>
      <c r="I506" s="46">
        <f>IFERROR(__xludf.DUMMYFUNCTION("""COMPUTED_VALUE"""),1108715.52)</f>
        <v>1108715.52</v>
      </c>
      <c r="J506" s="46">
        <f>IFERROR(__xludf.DUMMYFUNCTION("""COMPUTED_VALUE"""),266640.0)</f>
        <v>266640</v>
      </c>
      <c r="K506" s="46" t="str">
        <f t="array" ref="K506">TEXT(D506, "mmmm")</f>
        <v>July</v>
      </c>
      <c r="M506" s="46" t="str">
        <f>IFERROR(__xludf.DUMMYFUNCTION("""COMPUTED_VALUE"""),"Norway")</f>
        <v>Norway</v>
      </c>
      <c r="N506" s="94">
        <f>IFERROR(__xludf.DUMMYFUNCTION("""COMPUTED_VALUE"""),41365.0)</f>
        <v>41365</v>
      </c>
      <c r="O506" s="46">
        <f>IFERROR(__xludf.DUMMYFUNCTION("""COMPUTED_VALUE"""),1.0)</f>
        <v>1</v>
      </c>
      <c r="P506" s="46">
        <f>IFERROR(__xludf.DUMMYFUNCTION("""COMPUTED_VALUE"""),2350.0)</f>
        <v>2350</v>
      </c>
      <c r="Q506" s="46">
        <f>IFERROR(__xludf.DUMMYFUNCTION("""COMPUTED_VALUE"""),1570434.5)</f>
        <v>1570434.5</v>
      </c>
      <c r="R506" s="46">
        <f>IFERROR(__xludf.DUMMYFUNCTION("""COMPUTED_VALUE"""),1180969.0)</f>
        <v>1180969</v>
      </c>
      <c r="S506" s="46">
        <f>IFERROR(__xludf.DUMMYFUNCTION("""COMPUTED_VALUE"""),389465.5)</f>
        <v>389465.5</v>
      </c>
    </row>
    <row r="507">
      <c r="A507" s="46" t="str">
        <f>IFERROR(__xludf.DUMMYFUNCTION("""COMPUTED_VALUE"""),"Personal Care")</f>
        <v>Personal Care</v>
      </c>
      <c r="B507" s="46" t="str">
        <f>IFERROR(__xludf.DUMMYFUNCTION("""COMPUTED_VALUE"""),"Austria")</f>
        <v>Austria</v>
      </c>
      <c r="C507" s="46" t="str">
        <f>IFERROR(__xludf.DUMMYFUNCTION("""COMPUTED_VALUE"""),"Europe")</f>
        <v>Europe</v>
      </c>
      <c r="D507" s="90">
        <f>IFERROR(__xludf.DUMMYFUNCTION("""COMPUTED_VALUE"""),41821.0)</f>
        <v>41821</v>
      </c>
      <c r="E507" s="46">
        <f>IFERROR(__xludf.DUMMYFUNCTION("""COMPUTED_VALUE"""),2014.0)</f>
        <v>2014</v>
      </c>
      <c r="F507" s="46">
        <f>IFERROR(__xludf.DUMMYFUNCTION("""COMPUTED_VALUE"""),1.0)</f>
        <v>1</v>
      </c>
      <c r="G507" s="46">
        <f>IFERROR(__xludf.DUMMYFUNCTION("""COMPUTED_VALUE"""),2009.0)</f>
        <v>2009</v>
      </c>
      <c r="H507" s="46">
        <f>IFERROR(__xludf.DUMMYFUNCTION("""COMPUTED_VALUE"""),164195.57)</f>
        <v>164195.57</v>
      </c>
      <c r="I507" s="46">
        <f>IFERROR(__xludf.DUMMYFUNCTION("""COMPUTED_VALUE"""),113850.03)</f>
        <v>113850.03</v>
      </c>
      <c r="J507" s="46">
        <f>IFERROR(__xludf.DUMMYFUNCTION("""COMPUTED_VALUE"""),50345.54000000001)</f>
        <v>50345.54</v>
      </c>
      <c r="K507" s="46" t="str">
        <f t="array" ref="K507">TEXT(D507, "mmmm")</f>
        <v>July</v>
      </c>
      <c r="M507" s="46" t="str">
        <f>IFERROR(__xludf.DUMMYFUNCTION("""COMPUTED_VALUE"""),"Poland")</f>
        <v>Poland</v>
      </c>
      <c r="N507" s="94">
        <f>IFERROR(__xludf.DUMMYFUNCTION("""COMPUTED_VALUE"""),41365.0)</f>
        <v>41365</v>
      </c>
      <c r="O507" s="46">
        <f>IFERROR(__xludf.DUMMYFUNCTION("""COMPUTED_VALUE"""),1.0)</f>
        <v>1</v>
      </c>
      <c r="P507" s="46">
        <f>IFERROR(__xludf.DUMMYFUNCTION("""COMPUTED_VALUE"""),6571.0)</f>
        <v>6571</v>
      </c>
      <c r="Q507" s="46">
        <f>IFERROR(__xludf.DUMMYFUNCTION("""COMPUTED_VALUE"""),2772239.19)</f>
        <v>2772239.19</v>
      </c>
      <c r="R507" s="46">
        <f>IFERROR(__xludf.DUMMYFUNCTION("""COMPUTED_VALUE"""),2396377.9899999998)</f>
        <v>2396377.99</v>
      </c>
      <c r="S507" s="46">
        <f>IFERROR(__xludf.DUMMYFUNCTION("""COMPUTED_VALUE"""),375861.2000000002)</f>
        <v>375861.2</v>
      </c>
    </row>
    <row r="508">
      <c r="A508" s="46" t="str">
        <f>IFERROR(__xludf.DUMMYFUNCTION("""COMPUTED_VALUE"""),"Personal Care")</f>
        <v>Personal Care</v>
      </c>
      <c r="B508" s="46" t="str">
        <f>IFERROR(__xludf.DUMMYFUNCTION("""COMPUTED_VALUE"""),"Bosnia and Herzegovina")</f>
        <v>Bosnia and Herzegovina</v>
      </c>
      <c r="C508" s="46" t="str">
        <f>IFERROR(__xludf.DUMMYFUNCTION("""COMPUTED_VALUE"""),"Europe")</f>
        <v>Europe</v>
      </c>
      <c r="D508" s="90">
        <f>IFERROR(__xludf.DUMMYFUNCTION("""COMPUTED_VALUE"""),41821.0)</f>
        <v>41821</v>
      </c>
      <c r="E508" s="46">
        <f>IFERROR(__xludf.DUMMYFUNCTION("""COMPUTED_VALUE"""),2014.0)</f>
        <v>2014</v>
      </c>
      <c r="F508" s="46">
        <f>IFERROR(__xludf.DUMMYFUNCTION("""COMPUTED_VALUE"""),1.0)</f>
        <v>1</v>
      </c>
      <c r="G508" s="46">
        <f>IFERROR(__xludf.DUMMYFUNCTION("""COMPUTED_VALUE"""),3383.0)</f>
        <v>3383</v>
      </c>
      <c r="H508" s="46">
        <f>IFERROR(__xludf.DUMMYFUNCTION("""COMPUTED_VALUE"""),276492.59)</f>
        <v>276492.59</v>
      </c>
      <c r="I508" s="46">
        <f>IFERROR(__xludf.DUMMYFUNCTION("""COMPUTED_VALUE"""),191714.61000000002)</f>
        <v>191714.61</v>
      </c>
      <c r="J508" s="46">
        <f>IFERROR(__xludf.DUMMYFUNCTION("""COMPUTED_VALUE"""),84777.98000000001)</f>
        <v>84777.98</v>
      </c>
      <c r="K508" s="46" t="str">
        <f t="array" ref="K508">TEXT(D508, "mmmm")</f>
        <v>July</v>
      </c>
      <c r="M508" s="46" t="str">
        <f>IFERROR(__xludf.DUMMYFUNCTION("""COMPUTED_VALUE"""),"Slovenia")</f>
        <v>Slovenia</v>
      </c>
      <c r="N508" s="94">
        <f>IFERROR(__xludf.DUMMYFUNCTION("""COMPUTED_VALUE"""),41365.0)</f>
        <v>41365</v>
      </c>
      <c r="O508" s="46">
        <f>IFERROR(__xludf.DUMMYFUNCTION("""COMPUTED_VALUE"""),1.0)</f>
        <v>1</v>
      </c>
      <c r="P508" s="46">
        <f>IFERROR(__xludf.DUMMYFUNCTION("""COMPUTED_VALUE"""),1997.0)</f>
        <v>1997</v>
      </c>
      <c r="Q508" s="46">
        <f>IFERROR(__xludf.DUMMYFUNCTION("""COMPUTED_VALUE"""),307657.82)</f>
        <v>307657.82</v>
      </c>
      <c r="R508" s="46">
        <f>IFERROR(__xludf.DUMMYFUNCTION("""COMPUTED_VALUE"""),181587.21000000002)</f>
        <v>181587.21</v>
      </c>
      <c r="S508" s="46">
        <f>IFERROR(__xludf.DUMMYFUNCTION("""COMPUTED_VALUE"""),126070.60999999999)</f>
        <v>126070.61</v>
      </c>
    </row>
    <row r="509">
      <c r="A509" s="46" t="str">
        <f>IFERROR(__xludf.DUMMYFUNCTION("""COMPUTED_VALUE"""),"Personal Care")</f>
        <v>Personal Care</v>
      </c>
      <c r="B509" s="46" t="str">
        <f>IFERROR(__xludf.DUMMYFUNCTION("""COMPUTED_VALUE"""),"Finland")</f>
        <v>Finland</v>
      </c>
      <c r="C509" s="46" t="str">
        <f>IFERROR(__xludf.DUMMYFUNCTION("""COMPUTED_VALUE"""),"Europe")</f>
        <v>Europe</v>
      </c>
      <c r="D509" s="90">
        <f>IFERROR(__xludf.DUMMYFUNCTION("""COMPUTED_VALUE"""),41821.0)</f>
        <v>41821</v>
      </c>
      <c r="E509" s="46">
        <f>IFERROR(__xludf.DUMMYFUNCTION("""COMPUTED_VALUE"""),2014.0)</f>
        <v>2014</v>
      </c>
      <c r="F509" s="46">
        <f>IFERROR(__xludf.DUMMYFUNCTION("""COMPUTED_VALUE"""),1.0)</f>
        <v>1</v>
      </c>
      <c r="G509" s="46">
        <f>IFERROR(__xludf.DUMMYFUNCTION("""COMPUTED_VALUE"""),4322.0)</f>
        <v>4322</v>
      </c>
      <c r="H509" s="46">
        <f>IFERROR(__xludf.DUMMYFUNCTION("""COMPUTED_VALUE"""),353237.06)</f>
        <v>353237.06</v>
      </c>
      <c r="I509" s="46">
        <f>IFERROR(__xludf.DUMMYFUNCTION("""COMPUTED_VALUE"""),244927.74000000002)</f>
        <v>244927.74</v>
      </c>
      <c r="J509" s="46">
        <f>IFERROR(__xludf.DUMMYFUNCTION("""COMPUTED_VALUE"""),108309.31999999998)</f>
        <v>108309.32</v>
      </c>
      <c r="K509" s="46" t="str">
        <f t="array" ref="K509">TEXT(D509, "mmmm")</f>
        <v>July</v>
      </c>
      <c r="M509" s="46" t="str">
        <f>IFERROR(__xludf.DUMMYFUNCTION("""COMPUTED_VALUE"""),"Spain")</f>
        <v>Spain</v>
      </c>
      <c r="N509" s="94">
        <f>IFERROR(__xludf.DUMMYFUNCTION("""COMPUTED_VALUE"""),41365.0)</f>
        <v>41365</v>
      </c>
      <c r="O509" s="46">
        <f>IFERROR(__xludf.DUMMYFUNCTION("""COMPUTED_VALUE"""),1.0)</f>
        <v>1</v>
      </c>
      <c r="P509" s="46">
        <f>IFERROR(__xludf.DUMMYFUNCTION("""COMPUTED_VALUE"""),983.0)</f>
        <v>983</v>
      </c>
      <c r="Q509" s="46">
        <f>IFERROR(__xludf.DUMMYFUNCTION("""COMPUTED_VALUE"""),414717.87)</f>
        <v>414717.87</v>
      </c>
      <c r="R509" s="46">
        <f>IFERROR(__xludf.DUMMYFUNCTION("""COMPUTED_VALUE"""),358490.27)</f>
        <v>358490.27</v>
      </c>
      <c r="S509" s="46">
        <f>IFERROR(__xludf.DUMMYFUNCTION("""COMPUTED_VALUE"""),56227.59999999998)</f>
        <v>56227.6</v>
      </c>
    </row>
    <row r="510">
      <c r="A510" s="46" t="str">
        <f>IFERROR(__xludf.DUMMYFUNCTION("""COMPUTED_VALUE"""),"Personal Care")</f>
        <v>Personal Care</v>
      </c>
      <c r="B510" s="46" t="str">
        <f>IFERROR(__xludf.DUMMYFUNCTION("""COMPUTED_VALUE"""),"Germany")</f>
        <v>Germany</v>
      </c>
      <c r="C510" s="46" t="str">
        <f>IFERROR(__xludf.DUMMYFUNCTION("""COMPUTED_VALUE"""),"Europe")</f>
        <v>Europe</v>
      </c>
      <c r="D510" s="90">
        <f>IFERROR(__xludf.DUMMYFUNCTION("""COMPUTED_VALUE"""),41821.0)</f>
        <v>41821</v>
      </c>
      <c r="E510" s="46">
        <f>IFERROR(__xludf.DUMMYFUNCTION("""COMPUTED_VALUE"""),2014.0)</f>
        <v>2014</v>
      </c>
      <c r="F510" s="46">
        <f>IFERROR(__xludf.DUMMYFUNCTION("""COMPUTED_VALUE"""),1.0)</f>
        <v>1</v>
      </c>
      <c r="G510" s="46">
        <f>IFERROR(__xludf.DUMMYFUNCTION("""COMPUTED_VALUE"""),1547.0)</f>
        <v>1547</v>
      </c>
      <c r="H510" s="46">
        <f>IFERROR(__xludf.DUMMYFUNCTION("""COMPUTED_VALUE"""),126436.31000000001)</f>
        <v>126436.31</v>
      </c>
      <c r="I510" s="46">
        <f>IFERROR(__xludf.DUMMYFUNCTION("""COMPUTED_VALUE"""),87668.49)</f>
        <v>87668.49</v>
      </c>
      <c r="J510" s="46">
        <f>IFERROR(__xludf.DUMMYFUNCTION("""COMPUTED_VALUE"""),38767.82000000001)</f>
        <v>38767.82</v>
      </c>
      <c r="K510" s="46" t="str">
        <f t="array" ref="K510">TEXT(D510, "mmmm")</f>
        <v>July</v>
      </c>
      <c r="M510" s="46" t="str">
        <f>IFERROR(__xludf.DUMMYFUNCTION("""COMPUTED_VALUE"""),"Sweden")</f>
        <v>Sweden</v>
      </c>
      <c r="N510" s="94">
        <f>IFERROR(__xludf.DUMMYFUNCTION("""COMPUTED_VALUE"""),41365.0)</f>
        <v>41365</v>
      </c>
      <c r="O510" s="46">
        <f>IFERROR(__xludf.DUMMYFUNCTION("""COMPUTED_VALUE"""),1.0)</f>
        <v>1</v>
      </c>
      <c r="P510" s="46">
        <f>IFERROR(__xludf.DUMMYFUNCTION("""COMPUTED_VALUE"""),5566.0)</f>
        <v>5566</v>
      </c>
      <c r="Q510" s="46">
        <f>IFERROR(__xludf.DUMMYFUNCTION("""COMPUTED_VALUE"""),1420888.48)</f>
        <v>1420888.48</v>
      </c>
      <c r="R510" s="46">
        <f>IFERROR(__xludf.DUMMYFUNCTION("""COMPUTED_VALUE"""),887331.72)</f>
        <v>887331.72</v>
      </c>
      <c r="S510" s="46">
        <f>IFERROR(__xludf.DUMMYFUNCTION("""COMPUTED_VALUE"""),533556.76)</f>
        <v>533556.76</v>
      </c>
    </row>
    <row r="511">
      <c r="A511" s="46" t="str">
        <f>IFERROR(__xludf.DUMMYFUNCTION("""COMPUTED_VALUE"""),"Personal Care")</f>
        <v>Personal Care</v>
      </c>
      <c r="B511" s="46" t="str">
        <f>IFERROR(__xludf.DUMMYFUNCTION("""COMPUTED_VALUE"""),"Macedonia")</f>
        <v>Macedonia</v>
      </c>
      <c r="C511" s="46" t="str">
        <f>IFERROR(__xludf.DUMMYFUNCTION("""COMPUTED_VALUE"""),"Europe")</f>
        <v>Europe</v>
      </c>
      <c r="D511" s="90">
        <f>IFERROR(__xludf.DUMMYFUNCTION("""COMPUTED_VALUE"""),41821.0)</f>
        <v>41821</v>
      </c>
      <c r="E511" s="46">
        <f>IFERROR(__xludf.DUMMYFUNCTION("""COMPUTED_VALUE"""),2014.0)</f>
        <v>2014</v>
      </c>
      <c r="F511" s="46">
        <f>IFERROR(__xludf.DUMMYFUNCTION("""COMPUTED_VALUE"""),1.0)</f>
        <v>1</v>
      </c>
      <c r="G511" s="46">
        <f>IFERROR(__xludf.DUMMYFUNCTION("""COMPUTED_VALUE"""),6489.0)</f>
        <v>6489</v>
      </c>
      <c r="H511" s="46">
        <f>IFERROR(__xludf.DUMMYFUNCTION("""COMPUTED_VALUE"""),530345.97)</f>
        <v>530345.97</v>
      </c>
      <c r="I511" s="46">
        <f>IFERROR(__xludf.DUMMYFUNCTION("""COMPUTED_VALUE"""),367731.63)</f>
        <v>367731.63</v>
      </c>
      <c r="J511" s="46">
        <f>IFERROR(__xludf.DUMMYFUNCTION("""COMPUTED_VALUE"""),162614.33999999997)</f>
        <v>162614.34</v>
      </c>
      <c r="K511" s="46" t="str">
        <f t="array" ref="K511">TEXT(D511, "mmmm")</f>
        <v>July</v>
      </c>
      <c r="M511" s="46" t="str">
        <f>IFERROR(__xludf.DUMMYFUNCTION("""COMPUTED_VALUE"""),"Switzerland")</f>
        <v>Switzerland</v>
      </c>
      <c r="N511" s="94">
        <f>IFERROR(__xludf.DUMMYFUNCTION("""COMPUTED_VALUE"""),41365.0)</f>
        <v>41365</v>
      </c>
      <c r="O511" s="46">
        <f>IFERROR(__xludf.DUMMYFUNCTION("""COMPUTED_VALUE"""),1.0)</f>
        <v>1</v>
      </c>
      <c r="P511" s="46">
        <f>IFERROR(__xludf.DUMMYFUNCTION("""COMPUTED_VALUE"""),150.0)</f>
        <v>150</v>
      </c>
      <c r="Q511" s="46">
        <f>IFERROR(__xludf.DUMMYFUNCTION("""COMPUTED_VALUE"""),97681.5)</f>
        <v>97681.5</v>
      </c>
      <c r="R511" s="46">
        <f>IFERROR(__xludf.DUMMYFUNCTION("""COMPUTED_VALUE"""),78744.0)</f>
        <v>78744</v>
      </c>
      <c r="S511" s="46">
        <f>IFERROR(__xludf.DUMMYFUNCTION("""COMPUTED_VALUE"""),18937.5)</f>
        <v>18937.5</v>
      </c>
    </row>
    <row r="512">
      <c r="A512" s="46" t="str">
        <f>IFERROR(__xludf.DUMMYFUNCTION("""COMPUTED_VALUE"""),"Vegetables")</f>
        <v>Vegetables</v>
      </c>
      <c r="B512" s="46" t="str">
        <f>IFERROR(__xludf.DUMMYFUNCTION("""COMPUTED_VALUE"""),"Cyprus")</f>
        <v>Cyprus</v>
      </c>
      <c r="C512" s="46" t="str">
        <f>IFERROR(__xludf.DUMMYFUNCTION("""COMPUTED_VALUE"""),"Asia")</f>
        <v>Asia</v>
      </c>
      <c r="D512" s="90">
        <f>IFERROR(__xludf.DUMMYFUNCTION("""COMPUTED_VALUE"""),41821.0)</f>
        <v>41821</v>
      </c>
      <c r="E512" s="46">
        <f>IFERROR(__xludf.DUMMYFUNCTION("""COMPUTED_VALUE"""),2014.0)</f>
        <v>2014</v>
      </c>
      <c r="F512" s="46">
        <f>IFERROR(__xludf.DUMMYFUNCTION("""COMPUTED_VALUE"""),1.0)</f>
        <v>1</v>
      </c>
      <c r="G512" s="46">
        <f>IFERROR(__xludf.DUMMYFUNCTION("""COMPUTED_VALUE"""),9558.0)</f>
        <v>9558</v>
      </c>
      <c r="H512" s="46">
        <f>IFERROR(__xludf.DUMMYFUNCTION("""COMPUTED_VALUE"""),1472505.48)</f>
        <v>1472505.48</v>
      </c>
      <c r="I512" s="46">
        <f>IFERROR(__xludf.DUMMYFUNCTION("""COMPUTED_VALUE"""),869108.9400000001)</f>
        <v>869108.94</v>
      </c>
      <c r="J512" s="46">
        <f>IFERROR(__xludf.DUMMYFUNCTION("""COMPUTED_VALUE"""),603396.5399999999)</f>
        <v>603396.54</v>
      </c>
      <c r="K512" s="46" t="str">
        <f t="array" ref="K512">TEXT(D512, "mmmm")</f>
        <v>July</v>
      </c>
      <c r="M512" s="46" t="str">
        <f>IFERROR(__xludf.DUMMYFUNCTION("""COMPUTED_VALUE"""),"Belgium")</f>
        <v>Belgium</v>
      </c>
      <c r="N512" s="94">
        <f>IFERROR(__xludf.DUMMYFUNCTION("""COMPUTED_VALUE"""),41395.0)</f>
        <v>41395</v>
      </c>
      <c r="O512" s="46">
        <f>IFERROR(__xludf.DUMMYFUNCTION("""COMPUTED_VALUE"""),1.0)</f>
        <v>1</v>
      </c>
      <c r="P512" s="46">
        <f>IFERROR(__xludf.DUMMYFUNCTION("""COMPUTED_VALUE"""),7426.0)</f>
        <v>7426</v>
      </c>
      <c r="Q512" s="46">
        <f>IFERROR(__xludf.DUMMYFUNCTION("""COMPUTED_VALUE"""),1144049.56)</f>
        <v>1144049.56</v>
      </c>
      <c r="R512" s="46">
        <f>IFERROR(__xludf.DUMMYFUNCTION("""COMPUTED_VALUE"""),675246.18)</f>
        <v>675246.18</v>
      </c>
      <c r="S512" s="46">
        <f>IFERROR(__xludf.DUMMYFUNCTION("""COMPUTED_VALUE"""),468803.38)</f>
        <v>468803.38</v>
      </c>
    </row>
    <row r="513">
      <c r="A513" s="46" t="str">
        <f>IFERROR(__xludf.DUMMYFUNCTION("""COMPUTED_VALUE"""),"Vegetables")</f>
        <v>Vegetables</v>
      </c>
      <c r="B513" s="46" t="str">
        <f>IFERROR(__xludf.DUMMYFUNCTION("""COMPUTED_VALUE"""),"Undefined")</f>
        <v>Undefined</v>
      </c>
      <c r="C513" s="46" t="str">
        <f>IFERROR(__xludf.DUMMYFUNCTION("""COMPUTED_VALUE"""),"Undefined")</f>
        <v>Undefined</v>
      </c>
      <c r="D513" s="90">
        <f>IFERROR(__xludf.DUMMYFUNCTION("""COMPUTED_VALUE"""),41821.0)</f>
        <v>41821</v>
      </c>
      <c r="E513" s="46">
        <f>IFERROR(__xludf.DUMMYFUNCTION("""COMPUTED_VALUE"""),2014.0)</f>
        <v>2014</v>
      </c>
      <c r="F513" s="46">
        <f>IFERROR(__xludf.DUMMYFUNCTION("""COMPUTED_VALUE"""),1.0)</f>
        <v>1</v>
      </c>
      <c r="G513" s="46">
        <f>IFERROR(__xludf.DUMMYFUNCTION("""COMPUTED_VALUE"""),2980.0)</f>
        <v>2980</v>
      </c>
      <c r="H513" s="46">
        <f>IFERROR(__xludf.DUMMYFUNCTION("""COMPUTED_VALUE"""),459098.8)</f>
        <v>459098.8</v>
      </c>
      <c r="I513" s="46">
        <f>IFERROR(__xludf.DUMMYFUNCTION("""COMPUTED_VALUE"""),270971.4)</f>
        <v>270971.4</v>
      </c>
      <c r="J513" s="46">
        <f>IFERROR(__xludf.DUMMYFUNCTION("""COMPUTED_VALUE"""),188127.39999999997)</f>
        <v>188127.4</v>
      </c>
      <c r="K513" s="46" t="str">
        <f t="array" ref="K513">TEXT(D513, "mmmm")</f>
        <v>July</v>
      </c>
      <c r="M513" s="46" t="str">
        <f>IFERROR(__xludf.DUMMYFUNCTION("""COMPUTED_VALUE"""),"Croatia")</f>
        <v>Croatia</v>
      </c>
      <c r="N513" s="94">
        <f>IFERROR(__xludf.DUMMYFUNCTION("""COMPUTED_VALUE"""),41395.0)</f>
        <v>41395</v>
      </c>
      <c r="O513" s="46">
        <f>IFERROR(__xludf.DUMMYFUNCTION("""COMPUTED_VALUE"""),1.0)</f>
        <v>1</v>
      </c>
      <c r="P513" s="46">
        <f>IFERROR(__xludf.DUMMYFUNCTION("""COMPUTED_VALUE"""),4602.0)</f>
        <v>4602</v>
      </c>
      <c r="Q513" s="46">
        <f>IFERROR(__xludf.DUMMYFUNCTION("""COMPUTED_VALUE"""),2996868.4200000004)</f>
        <v>2996868.42</v>
      </c>
      <c r="R513" s="46">
        <f>IFERROR(__xludf.DUMMYFUNCTION("""COMPUTED_VALUE"""),2415865.9200000004)</f>
        <v>2415865.92</v>
      </c>
      <c r="S513" s="46">
        <f>IFERROR(__xludf.DUMMYFUNCTION("""COMPUTED_VALUE"""),581002.5)</f>
        <v>581002.5</v>
      </c>
    </row>
    <row r="514">
      <c r="A514" s="46" t="str">
        <f>IFERROR(__xludf.DUMMYFUNCTION("""COMPUTED_VALUE"""),"Beverages")</f>
        <v>Beverages</v>
      </c>
      <c r="B514" s="46" t="str">
        <f>IFERROR(__xludf.DUMMYFUNCTION("""COMPUTED_VALUE"""),"Belarus")</f>
        <v>Belarus</v>
      </c>
      <c r="C514" s="46" t="str">
        <f>IFERROR(__xludf.DUMMYFUNCTION("""COMPUTED_VALUE"""),"Europe")</f>
        <v>Europe</v>
      </c>
      <c r="D514" s="90">
        <f>IFERROR(__xludf.DUMMYFUNCTION("""COMPUTED_VALUE"""),41791.0)</f>
        <v>41791</v>
      </c>
      <c r="E514" s="46">
        <f>IFERROR(__xludf.DUMMYFUNCTION("""COMPUTED_VALUE"""),2014.0)</f>
        <v>2014</v>
      </c>
      <c r="F514" s="46">
        <f>IFERROR(__xludf.DUMMYFUNCTION("""COMPUTED_VALUE"""),1.0)</f>
        <v>1</v>
      </c>
      <c r="G514" s="46">
        <f>IFERROR(__xludf.DUMMYFUNCTION("""COMPUTED_VALUE"""),4396.0)</f>
        <v>4396</v>
      </c>
      <c r="H514" s="46">
        <f>IFERROR(__xludf.DUMMYFUNCTION("""COMPUTED_VALUE"""),208590.2)</f>
        <v>208590.2</v>
      </c>
      <c r="I514" s="46">
        <f>IFERROR(__xludf.DUMMYFUNCTION("""COMPUTED_VALUE"""),139748.84)</f>
        <v>139748.84</v>
      </c>
      <c r="J514" s="46">
        <f>IFERROR(__xludf.DUMMYFUNCTION("""COMPUTED_VALUE"""),68841.36000000002)</f>
        <v>68841.36</v>
      </c>
      <c r="K514" s="46" t="str">
        <f t="array" ref="K514">TEXT(D514, "mmmm")</f>
        <v>June</v>
      </c>
      <c r="M514" s="46" t="str">
        <f>IFERROR(__xludf.DUMMYFUNCTION("""COMPUTED_VALUE"""),"Cyprus")</f>
        <v>Cyprus</v>
      </c>
      <c r="N514" s="94">
        <f>IFERROR(__xludf.DUMMYFUNCTION("""COMPUTED_VALUE"""),41395.0)</f>
        <v>41395</v>
      </c>
      <c r="O514" s="46">
        <f>IFERROR(__xludf.DUMMYFUNCTION("""COMPUTED_VALUE"""),1.0)</f>
        <v>1</v>
      </c>
      <c r="P514" s="46">
        <f>IFERROR(__xludf.DUMMYFUNCTION("""COMPUTED_VALUE"""),3636.0)</f>
        <v>3636</v>
      </c>
      <c r="Q514" s="46">
        <f>IFERROR(__xludf.DUMMYFUNCTION("""COMPUTED_VALUE"""),2367799.56)</f>
        <v>2367799.56</v>
      </c>
      <c r="R514" s="46">
        <f>IFERROR(__xludf.DUMMYFUNCTION("""COMPUTED_VALUE"""),1908754.56)</f>
        <v>1908754.56</v>
      </c>
      <c r="S514" s="46">
        <f>IFERROR(__xludf.DUMMYFUNCTION("""COMPUTED_VALUE"""),459045.0)</f>
        <v>459045</v>
      </c>
    </row>
    <row r="515">
      <c r="A515" s="46" t="str">
        <f>IFERROR(__xludf.DUMMYFUNCTION("""COMPUTED_VALUE"""),"Beverages")</f>
        <v>Beverages</v>
      </c>
      <c r="B515" s="46" t="str">
        <f>IFERROR(__xludf.DUMMYFUNCTION("""COMPUTED_VALUE"""),"Belgium")</f>
        <v>Belgium</v>
      </c>
      <c r="C515" s="46" t="str">
        <f>IFERROR(__xludf.DUMMYFUNCTION("""COMPUTED_VALUE"""),"Europe")</f>
        <v>Europe</v>
      </c>
      <c r="D515" s="90">
        <f>IFERROR(__xludf.DUMMYFUNCTION("""COMPUTED_VALUE"""),41791.0)</f>
        <v>41791</v>
      </c>
      <c r="E515" s="46">
        <f>IFERROR(__xludf.DUMMYFUNCTION("""COMPUTED_VALUE"""),2014.0)</f>
        <v>2014</v>
      </c>
      <c r="F515" s="46">
        <f>IFERROR(__xludf.DUMMYFUNCTION("""COMPUTED_VALUE"""),1.0)</f>
        <v>1</v>
      </c>
      <c r="G515" s="46">
        <f>IFERROR(__xludf.DUMMYFUNCTION("""COMPUTED_VALUE"""),3841.0)</f>
        <v>3841</v>
      </c>
      <c r="H515" s="46">
        <f>IFERROR(__xludf.DUMMYFUNCTION("""COMPUTED_VALUE"""),182255.45)</f>
        <v>182255.45</v>
      </c>
      <c r="I515" s="46">
        <f>IFERROR(__xludf.DUMMYFUNCTION("""COMPUTED_VALUE"""),122105.39)</f>
        <v>122105.39</v>
      </c>
      <c r="J515" s="46">
        <f>IFERROR(__xludf.DUMMYFUNCTION("""COMPUTED_VALUE"""),60150.06000000001)</f>
        <v>60150.06</v>
      </c>
      <c r="K515" s="46" t="str">
        <f t="array" ref="K515">TEXT(D515, "mmmm")</f>
        <v>June</v>
      </c>
      <c r="M515" s="46" t="str">
        <f>IFERROR(__xludf.DUMMYFUNCTION("""COMPUTED_VALUE"""),"Portugal")</f>
        <v>Portugal</v>
      </c>
      <c r="N515" s="94">
        <f>IFERROR(__xludf.DUMMYFUNCTION("""COMPUTED_VALUE"""),41395.0)</f>
        <v>41395</v>
      </c>
      <c r="O515" s="46">
        <f>IFERROR(__xludf.DUMMYFUNCTION("""COMPUTED_VALUE"""),1.0)</f>
        <v>1</v>
      </c>
      <c r="P515" s="46">
        <f>IFERROR(__xludf.DUMMYFUNCTION("""COMPUTED_VALUE"""),263.0)</f>
        <v>263</v>
      </c>
      <c r="Q515" s="46">
        <f>IFERROR(__xludf.DUMMYFUNCTION("""COMPUTED_VALUE"""),114983.59999999999)</f>
        <v>114983.6</v>
      </c>
      <c r="R515" s="46">
        <f>IFERROR(__xludf.DUMMYFUNCTION("""COMPUTED_VALUE"""),69255.79)</f>
        <v>69255.79</v>
      </c>
      <c r="S515" s="46">
        <f>IFERROR(__xludf.DUMMYFUNCTION("""COMPUTED_VALUE"""),45727.81)</f>
        <v>45727.81</v>
      </c>
    </row>
    <row r="516">
      <c r="A516" s="46" t="str">
        <f>IFERROR(__xludf.DUMMYFUNCTION("""COMPUTED_VALUE"""),"Cereal")</f>
        <v>Cereal</v>
      </c>
      <c r="B516" s="46" t="str">
        <f>IFERROR(__xludf.DUMMYFUNCTION("""COMPUTED_VALUE"""),"Georgia")</f>
        <v>Georgia</v>
      </c>
      <c r="C516" s="46" t="str">
        <f>IFERROR(__xludf.DUMMYFUNCTION("""COMPUTED_VALUE"""),"Asia")</f>
        <v>Asia</v>
      </c>
      <c r="D516" s="90">
        <f>IFERROR(__xludf.DUMMYFUNCTION("""COMPUTED_VALUE"""),41791.0)</f>
        <v>41791</v>
      </c>
      <c r="E516" s="46">
        <f>IFERROR(__xludf.DUMMYFUNCTION("""COMPUTED_VALUE"""),2014.0)</f>
        <v>2014</v>
      </c>
      <c r="F516" s="46">
        <f>IFERROR(__xludf.DUMMYFUNCTION("""COMPUTED_VALUE"""),1.0)</f>
        <v>1</v>
      </c>
      <c r="G516" s="46">
        <f>IFERROR(__xludf.DUMMYFUNCTION("""COMPUTED_VALUE"""),701.0)</f>
        <v>701</v>
      </c>
      <c r="H516" s="46">
        <f>IFERROR(__xludf.DUMMYFUNCTION("""COMPUTED_VALUE"""),144195.69999999998)</f>
        <v>144195.7</v>
      </c>
      <c r="I516" s="46">
        <f>IFERROR(__xludf.DUMMYFUNCTION("""COMPUTED_VALUE"""),82094.11)</f>
        <v>82094.11</v>
      </c>
      <c r="J516" s="46">
        <f>IFERROR(__xludf.DUMMYFUNCTION("""COMPUTED_VALUE"""),62101.58999999998)</f>
        <v>62101.59</v>
      </c>
      <c r="K516" s="46" t="str">
        <f t="array" ref="K516">TEXT(D516, "mmmm")</f>
        <v>June</v>
      </c>
      <c r="M516" s="46" t="str">
        <f>IFERROR(__xludf.DUMMYFUNCTION("""COMPUTED_VALUE"""),"Romania")</f>
        <v>Romania</v>
      </c>
      <c r="N516" s="94">
        <f>IFERROR(__xludf.DUMMYFUNCTION("""COMPUTED_VALUE"""),41395.0)</f>
        <v>41395</v>
      </c>
      <c r="O516" s="46">
        <f>IFERROR(__xludf.DUMMYFUNCTION("""COMPUTED_VALUE"""),1.0)</f>
        <v>1</v>
      </c>
      <c r="P516" s="46">
        <f>IFERROR(__xludf.DUMMYFUNCTION("""COMPUTED_VALUE"""),1251.0)</f>
        <v>1251</v>
      </c>
      <c r="Q516" s="46">
        <f>IFERROR(__xludf.DUMMYFUNCTION("""COMPUTED_VALUE"""),102244.23000000001)</f>
        <v>102244.23</v>
      </c>
      <c r="R516" s="46">
        <f>IFERROR(__xludf.DUMMYFUNCTION("""COMPUTED_VALUE"""),70894.17)</f>
        <v>70894.17</v>
      </c>
      <c r="S516" s="46">
        <f>IFERROR(__xludf.DUMMYFUNCTION("""COMPUTED_VALUE"""),31350.060000000012)</f>
        <v>31350.06</v>
      </c>
    </row>
    <row r="517">
      <c r="A517" s="46" t="str">
        <f>IFERROR(__xludf.DUMMYFUNCTION("""COMPUTED_VALUE"""),"Clothes")</f>
        <v>Clothes</v>
      </c>
      <c r="B517" s="46" t="str">
        <f>IFERROR(__xludf.DUMMYFUNCTION("""COMPUTED_VALUE"""),"Cyprus")</f>
        <v>Cyprus</v>
      </c>
      <c r="C517" s="46" t="str">
        <f>IFERROR(__xludf.DUMMYFUNCTION("""COMPUTED_VALUE"""),"Asia")</f>
        <v>Asia</v>
      </c>
      <c r="D517" s="90">
        <f>IFERROR(__xludf.DUMMYFUNCTION("""COMPUTED_VALUE"""),41791.0)</f>
        <v>41791</v>
      </c>
      <c r="E517" s="46">
        <f>IFERROR(__xludf.DUMMYFUNCTION("""COMPUTED_VALUE"""),2014.0)</f>
        <v>2014</v>
      </c>
      <c r="F517" s="46">
        <f>IFERROR(__xludf.DUMMYFUNCTION("""COMPUTED_VALUE"""),1.0)</f>
        <v>1</v>
      </c>
      <c r="G517" s="46">
        <f>IFERROR(__xludf.DUMMYFUNCTION("""COMPUTED_VALUE"""),6240.0)</f>
        <v>6240</v>
      </c>
      <c r="H517" s="46">
        <f>IFERROR(__xludf.DUMMYFUNCTION("""COMPUTED_VALUE"""),681907.2)</f>
        <v>681907.2</v>
      </c>
      <c r="I517" s="46">
        <f>IFERROR(__xludf.DUMMYFUNCTION("""COMPUTED_VALUE"""),223641.60000000003)</f>
        <v>223641.6</v>
      </c>
      <c r="J517" s="46">
        <f>IFERROR(__xludf.DUMMYFUNCTION("""COMPUTED_VALUE"""),458265.5999999999)</f>
        <v>458265.6</v>
      </c>
      <c r="K517" s="46" t="str">
        <f t="array" ref="K517">TEXT(D517, "mmmm")</f>
        <v>June</v>
      </c>
      <c r="M517" s="46" t="str">
        <f>IFERROR(__xludf.DUMMYFUNCTION("""COMPUTED_VALUE"""),"Croatia")</f>
        <v>Croatia</v>
      </c>
      <c r="N517" s="94">
        <f>IFERROR(__xludf.DUMMYFUNCTION("""COMPUTED_VALUE"""),41426.0)</f>
        <v>41426</v>
      </c>
      <c r="O517" s="46">
        <f>IFERROR(__xludf.DUMMYFUNCTION("""COMPUTED_VALUE"""),1.0)</f>
        <v>1</v>
      </c>
      <c r="P517" s="46">
        <f>IFERROR(__xludf.DUMMYFUNCTION("""COMPUTED_VALUE"""),1539.0)</f>
        <v>1539</v>
      </c>
      <c r="Q517" s="46">
        <f>IFERROR(__xludf.DUMMYFUNCTION("""COMPUTED_VALUE"""),392875.92)</f>
        <v>392875.92</v>
      </c>
      <c r="R517" s="46">
        <f>IFERROR(__xludf.DUMMYFUNCTION("""COMPUTED_VALUE"""),245347.37999999998)</f>
        <v>245347.38</v>
      </c>
      <c r="S517" s="46">
        <f>IFERROR(__xludf.DUMMYFUNCTION("""COMPUTED_VALUE"""),147528.54)</f>
        <v>147528.54</v>
      </c>
    </row>
    <row r="518">
      <c r="A518" s="46" t="str">
        <f>IFERROR(__xludf.DUMMYFUNCTION("""COMPUTED_VALUE"""),"Cosmetics")</f>
        <v>Cosmetics</v>
      </c>
      <c r="B518" s="46" t="str">
        <f>IFERROR(__xludf.DUMMYFUNCTION("""COMPUTED_VALUE"""),"Belgium")</f>
        <v>Belgium</v>
      </c>
      <c r="C518" s="46" t="str">
        <f>IFERROR(__xludf.DUMMYFUNCTION("""COMPUTED_VALUE"""),"Europe")</f>
        <v>Europe</v>
      </c>
      <c r="D518" s="90">
        <f>IFERROR(__xludf.DUMMYFUNCTION("""COMPUTED_VALUE"""),41791.0)</f>
        <v>41791</v>
      </c>
      <c r="E518" s="46">
        <f>IFERROR(__xludf.DUMMYFUNCTION("""COMPUTED_VALUE"""),2014.0)</f>
        <v>2014</v>
      </c>
      <c r="F518" s="46">
        <f>IFERROR(__xludf.DUMMYFUNCTION("""COMPUTED_VALUE"""),1.0)</f>
        <v>1</v>
      </c>
      <c r="G518" s="46">
        <f>IFERROR(__xludf.DUMMYFUNCTION("""COMPUTED_VALUE"""),17.0)</f>
        <v>17</v>
      </c>
      <c r="H518" s="46">
        <f>IFERROR(__xludf.DUMMYFUNCTION("""COMPUTED_VALUE"""),7432.4)</f>
        <v>7432.4</v>
      </c>
      <c r="I518" s="46">
        <f>IFERROR(__xludf.DUMMYFUNCTION("""COMPUTED_VALUE"""),4476.61)</f>
        <v>4476.61</v>
      </c>
      <c r="J518" s="46">
        <f>IFERROR(__xludf.DUMMYFUNCTION("""COMPUTED_VALUE"""),2955.79)</f>
        <v>2955.79</v>
      </c>
      <c r="K518" s="46" t="str">
        <f t="array" ref="K518">TEXT(D518, "mmmm")</f>
        <v>June</v>
      </c>
      <c r="M518" s="46" t="str">
        <f>IFERROR(__xludf.DUMMYFUNCTION("""COMPUTED_VALUE"""),"Denmark")</f>
        <v>Denmark</v>
      </c>
      <c r="N518" s="94">
        <f>IFERROR(__xludf.DUMMYFUNCTION("""COMPUTED_VALUE"""),41426.0)</f>
        <v>41426</v>
      </c>
      <c r="O518" s="46">
        <f>IFERROR(__xludf.DUMMYFUNCTION("""COMPUTED_VALUE"""),1.0)</f>
        <v>1</v>
      </c>
      <c r="P518" s="46">
        <f>IFERROR(__xludf.DUMMYFUNCTION("""COMPUTED_VALUE"""),9631.0)</f>
        <v>9631</v>
      </c>
      <c r="Q518" s="46">
        <f>IFERROR(__xludf.DUMMYFUNCTION("""COMPUTED_VALUE"""),1469497.9800000002)</f>
        <v>1469497.98</v>
      </c>
      <c r="R518" s="46">
        <f>IFERROR(__xludf.DUMMYFUNCTION("""COMPUTED_VALUE"""),938444.64)</f>
        <v>938444.64</v>
      </c>
      <c r="S518" s="46">
        <f>IFERROR(__xludf.DUMMYFUNCTION("""COMPUTED_VALUE"""),531053.3400000002)</f>
        <v>531053.34</v>
      </c>
    </row>
    <row r="519">
      <c r="A519" s="46" t="str">
        <f>IFERROR(__xludf.DUMMYFUNCTION("""COMPUTED_VALUE"""),"Cosmetics")</f>
        <v>Cosmetics</v>
      </c>
      <c r="B519" s="46" t="str">
        <f>IFERROR(__xludf.DUMMYFUNCTION("""COMPUTED_VALUE"""),"Ukraine")</f>
        <v>Ukraine</v>
      </c>
      <c r="C519" s="46" t="str">
        <f>IFERROR(__xludf.DUMMYFUNCTION("""COMPUTED_VALUE"""),"Europe")</f>
        <v>Europe</v>
      </c>
      <c r="D519" s="90">
        <f>IFERROR(__xludf.DUMMYFUNCTION("""COMPUTED_VALUE"""),41791.0)</f>
        <v>41791</v>
      </c>
      <c r="E519" s="46">
        <f>IFERROR(__xludf.DUMMYFUNCTION("""COMPUTED_VALUE"""),2014.0)</f>
        <v>2014</v>
      </c>
      <c r="F519" s="46">
        <f>IFERROR(__xludf.DUMMYFUNCTION("""COMPUTED_VALUE"""),1.0)</f>
        <v>1</v>
      </c>
      <c r="G519" s="46">
        <f>IFERROR(__xludf.DUMMYFUNCTION("""COMPUTED_VALUE"""),1946.0)</f>
        <v>1946</v>
      </c>
      <c r="H519" s="46">
        <f>IFERROR(__xludf.DUMMYFUNCTION("""COMPUTED_VALUE"""),850791.2)</f>
        <v>850791.2</v>
      </c>
      <c r="I519" s="46">
        <f>IFERROR(__xludf.DUMMYFUNCTION("""COMPUTED_VALUE"""),512440.18)</f>
        <v>512440.18</v>
      </c>
      <c r="J519" s="46">
        <f>IFERROR(__xludf.DUMMYFUNCTION("""COMPUTED_VALUE"""),338351.01999999996)</f>
        <v>338351.02</v>
      </c>
      <c r="K519" s="46" t="str">
        <f t="array" ref="K519">TEXT(D519, "mmmm")</f>
        <v>June</v>
      </c>
      <c r="M519" s="46" t="str">
        <f>IFERROR(__xludf.DUMMYFUNCTION("""COMPUTED_VALUE"""),"Estonia")</f>
        <v>Estonia</v>
      </c>
      <c r="N519" s="94">
        <f>IFERROR(__xludf.DUMMYFUNCTION("""COMPUTED_VALUE"""),41426.0)</f>
        <v>41426</v>
      </c>
      <c r="O519" s="46">
        <f>IFERROR(__xludf.DUMMYFUNCTION("""COMPUTED_VALUE"""),1.0)</f>
        <v>1</v>
      </c>
      <c r="P519" s="46">
        <f>IFERROR(__xludf.DUMMYFUNCTION("""COMPUTED_VALUE"""),6169.0)</f>
        <v>6169</v>
      </c>
      <c r="Q519" s="46">
        <f>IFERROR(__xludf.DUMMYFUNCTION("""COMPUTED_VALUE"""),674148.3200000001)</f>
        <v>674148.32</v>
      </c>
      <c r="R519" s="46">
        <f>IFERROR(__xludf.DUMMYFUNCTION("""COMPUTED_VALUE"""),221096.96000000002)</f>
        <v>221096.96</v>
      </c>
      <c r="S519" s="46">
        <f>IFERROR(__xludf.DUMMYFUNCTION("""COMPUTED_VALUE"""),453051.36000000004)</f>
        <v>453051.36</v>
      </c>
    </row>
    <row r="520">
      <c r="A520" s="46" t="str">
        <f>IFERROR(__xludf.DUMMYFUNCTION("""COMPUTED_VALUE"""),"Fruits")</f>
        <v>Fruits</v>
      </c>
      <c r="B520" s="46" t="str">
        <f>IFERROR(__xludf.DUMMYFUNCTION("""COMPUTED_VALUE"""),"Belarus")</f>
        <v>Belarus</v>
      </c>
      <c r="C520" s="46" t="str">
        <f>IFERROR(__xludf.DUMMYFUNCTION("""COMPUTED_VALUE"""),"Europe")</f>
        <v>Europe</v>
      </c>
      <c r="D520" s="90">
        <f>IFERROR(__xludf.DUMMYFUNCTION("""COMPUTED_VALUE"""),41791.0)</f>
        <v>41791</v>
      </c>
      <c r="E520" s="46">
        <f>IFERROR(__xludf.DUMMYFUNCTION("""COMPUTED_VALUE"""),2014.0)</f>
        <v>2014</v>
      </c>
      <c r="F520" s="46">
        <f>IFERROR(__xludf.DUMMYFUNCTION("""COMPUTED_VALUE"""),1.0)</f>
        <v>1</v>
      </c>
      <c r="G520" s="46">
        <f>IFERROR(__xludf.DUMMYFUNCTION("""COMPUTED_VALUE"""),5422.0)</f>
        <v>5422</v>
      </c>
      <c r="H520" s="46">
        <f>IFERROR(__xludf.DUMMYFUNCTION("""COMPUTED_VALUE"""),50587.26)</f>
        <v>50587.26</v>
      </c>
      <c r="I520" s="46">
        <f>IFERROR(__xludf.DUMMYFUNCTION("""COMPUTED_VALUE"""),37520.24)</f>
        <v>37520.24</v>
      </c>
      <c r="J520" s="46">
        <f>IFERROR(__xludf.DUMMYFUNCTION("""COMPUTED_VALUE"""),13067.020000000004)</f>
        <v>13067.02</v>
      </c>
      <c r="K520" s="46" t="str">
        <f t="array" ref="K520">TEXT(D520, "mmmm")</f>
        <v>June</v>
      </c>
      <c r="M520" s="46" t="str">
        <f>IFERROR(__xludf.DUMMYFUNCTION("""COMPUTED_VALUE"""),"Hungary")</f>
        <v>Hungary</v>
      </c>
      <c r="N520" s="94">
        <f>IFERROR(__xludf.DUMMYFUNCTION("""COMPUTED_VALUE"""),41426.0)</f>
        <v>41426</v>
      </c>
      <c r="O520" s="46">
        <f>IFERROR(__xludf.DUMMYFUNCTION("""COMPUTED_VALUE"""),2.0)</f>
        <v>2</v>
      </c>
      <c r="P520" s="46">
        <f>IFERROR(__xludf.DUMMYFUNCTION("""COMPUTED_VALUE"""),10646.0)</f>
        <v>10646</v>
      </c>
      <c r="Q520" s="46">
        <f>IFERROR(__xludf.DUMMYFUNCTION("""COMPUTED_VALUE"""),1998935.04)</f>
        <v>1998935.04</v>
      </c>
      <c r="R520" s="46">
        <f>IFERROR(__xludf.DUMMYFUNCTION("""COMPUTED_VALUE"""),961197.1599999999)</f>
        <v>961197.16</v>
      </c>
      <c r="S520" s="46">
        <f>IFERROR(__xludf.DUMMYFUNCTION("""COMPUTED_VALUE"""),1037737.88)</f>
        <v>1037737.88</v>
      </c>
    </row>
    <row r="521">
      <c r="A521" s="46" t="str">
        <f>IFERROR(__xludf.DUMMYFUNCTION("""COMPUTED_VALUE"""),"Fruits")</f>
        <v>Fruits</v>
      </c>
      <c r="B521" s="46" t="str">
        <f>IFERROR(__xludf.DUMMYFUNCTION("""COMPUTED_VALUE"""),"Switzerland")</f>
        <v>Switzerland</v>
      </c>
      <c r="C521" s="46" t="str">
        <f>IFERROR(__xludf.DUMMYFUNCTION("""COMPUTED_VALUE"""),"Europe")</f>
        <v>Europe</v>
      </c>
      <c r="D521" s="90">
        <f>IFERROR(__xludf.DUMMYFUNCTION("""COMPUTED_VALUE"""),41791.0)</f>
        <v>41791</v>
      </c>
      <c r="E521" s="46">
        <f>IFERROR(__xludf.DUMMYFUNCTION("""COMPUTED_VALUE"""),2014.0)</f>
        <v>2014</v>
      </c>
      <c r="F521" s="46">
        <f>IFERROR(__xludf.DUMMYFUNCTION("""COMPUTED_VALUE"""),1.0)</f>
        <v>1</v>
      </c>
      <c r="G521" s="46">
        <f>IFERROR(__xludf.DUMMYFUNCTION("""COMPUTED_VALUE"""),9293.0)</f>
        <v>9293</v>
      </c>
      <c r="H521" s="46">
        <f>IFERROR(__xludf.DUMMYFUNCTION("""COMPUTED_VALUE"""),86703.69)</f>
        <v>86703.69</v>
      </c>
      <c r="I521" s="46">
        <f>IFERROR(__xludf.DUMMYFUNCTION("""COMPUTED_VALUE"""),64307.56)</f>
        <v>64307.56</v>
      </c>
      <c r="J521" s="46">
        <f>IFERROR(__xludf.DUMMYFUNCTION("""COMPUTED_VALUE"""),22396.130000000005)</f>
        <v>22396.13</v>
      </c>
      <c r="K521" s="46" t="str">
        <f t="array" ref="K521">TEXT(D521, "mmmm")</f>
        <v>June</v>
      </c>
      <c r="M521" s="46" t="str">
        <f>IFERROR(__xludf.DUMMYFUNCTION("""COMPUTED_VALUE"""),"Iceland")</f>
        <v>Iceland</v>
      </c>
      <c r="N521" s="94">
        <f>IFERROR(__xludf.DUMMYFUNCTION("""COMPUTED_VALUE"""),41426.0)</f>
        <v>41426</v>
      </c>
      <c r="O521" s="46">
        <f>IFERROR(__xludf.DUMMYFUNCTION("""COMPUTED_VALUE"""),1.0)</f>
        <v>1</v>
      </c>
      <c r="P521" s="46">
        <f>IFERROR(__xludf.DUMMYFUNCTION("""COMPUTED_VALUE"""),691.0)</f>
        <v>691</v>
      </c>
      <c r="Q521" s="46">
        <f>IFERROR(__xludf.DUMMYFUNCTION("""COMPUTED_VALUE"""),449986.11000000004)</f>
        <v>449986.11</v>
      </c>
      <c r="R521" s="46">
        <f>IFERROR(__xludf.DUMMYFUNCTION("""COMPUTED_VALUE"""),362747.36000000004)</f>
        <v>362747.36</v>
      </c>
      <c r="S521" s="46">
        <f>IFERROR(__xludf.DUMMYFUNCTION("""COMPUTED_VALUE"""),87238.75)</f>
        <v>87238.75</v>
      </c>
    </row>
    <row r="522">
      <c r="A522" s="46" t="str">
        <f>IFERROR(__xludf.DUMMYFUNCTION("""COMPUTED_VALUE"""),"Household")</f>
        <v>Household</v>
      </c>
      <c r="B522" s="46" t="str">
        <f>IFERROR(__xludf.DUMMYFUNCTION("""COMPUTED_VALUE"""),"Monaco")</f>
        <v>Monaco</v>
      </c>
      <c r="C522" s="46" t="str">
        <f>IFERROR(__xludf.DUMMYFUNCTION("""COMPUTED_VALUE"""),"Europe")</f>
        <v>Europe</v>
      </c>
      <c r="D522" s="90">
        <f>IFERROR(__xludf.DUMMYFUNCTION("""COMPUTED_VALUE"""),41791.0)</f>
        <v>41791</v>
      </c>
      <c r="E522" s="46">
        <f>IFERROR(__xludf.DUMMYFUNCTION("""COMPUTED_VALUE"""),2014.0)</f>
        <v>2014</v>
      </c>
      <c r="F522" s="46">
        <f>IFERROR(__xludf.DUMMYFUNCTION("""COMPUTED_VALUE"""),1.0)</f>
        <v>1</v>
      </c>
      <c r="G522" s="46">
        <f>IFERROR(__xludf.DUMMYFUNCTION("""COMPUTED_VALUE"""),9370.0)</f>
        <v>9370</v>
      </c>
      <c r="H522" s="46">
        <f>IFERROR(__xludf.DUMMYFUNCTION("""COMPUTED_VALUE"""),6261689.899999999)</f>
        <v>6261689.9</v>
      </c>
      <c r="I522" s="46">
        <f>IFERROR(__xludf.DUMMYFUNCTION("""COMPUTED_VALUE"""),4708799.8)</f>
        <v>4708799.8</v>
      </c>
      <c r="J522" s="46">
        <f>IFERROR(__xludf.DUMMYFUNCTION("""COMPUTED_VALUE"""),1552890.0999999996)</f>
        <v>1552890.1</v>
      </c>
      <c r="K522" s="46" t="str">
        <f t="array" ref="K522">TEXT(D522, "mmmm")</f>
        <v>June</v>
      </c>
      <c r="M522" s="46" t="str">
        <f>IFERROR(__xludf.DUMMYFUNCTION("""COMPUTED_VALUE"""),"Latvia")</f>
        <v>Latvia</v>
      </c>
      <c r="N522" s="94">
        <f>IFERROR(__xludf.DUMMYFUNCTION("""COMPUTED_VALUE"""),41426.0)</f>
        <v>41426</v>
      </c>
      <c r="O522" s="46">
        <f>IFERROR(__xludf.DUMMYFUNCTION("""COMPUTED_VALUE"""),1.0)</f>
        <v>1</v>
      </c>
      <c r="P522" s="46">
        <f>IFERROR(__xludf.DUMMYFUNCTION("""COMPUTED_VALUE"""),520.0)</f>
        <v>520</v>
      </c>
      <c r="Q522" s="46">
        <f>IFERROR(__xludf.DUMMYFUNCTION("""COMPUTED_VALUE"""),338629.2)</f>
        <v>338629.2</v>
      </c>
      <c r="R522" s="46">
        <f>IFERROR(__xludf.DUMMYFUNCTION("""COMPUTED_VALUE"""),272979.2)</f>
        <v>272979.2</v>
      </c>
      <c r="S522" s="46">
        <f>IFERROR(__xludf.DUMMYFUNCTION("""COMPUTED_VALUE"""),65650.0)</f>
        <v>65650</v>
      </c>
    </row>
    <row r="523">
      <c r="A523" s="46" t="str">
        <f>IFERROR(__xludf.DUMMYFUNCTION("""COMPUTED_VALUE"""),"Household")</f>
        <v>Household</v>
      </c>
      <c r="B523" s="46" t="str">
        <f>IFERROR(__xludf.DUMMYFUNCTION("""COMPUTED_VALUE"""),"Romania")</f>
        <v>Romania</v>
      </c>
      <c r="C523" s="46" t="str">
        <f>IFERROR(__xludf.DUMMYFUNCTION("""COMPUTED_VALUE"""),"Europe")</f>
        <v>Europe</v>
      </c>
      <c r="D523" s="90">
        <f>IFERROR(__xludf.DUMMYFUNCTION("""COMPUTED_VALUE"""),41791.0)</f>
        <v>41791</v>
      </c>
      <c r="E523" s="46">
        <f>IFERROR(__xludf.DUMMYFUNCTION("""COMPUTED_VALUE"""),2014.0)</f>
        <v>2014</v>
      </c>
      <c r="F523" s="46">
        <f>IFERROR(__xludf.DUMMYFUNCTION("""COMPUTED_VALUE"""),1.0)</f>
        <v>1</v>
      </c>
      <c r="G523" s="46">
        <f>IFERROR(__xludf.DUMMYFUNCTION("""COMPUTED_VALUE"""),3530.0)</f>
        <v>3530</v>
      </c>
      <c r="H523" s="46">
        <f>IFERROR(__xludf.DUMMYFUNCTION("""COMPUTED_VALUE"""),2358993.1)</f>
        <v>2358993.1</v>
      </c>
      <c r="I523" s="46">
        <f>IFERROR(__xludf.DUMMYFUNCTION("""COMPUTED_VALUE"""),1773966.2000000002)</f>
        <v>1773966.2</v>
      </c>
      <c r="J523" s="46">
        <f>IFERROR(__xludf.DUMMYFUNCTION("""COMPUTED_VALUE"""),585026.8999999999)</f>
        <v>585026.9</v>
      </c>
      <c r="K523" s="46" t="str">
        <f t="array" ref="K523">TEXT(D523, "mmmm")</f>
        <v>June</v>
      </c>
      <c r="M523" s="46" t="str">
        <f>IFERROR(__xludf.DUMMYFUNCTION("""COMPUTED_VALUE"""),"Montenegro")</f>
        <v>Montenegro</v>
      </c>
      <c r="N523" s="94">
        <f>IFERROR(__xludf.DUMMYFUNCTION("""COMPUTED_VALUE"""),41426.0)</f>
        <v>41426</v>
      </c>
      <c r="O523" s="46">
        <f>IFERROR(__xludf.DUMMYFUNCTION("""COMPUTED_VALUE"""),2.0)</f>
        <v>2</v>
      </c>
      <c r="P523" s="46">
        <f>IFERROR(__xludf.DUMMYFUNCTION("""COMPUTED_VALUE"""),11470.0)</f>
        <v>11470</v>
      </c>
      <c r="Q523" s="46">
        <f>IFERROR(__xludf.DUMMYFUNCTION("""COMPUTED_VALUE"""),1166167.75)</f>
        <v>1166167.75</v>
      </c>
      <c r="R523" s="46">
        <f>IFERROR(__xludf.DUMMYFUNCTION("""COMPUTED_VALUE"""),761516.7)</f>
        <v>761516.7</v>
      </c>
      <c r="S523" s="46">
        <f>IFERROR(__xludf.DUMMYFUNCTION("""COMPUTED_VALUE"""),404651.05)</f>
        <v>404651.05</v>
      </c>
    </row>
    <row r="524">
      <c r="A524" s="46" t="str">
        <f>IFERROR(__xludf.DUMMYFUNCTION("""COMPUTED_VALUE"""),"Household")</f>
        <v>Household</v>
      </c>
      <c r="B524" s="46" t="str">
        <f>IFERROR(__xludf.DUMMYFUNCTION("""COMPUTED_VALUE"""),"Undefined")</f>
        <v>Undefined</v>
      </c>
      <c r="C524" s="46" t="str">
        <f>IFERROR(__xludf.DUMMYFUNCTION("""COMPUTED_VALUE"""),"Undefined")</f>
        <v>Undefined</v>
      </c>
      <c r="D524" s="90">
        <f>IFERROR(__xludf.DUMMYFUNCTION("""COMPUTED_VALUE"""),41791.0)</f>
        <v>41791</v>
      </c>
      <c r="E524" s="46">
        <f>IFERROR(__xludf.DUMMYFUNCTION("""COMPUTED_VALUE"""),2014.0)</f>
        <v>2014</v>
      </c>
      <c r="F524" s="46">
        <f>IFERROR(__xludf.DUMMYFUNCTION("""COMPUTED_VALUE"""),1.0)</f>
        <v>1</v>
      </c>
      <c r="G524" s="46">
        <f>IFERROR(__xludf.DUMMYFUNCTION("""COMPUTED_VALUE"""),2091.0)</f>
        <v>2091</v>
      </c>
      <c r="H524" s="46">
        <f>IFERROR(__xludf.DUMMYFUNCTION("""COMPUTED_VALUE"""),1397352.57)</f>
        <v>1397352.57</v>
      </c>
      <c r="I524" s="46">
        <f>IFERROR(__xludf.DUMMYFUNCTION("""COMPUTED_VALUE"""),1050811.1400000001)</f>
        <v>1050811.14</v>
      </c>
      <c r="J524" s="46">
        <f>IFERROR(__xludf.DUMMYFUNCTION("""COMPUTED_VALUE"""),346541.42999999993)</f>
        <v>346541.43</v>
      </c>
      <c r="K524" s="46" t="str">
        <f t="array" ref="K524">TEXT(D524, "mmmm")</f>
        <v>June</v>
      </c>
      <c r="M524" s="46" t="str">
        <f>IFERROR(__xludf.DUMMYFUNCTION("""COMPUTED_VALUE"""),"Norway")</f>
        <v>Norway</v>
      </c>
      <c r="N524" s="94">
        <f>IFERROR(__xludf.DUMMYFUNCTION("""COMPUTED_VALUE"""),41426.0)</f>
        <v>41426</v>
      </c>
      <c r="O524" s="46">
        <f>IFERROR(__xludf.DUMMYFUNCTION("""COMPUTED_VALUE"""),1.0)</f>
        <v>1</v>
      </c>
      <c r="P524" s="46">
        <f>IFERROR(__xludf.DUMMYFUNCTION("""COMPUTED_VALUE"""),6416.0)</f>
        <v>6416</v>
      </c>
      <c r="Q524" s="46">
        <f>IFERROR(__xludf.DUMMYFUNCTION("""COMPUTED_VALUE"""),1319771.2)</f>
        <v>1319771.2</v>
      </c>
      <c r="R524" s="46">
        <f>IFERROR(__xludf.DUMMYFUNCTION("""COMPUTED_VALUE"""),751377.76)</f>
        <v>751377.76</v>
      </c>
      <c r="S524" s="46">
        <f>IFERROR(__xludf.DUMMYFUNCTION("""COMPUTED_VALUE"""),568393.44)</f>
        <v>568393.44</v>
      </c>
    </row>
    <row r="525">
      <c r="A525" s="46" t="str">
        <f>IFERROR(__xludf.DUMMYFUNCTION("""COMPUTED_VALUE"""),"Meat")</f>
        <v>Meat</v>
      </c>
      <c r="B525" s="46" t="str">
        <f>IFERROR(__xludf.DUMMYFUNCTION("""COMPUTED_VALUE"""),"Finland")</f>
        <v>Finland</v>
      </c>
      <c r="C525" s="46" t="str">
        <f>IFERROR(__xludf.DUMMYFUNCTION("""COMPUTED_VALUE"""),"Europe")</f>
        <v>Europe</v>
      </c>
      <c r="D525" s="90">
        <f>IFERROR(__xludf.DUMMYFUNCTION("""COMPUTED_VALUE"""),41791.0)</f>
        <v>41791</v>
      </c>
      <c r="E525" s="46">
        <f>IFERROR(__xludf.DUMMYFUNCTION("""COMPUTED_VALUE"""),2014.0)</f>
        <v>2014</v>
      </c>
      <c r="F525" s="46">
        <f>IFERROR(__xludf.DUMMYFUNCTION("""COMPUTED_VALUE"""),1.0)</f>
        <v>1</v>
      </c>
      <c r="G525" s="46">
        <f>IFERROR(__xludf.DUMMYFUNCTION("""COMPUTED_VALUE"""),7397.0)</f>
        <v>7397</v>
      </c>
      <c r="H525" s="46">
        <f>IFERROR(__xludf.DUMMYFUNCTION("""COMPUTED_VALUE"""),3120720.33)</f>
        <v>3120720.33</v>
      </c>
      <c r="I525" s="46">
        <f>IFERROR(__xludf.DUMMYFUNCTION("""COMPUTED_VALUE"""),2697611.93)</f>
        <v>2697611.93</v>
      </c>
      <c r="J525" s="46">
        <f>IFERROR(__xludf.DUMMYFUNCTION("""COMPUTED_VALUE"""),423108.3999999999)</f>
        <v>423108.4</v>
      </c>
      <c r="K525" s="46" t="str">
        <f t="array" ref="K525">TEXT(D525, "mmmm")</f>
        <v>June</v>
      </c>
      <c r="M525" s="46" t="str">
        <f>IFERROR(__xludf.DUMMYFUNCTION("""COMPUTED_VALUE"""),"Serbia")</f>
        <v>Serbia</v>
      </c>
      <c r="N525" s="94">
        <f>IFERROR(__xludf.DUMMYFUNCTION("""COMPUTED_VALUE"""),41426.0)</f>
        <v>41426</v>
      </c>
      <c r="O525" s="46">
        <f>IFERROR(__xludf.DUMMYFUNCTION("""COMPUTED_VALUE"""),1.0)</f>
        <v>1</v>
      </c>
      <c r="P525" s="46">
        <f>IFERROR(__xludf.DUMMYFUNCTION("""COMPUTED_VALUE"""),9586.0)</f>
        <v>9586</v>
      </c>
      <c r="Q525" s="46">
        <f>IFERROR(__xludf.DUMMYFUNCTION("""COMPUTED_VALUE"""),1971840.2)</f>
        <v>1971840.2</v>
      </c>
      <c r="R525" s="46">
        <f>IFERROR(__xludf.DUMMYFUNCTION("""COMPUTED_VALUE"""),1122616.46)</f>
        <v>1122616.46</v>
      </c>
      <c r="S525" s="46">
        <f>IFERROR(__xludf.DUMMYFUNCTION("""COMPUTED_VALUE"""),849223.74)</f>
        <v>849223.74</v>
      </c>
    </row>
    <row r="526">
      <c r="A526" s="46" t="str">
        <f>IFERROR(__xludf.DUMMYFUNCTION("""COMPUTED_VALUE"""),"Meat")</f>
        <v>Meat</v>
      </c>
      <c r="B526" s="46" t="str">
        <f>IFERROR(__xludf.DUMMYFUNCTION("""COMPUTED_VALUE"""),"Malta")</f>
        <v>Malta</v>
      </c>
      <c r="C526" s="46" t="str">
        <f>IFERROR(__xludf.DUMMYFUNCTION("""COMPUTED_VALUE"""),"Europe")</f>
        <v>Europe</v>
      </c>
      <c r="D526" s="90">
        <f>IFERROR(__xludf.DUMMYFUNCTION("""COMPUTED_VALUE"""),41791.0)</f>
        <v>41791</v>
      </c>
      <c r="E526" s="46">
        <f>IFERROR(__xludf.DUMMYFUNCTION("""COMPUTED_VALUE"""),2014.0)</f>
        <v>2014</v>
      </c>
      <c r="F526" s="46">
        <f>IFERROR(__xludf.DUMMYFUNCTION("""COMPUTED_VALUE"""),1.0)</f>
        <v>1</v>
      </c>
      <c r="G526" s="46">
        <f>IFERROR(__xludf.DUMMYFUNCTION("""COMPUTED_VALUE"""),3870.0)</f>
        <v>3870</v>
      </c>
      <c r="H526" s="46">
        <f>IFERROR(__xludf.DUMMYFUNCTION("""COMPUTED_VALUE"""),1632714.3)</f>
        <v>1632714.3</v>
      </c>
      <c r="I526" s="46">
        <f>IFERROR(__xludf.DUMMYFUNCTION("""COMPUTED_VALUE"""),1411350.3)</f>
        <v>1411350.3</v>
      </c>
      <c r="J526" s="46">
        <f>IFERROR(__xludf.DUMMYFUNCTION("""COMPUTED_VALUE"""),221364.0)</f>
        <v>221364</v>
      </c>
      <c r="K526" s="46" t="str">
        <f t="array" ref="K526">TEXT(D526, "mmmm")</f>
        <v>June</v>
      </c>
      <c r="M526" s="46" t="str">
        <f>IFERROR(__xludf.DUMMYFUNCTION("""COMPUTED_VALUE"""),"Sweden")</f>
        <v>Sweden</v>
      </c>
      <c r="N526" s="94">
        <f>IFERROR(__xludf.DUMMYFUNCTION("""COMPUTED_VALUE"""),41426.0)</f>
        <v>41426</v>
      </c>
      <c r="O526" s="46">
        <f>IFERROR(__xludf.DUMMYFUNCTION("""COMPUTED_VALUE"""),1.0)</f>
        <v>1</v>
      </c>
      <c r="P526" s="46">
        <f>IFERROR(__xludf.DUMMYFUNCTION("""COMPUTED_VALUE"""),5471.0)</f>
        <v>5471</v>
      </c>
      <c r="Q526" s="46">
        <f>IFERROR(__xludf.DUMMYFUNCTION("""COMPUTED_VALUE"""),834765.18)</f>
        <v>834765.18</v>
      </c>
      <c r="R526" s="46">
        <f>IFERROR(__xludf.DUMMYFUNCTION("""COMPUTED_VALUE"""),533094.24)</f>
        <v>533094.24</v>
      </c>
      <c r="S526" s="46">
        <f>IFERROR(__xludf.DUMMYFUNCTION("""COMPUTED_VALUE"""),301670.94000000006)</f>
        <v>301670.94</v>
      </c>
    </row>
    <row r="527">
      <c r="A527" s="46" t="str">
        <f>IFERROR(__xludf.DUMMYFUNCTION("""COMPUTED_VALUE"""),"Meat")</f>
        <v>Meat</v>
      </c>
      <c r="B527" s="46" t="str">
        <f>IFERROR(__xludf.DUMMYFUNCTION("""COMPUTED_VALUE"""),"Ukraine")</f>
        <v>Ukraine</v>
      </c>
      <c r="C527" s="46" t="str">
        <f>IFERROR(__xludf.DUMMYFUNCTION("""COMPUTED_VALUE"""),"Europe")</f>
        <v>Europe</v>
      </c>
      <c r="D527" s="90">
        <f>IFERROR(__xludf.DUMMYFUNCTION("""COMPUTED_VALUE"""),41791.0)</f>
        <v>41791</v>
      </c>
      <c r="E527" s="46">
        <f>IFERROR(__xludf.DUMMYFUNCTION("""COMPUTED_VALUE"""),2014.0)</f>
        <v>2014</v>
      </c>
      <c r="F527" s="46">
        <f>IFERROR(__xludf.DUMMYFUNCTION("""COMPUTED_VALUE"""),1.0)</f>
        <v>1</v>
      </c>
      <c r="G527" s="46">
        <f>IFERROR(__xludf.DUMMYFUNCTION("""COMPUTED_VALUE"""),9377.0)</f>
        <v>9377</v>
      </c>
      <c r="H527" s="46">
        <f>IFERROR(__xludf.DUMMYFUNCTION("""COMPUTED_VALUE"""),3956062.53)</f>
        <v>3956062.53</v>
      </c>
      <c r="I527" s="46">
        <f>IFERROR(__xludf.DUMMYFUNCTION("""COMPUTED_VALUE"""),3419698.13)</f>
        <v>3419698.13</v>
      </c>
      <c r="J527" s="46">
        <f>IFERROR(__xludf.DUMMYFUNCTION("""COMPUTED_VALUE"""),536364.3999999999)</f>
        <v>536364.4</v>
      </c>
      <c r="K527" s="46" t="str">
        <f t="array" ref="K527">TEXT(D527, "mmmm")</f>
        <v>June</v>
      </c>
      <c r="M527" s="46" t="str">
        <f>IFERROR(__xludf.DUMMYFUNCTION("""COMPUTED_VALUE"""),"Undefined")</f>
        <v>Undefined</v>
      </c>
      <c r="N527" s="94">
        <f>IFERROR(__xludf.DUMMYFUNCTION("""COMPUTED_VALUE"""),41426.0)</f>
        <v>41426</v>
      </c>
      <c r="O527" s="46">
        <f>IFERROR(__xludf.DUMMYFUNCTION("""COMPUTED_VALUE"""),2.0)</f>
        <v>2</v>
      </c>
      <c r="P527" s="46">
        <f>IFERROR(__xludf.DUMMYFUNCTION("""COMPUTED_VALUE"""),10241.0)</f>
        <v>10241</v>
      </c>
      <c r="Q527" s="46">
        <f>IFERROR(__xludf.DUMMYFUNCTION("""COMPUTED_VALUE"""),2544984.7)</f>
        <v>2544984.7</v>
      </c>
      <c r="R527" s="46">
        <f>IFERROR(__xludf.DUMMYFUNCTION("""COMPUTED_VALUE"""),1548787.21)</f>
        <v>1548787.21</v>
      </c>
      <c r="S527" s="46">
        <f>IFERROR(__xludf.DUMMYFUNCTION("""COMPUTED_VALUE"""),996197.4900000002)</f>
        <v>996197.49</v>
      </c>
    </row>
    <row r="528">
      <c r="A528" s="46" t="str">
        <f>IFERROR(__xludf.DUMMYFUNCTION("""COMPUTED_VALUE"""),"Office Supplies")</f>
        <v>Office Supplies</v>
      </c>
      <c r="B528" s="46" t="str">
        <f>IFERROR(__xludf.DUMMYFUNCTION("""COMPUTED_VALUE"""),"Ireland")</f>
        <v>Ireland</v>
      </c>
      <c r="C528" s="46" t="str">
        <f>IFERROR(__xludf.DUMMYFUNCTION("""COMPUTED_VALUE"""),"Europe")</f>
        <v>Europe</v>
      </c>
      <c r="D528" s="90">
        <f>IFERROR(__xludf.DUMMYFUNCTION("""COMPUTED_VALUE"""),41791.0)</f>
        <v>41791</v>
      </c>
      <c r="E528" s="46">
        <f>IFERROR(__xludf.DUMMYFUNCTION("""COMPUTED_VALUE"""),2014.0)</f>
        <v>2014</v>
      </c>
      <c r="F528" s="46">
        <f>IFERROR(__xludf.DUMMYFUNCTION("""COMPUTED_VALUE"""),1.0)</f>
        <v>1</v>
      </c>
      <c r="G528" s="46">
        <f>IFERROR(__xludf.DUMMYFUNCTION("""COMPUTED_VALUE"""),6707.0)</f>
        <v>6707</v>
      </c>
      <c r="H528" s="46">
        <f>IFERROR(__xludf.DUMMYFUNCTION("""COMPUTED_VALUE"""),4367665.470000001)</f>
        <v>4367665.47</v>
      </c>
      <c r="I528" s="46">
        <f>IFERROR(__xludf.DUMMYFUNCTION("""COMPUTED_VALUE"""),3520906.72)</f>
        <v>3520906.72</v>
      </c>
      <c r="J528" s="46">
        <f>IFERROR(__xludf.DUMMYFUNCTION("""COMPUTED_VALUE"""),846758.7500000005)</f>
        <v>846758.75</v>
      </c>
      <c r="K528" s="46" t="str">
        <f t="array" ref="K528">TEXT(D528, "mmmm")</f>
        <v>June</v>
      </c>
      <c r="M528" s="46" t="str">
        <f>IFERROR(__xludf.DUMMYFUNCTION("""COMPUTED_VALUE"""),"United Kingdom")</f>
        <v>United Kingdom</v>
      </c>
      <c r="N528" s="94">
        <f>IFERROR(__xludf.DUMMYFUNCTION("""COMPUTED_VALUE"""),41426.0)</f>
        <v>41426</v>
      </c>
      <c r="O528" s="46">
        <f>IFERROR(__xludf.DUMMYFUNCTION("""COMPUTED_VALUE"""),1.0)</f>
        <v>1</v>
      </c>
      <c r="P528" s="46">
        <f>IFERROR(__xludf.DUMMYFUNCTION("""COMPUTED_VALUE"""),8860.0)</f>
        <v>8860</v>
      </c>
      <c r="Q528" s="46">
        <f>IFERROR(__xludf.DUMMYFUNCTION("""COMPUTED_VALUE"""),724127.8)</f>
        <v>724127.8</v>
      </c>
      <c r="R528" s="46">
        <f>IFERROR(__xludf.DUMMYFUNCTION("""COMPUTED_VALUE"""),502096.2)</f>
        <v>502096.2</v>
      </c>
      <c r="S528" s="46">
        <f>IFERROR(__xludf.DUMMYFUNCTION("""COMPUTED_VALUE"""),222031.60000000003)</f>
        <v>222031.6</v>
      </c>
    </row>
    <row r="529">
      <c r="A529" s="46" t="str">
        <f>IFERROR(__xludf.DUMMYFUNCTION("""COMPUTED_VALUE"""),"Office Supplies")</f>
        <v>Office Supplies</v>
      </c>
      <c r="B529" s="46" t="str">
        <f>IFERROR(__xludf.DUMMYFUNCTION("""COMPUTED_VALUE"""),"Slovakia")</f>
        <v>Slovakia</v>
      </c>
      <c r="C529" s="46" t="str">
        <f>IFERROR(__xludf.DUMMYFUNCTION("""COMPUTED_VALUE"""),"Europe")</f>
        <v>Europe</v>
      </c>
      <c r="D529" s="90">
        <f>IFERROR(__xludf.DUMMYFUNCTION("""COMPUTED_VALUE"""),41791.0)</f>
        <v>41791</v>
      </c>
      <c r="E529" s="46">
        <f>IFERROR(__xludf.DUMMYFUNCTION("""COMPUTED_VALUE"""),2014.0)</f>
        <v>2014</v>
      </c>
      <c r="F529" s="46">
        <f>IFERROR(__xludf.DUMMYFUNCTION("""COMPUTED_VALUE"""),1.0)</f>
        <v>1</v>
      </c>
      <c r="G529" s="46">
        <f>IFERROR(__xludf.DUMMYFUNCTION("""COMPUTED_VALUE"""),6918.0)</f>
        <v>6918</v>
      </c>
      <c r="H529" s="46">
        <f>IFERROR(__xludf.DUMMYFUNCTION("""COMPUTED_VALUE"""),4505070.78)</f>
        <v>4505070.78</v>
      </c>
      <c r="I529" s="46">
        <f>IFERROR(__xludf.DUMMYFUNCTION("""COMPUTED_VALUE"""),3631673.2800000003)</f>
        <v>3631673.28</v>
      </c>
      <c r="J529" s="46">
        <f>IFERROR(__xludf.DUMMYFUNCTION("""COMPUTED_VALUE"""),873397.5)</f>
        <v>873397.5</v>
      </c>
      <c r="K529" s="46" t="str">
        <f t="array" ref="K529">TEXT(D529, "mmmm")</f>
        <v>June</v>
      </c>
      <c r="M529" s="46" t="str">
        <f>IFERROR(__xludf.DUMMYFUNCTION("""COMPUTED_VALUE"""),"Andorra")</f>
        <v>Andorra</v>
      </c>
      <c r="N529" s="94">
        <f>IFERROR(__xludf.DUMMYFUNCTION("""COMPUTED_VALUE"""),41456.0)</f>
        <v>41456</v>
      </c>
      <c r="O529" s="46">
        <f>IFERROR(__xludf.DUMMYFUNCTION("""COMPUTED_VALUE"""),1.0)</f>
        <v>1</v>
      </c>
      <c r="P529" s="46">
        <f>IFERROR(__xludf.DUMMYFUNCTION("""COMPUTED_VALUE"""),46.0)</f>
        <v>46</v>
      </c>
      <c r="Q529" s="46">
        <f>IFERROR(__xludf.DUMMYFUNCTION("""COMPUTED_VALUE"""),11742.88)</f>
        <v>11742.88</v>
      </c>
      <c r="R529" s="46">
        <f>IFERROR(__xludf.DUMMYFUNCTION("""COMPUTED_VALUE"""),7333.32)</f>
        <v>7333.32</v>
      </c>
      <c r="S529" s="46">
        <f>IFERROR(__xludf.DUMMYFUNCTION("""COMPUTED_VALUE"""),4409.5599999999995)</f>
        <v>4409.56</v>
      </c>
    </row>
    <row r="530">
      <c r="A530" s="46" t="str">
        <f>IFERROR(__xludf.DUMMYFUNCTION("""COMPUTED_VALUE"""),"Personal Care")</f>
        <v>Personal Care</v>
      </c>
      <c r="B530" s="46" t="str">
        <f>IFERROR(__xludf.DUMMYFUNCTION("""COMPUTED_VALUE"""),"Denmark")</f>
        <v>Denmark</v>
      </c>
      <c r="C530" s="46" t="str">
        <f>IFERROR(__xludf.DUMMYFUNCTION("""COMPUTED_VALUE"""),"Europe")</f>
        <v>Europe</v>
      </c>
      <c r="D530" s="90">
        <f>IFERROR(__xludf.DUMMYFUNCTION("""COMPUTED_VALUE"""),41791.0)</f>
        <v>41791</v>
      </c>
      <c r="E530" s="46">
        <f>IFERROR(__xludf.DUMMYFUNCTION("""COMPUTED_VALUE"""),2014.0)</f>
        <v>2014</v>
      </c>
      <c r="F530" s="46">
        <f>IFERROR(__xludf.DUMMYFUNCTION("""COMPUTED_VALUE"""),1.0)</f>
        <v>1</v>
      </c>
      <c r="G530" s="46">
        <f>IFERROR(__xludf.DUMMYFUNCTION("""COMPUTED_VALUE"""),2802.0)</f>
        <v>2802</v>
      </c>
      <c r="H530" s="46">
        <f>IFERROR(__xludf.DUMMYFUNCTION("""COMPUTED_VALUE"""),229007.46000000002)</f>
        <v>229007.46</v>
      </c>
      <c r="I530" s="46">
        <f>IFERROR(__xludf.DUMMYFUNCTION("""COMPUTED_VALUE"""),158789.34)</f>
        <v>158789.34</v>
      </c>
      <c r="J530" s="46">
        <f>IFERROR(__xludf.DUMMYFUNCTION("""COMPUTED_VALUE"""),70218.12000000002)</f>
        <v>70218.12</v>
      </c>
      <c r="K530" s="46" t="str">
        <f t="array" ref="K530">TEXT(D530, "mmmm")</f>
        <v>June</v>
      </c>
      <c r="M530" s="46" t="str">
        <f>IFERROR(__xludf.DUMMYFUNCTION("""COMPUTED_VALUE"""),"Armenia")</f>
        <v>Armenia</v>
      </c>
      <c r="N530" s="94">
        <f>IFERROR(__xludf.DUMMYFUNCTION("""COMPUTED_VALUE"""),41456.0)</f>
        <v>41456</v>
      </c>
      <c r="O530" s="46">
        <f>IFERROR(__xludf.DUMMYFUNCTION("""COMPUTED_VALUE"""),1.0)</f>
        <v>1</v>
      </c>
      <c r="P530" s="46">
        <f>IFERROR(__xludf.DUMMYFUNCTION("""COMPUTED_VALUE"""),1747.0)</f>
        <v>1747</v>
      </c>
      <c r="Q530" s="46">
        <f>IFERROR(__xludf.DUMMYFUNCTION("""COMPUTED_VALUE"""),266557.26)</f>
        <v>266557.26</v>
      </c>
      <c r="R530" s="46">
        <f>IFERROR(__xludf.DUMMYFUNCTION("""COMPUTED_VALUE"""),170227.68)</f>
        <v>170227.68</v>
      </c>
      <c r="S530" s="46">
        <f>IFERROR(__xludf.DUMMYFUNCTION("""COMPUTED_VALUE"""),96329.58000000002)</f>
        <v>96329.58</v>
      </c>
    </row>
    <row r="531">
      <c r="A531" s="46" t="str">
        <f>IFERROR(__xludf.DUMMYFUNCTION("""COMPUTED_VALUE"""),"Personal Care")</f>
        <v>Personal Care</v>
      </c>
      <c r="B531" s="46" t="str">
        <f>IFERROR(__xludf.DUMMYFUNCTION("""COMPUTED_VALUE"""),"Monaco")</f>
        <v>Monaco</v>
      </c>
      <c r="C531" s="46" t="str">
        <f>IFERROR(__xludf.DUMMYFUNCTION("""COMPUTED_VALUE"""),"Europe")</f>
        <v>Europe</v>
      </c>
      <c r="D531" s="90">
        <f>IFERROR(__xludf.DUMMYFUNCTION("""COMPUTED_VALUE"""),41791.0)</f>
        <v>41791</v>
      </c>
      <c r="E531" s="46">
        <f>IFERROR(__xludf.DUMMYFUNCTION("""COMPUTED_VALUE"""),2014.0)</f>
        <v>2014</v>
      </c>
      <c r="F531" s="46">
        <f>IFERROR(__xludf.DUMMYFUNCTION("""COMPUTED_VALUE"""),1.0)</f>
        <v>1</v>
      </c>
      <c r="G531" s="46">
        <f>IFERROR(__xludf.DUMMYFUNCTION("""COMPUTED_VALUE"""),5509.0)</f>
        <v>5509</v>
      </c>
      <c r="H531" s="46">
        <f>IFERROR(__xludf.DUMMYFUNCTION("""COMPUTED_VALUE"""),450250.57)</f>
        <v>450250.57</v>
      </c>
      <c r="I531" s="46">
        <f>IFERROR(__xludf.DUMMYFUNCTION("""COMPUTED_VALUE"""),312195.03)</f>
        <v>312195.03</v>
      </c>
      <c r="J531" s="46">
        <f>IFERROR(__xludf.DUMMYFUNCTION("""COMPUTED_VALUE"""),138055.53999999998)</f>
        <v>138055.54</v>
      </c>
      <c r="K531" s="46" t="str">
        <f t="array" ref="K531">TEXT(D531, "mmmm")</f>
        <v>June</v>
      </c>
      <c r="M531" s="46" t="str">
        <f>IFERROR(__xludf.DUMMYFUNCTION("""COMPUTED_VALUE"""),"Austria")</f>
        <v>Austria</v>
      </c>
      <c r="N531" s="94">
        <f>IFERROR(__xludf.DUMMYFUNCTION("""COMPUTED_VALUE"""),41456.0)</f>
        <v>41456</v>
      </c>
      <c r="O531" s="46">
        <f>IFERROR(__xludf.DUMMYFUNCTION("""COMPUTED_VALUE"""),1.0)</f>
        <v>1</v>
      </c>
      <c r="P531" s="46">
        <f>IFERROR(__xludf.DUMMYFUNCTION("""COMPUTED_VALUE"""),6873.0)</f>
        <v>6873</v>
      </c>
      <c r="Q531" s="46">
        <f>IFERROR(__xludf.DUMMYFUNCTION("""COMPUTED_VALUE"""),1048682.34)</f>
        <v>1048682.34</v>
      </c>
      <c r="R531" s="46">
        <f>IFERROR(__xludf.DUMMYFUNCTION("""COMPUTED_VALUE"""),669705.12)</f>
        <v>669705.12</v>
      </c>
      <c r="S531" s="46">
        <f>IFERROR(__xludf.DUMMYFUNCTION("""COMPUTED_VALUE"""),378977.2200000001)</f>
        <v>378977.22</v>
      </c>
    </row>
    <row r="532">
      <c r="A532" s="46" t="str">
        <f>IFERROR(__xludf.DUMMYFUNCTION("""COMPUTED_VALUE"""),"Vegetables")</f>
        <v>Vegetables</v>
      </c>
      <c r="B532" s="46" t="str">
        <f>IFERROR(__xludf.DUMMYFUNCTION("""COMPUTED_VALUE"""),"Bulgaria")</f>
        <v>Bulgaria</v>
      </c>
      <c r="C532" s="46" t="str">
        <f>IFERROR(__xludf.DUMMYFUNCTION("""COMPUTED_VALUE"""),"Europe")</f>
        <v>Europe</v>
      </c>
      <c r="D532" s="90">
        <f>IFERROR(__xludf.DUMMYFUNCTION("""COMPUTED_VALUE"""),41791.0)</f>
        <v>41791</v>
      </c>
      <c r="E532" s="46">
        <f>IFERROR(__xludf.DUMMYFUNCTION("""COMPUTED_VALUE"""),2014.0)</f>
        <v>2014</v>
      </c>
      <c r="F532" s="46">
        <f>IFERROR(__xludf.DUMMYFUNCTION("""COMPUTED_VALUE"""),1.0)</f>
        <v>1</v>
      </c>
      <c r="G532" s="46">
        <f>IFERROR(__xludf.DUMMYFUNCTION("""COMPUTED_VALUE"""),7459.0)</f>
        <v>7459</v>
      </c>
      <c r="H532" s="46">
        <f>IFERROR(__xludf.DUMMYFUNCTION("""COMPUTED_VALUE"""),1149133.54)</f>
        <v>1149133.54</v>
      </c>
      <c r="I532" s="46">
        <f>IFERROR(__xludf.DUMMYFUNCTION("""COMPUTED_VALUE"""),678246.87)</f>
        <v>678246.87</v>
      </c>
      <c r="J532" s="46">
        <f>IFERROR(__xludf.DUMMYFUNCTION("""COMPUTED_VALUE"""),470886.67000000004)</f>
        <v>470886.67</v>
      </c>
      <c r="K532" s="46" t="str">
        <f t="array" ref="K532">TEXT(D532, "mmmm")</f>
        <v>June</v>
      </c>
      <c r="M532" s="46" t="str">
        <f>IFERROR(__xludf.DUMMYFUNCTION("""COMPUTED_VALUE"""),"Belarus")</f>
        <v>Belarus</v>
      </c>
      <c r="N532" s="94">
        <f>IFERROR(__xludf.DUMMYFUNCTION("""COMPUTED_VALUE"""),41456.0)</f>
        <v>41456</v>
      </c>
      <c r="O532" s="46">
        <f>IFERROR(__xludf.DUMMYFUNCTION("""COMPUTED_VALUE"""),1.0)</f>
        <v>1</v>
      </c>
      <c r="P532" s="46">
        <f>IFERROR(__xludf.DUMMYFUNCTION("""COMPUTED_VALUE"""),829.0)</f>
        <v>829</v>
      </c>
      <c r="Q532" s="46">
        <f>IFERROR(__xludf.DUMMYFUNCTION("""COMPUTED_VALUE"""),67754.17)</f>
        <v>67754.17</v>
      </c>
      <c r="R532" s="46">
        <f>IFERROR(__xludf.DUMMYFUNCTION("""COMPUTED_VALUE"""),46979.43)</f>
        <v>46979.43</v>
      </c>
      <c r="S532" s="46">
        <f>IFERROR(__xludf.DUMMYFUNCTION("""COMPUTED_VALUE"""),20774.739999999998)</f>
        <v>20774.74</v>
      </c>
    </row>
    <row r="533">
      <c r="A533" s="46" t="str">
        <f>IFERROR(__xludf.DUMMYFUNCTION("""COMPUTED_VALUE"""),"Baby Food")</f>
        <v>Baby Food</v>
      </c>
      <c r="B533" s="46" t="str">
        <f>IFERROR(__xludf.DUMMYFUNCTION("""COMPUTED_VALUE"""),"Estonia")</f>
        <v>Estonia</v>
      </c>
      <c r="C533" s="46" t="str">
        <f>IFERROR(__xludf.DUMMYFUNCTION("""COMPUTED_VALUE"""),"Europe")</f>
        <v>Europe</v>
      </c>
      <c r="D533" s="90">
        <f>IFERROR(__xludf.DUMMYFUNCTION("""COMPUTED_VALUE"""),41760.0)</f>
        <v>41760</v>
      </c>
      <c r="E533" s="46">
        <f>IFERROR(__xludf.DUMMYFUNCTION("""COMPUTED_VALUE"""),2014.0)</f>
        <v>2014</v>
      </c>
      <c r="F533" s="46">
        <f>IFERROR(__xludf.DUMMYFUNCTION("""COMPUTED_VALUE"""),1.0)</f>
        <v>1</v>
      </c>
      <c r="G533" s="46">
        <f>IFERROR(__xludf.DUMMYFUNCTION("""COMPUTED_VALUE"""),8229.0)</f>
        <v>8229</v>
      </c>
      <c r="H533" s="46">
        <f>IFERROR(__xludf.DUMMYFUNCTION("""COMPUTED_VALUE"""),2100699.12)</f>
        <v>2100699.12</v>
      </c>
      <c r="I533" s="46">
        <f>IFERROR(__xludf.DUMMYFUNCTION("""COMPUTED_VALUE"""),1311867.18)</f>
        <v>1311867.18</v>
      </c>
      <c r="J533" s="46">
        <f>IFERROR(__xludf.DUMMYFUNCTION("""COMPUTED_VALUE"""),788831.9400000002)</f>
        <v>788831.94</v>
      </c>
      <c r="K533" s="46" t="str">
        <f t="array" ref="K533">TEXT(D533, "mmmm")</f>
        <v>May</v>
      </c>
      <c r="M533" s="46" t="str">
        <f>IFERROR(__xludf.DUMMYFUNCTION("""COMPUTED_VALUE"""),"Estonia")</f>
        <v>Estonia</v>
      </c>
      <c r="N533" s="94">
        <f>IFERROR(__xludf.DUMMYFUNCTION("""COMPUTED_VALUE"""),41456.0)</f>
        <v>41456</v>
      </c>
      <c r="O533" s="46">
        <f>IFERROR(__xludf.DUMMYFUNCTION("""COMPUTED_VALUE"""),1.0)</f>
        <v>1</v>
      </c>
      <c r="P533" s="46">
        <f>IFERROR(__xludf.DUMMYFUNCTION("""COMPUTED_VALUE"""),6641.0)</f>
        <v>6641</v>
      </c>
      <c r="Q533" s="46">
        <f>IFERROR(__xludf.DUMMYFUNCTION("""COMPUTED_VALUE"""),1366053.7)</f>
        <v>1366053.7</v>
      </c>
      <c r="R533" s="46">
        <f>IFERROR(__xludf.DUMMYFUNCTION("""COMPUTED_VALUE"""),777727.51)</f>
        <v>777727.51</v>
      </c>
      <c r="S533" s="46">
        <f>IFERROR(__xludf.DUMMYFUNCTION("""COMPUTED_VALUE"""),588326.19)</f>
        <v>588326.19</v>
      </c>
    </row>
    <row r="534">
      <c r="A534" s="46" t="str">
        <f>IFERROR(__xludf.DUMMYFUNCTION("""COMPUTED_VALUE"""),"Baby Food")</f>
        <v>Baby Food</v>
      </c>
      <c r="B534" s="46" t="str">
        <f>IFERROR(__xludf.DUMMYFUNCTION("""COMPUTED_VALUE"""),"Hungary")</f>
        <v>Hungary</v>
      </c>
      <c r="C534" s="46" t="str">
        <f>IFERROR(__xludf.DUMMYFUNCTION("""COMPUTED_VALUE"""),"Europe")</f>
        <v>Europe</v>
      </c>
      <c r="D534" s="90">
        <f>IFERROR(__xludf.DUMMYFUNCTION("""COMPUTED_VALUE"""),41760.0)</f>
        <v>41760</v>
      </c>
      <c r="E534" s="46">
        <f>IFERROR(__xludf.DUMMYFUNCTION("""COMPUTED_VALUE"""),2014.0)</f>
        <v>2014</v>
      </c>
      <c r="F534" s="46">
        <f>IFERROR(__xludf.DUMMYFUNCTION("""COMPUTED_VALUE"""),1.0)</f>
        <v>1</v>
      </c>
      <c r="G534" s="46">
        <f>IFERROR(__xludf.DUMMYFUNCTION("""COMPUTED_VALUE"""),6828.0)</f>
        <v>6828</v>
      </c>
      <c r="H534" s="46">
        <f>IFERROR(__xludf.DUMMYFUNCTION("""COMPUTED_VALUE"""),1743051.84)</f>
        <v>1743051.84</v>
      </c>
      <c r="I534" s="46">
        <f>IFERROR(__xludf.DUMMYFUNCTION("""COMPUTED_VALUE"""),1088519.76)</f>
        <v>1088519.76</v>
      </c>
      <c r="J534" s="46">
        <f>IFERROR(__xludf.DUMMYFUNCTION("""COMPUTED_VALUE"""),654532.0800000001)</f>
        <v>654532.08</v>
      </c>
      <c r="K534" s="46" t="str">
        <f t="array" ref="K534">TEXT(D534, "mmmm")</f>
        <v>May</v>
      </c>
      <c r="M534" s="46" t="str">
        <f>IFERROR(__xludf.DUMMYFUNCTION("""COMPUTED_VALUE"""),"Finland")</f>
        <v>Finland</v>
      </c>
      <c r="N534" s="94">
        <f>IFERROR(__xludf.DUMMYFUNCTION("""COMPUTED_VALUE"""),41456.0)</f>
        <v>41456</v>
      </c>
      <c r="O534" s="46">
        <f>IFERROR(__xludf.DUMMYFUNCTION("""COMPUTED_VALUE"""),1.0)</f>
        <v>1</v>
      </c>
      <c r="P534" s="46">
        <f>IFERROR(__xludf.DUMMYFUNCTION("""COMPUTED_VALUE"""),5386.0)</f>
        <v>5386</v>
      </c>
      <c r="Q534" s="46">
        <f>IFERROR(__xludf.DUMMYFUNCTION("""COMPUTED_VALUE"""),1107900.2)</f>
        <v>1107900.2</v>
      </c>
      <c r="R534" s="46">
        <f>IFERROR(__xludf.DUMMYFUNCTION("""COMPUTED_VALUE"""),630754.46)</f>
        <v>630754.46</v>
      </c>
      <c r="S534" s="46">
        <f>IFERROR(__xludf.DUMMYFUNCTION("""COMPUTED_VALUE"""),477145.74)</f>
        <v>477145.74</v>
      </c>
    </row>
    <row r="535">
      <c r="A535" s="46" t="str">
        <f>IFERROR(__xludf.DUMMYFUNCTION("""COMPUTED_VALUE"""),"Baby Food")</f>
        <v>Baby Food</v>
      </c>
      <c r="B535" s="46" t="str">
        <f>IFERROR(__xludf.DUMMYFUNCTION("""COMPUTED_VALUE"""),"Ukraine")</f>
        <v>Ukraine</v>
      </c>
      <c r="C535" s="46" t="str">
        <f>IFERROR(__xludf.DUMMYFUNCTION("""COMPUTED_VALUE"""),"Europe")</f>
        <v>Europe</v>
      </c>
      <c r="D535" s="90">
        <f>IFERROR(__xludf.DUMMYFUNCTION("""COMPUTED_VALUE"""),41760.0)</f>
        <v>41760</v>
      </c>
      <c r="E535" s="46">
        <f>IFERROR(__xludf.DUMMYFUNCTION("""COMPUTED_VALUE"""),2014.0)</f>
        <v>2014</v>
      </c>
      <c r="F535" s="46">
        <f>IFERROR(__xludf.DUMMYFUNCTION("""COMPUTED_VALUE"""),1.0)</f>
        <v>1</v>
      </c>
      <c r="G535" s="46">
        <f>IFERROR(__xludf.DUMMYFUNCTION("""COMPUTED_VALUE"""),1161.0)</f>
        <v>1161</v>
      </c>
      <c r="H535" s="46">
        <f>IFERROR(__xludf.DUMMYFUNCTION("""COMPUTED_VALUE"""),296380.08)</f>
        <v>296380.08</v>
      </c>
      <c r="I535" s="46">
        <f>IFERROR(__xludf.DUMMYFUNCTION("""COMPUTED_VALUE"""),185086.62)</f>
        <v>185086.62</v>
      </c>
      <c r="J535" s="46">
        <f>IFERROR(__xludf.DUMMYFUNCTION("""COMPUTED_VALUE"""),111293.46000000002)</f>
        <v>111293.46</v>
      </c>
      <c r="K535" s="46" t="str">
        <f t="array" ref="K535">TEXT(D535, "mmmm")</f>
        <v>May</v>
      </c>
      <c r="M535" s="46" t="str">
        <f>IFERROR(__xludf.DUMMYFUNCTION("""COMPUTED_VALUE"""),"Georgia")</f>
        <v>Georgia</v>
      </c>
      <c r="N535" s="94">
        <f>IFERROR(__xludf.DUMMYFUNCTION("""COMPUTED_VALUE"""),41456.0)</f>
        <v>41456</v>
      </c>
      <c r="O535" s="46">
        <f>IFERROR(__xludf.DUMMYFUNCTION("""COMPUTED_VALUE"""),1.0)</f>
        <v>1</v>
      </c>
      <c r="P535" s="46">
        <f>IFERROR(__xludf.DUMMYFUNCTION("""COMPUTED_VALUE"""),8039.0)</f>
        <v>8039</v>
      </c>
      <c r="Q535" s="46">
        <f>IFERROR(__xludf.DUMMYFUNCTION("""COMPUTED_VALUE"""),2052195.92)</f>
        <v>2052195.92</v>
      </c>
      <c r="R535" s="46">
        <f>IFERROR(__xludf.DUMMYFUNCTION("""COMPUTED_VALUE"""),1281577.38)</f>
        <v>1281577.38</v>
      </c>
      <c r="S535" s="46">
        <f>IFERROR(__xludf.DUMMYFUNCTION("""COMPUTED_VALUE"""),770618.54)</f>
        <v>770618.54</v>
      </c>
    </row>
    <row r="536">
      <c r="A536" s="46" t="str">
        <f>IFERROR(__xludf.DUMMYFUNCTION("""COMPUTED_VALUE"""),"Beverages")</f>
        <v>Beverages</v>
      </c>
      <c r="B536" s="46" t="str">
        <f>IFERROR(__xludf.DUMMYFUNCTION("""COMPUTED_VALUE"""),"Hungary")</f>
        <v>Hungary</v>
      </c>
      <c r="C536" s="46" t="str">
        <f>IFERROR(__xludf.DUMMYFUNCTION("""COMPUTED_VALUE"""),"Europe")</f>
        <v>Europe</v>
      </c>
      <c r="D536" s="90">
        <f>IFERROR(__xludf.DUMMYFUNCTION("""COMPUTED_VALUE"""),41760.0)</f>
        <v>41760</v>
      </c>
      <c r="E536" s="46">
        <f>IFERROR(__xludf.DUMMYFUNCTION("""COMPUTED_VALUE"""),2014.0)</f>
        <v>2014</v>
      </c>
      <c r="F536" s="46">
        <f>IFERROR(__xludf.DUMMYFUNCTION("""COMPUTED_VALUE"""),1.0)</f>
        <v>1</v>
      </c>
      <c r="G536" s="46">
        <f>IFERROR(__xludf.DUMMYFUNCTION("""COMPUTED_VALUE"""),6852.0)</f>
        <v>6852</v>
      </c>
      <c r="H536" s="46">
        <f>IFERROR(__xludf.DUMMYFUNCTION("""COMPUTED_VALUE"""),325127.4)</f>
        <v>325127.4</v>
      </c>
      <c r="I536" s="46">
        <f>IFERROR(__xludf.DUMMYFUNCTION("""COMPUTED_VALUE"""),217825.08)</f>
        <v>217825.08</v>
      </c>
      <c r="J536" s="46">
        <f>IFERROR(__xludf.DUMMYFUNCTION("""COMPUTED_VALUE"""),107302.32000000004)</f>
        <v>107302.32</v>
      </c>
      <c r="K536" s="46" t="str">
        <f t="array" ref="K536">TEXT(D536, "mmmm")</f>
        <v>May</v>
      </c>
      <c r="M536" s="46" t="str">
        <f>IFERROR(__xludf.DUMMYFUNCTION("""COMPUTED_VALUE"""),"Italy")</f>
        <v>Italy</v>
      </c>
      <c r="N536" s="94">
        <f>IFERROR(__xludf.DUMMYFUNCTION("""COMPUTED_VALUE"""),41456.0)</f>
        <v>41456</v>
      </c>
      <c r="O536" s="46">
        <f>IFERROR(__xludf.DUMMYFUNCTION("""COMPUTED_VALUE"""),2.0)</f>
        <v>2</v>
      </c>
      <c r="P536" s="46">
        <f>IFERROR(__xludf.DUMMYFUNCTION("""COMPUTED_VALUE"""),10501.0)</f>
        <v>10501</v>
      </c>
      <c r="Q536" s="46">
        <f>IFERROR(__xludf.DUMMYFUNCTION("""COMPUTED_VALUE"""),2879710.85)</f>
        <v>2879710.85</v>
      </c>
      <c r="R536" s="46">
        <f>IFERROR(__xludf.DUMMYFUNCTION("""COMPUTED_VALUE"""),2451070.79)</f>
        <v>2451070.79</v>
      </c>
      <c r="S536" s="46">
        <f>IFERROR(__xludf.DUMMYFUNCTION("""COMPUTED_VALUE"""),428640.06000000006)</f>
        <v>428640.06</v>
      </c>
    </row>
    <row r="537">
      <c r="A537" s="46" t="str">
        <f>IFERROR(__xludf.DUMMYFUNCTION("""COMPUTED_VALUE"""),"Beverages")</f>
        <v>Beverages</v>
      </c>
      <c r="B537" s="46" t="str">
        <f>IFERROR(__xludf.DUMMYFUNCTION("""COMPUTED_VALUE"""),"San Marino")</f>
        <v>San Marino</v>
      </c>
      <c r="C537" s="46" t="str">
        <f>IFERROR(__xludf.DUMMYFUNCTION("""COMPUTED_VALUE"""),"Europe")</f>
        <v>Europe</v>
      </c>
      <c r="D537" s="90">
        <f>IFERROR(__xludf.DUMMYFUNCTION("""COMPUTED_VALUE"""),41760.0)</f>
        <v>41760</v>
      </c>
      <c r="E537" s="46">
        <f>IFERROR(__xludf.DUMMYFUNCTION("""COMPUTED_VALUE"""),2014.0)</f>
        <v>2014</v>
      </c>
      <c r="F537" s="46">
        <f>IFERROR(__xludf.DUMMYFUNCTION("""COMPUTED_VALUE"""),1.0)</f>
        <v>1</v>
      </c>
      <c r="G537" s="46">
        <f>IFERROR(__xludf.DUMMYFUNCTION("""COMPUTED_VALUE"""),9559.0)</f>
        <v>9559</v>
      </c>
      <c r="H537" s="46">
        <f>IFERROR(__xludf.DUMMYFUNCTION("""COMPUTED_VALUE"""),453574.55000000005)</f>
        <v>453574.55</v>
      </c>
      <c r="I537" s="46">
        <f>IFERROR(__xludf.DUMMYFUNCTION("""COMPUTED_VALUE"""),303880.61)</f>
        <v>303880.61</v>
      </c>
      <c r="J537" s="46">
        <f>IFERROR(__xludf.DUMMYFUNCTION("""COMPUTED_VALUE"""),149693.94000000006)</f>
        <v>149693.94</v>
      </c>
      <c r="K537" s="46" t="str">
        <f t="array" ref="K537">TEXT(D537, "mmmm")</f>
        <v>May</v>
      </c>
      <c r="M537" s="46" t="str">
        <f>IFERROR(__xludf.DUMMYFUNCTION("""COMPUTED_VALUE"""),"Malta")</f>
        <v>Malta</v>
      </c>
      <c r="N537" s="94">
        <f>IFERROR(__xludf.DUMMYFUNCTION("""COMPUTED_VALUE"""),41456.0)</f>
        <v>41456</v>
      </c>
      <c r="O537" s="46">
        <f>IFERROR(__xludf.DUMMYFUNCTION("""COMPUTED_VALUE"""),1.0)</f>
        <v>1</v>
      </c>
      <c r="P537" s="46">
        <f>IFERROR(__xludf.DUMMYFUNCTION("""COMPUTED_VALUE"""),9229.0)</f>
        <v>9229</v>
      </c>
      <c r="Q537" s="46">
        <f>IFERROR(__xludf.DUMMYFUNCTION("""COMPUTED_VALUE"""),1898405.2999999998)</f>
        <v>1898405.3</v>
      </c>
      <c r="R537" s="46">
        <f>IFERROR(__xludf.DUMMYFUNCTION("""COMPUTED_VALUE"""),1080808.19)</f>
        <v>1080808.19</v>
      </c>
      <c r="S537" s="46">
        <f>IFERROR(__xludf.DUMMYFUNCTION("""COMPUTED_VALUE"""),817597.1099999999)</f>
        <v>817597.11</v>
      </c>
    </row>
    <row r="538">
      <c r="A538" s="46" t="str">
        <f>IFERROR(__xludf.DUMMYFUNCTION("""COMPUTED_VALUE"""),"Cereal")</f>
        <v>Cereal</v>
      </c>
      <c r="B538" s="46" t="str">
        <f>IFERROR(__xludf.DUMMYFUNCTION("""COMPUTED_VALUE"""),"San Marino")</f>
        <v>San Marino</v>
      </c>
      <c r="C538" s="46" t="str">
        <f>IFERROR(__xludf.DUMMYFUNCTION("""COMPUTED_VALUE"""),"Europe")</f>
        <v>Europe</v>
      </c>
      <c r="D538" s="90">
        <f>IFERROR(__xludf.DUMMYFUNCTION("""COMPUTED_VALUE"""),41760.0)</f>
        <v>41760</v>
      </c>
      <c r="E538" s="46">
        <f>IFERROR(__xludf.DUMMYFUNCTION("""COMPUTED_VALUE"""),2014.0)</f>
        <v>2014</v>
      </c>
      <c r="F538" s="46">
        <f>IFERROR(__xludf.DUMMYFUNCTION("""COMPUTED_VALUE"""),1.0)</f>
        <v>1</v>
      </c>
      <c r="G538" s="46">
        <f>IFERROR(__xludf.DUMMYFUNCTION("""COMPUTED_VALUE"""),7967.0)</f>
        <v>7967</v>
      </c>
      <c r="H538" s="46">
        <f>IFERROR(__xludf.DUMMYFUNCTION("""COMPUTED_VALUE"""),1638811.9)</f>
        <v>1638811.9</v>
      </c>
      <c r="I538" s="46">
        <f>IFERROR(__xludf.DUMMYFUNCTION("""COMPUTED_VALUE"""),933015.37)</f>
        <v>933015.37</v>
      </c>
      <c r="J538" s="46">
        <f>IFERROR(__xludf.DUMMYFUNCTION("""COMPUTED_VALUE"""),705796.5299999999)</f>
        <v>705796.53</v>
      </c>
      <c r="K538" s="46" t="str">
        <f t="array" ref="K538">TEXT(D538, "mmmm")</f>
        <v>May</v>
      </c>
      <c r="M538" s="46" t="str">
        <f>IFERROR(__xludf.DUMMYFUNCTION("""COMPUTED_VALUE"""),"Monaco")</f>
        <v>Monaco</v>
      </c>
      <c r="N538" s="94">
        <f>IFERROR(__xludf.DUMMYFUNCTION("""COMPUTED_VALUE"""),41456.0)</f>
        <v>41456</v>
      </c>
      <c r="O538" s="46">
        <f>IFERROR(__xludf.DUMMYFUNCTION("""COMPUTED_VALUE"""),1.0)</f>
        <v>1</v>
      </c>
      <c r="P538" s="46">
        <f>IFERROR(__xludf.DUMMYFUNCTION("""COMPUTED_VALUE"""),615.0)</f>
        <v>615</v>
      </c>
      <c r="Q538" s="46">
        <f>IFERROR(__xludf.DUMMYFUNCTION("""COMPUTED_VALUE"""),259462.35)</f>
        <v>259462.35</v>
      </c>
      <c r="R538" s="46">
        <f>IFERROR(__xludf.DUMMYFUNCTION("""COMPUTED_VALUE"""),224284.35)</f>
        <v>224284.35</v>
      </c>
      <c r="S538" s="46">
        <f>IFERROR(__xludf.DUMMYFUNCTION("""COMPUTED_VALUE"""),35178.0)</f>
        <v>35178</v>
      </c>
    </row>
    <row r="539">
      <c r="A539" s="46" t="str">
        <f>IFERROR(__xludf.DUMMYFUNCTION("""COMPUTED_VALUE"""),"Clothes")</f>
        <v>Clothes</v>
      </c>
      <c r="B539" s="46" t="str">
        <f>IFERROR(__xludf.DUMMYFUNCTION("""COMPUTED_VALUE"""),"Russia")</f>
        <v>Russia</v>
      </c>
      <c r="C539" s="46" t="str">
        <f>IFERROR(__xludf.DUMMYFUNCTION("""COMPUTED_VALUE"""),"Europe")</f>
        <v>Europe</v>
      </c>
      <c r="D539" s="90">
        <f>IFERROR(__xludf.DUMMYFUNCTION("""COMPUTED_VALUE"""),41760.0)</f>
        <v>41760</v>
      </c>
      <c r="E539" s="46">
        <f>IFERROR(__xludf.DUMMYFUNCTION("""COMPUTED_VALUE"""),2014.0)</f>
        <v>2014</v>
      </c>
      <c r="F539" s="46">
        <f>IFERROR(__xludf.DUMMYFUNCTION("""COMPUTED_VALUE"""),1.0)</f>
        <v>1</v>
      </c>
      <c r="G539" s="46">
        <f>IFERROR(__xludf.DUMMYFUNCTION("""COMPUTED_VALUE"""),9186.0)</f>
        <v>9186</v>
      </c>
      <c r="H539" s="46">
        <f>IFERROR(__xludf.DUMMYFUNCTION("""COMPUTED_VALUE"""),1003846.08)</f>
        <v>1003846.08</v>
      </c>
      <c r="I539" s="46">
        <f>IFERROR(__xludf.DUMMYFUNCTION("""COMPUTED_VALUE"""),329226.24000000005)</f>
        <v>329226.24</v>
      </c>
      <c r="J539" s="46">
        <f>IFERROR(__xludf.DUMMYFUNCTION("""COMPUTED_VALUE"""),674619.8399999999)</f>
        <v>674619.84</v>
      </c>
      <c r="K539" s="46" t="str">
        <f t="array" ref="K539">TEXT(D539, "mmmm")</f>
        <v>May</v>
      </c>
      <c r="M539" s="46" t="str">
        <f>IFERROR(__xludf.DUMMYFUNCTION("""COMPUTED_VALUE"""),"San Marino")</f>
        <v>San Marino</v>
      </c>
      <c r="N539" s="94">
        <f>IFERROR(__xludf.DUMMYFUNCTION("""COMPUTED_VALUE"""),41456.0)</f>
        <v>41456</v>
      </c>
      <c r="O539" s="46">
        <f>IFERROR(__xludf.DUMMYFUNCTION("""COMPUTED_VALUE"""),1.0)</f>
        <v>1</v>
      </c>
      <c r="P539" s="46">
        <f>IFERROR(__xludf.DUMMYFUNCTION("""COMPUTED_VALUE"""),5523.0)</f>
        <v>5523</v>
      </c>
      <c r="Q539" s="46">
        <f>IFERROR(__xludf.DUMMYFUNCTION("""COMPUTED_VALUE"""),603553.4400000001)</f>
        <v>603553.44</v>
      </c>
      <c r="R539" s="46">
        <f>IFERROR(__xludf.DUMMYFUNCTION("""COMPUTED_VALUE"""),197944.32)</f>
        <v>197944.32</v>
      </c>
      <c r="S539" s="46">
        <f>IFERROR(__xludf.DUMMYFUNCTION("""COMPUTED_VALUE"""),405609.12000000005)</f>
        <v>405609.12</v>
      </c>
    </row>
    <row r="540">
      <c r="A540" s="46" t="str">
        <f>IFERROR(__xludf.DUMMYFUNCTION("""COMPUTED_VALUE"""),"Clothes")</f>
        <v>Clothes</v>
      </c>
      <c r="B540" s="46" t="str">
        <f>IFERROR(__xludf.DUMMYFUNCTION("""COMPUTED_VALUE"""),"Slovenia")</f>
        <v>Slovenia</v>
      </c>
      <c r="C540" s="46" t="str">
        <f>IFERROR(__xludf.DUMMYFUNCTION("""COMPUTED_VALUE"""),"Europe")</f>
        <v>Europe</v>
      </c>
      <c r="D540" s="90">
        <f>IFERROR(__xludf.DUMMYFUNCTION("""COMPUTED_VALUE"""),41760.0)</f>
        <v>41760</v>
      </c>
      <c r="E540" s="46">
        <f>IFERROR(__xludf.DUMMYFUNCTION("""COMPUTED_VALUE"""),2014.0)</f>
        <v>2014</v>
      </c>
      <c r="F540" s="46">
        <f>IFERROR(__xludf.DUMMYFUNCTION("""COMPUTED_VALUE"""),1.0)</f>
        <v>1</v>
      </c>
      <c r="G540" s="46">
        <f>IFERROR(__xludf.DUMMYFUNCTION("""COMPUTED_VALUE"""),8750.0)</f>
        <v>8750</v>
      </c>
      <c r="H540" s="46">
        <f>IFERROR(__xludf.DUMMYFUNCTION("""COMPUTED_VALUE"""),956200.0)</f>
        <v>956200</v>
      </c>
      <c r="I540" s="46">
        <f>IFERROR(__xludf.DUMMYFUNCTION("""COMPUTED_VALUE"""),313600.00000000006)</f>
        <v>313600</v>
      </c>
      <c r="J540" s="46">
        <f>IFERROR(__xludf.DUMMYFUNCTION("""COMPUTED_VALUE"""),642600.0)</f>
        <v>642600</v>
      </c>
      <c r="K540" s="46" t="str">
        <f t="array" ref="K540">TEXT(D540, "mmmm")</f>
        <v>May</v>
      </c>
      <c r="M540" s="46" t="str">
        <f>IFERROR(__xludf.DUMMYFUNCTION("""COMPUTED_VALUE"""),"Undefined")</f>
        <v>Undefined</v>
      </c>
      <c r="N540" s="94">
        <f>IFERROR(__xludf.DUMMYFUNCTION("""COMPUTED_VALUE"""),41456.0)</f>
        <v>41456</v>
      </c>
      <c r="O540" s="46">
        <f>IFERROR(__xludf.DUMMYFUNCTION("""COMPUTED_VALUE"""),1.0)</f>
        <v>1</v>
      </c>
      <c r="P540" s="46">
        <f>IFERROR(__xludf.DUMMYFUNCTION("""COMPUTED_VALUE"""),7371.0)</f>
        <v>7371</v>
      </c>
      <c r="Q540" s="46">
        <f>IFERROR(__xludf.DUMMYFUNCTION("""COMPUTED_VALUE"""),68771.43000000001)</f>
        <v>68771.43</v>
      </c>
      <c r="R540" s="46">
        <f>IFERROR(__xludf.DUMMYFUNCTION("""COMPUTED_VALUE"""),51007.32)</f>
        <v>51007.32</v>
      </c>
      <c r="S540" s="46">
        <f>IFERROR(__xludf.DUMMYFUNCTION("""COMPUTED_VALUE"""),17764.110000000008)</f>
        <v>17764.11</v>
      </c>
    </row>
    <row r="541">
      <c r="A541" s="46" t="str">
        <f>IFERROR(__xludf.DUMMYFUNCTION("""COMPUTED_VALUE"""),"Cosmetics")</f>
        <v>Cosmetics</v>
      </c>
      <c r="B541" s="46" t="str">
        <f>IFERROR(__xludf.DUMMYFUNCTION("""COMPUTED_VALUE"""),"Hungary")</f>
        <v>Hungary</v>
      </c>
      <c r="C541" s="46" t="str">
        <f>IFERROR(__xludf.DUMMYFUNCTION("""COMPUTED_VALUE"""),"Europe")</f>
        <v>Europe</v>
      </c>
      <c r="D541" s="90">
        <f>IFERROR(__xludf.DUMMYFUNCTION("""COMPUTED_VALUE"""),41760.0)</f>
        <v>41760</v>
      </c>
      <c r="E541" s="46">
        <f>IFERROR(__xludf.DUMMYFUNCTION("""COMPUTED_VALUE"""),2014.0)</f>
        <v>2014</v>
      </c>
      <c r="F541" s="46">
        <f>IFERROR(__xludf.DUMMYFUNCTION("""COMPUTED_VALUE"""),1.0)</f>
        <v>1</v>
      </c>
      <c r="G541" s="46">
        <f>IFERROR(__xludf.DUMMYFUNCTION("""COMPUTED_VALUE"""),2341.0)</f>
        <v>2341</v>
      </c>
      <c r="H541" s="46">
        <f>IFERROR(__xludf.DUMMYFUNCTION("""COMPUTED_VALUE"""),1023485.2)</f>
        <v>1023485.2</v>
      </c>
      <c r="I541" s="46">
        <f>IFERROR(__xludf.DUMMYFUNCTION("""COMPUTED_VALUE"""),616455.5299999999)</f>
        <v>616455.53</v>
      </c>
      <c r="J541" s="46">
        <f>IFERROR(__xludf.DUMMYFUNCTION("""COMPUTED_VALUE"""),407029.67000000004)</f>
        <v>407029.67</v>
      </c>
      <c r="K541" s="46" t="str">
        <f t="array" ref="K541">TEXT(D541, "mmmm")</f>
        <v>May</v>
      </c>
      <c r="M541" s="46" t="str">
        <f>IFERROR(__xludf.DUMMYFUNCTION("""COMPUTED_VALUE"""),"United Kingdom")</f>
        <v>United Kingdom</v>
      </c>
      <c r="N541" s="94">
        <f>IFERROR(__xludf.DUMMYFUNCTION("""COMPUTED_VALUE"""),41456.0)</f>
        <v>41456</v>
      </c>
      <c r="O541" s="46">
        <f>IFERROR(__xludf.DUMMYFUNCTION("""COMPUTED_VALUE"""),1.0)</f>
        <v>1</v>
      </c>
      <c r="P541" s="46">
        <f>IFERROR(__xludf.DUMMYFUNCTION("""COMPUTED_VALUE"""),3529.0)</f>
        <v>3529</v>
      </c>
      <c r="Q541" s="46">
        <f>IFERROR(__xludf.DUMMYFUNCTION("""COMPUTED_VALUE"""),538454.8200000001)</f>
        <v>538454.82</v>
      </c>
      <c r="R541" s="46">
        <f>IFERROR(__xludf.DUMMYFUNCTION("""COMPUTED_VALUE"""),343865.76)</f>
        <v>343865.76</v>
      </c>
      <c r="S541" s="46">
        <f>IFERROR(__xludf.DUMMYFUNCTION("""COMPUTED_VALUE"""),194589.06000000006)</f>
        <v>194589.06</v>
      </c>
    </row>
    <row r="542">
      <c r="A542" s="46" t="str">
        <f>IFERROR(__xludf.DUMMYFUNCTION("""COMPUTED_VALUE"""),"Fruits")</f>
        <v>Fruits</v>
      </c>
      <c r="B542" s="46" t="str">
        <f>IFERROR(__xludf.DUMMYFUNCTION("""COMPUTED_VALUE"""),"Andorra")</f>
        <v>Andorra</v>
      </c>
      <c r="C542" s="46" t="str">
        <f>IFERROR(__xludf.DUMMYFUNCTION("""COMPUTED_VALUE"""),"Europe")</f>
        <v>Europe</v>
      </c>
      <c r="D542" s="90">
        <f>IFERROR(__xludf.DUMMYFUNCTION("""COMPUTED_VALUE"""),41760.0)</f>
        <v>41760</v>
      </c>
      <c r="E542" s="46">
        <f>IFERROR(__xludf.DUMMYFUNCTION("""COMPUTED_VALUE"""),2014.0)</f>
        <v>2014</v>
      </c>
      <c r="F542" s="46">
        <f>IFERROR(__xludf.DUMMYFUNCTION("""COMPUTED_VALUE"""),1.0)</f>
        <v>1</v>
      </c>
      <c r="G542" s="46">
        <f>IFERROR(__xludf.DUMMYFUNCTION("""COMPUTED_VALUE"""),983.0)</f>
        <v>983</v>
      </c>
      <c r="H542" s="46">
        <f>IFERROR(__xludf.DUMMYFUNCTION("""COMPUTED_VALUE"""),9171.39)</f>
        <v>9171.39</v>
      </c>
      <c r="I542" s="46">
        <f>IFERROR(__xludf.DUMMYFUNCTION("""COMPUTED_VALUE"""),6802.36)</f>
        <v>6802.36</v>
      </c>
      <c r="J542" s="46">
        <f>IFERROR(__xludf.DUMMYFUNCTION("""COMPUTED_VALUE"""),2369.0299999999997)</f>
        <v>2369.03</v>
      </c>
      <c r="K542" s="46" t="str">
        <f t="array" ref="K542">TEXT(D542, "mmmm")</f>
        <v>May</v>
      </c>
      <c r="M542" s="46" t="str">
        <f>IFERROR(__xludf.DUMMYFUNCTION("""COMPUTED_VALUE"""),"Belgium")</f>
        <v>Belgium</v>
      </c>
      <c r="N542" s="94">
        <f>IFERROR(__xludf.DUMMYFUNCTION("""COMPUTED_VALUE"""),41487.0)</f>
        <v>41487</v>
      </c>
      <c r="O542" s="46">
        <f>IFERROR(__xludf.DUMMYFUNCTION("""COMPUTED_VALUE"""),1.0)</f>
        <v>1</v>
      </c>
      <c r="P542" s="46">
        <f>IFERROR(__xludf.DUMMYFUNCTION("""COMPUTED_VALUE"""),2856.0)</f>
        <v>2856</v>
      </c>
      <c r="Q542" s="46">
        <f>IFERROR(__xludf.DUMMYFUNCTION("""COMPUTED_VALUE"""),435768.48000000004)</f>
        <v>435768.48</v>
      </c>
      <c r="R542" s="46">
        <f>IFERROR(__xludf.DUMMYFUNCTION("""COMPUTED_VALUE"""),278288.64)</f>
        <v>278288.64</v>
      </c>
      <c r="S542" s="46">
        <f>IFERROR(__xludf.DUMMYFUNCTION("""COMPUTED_VALUE"""),157479.84000000003)</f>
        <v>157479.84</v>
      </c>
    </row>
    <row r="543">
      <c r="A543" s="46" t="str">
        <f>IFERROR(__xludf.DUMMYFUNCTION("""COMPUTED_VALUE"""),"Fruits")</f>
        <v>Fruits</v>
      </c>
      <c r="B543" s="46" t="str">
        <f>IFERROR(__xludf.DUMMYFUNCTION("""COMPUTED_VALUE"""),"Greece")</f>
        <v>Greece</v>
      </c>
      <c r="C543" s="46" t="str">
        <f>IFERROR(__xludf.DUMMYFUNCTION("""COMPUTED_VALUE"""),"Europe")</f>
        <v>Europe</v>
      </c>
      <c r="D543" s="90">
        <f>IFERROR(__xludf.DUMMYFUNCTION("""COMPUTED_VALUE"""),41760.0)</f>
        <v>41760</v>
      </c>
      <c r="E543" s="46">
        <f>IFERROR(__xludf.DUMMYFUNCTION("""COMPUTED_VALUE"""),2014.0)</f>
        <v>2014</v>
      </c>
      <c r="F543" s="46">
        <f>IFERROR(__xludf.DUMMYFUNCTION("""COMPUTED_VALUE"""),1.0)</f>
        <v>1</v>
      </c>
      <c r="G543" s="46">
        <f>IFERROR(__xludf.DUMMYFUNCTION("""COMPUTED_VALUE"""),6201.0)</f>
        <v>6201</v>
      </c>
      <c r="H543" s="46">
        <f>IFERROR(__xludf.DUMMYFUNCTION("""COMPUTED_VALUE"""),57855.33)</f>
        <v>57855.33</v>
      </c>
      <c r="I543" s="46">
        <f>IFERROR(__xludf.DUMMYFUNCTION("""COMPUTED_VALUE"""),42910.92)</f>
        <v>42910.92</v>
      </c>
      <c r="J543" s="46">
        <f>IFERROR(__xludf.DUMMYFUNCTION("""COMPUTED_VALUE"""),14944.410000000003)</f>
        <v>14944.41</v>
      </c>
      <c r="K543" s="46" t="str">
        <f t="array" ref="K543">TEXT(D543, "mmmm")</f>
        <v>May</v>
      </c>
      <c r="M543" s="46" t="str">
        <f>IFERROR(__xludf.DUMMYFUNCTION("""COMPUTED_VALUE"""),"Greece")</f>
        <v>Greece</v>
      </c>
      <c r="N543" s="94">
        <f>IFERROR(__xludf.DUMMYFUNCTION("""COMPUTED_VALUE"""),41487.0)</f>
        <v>41487</v>
      </c>
      <c r="O543" s="46">
        <f>IFERROR(__xludf.DUMMYFUNCTION("""COMPUTED_VALUE"""),1.0)</f>
        <v>1</v>
      </c>
      <c r="P543" s="46">
        <f>IFERROR(__xludf.DUMMYFUNCTION("""COMPUTED_VALUE"""),7617.0)</f>
        <v>7617</v>
      </c>
      <c r="Q543" s="46">
        <f>IFERROR(__xludf.DUMMYFUNCTION("""COMPUTED_VALUE"""),1944467.76)</f>
        <v>1944467.76</v>
      </c>
      <c r="R543" s="46">
        <f>IFERROR(__xludf.DUMMYFUNCTION("""COMPUTED_VALUE"""),1214302.14)</f>
        <v>1214302.14</v>
      </c>
      <c r="S543" s="46">
        <f>IFERROR(__xludf.DUMMYFUNCTION("""COMPUTED_VALUE"""),730165.6200000001)</f>
        <v>730165.62</v>
      </c>
    </row>
    <row r="544">
      <c r="A544" s="46" t="str">
        <f>IFERROR(__xludf.DUMMYFUNCTION("""COMPUTED_VALUE"""),"Household")</f>
        <v>Household</v>
      </c>
      <c r="B544" s="46" t="str">
        <f>IFERROR(__xludf.DUMMYFUNCTION("""COMPUTED_VALUE"""),"Andorra")</f>
        <v>Andorra</v>
      </c>
      <c r="C544" s="46" t="str">
        <f>IFERROR(__xludf.DUMMYFUNCTION("""COMPUTED_VALUE"""),"Europe")</f>
        <v>Europe</v>
      </c>
      <c r="D544" s="90">
        <f>IFERROR(__xludf.DUMMYFUNCTION("""COMPUTED_VALUE"""),41760.0)</f>
        <v>41760</v>
      </c>
      <c r="E544" s="46">
        <f>IFERROR(__xludf.DUMMYFUNCTION("""COMPUTED_VALUE"""),2014.0)</f>
        <v>2014</v>
      </c>
      <c r="F544" s="46">
        <f>IFERROR(__xludf.DUMMYFUNCTION("""COMPUTED_VALUE"""),1.0)</f>
        <v>1</v>
      </c>
      <c r="G544" s="46">
        <f>IFERROR(__xludf.DUMMYFUNCTION("""COMPUTED_VALUE"""),3227.0)</f>
        <v>3227</v>
      </c>
      <c r="H544" s="46">
        <f>IFERROR(__xludf.DUMMYFUNCTION("""COMPUTED_VALUE"""),2156507.29)</f>
        <v>2156507.29</v>
      </c>
      <c r="I544" s="46">
        <f>IFERROR(__xludf.DUMMYFUNCTION("""COMPUTED_VALUE"""),1621696.58)</f>
        <v>1621696.58</v>
      </c>
      <c r="J544" s="46">
        <f>IFERROR(__xludf.DUMMYFUNCTION("""COMPUTED_VALUE"""),534810.71)</f>
        <v>534810.71</v>
      </c>
      <c r="K544" s="46" t="str">
        <f t="array" ref="K544">TEXT(D544, "mmmm")</f>
        <v>May</v>
      </c>
      <c r="M544" s="46" t="str">
        <f>IFERROR(__xludf.DUMMYFUNCTION("""COMPUTED_VALUE"""),"Netherlands")</f>
        <v>Netherlands</v>
      </c>
      <c r="N544" s="94">
        <f>IFERROR(__xludf.DUMMYFUNCTION("""COMPUTED_VALUE"""),41487.0)</f>
        <v>41487</v>
      </c>
      <c r="O544" s="46">
        <f>IFERROR(__xludf.DUMMYFUNCTION("""COMPUTED_VALUE"""),1.0)</f>
        <v>1</v>
      </c>
      <c r="P544" s="46">
        <f>IFERROR(__xludf.DUMMYFUNCTION("""COMPUTED_VALUE"""),2112.0)</f>
        <v>2112</v>
      </c>
      <c r="Q544" s="46">
        <f>IFERROR(__xludf.DUMMYFUNCTION("""COMPUTED_VALUE"""),1411386.24)</f>
        <v>1411386.24</v>
      </c>
      <c r="R544" s="46">
        <f>IFERROR(__xludf.DUMMYFUNCTION("""COMPUTED_VALUE"""),1061364.48)</f>
        <v>1061364.48</v>
      </c>
      <c r="S544" s="46">
        <f>IFERROR(__xludf.DUMMYFUNCTION("""COMPUTED_VALUE"""),350021.76)</f>
        <v>350021.76</v>
      </c>
    </row>
    <row r="545">
      <c r="A545" s="46" t="str">
        <f>IFERROR(__xludf.DUMMYFUNCTION("""COMPUTED_VALUE"""),"Meat")</f>
        <v>Meat</v>
      </c>
      <c r="B545" s="46" t="str">
        <f>IFERROR(__xludf.DUMMYFUNCTION("""COMPUTED_VALUE"""),"France")</f>
        <v>France</v>
      </c>
      <c r="C545" s="46" t="str">
        <f>IFERROR(__xludf.DUMMYFUNCTION("""COMPUTED_VALUE"""),"Europe")</f>
        <v>Europe</v>
      </c>
      <c r="D545" s="90">
        <f>IFERROR(__xludf.DUMMYFUNCTION("""COMPUTED_VALUE"""),41760.0)</f>
        <v>41760</v>
      </c>
      <c r="E545" s="46">
        <f>IFERROR(__xludf.DUMMYFUNCTION("""COMPUTED_VALUE"""),2014.0)</f>
        <v>2014</v>
      </c>
      <c r="F545" s="46">
        <f>IFERROR(__xludf.DUMMYFUNCTION("""COMPUTED_VALUE"""),1.0)</f>
        <v>1</v>
      </c>
      <c r="G545" s="46">
        <f>IFERROR(__xludf.DUMMYFUNCTION("""COMPUTED_VALUE"""),6986.0)</f>
        <v>6986</v>
      </c>
      <c r="H545" s="46">
        <f>IFERROR(__xludf.DUMMYFUNCTION("""COMPUTED_VALUE"""),2947323.54)</f>
        <v>2947323.54</v>
      </c>
      <c r="I545" s="46">
        <f>IFERROR(__xludf.DUMMYFUNCTION("""COMPUTED_VALUE"""),2547724.34)</f>
        <v>2547724.34</v>
      </c>
      <c r="J545" s="46">
        <f>IFERROR(__xludf.DUMMYFUNCTION("""COMPUTED_VALUE"""),399599.2000000002)</f>
        <v>399599.2</v>
      </c>
      <c r="K545" s="46" t="str">
        <f t="array" ref="K545">TEXT(D545, "mmmm")</f>
        <v>May</v>
      </c>
      <c r="M545" s="46" t="str">
        <f>IFERROR(__xludf.DUMMYFUNCTION("""COMPUTED_VALUE"""),"Norway")</f>
        <v>Norway</v>
      </c>
      <c r="N545" s="94">
        <f>IFERROR(__xludf.DUMMYFUNCTION("""COMPUTED_VALUE"""),41487.0)</f>
        <v>41487</v>
      </c>
      <c r="O545" s="46">
        <f>IFERROR(__xludf.DUMMYFUNCTION("""COMPUTED_VALUE"""),1.0)</f>
        <v>1</v>
      </c>
      <c r="P545" s="46">
        <f>IFERROR(__xludf.DUMMYFUNCTION("""COMPUTED_VALUE"""),4705.0)</f>
        <v>4705</v>
      </c>
      <c r="Q545" s="46">
        <f>IFERROR(__xludf.DUMMYFUNCTION("""COMPUTED_VALUE"""),43897.65)</f>
        <v>43897.65</v>
      </c>
      <c r="R545" s="46">
        <f>IFERROR(__xludf.DUMMYFUNCTION("""COMPUTED_VALUE"""),32558.6)</f>
        <v>32558.6</v>
      </c>
      <c r="S545" s="46">
        <f>IFERROR(__xludf.DUMMYFUNCTION("""COMPUTED_VALUE"""),11339.050000000003)</f>
        <v>11339.05</v>
      </c>
    </row>
    <row r="546">
      <c r="A546" s="46" t="str">
        <f>IFERROR(__xludf.DUMMYFUNCTION("""COMPUTED_VALUE"""),"Meat")</f>
        <v>Meat</v>
      </c>
      <c r="B546" s="46" t="str">
        <f>IFERROR(__xludf.DUMMYFUNCTION("""COMPUTED_VALUE"""),"Spain")</f>
        <v>Spain</v>
      </c>
      <c r="C546" s="46" t="str">
        <f>IFERROR(__xludf.DUMMYFUNCTION("""COMPUTED_VALUE"""),"Europe")</f>
        <v>Europe</v>
      </c>
      <c r="D546" s="90">
        <f>IFERROR(__xludf.DUMMYFUNCTION("""COMPUTED_VALUE"""),41760.0)</f>
        <v>41760</v>
      </c>
      <c r="E546" s="46">
        <f>IFERROR(__xludf.DUMMYFUNCTION("""COMPUTED_VALUE"""),2014.0)</f>
        <v>2014</v>
      </c>
      <c r="F546" s="46">
        <f>IFERROR(__xludf.DUMMYFUNCTION("""COMPUTED_VALUE"""),1.0)</f>
        <v>1</v>
      </c>
      <c r="G546" s="46">
        <f>IFERROR(__xludf.DUMMYFUNCTION("""COMPUTED_VALUE"""),4958.0)</f>
        <v>4958</v>
      </c>
      <c r="H546" s="46">
        <f>IFERROR(__xludf.DUMMYFUNCTION("""COMPUTED_VALUE"""),2091730.6199999999)</f>
        <v>2091730.62</v>
      </c>
      <c r="I546" s="46">
        <f>IFERROR(__xludf.DUMMYFUNCTION("""COMPUTED_VALUE"""),1808133.02)</f>
        <v>1808133.02</v>
      </c>
      <c r="J546" s="46">
        <f>IFERROR(__xludf.DUMMYFUNCTION("""COMPUTED_VALUE"""),283597.59999999986)</f>
        <v>283597.6</v>
      </c>
      <c r="K546" s="46" t="str">
        <f t="array" ref="K546">TEXT(D546, "mmmm")</f>
        <v>May</v>
      </c>
      <c r="M546" s="46" t="str">
        <f>IFERROR(__xludf.DUMMYFUNCTION("""COMPUTED_VALUE"""),"Poland")</f>
        <v>Poland</v>
      </c>
      <c r="N546" s="94">
        <f>IFERROR(__xludf.DUMMYFUNCTION("""COMPUTED_VALUE"""),41487.0)</f>
        <v>41487</v>
      </c>
      <c r="O546" s="46">
        <f>IFERROR(__xludf.DUMMYFUNCTION("""COMPUTED_VALUE"""),1.0)</f>
        <v>1</v>
      </c>
      <c r="P546" s="46">
        <f>IFERROR(__xludf.DUMMYFUNCTION("""COMPUTED_VALUE"""),2859.0)</f>
        <v>2859</v>
      </c>
      <c r="Q546" s="46">
        <f>IFERROR(__xludf.DUMMYFUNCTION("""COMPUTED_VALUE"""),135659.55000000002)</f>
        <v>135659.55</v>
      </c>
      <c r="R546" s="46">
        <f>IFERROR(__xludf.DUMMYFUNCTION("""COMPUTED_VALUE"""),90887.61)</f>
        <v>90887.61</v>
      </c>
      <c r="S546" s="46">
        <f>IFERROR(__xludf.DUMMYFUNCTION("""COMPUTED_VALUE"""),44771.94000000002)</f>
        <v>44771.94</v>
      </c>
    </row>
    <row r="547">
      <c r="A547" s="46" t="str">
        <f>IFERROR(__xludf.DUMMYFUNCTION("""COMPUTED_VALUE"""),"Office Supplies")</f>
        <v>Office Supplies</v>
      </c>
      <c r="B547" s="46" t="str">
        <f>IFERROR(__xludf.DUMMYFUNCTION("""COMPUTED_VALUE"""),"Czech Republic")</f>
        <v>Czech Republic</v>
      </c>
      <c r="C547" s="46" t="str">
        <f>IFERROR(__xludf.DUMMYFUNCTION("""COMPUTED_VALUE"""),"Europe")</f>
        <v>Europe</v>
      </c>
      <c r="D547" s="90">
        <f>IFERROR(__xludf.DUMMYFUNCTION("""COMPUTED_VALUE"""),41760.0)</f>
        <v>41760</v>
      </c>
      <c r="E547" s="46">
        <f>IFERROR(__xludf.DUMMYFUNCTION("""COMPUTED_VALUE"""),2014.0)</f>
        <v>2014</v>
      </c>
      <c r="F547" s="46">
        <f>IFERROR(__xludf.DUMMYFUNCTION("""COMPUTED_VALUE"""),1.0)</f>
        <v>1</v>
      </c>
      <c r="G547" s="46">
        <f>IFERROR(__xludf.DUMMYFUNCTION("""COMPUTED_VALUE"""),5479.0)</f>
        <v>5479</v>
      </c>
      <c r="H547" s="46">
        <f>IFERROR(__xludf.DUMMYFUNCTION("""COMPUTED_VALUE"""),3567979.5900000003)</f>
        <v>3567979.59</v>
      </c>
      <c r="I547" s="46">
        <f>IFERROR(__xludf.DUMMYFUNCTION("""COMPUTED_VALUE"""),2876255.8400000003)</f>
        <v>2876255.84</v>
      </c>
      <c r="J547" s="46">
        <f>IFERROR(__xludf.DUMMYFUNCTION("""COMPUTED_VALUE"""),691723.75)</f>
        <v>691723.75</v>
      </c>
      <c r="K547" s="46" t="str">
        <f t="array" ref="K547">TEXT(D547, "mmmm")</f>
        <v>May</v>
      </c>
      <c r="M547" s="46" t="str">
        <f>IFERROR(__xludf.DUMMYFUNCTION("""COMPUTED_VALUE"""),"Slovakia")</f>
        <v>Slovakia</v>
      </c>
      <c r="N547" s="94">
        <f>IFERROR(__xludf.DUMMYFUNCTION("""COMPUTED_VALUE"""),41487.0)</f>
        <v>41487</v>
      </c>
      <c r="O547" s="46">
        <f>IFERROR(__xludf.DUMMYFUNCTION("""COMPUTED_VALUE"""),1.0)</f>
        <v>1</v>
      </c>
      <c r="P547" s="46">
        <f>IFERROR(__xludf.DUMMYFUNCTION("""COMPUTED_VALUE"""),166.0)</f>
        <v>166</v>
      </c>
      <c r="Q547" s="46">
        <f>IFERROR(__xludf.DUMMYFUNCTION("""COMPUTED_VALUE"""),70033.73999999999)</f>
        <v>70033.74</v>
      </c>
      <c r="R547" s="46">
        <f>IFERROR(__xludf.DUMMYFUNCTION("""COMPUTED_VALUE"""),60538.54)</f>
        <v>60538.54</v>
      </c>
      <c r="S547" s="46">
        <f>IFERROR(__xludf.DUMMYFUNCTION("""COMPUTED_VALUE"""),9495.19999999999)</f>
        <v>9495.2</v>
      </c>
    </row>
    <row r="548">
      <c r="A548" s="46" t="str">
        <f>IFERROR(__xludf.DUMMYFUNCTION("""COMPUTED_VALUE"""),"Office Supplies")</f>
        <v>Office Supplies</v>
      </c>
      <c r="B548" s="46" t="str">
        <f>IFERROR(__xludf.DUMMYFUNCTION("""COMPUTED_VALUE"""),"Undefined")</f>
        <v>Undefined</v>
      </c>
      <c r="C548" s="46" t="str">
        <f>IFERROR(__xludf.DUMMYFUNCTION("""COMPUTED_VALUE"""),"Undefined")</f>
        <v>Undefined</v>
      </c>
      <c r="D548" s="90">
        <f>IFERROR(__xludf.DUMMYFUNCTION("""COMPUTED_VALUE"""),41760.0)</f>
        <v>41760</v>
      </c>
      <c r="E548" s="46">
        <f>IFERROR(__xludf.DUMMYFUNCTION("""COMPUTED_VALUE"""),2014.0)</f>
        <v>2014</v>
      </c>
      <c r="F548" s="46">
        <f>IFERROR(__xludf.DUMMYFUNCTION("""COMPUTED_VALUE"""),1.0)</f>
        <v>1</v>
      </c>
      <c r="G548" s="46">
        <f>IFERROR(__xludf.DUMMYFUNCTION("""COMPUTED_VALUE"""),2809.0)</f>
        <v>2809</v>
      </c>
      <c r="H548" s="46">
        <f>IFERROR(__xludf.DUMMYFUNCTION("""COMPUTED_VALUE"""),1829248.8900000001)</f>
        <v>1829248.89</v>
      </c>
      <c r="I548" s="46">
        <f>IFERROR(__xludf.DUMMYFUNCTION("""COMPUTED_VALUE"""),1474612.6400000001)</f>
        <v>1474612.64</v>
      </c>
      <c r="J548" s="46">
        <f>IFERROR(__xludf.DUMMYFUNCTION("""COMPUTED_VALUE"""),354636.25)</f>
        <v>354636.25</v>
      </c>
      <c r="K548" s="46" t="str">
        <f t="array" ref="K548">TEXT(D548, "mmmm")</f>
        <v>May</v>
      </c>
      <c r="M548" s="46" t="str">
        <f>IFERROR(__xludf.DUMMYFUNCTION("""COMPUTED_VALUE"""),"Sweden")</f>
        <v>Sweden</v>
      </c>
      <c r="N548" s="94">
        <f>IFERROR(__xludf.DUMMYFUNCTION("""COMPUTED_VALUE"""),41487.0)</f>
        <v>41487</v>
      </c>
      <c r="O548" s="46">
        <f>IFERROR(__xludf.DUMMYFUNCTION("""COMPUTED_VALUE"""),1.0)</f>
        <v>1</v>
      </c>
      <c r="P548" s="46">
        <f>IFERROR(__xludf.DUMMYFUNCTION("""COMPUTED_VALUE"""),661.0)</f>
        <v>661</v>
      </c>
      <c r="Q548" s="46">
        <f>IFERROR(__xludf.DUMMYFUNCTION("""COMPUTED_VALUE"""),288989.2)</f>
        <v>288989.2</v>
      </c>
      <c r="R548" s="46">
        <f>IFERROR(__xludf.DUMMYFUNCTION("""COMPUTED_VALUE"""),174061.12999999998)</f>
        <v>174061.13</v>
      </c>
      <c r="S548" s="46">
        <f>IFERROR(__xludf.DUMMYFUNCTION("""COMPUTED_VALUE"""),114928.07000000004)</f>
        <v>114928.07</v>
      </c>
    </row>
    <row r="549">
      <c r="A549" s="46" t="str">
        <f>IFERROR(__xludf.DUMMYFUNCTION("""COMPUTED_VALUE"""),"Personal Care")</f>
        <v>Personal Care</v>
      </c>
      <c r="B549" s="46" t="str">
        <f>IFERROR(__xludf.DUMMYFUNCTION("""COMPUTED_VALUE"""),"Croatia")</f>
        <v>Croatia</v>
      </c>
      <c r="C549" s="46" t="str">
        <f>IFERROR(__xludf.DUMMYFUNCTION("""COMPUTED_VALUE"""),"Europe")</f>
        <v>Europe</v>
      </c>
      <c r="D549" s="90">
        <f>IFERROR(__xludf.DUMMYFUNCTION("""COMPUTED_VALUE"""),41760.0)</f>
        <v>41760</v>
      </c>
      <c r="E549" s="46">
        <f>IFERROR(__xludf.DUMMYFUNCTION("""COMPUTED_VALUE"""),2014.0)</f>
        <v>2014</v>
      </c>
      <c r="F549" s="46">
        <f>IFERROR(__xludf.DUMMYFUNCTION("""COMPUTED_VALUE"""),1.0)</f>
        <v>1</v>
      </c>
      <c r="G549" s="46">
        <f>IFERROR(__xludf.DUMMYFUNCTION("""COMPUTED_VALUE"""),4958.0)</f>
        <v>4958</v>
      </c>
      <c r="H549" s="46">
        <f>IFERROR(__xludf.DUMMYFUNCTION("""COMPUTED_VALUE"""),405217.34)</f>
        <v>405217.34</v>
      </c>
      <c r="I549" s="46">
        <f>IFERROR(__xludf.DUMMYFUNCTION("""COMPUTED_VALUE"""),280969.86)</f>
        <v>280969.86</v>
      </c>
      <c r="J549" s="46">
        <f>IFERROR(__xludf.DUMMYFUNCTION("""COMPUTED_VALUE"""),124247.48000000004)</f>
        <v>124247.48</v>
      </c>
      <c r="K549" s="46" t="str">
        <f t="array" ref="K549">TEXT(D549, "mmmm")</f>
        <v>May</v>
      </c>
      <c r="M549" s="46" t="str">
        <f>IFERROR(__xludf.DUMMYFUNCTION("""COMPUTED_VALUE"""),"Bulgaria")</f>
        <v>Bulgaria</v>
      </c>
      <c r="N549" s="94">
        <f>IFERROR(__xludf.DUMMYFUNCTION("""COMPUTED_VALUE"""),41518.0)</f>
        <v>41518</v>
      </c>
      <c r="O549" s="46">
        <f>IFERROR(__xludf.DUMMYFUNCTION("""COMPUTED_VALUE"""),1.0)</f>
        <v>1</v>
      </c>
      <c r="P549" s="46">
        <f>IFERROR(__xludf.DUMMYFUNCTION("""COMPUTED_VALUE"""),2796.0)</f>
        <v>2796</v>
      </c>
      <c r="Q549" s="46">
        <f>IFERROR(__xludf.DUMMYFUNCTION("""COMPUTED_VALUE"""),1179604.44)</f>
        <v>1179604.44</v>
      </c>
      <c r="R549" s="46">
        <f>IFERROR(__xludf.DUMMYFUNCTION("""COMPUTED_VALUE"""),1019673.24)</f>
        <v>1019673.24</v>
      </c>
      <c r="S549" s="46">
        <f>IFERROR(__xludf.DUMMYFUNCTION("""COMPUTED_VALUE"""),159931.19999999995)</f>
        <v>159931.2</v>
      </c>
    </row>
    <row r="550">
      <c r="A550" s="46" t="str">
        <f>IFERROR(__xludf.DUMMYFUNCTION("""COMPUTED_VALUE"""),"Vegetables")</f>
        <v>Vegetables</v>
      </c>
      <c r="B550" s="46" t="str">
        <f>IFERROR(__xludf.DUMMYFUNCTION("""COMPUTED_VALUE"""),"Austria")</f>
        <v>Austria</v>
      </c>
      <c r="C550" s="46" t="str">
        <f>IFERROR(__xludf.DUMMYFUNCTION("""COMPUTED_VALUE"""),"Europe")</f>
        <v>Europe</v>
      </c>
      <c r="D550" s="90">
        <f>IFERROR(__xludf.DUMMYFUNCTION("""COMPUTED_VALUE"""),41760.0)</f>
        <v>41760</v>
      </c>
      <c r="E550" s="46">
        <f>IFERROR(__xludf.DUMMYFUNCTION("""COMPUTED_VALUE"""),2014.0)</f>
        <v>2014</v>
      </c>
      <c r="F550" s="46">
        <f>IFERROR(__xludf.DUMMYFUNCTION("""COMPUTED_VALUE"""),1.0)</f>
        <v>1</v>
      </c>
      <c r="G550" s="46">
        <f>IFERROR(__xludf.DUMMYFUNCTION("""COMPUTED_VALUE"""),2622.0)</f>
        <v>2622</v>
      </c>
      <c r="H550" s="46">
        <f>IFERROR(__xludf.DUMMYFUNCTION("""COMPUTED_VALUE"""),403945.32)</f>
        <v>403945.32</v>
      </c>
      <c r="I550" s="46">
        <f>IFERROR(__xludf.DUMMYFUNCTION("""COMPUTED_VALUE"""),238418.46000000002)</f>
        <v>238418.46</v>
      </c>
      <c r="J550" s="46">
        <f>IFERROR(__xludf.DUMMYFUNCTION("""COMPUTED_VALUE"""),165526.86)</f>
        <v>165526.86</v>
      </c>
      <c r="K550" s="46" t="str">
        <f t="array" ref="K550">TEXT(D550, "mmmm")</f>
        <v>May</v>
      </c>
      <c r="M550" s="46" t="str">
        <f>IFERROR(__xludf.DUMMYFUNCTION("""COMPUTED_VALUE"""),"Denmark")</f>
        <v>Denmark</v>
      </c>
      <c r="N550" s="94">
        <f>IFERROR(__xludf.DUMMYFUNCTION("""COMPUTED_VALUE"""),41518.0)</f>
        <v>41518</v>
      </c>
      <c r="O550" s="46">
        <f>IFERROR(__xludf.DUMMYFUNCTION("""COMPUTED_VALUE"""),1.0)</f>
        <v>1</v>
      </c>
      <c r="P550" s="46">
        <f>IFERROR(__xludf.DUMMYFUNCTION("""COMPUTED_VALUE"""),9454.0)</f>
        <v>9454</v>
      </c>
      <c r="Q550" s="46">
        <f>IFERROR(__xludf.DUMMYFUNCTION("""COMPUTED_VALUE"""),2413417.12)</f>
        <v>2413417.12</v>
      </c>
      <c r="R550" s="46">
        <f>IFERROR(__xludf.DUMMYFUNCTION("""COMPUTED_VALUE"""),1507156.68)</f>
        <v>1507156.68</v>
      </c>
      <c r="S550" s="46">
        <f>IFERROR(__xludf.DUMMYFUNCTION("""COMPUTED_VALUE"""),906260.4400000002)</f>
        <v>906260.44</v>
      </c>
    </row>
    <row r="551">
      <c r="A551" s="46" t="str">
        <f>IFERROR(__xludf.DUMMYFUNCTION("""COMPUTED_VALUE"""),"Vegetables")</f>
        <v>Vegetables</v>
      </c>
      <c r="B551" s="46" t="str">
        <f>IFERROR(__xludf.DUMMYFUNCTION("""COMPUTED_VALUE"""),"Denmark")</f>
        <v>Denmark</v>
      </c>
      <c r="C551" s="46" t="str">
        <f>IFERROR(__xludf.DUMMYFUNCTION("""COMPUTED_VALUE"""),"Europe")</f>
        <v>Europe</v>
      </c>
      <c r="D551" s="90">
        <f>IFERROR(__xludf.DUMMYFUNCTION("""COMPUTED_VALUE"""),41760.0)</f>
        <v>41760</v>
      </c>
      <c r="E551" s="46">
        <f>IFERROR(__xludf.DUMMYFUNCTION("""COMPUTED_VALUE"""),2014.0)</f>
        <v>2014</v>
      </c>
      <c r="F551" s="46">
        <f>IFERROR(__xludf.DUMMYFUNCTION("""COMPUTED_VALUE"""),1.0)</f>
        <v>1</v>
      </c>
      <c r="G551" s="46">
        <f>IFERROR(__xludf.DUMMYFUNCTION("""COMPUTED_VALUE"""),9809.0)</f>
        <v>9809</v>
      </c>
      <c r="H551" s="46">
        <f>IFERROR(__xludf.DUMMYFUNCTION("""COMPUTED_VALUE"""),1511174.54)</f>
        <v>1511174.54</v>
      </c>
      <c r="I551" s="46">
        <f>IFERROR(__xludf.DUMMYFUNCTION("""COMPUTED_VALUE"""),891932.3700000001)</f>
        <v>891932.37</v>
      </c>
      <c r="J551" s="46">
        <f>IFERROR(__xludf.DUMMYFUNCTION("""COMPUTED_VALUE"""),619242.1699999999)</f>
        <v>619242.17</v>
      </c>
      <c r="K551" s="46" t="str">
        <f t="array" ref="K551">TEXT(D551, "mmmm")</f>
        <v>May</v>
      </c>
      <c r="M551" s="46" t="str">
        <f>IFERROR(__xludf.DUMMYFUNCTION("""COMPUTED_VALUE"""),"Georgia")</f>
        <v>Georgia</v>
      </c>
      <c r="N551" s="94">
        <f>IFERROR(__xludf.DUMMYFUNCTION("""COMPUTED_VALUE"""),41518.0)</f>
        <v>41518</v>
      </c>
      <c r="O551" s="46">
        <f>IFERROR(__xludf.DUMMYFUNCTION("""COMPUTED_VALUE"""),1.0)</f>
        <v>1</v>
      </c>
      <c r="P551" s="46">
        <f>IFERROR(__xludf.DUMMYFUNCTION("""COMPUTED_VALUE"""),6291.0)</f>
        <v>6291</v>
      </c>
      <c r="Q551" s="46">
        <f>IFERROR(__xludf.DUMMYFUNCTION("""COMPUTED_VALUE"""),959880.78)</f>
        <v>959880.78</v>
      </c>
      <c r="R551" s="46">
        <f>IFERROR(__xludf.DUMMYFUNCTION("""COMPUTED_VALUE"""),612995.04)</f>
        <v>612995.04</v>
      </c>
      <c r="S551" s="46">
        <f>IFERROR(__xludf.DUMMYFUNCTION("""COMPUTED_VALUE"""),346885.74)</f>
        <v>346885.74</v>
      </c>
    </row>
    <row r="552">
      <c r="A552" s="46" t="str">
        <f>IFERROR(__xludf.DUMMYFUNCTION("""COMPUTED_VALUE"""),"Baby Food")</f>
        <v>Baby Food</v>
      </c>
      <c r="B552" s="46" t="str">
        <f>IFERROR(__xludf.DUMMYFUNCTION("""COMPUTED_VALUE"""),"Bosnia and Herzegovina")</f>
        <v>Bosnia and Herzegovina</v>
      </c>
      <c r="C552" s="46" t="str">
        <f>IFERROR(__xludf.DUMMYFUNCTION("""COMPUTED_VALUE"""),"Europe")</f>
        <v>Europe</v>
      </c>
      <c r="D552" s="90">
        <f>IFERROR(__xludf.DUMMYFUNCTION("""COMPUTED_VALUE"""),41730.0)</f>
        <v>41730</v>
      </c>
      <c r="E552" s="46">
        <f>IFERROR(__xludf.DUMMYFUNCTION("""COMPUTED_VALUE"""),2014.0)</f>
        <v>2014</v>
      </c>
      <c r="F552" s="46">
        <f>IFERROR(__xludf.DUMMYFUNCTION("""COMPUTED_VALUE"""),1.0)</f>
        <v>1</v>
      </c>
      <c r="G552" s="46">
        <f>IFERROR(__xludf.DUMMYFUNCTION("""COMPUTED_VALUE"""),474.0)</f>
        <v>474</v>
      </c>
      <c r="H552" s="46">
        <f>IFERROR(__xludf.DUMMYFUNCTION("""COMPUTED_VALUE"""),121002.72)</f>
        <v>121002.72</v>
      </c>
      <c r="I552" s="46">
        <f>IFERROR(__xludf.DUMMYFUNCTION("""COMPUTED_VALUE"""),75565.07999999999)</f>
        <v>75565.08</v>
      </c>
      <c r="J552" s="46">
        <f>IFERROR(__xludf.DUMMYFUNCTION("""COMPUTED_VALUE"""),45437.640000000014)</f>
        <v>45437.64</v>
      </c>
      <c r="K552" s="46" t="str">
        <f t="array" ref="K552">TEXT(D552, "mmmm")</f>
        <v>April</v>
      </c>
      <c r="M552" s="46" t="str">
        <f>IFERROR(__xludf.DUMMYFUNCTION("""COMPUTED_VALUE"""),"Germany")</f>
        <v>Germany</v>
      </c>
      <c r="N552" s="94">
        <f>IFERROR(__xludf.DUMMYFUNCTION("""COMPUTED_VALUE"""),41518.0)</f>
        <v>41518</v>
      </c>
      <c r="O552" s="46">
        <f>IFERROR(__xludf.DUMMYFUNCTION("""COMPUTED_VALUE"""),1.0)</f>
        <v>1</v>
      </c>
      <c r="P552" s="46">
        <f>IFERROR(__xludf.DUMMYFUNCTION("""COMPUTED_VALUE"""),4445.0)</f>
        <v>4445</v>
      </c>
      <c r="Q552" s="46">
        <f>IFERROR(__xludf.DUMMYFUNCTION("""COMPUTED_VALUE"""),2894628.45)</f>
        <v>2894628.45</v>
      </c>
      <c r="R552" s="46">
        <f>IFERROR(__xludf.DUMMYFUNCTION("""COMPUTED_VALUE"""),2333447.2)</f>
        <v>2333447.2</v>
      </c>
      <c r="S552" s="46">
        <f>IFERROR(__xludf.DUMMYFUNCTION("""COMPUTED_VALUE"""),561181.25)</f>
        <v>561181.25</v>
      </c>
    </row>
    <row r="553">
      <c r="A553" s="46" t="str">
        <f>IFERROR(__xludf.DUMMYFUNCTION("""COMPUTED_VALUE"""),"Baby Food")</f>
        <v>Baby Food</v>
      </c>
      <c r="B553" s="46" t="str">
        <f>IFERROR(__xludf.DUMMYFUNCTION("""COMPUTED_VALUE"""),"Macedonia")</f>
        <v>Macedonia</v>
      </c>
      <c r="C553" s="46" t="str">
        <f>IFERROR(__xludf.DUMMYFUNCTION("""COMPUTED_VALUE"""),"Europe")</f>
        <v>Europe</v>
      </c>
      <c r="D553" s="90">
        <f>IFERROR(__xludf.DUMMYFUNCTION("""COMPUTED_VALUE"""),41730.0)</f>
        <v>41730</v>
      </c>
      <c r="E553" s="46">
        <f>IFERROR(__xludf.DUMMYFUNCTION("""COMPUTED_VALUE"""),2014.0)</f>
        <v>2014</v>
      </c>
      <c r="F553" s="46">
        <f>IFERROR(__xludf.DUMMYFUNCTION("""COMPUTED_VALUE"""),1.0)</f>
        <v>1</v>
      </c>
      <c r="G553" s="46">
        <f>IFERROR(__xludf.DUMMYFUNCTION("""COMPUTED_VALUE"""),8307.0)</f>
        <v>8307</v>
      </c>
      <c r="H553" s="46">
        <f>IFERROR(__xludf.DUMMYFUNCTION("""COMPUTED_VALUE"""),2120610.96)</f>
        <v>2120610.96</v>
      </c>
      <c r="I553" s="46">
        <f>IFERROR(__xludf.DUMMYFUNCTION("""COMPUTED_VALUE"""),1324301.94)</f>
        <v>1324301.94</v>
      </c>
      <c r="J553" s="46">
        <f>IFERROR(__xludf.DUMMYFUNCTION("""COMPUTED_VALUE"""),796309.02)</f>
        <v>796309.02</v>
      </c>
      <c r="K553" s="46" t="str">
        <f t="array" ref="K553">TEXT(D553, "mmmm")</f>
        <v>April</v>
      </c>
      <c r="M553" s="46" t="str">
        <f>IFERROR(__xludf.DUMMYFUNCTION("""COMPUTED_VALUE"""),"Greece")</f>
        <v>Greece</v>
      </c>
      <c r="N553" s="94">
        <f>IFERROR(__xludf.DUMMYFUNCTION("""COMPUTED_VALUE"""),41518.0)</f>
        <v>41518</v>
      </c>
      <c r="O553" s="46">
        <f>IFERROR(__xludf.DUMMYFUNCTION("""COMPUTED_VALUE"""),1.0)</f>
        <v>1</v>
      </c>
      <c r="P553" s="46">
        <f>IFERROR(__xludf.DUMMYFUNCTION("""COMPUTED_VALUE"""),356.0)</f>
        <v>356</v>
      </c>
      <c r="Q553" s="46">
        <f>IFERROR(__xludf.DUMMYFUNCTION("""COMPUTED_VALUE"""),237904.12)</f>
        <v>237904.12</v>
      </c>
      <c r="R553" s="46">
        <f>IFERROR(__xludf.DUMMYFUNCTION("""COMPUTED_VALUE"""),178904.24000000002)</f>
        <v>178904.24</v>
      </c>
      <c r="S553" s="46">
        <f>IFERROR(__xludf.DUMMYFUNCTION("""COMPUTED_VALUE"""),58999.879999999976)</f>
        <v>58999.88</v>
      </c>
    </row>
    <row r="554">
      <c r="A554" s="46" t="str">
        <f>IFERROR(__xludf.DUMMYFUNCTION("""COMPUTED_VALUE"""),"Beverages")</f>
        <v>Beverages</v>
      </c>
      <c r="B554" s="46" t="str">
        <f>IFERROR(__xludf.DUMMYFUNCTION("""COMPUTED_VALUE"""),"Russia")</f>
        <v>Russia</v>
      </c>
      <c r="C554" s="46" t="str">
        <f>IFERROR(__xludf.DUMMYFUNCTION("""COMPUTED_VALUE"""),"Europe")</f>
        <v>Europe</v>
      </c>
      <c r="D554" s="90">
        <f>IFERROR(__xludf.DUMMYFUNCTION("""COMPUTED_VALUE"""),41730.0)</f>
        <v>41730</v>
      </c>
      <c r="E554" s="46">
        <f>IFERROR(__xludf.DUMMYFUNCTION("""COMPUTED_VALUE"""),2014.0)</f>
        <v>2014</v>
      </c>
      <c r="F554" s="46">
        <f>IFERROR(__xludf.DUMMYFUNCTION("""COMPUTED_VALUE"""),1.0)</f>
        <v>1</v>
      </c>
      <c r="G554" s="46">
        <f>IFERROR(__xludf.DUMMYFUNCTION("""COMPUTED_VALUE"""),114.0)</f>
        <v>114</v>
      </c>
      <c r="H554" s="46">
        <f>IFERROR(__xludf.DUMMYFUNCTION("""COMPUTED_VALUE"""),5409.3)</f>
        <v>5409.3</v>
      </c>
      <c r="I554" s="46">
        <f>IFERROR(__xludf.DUMMYFUNCTION("""COMPUTED_VALUE"""),3624.06)</f>
        <v>3624.06</v>
      </c>
      <c r="J554" s="46">
        <f>IFERROR(__xludf.DUMMYFUNCTION("""COMPUTED_VALUE"""),1785.2400000000002)</f>
        <v>1785.24</v>
      </c>
      <c r="K554" s="46" t="str">
        <f t="array" ref="K554">TEXT(D554, "mmmm")</f>
        <v>April</v>
      </c>
      <c r="M554" s="46" t="str">
        <f>IFERROR(__xludf.DUMMYFUNCTION("""COMPUTED_VALUE"""),"Iceland")</f>
        <v>Iceland</v>
      </c>
      <c r="N554" s="94">
        <f>IFERROR(__xludf.DUMMYFUNCTION("""COMPUTED_VALUE"""),41518.0)</f>
        <v>41518</v>
      </c>
      <c r="O554" s="46">
        <f>IFERROR(__xludf.DUMMYFUNCTION("""COMPUTED_VALUE"""),1.0)</f>
        <v>1</v>
      </c>
      <c r="P554" s="46">
        <f>IFERROR(__xludf.DUMMYFUNCTION("""COMPUTED_VALUE"""),3938.0)</f>
        <v>3938</v>
      </c>
      <c r="Q554" s="46">
        <f>IFERROR(__xludf.DUMMYFUNCTION("""COMPUTED_VALUE"""),430344.64)</f>
        <v>430344.64</v>
      </c>
      <c r="R554" s="46">
        <f>IFERROR(__xludf.DUMMYFUNCTION("""COMPUTED_VALUE"""),141137.92)</f>
        <v>141137.92</v>
      </c>
      <c r="S554" s="46">
        <f>IFERROR(__xludf.DUMMYFUNCTION("""COMPUTED_VALUE"""),289206.72)</f>
        <v>289206.72</v>
      </c>
    </row>
    <row r="555">
      <c r="A555" s="46" t="str">
        <f>IFERROR(__xludf.DUMMYFUNCTION("""COMPUTED_VALUE"""),"Cereal")</f>
        <v>Cereal</v>
      </c>
      <c r="B555" s="46" t="str">
        <f>IFERROR(__xludf.DUMMYFUNCTION("""COMPUTED_VALUE"""),"Ukraine")</f>
        <v>Ukraine</v>
      </c>
      <c r="C555" s="46" t="str">
        <f>IFERROR(__xludf.DUMMYFUNCTION("""COMPUTED_VALUE"""),"Europe")</f>
        <v>Europe</v>
      </c>
      <c r="D555" s="90">
        <f>IFERROR(__xludf.DUMMYFUNCTION("""COMPUTED_VALUE"""),41730.0)</f>
        <v>41730</v>
      </c>
      <c r="E555" s="46">
        <f>IFERROR(__xludf.DUMMYFUNCTION("""COMPUTED_VALUE"""),2014.0)</f>
        <v>2014</v>
      </c>
      <c r="F555" s="46">
        <f>IFERROR(__xludf.DUMMYFUNCTION("""COMPUTED_VALUE"""),1.0)</f>
        <v>1</v>
      </c>
      <c r="G555" s="46">
        <f>IFERROR(__xludf.DUMMYFUNCTION("""COMPUTED_VALUE"""),3633.0)</f>
        <v>3633</v>
      </c>
      <c r="H555" s="46">
        <f>IFERROR(__xludf.DUMMYFUNCTION("""COMPUTED_VALUE"""),747308.1)</f>
        <v>747308.1</v>
      </c>
      <c r="I555" s="46">
        <f>IFERROR(__xludf.DUMMYFUNCTION("""COMPUTED_VALUE"""),425460.63)</f>
        <v>425460.63</v>
      </c>
      <c r="J555" s="46">
        <f>IFERROR(__xludf.DUMMYFUNCTION("""COMPUTED_VALUE"""),321847.47)</f>
        <v>321847.47</v>
      </c>
      <c r="K555" s="46" t="str">
        <f t="array" ref="K555">TEXT(D555, "mmmm")</f>
        <v>April</v>
      </c>
      <c r="M555" s="46" t="str">
        <f>IFERROR(__xludf.DUMMYFUNCTION("""COMPUTED_VALUE"""),"Luxembourg")</f>
        <v>Luxembourg</v>
      </c>
      <c r="N555" s="94">
        <f>IFERROR(__xludf.DUMMYFUNCTION("""COMPUTED_VALUE"""),41518.0)</f>
        <v>41518</v>
      </c>
      <c r="O555" s="46">
        <f>IFERROR(__xludf.DUMMYFUNCTION("""COMPUTED_VALUE"""),1.0)</f>
        <v>1</v>
      </c>
      <c r="P555" s="46">
        <f>IFERROR(__xludf.DUMMYFUNCTION("""COMPUTED_VALUE"""),7120.0)</f>
        <v>7120</v>
      </c>
      <c r="Q555" s="46">
        <f>IFERROR(__xludf.DUMMYFUNCTION("""COMPUTED_VALUE"""),3112864.0)</f>
        <v>3112864</v>
      </c>
      <c r="R555" s="46">
        <f>IFERROR(__xludf.DUMMYFUNCTION("""COMPUTED_VALUE"""),1874909.5999999999)</f>
        <v>1874909.6</v>
      </c>
      <c r="S555" s="46">
        <f>IFERROR(__xludf.DUMMYFUNCTION("""COMPUTED_VALUE"""),1237954.4000000001)</f>
        <v>1237954.4</v>
      </c>
    </row>
    <row r="556">
      <c r="A556" s="46" t="str">
        <f>IFERROR(__xludf.DUMMYFUNCTION("""COMPUTED_VALUE"""),"Clothes")</f>
        <v>Clothes</v>
      </c>
      <c r="B556" s="46" t="str">
        <f>IFERROR(__xludf.DUMMYFUNCTION("""COMPUTED_VALUE"""),"Bulgaria")</f>
        <v>Bulgaria</v>
      </c>
      <c r="C556" s="46" t="str">
        <f>IFERROR(__xludf.DUMMYFUNCTION("""COMPUTED_VALUE"""),"Europe")</f>
        <v>Europe</v>
      </c>
      <c r="D556" s="90">
        <f>IFERROR(__xludf.DUMMYFUNCTION("""COMPUTED_VALUE"""),41730.0)</f>
        <v>41730</v>
      </c>
      <c r="E556" s="46">
        <f>IFERROR(__xludf.DUMMYFUNCTION("""COMPUTED_VALUE"""),2014.0)</f>
        <v>2014</v>
      </c>
      <c r="F556" s="46">
        <f>IFERROR(__xludf.DUMMYFUNCTION("""COMPUTED_VALUE"""),1.0)</f>
        <v>1</v>
      </c>
      <c r="G556" s="46">
        <f>IFERROR(__xludf.DUMMYFUNCTION("""COMPUTED_VALUE"""),6927.0)</f>
        <v>6927</v>
      </c>
      <c r="H556" s="46">
        <f>IFERROR(__xludf.DUMMYFUNCTION("""COMPUTED_VALUE"""),756982.56)</f>
        <v>756982.56</v>
      </c>
      <c r="I556" s="46">
        <f>IFERROR(__xludf.DUMMYFUNCTION("""COMPUTED_VALUE"""),248263.68000000002)</f>
        <v>248263.68</v>
      </c>
      <c r="J556" s="46">
        <f>IFERROR(__xludf.DUMMYFUNCTION("""COMPUTED_VALUE"""),508718.88)</f>
        <v>508718.88</v>
      </c>
      <c r="K556" s="46" t="str">
        <f t="array" ref="K556">TEXT(D556, "mmmm")</f>
        <v>April</v>
      </c>
      <c r="M556" s="46" t="str">
        <f>IFERROR(__xludf.DUMMYFUNCTION("""COMPUTED_VALUE"""),"Netherlands")</f>
        <v>Netherlands</v>
      </c>
      <c r="N556" s="94">
        <f>IFERROR(__xludf.DUMMYFUNCTION("""COMPUTED_VALUE"""),41518.0)</f>
        <v>41518</v>
      </c>
      <c r="O556" s="46">
        <f>IFERROR(__xludf.DUMMYFUNCTION("""COMPUTED_VALUE"""),1.0)</f>
        <v>1</v>
      </c>
      <c r="P556" s="46">
        <f>IFERROR(__xludf.DUMMYFUNCTION("""COMPUTED_VALUE"""),9024.0)</f>
        <v>9024</v>
      </c>
      <c r="Q556" s="46">
        <f>IFERROR(__xludf.DUMMYFUNCTION("""COMPUTED_VALUE"""),84193.92)</f>
        <v>84193.92</v>
      </c>
      <c r="R556" s="46">
        <f>IFERROR(__xludf.DUMMYFUNCTION("""COMPUTED_VALUE"""),62446.08)</f>
        <v>62446.08</v>
      </c>
      <c r="S556" s="46">
        <f>IFERROR(__xludf.DUMMYFUNCTION("""COMPUTED_VALUE"""),21747.839999999997)</f>
        <v>21747.84</v>
      </c>
    </row>
    <row r="557">
      <c r="A557" s="46" t="str">
        <f>IFERROR(__xludf.DUMMYFUNCTION("""COMPUTED_VALUE"""),"Clothes")</f>
        <v>Clothes</v>
      </c>
      <c r="B557" s="46" t="str">
        <f>IFERROR(__xludf.DUMMYFUNCTION("""COMPUTED_VALUE"""),"Finland")</f>
        <v>Finland</v>
      </c>
      <c r="C557" s="46" t="str">
        <f>IFERROR(__xludf.DUMMYFUNCTION("""COMPUTED_VALUE"""),"Europe")</f>
        <v>Europe</v>
      </c>
      <c r="D557" s="90">
        <f>IFERROR(__xludf.DUMMYFUNCTION("""COMPUTED_VALUE"""),41730.0)</f>
        <v>41730</v>
      </c>
      <c r="E557" s="46">
        <f>IFERROR(__xludf.DUMMYFUNCTION("""COMPUTED_VALUE"""),2014.0)</f>
        <v>2014</v>
      </c>
      <c r="F557" s="46">
        <f>IFERROR(__xludf.DUMMYFUNCTION("""COMPUTED_VALUE"""),1.0)</f>
        <v>1</v>
      </c>
      <c r="G557" s="46">
        <f>IFERROR(__xludf.DUMMYFUNCTION("""COMPUTED_VALUE"""),9410.0)</f>
        <v>9410</v>
      </c>
      <c r="H557" s="46">
        <f>IFERROR(__xludf.DUMMYFUNCTION("""COMPUTED_VALUE"""),1028324.8)</f>
        <v>1028324.8</v>
      </c>
      <c r="I557" s="46">
        <f>IFERROR(__xludf.DUMMYFUNCTION("""COMPUTED_VALUE"""),337254.4)</f>
        <v>337254.4</v>
      </c>
      <c r="J557" s="46">
        <f>IFERROR(__xludf.DUMMYFUNCTION("""COMPUTED_VALUE"""),691070.4)</f>
        <v>691070.4</v>
      </c>
      <c r="K557" s="46" t="str">
        <f t="array" ref="K557">TEXT(D557, "mmmm")</f>
        <v>April</v>
      </c>
      <c r="M557" s="46" t="str">
        <f>IFERROR(__xludf.DUMMYFUNCTION("""COMPUTED_VALUE"""),"Poland")</f>
        <v>Poland</v>
      </c>
      <c r="N557" s="94">
        <f>IFERROR(__xludf.DUMMYFUNCTION("""COMPUTED_VALUE"""),41518.0)</f>
        <v>41518</v>
      </c>
      <c r="O557" s="46">
        <f>IFERROR(__xludf.DUMMYFUNCTION("""COMPUTED_VALUE"""),2.0)</f>
        <v>2</v>
      </c>
      <c r="P557" s="46">
        <f>IFERROR(__xludf.DUMMYFUNCTION("""COMPUTED_VALUE"""),6225.0)</f>
        <v>6225</v>
      </c>
      <c r="Q557" s="46">
        <f>IFERROR(__xludf.DUMMYFUNCTION("""COMPUTED_VALUE"""),1318350.85)</f>
        <v>1318350.85</v>
      </c>
      <c r="R557" s="46">
        <f>IFERROR(__xludf.DUMMYFUNCTION("""COMPUTED_VALUE"""),763677.0)</f>
        <v>763677</v>
      </c>
      <c r="S557" s="46">
        <f>IFERROR(__xludf.DUMMYFUNCTION("""COMPUTED_VALUE"""),554673.85)</f>
        <v>554673.85</v>
      </c>
    </row>
    <row r="558">
      <c r="A558" s="46" t="str">
        <f>IFERROR(__xludf.DUMMYFUNCTION("""COMPUTED_VALUE"""),"Clothes")</f>
        <v>Clothes</v>
      </c>
      <c r="B558" s="46" t="str">
        <f>IFERROR(__xludf.DUMMYFUNCTION("""COMPUTED_VALUE"""),"France")</f>
        <v>France</v>
      </c>
      <c r="C558" s="46" t="str">
        <f>IFERROR(__xludf.DUMMYFUNCTION("""COMPUTED_VALUE"""),"Europe")</f>
        <v>Europe</v>
      </c>
      <c r="D558" s="90">
        <f>IFERROR(__xludf.DUMMYFUNCTION("""COMPUTED_VALUE"""),41730.0)</f>
        <v>41730</v>
      </c>
      <c r="E558" s="46">
        <f>IFERROR(__xludf.DUMMYFUNCTION("""COMPUTED_VALUE"""),2014.0)</f>
        <v>2014</v>
      </c>
      <c r="F558" s="46">
        <f>IFERROR(__xludf.DUMMYFUNCTION("""COMPUTED_VALUE"""),1.0)</f>
        <v>1</v>
      </c>
      <c r="G558" s="46">
        <f>IFERROR(__xludf.DUMMYFUNCTION("""COMPUTED_VALUE"""),6213.0)</f>
        <v>6213</v>
      </c>
      <c r="H558" s="46">
        <f>IFERROR(__xludf.DUMMYFUNCTION("""COMPUTED_VALUE"""),678956.64)</f>
        <v>678956.64</v>
      </c>
      <c r="I558" s="46">
        <f>IFERROR(__xludf.DUMMYFUNCTION("""COMPUTED_VALUE"""),222673.92)</f>
        <v>222673.92</v>
      </c>
      <c r="J558" s="46">
        <f>IFERROR(__xludf.DUMMYFUNCTION("""COMPUTED_VALUE"""),456282.72)</f>
        <v>456282.72</v>
      </c>
      <c r="K558" s="46" t="str">
        <f t="array" ref="K558">TEXT(D558, "mmmm")</f>
        <v>April</v>
      </c>
      <c r="M558" s="46" t="str">
        <f>IFERROR(__xludf.DUMMYFUNCTION("""COMPUTED_VALUE"""),"San Marino")</f>
        <v>San Marino</v>
      </c>
      <c r="N558" s="94">
        <f>IFERROR(__xludf.DUMMYFUNCTION("""COMPUTED_VALUE"""),41518.0)</f>
        <v>41518</v>
      </c>
      <c r="O558" s="46">
        <f>IFERROR(__xludf.DUMMYFUNCTION("""COMPUTED_VALUE"""),1.0)</f>
        <v>1</v>
      </c>
      <c r="P558" s="46">
        <f>IFERROR(__xludf.DUMMYFUNCTION("""COMPUTED_VALUE"""),5102.0)</f>
        <v>5102</v>
      </c>
      <c r="Q558" s="46">
        <f>IFERROR(__xludf.DUMMYFUNCTION("""COMPUTED_VALUE"""),786014.12)</f>
        <v>786014.12</v>
      </c>
      <c r="R558" s="46">
        <f>IFERROR(__xludf.DUMMYFUNCTION("""COMPUTED_VALUE"""),463924.86000000004)</f>
        <v>463924.86</v>
      </c>
      <c r="S558" s="46">
        <f>IFERROR(__xludf.DUMMYFUNCTION("""COMPUTED_VALUE"""),322089.25999999995)</f>
        <v>322089.26</v>
      </c>
    </row>
    <row r="559">
      <c r="A559" s="46" t="str">
        <f>IFERROR(__xludf.DUMMYFUNCTION("""COMPUTED_VALUE"""),"Clothes")</f>
        <v>Clothes</v>
      </c>
      <c r="B559" s="46" t="str">
        <f>IFERROR(__xludf.DUMMYFUNCTION("""COMPUTED_VALUE"""),"Norway")</f>
        <v>Norway</v>
      </c>
      <c r="C559" s="46" t="str">
        <f>IFERROR(__xludf.DUMMYFUNCTION("""COMPUTED_VALUE"""),"Europe")</f>
        <v>Europe</v>
      </c>
      <c r="D559" s="90">
        <f>IFERROR(__xludf.DUMMYFUNCTION("""COMPUTED_VALUE"""),41730.0)</f>
        <v>41730</v>
      </c>
      <c r="E559" s="46">
        <f>IFERROR(__xludf.DUMMYFUNCTION("""COMPUTED_VALUE"""),2014.0)</f>
        <v>2014</v>
      </c>
      <c r="F559" s="46">
        <f>IFERROR(__xludf.DUMMYFUNCTION("""COMPUTED_VALUE"""),1.0)</f>
        <v>1</v>
      </c>
      <c r="G559" s="46">
        <f>IFERROR(__xludf.DUMMYFUNCTION("""COMPUTED_VALUE"""),8631.0)</f>
        <v>8631</v>
      </c>
      <c r="H559" s="46">
        <f>IFERROR(__xludf.DUMMYFUNCTION("""COMPUTED_VALUE"""),943195.68)</f>
        <v>943195.68</v>
      </c>
      <c r="I559" s="46">
        <f>IFERROR(__xludf.DUMMYFUNCTION("""COMPUTED_VALUE"""),309335.04000000004)</f>
        <v>309335.04</v>
      </c>
      <c r="J559" s="46">
        <f>IFERROR(__xludf.DUMMYFUNCTION("""COMPUTED_VALUE"""),633860.64)</f>
        <v>633860.64</v>
      </c>
      <c r="K559" s="46" t="str">
        <f t="array" ref="K559">TEXT(D559, "mmmm")</f>
        <v>April</v>
      </c>
      <c r="M559" s="46" t="str">
        <f>IFERROR(__xludf.DUMMYFUNCTION("""COMPUTED_VALUE"""),"Serbia")</f>
        <v>Serbia</v>
      </c>
      <c r="N559" s="94">
        <f>IFERROR(__xludf.DUMMYFUNCTION("""COMPUTED_VALUE"""),41518.0)</f>
        <v>41518</v>
      </c>
      <c r="O559" s="46">
        <f>IFERROR(__xludf.DUMMYFUNCTION("""COMPUTED_VALUE"""),1.0)</f>
        <v>1</v>
      </c>
      <c r="P559" s="46">
        <f>IFERROR(__xludf.DUMMYFUNCTION("""COMPUTED_VALUE"""),6115.0)</f>
        <v>6115</v>
      </c>
      <c r="Q559" s="46">
        <f>IFERROR(__xludf.DUMMYFUNCTION("""COMPUTED_VALUE"""),4086471.05)</f>
        <v>4086471.05</v>
      </c>
      <c r="R559" s="46">
        <f>IFERROR(__xludf.DUMMYFUNCTION("""COMPUTED_VALUE"""),3073032.1)</f>
        <v>3073032.1</v>
      </c>
      <c r="S559" s="46">
        <f>IFERROR(__xludf.DUMMYFUNCTION("""COMPUTED_VALUE"""),1013438.9499999997)</f>
        <v>1013438.95</v>
      </c>
    </row>
    <row r="560">
      <c r="A560" s="46" t="str">
        <f>IFERROR(__xludf.DUMMYFUNCTION("""COMPUTED_VALUE"""),"Fruits")</f>
        <v>Fruits</v>
      </c>
      <c r="B560" s="46" t="str">
        <f>IFERROR(__xludf.DUMMYFUNCTION("""COMPUTED_VALUE"""),"France")</f>
        <v>France</v>
      </c>
      <c r="C560" s="46" t="str">
        <f>IFERROR(__xludf.DUMMYFUNCTION("""COMPUTED_VALUE"""),"Europe")</f>
        <v>Europe</v>
      </c>
      <c r="D560" s="90">
        <f>IFERROR(__xludf.DUMMYFUNCTION("""COMPUTED_VALUE"""),41730.0)</f>
        <v>41730</v>
      </c>
      <c r="E560" s="46">
        <f>IFERROR(__xludf.DUMMYFUNCTION("""COMPUTED_VALUE"""),2014.0)</f>
        <v>2014</v>
      </c>
      <c r="F560" s="46">
        <f>IFERROR(__xludf.DUMMYFUNCTION("""COMPUTED_VALUE"""),1.0)</f>
        <v>1</v>
      </c>
      <c r="G560" s="46">
        <f>IFERROR(__xludf.DUMMYFUNCTION("""COMPUTED_VALUE"""),374.0)</f>
        <v>374</v>
      </c>
      <c r="H560" s="46">
        <f>IFERROR(__xludf.DUMMYFUNCTION("""COMPUTED_VALUE"""),3489.42)</f>
        <v>3489.42</v>
      </c>
      <c r="I560" s="46">
        <f>IFERROR(__xludf.DUMMYFUNCTION("""COMPUTED_VALUE"""),2588.08)</f>
        <v>2588.08</v>
      </c>
      <c r="J560" s="46">
        <f>IFERROR(__xludf.DUMMYFUNCTION("""COMPUTED_VALUE"""),901.3400000000001)</f>
        <v>901.34</v>
      </c>
      <c r="K560" s="46" t="str">
        <f t="array" ref="K560">TEXT(D560, "mmmm")</f>
        <v>April</v>
      </c>
      <c r="M560" s="46" t="str">
        <f>IFERROR(__xludf.DUMMYFUNCTION("""COMPUTED_VALUE"""),"Switzerland")</f>
        <v>Switzerland</v>
      </c>
      <c r="N560" s="94">
        <f>IFERROR(__xludf.DUMMYFUNCTION("""COMPUTED_VALUE"""),41518.0)</f>
        <v>41518</v>
      </c>
      <c r="O560" s="46">
        <f>IFERROR(__xludf.DUMMYFUNCTION("""COMPUTED_VALUE"""),1.0)</f>
        <v>1</v>
      </c>
      <c r="P560" s="46">
        <f>IFERROR(__xludf.DUMMYFUNCTION("""COMPUTED_VALUE"""),4364.0)</f>
        <v>4364</v>
      </c>
      <c r="Q560" s="46">
        <f>IFERROR(__xludf.DUMMYFUNCTION("""COMPUTED_VALUE"""),672317.84)</f>
        <v>672317.84</v>
      </c>
      <c r="R560" s="46">
        <f>IFERROR(__xludf.DUMMYFUNCTION("""COMPUTED_VALUE"""),396818.52)</f>
        <v>396818.52</v>
      </c>
      <c r="S560" s="46">
        <f>IFERROR(__xludf.DUMMYFUNCTION("""COMPUTED_VALUE"""),275499.31999999995)</f>
        <v>275499.32</v>
      </c>
    </row>
    <row r="561">
      <c r="A561" s="46" t="str">
        <f>IFERROR(__xludf.DUMMYFUNCTION("""COMPUTED_VALUE"""),"Household")</f>
        <v>Household</v>
      </c>
      <c r="B561" s="46" t="str">
        <f>IFERROR(__xludf.DUMMYFUNCTION("""COMPUTED_VALUE"""),"Liechtenstein")</f>
        <v>Liechtenstein</v>
      </c>
      <c r="C561" s="46" t="str">
        <f>IFERROR(__xludf.DUMMYFUNCTION("""COMPUTED_VALUE"""),"Europe")</f>
        <v>Europe</v>
      </c>
      <c r="D561" s="90">
        <f>IFERROR(__xludf.DUMMYFUNCTION("""COMPUTED_VALUE"""),41730.0)</f>
        <v>41730</v>
      </c>
      <c r="E561" s="46">
        <f>IFERROR(__xludf.DUMMYFUNCTION("""COMPUTED_VALUE"""),2014.0)</f>
        <v>2014</v>
      </c>
      <c r="F561" s="46">
        <f>IFERROR(__xludf.DUMMYFUNCTION("""COMPUTED_VALUE"""),1.0)</f>
        <v>1</v>
      </c>
      <c r="G561" s="46">
        <f>IFERROR(__xludf.DUMMYFUNCTION("""COMPUTED_VALUE"""),2169.0)</f>
        <v>2169</v>
      </c>
      <c r="H561" s="46">
        <f>IFERROR(__xludf.DUMMYFUNCTION("""COMPUTED_VALUE"""),1449477.63)</f>
        <v>1449477.63</v>
      </c>
      <c r="I561" s="46">
        <f>IFERROR(__xludf.DUMMYFUNCTION("""COMPUTED_VALUE"""),1090009.26)</f>
        <v>1090009.26</v>
      </c>
      <c r="J561" s="46">
        <f>IFERROR(__xludf.DUMMYFUNCTION("""COMPUTED_VALUE"""),359468.3699999999)</f>
        <v>359468.37</v>
      </c>
      <c r="K561" s="46" t="str">
        <f t="array" ref="K561">TEXT(D561, "mmmm")</f>
        <v>April</v>
      </c>
      <c r="M561" s="46" t="str">
        <f>IFERROR(__xludf.DUMMYFUNCTION("""COMPUTED_VALUE"""),"Ukraine")</f>
        <v>Ukraine</v>
      </c>
      <c r="N561" s="94">
        <f>IFERROR(__xludf.DUMMYFUNCTION("""COMPUTED_VALUE"""),41518.0)</f>
        <v>41518</v>
      </c>
      <c r="O561" s="46">
        <f>IFERROR(__xludf.DUMMYFUNCTION("""COMPUTED_VALUE"""),1.0)</f>
        <v>1</v>
      </c>
      <c r="P561" s="46">
        <f>IFERROR(__xludf.DUMMYFUNCTION("""COMPUTED_VALUE"""),7271.0)</f>
        <v>7271</v>
      </c>
      <c r="Q561" s="46">
        <f>IFERROR(__xludf.DUMMYFUNCTION("""COMPUTED_VALUE"""),345008.95)</f>
        <v>345008.95</v>
      </c>
      <c r="R561" s="46">
        <f>IFERROR(__xludf.DUMMYFUNCTION("""COMPUTED_VALUE"""),231145.09)</f>
        <v>231145.09</v>
      </c>
      <c r="S561" s="46">
        <f>IFERROR(__xludf.DUMMYFUNCTION("""COMPUTED_VALUE"""),113863.86000000002)</f>
        <v>113863.86</v>
      </c>
    </row>
    <row r="562">
      <c r="A562" s="46" t="str">
        <f>IFERROR(__xludf.DUMMYFUNCTION("""COMPUTED_VALUE"""),"Household")</f>
        <v>Household</v>
      </c>
      <c r="B562" s="46" t="str">
        <f>IFERROR(__xludf.DUMMYFUNCTION("""COMPUTED_VALUE"""),"Monaco")</f>
        <v>Monaco</v>
      </c>
      <c r="C562" s="46" t="str">
        <f>IFERROR(__xludf.DUMMYFUNCTION("""COMPUTED_VALUE"""),"Europe")</f>
        <v>Europe</v>
      </c>
      <c r="D562" s="90">
        <f>IFERROR(__xludf.DUMMYFUNCTION("""COMPUTED_VALUE"""),41730.0)</f>
        <v>41730</v>
      </c>
      <c r="E562" s="46">
        <f>IFERROR(__xludf.DUMMYFUNCTION("""COMPUTED_VALUE"""),2014.0)</f>
        <v>2014</v>
      </c>
      <c r="F562" s="46">
        <f>IFERROR(__xludf.DUMMYFUNCTION("""COMPUTED_VALUE"""),1.0)</f>
        <v>1</v>
      </c>
      <c r="G562" s="46">
        <f>IFERROR(__xludf.DUMMYFUNCTION("""COMPUTED_VALUE"""),478.0)</f>
        <v>478</v>
      </c>
      <c r="H562" s="46">
        <f>IFERROR(__xludf.DUMMYFUNCTION("""COMPUTED_VALUE"""),319433.06)</f>
        <v>319433.06</v>
      </c>
      <c r="I562" s="46">
        <f>IFERROR(__xludf.DUMMYFUNCTION("""COMPUTED_VALUE"""),240214.12)</f>
        <v>240214.12</v>
      </c>
      <c r="J562" s="46">
        <f>IFERROR(__xludf.DUMMYFUNCTION("""COMPUTED_VALUE"""),79218.94)</f>
        <v>79218.94</v>
      </c>
      <c r="K562" s="46" t="str">
        <f t="array" ref="K562">TEXT(D562, "mmmm")</f>
        <v>April</v>
      </c>
      <c r="M562" s="46" t="str">
        <f>IFERROR(__xludf.DUMMYFUNCTION("""COMPUTED_VALUE"""),"Undefined")</f>
        <v>Undefined</v>
      </c>
      <c r="N562" s="94">
        <f>IFERROR(__xludf.DUMMYFUNCTION("""COMPUTED_VALUE"""),41518.0)</f>
        <v>41518</v>
      </c>
      <c r="O562" s="46">
        <f>IFERROR(__xludf.DUMMYFUNCTION("""COMPUTED_VALUE"""),1.0)</f>
        <v>1</v>
      </c>
      <c r="P562" s="46">
        <f>IFERROR(__xludf.DUMMYFUNCTION("""COMPUTED_VALUE"""),2366.0)</f>
        <v>2366</v>
      </c>
      <c r="Q562" s="46">
        <f>IFERROR(__xludf.DUMMYFUNCTION("""COMPUTED_VALUE"""),258556.48)</f>
        <v>258556.48</v>
      </c>
      <c r="R562" s="46">
        <f>IFERROR(__xludf.DUMMYFUNCTION("""COMPUTED_VALUE"""),84797.44)</f>
        <v>84797.44</v>
      </c>
      <c r="S562" s="46">
        <f>IFERROR(__xludf.DUMMYFUNCTION("""COMPUTED_VALUE"""),173759.04)</f>
        <v>173759.04</v>
      </c>
    </row>
    <row r="563">
      <c r="A563" s="46" t="str">
        <f>IFERROR(__xludf.DUMMYFUNCTION("""COMPUTED_VALUE"""),"Office Supplies")</f>
        <v>Office Supplies</v>
      </c>
      <c r="B563" s="46" t="str">
        <f>IFERROR(__xludf.DUMMYFUNCTION("""COMPUTED_VALUE"""),"San Marino")</f>
        <v>San Marino</v>
      </c>
      <c r="C563" s="46" t="str">
        <f>IFERROR(__xludf.DUMMYFUNCTION("""COMPUTED_VALUE"""),"Europe")</f>
        <v>Europe</v>
      </c>
      <c r="D563" s="90">
        <f>IFERROR(__xludf.DUMMYFUNCTION("""COMPUTED_VALUE"""),41730.0)</f>
        <v>41730</v>
      </c>
      <c r="E563" s="46">
        <f>IFERROR(__xludf.DUMMYFUNCTION("""COMPUTED_VALUE"""),2014.0)</f>
        <v>2014</v>
      </c>
      <c r="F563" s="46">
        <f>IFERROR(__xludf.DUMMYFUNCTION("""COMPUTED_VALUE"""),1.0)</f>
        <v>1</v>
      </c>
      <c r="G563" s="46">
        <f>IFERROR(__xludf.DUMMYFUNCTION("""COMPUTED_VALUE"""),6905.0)</f>
        <v>6905</v>
      </c>
      <c r="H563" s="46">
        <f>IFERROR(__xludf.DUMMYFUNCTION("""COMPUTED_VALUE"""),4496605.05)</f>
        <v>4496605.05</v>
      </c>
      <c r="I563" s="46">
        <f>IFERROR(__xludf.DUMMYFUNCTION("""COMPUTED_VALUE"""),3624848.8000000003)</f>
        <v>3624848.8</v>
      </c>
      <c r="J563" s="46">
        <f>IFERROR(__xludf.DUMMYFUNCTION("""COMPUTED_VALUE"""),871756.2499999995)</f>
        <v>871756.25</v>
      </c>
      <c r="K563" s="46" t="str">
        <f t="array" ref="K563">TEXT(D563, "mmmm")</f>
        <v>April</v>
      </c>
      <c r="M563" s="46" t="str">
        <f>IFERROR(__xludf.DUMMYFUNCTION("""COMPUTED_VALUE"""),"Andorra")</f>
        <v>Andorra</v>
      </c>
      <c r="N563" s="94">
        <f>IFERROR(__xludf.DUMMYFUNCTION("""COMPUTED_VALUE"""),41548.0)</f>
        <v>41548</v>
      </c>
      <c r="O563" s="46">
        <f>IFERROR(__xludf.DUMMYFUNCTION("""COMPUTED_VALUE"""),1.0)</f>
        <v>1</v>
      </c>
      <c r="P563" s="46">
        <f>IFERROR(__xludf.DUMMYFUNCTION("""COMPUTED_VALUE"""),9107.0)</f>
        <v>9107</v>
      </c>
      <c r="Q563" s="46">
        <f>IFERROR(__xludf.DUMMYFUNCTION("""COMPUTED_VALUE"""),432127.15)</f>
        <v>432127.15</v>
      </c>
      <c r="R563" s="46">
        <f>IFERROR(__xludf.DUMMYFUNCTION("""COMPUTED_VALUE"""),289511.52999999997)</f>
        <v>289511.53</v>
      </c>
      <c r="S563" s="46">
        <f>IFERROR(__xludf.DUMMYFUNCTION("""COMPUTED_VALUE"""),142615.62000000005)</f>
        <v>142615.62</v>
      </c>
    </row>
    <row r="564">
      <c r="A564" s="46" t="str">
        <f>IFERROR(__xludf.DUMMYFUNCTION("""COMPUTED_VALUE"""),"Personal Care")</f>
        <v>Personal Care</v>
      </c>
      <c r="B564" s="46" t="str">
        <f>IFERROR(__xludf.DUMMYFUNCTION("""COMPUTED_VALUE"""),"Poland")</f>
        <v>Poland</v>
      </c>
      <c r="C564" s="46" t="str">
        <f>IFERROR(__xludf.DUMMYFUNCTION("""COMPUTED_VALUE"""),"Europe")</f>
        <v>Europe</v>
      </c>
      <c r="D564" s="90">
        <f>IFERROR(__xludf.DUMMYFUNCTION("""COMPUTED_VALUE"""),41730.0)</f>
        <v>41730</v>
      </c>
      <c r="E564" s="46">
        <f>IFERROR(__xludf.DUMMYFUNCTION("""COMPUTED_VALUE"""),2014.0)</f>
        <v>2014</v>
      </c>
      <c r="F564" s="46">
        <f>IFERROR(__xludf.DUMMYFUNCTION("""COMPUTED_VALUE"""),1.0)</f>
        <v>1</v>
      </c>
      <c r="G564" s="46">
        <f>IFERROR(__xludf.DUMMYFUNCTION("""COMPUTED_VALUE"""),5060.0)</f>
        <v>5060</v>
      </c>
      <c r="H564" s="46">
        <f>IFERROR(__xludf.DUMMYFUNCTION("""COMPUTED_VALUE"""),413553.80000000005)</f>
        <v>413553.8</v>
      </c>
      <c r="I564" s="46">
        <f>IFERROR(__xludf.DUMMYFUNCTION("""COMPUTED_VALUE"""),286750.2)</f>
        <v>286750.2</v>
      </c>
      <c r="J564" s="46">
        <f>IFERROR(__xludf.DUMMYFUNCTION("""COMPUTED_VALUE"""),126803.60000000003)</f>
        <v>126803.6</v>
      </c>
      <c r="K564" s="46" t="str">
        <f t="array" ref="K564">TEXT(D564, "mmmm")</f>
        <v>April</v>
      </c>
      <c r="M564" s="46" t="str">
        <f>IFERROR(__xludf.DUMMYFUNCTION("""COMPUTED_VALUE"""),"Belgium")</f>
        <v>Belgium</v>
      </c>
      <c r="N564" s="94">
        <f>IFERROR(__xludf.DUMMYFUNCTION("""COMPUTED_VALUE"""),41548.0)</f>
        <v>41548</v>
      </c>
      <c r="O564" s="46">
        <f>IFERROR(__xludf.DUMMYFUNCTION("""COMPUTED_VALUE"""),1.0)</f>
        <v>1</v>
      </c>
      <c r="P564" s="46">
        <f>IFERROR(__xludf.DUMMYFUNCTION("""COMPUTED_VALUE"""),8310.0)</f>
        <v>8310</v>
      </c>
      <c r="Q564" s="46">
        <f>IFERROR(__xludf.DUMMYFUNCTION("""COMPUTED_VALUE"""),77532.3)</f>
        <v>77532.3</v>
      </c>
      <c r="R564" s="46">
        <f>IFERROR(__xludf.DUMMYFUNCTION("""COMPUTED_VALUE"""),57505.2)</f>
        <v>57505.2</v>
      </c>
      <c r="S564" s="46">
        <f>IFERROR(__xludf.DUMMYFUNCTION("""COMPUTED_VALUE"""),20027.100000000006)</f>
        <v>20027.1</v>
      </c>
    </row>
    <row r="565">
      <c r="A565" s="46" t="str">
        <f>IFERROR(__xludf.DUMMYFUNCTION("""COMPUTED_VALUE"""),"Personal Care")</f>
        <v>Personal Care</v>
      </c>
      <c r="B565" s="46" t="str">
        <f>IFERROR(__xludf.DUMMYFUNCTION("""COMPUTED_VALUE"""),"Switzerland")</f>
        <v>Switzerland</v>
      </c>
      <c r="C565" s="46" t="str">
        <f>IFERROR(__xludf.DUMMYFUNCTION("""COMPUTED_VALUE"""),"Europe")</f>
        <v>Europe</v>
      </c>
      <c r="D565" s="90">
        <f>IFERROR(__xludf.DUMMYFUNCTION("""COMPUTED_VALUE"""),41730.0)</f>
        <v>41730</v>
      </c>
      <c r="E565" s="46">
        <f>IFERROR(__xludf.DUMMYFUNCTION("""COMPUTED_VALUE"""),2014.0)</f>
        <v>2014</v>
      </c>
      <c r="F565" s="46">
        <f>IFERROR(__xludf.DUMMYFUNCTION("""COMPUTED_VALUE"""),1.0)</f>
        <v>1</v>
      </c>
      <c r="G565" s="46">
        <f>IFERROR(__xludf.DUMMYFUNCTION("""COMPUTED_VALUE"""),2958.0)</f>
        <v>2958</v>
      </c>
      <c r="H565" s="46">
        <f>IFERROR(__xludf.DUMMYFUNCTION("""COMPUTED_VALUE"""),241757.34000000003)</f>
        <v>241757.34</v>
      </c>
      <c r="I565" s="46">
        <f>IFERROR(__xludf.DUMMYFUNCTION("""COMPUTED_VALUE"""),167629.86000000002)</f>
        <v>167629.86</v>
      </c>
      <c r="J565" s="46">
        <f>IFERROR(__xludf.DUMMYFUNCTION("""COMPUTED_VALUE"""),74127.48000000001)</f>
        <v>74127.48</v>
      </c>
      <c r="K565" s="46" t="str">
        <f t="array" ref="K565">TEXT(D565, "mmmm")</f>
        <v>April</v>
      </c>
      <c r="M565" s="46" t="str">
        <f>IFERROR(__xludf.DUMMYFUNCTION("""COMPUTED_VALUE"""),"Bosnia and Herzegovina")</f>
        <v>Bosnia and Herzegovina</v>
      </c>
      <c r="N565" s="94">
        <f>IFERROR(__xludf.DUMMYFUNCTION("""COMPUTED_VALUE"""),41548.0)</f>
        <v>41548</v>
      </c>
      <c r="O565" s="46">
        <f>IFERROR(__xludf.DUMMYFUNCTION("""COMPUTED_VALUE"""),1.0)</f>
        <v>1</v>
      </c>
      <c r="P565" s="46">
        <f>IFERROR(__xludf.DUMMYFUNCTION("""COMPUTED_VALUE"""),927.0)</f>
        <v>927</v>
      </c>
      <c r="Q565" s="46">
        <f>IFERROR(__xludf.DUMMYFUNCTION("""COMPUTED_VALUE"""),101302.56)</f>
        <v>101302.56</v>
      </c>
      <c r="R565" s="46">
        <f>IFERROR(__xludf.DUMMYFUNCTION("""COMPUTED_VALUE"""),33223.68)</f>
        <v>33223.68</v>
      </c>
      <c r="S565" s="46">
        <f>IFERROR(__xludf.DUMMYFUNCTION("""COMPUTED_VALUE"""),68078.88)</f>
        <v>68078.88</v>
      </c>
    </row>
    <row r="566">
      <c r="A566" s="46" t="str">
        <f>IFERROR(__xludf.DUMMYFUNCTION("""COMPUTED_VALUE"""),"Baby Food")</f>
        <v>Baby Food</v>
      </c>
      <c r="B566" s="46" t="str">
        <f>IFERROR(__xludf.DUMMYFUNCTION("""COMPUTED_VALUE"""),"Serbia")</f>
        <v>Serbia</v>
      </c>
      <c r="C566" s="46" t="str">
        <f>IFERROR(__xludf.DUMMYFUNCTION("""COMPUTED_VALUE"""),"Europe")</f>
        <v>Europe</v>
      </c>
      <c r="D566" s="90">
        <f>IFERROR(__xludf.DUMMYFUNCTION("""COMPUTED_VALUE"""),41699.0)</f>
        <v>41699</v>
      </c>
      <c r="E566" s="46">
        <f>IFERROR(__xludf.DUMMYFUNCTION("""COMPUTED_VALUE"""),2014.0)</f>
        <v>2014</v>
      </c>
      <c r="F566" s="46">
        <f>IFERROR(__xludf.DUMMYFUNCTION("""COMPUTED_VALUE"""),1.0)</f>
        <v>1</v>
      </c>
      <c r="G566" s="46">
        <f>IFERROR(__xludf.DUMMYFUNCTION("""COMPUTED_VALUE"""),2018.0)</f>
        <v>2018</v>
      </c>
      <c r="H566" s="46">
        <f>IFERROR(__xludf.DUMMYFUNCTION("""COMPUTED_VALUE"""),515155.04)</f>
        <v>515155.04</v>
      </c>
      <c r="I566" s="46">
        <f>IFERROR(__xludf.DUMMYFUNCTION("""COMPUTED_VALUE"""),321709.56)</f>
        <v>321709.56</v>
      </c>
      <c r="J566" s="46">
        <f>IFERROR(__xludf.DUMMYFUNCTION("""COMPUTED_VALUE"""),193445.47999999998)</f>
        <v>193445.48</v>
      </c>
      <c r="K566" s="46" t="str">
        <f t="array" ref="K566">TEXT(D566, "mmmm")</f>
        <v>March</v>
      </c>
      <c r="M566" s="46" t="str">
        <f>IFERROR(__xludf.DUMMYFUNCTION("""COMPUTED_VALUE"""),"Bulgaria")</f>
        <v>Bulgaria</v>
      </c>
      <c r="N566" s="94">
        <f>IFERROR(__xludf.DUMMYFUNCTION("""COMPUTED_VALUE"""),41548.0)</f>
        <v>41548</v>
      </c>
      <c r="O566" s="46">
        <f>IFERROR(__xludf.DUMMYFUNCTION("""COMPUTED_VALUE"""),2.0)</f>
        <v>2</v>
      </c>
      <c r="P566" s="46">
        <f>IFERROR(__xludf.DUMMYFUNCTION("""COMPUTED_VALUE"""),12927.0)</f>
        <v>12927</v>
      </c>
      <c r="Q566" s="46">
        <f>IFERROR(__xludf.DUMMYFUNCTION("""COMPUTED_VALUE"""),318261.11000000004)</f>
        <v>318261.11</v>
      </c>
      <c r="R566" s="46">
        <f>IFERROR(__xludf.DUMMYFUNCTION("""COMPUTED_VALUE"""),218405.78999999998)</f>
        <v>218405.79</v>
      </c>
      <c r="S566" s="46">
        <f>IFERROR(__xludf.DUMMYFUNCTION("""COMPUTED_VALUE"""),99855.32000000004)</f>
        <v>99855.32</v>
      </c>
    </row>
    <row r="567">
      <c r="A567" s="46" t="str">
        <f>IFERROR(__xludf.DUMMYFUNCTION("""COMPUTED_VALUE"""),"Clothes")</f>
        <v>Clothes</v>
      </c>
      <c r="B567" s="46" t="str">
        <f>IFERROR(__xludf.DUMMYFUNCTION("""COMPUTED_VALUE"""),"Cyprus")</f>
        <v>Cyprus</v>
      </c>
      <c r="C567" s="46" t="str">
        <f>IFERROR(__xludf.DUMMYFUNCTION("""COMPUTED_VALUE"""),"Asia")</f>
        <v>Asia</v>
      </c>
      <c r="D567" s="90">
        <f>IFERROR(__xludf.DUMMYFUNCTION("""COMPUTED_VALUE"""),41699.0)</f>
        <v>41699</v>
      </c>
      <c r="E567" s="46">
        <f>IFERROR(__xludf.DUMMYFUNCTION("""COMPUTED_VALUE"""),2014.0)</f>
        <v>2014</v>
      </c>
      <c r="F567" s="46">
        <f>IFERROR(__xludf.DUMMYFUNCTION("""COMPUTED_VALUE"""),1.0)</f>
        <v>1</v>
      </c>
      <c r="G567" s="46">
        <f>IFERROR(__xludf.DUMMYFUNCTION("""COMPUTED_VALUE"""),7468.0)</f>
        <v>7468</v>
      </c>
      <c r="H567" s="46">
        <f>IFERROR(__xludf.DUMMYFUNCTION("""COMPUTED_VALUE"""),816103.04)</f>
        <v>816103.04</v>
      </c>
      <c r="I567" s="46">
        <f>IFERROR(__xludf.DUMMYFUNCTION("""COMPUTED_VALUE"""),267653.12000000005)</f>
        <v>267653.12</v>
      </c>
      <c r="J567" s="46">
        <f>IFERROR(__xludf.DUMMYFUNCTION("""COMPUTED_VALUE"""),548449.9199999999)</f>
        <v>548449.92</v>
      </c>
      <c r="K567" s="46" t="str">
        <f t="array" ref="K567">TEXT(D567, "mmmm")</f>
        <v>March</v>
      </c>
      <c r="M567" s="46" t="str">
        <f>IFERROR(__xludf.DUMMYFUNCTION("""COMPUTED_VALUE"""),"Croatia")</f>
        <v>Croatia</v>
      </c>
      <c r="N567" s="94">
        <f>IFERROR(__xludf.DUMMYFUNCTION("""COMPUTED_VALUE"""),41548.0)</f>
        <v>41548</v>
      </c>
      <c r="O567" s="46">
        <f>IFERROR(__xludf.DUMMYFUNCTION("""COMPUTED_VALUE"""),1.0)</f>
        <v>1</v>
      </c>
      <c r="P567" s="46">
        <f>IFERROR(__xludf.DUMMYFUNCTION("""COMPUTED_VALUE"""),5258.0)</f>
        <v>5258</v>
      </c>
      <c r="Q567" s="46">
        <f>IFERROR(__xludf.DUMMYFUNCTION("""COMPUTED_VALUE"""),3513763.6599999997)</f>
        <v>3513763.66</v>
      </c>
      <c r="R567" s="46">
        <f>IFERROR(__xludf.DUMMYFUNCTION("""COMPUTED_VALUE"""),2642355.3200000003)</f>
        <v>2642355.32</v>
      </c>
      <c r="S567" s="46">
        <f>IFERROR(__xludf.DUMMYFUNCTION("""COMPUTED_VALUE"""),871408.3399999994)</f>
        <v>871408.34</v>
      </c>
    </row>
    <row r="568">
      <c r="A568" s="46" t="str">
        <f>IFERROR(__xludf.DUMMYFUNCTION("""COMPUTED_VALUE"""),"Clothes")</f>
        <v>Clothes</v>
      </c>
      <c r="B568" s="46" t="str">
        <f>IFERROR(__xludf.DUMMYFUNCTION("""COMPUTED_VALUE"""),"Montenegro")</f>
        <v>Montenegro</v>
      </c>
      <c r="C568" s="46" t="str">
        <f>IFERROR(__xludf.DUMMYFUNCTION("""COMPUTED_VALUE"""),"Europe")</f>
        <v>Europe</v>
      </c>
      <c r="D568" s="90">
        <f>IFERROR(__xludf.DUMMYFUNCTION("""COMPUTED_VALUE"""),41699.0)</f>
        <v>41699</v>
      </c>
      <c r="E568" s="46">
        <f>IFERROR(__xludf.DUMMYFUNCTION("""COMPUTED_VALUE"""),2014.0)</f>
        <v>2014</v>
      </c>
      <c r="F568" s="46">
        <f>IFERROR(__xludf.DUMMYFUNCTION("""COMPUTED_VALUE"""),1.0)</f>
        <v>1</v>
      </c>
      <c r="G568" s="46">
        <f>IFERROR(__xludf.DUMMYFUNCTION("""COMPUTED_VALUE"""),9053.0)</f>
        <v>9053</v>
      </c>
      <c r="H568" s="46">
        <f>IFERROR(__xludf.DUMMYFUNCTION("""COMPUTED_VALUE"""),989311.84)</f>
        <v>989311.84</v>
      </c>
      <c r="I568" s="46">
        <f>IFERROR(__xludf.DUMMYFUNCTION("""COMPUTED_VALUE"""),324459.52)</f>
        <v>324459.52</v>
      </c>
      <c r="J568" s="46">
        <f>IFERROR(__xludf.DUMMYFUNCTION("""COMPUTED_VALUE"""),664852.32)</f>
        <v>664852.32</v>
      </c>
      <c r="K568" s="46" t="str">
        <f t="array" ref="K568">TEXT(D568, "mmmm")</f>
        <v>March</v>
      </c>
      <c r="M568" s="46" t="str">
        <f>IFERROR(__xludf.DUMMYFUNCTION("""COMPUTED_VALUE"""),"Estonia")</f>
        <v>Estonia</v>
      </c>
      <c r="N568" s="94">
        <f>IFERROR(__xludf.DUMMYFUNCTION("""COMPUTED_VALUE"""),41548.0)</f>
        <v>41548</v>
      </c>
      <c r="O568" s="46">
        <f>IFERROR(__xludf.DUMMYFUNCTION("""COMPUTED_VALUE"""),1.0)</f>
        <v>1</v>
      </c>
      <c r="P568" s="46">
        <f>IFERROR(__xludf.DUMMYFUNCTION("""COMPUTED_VALUE"""),1504.0)</f>
        <v>1504</v>
      </c>
      <c r="Q568" s="46">
        <f>IFERROR(__xludf.DUMMYFUNCTION("""COMPUTED_VALUE"""),309372.8)</f>
        <v>309372.8</v>
      </c>
      <c r="R568" s="46">
        <f>IFERROR(__xludf.DUMMYFUNCTION("""COMPUTED_VALUE"""),176133.44)</f>
        <v>176133.44</v>
      </c>
      <c r="S568" s="46">
        <f>IFERROR(__xludf.DUMMYFUNCTION("""COMPUTED_VALUE"""),133239.36)</f>
        <v>133239.36</v>
      </c>
    </row>
    <row r="569">
      <c r="A569" s="46" t="str">
        <f>IFERROR(__xludf.DUMMYFUNCTION("""COMPUTED_VALUE"""),"Clothes")</f>
        <v>Clothes</v>
      </c>
      <c r="B569" s="46" t="str">
        <f>IFERROR(__xludf.DUMMYFUNCTION("""COMPUTED_VALUE"""),"Undefined")</f>
        <v>Undefined</v>
      </c>
      <c r="C569" s="46" t="str">
        <f>IFERROR(__xludf.DUMMYFUNCTION("""COMPUTED_VALUE"""),"Undefined")</f>
        <v>Undefined</v>
      </c>
      <c r="D569" s="90">
        <f>IFERROR(__xludf.DUMMYFUNCTION("""COMPUTED_VALUE"""),41699.0)</f>
        <v>41699</v>
      </c>
      <c r="E569" s="46">
        <f>IFERROR(__xludf.DUMMYFUNCTION("""COMPUTED_VALUE"""),2014.0)</f>
        <v>2014</v>
      </c>
      <c r="F569" s="46">
        <f>IFERROR(__xludf.DUMMYFUNCTION("""COMPUTED_VALUE"""),1.0)</f>
        <v>1</v>
      </c>
      <c r="G569" s="46">
        <f>IFERROR(__xludf.DUMMYFUNCTION("""COMPUTED_VALUE"""),1642.0)</f>
        <v>1642</v>
      </c>
      <c r="H569" s="46">
        <f>IFERROR(__xludf.DUMMYFUNCTION("""COMPUTED_VALUE"""),179437.76)</f>
        <v>179437.76</v>
      </c>
      <c r="I569" s="46">
        <f>IFERROR(__xludf.DUMMYFUNCTION("""COMPUTED_VALUE"""),58849.280000000006)</f>
        <v>58849.28</v>
      </c>
      <c r="J569" s="46">
        <f>IFERROR(__xludf.DUMMYFUNCTION("""COMPUTED_VALUE"""),120588.48000000001)</f>
        <v>120588.48</v>
      </c>
      <c r="K569" s="46" t="str">
        <f t="array" ref="K569">TEXT(D569, "mmmm")</f>
        <v>March</v>
      </c>
      <c r="M569" s="46" t="str">
        <f>IFERROR(__xludf.DUMMYFUNCTION("""COMPUTED_VALUE"""),"France")</f>
        <v>France</v>
      </c>
      <c r="N569" s="94">
        <f>IFERROR(__xludf.DUMMYFUNCTION("""COMPUTED_VALUE"""),41548.0)</f>
        <v>41548</v>
      </c>
      <c r="O569" s="46">
        <f>IFERROR(__xludf.DUMMYFUNCTION("""COMPUTED_VALUE"""),1.0)</f>
        <v>1</v>
      </c>
      <c r="P569" s="46">
        <f>IFERROR(__xludf.DUMMYFUNCTION("""COMPUTED_VALUE"""),1962.0)</f>
        <v>1962</v>
      </c>
      <c r="Q569" s="46">
        <f>IFERROR(__xludf.DUMMYFUNCTION("""COMPUTED_VALUE"""),1277674.02)</f>
        <v>1277674.02</v>
      </c>
      <c r="R569" s="46">
        <f>IFERROR(__xludf.DUMMYFUNCTION("""COMPUTED_VALUE"""),1029971.52)</f>
        <v>1029971.52</v>
      </c>
      <c r="S569" s="46">
        <f>IFERROR(__xludf.DUMMYFUNCTION("""COMPUTED_VALUE"""),247702.5)</f>
        <v>247702.5</v>
      </c>
    </row>
    <row r="570">
      <c r="A570" s="46" t="str">
        <f>IFERROR(__xludf.DUMMYFUNCTION("""COMPUTED_VALUE"""),"Cosmetics")</f>
        <v>Cosmetics</v>
      </c>
      <c r="B570" s="46" t="str">
        <f>IFERROR(__xludf.DUMMYFUNCTION("""COMPUTED_VALUE"""),"France")</f>
        <v>France</v>
      </c>
      <c r="C570" s="46" t="str">
        <f>IFERROR(__xludf.DUMMYFUNCTION("""COMPUTED_VALUE"""),"Europe")</f>
        <v>Europe</v>
      </c>
      <c r="D570" s="90">
        <f>IFERROR(__xludf.DUMMYFUNCTION("""COMPUTED_VALUE"""),41699.0)</f>
        <v>41699</v>
      </c>
      <c r="E570" s="46">
        <f>IFERROR(__xludf.DUMMYFUNCTION("""COMPUTED_VALUE"""),2014.0)</f>
        <v>2014</v>
      </c>
      <c r="F570" s="46">
        <f>IFERROR(__xludf.DUMMYFUNCTION("""COMPUTED_VALUE"""),1.0)</f>
        <v>1</v>
      </c>
      <c r="G570" s="46">
        <f>IFERROR(__xludf.DUMMYFUNCTION("""COMPUTED_VALUE"""),7069.0)</f>
        <v>7069</v>
      </c>
      <c r="H570" s="46">
        <f>IFERROR(__xludf.DUMMYFUNCTION("""COMPUTED_VALUE"""),3090566.8)</f>
        <v>3090566.8</v>
      </c>
      <c r="I570" s="46">
        <f>IFERROR(__xludf.DUMMYFUNCTION("""COMPUTED_VALUE"""),1861479.7699999998)</f>
        <v>1861479.77</v>
      </c>
      <c r="J570" s="46">
        <f>IFERROR(__xludf.DUMMYFUNCTION("""COMPUTED_VALUE"""),1229087.03)</f>
        <v>1229087.03</v>
      </c>
      <c r="K570" s="46" t="str">
        <f t="array" ref="K570">TEXT(D570, "mmmm")</f>
        <v>March</v>
      </c>
      <c r="M570" s="46" t="str">
        <f>IFERROR(__xludf.DUMMYFUNCTION("""COMPUTED_VALUE"""),"Greece")</f>
        <v>Greece</v>
      </c>
      <c r="N570" s="94">
        <f>IFERROR(__xludf.DUMMYFUNCTION("""COMPUTED_VALUE"""),41548.0)</f>
        <v>41548</v>
      </c>
      <c r="O570" s="46">
        <f>IFERROR(__xludf.DUMMYFUNCTION("""COMPUTED_VALUE"""),1.0)</f>
        <v>1</v>
      </c>
      <c r="P570" s="46">
        <f>IFERROR(__xludf.DUMMYFUNCTION("""COMPUTED_VALUE"""),2045.0)</f>
        <v>2045</v>
      </c>
      <c r="Q570" s="46">
        <f>IFERROR(__xludf.DUMMYFUNCTION("""COMPUTED_VALUE"""),420656.5)</f>
        <v>420656.5</v>
      </c>
      <c r="R570" s="46">
        <f>IFERROR(__xludf.DUMMYFUNCTION("""COMPUTED_VALUE"""),239489.95)</f>
        <v>239489.95</v>
      </c>
      <c r="S570" s="46">
        <f>IFERROR(__xludf.DUMMYFUNCTION("""COMPUTED_VALUE"""),181166.55)</f>
        <v>181166.55</v>
      </c>
    </row>
    <row r="571">
      <c r="A571" s="46" t="str">
        <f>IFERROR(__xludf.DUMMYFUNCTION("""COMPUTED_VALUE"""),"Cosmetics")</f>
        <v>Cosmetics</v>
      </c>
      <c r="B571" s="46" t="str">
        <f>IFERROR(__xludf.DUMMYFUNCTION("""COMPUTED_VALUE"""),"Latvia")</f>
        <v>Latvia</v>
      </c>
      <c r="C571" s="46" t="str">
        <f>IFERROR(__xludf.DUMMYFUNCTION("""COMPUTED_VALUE"""),"Europe")</f>
        <v>Europe</v>
      </c>
      <c r="D571" s="90">
        <f>IFERROR(__xludf.DUMMYFUNCTION("""COMPUTED_VALUE"""),41699.0)</f>
        <v>41699</v>
      </c>
      <c r="E571" s="46">
        <f>IFERROR(__xludf.DUMMYFUNCTION("""COMPUTED_VALUE"""),2014.0)</f>
        <v>2014</v>
      </c>
      <c r="F571" s="46">
        <f>IFERROR(__xludf.DUMMYFUNCTION("""COMPUTED_VALUE"""),1.0)</f>
        <v>1</v>
      </c>
      <c r="G571" s="46">
        <f>IFERROR(__xludf.DUMMYFUNCTION("""COMPUTED_VALUE"""),9382.0)</f>
        <v>9382</v>
      </c>
      <c r="H571" s="46">
        <f>IFERROR(__xludf.DUMMYFUNCTION("""COMPUTED_VALUE"""),4101810.4)</f>
        <v>4101810.4</v>
      </c>
      <c r="I571" s="46">
        <f>IFERROR(__xludf.DUMMYFUNCTION("""COMPUTED_VALUE"""),2470562.06)</f>
        <v>2470562.06</v>
      </c>
      <c r="J571" s="46">
        <f>IFERROR(__xludf.DUMMYFUNCTION("""COMPUTED_VALUE"""),1631248.3399999999)</f>
        <v>1631248.34</v>
      </c>
      <c r="K571" s="46" t="str">
        <f t="array" ref="K571">TEXT(D571, "mmmm")</f>
        <v>March</v>
      </c>
      <c r="M571" s="46" t="str">
        <f>IFERROR(__xludf.DUMMYFUNCTION("""COMPUTED_VALUE"""),"Liechtenstein")</f>
        <v>Liechtenstein</v>
      </c>
      <c r="N571" s="94">
        <f>IFERROR(__xludf.DUMMYFUNCTION("""COMPUTED_VALUE"""),41548.0)</f>
        <v>41548</v>
      </c>
      <c r="O571" s="46">
        <f>IFERROR(__xludf.DUMMYFUNCTION("""COMPUTED_VALUE"""),1.0)</f>
        <v>1</v>
      </c>
      <c r="P571" s="46">
        <f>IFERROR(__xludf.DUMMYFUNCTION("""COMPUTED_VALUE"""),6531.0)</f>
        <v>6531</v>
      </c>
      <c r="Q571" s="46">
        <f>IFERROR(__xludf.DUMMYFUNCTION("""COMPUTED_VALUE"""),1006165.86)</f>
        <v>1006165.86</v>
      </c>
      <c r="R571" s="46">
        <f>IFERROR(__xludf.DUMMYFUNCTION("""COMPUTED_VALUE"""),593863.8300000001)</f>
        <v>593863.83</v>
      </c>
      <c r="S571" s="46">
        <f>IFERROR(__xludf.DUMMYFUNCTION("""COMPUTED_VALUE"""),412302.0299999999)</f>
        <v>412302.03</v>
      </c>
    </row>
    <row r="572">
      <c r="A572" s="46" t="str">
        <f>IFERROR(__xludf.DUMMYFUNCTION("""COMPUTED_VALUE"""),"Cosmetics")</f>
        <v>Cosmetics</v>
      </c>
      <c r="B572" s="46" t="str">
        <f>IFERROR(__xludf.DUMMYFUNCTION("""COMPUTED_VALUE"""),"Malta")</f>
        <v>Malta</v>
      </c>
      <c r="C572" s="46" t="str">
        <f>IFERROR(__xludf.DUMMYFUNCTION("""COMPUTED_VALUE"""),"Europe")</f>
        <v>Europe</v>
      </c>
      <c r="D572" s="90">
        <f>IFERROR(__xludf.DUMMYFUNCTION("""COMPUTED_VALUE"""),41699.0)</f>
        <v>41699</v>
      </c>
      <c r="E572" s="46">
        <f>IFERROR(__xludf.DUMMYFUNCTION("""COMPUTED_VALUE"""),2014.0)</f>
        <v>2014</v>
      </c>
      <c r="F572" s="46">
        <f>IFERROR(__xludf.DUMMYFUNCTION("""COMPUTED_VALUE"""),1.0)</f>
        <v>1</v>
      </c>
      <c r="G572" s="46">
        <f>IFERROR(__xludf.DUMMYFUNCTION("""COMPUTED_VALUE"""),2854.0)</f>
        <v>2854</v>
      </c>
      <c r="H572" s="46">
        <f>IFERROR(__xludf.DUMMYFUNCTION("""COMPUTED_VALUE"""),1247768.8)</f>
        <v>1247768.8</v>
      </c>
      <c r="I572" s="46">
        <f>IFERROR(__xludf.DUMMYFUNCTION("""COMPUTED_VALUE"""),751543.82)</f>
        <v>751543.82</v>
      </c>
      <c r="J572" s="46">
        <f>IFERROR(__xludf.DUMMYFUNCTION("""COMPUTED_VALUE"""),496224.9800000001)</f>
        <v>496224.98</v>
      </c>
      <c r="K572" s="46" t="str">
        <f t="array" ref="K572">TEXT(D572, "mmmm")</f>
        <v>March</v>
      </c>
      <c r="M572" s="46" t="str">
        <f>IFERROR(__xludf.DUMMYFUNCTION("""COMPUTED_VALUE"""),"Malta")</f>
        <v>Malta</v>
      </c>
      <c r="N572" s="94">
        <f>IFERROR(__xludf.DUMMYFUNCTION("""COMPUTED_VALUE"""),41548.0)</f>
        <v>41548</v>
      </c>
      <c r="O572" s="46">
        <f>IFERROR(__xludf.DUMMYFUNCTION("""COMPUTED_VALUE"""),1.0)</f>
        <v>1</v>
      </c>
      <c r="P572" s="46">
        <f>IFERROR(__xludf.DUMMYFUNCTION("""COMPUTED_VALUE"""),2199.0)</f>
        <v>2199</v>
      </c>
      <c r="Q572" s="46">
        <f>IFERROR(__xludf.DUMMYFUNCTION("""COMPUTED_VALUE"""),104342.55)</f>
        <v>104342.55</v>
      </c>
      <c r="R572" s="46">
        <f>IFERROR(__xludf.DUMMYFUNCTION("""COMPUTED_VALUE"""),69906.20999999999)</f>
        <v>69906.21</v>
      </c>
      <c r="S572" s="46">
        <f>IFERROR(__xludf.DUMMYFUNCTION("""COMPUTED_VALUE"""),34436.34000000001)</f>
        <v>34436.34</v>
      </c>
    </row>
    <row r="573">
      <c r="A573" s="46" t="str">
        <f>IFERROR(__xludf.DUMMYFUNCTION("""COMPUTED_VALUE"""),"Cosmetics")</f>
        <v>Cosmetics</v>
      </c>
      <c r="B573" s="46" t="str">
        <f>IFERROR(__xludf.DUMMYFUNCTION("""COMPUTED_VALUE"""),"Montenegro")</f>
        <v>Montenegro</v>
      </c>
      <c r="C573" s="46" t="str">
        <f>IFERROR(__xludf.DUMMYFUNCTION("""COMPUTED_VALUE"""),"Europe")</f>
        <v>Europe</v>
      </c>
      <c r="D573" s="90">
        <f>IFERROR(__xludf.DUMMYFUNCTION("""COMPUTED_VALUE"""),41699.0)</f>
        <v>41699</v>
      </c>
      <c r="E573" s="46">
        <f>IFERROR(__xludf.DUMMYFUNCTION("""COMPUTED_VALUE"""),2014.0)</f>
        <v>2014</v>
      </c>
      <c r="F573" s="46">
        <f>IFERROR(__xludf.DUMMYFUNCTION("""COMPUTED_VALUE"""),1.0)</f>
        <v>1</v>
      </c>
      <c r="G573" s="46">
        <f>IFERROR(__xludf.DUMMYFUNCTION("""COMPUTED_VALUE"""),1997.0)</f>
        <v>1997</v>
      </c>
      <c r="H573" s="46">
        <f>IFERROR(__xludf.DUMMYFUNCTION("""COMPUTED_VALUE"""),873088.4)</f>
        <v>873088.4</v>
      </c>
      <c r="I573" s="46">
        <f>IFERROR(__xludf.DUMMYFUNCTION("""COMPUTED_VALUE"""),525870.01)</f>
        <v>525870.01</v>
      </c>
      <c r="J573" s="46">
        <f>IFERROR(__xludf.DUMMYFUNCTION("""COMPUTED_VALUE"""),347218.39)</f>
        <v>347218.39</v>
      </c>
      <c r="K573" s="46" t="str">
        <f t="array" ref="K573">TEXT(D573, "mmmm")</f>
        <v>March</v>
      </c>
      <c r="M573" s="46" t="str">
        <f>IFERROR(__xludf.DUMMYFUNCTION("""COMPUTED_VALUE"""),"Russia")</f>
        <v>Russia</v>
      </c>
      <c r="N573" s="94">
        <f>IFERROR(__xludf.DUMMYFUNCTION("""COMPUTED_VALUE"""),41548.0)</f>
        <v>41548</v>
      </c>
      <c r="O573" s="46">
        <f>IFERROR(__xludf.DUMMYFUNCTION("""COMPUTED_VALUE"""),1.0)</f>
        <v>1</v>
      </c>
      <c r="P573" s="46">
        <f>IFERROR(__xludf.DUMMYFUNCTION("""COMPUTED_VALUE"""),8685.0)</f>
        <v>8685</v>
      </c>
      <c r="Q573" s="46">
        <f>IFERROR(__xludf.DUMMYFUNCTION("""COMPUTED_VALUE"""),412103.25)</f>
        <v>412103.25</v>
      </c>
      <c r="R573" s="46">
        <f>IFERROR(__xludf.DUMMYFUNCTION("""COMPUTED_VALUE"""),276096.14999999997)</f>
        <v>276096.15</v>
      </c>
      <c r="S573" s="46">
        <f>IFERROR(__xludf.DUMMYFUNCTION("""COMPUTED_VALUE"""),136007.10000000003)</f>
        <v>136007.1</v>
      </c>
    </row>
    <row r="574">
      <c r="A574" s="46" t="str">
        <f>IFERROR(__xludf.DUMMYFUNCTION("""COMPUTED_VALUE"""),"Cosmetics")</f>
        <v>Cosmetics</v>
      </c>
      <c r="B574" s="46" t="str">
        <f>IFERROR(__xludf.DUMMYFUNCTION("""COMPUTED_VALUE"""),"Norway")</f>
        <v>Norway</v>
      </c>
      <c r="C574" s="46" t="str">
        <f>IFERROR(__xludf.DUMMYFUNCTION("""COMPUTED_VALUE"""),"Europe")</f>
        <v>Europe</v>
      </c>
      <c r="D574" s="90">
        <f>IFERROR(__xludf.DUMMYFUNCTION("""COMPUTED_VALUE"""),41699.0)</f>
        <v>41699</v>
      </c>
      <c r="E574" s="46">
        <f>IFERROR(__xludf.DUMMYFUNCTION("""COMPUTED_VALUE"""),2014.0)</f>
        <v>2014</v>
      </c>
      <c r="F574" s="46">
        <f>IFERROR(__xludf.DUMMYFUNCTION("""COMPUTED_VALUE"""),1.0)</f>
        <v>1</v>
      </c>
      <c r="G574" s="46">
        <f>IFERROR(__xludf.DUMMYFUNCTION("""COMPUTED_VALUE"""),3661.0)</f>
        <v>3661</v>
      </c>
      <c r="H574" s="46">
        <f>IFERROR(__xludf.DUMMYFUNCTION("""COMPUTED_VALUE"""),1600589.2)</f>
        <v>1600589.2</v>
      </c>
      <c r="I574" s="46">
        <f>IFERROR(__xludf.DUMMYFUNCTION("""COMPUTED_VALUE"""),964051.1299999999)</f>
        <v>964051.13</v>
      </c>
      <c r="J574" s="46">
        <f>IFERROR(__xludf.DUMMYFUNCTION("""COMPUTED_VALUE"""),636538.0700000001)</f>
        <v>636538.07</v>
      </c>
      <c r="K574" s="46" t="str">
        <f t="array" ref="K574">TEXT(D574, "mmmm")</f>
        <v>March</v>
      </c>
      <c r="M574" s="46" t="str">
        <f>IFERROR(__xludf.DUMMYFUNCTION("""COMPUTED_VALUE"""),"Serbia")</f>
        <v>Serbia</v>
      </c>
      <c r="N574" s="94">
        <f>IFERROR(__xludf.DUMMYFUNCTION("""COMPUTED_VALUE"""),41548.0)</f>
        <v>41548</v>
      </c>
      <c r="O574" s="46">
        <f>IFERROR(__xludf.DUMMYFUNCTION("""COMPUTED_VALUE"""),1.0)</f>
        <v>1</v>
      </c>
      <c r="P574" s="46">
        <f>IFERROR(__xludf.DUMMYFUNCTION("""COMPUTED_VALUE"""),8854.0)</f>
        <v>8854</v>
      </c>
      <c r="Q574" s="46">
        <f>IFERROR(__xludf.DUMMYFUNCTION("""COMPUTED_VALUE"""),1364047.24)</f>
        <v>1364047.24</v>
      </c>
      <c r="R574" s="46">
        <f>IFERROR(__xludf.DUMMYFUNCTION("""COMPUTED_VALUE"""),805094.2200000001)</f>
        <v>805094.22</v>
      </c>
      <c r="S574" s="46">
        <f>IFERROR(__xludf.DUMMYFUNCTION("""COMPUTED_VALUE"""),558953.0199999999)</f>
        <v>558953.02</v>
      </c>
    </row>
    <row r="575">
      <c r="A575" s="46" t="str">
        <f>IFERROR(__xludf.DUMMYFUNCTION("""COMPUTED_VALUE"""),"Cosmetics")</f>
        <v>Cosmetics</v>
      </c>
      <c r="B575" s="46" t="str">
        <f>IFERROR(__xludf.DUMMYFUNCTION("""COMPUTED_VALUE"""),"Portugal")</f>
        <v>Portugal</v>
      </c>
      <c r="C575" s="46" t="str">
        <f>IFERROR(__xludf.DUMMYFUNCTION("""COMPUTED_VALUE"""),"Europe")</f>
        <v>Europe</v>
      </c>
      <c r="D575" s="90">
        <f>IFERROR(__xludf.DUMMYFUNCTION("""COMPUTED_VALUE"""),41699.0)</f>
        <v>41699</v>
      </c>
      <c r="E575" s="46">
        <f>IFERROR(__xludf.DUMMYFUNCTION("""COMPUTED_VALUE"""),2014.0)</f>
        <v>2014</v>
      </c>
      <c r="F575" s="46">
        <f>IFERROR(__xludf.DUMMYFUNCTION("""COMPUTED_VALUE"""),1.0)</f>
        <v>1</v>
      </c>
      <c r="G575" s="46">
        <f>IFERROR(__xludf.DUMMYFUNCTION("""COMPUTED_VALUE"""),6000.0)</f>
        <v>6000</v>
      </c>
      <c r="H575" s="46">
        <f>IFERROR(__xludf.DUMMYFUNCTION("""COMPUTED_VALUE"""),2623200.0)</f>
        <v>2623200</v>
      </c>
      <c r="I575" s="46">
        <f>IFERROR(__xludf.DUMMYFUNCTION("""COMPUTED_VALUE"""),1579980.0)</f>
        <v>1579980</v>
      </c>
      <c r="J575" s="46">
        <f>IFERROR(__xludf.DUMMYFUNCTION("""COMPUTED_VALUE"""),1043220.0)</f>
        <v>1043220</v>
      </c>
      <c r="K575" s="46" t="str">
        <f t="array" ref="K575">TEXT(D575, "mmmm")</f>
        <v>March</v>
      </c>
      <c r="M575" s="46" t="str">
        <f>IFERROR(__xludf.DUMMYFUNCTION("""COMPUTED_VALUE"""),"Slovakia")</f>
        <v>Slovakia</v>
      </c>
      <c r="N575" s="94">
        <f>IFERROR(__xludf.DUMMYFUNCTION("""COMPUTED_VALUE"""),41548.0)</f>
        <v>41548</v>
      </c>
      <c r="O575" s="46">
        <f>IFERROR(__xludf.DUMMYFUNCTION("""COMPUTED_VALUE"""),2.0)</f>
        <v>2</v>
      </c>
      <c r="P575" s="46">
        <f>IFERROR(__xludf.DUMMYFUNCTION("""COMPUTED_VALUE"""),13473.0)</f>
        <v>13473</v>
      </c>
      <c r="Q575" s="46">
        <f>IFERROR(__xludf.DUMMYFUNCTION("""COMPUTED_VALUE"""),1056449.69)</f>
        <v>1056449.69</v>
      </c>
      <c r="R575" s="46">
        <f>IFERROR(__xludf.DUMMYFUNCTION("""COMPUTED_VALUE"""),688805.87)</f>
        <v>688805.87</v>
      </c>
      <c r="S575" s="46">
        <f>IFERROR(__xludf.DUMMYFUNCTION("""COMPUTED_VALUE"""),367643.82000000007)</f>
        <v>367643.82</v>
      </c>
    </row>
    <row r="576">
      <c r="A576" s="46" t="str">
        <f>IFERROR(__xludf.DUMMYFUNCTION("""COMPUTED_VALUE"""),"Cosmetics")</f>
        <v>Cosmetics</v>
      </c>
      <c r="B576" s="46" t="str">
        <f>IFERROR(__xludf.DUMMYFUNCTION("""COMPUTED_VALUE"""),"Switzerland")</f>
        <v>Switzerland</v>
      </c>
      <c r="C576" s="46" t="str">
        <f>IFERROR(__xludf.DUMMYFUNCTION("""COMPUTED_VALUE"""),"Europe")</f>
        <v>Europe</v>
      </c>
      <c r="D576" s="90">
        <f>IFERROR(__xludf.DUMMYFUNCTION("""COMPUTED_VALUE"""),41699.0)</f>
        <v>41699</v>
      </c>
      <c r="E576" s="46">
        <f>IFERROR(__xludf.DUMMYFUNCTION("""COMPUTED_VALUE"""),2014.0)</f>
        <v>2014</v>
      </c>
      <c r="F576" s="46">
        <f>IFERROR(__xludf.DUMMYFUNCTION("""COMPUTED_VALUE"""),1.0)</f>
        <v>1</v>
      </c>
      <c r="G576" s="46">
        <f>IFERROR(__xludf.DUMMYFUNCTION("""COMPUTED_VALUE"""),8337.0)</f>
        <v>8337</v>
      </c>
      <c r="H576" s="46">
        <f>IFERROR(__xludf.DUMMYFUNCTION("""COMPUTED_VALUE"""),3644936.4)</f>
        <v>3644936.4</v>
      </c>
      <c r="I576" s="46">
        <f>IFERROR(__xludf.DUMMYFUNCTION("""COMPUTED_VALUE"""),2195382.21)</f>
        <v>2195382.21</v>
      </c>
      <c r="J576" s="46">
        <f>IFERROR(__xludf.DUMMYFUNCTION("""COMPUTED_VALUE"""),1449554.19)</f>
        <v>1449554.19</v>
      </c>
      <c r="K576" s="46" t="str">
        <f t="array" ref="K576">TEXT(D576, "mmmm")</f>
        <v>March</v>
      </c>
      <c r="M576" s="46" t="str">
        <f>IFERROR(__xludf.DUMMYFUNCTION("""COMPUTED_VALUE"""),"Slovenia")</f>
        <v>Slovenia</v>
      </c>
      <c r="N576" s="94">
        <f>IFERROR(__xludf.DUMMYFUNCTION("""COMPUTED_VALUE"""),41548.0)</f>
        <v>41548</v>
      </c>
      <c r="O576" s="46">
        <f>IFERROR(__xludf.DUMMYFUNCTION("""COMPUTED_VALUE"""),1.0)</f>
        <v>1</v>
      </c>
      <c r="P576" s="46">
        <f>IFERROR(__xludf.DUMMYFUNCTION("""COMPUTED_VALUE"""),7623.0)</f>
        <v>7623</v>
      </c>
      <c r="Q576" s="46">
        <f>IFERROR(__xludf.DUMMYFUNCTION("""COMPUTED_VALUE"""),3332775.6)</f>
        <v>3332775.6</v>
      </c>
      <c r="R576" s="46">
        <f>IFERROR(__xludf.DUMMYFUNCTION("""COMPUTED_VALUE"""),2007364.5899999999)</f>
        <v>2007364.59</v>
      </c>
      <c r="S576" s="46">
        <f>IFERROR(__xludf.DUMMYFUNCTION("""COMPUTED_VALUE"""),1325411.0100000002)</f>
        <v>1325411.01</v>
      </c>
    </row>
    <row r="577">
      <c r="A577" s="46" t="str">
        <f>IFERROR(__xludf.DUMMYFUNCTION("""COMPUTED_VALUE"""),"Household")</f>
        <v>Household</v>
      </c>
      <c r="B577" s="46" t="str">
        <f>IFERROR(__xludf.DUMMYFUNCTION("""COMPUTED_VALUE"""),"Bulgaria")</f>
        <v>Bulgaria</v>
      </c>
      <c r="C577" s="46" t="str">
        <f>IFERROR(__xludf.DUMMYFUNCTION("""COMPUTED_VALUE"""),"Europe")</f>
        <v>Europe</v>
      </c>
      <c r="D577" s="90">
        <f>IFERROR(__xludf.DUMMYFUNCTION("""COMPUTED_VALUE"""),41699.0)</f>
        <v>41699</v>
      </c>
      <c r="E577" s="46">
        <f>IFERROR(__xludf.DUMMYFUNCTION("""COMPUTED_VALUE"""),2014.0)</f>
        <v>2014</v>
      </c>
      <c r="F577" s="46">
        <f>IFERROR(__xludf.DUMMYFUNCTION("""COMPUTED_VALUE"""),1.0)</f>
        <v>1</v>
      </c>
      <c r="G577" s="46">
        <f>IFERROR(__xludf.DUMMYFUNCTION("""COMPUTED_VALUE"""),2.0)</f>
        <v>2</v>
      </c>
      <c r="H577" s="46">
        <f>IFERROR(__xludf.DUMMYFUNCTION("""COMPUTED_VALUE"""),1336.54)</f>
        <v>1336.54</v>
      </c>
      <c r="I577" s="46">
        <f>IFERROR(__xludf.DUMMYFUNCTION("""COMPUTED_VALUE"""),1005.08)</f>
        <v>1005.08</v>
      </c>
      <c r="J577" s="46">
        <f>IFERROR(__xludf.DUMMYFUNCTION("""COMPUTED_VALUE"""),331.4599999999999)</f>
        <v>331.46</v>
      </c>
      <c r="K577" s="46" t="str">
        <f t="array" ref="K577">TEXT(D577, "mmmm")</f>
        <v>March</v>
      </c>
      <c r="M577" s="46" t="str">
        <f>IFERROR(__xludf.DUMMYFUNCTION("""COMPUTED_VALUE"""),"Austria")</f>
        <v>Austria</v>
      </c>
      <c r="N577" s="94">
        <f>IFERROR(__xludf.DUMMYFUNCTION("""COMPUTED_VALUE"""),41579.0)</f>
        <v>41579</v>
      </c>
      <c r="O577" s="46">
        <f>IFERROR(__xludf.DUMMYFUNCTION("""COMPUTED_VALUE"""),1.0)</f>
        <v>1</v>
      </c>
      <c r="P577" s="46">
        <f>IFERROR(__xludf.DUMMYFUNCTION("""COMPUTED_VALUE"""),4765.0)</f>
        <v>4765</v>
      </c>
      <c r="Q577" s="46">
        <f>IFERROR(__xludf.DUMMYFUNCTION("""COMPUTED_VALUE"""),2010305.8499999999)</f>
        <v>2010305.85</v>
      </c>
      <c r="R577" s="46">
        <f>IFERROR(__xludf.DUMMYFUNCTION("""COMPUTED_VALUE"""),1737747.85)</f>
        <v>1737747.85</v>
      </c>
      <c r="S577" s="46">
        <f>IFERROR(__xludf.DUMMYFUNCTION("""COMPUTED_VALUE"""),272557.99999999977)</f>
        <v>272558</v>
      </c>
    </row>
    <row r="578">
      <c r="A578" s="46" t="str">
        <f>IFERROR(__xludf.DUMMYFUNCTION("""COMPUTED_VALUE"""),"Meat")</f>
        <v>Meat</v>
      </c>
      <c r="B578" s="46" t="str">
        <f>IFERROR(__xludf.DUMMYFUNCTION("""COMPUTED_VALUE"""),"Switzerland")</f>
        <v>Switzerland</v>
      </c>
      <c r="C578" s="46" t="str">
        <f>IFERROR(__xludf.DUMMYFUNCTION("""COMPUTED_VALUE"""),"Europe")</f>
        <v>Europe</v>
      </c>
      <c r="D578" s="90">
        <f>IFERROR(__xludf.DUMMYFUNCTION("""COMPUTED_VALUE"""),41699.0)</f>
        <v>41699</v>
      </c>
      <c r="E578" s="46">
        <f>IFERROR(__xludf.DUMMYFUNCTION("""COMPUTED_VALUE"""),2014.0)</f>
        <v>2014</v>
      </c>
      <c r="F578" s="46">
        <f>IFERROR(__xludf.DUMMYFUNCTION("""COMPUTED_VALUE"""),1.0)</f>
        <v>1</v>
      </c>
      <c r="G578" s="46">
        <f>IFERROR(__xludf.DUMMYFUNCTION("""COMPUTED_VALUE"""),1860.0)</f>
        <v>1860</v>
      </c>
      <c r="H578" s="46">
        <f>IFERROR(__xludf.DUMMYFUNCTION("""COMPUTED_VALUE"""),784715.4)</f>
        <v>784715.4</v>
      </c>
      <c r="I578" s="46">
        <f>IFERROR(__xludf.DUMMYFUNCTION("""COMPUTED_VALUE"""),678323.4)</f>
        <v>678323.4</v>
      </c>
      <c r="J578" s="46">
        <f>IFERROR(__xludf.DUMMYFUNCTION("""COMPUTED_VALUE"""),106392.0)</f>
        <v>106392</v>
      </c>
      <c r="K578" s="46" t="str">
        <f t="array" ref="K578">TEXT(D578, "mmmm")</f>
        <v>March</v>
      </c>
      <c r="M578" s="46" t="str">
        <f>IFERROR(__xludf.DUMMYFUNCTION("""COMPUTED_VALUE"""),"Belarus")</f>
        <v>Belarus</v>
      </c>
      <c r="N578" s="94">
        <f>IFERROR(__xludf.DUMMYFUNCTION("""COMPUTED_VALUE"""),41579.0)</f>
        <v>41579</v>
      </c>
      <c r="O578" s="46">
        <f>IFERROR(__xludf.DUMMYFUNCTION("""COMPUTED_VALUE"""),1.0)</f>
        <v>1</v>
      </c>
      <c r="P578" s="46">
        <f>IFERROR(__xludf.DUMMYFUNCTION("""COMPUTED_VALUE"""),6526.0)</f>
        <v>6526</v>
      </c>
      <c r="Q578" s="46">
        <f>IFERROR(__xludf.DUMMYFUNCTION("""COMPUTED_VALUE"""),4361130.02)</f>
        <v>4361130.02</v>
      </c>
      <c r="R578" s="46">
        <f>IFERROR(__xludf.DUMMYFUNCTION("""COMPUTED_VALUE"""),3279576.04)</f>
        <v>3279576.04</v>
      </c>
      <c r="S578" s="46">
        <f>IFERROR(__xludf.DUMMYFUNCTION("""COMPUTED_VALUE"""),1081553.9799999995)</f>
        <v>1081553.98</v>
      </c>
    </row>
    <row r="579">
      <c r="A579" s="46" t="str">
        <f>IFERROR(__xludf.DUMMYFUNCTION("""COMPUTED_VALUE"""),"Office Supplies")</f>
        <v>Office Supplies</v>
      </c>
      <c r="B579" s="46" t="str">
        <f>IFERROR(__xludf.DUMMYFUNCTION("""COMPUTED_VALUE"""),"Andorra")</f>
        <v>Andorra</v>
      </c>
      <c r="C579" s="46" t="str">
        <f>IFERROR(__xludf.DUMMYFUNCTION("""COMPUTED_VALUE"""),"Europe")</f>
        <v>Europe</v>
      </c>
      <c r="D579" s="90">
        <f>IFERROR(__xludf.DUMMYFUNCTION("""COMPUTED_VALUE"""),41699.0)</f>
        <v>41699</v>
      </c>
      <c r="E579" s="46">
        <f>IFERROR(__xludf.DUMMYFUNCTION("""COMPUTED_VALUE"""),2014.0)</f>
        <v>2014</v>
      </c>
      <c r="F579" s="46">
        <f>IFERROR(__xludf.DUMMYFUNCTION("""COMPUTED_VALUE"""),1.0)</f>
        <v>1</v>
      </c>
      <c r="G579" s="46">
        <f>IFERROR(__xludf.DUMMYFUNCTION("""COMPUTED_VALUE"""),3020.0)</f>
        <v>3020</v>
      </c>
      <c r="H579" s="46">
        <f>IFERROR(__xludf.DUMMYFUNCTION("""COMPUTED_VALUE"""),1966654.2000000002)</f>
        <v>1966654.2</v>
      </c>
      <c r="I579" s="46">
        <f>IFERROR(__xludf.DUMMYFUNCTION("""COMPUTED_VALUE"""),1585379.2000000002)</f>
        <v>1585379.2</v>
      </c>
      <c r="J579" s="46">
        <f>IFERROR(__xludf.DUMMYFUNCTION("""COMPUTED_VALUE"""),381275.0)</f>
        <v>381275</v>
      </c>
      <c r="K579" s="46" t="str">
        <f t="array" ref="K579">TEXT(D579, "mmmm")</f>
        <v>March</v>
      </c>
      <c r="M579" s="46" t="str">
        <f>IFERROR(__xludf.DUMMYFUNCTION("""COMPUTED_VALUE"""),"Belgium")</f>
        <v>Belgium</v>
      </c>
      <c r="N579" s="94">
        <f>IFERROR(__xludf.DUMMYFUNCTION("""COMPUTED_VALUE"""),41579.0)</f>
        <v>41579</v>
      </c>
      <c r="O579" s="46">
        <f>IFERROR(__xludf.DUMMYFUNCTION("""COMPUTED_VALUE"""),1.0)</f>
        <v>1</v>
      </c>
      <c r="P579" s="46">
        <f>IFERROR(__xludf.DUMMYFUNCTION("""COMPUTED_VALUE"""),3582.0)</f>
        <v>3582</v>
      </c>
      <c r="Q579" s="46">
        <f>IFERROR(__xludf.DUMMYFUNCTION("""COMPUTED_VALUE"""),33420.06)</f>
        <v>33420.06</v>
      </c>
      <c r="R579" s="46">
        <f>IFERROR(__xludf.DUMMYFUNCTION("""COMPUTED_VALUE"""),24787.44)</f>
        <v>24787.44</v>
      </c>
      <c r="S579" s="46">
        <f>IFERROR(__xludf.DUMMYFUNCTION("""COMPUTED_VALUE"""),8632.619999999999)</f>
        <v>8632.62</v>
      </c>
    </row>
    <row r="580">
      <c r="A580" s="46" t="str">
        <f>IFERROR(__xludf.DUMMYFUNCTION("""COMPUTED_VALUE"""),"Office Supplies")</f>
        <v>Office Supplies</v>
      </c>
      <c r="B580" s="46" t="str">
        <f>IFERROR(__xludf.DUMMYFUNCTION("""COMPUTED_VALUE"""),"Austria")</f>
        <v>Austria</v>
      </c>
      <c r="C580" s="46" t="str">
        <f>IFERROR(__xludf.DUMMYFUNCTION("""COMPUTED_VALUE"""),"Europe")</f>
        <v>Europe</v>
      </c>
      <c r="D580" s="90">
        <f>IFERROR(__xludf.DUMMYFUNCTION("""COMPUTED_VALUE"""),41699.0)</f>
        <v>41699</v>
      </c>
      <c r="E580" s="46">
        <f>IFERROR(__xludf.DUMMYFUNCTION("""COMPUTED_VALUE"""),2014.0)</f>
        <v>2014</v>
      </c>
      <c r="F580" s="46">
        <f>IFERROR(__xludf.DUMMYFUNCTION("""COMPUTED_VALUE"""),1.0)</f>
        <v>1</v>
      </c>
      <c r="G580" s="46">
        <f>IFERROR(__xludf.DUMMYFUNCTION("""COMPUTED_VALUE"""),2717.0)</f>
        <v>2717</v>
      </c>
      <c r="H580" s="46">
        <f>IFERROR(__xludf.DUMMYFUNCTION("""COMPUTED_VALUE"""),1769337.57)</f>
        <v>1769337.57</v>
      </c>
      <c r="I580" s="46">
        <f>IFERROR(__xludf.DUMMYFUNCTION("""COMPUTED_VALUE"""),1426316.32)</f>
        <v>1426316.32</v>
      </c>
      <c r="J580" s="46">
        <f>IFERROR(__xludf.DUMMYFUNCTION("""COMPUTED_VALUE"""),343021.25)</f>
        <v>343021.25</v>
      </c>
      <c r="K580" s="46" t="str">
        <f t="array" ref="K580">TEXT(D580, "mmmm")</f>
        <v>March</v>
      </c>
      <c r="M580" s="46" t="str">
        <f>IFERROR(__xludf.DUMMYFUNCTION("""COMPUTED_VALUE"""),"Bosnia and Herzegovina")</f>
        <v>Bosnia and Herzegovina</v>
      </c>
      <c r="N580" s="94">
        <f>IFERROR(__xludf.DUMMYFUNCTION("""COMPUTED_VALUE"""),41579.0)</f>
        <v>41579</v>
      </c>
      <c r="O580" s="46">
        <f>IFERROR(__xludf.DUMMYFUNCTION("""COMPUTED_VALUE"""),1.0)</f>
        <v>1</v>
      </c>
      <c r="P580" s="46">
        <f>IFERROR(__xludf.DUMMYFUNCTION("""COMPUTED_VALUE"""),5633.0)</f>
        <v>5633</v>
      </c>
      <c r="Q580" s="46">
        <f>IFERROR(__xludf.DUMMYFUNCTION("""COMPUTED_VALUE"""),867819.98)</f>
        <v>867819.98</v>
      </c>
      <c r="R580" s="46">
        <f>IFERROR(__xludf.DUMMYFUNCTION("""COMPUTED_VALUE"""),512208.69000000006)</f>
        <v>512208.69</v>
      </c>
      <c r="S580" s="46">
        <f>IFERROR(__xludf.DUMMYFUNCTION("""COMPUTED_VALUE"""),355611.2899999999)</f>
        <v>355611.29</v>
      </c>
    </row>
    <row r="581">
      <c r="A581" s="46" t="str">
        <f>IFERROR(__xludf.DUMMYFUNCTION("""COMPUTED_VALUE"""),"Office Supplies")</f>
        <v>Office Supplies</v>
      </c>
      <c r="B581" s="46" t="str">
        <f>IFERROR(__xludf.DUMMYFUNCTION("""COMPUTED_VALUE"""),"Greece")</f>
        <v>Greece</v>
      </c>
      <c r="C581" s="46" t="str">
        <f>IFERROR(__xludf.DUMMYFUNCTION("""COMPUTED_VALUE"""),"Europe")</f>
        <v>Europe</v>
      </c>
      <c r="D581" s="90">
        <f>IFERROR(__xludf.DUMMYFUNCTION("""COMPUTED_VALUE"""),41699.0)</f>
        <v>41699</v>
      </c>
      <c r="E581" s="46">
        <f>IFERROR(__xludf.DUMMYFUNCTION("""COMPUTED_VALUE"""),2014.0)</f>
        <v>2014</v>
      </c>
      <c r="F581" s="46">
        <f>IFERROR(__xludf.DUMMYFUNCTION("""COMPUTED_VALUE"""),1.0)</f>
        <v>1</v>
      </c>
      <c r="G581" s="46">
        <f>IFERROR(__xludf.DUMMYFUNCTION("""COMPUTED_VALUE"""),6850.0)</f>
        <v>6850</v>
      </c>
      <c r="H581" s="46">
        <f>IFERROR(__xludf.DUMMYFUNCTION("""COMPUTED_VALUE"""),4460788.5)</f>
        <v>4460788.5</v>
      </c>
      <c r="I581" s="46">
        <f>IFERROR(__xludf.DUMMYFUNCTION("""COMPUTED_VALUE"""),3595976.0000000005)</f>
        <v>3595976</v>
      </c>
      <c r="J581" s="46">
        <f>IFERROR(__xludf.DUMMYFUNCTION("""COMPUTED_VALUE"""),864812.4999999995)</f>
        <v>864812.5</v>
      </c>
      <c r="K581" s="46" t="str">
        <f t="array" ref="K581">TEXT(D581, "mmmm")</f>
        <v>March</v>
      </c>
      <c r="M581" s="46" t="str">
        <f>IFERROR(__xludf.DUMMYFUNCTION("""COMPUTED_VALUE"""),"France")</f>
        <v>France</v>
      </c>
      <c r="N581" s="94">
        <f>IFERROR(__xludf.DUMMYFUNCTION("""COMPUTED_VALUE"""),41579.0)</f>
        <v>41579</v>
      </c>
      <c r="O581" s="46">
        <f>IFERROR(__xludf.DUMMYFUNCTION("""COMPUTED_VALUE"""),1.0)</f>
        <v>1</v>
      </c>
      <c r="P581" s="46">
        <f>IFERROR(__xludf.DUMMYFUNCTION("""COMPUTED_VALUE"""),7813.0)</f>
        <v>7813</v>
      </c>
      <c r="Q581" s="46">
        <f>IFERROR(__xludf.DUMMYFUNCTION("""COMPUTED_VALUE"""),5087903.73)</f>
        <v>5087903.73</v>
      </c>
      <c r="R581" s="46">
        <f>IFERROR(__xludf.DUMMYFUNCTION("""COMPUTED_VALUE"""),4101512.4800000004)</f>
        <v>4101512.48</v>
      </c>
      <c r="S581" s="46">
        <f>IFERROR(__xludf.DUMMYFUNCTION("""COMPUTED_VALUE"""),986391.25)</f>
        <v>986391.25</v>
      </c>
    </row>
    <row r="582">
      <c r="A582" s="46" t="str">
        <f>IFERROR(__xludf.DUMMYFUNCTION("""COMPUTED_VALUE"""),"Snacks")</f>
        <v>Snacks</v>
      </c>
      <c r="B582" s="46" t="str">
        <f>IFERROR(__xludf.DUMMYFUNCTION("""COMPUTED_VALUE"""),"Germany")</f>
        <v>Germany</v>
      </c>
      <c r="C582" s="46" t="str">
        <f>IFERROR(__xludf.DUMMYFUNCTION("""COMPUTED_VALUE"""),"Europe")</f>
        <v>Europe</v>
      </c>
      <c r="D582" s="90">
        <f>IFERROR(__xludf.DUMMYFUNCTION("""COMPUTED_VALUE"""),41699.0)</f>
        <v>41699</v>
      </c>
      <c r="E582" s="46">
        <f>IFERROR(__xludf.DUMMYFUNCTION("""COMPUTED_VALUE"""),2014.0)</f>
        <v>2014</v>
      </c>
      <c r="F582" s="46">
        <f>IFERROR(__xludf.DUMMYFUNCTION("""COMPUTED_VALUE"""),1.0)</f>
        <v>1</v>
      </c>
      <c r="G582" s="46">
        <f>IFERROR(__xludf.DUMMYFUNCTION("""COMPUTED_VALUE"""),3944.0)</f>
        <v>3944</v>
      </c>
      <c r="H582" s="46">
        <f>IFERROR(__xludf.DUMMYFUNCTION("""COMPUTED_VALUE"""),601775.52)</f>
        <v>601775.52</v>
      </c>
      <c r="I582" s="46">
        <f>IFERROR(__xludf.DUMMYFUNCTION("""COMPUTED_VALUE"""),384303.36)</f>
        <v>384303.36</v>
      </c>
      <c r="J582" s="46">
        <f>IFERROR(__xludf.DUMMYFUNCTION("""COMPUTED_VALUE"""),217472.16000000003)</f>
        <v>217472.16</v>
      </c>
      <c r="K582" s="46" t="str">
        <f t="array" ref="K582">TEXT(D582, "mmmm")</f>
        <v>March</v>
      </c>
      <c r="M582" s="46" t="str">
        <f>IFERROR(__xludf.DUMMYFUNCTION("""COMPUTED_VALUE"""),"Germany")</f>
        <v>Germany</v>
      </c>
      <c r="N582" s="94">
        <f>IFERROR(__xludf.DUMMYFUNCTION("""COMPUTED_VALUE"""),41579.0)</f>
        <v>41579</v>
      </c>
      <c r="O582" s="46">
        <f>IFERROR(__xludf.DUMMYFUNCTION("""COMPUTED_VALUE"""),1.0)</f>
        <v>1</v>
      </c>
      <c r="P582" s="46">
        <f>IFERROR(__xludf.DUMMYFUNCTION("""COMPUTED_VALUE"""),7644.0)</f>
        <v>7644</v>
      </c>
      <c r="Q582" s="46">
        <f>IFERROR(__xludf.DUMMYFUNCTION("""COMPUTED_VALUE"""),1951360.32)</f>
        <v>1951360.32</v>
      </c>
      <c r="R582" s="46">
        <f>IFERROR(__xludf.DUMMYFUNCTION("""COMPUTED_VALUE"""),1218606.48)</f>
        <v>1218606.48</v>
      </c>
      <c r="S582" s="46">
        <f>IFERROR(__xludf.DUMMYFUNCTION("""COMPUTED_VALUE"""),732753.8400000001)</f>
        <v>732753.84</v>
      </c>
    </row>
    <row r="583">
      <c r="A583" s="46" t="str">
        <f>IFERROR(__xludf.DUMMYFUNCTION("""COMPUTED_VALUE"""),"Snacks")</f>
        <v>Snacks</v>
      </c>
      <c r="B583" s="46" t="str">
        <f>IFERROR(__xludf.DUMMYFUNCTION("""COMPUTED_VALUE"""),"Portugal")</f>
        <v>Portugal</v>
      </c>
      <c r="C583" s="46" t="str">
        <f>IFERROR(__xludf.DUMMYFUNCTION("""COMPUTED_VALUE"""),"Europe")</f>
        <v>Europe</v>
      </c>
      <c r="D583" s="90">
        <f>IFERROR(__xludf.DUMMYFUNCTION("""COMPUTED_VALUE"""),41699.0)</f>
        <v>41699</v>
      </c>
      <c r="E583" s="46">
        <f>IFERROR(__xludf.DUMMYFUNCTION("""COMPUTED_VALUE"""),2014.0)</f>
        <v>2014</v>
      </c>
      <c r="F583" s="46">
        <f>IFERROR(__xludf.DUMMYFUNCTION("""COMPUTED_VALUE"""),1.0)</f>
        <v>1</v>
      </c>
      <c r="G583" s="46">
        <f>IFERROR(__xludf.DUMMYFUNCTION("""COMPUTED_VALUE"""),2767.0)</f>
        <v>2767</v>
      </c>
      <c r="H583" s="46">
        <f>IFERROR(__xludf.DUMMYFUNCTION("""COMPUTED_VALUE"""),422188.86000000004)</f>
        <v>422188.86</v>
      </c>
      <c r="I583" s="46">
        <f>IFERROR(__xludf.DUMMYFUNCTION("""COMPUTED_VALUE"""),269616.48)</f>
        <v>269616.48</v>
      </c>
      <c r="J583" s="46">
        <f>IFERROR(__xludf.DUMMYFUNCTION("""COMPUTED_VALUE"""),152572.38000000006)</f>
        <v>152572.38</v>
      </c>
      <c r="K583" s="46" t="str">
        <f t="array" ref="K583">TEXT(D583, "mmmm")</f>
        <v>March</v>
      </c>
      <c r="M583" s="46" t="str">
        <f>IFERROR(__xludf.DUMMYFUNCTION("""COMPUTED_VALUE"""),"Greece")</f>
        <v>Greece</v>
      </c>
      <c r="N583" s="94">
        <f>IFERROR(__xludf.DUMMYFUNCTION("""COMPUTED_VALUE"""),41579.0)</f>
        <v>41579</v>
      </c>
      <c r="O583" s="46">
        <f>IFERROR(__xludf.DUMMYFUNCTION("""COMPUTED_VALUE"""),1.0)</f>
        <v>1</v>
      </c>
      <c r="P583" s="46">
        <f>IFERROR(__xludf.DUMMYFUNCTION("""COMPUTED_VALUE"""),6666.0)</f>
        <v>6666</v>
      </c>
      <c r="Q583" s="46">
        <f>IFERROR(__xludf.DUMMYFUNCTION("""COMPUTED_VALUE"""),2812318.7399999998)</f>
        <v>2812318.74</v>
      </c>
      <c r="R583" s="46">
        <f>IFERROR(__xludf.DUMMYFUNCTION("""COMPUTED_VALUE"""),2431023.54)</f>
        <v>2431023.54</v>
      </c>
      <c r="S583" s="46">
        <f>IFERROR(__xludf.DUMMYFUNCTION("""COMPUTED_VALUE"""),381295.1999999997)</f>
        <v>381295.2</v>
      </c>
    </row>
    <row r="584">
      <c r="A584" s="46" t="str">
        <f>IFERROR(__xludf.DUMMYFUNCTION("""COMPUTED_VALUE"""),"Vegetables")</f>
        <v>Vegetables</v>
      </c>
      <c r="B584" s="46" t="str">
        <f>IFERROR(__xludf.DUMMYFUNCTION("""COMPUTED_VALUE"""),"Malta")</f>
        <v>Malta</v>
      </c>
      <c r="C584" s="46" t="str">
        <f>IFERROR(__xludf.DUMMYFUNCTION("""COMPUTED_VALUE"""),"Europe")</f>
        <v>Europe</v>
      </c>
      <c r="D584" s="90">
        <f>IFERROR(__xludf.DUMMYFUNCTION("""COMPUTED_VALUE"""),41699.0)</f>
        <v>41699</v>
      </c>
      <c r="E584" s="46">
        <f>IFERROR(__xludf.DUMMYFUNCTION("""COMPUTED_VALUE"""),2014.0)</f>
        <v>2014</v>
      </c>
      <c r="F584" s="46">
        <f>IFERROR(__xludf.DUMMYFUNCTION("""COMPUTED_VALUE"""),1.0)</f>
        <v>1</v>
      </c>
      <c r="G584" s="46">
        <f>IFERROR(__xludf.DUMMYFUNCTION("""COMPUTED_VALUE"""),7643.0)</f>
        <v>7643</v>
      </c>
      <c r="H584" s="46">
        <f>IFERROR(__xludf.DUMMYFUNCTION("""COMPUTED_VALUE"""),1177480.58)</f>
        <v>1177480.58</v>
      </c>
      <c r="I584" s="46">
        <f>IFERROR(__xludf.DUMMYFUNCTION("""COMPUTED_VALUE"""),694977.9900000001)</f>
        <v>694977.99</v>
      </c>
      <c r="J584" s="46">
        <f>IFERROR(__xludf.DUMMYFUNCTION("""COMPUTED_VALUE"""),482502.58999999997)</f>
        <v>482502.59</v>
      </c>
      <c r="K584" s="46" t="str">
        <f t="array" ref="K584">TEXT(D584, "mmmm")</f>
        <v>March</v>
      </c>
      <c r="M584" s="46" t="str">
        <f>IFERROR(__xludf.DUMMYFUNCTION("""COMPUTED_VALUE"""),"Iceland")</f>
        <v>Iceland</v>
      </c>
      <c r="N584" s="94">
        <f>IFERROR(__xludf.DUMMYFUNCTION("""COMPUTED_VALUE"""),41579.0)</f>
        <v>41579</v>
      </c>
      <c r="O584" s="46">
        <f>IFERROR(__xludf.DUMMYFUNCTION("""COMPUTED_VALUE"""),1.0)</f>
        <v>1</v>
      </c>
      <c r="P584" s="46">
        <f>IFERROR(__xludf.DUMMYFUNCTION("""COMPUTED_VALUE"""),3843.0)</f>
        <v>3843</v>
      </c>
      <c r="Q584" s="46">
        <f>IFERROR(__xludf.DUMMYFUNCTION("""COMPUTED_VALUE"""),314088.39)</f>
        <v>314088.39</v>
      </c>
      <c r="R584" s="46">
        <f>IFERROR(__xludf.DUMMYFUNCTION("""COMPUTED_VALUE"""),217782.81)</f>
        <v>217782.81</v>
      </c>
      <c r="S584" s="46">
        <f>IFERROR(__xludf.DUMMYFUNCTION("""COMPUTED_VALUE"""),96305.58000000002)</f>
        <v>96305.58</v>
      </c>
    </row>
    <row r="585">
      <c r="A585" s="46" t="str">
        <f>IFERROR(__xludf.DUMMYFUNCTION("""COMPUTED_VALUE"""),"Vegetables")</f>
        <v>Vegetables</v>
      </c>
      <c r="B585" s="46" t="str">
        <f>IFERROR(__xludf.DUMMYFUNCTION("""COMPUTED_VALUE"""),"Russia")</f>
        <v>Russia</v>
      </c>
      <c r="C585" s="46" t="str">
        <f>IFERROR(__xludf.DUMMYFUNCTION("""COMPUTED_VALUE"""),"Europe")</f>
        <v>Europe</v>
      </c>
      <c r="D585" s="90">
        <f>IFERROR(__xludf.DUMMYFUNCTION("""COMPUTED_VALUE"""),41699.0)</f>
        <v>41699</v>
      </c>
      <c r="E585" s="46">
        <f>IFERROR(__xludf.DUMMYFUNCTION("""COMPUTED_VALUE"""),2014.0)</f>
        <v>2014</v>
      </c>
      <c r="F585" s="46">
        <f>IFERROR(__xludf.DUMMYFUNCTION("""COMPUTED_VALUE"""),1.0)</f>
        <v>1</v>
      </c>
      <c r="G585" s="46">
        <f>IFERROR(__xludf.DUMMYFUNCTION("""COMPUTED_VALUE"""),5119.0)</f>
        <v>5119</v>
      </c>
      <c r="H585" s="46">
        <f>IFERROR(__xludf.DUMMYFUNCTION("""COMPUTED_VALUE"""),788633.14)</f>
        <v>788633.14</v>
      </c>
      <c r="I585" s="46">
        <f>IFERROR(__xludf.DUMMYFUNCTION("""COMPUTED_VALUE"""),465470.67000000004)</f>
        <v>465470.67</v>
      </c>
      <c r="J585" s="46">
        <f>IFERROR(__xludf.DUMMYFUNCTION("""COMPUTED_VALUE"""),323162.47)</f>
        <v>323162.47</v>
      </c>
      <c r="K585" s="46" t="str">
        <f t="array" ref="K585">TEXT(D585, "mmmm")</f>
        <v>March</v>
      </c>
      <c r="M585" s="46" t="str">
        <f>IFERROR(__xludf.DUMMYFUNCTION("""COMPUTED_VALUE"""),"Latvia")</f>
        <v>Latvia</v>
      </c>
      <c r="N585" s="94">
        <f>IFERROR(__xludf.DUMMYFUNCTION("""COMPUTED_VALUE"""),41579.0)</f>
        <v>41579</v>
      </c>
      <c r="O585" s="46">
        <f>IFERROR(__xludf.DUMMYFUNCTION("""COMPUTED_VALUE"""),2.0)</f>
        <v>2</v>
      </c>
      <c r="P585" s="46">
        <f>IFERROR(__xludf.DUMMYFUNCTION("""COMPUTED_VALUE"""),12593.0)</f>
        <v>12593</v>
      </c>
      <c r="Q585" s="46">
        <f>IFERROR(__xludf.DUMMYFUNCTION("""COMPUTED_VALUE"""),867321.45)</f>
        <v>867321.45</v>
      </c>
      <c r="R585" s="46">
        <f>IFERROR(__xludf.DUMMYFUNCTION("""COMPUTED_VALUE"""),596137.0700000001)</f>
        <v>596137.07</v>
      </c>
      <c r="S585" s="46">
        <f>IFERROR(__xludf.DUMMYFUNCTION("""COMPUTED_VALUE"""),271184.38)</f>
        <v>271184.38</v>
      </c>
    </row>
    <row r="586">
      <c r="A586" s="46" t="str">
        <f>IFERROR(__xludf.DUMMYFUNCTION("""COMPUTED_VALUE"""),"Vegetables")</f>
        <v>Vegetables</v>
      </c>
      <c r="B586" s="46" t="str">
        <f>IFERROR(__xludf.DUMMYFUNCTION("""COMPUTED_VALUE"""),"Serbia")</f>
        <v>Serbia</v>
      </c>
      <c r="C586" s="46" t="str">
        <f>IFERROR(__xludf.DUMMYFUNCTION("""COMPUTED_VALUE"""),"Europe")</f>
        <v>Europe</v>
      </c>
      <c r="D586" s="90">
        <f>IFERROR(__xludf.DUMMYFUNCTION("""COMPUTED_VALUE"""),41699.0)</f>
        <v>41699</v>
      </c>
      <c r="E586" s="46">
        <f>IFERROR(__xludf.DUMMYFUNCTION("""COMPUTED_VALUE"""),2014.0)</f>
        <v>2014</v>
      </c>
      <c r="F586" s="46">
        <f>IFERROR(__xludf.DUMMYFUNCTION("""COMPUTED_VALUE"""),1.0)</f>
        <v>1</v>
      </c>
      <c r="G586" s="46">
        <f>IFERROR(__xludf.DUMMYFUNCTION("""COMPUTED_VALUE"""),1657.0)</f>
        <v>1657</v>
      </c>
      <c r="H586" s="46">
        <f>IFERROR(__xludf.DUMMYFUNCTION("""COMPUTED_VALUE"""),255277.42)</f>
        <v>255277.42</v>
      </c>
      <c r="I586" s="46">
        <f>IFERROR(__xludf.DUMMYFUNCTION("""COMPUTED_VALUE"""),150671.01)</f>
        <v>150671.01</v>
      </c>
      <c r="J586" s="46">
        <f>IFERROR(__xludf.DUMMYFUNCTION("""COMPUTED_VALUE"""),104606.41)</f>
        <v>104606.41</v>
      </c>
      <c r="K586" s="46" t="str">
        <f t="array" ref="K586">TEXT(D586, "mmmm")</f>
        <v>March</v>
      </c>
      <c r="M586" s="46" t="str">
        <f>IFERROR(__xludf.DUMMYFUNCTION("""COMPUTED_VALUE"""),"Liechtenstein")</f>
        <v>Liechtenstein</v>
      </c>
      <c r="N586" s="94">
        <f>IFERROR(__xludf.DUMMYFUNCTION("""COMPUTED_VALUE"""),41579.0)</f>
        <v>41579</v>
      </c>
      <c r="O586" s="46">
        <f>IFERROR(__xludf.DUMMYFUNCTION("""COMPUTED_VALUE"""),1.0)</f>
        <v>1</v>
      </c>
      <c r="P586" s="46">
        <f>IFERROR(__xludf.DUMMYFUNCTION("""COMPUTED_VALUE"""),1212.0)</f>
        <v>1212</v>
      </c>
      <c r="Q586" s="46">
        <f>IFERROR(__xludf.DUMMYFUNCTION("""COMPUTED_VALUE"""),309399.36)</f>
        <v>309399.36</v>
      </c>
      <c r="R586" s="46">
        <f>IFERROR(__xludf.DUMMYFUNCTION("""COMPUTED_VALUE"""),193217.03999999998)</f>
        <v>193217.04</v>
      </c>
      <c r="S586" s="46">
        <f>IFERROR(__xludf.DUMMYFUNCTION("""COMPUTED_VALUE"""),116182.32)</f>
        <v>116182.32</v>
      </c>
    </row>
    <row r="587">
      <c r="A587" s="46" t="str">
        <f>IFERROR(__xludf.DUMMYFUNCTION("""COMPUTED_VALUE"""),"Vegetables")</f>
        <v>Vegetables</v>
      </c>
      <c r="B587" s="46" t="str">
        <f>IFERROR(__xludf.DUMMYFUNCTION("""COMPUTED_VALUE"""),"Undefined")</f>
        <v>Undefined</v>
      </c>
      <c r="C587" s="46" t="str">
        <f>IFERROR(__xludf.DUMMYFUNCTION("""COMPUTED_VALUE"""),"Undefined")</f>
        <v>Undefined</v>
      </c>
      <c r="D587" s="90">
        <f>IFERROR(__xludf.DUMMYFUNCTION("""COMPUTED_VALUE"""),41699.0)</f>
        <v>41699</v>
      </c>
      <c r="E587" s="46">
        <f>IFERROR(__xludf.DUMMYFUNCTION("""COMPUTED_VALUE"""),2014.0)</f>
        <v>2014</v>
      </c>
      <c r="F587" s="46">
        <f>IFERROR(__xludf.DUMMYFUNCTION("""COMPUTED_VALUE"""),1.0)</f>
        <v>1</v>
      </c>
      <c r="G587" s="46">
        <f>IFERROR(__xludf.DUMMYFUNCTION("""COMPUTED_VALUE"""),1340.0)</f>
        <v>1340</v>
      </c>
      <c r="H587" s="46">
        <f>IFERROR(__xludf.DUMMYFUNCTION("""COMPUTED_VALUE"""),206440.4)</f>
        <v>206440.4</v>
      </c>
      <c r="I587" s="46">
        <f>IFERROR(__xludf.DUMMYFUNCTION("""COMPUTED_VALUE"""),121846.20000000001)</f>
        <v>121846.2</v>
      </c>
      <c r="J587" s="46">
        <f>IFERROR(__xludf.DUMMYFUNCTION("""COMPUTED_VALUE"""),84594.19999999998)</f>
        <v>84594.2</v>
      </c>
      <c r="K587" s="46" t="str">
        <f t="array" ref="K587">TEXT(D587, "mmmm")</f>
        <v>March</v>
      </c>
      <c r="M587" s="46" t="str">
        <f>IFERROR(__xludf.DUMMYFUNCTION("""COMPUTED_VALUE"""),"Luxembourg")</f>
        <v>Luxembourg</v>
      </c>
      <c r="N587" s="94">
        <f>IFERROR(__xludf.DUMMYFUNCTION("""COMPUTED_VALUE"""),41579.0)</f>
        <v>41579</v>
      </c>
      <c r="O587" s="46">
        <f>IFERROR(__xludf.DUMMYFUNCTION("""COMPUTED_VALUE"""),1.0)</f>
        <v>1</v>
      </c>
      <c r="P587" s="46">
        <f>IFERROR(__xludf.DUMMYFUNCTION("""COMPUTED_VALUE"""),6700.0)</f>
        <v>6700</v>
      </c>
      <c r="Q587" s="46">
        <f>IFERROR(__xludf.DUMMYFUNCTION("""COMPUTED_VALUE"""),732176.0)</f>
        <v>732176</v>
      </c>
      <c r="R587" s="46">
        <f>IFERROR(__xludf.DUMMYFUNCTION("""COMPUTED_VALUE"""),240128.00000000003)</f>
        <v>240128</v>
      </c>
      <c r="S587" s="46">
        <f>IFERROR(__xludf.DUMMYFUNCTION("""COMPUTED_VALUE"""),492048.0)</f>
        <v>492048</v>
      </c>
    </row>
    <row r="588">
      <c r="A588" s="46" t="str">
        <f>IFERROR(__xludf.DUMMYFUNCTION("""COMPUTED_VALUE"""),"Baby Food")</f>
        <v>Baby Food</v>
      </c>
      <c r="B588" s="46" t="str">
        <f>IFERROR(__xludf.DUMMYFUNCTION("""COMPUTED_VALUE"""),"Serbia")</f>
        <v>Serbia</v>
      </c>
      <c r="C588" s="46" t="str">
        <f>IFERROR(__xludf.DUMMYFUNCTION("""COMPUTED_VALUE"""),"Europe")</f>
        <v>Europe</v>
      </c>
      <c r="D588" s="90">
        <f>IFERROR(__xludf.DUMMYFUNCTION("""COMPUTED_VALUE"""),41671.0)</f>
        <v>41671</v>
      </c>
      <c r="E588" s="46">
        <f>IFERROR(__xludf.DUMMYFUNCTION("""COMPUTED_VALUE"""),2014.0)</f>
        <v>2014</v>
      </c>
      <c r="F588" s="46">
        <f>IFERROR(__xludf.DUMMYFUNCTION("""COMPUTED_VALUE"""),1.0)</f>
        <v>1</v>
      </c>
      <c r="G588" s="46">
        <f>IFERROR(__xludf.DUMMYFUNCTION("""COMPUTED_VALUE"""),4780.0)</f>
        <v>4780</v>
      </c>
      <c r="H588" s="46">
        <f>IFERROR(__xludf.DUMMYFUNCTION("""COMPUTED_VALUE"""),1220238.4)</f>
        <v>1220238.4</v>
      </c>
      <c r="I588" s="46">
        <f>IFERROR(__xludf.DUMMYFUNCTION("""COMPUTED_VALUE"""),762027.6)</f>
        <v>762027.6</v>
      </c>
      <c r="J588" s="46">
        <f>IFERROR(__xludf.DUMMYFUNCTION("""COMPUTED_VALUE"""),458210.79999999993)</f>
        <v>458210.8</v>
      </c>
      <c r="K588" s="46" t="str">
        <f t="array" ref="K588">TEXT(D588, "mmmm")</f>
        <v>February</v>
      </c>
      <c r="M588" s="46" t="str">
        <f>IFERROR(__xludf.DUMMYFUNCTION("""COMPUTED_VALUE"""),"Netherlands")</f>
        <v>Netherlands</v>
      </c>
      <c r="N588" s="94">
        <f>IFERROR(__xludf.DUMMYFUNCTION("""COMPUTED_VALUE"""),41579.0)</f>
        <v>41579</v>
      </c>
      <c r="O588" s="46">
        <f>IFERROR(__xludf.DUMMYFUNCTION("""COMPUTED_VALUE"""),1.0)</f>
        <v>1</v>
      </c>
      <c r="P588" s="46">
        <f>IFERROR(__xludf.DUMMYFUNCTION("""COMPUTED_VALUE"""),1173.0)</f>
        <v>1173</v>
      </c>
      <c r="Q588" s="46">
        <f>IFERROR(__xludf.DUMMYFUNCTION("""COMPUTED_VALUE"""),95869.29000000001)</f>
        <v>95869.29</v>
      </c>
      <c r="R588" s="46">
        <f>IFERROR(__xludf.DUMMYFUNCTION("""COMPUTED_VALUE"""),66473.91)</f>
        <v>66473.91</v>
      </c>
      <c r="S588" s="46">
        <f>IFERROR(__xludf.DUMMYFUNCTION("""COMPUTED_VALUE"""),29395.380000000005)</f>
        <v>29395.38</v>
      </c>
    </row>
    <row r="589">
      <c r="A589" s="46" t="str">
        <f>IFERROR(__xludf.DUMMYFUNCTION("""COMPUTED_VALUE"""),"Beverages")</f>
        <v>Beverages</v>
      </c>
      <c r="B589" s="46" t="str">
        <f>IFERROR(__xludf.DUMMYFUNCTION("""COMPUTED_VALUE"""),"Ukraine")</f>
        <v>Ukraine</v>
      </c>
      <c r="C589" s="46" t="str">
        <f>IFERROR(__xludf.DUMMYFUNCTION("""COMPUTED_VALUE"""),"Europe")</f>
        <v>Europe</v>
      </c>
      <c r="D589" s="90">
        <f>IFERROR(__xludf.DUMMYFUNCTION("""COMPUTED_VALUE"""),41671.0)</f>
        <v>41671</v>
      </c>
      <c r="E589" s="46">
        <f>IFERROR(__xludf.DUMMYFUNCTION("""COMPUTED_VALUE"""),2014.0)</f>
        <v>2014</v>
      </c>
      <c r="F589" s="46">
        <f>IFERROR(__xludf.DUMMYFUNCTION("""COMPUTED_VALUE"""),1.0)</f>
        <v>1</v>
      </c>
      <c r="G589" s="46">
        <f>IFERROR(__xludf.DUMMYFUNCTION("""COMPUTED_VALUE"""),3403.0)</f>
        <v>3403</v>
      </c>
      <c r="H589" s="46">
        <f>IFERROR(__xludf.DUMMYFUNCTION("""COMPUTED_VALUE"""),161472.35)</f>
        <v>161472.35</v>
      </c>
      <c r="I589" s="46">
        <f>IFERROR(__xludf.DUMMYFUNCTION("""COMPUTED_VALUE"""),108181.37)</f>
        <v>108181.37</v>
      </c>
      <c r="J589" s="46">
        <f>IFERROR(__xludf.DUMMYFUNCTION("""COMPUTED_VALUE"""),53290.98000000001)</f>
        <v>53290.98</v>
      </c>
      <c r="K589" s="46" t="str">
        <f t="array" ref="K589">TEXT(D589, "mmmm")</f>
        <v>February</v>
      </c>
      <c r="M589" s="46" t="str">
        <f>IFERROR(__xludf.DUMMYFUNCTION("""COMPUTED_VALUE"""),"Poland")</f>
        <v>Poland</v>
      </c>
      <c r="N589" s="94">
        <f>IFERROR(__xludf.DUMMYFUNCTION("""COMPUTED_VALUE"""),41579.0)</f>
        <v>41579</v>
      </c>
      <c r="O589" s="46">
        <f>IFERROR(__xludf.DUMMYFUNCTION("""COMPUTED_VALUE"""),1.0)</f>
        <v>1</v>
      </c>
      <c r="P589" s="46">
        <f>IFERROR(__xludf.DUMMYFUNCTION("""COMPUTED_VALUE"""),4477.0)</f>
        <v>4477</v>
      </c>
      <c r="Q589" s="46">
        <f>IFERROR(__xludf.DUMMYFUNCTION("""COMPUTED_VALUE"""),920918.8999999999)</f>
        <v>920918.9</v>
      </c>
      <c r="R589" s="46">
        <f>IFERROR(__xludf.DUMMYFUNCTION("""COMPUTED_VALUE"""),524301.47)</f>
        <v>524301.47</v>
      </c>
      <c r="S589" s="46">
        <f>IFERROR(__xludf.DUMMYFUNCTION("""COMPUTED_VALUE"""),396617.42999999993)</f>
        <v>396617.43</v>
      </c>
    </row>
    <row r="590">
      <c r="A590" s="46" t="str">
        <f>IFERROR(__xludf.DUMMYFUNCTION("""COMPUTED_VALUE"""),"Cereal")</f>
        <v>Cereal</v>
      </c>
      <c r="B590" s="46" t="str">
        <f>IFERROR(__xludf.DUMMYFUNCTION("""COMPUTED_VALUE"""),"Lithuania")</f>
        <v>Lithuania</v>
      </c>
      <c r="C590" s="46" t="str">
        <f>IFERROR(__xludf.DUMMYFUNCTION("""COMPUTED_VALUE"""),"Europe")</f>
        <v>Europe</v>
      </c>
      <c r="D590" s="90">
        <f>IFERROR(__xludf.DUMMYFUNCTION("""COMPUTED_VALUE"""),41671.0)</f>
        <v>41671</v>
      </c>
      <c r="E590" s="46">
        <f>IFERROR(__xludf.DUMMYFUNCTION("""COMPUTED_VALUE"""),2014.0)</f>
        <v>2014</v>
      </c>
      <c r="F590" s="46">
        <f>IFERROR(__xludf.DUMMYFUNCTION("""COMPUTED_VALUE"""),1.0)</f>
        <v>1</v>
      </c>
      <c r="G590" s="46">
        <f>IFERROR(__xludf.DUMMYFUNCTION("""COMPUTED_VALUE"""),5086.0)</f>
        <v>5086</v>
      </c>
      <c r="H590" s="46">
        <f>IFERROR(__xludf.DUMMYFUNCTION("""COMPUTED_VALUE"""),1046190.2)</f>
        <v>1046190.2</v>
      </c>
      <c r="I590" s="46">
        <f>IFERROR(__xludf.DUMMYFUNCTION("""COMPUTED_VALUE"""),595621.46)</f>
        <v>595621.46</v>
      </c>
      <c r="J590" s="46">
        <f>IFERROR(__xludf.DUMMYFUNCTION("""COMPUTED_VALUE"""),450568.74)</f>
        <v>450568.74</v>
      </c>
      <c r="K590" s="46" t="str">
        <f t="array" ref="K590">TEXT(D590, "mmmm")</f>
        <v>February</v>
      </c>
      <c r="M590" s="46" t="str">
        <f>IFERROR(__xludf.DUMMYFUNCTION("""COMPUTED_VALUE"""),"San Marino")</f>
        <v>San Marino</v>
      </c>
      <c r="N590" s="94">
        <f>IFERROR(__xludf.DUMMYFUNCTION("""COMPUTED_VALUE"""),41579.0)</f>
        <v>41579</v>
      </c>
      <c r="O590" s="46">
        <f>IFERROR(__xludf.DUMMYFUNCTION("""COMPUTED_VALUE"""),1.0)</f>
        <v>1</v>
      </c>
      <c r="P590" s="46">
        <f>IFERROR(__xludf.DUMMYFUNCTION("""COMPUTED_VALUE"""),3969.0)</f>
        <v>3969</v>
      </c>
      <c r="Q590" s="46">
        <f>IFERROR(__xludf.DUMMYFUNCTION("""COMPUTED_VALUE"""),2584652.49)</f>
        <v>2584652.49</v>
      </c>
      <c r="R590" s="46">
        <f>IFERROR(__xludf.DUMMYFUNCTION("""COMPUTED_VALUE"""),2083566.2400000002)</f>
        <v>2083566.24</v>
      </c>
      <c r="S590" s="46">
        <f>IFERROR(__xludf.DUMMYFUNCTION("""COMPUTED_VALUE"""),501086.25)</f>
        <v>501086.25</v>
      </c>
    </row>
    <row r="591">
      <c r="A591" s="46" t="str">
        <f>IFERROR(__xludf.DUMMYFUNCTION("""COMPUTED_VALUE"""),"Cereal")</f>
        <v>Cereal</v>
      </c>
      <c r="B591" s="46" t="str">
        <f>IFERROR(__xludf.DUMMYFUNCTION("""COMPUTED_VALUE"""),"Poland")</f>
        <v>Poland</v>
      </c>
      <c r="C591" s="46" t="str">
        <f>IFERROR(__xludf.DUMMYFUNCTION("""COMPUTED_VALUE"""),"Europe")</f>
        <v>Europe</v>
      </c>
      <c r="D591" s="90">
        <f>IFERROR(__xludf.DUMMYFUNCTION("""COMPUTED_VALUE"""),41671.0)</f>
        <v>41671</v>
      </c>
      <c r="E591" s="46">
        <f>IFERROR(__xludf.DUMMYFUNCTION("""COMPUTED_VALUE"""),2014.0)</f>
        <v>2014</v>
      </c>
      <c r="F591" s="46">
        <f>IFERROR(__xludf.DUMMYFUNCTION("""COMPUTED_VALUE"""),1.0)</f>
        <v>1</v>
      </c>
      <c r="G591" s="46">
        <f>IFERROR(__xludf.DUMMYFUNCTION("""COMPUTED_VALUE"""),5191.0)</f>
        <v>5191</v>
      </c>
      <c r="H591" s="46">
        <f>IFERROR(__xludf.DUMMYFUNCTION("""COMPUTED_VALUE"""),1067788.7)</f>
        <v>1067788.7</v>
      </c>
      <c r="I591" s="46">
        <f>IFERROR(__xludf.DUMMYFUNCTION("""COMPUTED_VALUE"""),607918.01)</f>
        <v>607918.01</v>
      </c>
      <c r="J591" s="46">
        <f>IFERROR(__xludf.DUMMYFUNCTION("""COMPUTED_VALUE"""),459870.68999999994)</f>
        <v>459870.69</v>
      </c>
      <c r="K591" s="46" t="str">
        <f t="array" ref="K591">TEXT(D591, "mmmm")</f>
        <v>February</v>
      </c>
      <c r="M591" s="46" t="str">
        <f>IFERROR(__xludf.DUMMYFUNCTION("""COMPUTED_VALUE"""),"Serbia")</f>
        <v>Serbia</v>
      </c>
      <c r="N591" s="94">
        <f>IFERROR(__xludf.DUMMYFUNCTION("""COMPUTED_VALUE"""),41579.0)</f>
        <v>41579</v>
      </c>
      <c r="O591" s="46">
        <f>IFERROR(__xludf.DUMMYFUNCTION("""COMPUTED_VALUE"""),1.0)</f>
        <v>1</v>
      </c>
      <c r="P591" s="46">
        <f>IFERROR(__xludf.DUMMYFUNCTION("""COMPUTED_VALUE"""),8288.0)</f>
        <v>8288</v>
      </c>
      <c r="Q591" s="46">
        <f>IFERROR(__xludf.DUMMYFUNCTION("""COMPUTED_VALUE"""),1264583.04)</f>
        <v>1264583.04</v>
      </c>
      <c r="R591" s="46">
        <f>IFERROR(__xludf.DUMMYFUNCTION("""COMPUTED_VALUE"""),807582.72)</f>
        <v>807582.72</v>
      </c>
      <c r="S591" s="46">
        <f>IFERROR(__xludf.DUMMYFUNCTION("""COMPUTED_VALUE"""),457000.32000000007)</f>
        <v>457000.32</v>
      </c>
    </row>
    <row r="592">
      <c r="A592" s="46" t="str">
        <f>IFERROR(__xludf.DUMMYFUNCTION("""COMPUTED_VALUE"""),"Fruits")</f>
        <v>Fruits</v>
      </c>
      <c r="B592" s="46" t="str">
        <f>IFERROR(__xludf.DUMMYFUNCTION("""COMPUTED_VALUE"""),"France")</f>
        <v>France</v>
      </c>
      <c r="C592" s="46" t="str">
        <f>IFERROR(__xludf.DUMMYFUNCTION("""COMPUTED_VALUE"""),"Europe")</f>
        <v>Europe</v>
      </c>
      <c r="D592" s="90">
        <f>IFERROR(__xludf.DUMMYFUNCTION("""COMPUTED_VALUE"""),41671.0)</f>
        <v>41671</v>
      </c>
      <c r="E592" s="46">
        <f>IFERROR(__xludf.DUMMYFUNCTION("""COMPUTED_VALUE"""),2014.0)</f>
        <v>2014</v>
      </c>
      <c r="F592" s="46">
        <f>IFERROR(__xludf.DUMMYFUNCTION("""COMPUTED_VALUE"""),1.0)</f>
        <v>1</v>
      </c>
      <c r="G592" s="46">
        <f>IFERROR(__xludf.DUMMYFUNCTION("""COMPUTED_VALUE"""),493.0)</f>
        <v>493</v>
      </c>
      <c r="H592" s="46">
        <f>IFERROR(__xludf.DUMMYFUNCTION("""COMPUTED_VALUE"""),4599.69)</f>
        <v>4599.69</v>
      </c>
      <c r="I592" s="46">
        <f>IFERROR(__xludf.DUMMYFUNCTION("""COMPUTED_VALUE"""),3411.56)</f>
        <v>3411.56</v>
      </c>
      <c r="J592" s="46">
        <f>IFERROR(__xludf.DUMMYFUNCTION("""COMPUTED_VALUE"""),1188.1299999999997)</f>
        <v>1188.13</v>
      </c>
      <c r="K592" s="46" t="str">
        <f t="array" ref="K592">TEXT(D592, "mmmm")</f>
        <v>February</v>
      </c>
      <c r="M592" s="46" t="str">
        <f>IFERROR(__xludf.DUMMYFUNCTION("""COMPUTED_VALUE"""),"Slovakia")</f>
        <v>Slovakia</v>
      </c>
      <c r="N592" s="94">
        <f>IFERROR(__xludf.DUMMYFUNCTION("""COMPUTED_VALUE"""),41579.0)</f>
        <v>41579</v>
      </c>
      <c r="O592" s="46">
        <f>IFERROR(__xludf.DUMMYFUNCTION("""COMPUTED_VALUE"""),1.0)</f>
        <v>1</v>
      </c>
      <c r="P592" s="46">
        <f>IFERROR(__xludf.DUMMYFUNCTION("""COMPUTED_VALUE"""),6936.0)</f>
        <v>6936</v>
      </c>
      <c r="Q592" s="46">
        <f>IFERROR(__xludf.DUMMYFUNCTION("""COMPUTED_VALUE"""),3032419.1999999997)</f>
        <v>3032419.2</v>
      </c>
      <c r="R592" s="46">
        <f>IFERROR(__xludf.DUMMYFUNCTION("""COMPUTED_VALUE"""),1826456.88)</f>
        <v>1826456.88</v>
      </c>
      <c r="S592" s="46">
        <f>IFERROR(__xludf.DUMMYFUNCTION("""COMPUTED_VALUE"""),1205962.3199999998)</f>
        <v>1205962.32</v>
      </c>
    </row>
    <row r="593">
      <c r="A593" s="46" t="str">
        <f>IFERROR(__xludf.DUMMYFUNCTION("""COMPUTED_VALUE"""),"Fruits")</f>
        <v>Fruits</v>
      </c>
      <c r="B593" s="46" t="str">
        <f>IFERROR(__xludf.DUMMYFUNCTION("""COMPUTED_VALUE"""),"Italy")</f>
        <v>Italy</v>
      </c>
      <c r="C593" s="46" t="str">
        <f>IFERROR(__xludf.DUMMYFUNCTION("""COMPUTED_VALUE"""),"Europe")</f>
        <v>Europe</v>
      </c>
      <c r="D593" s="90">
        <f>IFERROR(__xludf.DUMMYFUNCTION("""COMPUTED_VALUE"""),41671.0)</f>
        <v>41671</v>
      </c>
      <c r="E593" s="46">
        <f>IFERROR(__xludf.DUMMYFUNCTION("""COMPUTED_VALUE"""),2014.0)</f>
        <v>2014</v>
      </c>
      <c r="F593" s="46">
        <f>IFERROR(__xludf.DUMMYFUNCTION("""COMPUTED_VALUE"""),1.0)</f>
        <v>1</v>
      </c>
      <c r="G593" s="46">
        <f>IFERROR(__xludf.DUMMYFUNCTION("""COMPUTED_VALUE"""),7837.0)</f>
        <v>7837</v>
      </c>
      <c r="H593" s="46">
        <f>IFERROR(__xludf.DUMMYFUNCTION("""COMPUTED_VALUE"""),73119.21)</f>
        <v>73119.21</v>
      </c>
      <c r="I593" s="46">
        <f>IFERROR(__xludf.DUMMYFUNCTION("""COMPUTED_VALUE"""),54232.04)</f>
        <v>54232.04</v>
      </c>
      <c r="J593" s="46">
        <f>IFERROR(__xludf.DUMMYFUNCTION("""COMPUTED_VALUE"""),18887.170000000006)</f>
        <v>18887.17</v>
      </c>
      <c r="K593" s="46" t="str">
        <f t="array" ref="K593">TEXT(D593, "mmmm")</f>
        <v>February</v>
      </c>
      <c r="M593" s="46" t="str">
        <f>IFERROR(__xludf.DUMMYFUNCTION("""COMPUTED_VALUE"""),"Spain")</f>
        <v>Spain</v>
      </c>
      <c r="N593" s="94">
        <f>IFERROR(__xludf.DUMMYFUNCTION("""COMPUTED_VALUE"""),41579.0)</f>
        <v>41579</v>
      </c>
      <c r="O593" s="46">
        <f>IFERROR(__xludf.DUMMYFUNCTION("""COMPUTED_VALUE"""),1.0)</f>
        <v>1</v>
      </c>
      <c r="P593" s="46">
        <f>IFERROR(__xludf.DUMMYFUNCTION("""COMPUTED_VALUE"""),9336.0)</f>
        <v>9336</v>
      </c>
      <c r="Q593" s="46">
        <f>IFERROR(__xludf.DUMMYFUNCTION("""COMPUTED_VALUE"""),3938765.04)</f>
        <v>3938765.04</v>
      </c>
      <c r="R593" s="46">
        <f>IFERROR(__xludf.DUMMYFUNCTION("""COMPUTED_VALUE"""),3404745.84)</f>
        <v>3404745.84</v>
      </c>
      <c r="S593" s="46">
        <f>IFERROR(__xludf.DUMMYFUNCTION("""COMPUTED_VALUE"""),534019.2000000002)</f>
        <v>534019.2</v>
      </c>
    </row>
    <row r="594">
      <c r="A594" s="46" t="str">
        <f>IFERROR(__xludf.DUMMYFUNCTION("""COMPUTED_VALUE"""),"Fruits")</f>
        <v>Fruits</v>
      </c>
      <c r="B594" s="46" t="str">
        <f>IFERROR(__xludf.DUMMYFUNCTION("""COMPUTED_VALUE"""),"Liechtenstein")</f>
        <v>Liechtenstein</v>
      </c>
      <c r="C594" s="46" t="str">
        <f>IFERROR(__xludf.DUMMYFUNCTION("""COMPUTED_VALUE"""),"Europe")</f>
        <v>Europe</v>
      </c>
      <c r="D594" s="90">
        <f>IFERROR(__xludf.DUMMYFUNCTION("""COMPUTED_VALUE"""),41671.0)</f>
        <v>41671</v>
      </c>
      <c r="E594" s="46">
        <f>IFERROR(__xludf.DUMMYFUNCTION("""COMPUTED_VALUE"""),2014.0)</f>
        <v>2014</v>
      </c>
      <c r="F594" s="46">
        <f>IFERROR(__xludf.DUMMYFUNCTION("""COMPUTED_VALUE"""),1.0)</f>
        <v>1</v>
      </c>
      <c r="G594" s="46">
        <f>IFERROR(__xludf.DUMMYFUNCTION("""COMPUTED_VALUE"""),888.0)</f>
        <v>888</v>
      </c>
      <c r="H594" s="46">
        <f>IFERROR(__xludf.DUMMYFUNCTION("""COMPUTED_VALUE"""),8285.04)</f>
        <v>8285.04</v>
      </c>
      <c r="I594" s="46">
        <f>IFERROR(__xludf.DUMMYFUNCTION("""COMPUTED_VALUE"""),6144.96)</f>
        <v>6144.96</v>
      </c>
      <c r="J594" s="46">
        <f>IFERROR(__xludf.DUMMYFUNCTION("""COMPUTED_VALUE"""),2140.080000000001)</f>
        <v>2140.08</v>
      </c>
      <c r="K594" s="46" t="str">
        <f t="array" ref="K594">TEXT(D594, "mmmm")</f>
        <v>February</v>
      </c>
      <c r="M594" s="46" t="str">
        <f>IFERROR(__xludf.DUMMYFUNCTION("""COMPUTED_VALUE"""),"Undefined")</f>
        <v>Undefined</v>
      </c>
      <c r="N594" s="94">
        <f>IFERROR(__xludf.DUMMYFUNCTION("""COMPUTED_VALUE"""),41579.0)</f>
        <v>41579</v>
      </c>
      <c r="O594" s="46">
        <f>IFERROR(__xludf.DUMMYFUNCTION("""COMPUTED_VALUE"""),1.0)</f>
        <v>1</v>
      </c>
      <c r="P594" s="46">
        <f>IFERROR(__xludf.DUMMYFUNCTION("""COMPUTED_VALUE"""),389.0)</f>
        <v>389</v>
      </c>
      <c r="Q594" s="46">
        <f>IFERROR(__xludf.DUMMYFUNCTION("""COMPUTED_VALUE"""),18458.050000000003)</f>
        <v>18458.05</v>
      </c>
      <c r="R594" s="46">
        <f>IFERROR(__xludf.DUMMYFUNCTION("""COMPUTED_VALUE"""),12366.31)</f>
        <v>12366.31</v>
      </c>
      <c r="S594" s="46">
        <f>IFERROR(__xludf.DUMMYFUNCTION("""COMPUTED_VALUE"""),6091.740000000003)</f>
        <v>6091.74</v>
      </c>
    </row>
    <row r="595">
      <c r="A595" s="46" t="str">
        <f>IFERROR(__xludf.DUMMYFUNCTION("""COMPUTED_VALUE"""),"Office Supplies")</f>
        <v>Office Supplies</v>
      </c>
      <c r="B595" s="46" t="str">
        <f>IFERROR(__xludf.DUMMYFUNCTION("""COMPUTED_VALUE"""),"Bulgaria")</f>
        <v>Bulgaria</v>
      </c>
      <c r="C595" s="46" t="str">
        <f>IFERROR(__xludf.DUMMYFUNCTION("""COMPUTED_VALUE"""),"Europe")</f>
        <v>Europe</v>
      </c>
      <c r="D595" s="90">
        <f>IFERROR(__xludf.DUMMYFUNCTION("""COMPUTED_VALUE"""),41671.0)</f>
        <v>41671</v>
      </c>
      <c r="E595" s="46">
        <f>IFERROR(__xludf.DUMMYFUNCTION("""COMPUTED_VALUE"""),2014.0)</f>
        <v>2014</v>
      </c>
      <c r="F595" s="46">
        <f>IFERROR(__xludf.DUMMYFUNCTION("""COMPUTED_VALUE"""),1.0)</f>
        <v>1</v>
      </c>
      <c r="G595" s="46">
        <f>IFERROR(__xludf.DUMMYFUNCTION("""COMPUTED_VALUE"""),3391.0)</f>
        <v>3391</v>
      </c>
      <c r="H595" s="46">
        <f>IFERROR(__xludf.DUMMYFUNCTION("""COMPUTED_VALUE"""),2208253.1100000003)</f>
        <v>2208253.11</v>
      </c>
      <c r="I595" s="46">
        <f>IFERROR(__xludf.DUMMYFUNCTION("""COMPUTED_VALUE"""),1780139.36)</f>
        <v>1780139.36</v>
      </c>
      <c r="J595" s="46">
        <f>IFERROR(__xludf.DUMMYFUNCTION("""COMPUTED_VALUE"""),428113.75000000023)</f>
        <v>428113.75</v>
      </c>
      <c r="K595" s="46" t="str">
        <f t="array" ref="K595">TEXT(D595, "mmmm")</f>
        <v>February</v>
      </c>
      <c r="M595" s="46" t="str">
        <f>IFERROR(__xludf.DUMMYFUNCTION("""COMPUTED_VALUE"""),"Andorra")</f>
        <v>Andorra</v>
      </c>
      <c r="N595" s="94">
        <f>IFERROR(__xludf.DUMMYFUNCTION("""COMPUTED_VALUE"""),41609.0)</f>
        <v>41609</v>
      </c>
      <c r="O595" s="46">
        <f>IFERROR(__xludf.DUMMYFUNCTION("""COMPUTED_VALUE"""),1.0)</f>
        <v>1</v>
      </c>
      <c r="P595" s="46">
        <f>IFERROR(__xludf.DUMMYFUNCTION("""COMPUTED_VALUE"""),653.0)</f>
        <v>653</v>
      </c>
      <c r="Q595" s="46">
        <f>IFERROR(__xludf.DUMMYFUNCTION("""COMPUTED_VALUE"""),100601.18000000001)</f>
        <v>100601.18</v>
      </c>
      <c r="R595" s="46">
        <f>IFERROR(__xludf.DUMMYFUNCTION("""COMPUTED_VALUE"""),59377.29)</f>
        <v>59377.29</v>
      </c>
      <c r="S595" s="46">
        <f>IFERROR(__xludf.DUMMYFUNCTION("""COMPUTED_VALUE"""),41223.89000000001)</f>
        <v>41223.89</v>
      </c>
    </row>
    <row r="596">
      <c r="A596" s="46" t="str">
        <f>IFERROR(__xludf.DUMMYFUNCTION("""COMPUTED_VALUE"""),"Personal Care")</f>
        <v>Personal Care</v>
      </c>
      <c r="B596" s="46" t="str">
        <f>IFERROR(__xludf.DUMMYFUNCTION("""COMPUTED_VALUE"""),"Malta")</f>
        <v>Malta</v>
      </c>
      <c r="C596" s="46" t="str">
        <f>IFERROR(__xludf.DUMMYFUNCTION("""COMPUTED_VALUE"""),"Europe")</f>
        <v>Europe</v>
      </c>
      <c r="D596" s="90">
        <f>IFERROR(__xludf.DUMMYFUNCTION("""COMPUTED_VALUE"""),41671.0)</f>
        <v>41671</v>
      </c>
      <c r="E596" s="46">
        <f>IFERROR(__xludf.DUMMYFUNCTION("""COMPUTED_VALUE"""),2014.0)</f>
        <v>2014</v>
      </c>
      <c r="F596" s="46">
        <f>IFERROR(__xludf.DUMMYFUNCTION("""COMPUTED_VALUE"""),1.0)</f>
        <v>1</v>
      </c>
      <c r="G596" s="46">
        <f>IFERROR(__xludf.DUMMYFUNCTION("""COMPUTED_VALUE"""),3975.0)</f>
        <v>3975</v>
      </c>
      <c r="H596" s="46">
        <f>IFERROR(__xludf.DUMMYFUNCTION("""COMPUTED_VALUE"""),324876.75)</f>
        <v>324876.75</v>
      </c>
      <c r="I596" s="46">
        <f>IFERROR(__xludf.DUMMYFUNCTION("""COMPUTED_VALUE"""),225263.25)</f>
        <v>225263.25</v>
      </c>
      <c r="J596" s="46">
        <f>IFERROR(__xludf.DUMMYFUNCTION("""COMPUTED_VALUE"""),99613.5)</f>
        <v>99613.5</v>
      </c>
      <c r="K596" s="46" t="str">
        <f t="array" ref="K596">TEXT(D596, "mmmm")</f>
        <v>February</v>
      </c>
      <c r="M596" s="46" t="str">
        <f>IFERROR(__xludf.DUMMYFUNCTION("""COMPUTED_VALUE"""),"Cyprus")</f>
        <v>Cyprus</v>
      </c>
      <c r="N596" s="94">
        <f>IFERROR(__xludf.DUMMYFUNCTION("""COMPUTED_VALUE"""),41609.0)</f>
        <v>41609</v>
      </c>
      <c r="O596" s="46">
        <f>IFERROR(__xludf.DUMMYFUNCTION("""COMPUTED_VALUE"""),1.0)</f>
        <v>1</v>
      </c>
      <c r="P596" s="46">
        <f>IFERROR(__xludf.DUMMYFUNCTION("""COMPUTED_VALUE"""),8383.0)</f>
        <v>8383</v>
      </c>
      <c r="Q596" s="46">
        <f>IFERROR(__xludf.DUMMYFUNCTION("""COMPUTED_VALUE"""),397773.35000000003)</f>
        <v>397773.35</v>
      </c>
      <c r="R596" s="46">
        <f>IFERROR(__xludf.DUMMYFUNCTION("""COMPUTED_VALUE"""),266495.57)</f>
        <v>266495.57</v>
      </c>
      <c r="S596" s="46">
        <f>IFERROR(__xludf.DUMMYFUNCTION("""COMPUTED_VALUE"""),131277.78000000003)</f>
        <v>131277.78</v>
      </c>
    </row>
    <row r="597">
      <c r="A597" s="46" t="str">
        <f>IFERROR(__xludf.DUMMYFUNCTION("""COMPUTED_VALUE"""),"Personal Care")</f>
        <v>Personal Care</v>
      </c>
      <c r="B597" s="46" t="str">
        <f>IFERROR(__xludf.DUMMYFUNCTION("""COMPUTED_VALUE"""),"Undefined")</f>
        <v>Undefined</v>
      </c>
      <c r="C597" s="46" t="str">
        <f>IFERROR(__xludf.DUMMYFUNCTION("""COMPUTED_VALUE"""),"Undefined")</f>
        <v>Undefined</v>
      </c>
      <c r="D597" s="90">
        <f>IFERROR(__xludf.DUMMYFUNCTION("""COMPUTED_VALUE"""),41671.0)</f>
        <v>41671</v>
      </c>
      <c r="E597" s="46">
        <f>IFERROR(__xludf.DUMMYFUNCTION("""COMPUTED_VALUE"""),2014.0)</f>
        <v>2014</v>
      </c>
      <c r="F597" s="46">
        <f>IFERROR(__xludf.DUMMYFUNCTION("""COMPUTED_VALUE"""),1.0)</f>
        <v>1</v>
      </c>
      <c r="G597" s="46">
        <f>IFERROR(__xludf.DUMMYFUNCTION("""COMPUTED_VALUE"""),6605.0)</f>
        <v>6605</v>
      </c>
      <c r="H597" s="46">
        <f>IFERROR(__xludf.DUMMYFUNCTION("""COMPUTED_VALUE"""),539826.65)</f>
        <v>539826.65</v>
      </c>
      <c r="I597" s="46">
        <f>IFERROR(__xludf.DUMMYFUNCTION("""COMPUTED_VALUE"""),374305.35000000003)</f>
        <v>374305.35</v>
      </c>
      <c r="J597" s="46">
        <f>IFERROR(__xludf.DUMMYFUNCTION("""COMPUTED_VALUE"""),165521.3)</f>
        <v>165521.3</v>
      </c>
      <c r="K597" s="46" t="str">
        <f t="array" ref="K597">TEXT(D597, "mmmm")</f>
        <v>February</v>
      </c>
      <c r="M597" s="46" t="str">
        <f>IFERROR(__xludf.DUMMYFUNCTION("""COMPUTED_VALUE"""),"Denmark")</f>
        <v>Denmark</v>
      </c>
      <c r="N597" s="94">
        <f>IFERROR(__xludf.DUMMYFUNCTION("""COMPUTED_VALUE"""),41609.0)</f>
        <v>41609</v>
      </c>
      <c r="O597" s="46">
        <f>IFERROR(__xludf.DUMMYFUNCTION("""COMPUTED_VALUE"""),1.0)</f>
        <v>1</v>
      </c>
      <c r="P597" s="46">
        <f>IFERROR(__xludf.DUMMYFUNCTION("""COMPUTED_VALUE"""),2749.0)</f>
        <v>2749</v>
      </c>
      <c r="Q597" s="46">
        <f>IFERROR(__xludf.DUMMYFUNCTION("""COMPUTED_VALUE"""),1201862.8)</f>
        <v>1201862.8</v>
      </c>
      <c r="R597" s="46">
        <f>IFERROR(__xludf.DUMMYFUNCTION("""COMPUTED_VALUE"""),723894.1699999999)</f>
        <v>723894.17</v>
      </c>
      <c r="S597" s="46">
        <f>IFERROR(__xludf.DUMMYFUNCTION("""COMPUTED_VALUE"""),477968.6300000001)</f>
        <v>477968.63</v>
      </c>
    </row>
    <row r="598">
      <c r="A598" s="46" t="str">
        <f>IFERROR(__xludf.DUMMYFUNCTION("""COMPUTED_VALUE"""),"Baby Food")</f>
        <v>Baby Food</v>
      </c>
      <c r="B598" s="46" t="str">
        <f>IFERROR(__xludf.DUMMYFUNCTION("""COMPUTED_VALUE"""),"Estonia")</f>
        <v>Estonia</v>
      </c>
      <c r="C598" s="46" t="str">
        <f>IFERROR(__xludf.DUMMYFUNCTION("""COMPUTED_VALUE"""),"Europe")</f>
        <v>Europe</v>
      </c>
      <c r="D598" s="90">
        <f>IFERROR(__xludf.DUMMYFUNCTION("""COMPUTED_VALUE"""),41640.0)</f>
        <v>41640</v>
      </c>
      <c r="E598" s="46">
        <f>IFERROR(__xludf.DUMMYFUNCTION("""COMPUTED_VALUE"""),2014.0)</f>
        <v>2014</v>
      </c>
      <c r="F598" s="46">
        <f>IFERROR(__xludf.DUMMYFUNCTION("""COMPUTED_VALUE"""),1.0)</f>
        <v>1</v>
      </c>
      <c r="G598" s="46">
        <f>IFERROR(__xludf.DUMMYFUNCTION("""COMPUTED_VALUE"""),2797.0)</f>
        <v>2797</v>
      </c>
      <c r="H598" s="46">
        <f>IFERROR(__xludf.DUMMYFUNCTION("""COMPUTED_VALUE"""),714018.16)</f>
        <v>714018.16</v>
      </c>
      <c r="I598" s="46">
        <f>IFERROR(__xludf.DUMMYFUNCTION("""COMPUTED_VALUE"""),445897.74)</f>
        <v>445897.74</v>
      </c>
      <c r="J598" s="46">
        <f>IFERROR(__xludf.DUMMYFUNCTION("""COMPUTED_VALUE"""),268120.42000000004)</f>
        <v>268120.42</v>
      </c>
      <c r="K598" s="46" t="str">
        <f t="array" ref="K598">TEXT(D598, "mmmm")</f>
        <v>January</v>
      </c>
      <c r="M598" s="46" t="str">
        <f>IFERROR(__xludf.DUMMYFUNCTION("""COMPUTED_VALUE"""),"Germany")</f>
        <v>Germany</v>
      </c>
      <c r="N598" s="94">
        <f>IFERROR(__xludf.DUMMYFUNCTION("""COMPUTED_VALUE"""),41609.0)</f>
        <v>41609</v>
      </c>
      <c r="O598" s="46">
        <f>IFERROR(__xludf.DUMMYFUNCTION("""COMPUTED_VALUE"""),1.0)</f>
        <v>1</v>
      </c>
      <c r="P598" s="46">
        <f>IFERROR(__xludf.DUMMYFUNCTION("""COMPUTED_VALUE"""),9044.0)</f>
        <v>9044</v>
      </c>
      <c r="Q598" s="46">
        <f>IFERROR(__xludf.DUMMYFUNCTION("""COMPUTED_VALUE"""),5889543.24)</f>
        <v>5889543.24</v>
      </c>
      <c r="R598" s="46">
        <f>IFERROR(__xludf.DUMMYFUNCTION("""COMPUTED_VALUE"""),4747738.24)</f>
        <v>4747738.24</v>
      </c>
      <c r="S598" s="46">
        <f>IFERROR(__xludf.DUMMYFUNCTION("""COMPUTED_VALUE"""),1141805.0)</f>
        <v>1141805</v>
      </c>
    </row>
    <row r="599">
      <c r="A599" s="46" t="str">
        <f>IFERROR(__xludf.DUMMYFUNCTION("""COMPUTED_VALUE"""),"Baby Food")</f>
        <v>Baby Food</v>
      </c>
      <c r="B599" s="46" t="str">
        <f>IFERROR(__xludf.DUMMYFUNCTION("""COMPUTED_VALUE"""),"Georgia")</f>
        <v>Georgia</v>
      </c>
      <c r="C599" s="46" t="str">
        <f>IFERROR(__xludf.DUMMYFUNCTION("""COMPUTED_VALUE"""),"Asia")</f>
        <v>Asia</v>
      </c>
      <c r="D599" s="90">
        <f>IFERROR(__xludf.DUMMYFUNCTION("""COMPUTED_VALUE"""),41640.0)</f>
        <v>41640</v>
      </c>
      <c r="E599" s="46">
        <f>IFERROR(__xludf.DUMMYFUNCTION("""COMPUTED_VALUE"""),2014.0)</f>
        <v>2014</v>
      </c>
      <c r="F599" s="46">
        <f>IFERROR(__xludf.DUMMYFUNCTION("""COMPUTED_VALUE"""),1.0)</f>
        <v>1</v>
      </c>
      <c r="G599" s="46">
        <f>IFERROR(__xludf.DUMMYFUNCTION("""COMPUTED_VALUE"""),3352.0)</f>
        <v>3352</v>
      </c>
      <c r="H599" s="46">
        <f>IFERROR(__xludf.DUMMYFUNCTION("""COMPUTED_VALUE"""),855698.56)</f>
        <v>855698.56</v>
      </c>
      <c r="I599" s="46">
        <f>IFERROR(__xludf.DUMMYFUNCTION("""COMPUTED_VALUE"""),534375.84)</f>
        <v>534375.84</v>
      </c>
      <c r="J599" s="46">
        <f>IFERROR(__xludf.DUMMYFUNCTION("""COMPUTED_VALUE"""),321322.7200000001)</f>
        <v>321322.72</v>
      </c>
      <c r="K599" s="46" t="str">
        <f t="array" ref="K599">TEXT(D599, "mmmm")</f>
        <v>January</v>
      </c>
      <c r="M599" s="46" t="str">
        <f>IFERROR(__xludf.DUMMYFUNCTION("""COMPUTED_VALUE"""),"Macedonia")</f>
        <v>Macedonia</v>
      </c>
      <c r="N599" s="94">
        <f>IFERROR(__xludf.DUMMYFUNCTION("""COMPUTED_VALUE"""),41609.0)</f>
        <v>41609</v>
      </c>
      <c r="O599" s="46">
        <f>IFERROR(__xludf.DUMMYFUNCTION("""COMPUTED_VALUE"""),1.0)</f>
        <v>1</v>
      </c>
      <c r="P599" s="46">
        <f>IFERROR(__xludf.DUMMYFUNCTION("""COMPUTED_VALUE"""),5928.0)</f>
        <v>5928</v>
      </c>
      <c r="Q599" s="46">
        <f>IFERROR(__xludf.DUMMYFUNCTION("""COMPUTED_VALUE"""),2500963.92)</f>
        <v>2500963.92</v>
      </c>
      <c r="R599" s="46">
        <f>IFERROR(__xludf.DUMMYFUNCTION("""COMPUTED_VALUE"""),2161882.32)</f>
        <v>2161882.32</v>
      </c>
      <c r="S599" s="46">
        <f>IFERROR(__xludf.DUMMYFUNCTION("""COMPUTED_VALUE"""),339081.6000000001)</f>
        <v>339081.6</v>
      </c>
    </row>
    <row r="600">
      <c r="A600" s="46" t="str">
        <f>IFERROR(__xludf.DUMMYFUNCTION("""COMPUTED_VALUE"""),"Baby Food")</f>
        <v>Baby Food</v>
      </c>
      <c r="B600" s="46" t="str">
        <f>IFERROR(__xludf.DUMMYFUNCTION("""COMPUTED_VALUE"""),"Undefined")</f>
        <v>Undefined</v>
      </c>
      <c r="C600" s="46" t="str">
        <f>IFERROR(__xludf.DUMMYFUNCTION("""COMPUTED_VALUE"""),"Undefined")</f>
        <v>Undefined</v>
      </c>
      <c r="D600" s="90">
        <f>IFERROR(__xludf.DUMMYFUNCTION("""COMPUTED_VALUE"""),41640.0)</f>
        <v>41640</v>
      </c>
      <c r="E600" s="46">
        <f>IFERROR(__xludf.DUMMYFUNCTION("""COMPUTED_VALUE"""),2014.0)</f>
        <v>2014</v>
      </c>
      <c r="F600" s="46">
        <f>IFERROR(__xludf.DUMMYFUNCTION("""COMPUTED_VALUE"""),2.0)</f>
        <v>2</v>
      </c>
      <c r="G600" s="46">
        <f>IFERROR(__xludf.DUMMYFUNCTION("""COMPUTED_VALUE"""),10363.0)</f>
        <v>10363</v>
      </c>
      <c r="H600" s="46">
        <f>IFERROR(__xludf.DUMMYFUNCTION("""COMPUTED_VALUE"""),2645466.64)</f>
        <v>2645466.64</v>
      </c>
      <c r="I600" s="46">
        <f>IFERROR(__xludf.DUMMYFUNCTION("""COMPUTED_VALUE"""),1652069.46)</f>
        <v>1652069.46</v>
      </c>
      <c r="J600" s="46">
        <f>IFERROR(__xludf.DUMMYFUNCTION("""COMPUTED_VALUE"""),993397.1800000002)</f>
        <v>993397.18</v>
      </c>
      <c r="K600" s="46" t="str">
        <f t="array" ref="K600">TEXT(D600, "mmmm")</f>
        <v>January</v>
      </c>
      <c r="M600" s="46" t="str">
        <f>IFERROR(__xludf.DUMMYFUNCTION("""COMPUTED_VALUE"""),"Slovenia")</f>
        <v>Slovenia</v>
      </c>
      <c r="N600" s="94">
        <f>IFERROR(__xludf.DUMMYFUNCTION("""COMPUTED_VALUE"""),41609.0)</f>
        <v>41609</v>
      </c>
      <c r="O600" s="46">
        <f>IFERROR(__xludf.DUMMYFUNCTION("""COMPUTED_VALUE"""),1.0)</f>
        <v>1</v>
      </c>
      <c r="P600" s="46">
        <f>IFERROR(__xludf.DUMMYFUNCTION("""COMPUTED_VALUE"""),6225.0)</f>
        <v>6225</v>
      </c>
      <c r="Q600" s="46">
        <f>IFERROR(__xludf.DUMMYFUNCTION("""COMPUTED_VALUE"""),58079.25)</f>
        <v>58079.25</v>
      </c>
      <c r="R600" s="46">
        <f>IFERROR(__xludf.DUMMYFUNCTION("""COMPUTED_VALUE"""),43077.0)</f>
        <v>43077</v>
      </c>
      <c r="S600" s="46">
        <f>IFERROR(__xludf.DUMMYFUNCTION("""COMPUTED_VALUE"""),15002.25)</f>
        <v>15002.25</v>
      </c>
    </row>
    <row r="601">
      <c r="A601" s="46" t="str">
        <f>IFERROR(__xludf.DUMMYFUNCTION("""COMPUTED_VALUE"""),"Beverages")</f>
        <v>Beverages</v>
      </c>
      <c r="B601" s="46" t="str">
        <f>IFERROR(__xludf.DUMMYFUNCTION("""COMPUTED_VALUE"""),"Lithuania")</f>
        <v>Lithuania</v>
      </c>
      <c r="C601" s="46" t="str">
        <f>IFERROR(__xludf.DUMMYFUNCTION("""COMPUTED_VALUE"""),"Europe")</f>
        <v>Europe</v>
      </c>
      <c r="D601" s="90">
        <f>IFERROR(__xludf.DUMMYFUNCTION("""COMPUTED_VALUE"""),41640.0)</f>
        <v>41640</v>
      </c>
      <c r="E601" s="46">
        <f>IFERROR(__xludf.DUMMYFUNCTION("""COMPUTED_VALUE"""),2014.0)</f>
        <v>2014</v>
      </c>
      <c r="F601" s="46">
        <f>IFERROR(__xludf.DUMMYFUNCTION("""COMPUTED_VALUE"""),1.0)</f>
        <v>1</v>
      </c>
      <c r="G601" s="46">
        <f>IFERROR(__xludf.DUMMYFUNCTION("""COMPUTED_VALUE"""),2069.0)</f>
        <v>2069</v>
      </c>
      <c r="H601" s="46">
        <f>IFERROR(__xludf.DUMMYFUNCTION("""COMPUTED_VALUE"""),98174.05)</f>
        <v>98174.05</v>
      </c>
      <c r="I601" s="46">
        <f>IFERROR(__xludf.DUMMYFUNCTION("""COMPUTED_VALUE"""),65773.51)</f>
        <v>65773.51</v>
      </c>
      <c r="J601" s="46">
        <f>IFERROR(__xludf.DUMMYFUNCTION("""COMPUTED_VALUE"""),32400.540000000008)</f>
        <v>32400.54</v>
      </c>
      <c r="K601" s="46" t="str">
        <f t="array" ref="K601">TEXT(D601, "mmmm")</f>
        <v>January</v>
      </c>
      <c r="M601" s="46" t="str">
        <f>IFERROR(__xludf.DUMMYFUNCTION("""COMPUTED_VALUE"""),"Spain")</f>
        <v>Spain</v>
      </c>
      <c r="N601" s="94">
        <f>IFERROR(__xludf.DUMMYFUNCTION("""COMPUTED_VALUE"""),41609.0)</f>
        <v>41609</v>
      </c>
      <c r="O601" s="46">
        <f>IFERROR(__xludf.DUMMYFUNCTION("""COMPUTED_VALUE"""),1.0)</f>
        <v>1</v>
      </c>
      <c r="P601" s="46">
        <f>IFERROR(__xludf.DUMMYFUNCTION("""COMPUTED_VALUE"""),2666.0)</f>
        <v>2666</v>
      </c>
      <c r="Q601" s="46">
        <f>IFERROR(__xludf.DUMMYFUNCTION("""COMPUTED_VALUE"""),217892.18000000002)</f>
        <v>217892.18</v>
      </c>
      <c r="R601" s="46">
        <f>IFERROR(__xludf.DUMMYFUNCTION("""COMPUTED_VALUE"""),151082.22)</f>
        <v>151082.22</v>
      </c>
      <c r="S601" s="46">
        <f>IFERROR(__xludf.DUMMYFUNCTION("""COMPUTED_VALUE"""),66809.96000000002)</f>
        <v>66809.96</v>
      </c>
    </row>
    <row r="602">
      <c r="A602" s="46" t="str">
        <f>IFERROR(__xludf.DUMMYFUNCTION("""COMPUTED_VALUE"""),"Beverages")</f>
        <v>Beverages</v>
      </c>
      <c r="B602" s="46" t="str">
        <f>IFERROR(__xludf.DUMMYFUNCTION("""COMPUTED_VALUE"""),"Poland")</f>
        <v>Poland</v>
      </c>
      <c r="C602" s="46" t="str">
        <f>IFERROR(__xludf.DUMMYFUNCTION("""COMPUTED_VALUE"""),"Europe")</f>
        <v>Europe</v>
      </c>
      <c r="D602" s="90">
        <f>IFERROR(__xludf.DUMMYFUNCTION("""COMPUTED_VALUE"""),41640.0)</f>
        <v>41640</v>
      </c>
      <c r="E602" s="46">
        <f>IFERROR(__xludf.DUMMYFUNCTION("""COMPUTED_VALUE"""),2014.0)</f>
        <v>2014</v>
      </c>
      <c r="F602" s="46">
        <f>IFERROR(__xludf.DUMMYFUNCTION("""COMPUTED_VALUE"""),1.0)</f>
        <v>1</v>
      </c>
      <c r="G602" s="46">
        <f>IFERROR(__xludf.DUMMYFUNCTION("""COMPUTED_VALUE"""),6348.0)</f>
        <v>6348</v>
      </c>
      <c r="H602" s="46">
        <f>IFERROR(__xludf.DUMMYFUNCTION("""COMPUTED_VALUE"""),301212.60000000003)</f>
        <v>301212.6</v>
      </c>
      <c r="I602" s="46">
        <f>IFERROR(__xludf.DUMMYFUNCTION("""COMPUTED_VALUE"""),201802.91999999998)</f>
        <v>201802.92</v>
      </c>
      <c r="J602" s="46">
        <f>IFERROR(__xludf.DUMMYFUNCTION("""COMPUTED_VALUE"""),99409.68000000005)</f>
        <v>99409.68</v>
      </c>
      <c r="K602" s="46" t="str">
        <f t="array" ref="K602">TEXT(D602, "mmmm")</f>
        <v>January</v>
      </c>
      <c r="M602" s="46" t="str">
        <f>IFERROR(__xludf.DUMMYFUNCTION("""COMPUTED_VALUE"""),"Undefined")</f>
        <v>Undefined</v>
      </c>
      <c r="N602" s="94">
        <f>IFERROR(__xludf.DUMMYFUNCTION("""COMPUTED_VALUE"""),41609.0)</f>
        <v>41609</v>
      </c>
      <c r="O602" s="46">
        <f>IFERROR(__xludf.DUMMYFUNCTION("""COMPUTED_VALUE"""),1.0)</f>
        <v>1</v>
      </c>
      <c r="P602" s="46">
        <f>IFERROR(__xludf.DUMMYFUNCTION("""COMPUTED_VALUE"""),7302.0)</f>
        <v>7302</v>
      </c>
      <c r="Q602" s="46">
        <f>IFERROR(__xludf.DUMMYFUNCTION("""COMPUTED_VALUE"""),3080640.78)</f>
        <v>3080640.78</v>
      </c>
      <c r="R602" s="46">
        <f>IFERROR(__xludf.DUMMYFUNCTION("""COMPUTED_VALUE"""),2662966.38)</f>
        <v>2662966.38</v>
      </c>
      <c r="S602" s="46">
        <f>IFERROR(__xludf.DUMMYFUNCTION("""COMPUTED_VALUE"""),417674.3999999999)</f>
        <v>417674.4</v>
      </c>
    </row>
    <row r="603">
      <c r="A603" s="46" t="str">
        <f>IFERROR(__xludf.DUMMYFUNCTION("""COMPUTED_VALUE"""),"Cereal")</f>
        <v>Cereal</v>
      </c>
      <c r="B603" s="46" t="str">
        <f>IFERROR(__xludf.DUMMYFUNCTION("""COMPUTED_VALUE"""),"Russia")</f>
        <v>Russia</v>
      </c>
      <c r="C603" s="46" t="str">
        <f>IFERROR(__xludf.DUMMYFUNCTION("""COMPUTED_VALUE"""),"Europe")</f>
        <v>Europe</v>
      </c>
      <c r="D603" s="90">
        <f>IFERROR(__xludf.DUMMYFUNCTION("""COMPUTED_VALUE"""),41640.0)</f>
        <v>41640</v>
      </c>
      <c r="E603" s="46">
        <f>IFERROR(__xludf.DUMMYFUNCTION("""COMPUTED_VALUE"""),2014.0)</f>
        <v>2014</v>
      </c>
      <c r="F603" s="46">
        <f>IFERROR(__xludf.DUMMYFUNCTION("""COMPUTED_VALUE"""),1.0)</f>
        <v>1</v>
      </c>
      <c r="G603" s="46">
        <f>IFERROR(__xludf.DUMMYFUNCTION("""COMPUTED_VALUE"""),1293.0)</f>
        <v>1293</v>
      </c>
      <c r="H603" s="46">
        <f>IFERROR(__xludf.DUMMYFUNCTION("""COMPUTED_VALUE"""),265970.1)</f>
        <v>265970.1</v>
      </c>
      <c r="I603" s="46">
        <f>IFERROR(__xludf.DUMMYFUNCTION("""COMPUTED_VALUE"""),151423.23)</f>
        <v>151423.23</v>
      </c>
      <c r="J603" s="46">
        <f>IFERROR(__xludf.DUMMYFUNCTION("""COMPUTED_VALUE"""),114546.86999999997)</f>
        <v>114546.87</v>
      </c>
      <c r="K603" s="46" t="str">
        <f t="array" ref="K603">TEXT(D603, "mmmm")</f>
        <v>January</v>
      </c>
      <c r="M603" s="46" t="str">
        <f>IFERROR(__xludf.DUMMYFUNCTION("""COMPUTED_VALUE"""),"United Kingdom")</f>
        <v>United Kingdom</v>
      </c>
      <c r="N603" s="94">
        <f>IFERROR(__xludf.DUMMYFUNCTION("""COMPUTED_VALUE"""),41609.0)</f>
        <v>41609</v>
      </c>
      <c r="O603" s="46">
        <f>IFERROR(__xludf.DUMMYFUNCTION("""COMPUTED_VALUE"""),1.0)</f>
        <v>1</v>
      </c>
      <c r="P603" s="46">
        <f>IFERROR(__xludf.DUMMYFUNCTION("""COMPUTED_VALUE"""),9999.0)</f>
        <v>9999</v>
      </c>
      <c r="Q603" s="46">
        <f>IFERROR(__xludf.DUMMYFUNCTION("""COMPUTED_VALUE"""),817218.27)</f>
        <v>817218.27</v>
      </c>
      <c r="R603" s="46">
        <f>IFERROR(__xludf.DUMMYFUNCTION("""COMPUTED_VALUE"""),566643.3300000001)</f>
        <v>566643.33</v>
      </c>
      <c r="S603" s="46">
        <f>IFERROR(__xludf.DUMMYFUNCTION("""COMPUTED_VALUE"""),250574.93999999994)</f>
        <v>250574.94</v>
      </c>
    </row>
    <row r="604">
      <c r="A604" s="46" t="str">
        <f>IFERROR(__xludf.DUMMYFUNCTION("""COMPUTED_VALUE"""),"Clothes")</f>
        <v>Clothes</v>
      </c>
      <c r="B604" s="46" t="str">
        <f>IFERROR(__xludf.DUMMYFUNCTION("""COMPUTED_VALUE"""),"Croatia")</f>
        <v>Croatia</v>
      </c>
      <c r="C604" s="46" t="str">
        <f>IFERROR(__xludf.DUMMYFUNCTION("""COMPUTED_VALUE"""),"Europe")</f>
        <v>Europe</v>
      </c>
      <c r="D604" s="90">
        <f>IFERROR(__xludf.DUMMYFUNCTION("""COMPUTED_VALUE"""),41640.0)</f>
        <v>41640</v>
      </c>
      <c r="E604" s="46">
        <f>IFERROR(__xludf.DUMMYFUNCTION("""COMPUTED_VALUE"""),2014.0)</f>
        <v>2014</v>
      </c>
      <c r="F604" s="46">
        <f>IFERROR(__xludf.DUMMYFUNCTION("""COMPUTED_VALUE"""),1.0)</f>
        <v>1</v>
      </c>
      <c r="G604" s="46">
        <f>IFERROR(__xludf.DUMMYFUNCTION("""COMPUTED_VALUE"""),4958.0)</f>
        <v>4958</v>
      </c>
      <c r="H604" s="46">
        <f>IFERROR(__xludf.DUMMYFUNCTION("""COMPUTED_VALUE"""),541810.24)</f>
        <v>541810.24</v>
      </c>
      <c r="I604" s="46">
        <f>IFERROR(__xludf.DUMMYFUNCTION("""COMPUTED_VALUE"""),177694.72000000003)</f>
        <v>177694.72</v>
      </c>
      <c r="J604" s="46">
        <f>IFERROR(__xludf.DUMMYFUNCTION("""COMPUTED_VALUE"""),364115.51999999996)</f>
        <v>364115.52</v>
      </c>
      <c r="K604" s="46" t="str">
        <f t="array" ref="K604">TEXT(D604, "mmmm")</f>
        <v>January</v>
      </c>
      <c r="M604" s="46" t="str">
        <f>IFERROR(__xludf.DUMMYFUNCTION("""COMPUTED_VALUE"""),"Croatia")</f>
        <v>Croatia</v>
      </c>
      <c r="N604" s="94">
        <f>IFERROR(__xludf.DUMMYFUNCTION("""COMPUTED_VALUE"""),41640.0)</f>
        <v>41640</v>
      </c>
      <c r="O604" s="46">
        <f>IFERROR(__xludf.DUMMYFUNCTION("""COMPUTED_VALUE"""),1.0)</f>
        <v>1</v>
      </c>
      <c r="P604" s="46">
        <f>IFERROR(__xludf.DUMMYFUNCTION("""COMPUTED_VALUE"""),4958.0)</f>
        <v>4958</v>
      </c>
      <c r="Q604" s="46">
        <f>IFERROR(__xludf.DUMMYFUNCTION("""COMPUTED_VALUE"""),541810.24)</f>
        <v>541810.24</v>
      </c>
      <c r="R604" s="46">
        <f>IFERROR(__xludf.DUMMYFUNCTION("""COMPUTED_VALUE"""),177694.72000000003)</f>
        <v>177694.72</v>
      </c>
      <c r="S604" s="46">
        <f>IFERROR(__xludf.DUMMYFUNCTION("""COMPUTED_VALUE"""),364115.51999999996)</f>
        <v>364115.52</v>
      </c>
    </row>
    <row r="605">
      <c r="A605" s="46" t="str">
        <f>IFERROR(__xludf.DUMMYFUNCTION("""COMPUTED_VALUE"""),"Clothes")</f>
        <v>Clothes</v>
      </c>
      <c r="B605" s="46" t="str">
        <f>IFERROR(__xludf.DUMMYFUNCTION("""COMPUTED_VALUE"""),"France")</f>
        <v>France</v>
      </c>
      <c r="C605" s="46" t="str">
        <f>IFERROR(__xludf.DUMMYFUNCTION("""COMPUTED_VALUE"""),"Europe")</f>
        <v>Europe</v>
      </c>
      <c r="D605" s="90">
        <f>IFERROR(__xludf.DUMMYFUNCTION("""COMPUTED_VALUE"""),41640.0)</f>
        <v>41640</v>
      </c>
      <c r="E605" s="46">
        <f>IFERROR(__xludf.DUMMYFUNCTION("""COMPUTED_VALUE"""),2014.0)</f>
        <v>2014</v>
      </c>
      <c r="F605" s="46">
        <f>IFERROR(__xludf.DUMMYFUNCTION("""COMPUTED_VALUE"""),1.0)</f>
        <v>1</v>
      </c>
      <c r="G605" s="46">
        <f>IFERROR(__xludf.DUMMYFUNCTION("""COMPUTED_VALUE"""),3267.0)</f>
        <v>3267</v>
      </c>
      <c r="H605" s="46">
        <f>IFERROR(__xludf.DUMMYFUNCTION("""COMPUTED_VALUE"""),357017.76)</f>
        <v>357017.76</v>
      </c>
      <c r="I605" s="46">
        <f>IFERROR(__xludf.DUMMYFUNCTION("""COMPUTED_VALUE"""),117089.28000000001)</f>
        <v>117089.28</v>
      </c>
      <c r="J605" s="46">
        <f>IFERROR(__xludf.DUMMYFUNCTION("""COMPUTED_VALUE"""),239928.47999999998)</f>
        <v>239928.48</v>
      </c>
      <c r="K605" s="46" t="str">
        <f t="array" ref="K605">TEXT(D605, "mmmm")</f>
        <v>January</v>
      </c>
      <c r="M605" s="46" t="str">
        <f>IFERROR(__xludf.DUMMYFUNCTION("""COMPUTED_VALUE"""),"Cyprus")</f>
        <v>Cyprus</v>
      </c>
      <c r="N605" s="94">
        <f>IFERROR(__xludf.DUMMYFUNCTION("""COMPUTED_VALUE"""),41640.0)</f>
        <v>41640</v>
      </c>
      <c r="O605" s="46">
        <f>IFERROR(__xludf.DUMMYFUNCTION("""COMPUTED_VALUE"""),1.0)</f>
        <v>1</v>
      </c>
      <c r="P605" s="46">
        <f>IFERROR(__xludf.DUMMYFUNCTION("""COMPUTED_VALUE"""),9445.0)</f>
        <v>9445</v>
      </c>
      <c r="Q605" s="46">
        <f>IFERROR(__xludf.DUMMYFUNCTION("""COMPUTED_VALUE"""),771939.8500000001)</f>
        <v>771939.85</v>
      </c>
      <c r="R605" s="46">
        <f>IFERROR(__xludf.DUMMYFUNCTION("""COMPUTED_VALUE"""),535248.15)</f>
        <v>535248.15</v>
      </c>
      <c r="S605" s="46">
        <f>IFERROR(__xludf.DUMMYFUNCTION("""COMPUTED_VALUE"""),236691.70000000007)</f>
        <v>236691.7</v>
      </c>
    </row>
    <row r="606">
      <c r="A606" s="46" t="str">
        <f>IFERROR(__xludf.DUMMYFUNCTION("""COMPUTED_VALUE"""),"Cosmetics")</f>
        <v>Cosmetics</v>
      </c>
      <c r="B606" s="46" t="str">
        <f>IFERROR(__xludf.DUMMYFUNCTION("""COMPUTED_VALUE"""),"Slovenia")</f>
        <v>Slovenia</v>
      </c>
      <c r="C606" s="46" t="str">
        <f>IFERROR(__xludf.DUMMYFUNCTION("""COMPUTED_VALUE"""),"Europe")</f>
        <v>Europe</v>
      </c>
      <c r="D606" s="90">
        <f>IFERROR(__xludf.DUMMYFUNCTION("""COMPUTED_VALUE"""),41640.0)</f>
        <v>41640</v>
      </c>
      <c r="E606" s="46">
        <f>IFERROR(__xludf.DUMMYFUNCTION("""COMPUTED_VALUE"""),2014.0)</f>
        <v>2014</v>
      </c>
      <c r="F606" s="46">
        <f>IFERROR(__xludf.DUMMYFUNCTION("""COMPUTED_VALUE"""),1.0)</f>
        <v>1</v>
      </c>
      <c r="G606" s="46">
        <f>IFERROR(__xludf.DUMMYFUNCTION("""COMPUTED_VALUE"""),2511.0)</f>
        <v>2511</v>
      </c>
      <c r="H606" s="46">
        <f>IFERROR(__xludf.DUMMYFUNCTION("""COMPUTED_VALUE"""),1097809.2)</f>
        <v>1097809.2</v>
      </c>
      <c r="I606" s="46">
        <f>IFERROR(__xludf.DUMMYFUNCTION("""COMPUTED_VALUE"""),661221.63)</f>
        <v>661221.63</v>
      </c>
      <c r="J606" s="46">
        <f>IFERROR(__xludf.DUMMYFUNCTION("""COMPUTED_VALUE"""),436587.56999999995)</f>
        <v>436587.57</v>
      </c>
      <c r="K606" s="46" t="str">
        <f t="array" ref="K606">TEXT(D606, "mmmm")</f>
        <v>January</v>
      </c>
      <c r="M606" s="46" t="str">
        <f>IFERROR(__xludf.DUMMYFUNCTION("""COMPUTED_VALUE"""),"Estonia")</f>
        <v>Estonia</v>
      </c>
      <c r="N606" s="94">
        <f>IFERROR(__xludf.DUMMYFUNCTION("""COMPUTED_VALUE"""),41640.0)</f>
        <v>41640</v>
      </c>
      <c r="O606" s="46">
        <f>IFERROR(__xludf.DUMMYFUNCTION("""COMPUTED_VALUE"""),1.0)</f>
        <v>1</v>
      </c>
      <c r="P606" s="46">
        <f>IFERROR(__xludf.DUMMYFUNCTION("""COMPUTED_VALUE"""),2797.0)</f>
        <v>2797</v>
      </c>
      <c r="Q606" s="46">
        <f>IFERROR(__xludf.DUMMYFUNCTION("""COMPUTED_VALUE"""),714018.16)</f>
        <v>714018.16</v>
      </c>
      <c r="R606" s="46">
        <f>IFERROR(__xludf.DUMMYFUNCTION("""COMPUTED_VALUE"""),445897.74)</f>
        <v>445897.74</v>
      </c>
      <c r="S606" s="46">
        <f>IFERROR(__xludf.DUMMYFUNCTION("""COMPUTED_VALUE"""),268120.42000000004)</f>
        <v>268120.42</v>
      </c>
    </row>
    <row r="607">
      <c r="A607" s="46" t="str">
        <f>IFERROR(__xludf.DUMMYFUNCTION("""COMPUTED_VALUE"""),"Fruits")</f>
        <v>Fruits</v>
      </c>
      <c r="B607" s="46" t="str">
        <f>IFERROR(__xludf.DUMMYFUNCTION("""COMPUTED_VALUE"""),"Georgia")</f>
        <v>Georgia</v>
      </c>
      <c r="C607" s="46" t="str">
        <f>IFERROR(__xludf.DUMMYFUNCTION("""COMPUTED_VALUE"""),"Asia")</f>
        <v>Asia</v>
      </c>
      <c r="D607" s="90">
        <f>IFERROR(__xludf.DUMMYFUNCTION("""COMPUTED_VALUE"""),41640.0)</f>
        <v>41640</v>
      </c>
      <c r="E607" s="46">
        <f>IFERROR(__xludf.DUMMYFUNCTION("""COMPUTED_VALUE"""),2014.0)</f>
        <v>2014</v>
      </c>
      <c r="F607" s="46">
        <f>IFERROR(__xludf.DUMMYFUNCTION("""COMPUTED_VALUE"""),1.0)</f>
        <v>1</v>
      </c>
      <c r="G607" s="46">
        <f>IFERROR(__xludf.DUMMYFUNCTION("""COMPUTED_VALUE"""),1735.0)</f>
        <v>1735</v>
      </c>
      <c r="H607" s="46">
        <f>IFERROR(__xludf.DUMMYFUNCTION("""COMPUTED_VALUE"""),16187.55)</f>
        <v>16187.55</v>
      </c>
      <c r="I607" s="46">
        <f>IFERROR(__xludf.DUMMYFUNCTION("""COMPUTED_VALUE"""),12006.2)</f>
        <v>12006.2</v>
      </c>
      <c r="J607" s="46">
        <f>IFERROR(__xludf.DUMMYFUNCTION("""COMPUTED_VALUE"""),4181.3499999999985)</f>
        <v>4181.35</v>
      </c>
      <c r="K607" s="46" t="str">
        <f t="array" ref="K607">TEXT(D607, "mmmm")</f>
        <v>January</v>
      </c>
      <c r="M607" s="46" t="str">
        <f>IFERROR(__xludf.DUMMYFUNCTION("""COMPUTED_VALUE"""),"France")</f>
        <v>France</v>
      </c>
      <c r="N607" s="94">
        <f>IFERROR(__xludf.DUMMYFUNCTION("""COMPUTED_VALUE"""),41640.0)</f>
        <v>41640</v>
      </c>
      <c r="O607" s="46">
        <f>IFERROR(__xludf.DUMMYFUNCTION("""COMPUTED_VALUE"""),1.0)</f>
        <v>1</v>
      </c>
      <c r="P607" s="46">
        <f>IFERROR(__xludf.DUMMYFUNCTION("""COMPUTED_VALUE"""),3267.0)</f>
        <v>3267</v>
      </c>
      <c r="Q607" s="46">
        <f>IFERROR(__xludf.DUMMYFUNCTION("""COMPUTED_VALUE"""),357017.76)</f>
        <v>357017.76</v>
      </c>
      <c r="R607" s="46">
        <f>IFERROR(__xludf.DUMMYFUNCTION("""COMPUTED_VALUE"""),117089.28000000001)</f>
        <v>117089.28</v>
      </c>
      <c r="S607" s="46">
        <f>IFERROR(__xludf.DUMMYFUNCTION("""COMPUTED_VALUE"""),239928.47999999998)</f>
        <v>239928.48</v>
      </c>
    </row>
    <row r="608">
      <c r="A608" s="46" t="str">
        <f>IFERROR(__xludf.DUMMYFUNCTION("""COMPUTED_VALUE"""),"Fruits")</f>
        <v>Fruits</v>
      </c>
      <c r="B608" s="46" t="str">
        <f>IFERROR(__xludf.DUMMYFUNCTION("""COMPUTED_VALUE"""),"Hungary")</f>
        <v>Hungary</v>
      </c>
      <c r="C608" s="46" t="str">
        <f>IFERROR(__xludf.DUMMYFUNCTION("""COMPUTED_VALUE"""),"Europe")</f>
        <v>Europe</v>
      </c>
      <c r="D608" s="90">
        <f>IFERROR(__xludf.DUMMYFUNCTION("""COMPUTED_VALUE"""),41640.0)</f>
        <v>41640</v>
      </c>
      <c r="E608" s="46">
        <f>IFERROR(__xludf.DUMMYFUNCTION("""COMPUTED_VALUE"""),2014.0)</f>
        <v>2014</v>
      </c>
      <c r="F608" s="46">
        <f>IFERROR(__xludf.DUMMYFUNCTION("""COMPUTED_VALUE"""),1.0)</f>
        <v>1</v>
      </c>
      <c r="G608" s="46">
        <f>IFERROR(__xludf.DUMMYFUNCTION("""COMPUTED_VALUE"""),1456.0)</f>
        <v>1456</v>
      </c>
      <c r="H608" s="46">
        <f>IFERROR(__xludf.DUMMYFUNCTION("""COMPUTED_VALUE"""),13584.48)</f>
        <v>13584.48</v>
      </c>
      <c r="I608" s="46">
        <f>IFERROR(__xludf.DUMMYFUNCTION("""COMPUTED_VALUE"""),10075.52)</f>
        <v>10075.52</v>
      </c>
      <c r="J608" s="46">
        <f>IFERROR(__xludf.DUMMYFUNCTION("""COMPUTED_VALUE"""),3508.959999999999)</f>
        <v>3508.96</v>
      </c>
      <c r="K608" s="46" t="str">
        <f t="array" ref="K608">TEXT(D608, "mmmm")</f>
        <v>January</v>
      </c>
      <c r="M608" s="46" t="str">
        <f>IFERROR(__xludf.DUMMYFUNCTION("""COMPUTED_VALUE"""),"Georgia")</f>
        <v>Georgia</v>
      </c>
      <c r="N608" s="94">
        <f>IFERROR(__xludf.DUMMYFUNCTION("""COMPUTED_VALUE"""),41640.0)</f>
        <v>41640</v>
      </c>
      <c r="O608" s="46">
        <f>IFERROR(__xludf.DUMMYFUNCTION("""COMPUTED_VALUE"""),2.0)</f>
        <v>2</v>
      </c>
      <c r="P608" s="46">
        <f>IFERROR(__xludf.DUMMYFUNCTION("""COMPUTED_VALUE"""),5087.0)</f>
        <v>5087</v>
      </c>
      <c r="Q608" s="46">
        <f>IFERROR(__xludf.DUMMYFUNCTION("""COMPUTED_VALUE"""),871886.1100000001)</f>
        <v>871886.11</v>
      </c>
      <c r="R608" s="46">
        <f>IFERROR(__xludf.DUMMYFUNCTION("""COMPUTED_VALUE"""),546382.0399999999)</f>
        <v>546382.04</v>
      </c>
      <c r="S608" s="46">
        <f>IFERROR(__xludf.DUMMYFUNCTION("""COMPUTED_VALUE"""),325504.07000000007)</f>
        <v>325504.07</v>
      </c>
    </row>
    <row r="609">
      <c r="A609" s="46" t="str">
        <f>IFERROR(__xludf.DUMMYFUNCTION("""COMPUTED_VALUE"""),"Household")</f>
        <v>Household</v>
      </c>
      <c r="B609" s="46" t="str">
        <f>IFERROR(__xludf.DUMMYFUNCTION("""COMPUTED_VALUE"""),"Netherlands")</f>
        <v>Netherlands</v>
      </c>
      <c r="C609" s="46" t="str">
        <f>IFERROR(__xludf.DUMMYFUNCTION("""COMPUTED_VALUE"""),"Europe")</f>
        <v>Europe</v>
      </c>
      <c r="D609" s="90">
        <f>IFERROR(__xludf.DUMMYFUNCTION("""COMPUTED_VALUE"""),41640.0)</f>
        <v>41640</v>
      </c>
      <c r="E609" s="46">
        <f>IFERROR(__xludf.DUMMYFUNCTION("""COMPUTED_VALUE"""),2014.0)</f>
        <v>2014</v>
      </c>
      <c r="F609" s="46">
        <f>IFERROR(__xludf.DUMMYFUNCTION("""COMPUTED_VALUE"""),1.0)</f>
        <v>1</v>
      </c>
      <c r="G609" s="46">
        <f>IFERROR(__xludf.DUMMYFUNCTION("""COMPUTED_VALUE"""),1138.0)</f>
        <v>1138</v>
      </c>
      <c r="H609" s="46">
        <f>IFERROR(__xludf.DUMMYFUNCTION("""COMPUTED_VALUE"""),760491.26)</f>
        <v>760491.26</v>
      </c>
      <c r="I609" s="46">
        <f>IFERROR(__xludf.DUMMYFUNCTION("""COMPUTED_VALUE"""),571890.52)</f>
        <v>571890.52</v>
      </c>
      <c r="J609" s="46">
        <f>IFERROR(__xludf.DUMMYFUNCTION("""COMPUTED_VALUE"""),188600.74)</f>
        <v>188600.74</v>
      </c>
      <c r="K609" s="46" t="str">
        <f t="array" ref="K609">TEXT(D609, "mmmm")</f>
        <v>January</v>
      </c>
      <c r="M609" s="46" t="str">
        <f>IFERROR(__xludf.DUMMYFUNCTION("""COMPUTED_VALUE"""),"Hungary")</f>
        <v>Hungary</v>
      </c>
      <c r="N609" s="94">
        <f>IFERROR(__xludf.DUMMYFUNCTION("""COMPUTED_VALUE"""),41640.0)</f>
        <v>41640</v>
      </c>
      <c r="O609" s="46">
        <f>IFERROR(__xludf.DUMMYFUNCTION("""COMPUTED_VALUE"""),2.0)</f>
        <v>2</v>
      </c>
      <c r="P609" s="46">
        <f>IFERROR(__xludf.DUMMYFUNCTION("""COMPUTED_VALUE"""),8715.0)</f>
        <v>8715</v>
      </c>
      <c r="Q609" s="46">
        <f>IFERROR(__xludf.DUMMYFUNCTION("""COMPUTED_VALUE"""),1131906.02)</f>
        <v>1131906.02</v>
      </c>
      <c r="R609" s="46">
        <f>IFERROR(__xludf.DUMMYFUNCTION("""COMPUTED_VALUE"""),670136.39)</f>
        <v>670136.39</v>
      </c>
      <c r="S609" s="46">
        <f>IFERROR(__xludf.DUMMYFUNCTION("""COMPUTED_VALUE"""),461769.63000000006)</f>
        <v>461769.63</v>
      </c>
    </row>
    <row r="610">
      <c r="A610" s="46" t="str">
        <f>IFERROR(__xludf.DUMMYFUNCTION("""COMPUTED_VALUE"""),"Household")</f>
        <v>Household</v>
      </c>
      <c r="B610" s="46" t="str">
        <f>IFERROR(__xludf.DUMMYFUNCTION("""COMPUTED_VALUE"""),"Portugal")</f>
        <v>Portugal</v>
      </c>
      <c r="C610" s="46" t="str">
        <f>IFERROR(__xludf.DUMMYFUNCTION("""COMPUTED_VALUE"""),"Europe")</f>
        <v>Europe</v>
      </c>
      <c r="D610" s="90">
        <f>IFERROR(__xludf.DUMMYFUNCTION("""COMPUTED_VALUE"""),41640.0)</f>
        <v>41640</v>
      </c>
      <c r="E610" s="46">
        <f>IFERROR(__xludf.DUMMYFUNCTION("""COMPUTED_VALUE"""),2014.0)</f>
        <v>2014</v>
      </c>
      <c r="F610" s="46">
        <f>IFERROR(__xludf.DUMMYFUNCTION("""COMPUTED_VALUE"""),1.0)</f>
        <v>1</v>
      </c>
      <c r="G610" s="46">
        <f>IFERROR(__xludf.DUMMYFUNCTION("""COMPUTED_VALUE"""),4744.0)</f>
        <v>4744</v>
      </c>
      <c r="H610" s="46">
        <f>IFERROR(__xludf.DUMMYFUNCTION("""COMPUTED_VALUE"""),3170272.88)</f>
        <v>3170272.88</v>
      </c>
      <c r="I610" s="46">
        <f>IFERROR(__xludf.DUMMYFUNCTION("""COMPUTED_VALUE"""),2384049.7600000002)</f>
        <v>2384049.76</v>
      </c>
      <c r="J610" s="46">
        <f>IFERROR(__xludf.DUMMYFUNCTION("""COMPUTED_VALUE"""),786223.1199999996)</f>
        <v>786223.12</v>
      </c>
      <c r="K610" s="46" t="str">
        <f t="array" ref="K610">TEXT(D610, "mmmm")</f>
        <v>January</v>
      </c>
      <c r="M610" s="46" t="str">
        <f>IFERROR(__xludf.DUMMYFUNCTION("""COMPUTED_VALUE"""),"Ireland")</f>
        <v>Ireland</v>
      </c>
      <c r="N610" s="94">
        <f>IFERROR(__xludf.DUMMYFUNCTION("""COMPUTED_VALUE"""),41640.0)</f>
        <v>41640</v>
      </c>
      <c r="O610" s="46">
        <f>IFERROR(__xludf.DUMMYFUNCTION("""COMPUTED_VALUE"""),1.0)</f>
        <v>1</v>
      </c>
      <c r="P610" s="46">
        <f>IFERROR(__xludf.DUMMYFUNCTION("""COMPUTED_VALUE"""),2179.0)</f>
        <v>2179</v>
      </c>
      <c r="Q610" s="46">
        <f>IFERROR(__xludf.DUMMYFUNCTION("""COMPUTED_VALUE"""),178089.67)</f>
        <v>178089.67</v>
      </c>
      <c r="R610" s="46">
        <f>IFERROR(__xludf.DUMMYFUNCTION("""COMPUTED_VALUE"""),123483.93000000001)</f>
        <v>123483.93</v>
      </c>
      <c r="S610" s="46">
        <f>IFERROR(__xludf.DUMMYFUNCTION("""COMPUTED_VALUE"""),54605.740000000005)</f>
        <v>54605.74</v>
      </c>
    </row>
    <row r="611">
      <c r="A611" s="46" t="str">
        <f>IFERROR(__xludf.DUMMYFUNCTION("""COMPUTED_VALUE"""),"Meat")</f>
        <v>Meat</v>
      </c>
      <c r="B611" s="46" t="str">
        <f>IFERROR(__xludf.DUMMYFUNCTION("""COMPUTED_VALUE"""),"Portugal")</f>
        <v>Portugal</v>
      </c>
      <c r="C611" s="46" t="str">
        <f>IFERROR(__xludf.DUMMYFUNCTION("""COMPUTED_VALUE"""),"Europe")</f>
        <v>Europe</v>
      </c>
      <c r="D611" s="90">
        <f>IFERROR(__xludf.DUMMYFUNCTION("""COMPUTED_VALUE"""),41640.0)</f>
        <v>41640</v>
      </c>
      <c r="E611" s="46">
        <f>IFERROR(__xludf.DUMMYFUNCTION("""COMPUTED_VALUE"""),2014.0)</f>
        <v>2014</v>
      </c>
      <c r="F611" s="46">
        <f>IFERROR(__xludf.DUMMYFUNCTION("""COMPUTED_VALUE"""),1.0)</f>
        <v>1</v>
      </c>
      <c r="G611" s="46">
        <f>IFERROR(__xludf.DUMMYFUNCTION("""COMPUTED_VALUE"""),9666.0)</f>
        <v>9666</v>
      </c>
      <c r="H611" s="46">
        <f>IFERROR(__xludf.DUMMYFUNCTION("""COMPUTED_VALUE"""),4077988.7399999998)</f>
        <v>4077988.74</v>
      </c>
      <c r="I611" s="46">
        <f>IFERROR(__xludf.DUMMYFUNCTION("""COMPUTED_VALUE"""),3525093.54)</f>
        <v>3525093.54</v>
      </c>
      <c r="J611" s="46">
        <f>IFERROR(__xludf.DUMMYFUNCTION("""COMPUTED_VALUE"""),552895.1999999997)</f>
        <v>552895.2</v>
      </c>
      <c r="K611" s="46" t="str">
        <f t="array" ref="K611">TEXT(D611, "mmmm")</f>
        <v>January</v>
      </c>
      <c r="M611" s="46" t="str">
        <f>IFERROR(__xludf.DUMMYFUNCTION("""COMPUTED_VALUE"""),"Italy")</f>
        <v>Italy</v>
      </c>
      <c r="N611" s="94">
        <f>IFERROR(__xludf.DUMMYFUNCTION("""COMPUTED_VALUE"""),41640.0)</f>
        <v>41640</v>
      </c>
      <c r="O611" s="46">
        <f>IFERROR(__xludf.DUMMYFUNCTION("""COMPUTED_VALUE"""),1.0)</f>
        <v>1</v>
      </c>
      <c r="P611" s="46">
        <f>IFERROR(__xludf.DUMMYFUNCTION("""COMPUTED_VALUE"""),6413.0)</f>
        <v>6413</v>
      </c>
      <c r="Q611" s="46">
        <f>IFERROR(__xludf.DUMMYFUNCTION("""COMPUTED_VALUE"""),978495.54)</f>
        <v>978495.54</v>
      </c>
      <c r="R611" s="46">
        <f>IFERROR(__xludf.DUMMYFUNCTION("""COMPUTED_VALUE"""),624882.72)</f>
        <v>624882.72</v>
      </c>
      <c r="S611" s="46">
        <f>IFERROR(__xludf.DUMMYFUNCTION("""COMPUTED_VALUE"""),353612.82000000007)</f>
        <v>353612.82</v>
      </c>
    </row>
    <row r="612">
      <c r="A612" s="46" t="str">
        <f>IFERROR(__xludf.DUMMYFUNCTION("""COMPUTED_VALUE"""),"Office Supplies")</f>
        <v>Office Supplies</v>
      </c>
      <c r="B612" s="46" t="str">
        <f>IFERROR(__xludf.DUMMYFUNCTION("""COMPUTED_VALUE"""),"Portugal")</f>
        <v>Portugal</v>
      </c>
      <c r="C612" s="46" t="str">
        <f>IFERROR(__xludf.DUMMYFUNCTION("""COMPUTED_VALUE"""),"Europe")</f>
        <v>Europe</v>
      </c>
      <c r="D612" s="90">
        <f>IFERROR(__xludf.DUMMYFUNCTION("""COMPUTED_VALUE"""),41640.0)</f>
        <v>41640</v>
      </c>
      <c r="E612" s="46">
        <f>IFERROR(__xludf.DUMMYFUNCTION("""COMPUTED_VALUE"""),2014.0)</f>
        <v>2014</v>
      </c>
      <c r="F612" s="46">
        <f>IFERROR(__xludf.DUMMYFUNCTION("""COMPUTED_VALUE"""),1.0)</f>
        <v>1</v>
      </c>
      <c r="G612" s="46">
        <f>IFERROR(__xludf.DUMMYFUNCTION("""COMPUTED_VALUE"""),9956.0)</f>
        <v>9956</v>
      </c>
      <c r="H612" s="46">
        <f>IFERROR(__xludf.DUMMYFUNCTION("""COMPUTED_VALUE"""),6483446.760000001)</f>
        <v>6483446.76</v>
      </c>
      <c r="I612" s="46">
        <f>IFERROR(__xludf.DUMMYFUNCTION("""COMPUTED_VALUE"""),5226501.760000001)</f>
        <v>5226501.76</v>
      </c>
      <c r="J612" s="46">
        <f>IFERROR(__xludf.DUMMYFUNCTION("""COMPUTED_VALUE"""),1256945.0)</f>
        <v>1256945</v>
      </c>
      <c r="K612" s="46" t="str">
        <f t="array" ref="K612">TEXT(D612, "mmmm")</f>
        <v>January</v>
      </c>
      <c r="M612" s="46" t="str">
        <f>IFERROR(__xludf.DUMMYFUNCTION("""COMPUTED_VALUE"""),"Latvia")</f>
        <v>Latvia</v>
      </c>
      <c r="N612" s="94">
        <f>IFERROR(__xludf.DUMMYFUNCTION("""COMPUTED_VALUE"""),41640.0)</f>
        <v>41640</v>
      </c>
      <c r="O612" s="46">
        <f>IFERROR(__xludf.DUMMYFUNCTION("""COMPUTED_VALUE"""),1.0)</f>
        <v>1</v>
      </c>
      <c r="P612" s="46">
        <f>IFERROR(__xludf.DUMMYFUNCTION("""COMPUTED_VALUE"""),792.0)</f>
        <v>792</v>
      </c>
      <c r="Q612" s="46">
        <f>IFERROR(__xludf.DUMMYFUNCTION("""COMPUTED_VALUE"""),64730.16)</f>
        <v>64730.16</v>
      </c>
      <c r="R612" s="46">
        <f>IFERROR(__xludf.DUMMYFUNCTION("""COMPUTED_VALUE"""),44882.64)</f>
        <v>44882.64</v>
      </c>
      <c r="S612" s="46">
        <f>IFERROR(__xludf.DUMMYFUNCTION("""COMPUTED_VALUE"""),19847.520000000004)</f>
        <v>19847.52</v>
      </c>
    </row>
    <row r="613">
      <c r="A613" s="46" t="str">
        <f>IFERROR(__xludf.DUMMYFUNCTION("""COMPUTED_VALUE"""),"Personal Care")</f>
        <v>Personal Care</v>
      </c>
      <c r="B613" s="46" t="str">
        <f>IFERROR(__xludf.DUMMYFUNCTION("""COMPUTED_VALUE"""),"Cyprus")</f>
        <v>Cyprus</v>
      </c>
      <c r="C613" s="46" t="str">
        <f>IFERROR(__xludf.DUMMYFUNCTION("""COMPUTED_VALUE"""),"Asia")</f>
        <v>Asia</v>
      </c>
      <c r="D613" s="90">
        <f>IFERROR(__xludf.DUMMYFUNCTION("""COMPUTED_VALUE"""),41640.0)</f>
        <v>41640</v>
      </c>
      <c r="E613" s="46">
        <f>IFERROR(__xludf.DUMMYFUNCTION("""COMPUTED_VALUE"""),2014.0)</f>
        <v>2014</v>
      </c>
      <c r="F613" s="46">
        <f>IFERROR(__xludf.DUMMYFUNCTION("""COMPUTED_VALUE"""),1.0)</f>
        <v>1</v>
      </c>
      <c r="G613" s="46">
        <f>IFERROR(__xludf.DUMMYFUNCTION("""COMPUTED_VALUE"""),9445.0)</f>
        <v>9445</v>
      </c>
      <c r="H613" s="46">
        <f>IFERROR(__xludf.DUMMYFUNCTION("""COMPUTED_VALUE"""),771939.8500000001)</f>
        <v>771939.85</v>
      </c>
      <c r="I613" s="46">
        <f>IFERROR(__xludf.DUMMYFUNCTION("""COMPUTED_VALUE"""),535248.15)</f>
        <v>535248.15</v>
      </c>
      <c r="J613" s="46">
        <f>IFERROR(__xludf.DUMMYFUNCTION("""COMPUTED_VALUE"""),236691.70000000007)</f>
        <v>236691.7</v>
      </c>
      <c r="K613" s="46" t="str">
        <f t="array" ref="K613">TEXT(D613, "mmmm")</f>
        <v>January</v>
      </c>
      <c r="M613" s="46" t="str">
        <f>IFERROR(__xludf.DUMMYFUNCTION("""COMPUTED_VALUE"""),"Lithuania")</f>
        <v>Lithuania</v>
      </c>
      <c r="N613" s="94">
        <f>IFERROR(__xludf.DUMMYFUNCTION("""COMPUTED_VALUE"""),41640.0)</f>
        <v>41640</v>
      </c>
      <c r="O613" s="46">
        <f>IFERROR(__xludf.DUMMYFUNCTION("""COMPUTED_VALUE"""),1.0)</f>
        <v>1</v>
      </c>
      <c r="P613" s="46">
        <f>IFERROR(__xludf.DUMMYFUNCTION("""COMPUTED_VALUE"""),2069.0)</f>
        <v>2069</v>
      </c>
      <c r="Q613" s="46">
        <f>IFERROR(__xludf.DUMMYFUNCTION("""COMPUTED_VALUE"""),98174.05)</f>
        <v>98174.05</v>
      </c>
      <c r="R613" s="46">
        <f>IFERROR(__xludf.DUMMYFUNCTION("""COMPUTED_VALUE"""),65773.51)</f>
        <v>65773.51</v>
      </c>
      <c r="S613" s="46">
        <f>IFERROR(__xludf.DUMMYFUNCTION("""COMPUTED_VALUE"""),32400.540000000008)</f>
        <v>32400.54</v>
      </c>
    </row>
    <row r="614">
      <c r="A614" s="46" t="str">
        <f>IFERROR(__xludf.DUMMYFUNCTION("""COMPUTED_VALUE"""),"Personal Care")</f>
        <v>Personal Care</v>
      </c>
      <c r="B614" s="46" t="str">
        <f>IFERROR(__xludf.DUMMYFUNCTION("""COMPUTED_VALUE"""),"Ireland")</f>
        <v>Ireland</v>
      </c>
      <c r="C614" s="46" t="str">
        <f>IFERROR(__xludf.DUMMYFUNCTION("""COMPUTED_VALUE"""),"Europe")</f>
        <v>Europe</v>
      </c>
      <c r="D614" s="90">
        <f>IFERROR(__xludf.DUMMYFUNCTION("""COMPUTED_VALUE"""),41640.0)</f>
        <v>41640</v>
      </c>
      <c r="E614" s="46">
        <f>IFERROR(__xludf.DUMMYFUNCTION("""COMPUTED_VALUE"""),2014.0)</f>
        <v>2014</v>
      </c>
      <c r="F614" s="46">
        <f>IFERROR(__xludf.DUMMYFUNCTION("""COMPUTED_VALUE"""),1.0)</f>
        <v>1</v>
      </c>
      <c r="G614" s="46">
        <f>IFERROR(__xludf.DUMMYFUNCTION("""COMPUTED_VALUE"""),2179.0)</f>
        <v>2179</v>
      </c>
      <c r="H614" s="46">
        <f>IFERROR(__xludf.DUMMYFUNCTION("""COMPUTED_VALUE"""),178089.67)</f>
        <v>178089.67</v>
      </c>
      <c r="I614" s="46">
        <f>IFERROR(__xludf.DUMMYFUNCTION("""COMPUTED_VALUE"""),123483.93000000001)</f>
        <v>123483.93</v>
      </c>
      <c r="J614" s="46">
        <f>IFERROR(__xludf.DUMMYFUNCTION("""COMPUTED_VALUE"""),54605.740000000005)</f>
        <v>54605.74</v>
      </c>
      <c r="K614" s="46" t="str">
        <f t="array" ref="K614">TEXT(D614, "mmmm")</f>
        <v>January</v>
      </c>
      <c r="M614" s="46" t="str">
        <f>IFERROR(__xludf.DUMMYFUNCTION("""COMPUTED_VALUE"""),"Netherlands")</f>
        <v>Netherlands</v>
      </c>
      <c r="N614" s="94">
        <f>IFERROR(__xludf.DUMMYFUNCTION("""COMPUTED_VALUE"""),41640.0)</f>
        <v>41640</v>
      </c>
      <c r="O614" s="46">
        <f>IFERROR(__xludf.DUMMYFUNCTION("""COMPUTED_VALUE"""),1.0)</f>
        <v>1</v>
      </c>
      <c r="P614" s="46">
        <f>IFERROR(__xludf.DUMMYFUNCTION("""COMPUTED_VALUE"""),1138.0)</f>
        <v>1138</v>
      </c>
      <c r="Q614" s="46">
        <f>IFERROR(__xludf.DUMMYFUNCTION("""COMPUTED_VALUE"""),760491.26)</f>
        <v>760491.26</v>
      </c>
      <c r="R614" s="46">
        <f>IFERROR(__xludf.DUMMYFUNCTION("""COMPUTED_VALUE"""),571890.52)</f>
        <v>571890.52</v>
      </c>
      <c r="S614" s="46">
        <f>IFERROR(__xludf.DUMMYFUNCTION("""COMPUTED_VALUE"""),188600.74)</f>
        <v>188600.74</v>
      </c>
    </row>
    <row r="615">
      <c r="A615" s="46" t="str">
        <f>IFERROR(__xludf.DUMMYFUNCTION("""COMPUTED_VALUE"""),"Personal Care")</f>
        <v>Personal Care</v>
      </c>
      <c r="B615" s="46" t="str">
        <f>IFERROR(__xludf.DUMMYFUNCTION("""COMPUTED_VALUE"""),"Latvia")</f>
        <v>Latvia</v>
      </c>
      <c r="C615" s="46" t="str">
        <f>IFERROR(__xludf.DUMMYFUNCTION("""COMPUTED_VALUE"""),"Europe")</f>
        <v>Europe</v>
      </c>
      <c r="D615" s="90">
        <f>IFERROR(__xludf.DUMMYFUNCTION("""COMPUTED_VALUE"""),41640.0)</f>
        <v>41640</v>
      </c>
      <c r="E615" s="46">
        <f>IFERROR(__xludf.DUMMYFUNCTION("""COMPUTED_VALUE"""),2014.0)</f>
        <v>2014</v>
      </c>
      <c r="F615" s="46">
        <f>IFERROR(__xludf.DUMMYFUNCTION("""COMPUTED_VALUE"""),1.0)</f>
        <v>1</v>
      </c>
      <c r="G615" s="46">
        <f>IFERROR(__xludf.DUMMYFUNCTION("""COMPUTED_VALUE"""),792.0)</f>
        <v>792</v>
      </c>
      <c r="H615" s="46">
        <f>IFERROR(__xludf.DUMMYFUNCTION("""COMPUTED_VALUE"""),64730.16)</f>
        <v>64730.16</v>
      </c>
      <c r="I615" s="46">
        <f>IFERROR(__xludf.DUMMYFUNCTION("""COMPUTED_VALUE"""),44882.64)</f>
        <v>44882.64</v>
      </c>
      <c r="J615" s="46">
        <f>IFERROR(__xludf.DUMMYFUNCTION("""COMPUTED_VALUE"""),19847.520000000004)</f>
        <v>19847.52</v>
      </c>
      <c r="K615" s="46" t="str">
        <f t="array" ref="K615">TEXT(D615, "mmmm")</f>
        <v>January</v>
      </c>
      <c r="M615" s="46" t="str">
        <f>IFERROR(__xludf.DUMMYFUNCTION("""COMPUTED_VALUE"""),"Norway")</f>
        <v>Norway</v>
      </c>
      <c r="N615" s="94">
        <f>IFERROR(__xludf.DUMMYFUNCTION("""COMPUTED_VALUE"""),41640.0)</f>
        <v>41640</v>
      </c>
      <c r="O615" s="46">
        <f>IFERROR(__xludf.DUMMYFUNCTION("""COMPUTED_VALUE"""),1.0)</f>
        <v>1</v>
      </c>
      <c r="P615" s="46">
        <f>IFERROR(__xludf.DUMMYFUNCTION("""COMPUTED_VALUE"""),3394.0)</f>
        <v>3394</v>
      </c>
      <c r="Q615" s="46">
        <f>IFERROR(__xludf.DUMMYFUNCTION("""COMPUTED_VALUE"""),277391.62)</f>
        <v>277391.62</v>
      </c>
      <c r="R615" s="46">
        <f>IFERROR(__xludf.DUMMYFUNCTION("""COMPUTED_VALUE"""),192337.98)</f>
        <v>192337.98</v>
      </c>
      <c r="S615" s="46">
        <f>IFERROR(__xludf.DUMMYFUNCTION("""COMPUTED_VALUE"""),85053.63999999998)</f>
        <v>85053.64</v>
      </c>
    </row>
    <row r="616">
      <c r="A616" s="46" t="str">
        <f>IFERROR(__xludf.DUMMYFUNCTION("""COMPUTED_VALUE"""),"Personal Care")</f>
        <v>Personal Care</v>
      </c>
      <c r="B616" s="46" t="str">
        <f>IFERROR(__xludf.DUMMYFUNCTION("""COMPUTED_VALUE"""),"Norway")</f>
        <v>Norway</v>
      </c>
      <c r="C616" s="46" t="str">
        <f>IFERROR(__xludf.DUMMYFUNCTION("""COMPUTED_VALUE"""),"Europe")</f>
        <v>Europe</v>
      </c>
      <c r="D616" s="90">
        <f>IFERROR(__xludf.DUMMYFUNCTION("""COMPUTED_VALUE"""),41640.0)</f>
        <v>41640</v>
      </c>
      <c r="E616" s="46">
        <f>IFERROR(__xludf.DUMMYFUNCTION("""COMPUTED_VALUE"""),2014.0)</f>
        <v>2014</v>
      </c>
      <c r="F616" s="46">
        <f>IFERROR(__xludf.DUMMYFUNCTION("""COMPUTED_VALUE"""),1.0)</f>
        <v>1</v>
      </c>
      <c r="G616" s="46">
        <f>IFERROR(__xludf.DUMMYFUNCTION("""COMPUTED_VALUE"""),3394.0)</f>
        <v>3394</v>
      </c>
      <c r="H616" s="46">
        <f>IFERROR(__xludf.DUMMYFUNCTION("""COMPUTED_VALUE"""),277391.62)</f>
        <v>277391.62</v>
      </c>
      <c r="I616" s="46">
        <f>IFERROR(__xludf.DUMMYFUNCTION("""COMPUTED_VALUE"""),192337.98)</f>
        <v>192337.98</v>
      </c>
      <c r="J616" s="46">
        <f>IFERROR(__xludf.DUMMYFUNCTION("""COMPUTED_VALUE"""),85053.63999999998)</f>
        <v>85053.64</v>
      </c>
      <c r="K616" s="46" t="str">
        <f t="array" ref="K616">TEXT(D616, "mmmm")</f>
        <v>January</v>
      </c>
      <c r="M616" s="46" t="str">
        <f>IFERROR(__xludf.DUMMYFUNCTION("""COMPUTED_VALUE"""),"Poland")</f>
        <v>Poland</v>
      </c>
      <c r="N616" s="94">
        <f>IFERROR(__xludf.DUMMYFUNCTION("""COMPUTED_VALUE"""),41640.0)</f>
        <v>41640</v>
      </c>
      <c r="O616" s="46">
        <f>IFERROR(__xludf.DUMMYFUNCTION("""COMPUTED_VALUE"""),1.0)</f>
        <v>1</v>
      </c>
      <c r="P616" s="46">
        <f>IFERROR(__xludf.DUMMYFUNCTION("""COMPUTED_VALUE"""),6348.0)</f>
        <v>6348</v>
      </c>
      <c r="Q616" s="46">
        <f>IFERROR(__xludf.DUMMYFUNCTION("""COMPUTED_VALUE"""),301212.60000000003)</f>
        <v>301212.6</v>
      </c>
      <c r="R616" s="46">
        <f>IFERROR(__xludf.DUMMYFUNCTION("""COMPUTED_VALUE"""),201802.91999999998)</f>
        <v>201802.92</v>
      </c>
      <c r="S616" s="46">
        <f>IFERROR(__xludf.DUMMYFUNCTION("""COMPUTED_VALUE"""),99409.68000000005)</f>
        <v>99409.68</v>
      </c>
    </row>
    <row r="617">
      <c r="A617" s="46" t="str">
        <f>IFERROR(__xludf.DUMMYFUNCTION("""COMPUTED_VALUE"""),"Snacks")</f>
        <v>Snacks</v>
      </c>
      <c r="B617" s="46" t="str">
        <f>IFERROR(__xludf.DUMMYFUNCTION("""COMPUTED_VALUE"""),"Italy")</f>
        <v>Italy</v>
      </c>
      <c r="C617" s="46" t="str">
        <f>IFERROR(__xludf.DUMMYFUNCTION("""COMPUTED_VALUE"""),"Europe")</f>
        <v>Europe</v>
      </c>
      <c r="D617" s="90">
        <f>IFERROR(__xludf.DUMMYFUNCTION("""COMPUTED_VALUE"""),41640.0)</f>
        <v>41640</v>
      </c>
      <c r="E617" s="46">
        <f>IFERROR(__xludf.DUMMYFUNCTION("""COMPUTED_VALUE"""),2014.0)</f>
        <v>2014</v>
      </c>
      <c r="F617" s="46">
        <f>IFERROR(__xludf.DUMMYFUNCTION("""COMPUTED_VALUE"""),1.0)</f>
        <v>1</v>
      </c>
      <c r="G617" s="46">
        <f>IFERROR(__xludf.DUMMYFUNCTION("""COMPUTED_VALUE"""),6413.0)</f>
        <v>6413</v>
      </c>
      <c r="H617" s="46">
        <f>IFERROR(__xludf.DUMMYFUNCTION("""COMPUTED_VALUE"""),978495.54)</f>
        <v>978495.54</v>
      </c>
      <c r="I617" s="46">
        <f>IFERROR(__xludf.DUMMYFUNCTION("""COMPUTED_VALUE"""),624882.72)</f>
        <v>624882.72</v>
      </c>
      <c r="J617" s="46">
        <f>IFERROR(__xludf.DUMMYFUNCTION("""COMPUTED_VALUE"""),353612.82000000007)</f>
        <v>353612.82</v>
      </c>
      <c r="K617" s="46" t="str">
        <f t="array" ref="K617">TEXT(D617, "mmmm")</f>
        <v>January</v>
      </c>
      <c r="M617" s="46" t="str">
        <f>IFERROR(__xludf.DUMMYFUNCTION("""COMPUTED_VALUE"""),"Portugal")</f>
        <v>Portugal</v>
      </c>
      <c r="N617" s="94">
        <f>IFERROR(__xludf.DUMMYFUNCTION("""COMPUTED_VALUE"""),41640.0)</f>
        <v>41640</v>
      </c>
      <c r="O617" s="46">
        <f>IFERROR(__xludf.DUMMYFUNCTION("""COMPUTED_VALUE"""),3.0)</f>
        <v>3</v>
      </c>
      <c r="P617" s="46">
        <f>IFERROR(__xludf.DUMMYFUNCTION("""COMPUTED_VALUE"""),24366.0)</f>
        <v>24366</v>
      </c>
      <c r="Q617" s="46">
        <f>IFERROR(__xludf.DUMMYFUNCTION("""COMPUTED_VALUE"""),1.3731708379999999E7)</f>
        <v>13731708.38</v>
      </c>
      <c r="R617" s="46">
        <f>IFERROR(__xludf.DUMMYFUNCTION("""COMPUTED_VALUE"""),1.1135645060000002E7)</f>
        <v>11135645.06</v>
      </c>
      <c r="S617" s="46">
        <f>IFERROR(__xludf.DUMMYFUNCTION("""COMPUTED_VALUE"""),2596063.3199999994)</f>
        <v>2596063.32</v>
      </c>
    </row>
    <row r="618">
      <c r="A618" s="46" t="str">
        <f>IFERROR(__xludf.DUMMYFUNCTION("""COMPUTED_VALUE"""),"Vegetables")</f>
        <v>Vegetables</v>
      </c>
      <c r="B618" s="46" t="str">
        <f>IFERROR(__xludf.DUMMYFUNCTION("""COMPUTED_VALUE"""),"Hungary")</f>
        <v>Hungary</v>
      </c>
      <c r="C618" s="46" t="str">
        <f>IFERROR(__xludf.DUMMYFUNCTION("""COMPUTED_VALUE"""),"Europe")</f>
        <v>Europe</v>
      </c>
      <c r="D618" s="90">
        <f>IFERROR(__xludf.DUMMYFUNCTION("""COMPUTED_VALUE"""),41640.0)</f>
        <v>41640</v>
      </c>
      <c r="E618" s="46">
        <f>IFERROR(__xludf.DUMMYFUNCTION("""COMPUTED_VALUE"""),2014.0)</f>
        <v>2014</v>
      </c>
      <c r="F618" s="46">
        <f>IFERROR(__xludf.DUMMYFUNCTION("""COMPUTED_VALUE"""),1.0)</f>
        <v>1</v>
      </c>
      <c r="G618" s="46">
        <f>IFERROR(__xludf.DUMMYFUNCTION("""COMPUTED_VALUE"""),7259.0)</f>
        <v>7259</v>
      </c>
      <c r="H618" s="46">
        <f>IFERROR(__xludf.DUMMYFUNCTION("""COMPUTED_VALUE"""),1118321.54)</f>
        <v>1118321.54</v>
      </c>
      <c r="I618" s="46">
        <f>IFERROR(__xludf.DUMMYFUNCTION("""COMPUTED_VALUE"""),660060.87)</f>
        <v>660060.87</v>
      </c>
      <c r="J618" s="46">
        <f>IFERROR(__xludf.DUMMYFUNCTION("""COMPUTED_VALUE"""),458260.67000000004)</f>
        <v>458260.67</v>
      </c>
      <c r="K618" s="46" t="str">
        <f t="array" ref="K618">TEXT(D618, "mmmm")</f>
        <v>January</v>
      </c>
      <c r="M618" s="46" t="str">
        <f>IFERROR(__xludf.DUMMYFUNCTION("""COMPUTED_VALUE"""),"Russia")</f>
        <v>Russia</v>
      </c>
      <c r="N618" s="94">
        <f>IFERROR(__xludf.DUMMYFUNCTION("""COMPUTED_VALUE"""),41640.0)</f>
        <v>41640</v>
      </c>
      <c r="O618" s="46">
        <f>IFERROR(__xludf.DUMMYFUNCTION("""COMPUTED_VALUE"""),1.0)</f>
        <v>1</v>
      </c>
      <c r="P618" s="46">
        <f>IFERROR(__xludf.DUMMYFUNCTION("""COMPUTED_VALUE"""),1293.0)</f>
        <v>1293</v>
      </c>
      <c r="Q618" s="46">
        <f>IFERROR(__xludf.DUMMYFUNCTION("""COMPUTED_VALUE"""),265970.1)</f>
        <v>265970.1</v>
      </c>
      <c r="R618" s="46">
        <f>IFERROR(__xludf.DUMMYFUNCTION("""COMPUTED_VALUE"""),151423.23)</f>
        <v>151423.23</v>
      </c>
      <c r="S618" s="46">
        <f>IFERROR(__xludf.DUMMYFUNCTION("""COMPUTED_VALUE"""),114546.86999999997)</f>
        <v>114546.87</v>
      </c>
    </row>
    <row r="619">
      <c r="A619" s="46" t="str">
        <f>IFERROR(__xludf.DUMMYFUNCTION("""COMPUTED_VALUE"""),"Beverages")</f>
        <v>Beverages</v>
      </c>
      <c r="B619" s="46" t="str">
        <f>IFERROR(__xludf.DUMMYFUNCTION("""COMPUTED_VALUE"""),"Cyprus")</f>
        <v>Cyprus</v>
      </c>
      <c r="C619" s="46" t="str">
        <f>IFERROR(__xludf.DUMMYFUNCTION("""COMPUTED_VALUE"""),"Asia")</f>
        <v>Asia</v>
      </c>
      <c r="D619" s="90">
        <f>IFERROR(__xludf.DUMMYFUNCTION("""COMPUTED_VALUE"""),41609.0)</f>
        <v>41609</v>
      </c>
      <c r="E619" s="46">
        <f>IFERROR(__xludf.DUMMYFUNCTION("""COMPUTED_VALUE"""),2013.0)</f>
        <v>2013</v>
      </c>
      <c r="F619" s="46">
        <f>IFERROR(__xludf.DUMMYFUNCTION("""COMPUTED_VALUE"""),1.0)</f>
        <v>1</v>
      </c>
      <c r="G619" s="46">
        <f>IFERROR(__xludf.DUMMYFUNCTION("""COMPUTED_VALUE"""),8383.0)</f>
        <v>8383</v>
      </c>
      <c r="H619" s="46">
        <f>IFERROR(__xludf.DUMMYFUNCTION("""COMPUTED_VALUE"""),397773.35000000003)</f>
        <v>397773.35</v>
      </c>
      <c r="I619" s="46">
        <f>IFERROR(__xludf.DUMMYFUNCTION("""COMPUTED_VALUE"""),266495.57)</f>
        <v>266495.57</v>
      </c>
      <c r="J619" s="46">
        <f>IFERROR(__xludf.DUMMYFUNCTION("""COMPUTED_VALUE"""),131277.78000000003)</f>
        <v>131277.78</v>
      </c>
      <c r="K619" s="46" t="str">
        <f t="array" ref="K619">TEXT(D619, "mmmm")</f>
        <v>December</v>
      </c>
      <c r="M619" s="46" t="str">
        <f>IFERROR(__xludf.DUMMYFUNCTION("""COMPUTED_VALUE"""),"Slovenia")</f>
        <v>Slovenia</v>
      </c>
      <c r="N619" s="94">
        <f>IFERROR(__xludf.DUMMYFUNCTION("""COMPUTED_VALUE"""),41640.0)</f>
        <v>41640</v>
      </c>
      <c r="O619" s="46">
        <f>IFERROR(__xludf.DUMMYFUNCTION("""COMPUTED_VALUE"""),1.0)</f>
        <v>1</v>
      </c>
      <c r="P619" s="46">
        <f>IFERROR(__xludf.DUMMYFUNCTION("""COMPUTED_VALUE"""),2511.0)</f>
        <v>2511</v>
      </c>
      <c r="Q619" s="46">
        <f>IFERROR(__xludf.DUMMYFUNCTION("""COMPUTED_VALUE"""),1097809.2)</f>
        <v>1097809.2</v>
      </c>
      <c r="R619" s="46">
        <f>IFERROR(__xludf.DUMMYFUNCTION("""COMPUTED_VALUE"""),661221.63)</f>
        <v>661221.63</v>
      </c>
      <c r="S619" s="46">
        <f>IFERROR(__xludf.DUMMYFUNCTION("""COMPUTED_VALUE"""),436587.56999999995)</f>
        <v>436587.57</v>
      </c>
    </row>
    <row r="620">
      <c r="A620" s="46" t="str">
        <f>IFERROR(__xludf.DUMMYFUNCTION("""COMPUTED_VALUE"""),"Cosmetics")</f>
        <v>Cosmetics</v>
      </c>
      <c r="B620" s="46" t="str">
        <f>IFERROR(__xludf.DUMMYFUNCTION("""COMPUTED_VALUE"""),"Denmark")</f>
        <v>Denmark</v>
      </c>
      <c r="C620" s="46" t="str">
        <f>IFERROR(__xludf.DUMMYFUNCTION("""COMPUTED_VALUE"""),"Europe")</f>
        <v>Europe</v>
      </c>
      <c r="D620" s="90">
        <f>IFERROR(__xludf.DUMMYFUNCTION("""COMPUTED_VALUE"""),41609.0)</f>
        <v>41609</v>
      </c>
      <c r="E620" s="46">
        <f>IFERROR(__xludf.DUMMYFUNCTION("""COMPUTED_VALUE"""),2013.0)</f>
        <v>2013</v>
      </c>
      <c r="F620" s="46">
        <f>IFERROR(__xludf.DUMMYFUNCTION("""COMPUTED_VALUE"""),1.0)</f>
        <v>1</v>
      </c>
      <c r="G620" s="46">
        <f>IFERROR(__xludf.DUMMYFUNCTION("""COMPUTED_VALUE"""),2749.0)</f>
        <v>2749</v>
      </c>
      <c r="H620" s="46">
        <f>IFERROR(__xludf.DUMMYFUNCTION("""COMPUTED_VALUE"""),1201862.8)</f>
        <v>1201862.8</v>
      </c>
      <c r="I620" s="46">
        <f>IFERROR(__xludf.DUMMYFUNCTION("""COMPUTED_VALUE"""),723894.1699999999)</f>
        <v>723894.17</v>
      </c>
      <c r="J620" s="46">
        <f>IFERROR(__xludf.DUMMYFUNCTION("""COMPUTED_VALUE"""),477968.6300000001)</f>
        <v>477968.63</v>
      </c>
      <c r="K620" s="46" t="str">
        <f t="array" ref="K620">TEXT(D620, "mmmm")</f>
        <v>December</v>
      </c>
      <c r="M620" s="46" t="str">
        <f>IFERROR(__xludf.DUMMYFUNCTION("""COMPUTED_VALUE"""),"Undefined")</f>
        <v>Undefined</v>
      </c>
      <c r="N620" s="94">
        <f>IFERROR(__xludf.DUMMYFUNCTION("""COMPUTED_VALUE"""),41640.0)</f>
        <v>41640</v>
      </c>
      <c r="O620" s="46">
        <f>IFERROR(__xludf.DUMMYFUNCTION("""COMPUTED_VALUE"""),2.0)</f>
        <v>2</v>
      </c>
      <c r="P620" s="46">
        <f>IFERROR(__xludf.DUMMYFUNCTION("""COMPUTED_VALUE"""),10363.0)</f>
        <v>10363</v>
      </c>
      <c r="Q620" s="46">
        <f>IFERROR(__xludf.DUMMYFUNCTION("""COMPUTED_VALUE"""),2645466.64)</f>
        <v>2645466.64</v>
      </c>
      <c r="R620" s="46">
        <f>IFERROR(__xludf.DUMMYFUNCTION("""COMPUTED_VALUE"""),1652069.46)</f>
        <v>1652069.46</v>
      </c>
      <c r="S620" s="46">
        <f>IFERROR(__xludf.DUMMYFUNCTION("""COMPUTED_VALUE"""),993397.1800000002)</f>
        <v>993397.18</v>
      </c>
    </row>
    <row r="621">
      <c r="A621" s="46" t="str">
        <f>IFERROR(__xludf.DUMMYFUNCTION("""COMPUTED_VALUE"""),"Fruits")</f>
        <v>Fruits</v>
      </c>
      <c r="B621" s="46" t="str">
        <f>IFERROR(__xludf.DUMMYFUNCTION("""COMPUTED_VALUE"""),"Slovenia")</f>
        <v>Slovenia</v>
      </c>
      <c r="C621" s="46" t="str">
        <f>IFERROR(__xludf.DUMMYFUNCTION("""COMPUTED_VALUE"""),"Europe")</f>
        <v>Europe</v>
      </c>
      <c r="D621" s="90">
        <f>IFERROR(__xludf.DUMMYFUNCTION("""COMPUTED_VALUE"""),41609.0)</f>
        <v>41609</v>
      </c>
      <c r="E621" s="46">
        <f>IFERROR(__xludf.DUMMYFUNCTION("""COMPUTED_VALUE"""),2013.0)</f>
        <v>2013</v>
      </c>
      <c r="F621" s="46">
        <f>IFERROR(__xludf.DUMMYFUNCTION("""COMPUTED_VALUE"""),1.0)</f>
        <v>1</v>
      </c>
      <c r="G621" s="46">
        <f>IFERROR(__xludf.DUMMYFUNCTION("""COMPUTED_VALUE"""),6225.0)</f>
        <v>6225</v>
      </c>
      <c r="H621" s="46">
        <f>IFERROR(__xludf.DUMMYFUNCTION("""COMPUTED_VALUE"""),58079.25)</f>
        <v>58079.25</v>
      </c>
      <c r="I621" s="46">
        <f>IFERROR(__xludf.DUMMYFUNCTION("""COMPUTED_VALUE"""),43077.0)</f>
        <v>43077</v>
      </c>
      <c r="J621" s="46">
        <f>IFERROR(__xludf.DUMMYFUNCTION("""COMPUTED_VALUE"""),15002.25)</f>
        <v>15002.25</v>
      </c>
      <c r="K621" s="46" t="str">
        <f t="array" ref="K621">TEXT(D621, "mmmm")</f>
        <v>December</v>
      </c>
      <c r="M621" s="46" t="str">
        <f>IFERROR(__xludf.DUMMYFUNCTION("""COMPUTED_VALUE"""),"Bulgaria")</f>
        <v>Bulgaria</v>
      </c>
      <c r="N621" s="94">
        <f>IFERROR(__xludf.DUMMYFUNCTION("""COMPUTED_VALUE"""),41671.0)</f>
        <v>41671</v>
      </c>
      <c r="O621" s="46">
        <f>IFERROR(__xludf.DUMMYFUNCTION("""COMPUTED_VALUE"""),1.0)</f>
        <v>1</v>
      </c>
      <c r="P621" s="46">
        <f>IFERROR(__xludf.DUMMYFUNCTION("""COMPUTED_VALUE"""),3391.0)</f>
        <v>3391</v>
      </c>
      <c r="Q621" s="46">
        <f>IFERROR(__xludf.DUMMYFUNCTION("""COMPUTED_VALUE"""),2208253.1100000003)</f>
        <v>2208253.11</v>
      </c>
      <c r="R621" s="46">
        <f>IFERROR(__xludf.DUMMYFUNCTION("""COMPUTED_VALUE"""),1780139.36)</f>
        <v>1780139.36</v>
      </c>
      <c r="S621" s="46">
        <f>IFERROR(__xludf.DUMMYFUNCTION("""COMPUTED_VALUE"""),428113.75000000023)</f>
        <v>428113.75</v>
      </c>
    </row>
    <row r="622">
      <c r="A622" s="46" t="str">
        <f>IFERROR(__xludf.DUMMYFUNCTION("""COMPUTED_VALUE"""),"Meat")</f>
        <v>Meat</v>
      </c>
      <c r="B622" s="46" t="str">
        <f>IFERROR(__xludf.DUMMYFUNCTION("""COMPUTED_VALUE"""),"Macedonia")</f>
        <v>Macedonia</v>
      </c>
      <c r="C622" s="46" t="str">
        <f>IFERROR(__xludf.DUMMYFUNCTION("""COMPUTED_VALUE"""),"Europe")</f>
        <v>Europe</v>
      </c>
      <c r="D622" s="90">
        <f>IFERROR(__xludf.DUMMYFUNCTION("""COMPUTED_VALUE"""),41609.0)</f>
        <v>41609</v>
      </c>
      <c r="E622" s="46">
        <f>IFERROR(__xludf.DUMMYFUNCTION("""COMPUTED_VALUE"""),2013.0)</f>
        <v>2013</v>
      </c>
      <c r="F622" s="46">
        <f>IFERROR(__xludf.DUMMYFUNCTION("""COMPUTED_VALUE"""),1.0)</f>
        <v>1</v>
      </c>
      <c r="G622" s="46">
        <f>IFERROR(__xludf.DUMMYFUNCTION("""COMPUTED_VALUE"""),5928.0)</f>
        <v>5928</v>
      </c>
      <c r="H622" s="46">
        <f>IFERROR(__xludf.DUMMYFUNCTION("""COMPUTED_VALUE"""),2500963.92)</f>
        <v>2500963.92</v>
      </c>
      <c r="I622" s="46">
        <f>IFERROR(__xludf.DUMMYFUNCTION("""COMPUTED_VALUE"""),2161882.32)</f>
        <v>2161882.32</v>
      </c>
      <c r="J622" s="46">
        <f>IFERROR(__xludf.DUMMYFUNCTION("""COMPUTED_VALUE"""),339081.6000000001)</f>
        <v>339081.6</v>
      </c>
      <c r="K622" s="46" t="str">
        <f t="array" ref="K622">TEXT(D622, "mmmm")</f>
        <v>December</v>
      </c>
      <c r="M622" s="46" t="str">
        <f>IFERROR(__xludf.DUMMYFUNCTION("""COMPUTED_VALUE"""),"France")</f>
        <v>France</v>
      </c>
      <c r="N622" s="94">
        <f>IFERROR(__xludf.DUMMYFUNCTION("""COMPUTED_VALUE"""),41671.0)</f>
        <v>41671</v>
      </c>
      <c r="O622" s="46">
        <f>IFERROR(__xludf.DUMMYFUNCTION("""COMPUTED_VALUE"""),1.0)</f>
        <v>1</v>
      </c>
      <c r="P622" s="46">
        <f>IFERROR(__xludf.DUMMYFUNCTION("""COMPUTED_VALUE"""),493.0)</f>
        <v>493</v>
      </c>
      <c r="Q622" s="46">
        <f>IFERROR(__xludf.DUMMYFUNCTION("""COMPUTED_VALUE"""),4599.69)</f>
        <v>4599.69</v>
      </c>
      <c r="R622" s="46">
        <f>IFERROR(__xludf.DUMMYFUNCTION("""COMPUTED_VALUE"""),3411.56)</f>
        <v>3411.56</v>
      </c>
      <c r="S622" s="46">
        <f>IFERROR(__xludf.DUMMYFUNCTION("""COMPUTED_VALUE"""),1188.1299999999997)</f>
        <v>1188.13</v>
      </c>
    </row>
    <row r="623">
      <c r="A623" s="46" t="str">
        <f>IFERROR(__xludf.DUMMYFUNCTION("""COMPUTED_VALUE"""),"Meat")</f>
        <v>Meat</v>
      </c>
      <c r="B623" s="46" t="str">
        <f>IFERROR(__xludf.DUMMYFUNCTION("""COMPUTED_VALUE"""),"Undefined")</f>
        <v>Undefined</v>
      </c>
      <c r="C623" s="46" t="str">
        <f>IFERROR(__xludf.DUMMYFUNCTION("""COMPUTED_VALUE"""),"Undefined")</f>
        <v>Undefined</v>
      </c>
      <c r="D623" s="90">
        <f>IFERROR(__xludf.DUMMYFUNCTION("""COMPUTED_VALUE"""),41609.0)</f>
        <v>41609</v>
      </c>
      <c r="E623" s="46">
        <f>IFERROR(__xludf.DUMMYFUNCTION("""COMPUTED_VALUE"""),2013.0)</f>
        <v>2013</v>
      </c>
      <c r="F623" s="46">
        <f>IFERROR(__xludf.DUMMYFUNCTION("""COMPUTED_VALUE"""),1.0)</f>
        <v>1</v>
      </c>
      <c r="G623" s="46">
        <f>IFERROR(__xludf.DUMMYFUNCTION("""COMPUTED_VALUE"""),7302.0)</f>
        <v>7302</v>
      </c>
      <c r="H623" s="46">
        <f>IFERROR(__xludf.DUMMYFUNCTION("""COMPUTED_VALUE"""),3080640.78)</f>
        <v>3080640.78</v>
      </c>
      <c r="I623" s="46">
        <f>IFERROR(__xludf.DUMMYFUNCTION("""COMPUTED_VALUE"""),2662966.38)</f>
        <v>2662966.38</v>
      </c>
      <c r="J623" s="46">
        <f>IFERROR(__xludf.DUMMYFUNCTION("""COMPUTED_VALUE"""),417674.3999999999)</f>
        <v>417674.4</v>
      </c>
      <c r="K623" s="46" t="str">
        <f t="array" ref="K623">TEXT(D623, "mmmm")</f>
        <v>December</v>
      </c>
      <c r="M623" s="46" t="str">
        <f>IFERROR(__xludf.DUMMYFUNCTION("""COMPUTED_VALUE"""),"Italy")</f>
        <v>Italy</v>
      </c>
      <c r="N623" s="94">
        <f>IFERROR(__xludf.DUMMYFUNCTION("""COMPUTED_VALUE"""),41671.0)</f>
        <v>41671</v>
      </c>
      <c r="O623" s="46">
        <f>IFERROR(__xludf.DUMMYFUNCTION("""COMPUTED_VALUE"""),1.0)</f>
        <v>1</v>
      </c>
      <c r="P623" s="46">
        <f>IFERROR(__xludf.DUMMYFUNCTION("""COMPUTED_VALUE"""),7837.0)</f>
        <v>7837</v>
      </c>
      <c r="Q623" s="46">
        <f>IFERROR(__xludf.DUMMYFUNCTION("""COMPUTED_VALUE"""),73119.21)</f>
        <v>73119.21</v>
      </c>
      <c r="R623" s="46">
        <f>IFERROR(__xludf.DUMMYFUNCTION("""COMPUTED_VALUE"""),54232.04)</f>
        <v>54232.04</v>
      </c>
      <c r="S623" s="46">
        <f>IFERROR(__xludf.DUMMYFUNCTION("""COMPUTED_VALUE"""),18887.170000000006)</f>
        <v>18887.17</v>
      </c>
    </row>
    <row r="624">
      <c r="A624" s="46" t="str">
        <f>IFERROR(__xludf.DUMMYFUNCTION("""COMPUTED_VALUE"""),"Office Supplies")</f>
        <v>Office Supplies</v>
      </c>
      <c r="B624" s="46" t="str">
        <f>IFERROR(__xludf.DUMMYFUNCTION("""COMPUTED_VALUE"""),"Germany")</f>
        <v>Germany</v>
      </c>
      <c r="C624" s="46" t="str">
        <f>IFERROR(__xludf.DUMMYFUNCTION("""COMPUTED_VALUE"""),"Europe")</f>
        <v>Europe</v>
      </c>
      <c r="D624" s="90">
        <f>IFERROR(__xludf.DUMMYFUNCTION("""COMPUTED_VALUE"""),41609.0)</f>
        <v>41609</v>
      </c>
      <c r="E624" s="46">
        <f>IFERROR(__xludf.DUMMYFUNCTION("""COMPUTED_VALUE"""),2013.0)</f>
        <v>2013</v>
      </c>
      <c r="F624" s="46">
        <f>IFERROR(__xludf.DUMMYFUNCTION("""COMPUTED_VALUE"""),1.0)</f>
        <v>1</v>
      </c>
      <c r="G624" s="46">
        <f>IFERROR(__xludf.DUMMYFUNCTION("""COMPUTED_VALUE"""),9044.0)</f>
        <v>9044</v>
      </c>
      <c r="H624" s="46">
        <f>IFERROR(__xludf.DUMMYFUNCTION("""COMPUTED_VALUE"""),5889543.24)</f>
        <v>5889543.24</v>
      </c>
      <c r="I624" s="46">
        <f>IFERROR(__xludf.DUMMYFUNCTION("""COMPUTED_VALUE"""),4747738.24)</f>
        <v>4747738.24</v>
      </c>
      <c r="J624" s="46">
        <f>IFERROR(__xludf.DUMMYFUNCTION("""COMPUTED_VALUE"""),1141805.0)</f>
        <v>1141805</v>
      </c>
      <c r="K624" s="46" t="str">
        <f t="array" ref="K624">TEXT(D624, "mmmm")</f>
        <v>December</v>
      </c>
      <c r="M624" s="46" t="str">
        <f>IFERROR(__xludf.DUMMYFUNCTION("""COMPUTED_VALUE"""),"Liechtenstein")</f>
        <v>Liechtenstein</v>
      </c>
      <c r="N624" s="94">
        <f>IFERROR(__xludf.DUMMYFUNCTION("""COMPUTED_VALUE"""),41671.0)</f>
        <v>41671</v>
      </c>
      <c r="O624" s="46">
        <f>IFERROR(__xludf.DUMMYFUNCTION("""COMPUTED_VALUE"""),1.0)</f>
        <v>1</v>
      </c>
      <c r="P624" s="46">
        <f>IFERROR(__xludf.DUMMYFUNCTION("""COMPUTED_VALUE"""),888.0)</f>
        <v>888</v>
      </c>
      <c r="Q624" s="46">
        <f>IFERROR(__xludf.DUMMYFUNCTION("""COMPUTED_VALUE"""),8285.04)</f>
        <v>8285.04</v>
      </c>
      <c r="R624" s="46">
        <f>IFERROR(__xludf.DUMMYFUNCTION("""COMPUTED_VALUE"""),6144.96)</f>
        <v>6144.96</v>
      </c>
      <c r="S624" s="46">
        <f>IFERROR(__xludf.DUMMYFUNCTION("""COMPUTED_VALUE"""),2140.080000000001)</f>
        <v>2140.08</v>
      </c>
    </row>
    <row r="625">
      <c r="A625" s="46" t="str">
        <f>IFERROR(__xludf.DUMMYFUNCTION("""COMPUTED_VALUE"""),"Personal Care")</f>
        <v>Personal Care</v>
      </c>
      <c r="B625" s="46" t="str">
        <f>IFERROR(__xludf.DUMMYFUNCTION("""COMPUTED_VALUE"""),"Spain")</f>
        <v>Spain</v>
      </c>
      <c r="C625" s="46" t="str">
        <f>IFERROR(__xludf.DUMMYFUNCTION("""COMPUTED_VALUE"""),"Europe")</f>
        <v>Europe</v>
      </c>
      <c r="D625" s="90">
        <f>IFERROR(__xludf.DUMMYFUNCTION("""COMPUTED_VALUE"""),41609.0)</f>
        <v>41609</v>
      </c>
      <c r="E625" s="46">
        <f>IFERROR(__xludf.DUMMYFUNCTION("""COMPUTED_VALUE"""),2013.0)</f>
        <v>2013</v>
      </c>
      <c r="F625" s="46">
        <f>IFERROR(__xludf.DUMMYFUNCTION("""COMPUTED_VALUE"""),1.0)</f>
        <v>1</v>
      </c>
      <c r="G625" s="46">
        <f>IFERROR(__xludf.DUMMYFUNCTION("""COMPUTED_VALUE"""),2666.0)</f>
        <v>2666</v>
      </c>
      <c r="H625" s="46">
        <f>IFERROR(__xludf.DUMMYFUNCTION("""COMPUTED_VALUE"""),217892.18000000002)</f>
        <v>217892.18</v>
      </c>
      <c r="I625" s="46">
        <f>IFERROR(__xludf.DUMMYFUNCTION("""COMPUTED_VALUE"""),151082.22)</f>
        <v>151082.22</v>
      </c>
      <c r="J625" s="46">
        <f>IFERROR(__xludf.DUMMYFUNCTION("""COMPUTED_VALUE"""),66809.96000000002)</f>
        <v>66809.96</v>
      </c>
      <c r="K625" s="46" t="str">
        <f t="array" ref="K625">TEXT(D625, "mmmm")</f>
        <v>December</v>
      </c>
      <c r="M625" s="46" t="str">
        <f>IFERROR(__xludf.DUMMYFUNCTION("""COMPUTED_VALUE"""),"Lithuania")</f>
        <v>Lithuania</v>
      </c>
      <c r="N625" s="94">
        <f>IFERROR(__xludf.DUMMYFUNCTION("""COMPUTED_VALUE"""),41671.0)</f>
        <v>41671</v>
      </c>
      <c r="O625" s="46">
        <f>IFERROR(__xludf.DUMMYFUNCTION("""COMPUTED_VALUE"""),1.0)</f>
        <v>1</v>
      </c>
      <c r="P625" s="46">
        <f>IFERROR(__xludf.DUMMYFUNCTION("""COMPUTED_VALUE"""),5086.0)</f>
        <v>5086</v>
      </c>
      <c r="Q625" s="46">
        <f>IFERROR(__xludf.DUMMYFUNCTION("""COMPUTED_VALUE"""),1046190.2)</f>
        <v>1046190.2</v>
      </c>
      <c r="R625" s="46">
        <f>IFERROR(__xludf.DUMMYFUNCTION("""COMPUTED_VALUE"""),595621.46)</f>
        <v>595621.46</v>
      </c>
      <c r="S625" s="46">
        <f>IFERROR(__xludf.DUMMYFUNCTION("""COMPUTED_VALUE"""),450568.74)</f>
        <v>450568.74</v>
      </c>
    </row>
    <row r="626">
      <c r="A626" s="46" t="str">
        <f>IFERROR(__xludf.DUMMYFUNCTION("""COMPUTED_VALUE"""),"Personal Care")</f>
        <v>Personal Care</v>
      </c>
      <c r="B626" s="46" t="str">
        <f>IFERROR(__xludf.DUMMYFUNCTION("""COMPUTED_VALUE"""),"United Kingdom")</f>
        <v>United Kingdom</v>
      </c>
      <c r="C626" s="46" t="str">
        <f>IFERROR(__xludf.DUMMYFUNCTION("""COMPUTED_VALUE"""),"Europe")</f>
        <v>Europe</v>
      </c>
      <c r="D626" s="90">
        <f>IFERROR(__xludf.DUMMYFUNCTION("""COMPUTED_VALUE"""),41609.0)</f>
        <v>41609</v>
      </c>
      <c r="E626" s="46">
        <f>IFERROR(__xludf.DUMMYFUNCTION("""COMPUTED_VALUE"""),2013.0)</f>
        <v>2013</v>
      </c>
      <c r="F626" s="46">
        <f>IFERROR(__xludf.DUMMYFUNCTION("""COMPUTED_VALUE"""),1.0)</f>
        <v>1</v>
      </c>
      <c r="G626" s="46">
        <f>IFERROR(__xludf.DUMMYFUNCTION("""COMPUTED_VALUE"""),9999.0)</f>
        <v>9999</v>
      </c>
      <c r="H626" s="46">
        <f>IFERROR(__xludf.DUMMYFUNCTION("""COMPUTED_VALUE"""),817218.27)</f>
        <v>817218.27</v>
      </c>
      <c r="I626" s="46">
        <f>IFERROR(__xludf.DUMMYFUNCTION("""COMPUTED_VALUE"""),566643.3300000001)</f>
        <v>566643.33</v>
      </c>
      <c r="J626" s="46">
        <f>IFERROR(__xludf.DUMMYFUNCTION("""COMPUTED_VALUE"""),250574.93999999994)</f>
        <v>250574.94</v>
      </c>
      <c r="K626" s="46" t="str">
        <f t="array" ref="K626">TEXT(D626, "mmmm")</f>
        <v>December</v>
      </c>
      <c r="M626" s="46" t="str">
        <f>IFERROR(__xludf.DUMMYFUNCTION("""COMPUTED_VALUE"""),"Malta")</f>
        <v>Malta</v>
      </c>
      <c r="N626" s="94">
        <f>IFERROR(__xludf.DUMMYFUNCTION("""COMPUTED_VALUE"""),41671.0)</f>
        <v>41671</v>
      </c>
      <c r="O626" s="46">
        <f>IFERROR(__xludf.DUMMYFUNCTION("""COMPUTED_VALUE"""),1.0)</f>
        <v>1</v>
      </c>
      <c r="P626" s="46">
        <f>IFERROR(__xludf.DUMMYFUNCTION("""COMPUTED_VALUE"""),3975.0)</f>
        <v>3975</v>
      </c>
      <c r="Q626" s="46">
        <f>IFERROR(__xludf.DUMMYFUNCTION("""COMPUTED_VALUE"""),324876.75)</f>
        <v>324876.75</v>
      </c>
      <c r="R626" s="46">
        <f>IFERROR(__xludf.DUMMYFUNCTION("""COMPUTED_VALUE"""),225263.25)</f>
        <v>225263.25</v>
      </c>
      <c r="S626" s="46">
        <f>IFERROR(__xludf.DUMMYFUNCTION("""COMPUTED_VALUE"""),99613.5)</f>
        <v>99613.5</v>
      </c>
    </row>
    <row r="627">
      <c r="A627" s="46" t="str">
        <f>IFERROR(__xludf.DUMMYFUNCTION("""COMPUTED_VALUE"""),"Vegetables")</f>
        <v>Vegetables</v>
      </c>
      <c r="B627" s="46" t="str">
        <f>IFERROR(__xludf.DUMMYFUNCTION("""COMPUTED_VALUE"""),"Andorra")</f>
        <v>Andorra</v>
      </c>
      <c r="C627" s="46" t="str">
        <f>IFERROR(__xludf.DUMMYFUNCTION("""COMPUTED_VALUE"""),"Europe")</f>
        <v>Europe</v>
      </c>
      <c r="D627" s="90">
        <f>IFERROR(__xludf.DUMMYFUNCTION("""COMPUTED_VALUE"""),41609.0)</f>
        <v>41609</v>
      </c>
      <c r="E627" s="46">
        <f>IFERROR(__xludf.DUMMYFUNCTION("""COMPUTED_VALUE"""),2013.0)</f>
        <v>2013</v>
      </c>
      <c r="F627" s="46">
        <f>IFERROR(__xludf.DUMMYFUNCTION("""COMPUTED_VALUE"""),1.0)</f>
        <v>1</v>
      </c>
      <c r="G627" s="46">
        <f>IFERROR(__xludf.DUMMYFUNCTION("""COMPUTED_VALUE"""),653.0)</f>
        <v>653</v>
      </c>
      <c r="H627" s="46">
        <f>IFERROR(__xludf.DUMMYFUNCTION("""COMPUTED_VALUE"""),100601.18000000001)</f>
        <v>100601.18</v>
      </c>
      <c r="I627" s="46">
        <f>IFERROR(__xludf.DUMMYFUNCTION("""COMPUTED_VALUE"""),59377.29)</f>
        <v>59377.29</v>
      </c>
      <c r="J627" s="46">
        <f>IFERROR(__xludf.DUMMYFUNCTION("""COMPUTED_VALUE"""),41223.89000000001)</f>
        <v>41223.89</v>
      </c>
      <c r="K627" s="46" t="str">
        <f t="array" ref="K627">TEXT(D627, "mmmm")</f>
        <v>December</v>
      </c>
      <c r="M627" s="46" t="str">
        <f>IFERROR(__xludf.DUMMYFUNCTION("""COMPUTED_VALUE"""),"Poland")</f>
        <v>Poland</v>
      </c>
      <c r="N627" s="94">
        <f>IFERROR(__xludf.DUMMYFUNCTION("""COMPUTED_VALUE"""),41671.0)</f>
        <v>41671</v>
      </c>
      <c r="O627" s="46">
        <f>IFERROR(__xludf.DUMMYFUNCTION("""COMPUTED_VALUE"""),1.0)</f>
        <v>1</v>
      </c>
      <c r="P627" s="46">
        <f>IFERROR(__xludf.DUMMYFUNCTION("""COMPUTED_VALUE"""),5191.0)</f>
        <v>5191</v>
      </c>
      <c r="Q627" s="46">
        <f>IFERROR(__xludf.DUMMYFUNCTION("""COMPUTED_VALUE"""),1067788.7)</f>
        <v>1067788.7</v>
      </c>
      <c r="R627" s="46">
        <f>IFERROR(__xludf.DUMMYFUNCTION("""COMPUTED_VALUE"""),607918.01)</f>
        <v>607918.01</v>
      </c>
      <c r="S627" s="46">
        <f>IFERROR(__xludf.DUMMYFUNCTION("""COMPUTED_VALUE"""),459870.68999999994)</f>
        <v>459870.69</v>
      </c>
    </row>
    <row r="628">
      <c r="A628" s="46" t="str">
        <f>IFERROR(__xludf.DUMMYFUNCTION("""COMPUTED_VALUE"""),"Baby Food")</f>
        <v>Baby Food</v>
      </c>
      <c r="B628" s="46" t="str">
        <f>IFERROR(__xludf.DUMMYFUNCTION("""COMPUTED_VALUE"""),"Germany")</f>
        <v>Germany</v>
      </c>
      <c r="C628" s="46" t="str">
        <f>IFERROR(__xludf.DUMMYFUNCTION("""COMPUTED_VALUE"""),"Europe")</f>
        <v>Europe</v>
      </c>
      <c r="D628" s="90">
        <f>IFERROR(__xludf.DUMMYFUNCTION("""COMPUTED_VALUE"""),41579.0)</f>
        <v>41579</v>
      </c>
      <c r="E628" s="46">
        <f>IFERROR(__xludf.DUMMYFUNCTION("""COMPUTED_VALUE"""),2013.0)</f>
        <v>2013</v>
      </c>
      <c r="F628" s="46">
        <f>IFERROR(__xludf.DUMMYFUNCTION("""COMPUTED_VALUE"""),1.0)</f>
        <v>1</v>
      </c>
      <c r="G628" s="46">
        <f>IFERROR(__xludf.DUMMYFUNCTION("""COMPUTED_VALUE"""),7644.0)</f>
        <v>7644</v>
      </c>
      <c r="H628" s="46">
        <f>IFERROR(__xludf.DUMMYFUNCTION("""COMPUTED_VALUE"""),1951360.32)</f>
        <v>1951360.32</v>
      </c>
      <c r="I628" s="46">
        <f>IFERROR(__xludf.DUMMYFUNCTION("""COMPUTED_VALUE"""),1218606.48)</f>
        <v>1218606.48</v>
      </c>
      <c r="J628" s="46">
        <f>IFERROR(__xludf.DUMMYFUNCTION("""COMPUTED_VALUE"""),732753.8400000001)</f>
        <v>732753.84</v>
      </c>
      <c r="K628" s="46" t="str">
        <f t="array" ref="K628">TEXT(D628, "mmmm")</f>
        <v>November</v>
      </c>
      <c r="M628" s="46" t="str">
        <f>IFERROR(__xludf.DUMMYFUNCTION("""COMPUTED_VALUE"""),"Serbia")</f>
        <v>Serbia</v>
      </c>
      <c r="N628" s="94">
        <f>IFERROR(__xludf.DUMMYFUNCTION("""COMPUTED_VALUE"""),41671.0)</f>
        <v>41671</v>
      </c>
      <c r="O628" s="46">
        <f>IFERROR(__xludf.DUMMYFUNCTION("""COMPUTED_VALUE"""),1.0)</f>
        <v>1</v>
      </c>
      <c r="P628" s="46">
        <f>IFERROR(__xludf.DUMMYFUNCTION("""COMPUTED_VALUE"""),4780.0)</f>
        <v>4780</v>
      </c>
      <c r="Q628" s="46">
        <f>IFERROR(__xludf.DUMMYFUNCTION("""COMPUTED_VALUE"""),1220238.4)</f>
        <v>1220238.4</v>
      </c>
      <c r="R628" s="46">
        <f>IFERROR(__xludf.DUMMYFUNCTION("""COMPUTED_VALUE"""),762027.6)</f>
        <v>762027.6</v>
      </c>
      <c r="S628" s="46">
        <f>IFERROR(__xludf.DUMMYFUNCTION("""COMPUTED_VALUE"""),458210.79999999993)</f>
        <v>458210.8</v>
      </c>
    </row>
    <row r="629">
      <c r="A629" s="46" t="str">
        <f>IFERROR(__xludf.DUMMYFUNCTION("""COMPUTED_VALUE"""),"Baby Food")</f>
        <v>Baby Food</v>
      </c>
      <c r="B629" s="46" t="str">
        <f>IFERROR(__xludf.DUMMYFUNCTION("""COMPUTED_VALUE"""),"Liechtenstein")</f>
        <v>Liechtenstein</v>
      </c>
      <c r="C629" s="46" t="str">
        <f>IFERROR(__xludf.DUMMYFUNCTION("""COMPUTED_VALUE"""),"Europe")</f>
        <v>Europe</v>
      </c>
      <c r="D629" s="90">
        <f>IFERROR(__xludf.DUMMYFUNCTION("""COMPUTED_VALUE"""),41579.0)</f>
        <v>41579</v>
      </c>
      <c r="E629" s="46">
        <f>IFERROR(__xludf.DUMMYFUNCTION("""COMPUTED_VALUE"""),2013.0)</f>
        <v>2013</v>
      </c>
      <c r="F629" s="46">
        <f>IFERROR(__xludf.DUMMYFUNCTION("""COMPUTED_VALUE"""),1.0)</f>
        <v>1</v>
      </c>
      <c r="G629" s="46">
        <f>IFERROR(__xludf.DUMMYFUNCTION("""COMPUTED_VALUE"""),1212.0)</f>
        <v>1212</v>
      </c>
      <c r="H629" s="46">
        <f>IFERROR(__xludf.DUMMYFUNCTION("""COMPUTED_VALUE"""),309399.36)</f>
        <v>309399.36</v>
      </c>
      <c r="I629" s="46">
        <f>IFERROR(__xludf.DUMMYFUNCTION("""COMPUTED_VALUE"""),193217.03999999998)</f>
        <v>193217.04</v>
      </c>
      <c r="J629" s="46">
        <f>IFERROR(__xludf.DUMMYFUNCTION("""COMPUTED_VALUE"""),116182.32)</f>
        <v>116182.32</v>
      </c>
      <c r="K629" s="46" t="str">
        <f t="array" ref="K629">TEXT(D629, "mmmm")</f>
        <v>November</v>
      </c>
      <c r="M629" s="46" t="str">
        <f>IFERROR(__xludf.DUMMYFUNCTION("""COMPUTED_VALUE"""),"Ukraine")</f>
        <v>Ukraine</v>
      </c>
      <c r="N629" s="94">
        <f>IFERROR(__xludf.DUMMYFUNCTION("""COMPUTED_VALUE"""),41671.0)</f>
        <v>41671</v>
      </c>
      <c r="O629" s="46">
        <f>IFERROR(__xludf.DUMMYFUNCTION("""COMPUTED_VALUE"""),1.0)</f>
        <v>1</v>
      </c>
      <c r="P629" s="46">
        <f>IFERROR(__xludf.DUMMYFUNCTION("""COMPUTED_VALUE"""),3403.0)</f>
        <v>3403</v>
      </c>
      <c r="Q629" s="46">
        <f>IFERROR(__xludf.DUMMYFUNCTION("""COMPUTED_VALUE"""),161472.35)</f>
        <v>161472.35</v>
      </c>
      <c r="R629" s="46">
        <f>IFERROR(__xludf.DUMMYFUNCTION("""COMPUTED_VALUE"""),108181.37)</f>
        <v>108181.37</v>
      </c>
      <c r="S629" s="46">
        <f>IFERROR(__xludf.DUMMYFUNCTION("""COMPUTED_VALUE"""),53290.98000000001)</f>
        <v>53290.98</v>
      </c>
    </row>
    <row r="630">
      <c r="A630" s="46" t="str">
        <f>IFERROR(__xludf.DUMMYFUNCTION("""COMPUTED_VALUE"""),"Beverages")</f>
        <v>Beverages</v>
      </c>
      <c r="B630" s="46" t="str">
        <f>IFERROR(__xludf.DUMMYFUNCTION("""COMPUTED_VALUE"""),"Latvia")</f>
        <v>Latvia</v>
      </c>
      <c r="C630" s="46" t="str">
        <f>IFERROR(__xludf.DUMMYFUNCTION("""COMPUTED_VALUE"""),"Europe")</f>
        <v>Europe</v>
      </c>
      <c r="D630" s="90">
        <f>IFERROR(__xludf.DUMMYFUNCTION("""COMPUTED_VALUE"""),41579.0)</f>
        <v>41579</v>
      </c>
      <c r="E630" s="46">
        <f>IFERROR(__xludf.DUMMYFUNCTION("""COMPUTED_VALUE"""),2013.0)</f>
        <v>2013</v>
      </c>
      <c r="F630" s="46">
        <f>IFERROR(__xludf.DUMMYFUNCTION("""COMPUTED_VALUE"""),1.0)</f>
        <v>1</v>
      </c>
      <c r="G630" s="46">
        <f>IFERROR(__xludf.DUMMYFUNCTION("""COMPUTED_VALUE"""),4723.0)</f>
        <v>4723</v>
      </c>
      <c r="H630" s="46">
        <f>IFERROR(__xludf.DUMMYFUNCTION("""COMPUTED_VALUE"""),224106.35)</f>
        <v>224106.35</v>
      </c>
      <c r="I630" s="46">
        <f>IFERROR(__xludf.DUMMYFUNCTION("""COMPUTED_VALUE"""),150144.16999999998)</f>
        <v>150144.17</v>
      </c>
      <c r="J630" s="46">
        <f>IFERROR(__xludf.DUMMYFUNCTION("""COMPUTED_VALUE"""),73962.18000000002)</f>
        <v>73962.18</v>
      </c>
      <c r="K630" s="46" t="str">
        <f t="array" ref="K630">TEXT(D630, "mmmm")</f>
        <v>November</v>
      </c>
      <c r="M630" s="46" t="str">
        <f>IFERROR(__xludf.DUMMYFUNCTION("""COMPUTED_VALUE"""),"Undefined")</f>
        <v>Undefined</v>
      </c>
      <c r="N630" s="94">
        <f>IFERROR(__xludf.DUMMYFUNCTION("""COMPUTED_VALUE"""),41671.0)</f>
        <v>41671</v>
      </c>
      <c r="O630" s="46">
        <f>IFERROR(__xludf.DUMMYFUNCTION("""COMPUTED_VALUE"""),1.0)</f>
        <v>1</v>
      </c>
      <c r="P630" s="46">
        <f>IFERROR(__xludf.DUMMYFUNCTION("""COMPUTED_VALUE"""),6605.0)</f>
        <v>6605</v>
      </c>
      <c r="Q630" s="46">
        <f>IFERROR(__xludf.DUMMYFUNCTION("""COMPUTED_VALUE"""),539826.65)</f>
        <v>539826.65</v>
      </c>
      <c r="R630" s="46">
        <f>IFERROR(__xludf.DUMMYFUNCTION("""COMPUTED_VALUE"""),374305.35000000003)</f>
        <v>374305.35</v>
      </c>
      <c r="S630" s="46">
        <f>IFERROR(__xludf.DUMMYFUNCTION("""COMPUTED_VALUE"""),165521.3)</f>
        <v>165521.3</v>
      </c>
    </row>
    <row r="631">
      <c r="A631" s="46" t="str">
        <f>IFERROR(__xludf.DUMMYFUNCTION("""COMPUTED_VALUE"""),"Beverages")</f>
        <v>Beverages</v>
      </c>
      <c r="B631" s="46" t="str">
        <f>IFERROR(__xludf.DUMMYFUNCTION("""COMPUTED_VALUE"""),"Undefined")</f>
        <v>Undefined</v>
      </c>
      <c r="C631" s="46" t="str">
        <f>IFERROR(__xludf.DUMMYFUNCTION("""COMPUTED_VALUE"""),"Undefined")</f>
        <v>Undefined</v>
      </c>
      <c r="D631" s="90">
        <f>IFERROR(__xludf.DUMMYFUNCTION("""COMPUTED_VALUE"""),41579.0)</f>
        <v>41579</v>
      </c>
      <c r="E631" s="46">
        <f>IFERROR(__xludf.DUMMYFUNCTION("""COMPUTED_VALUE"""),2013.0)</f>
        <v>2013</v>
      </c>
      <c r="F631" s="46">
        <f>IFERROR(__xludf.DUMMYFUNCTION("""COMPUTED_VALUE"""),1.0)</f>
        <v>1</v>
      </c>
      <c r="G631" s="46">
        <f>IFERROR(__xludf.DUMMYFUNCTION("""COMPUTED_VALUE"""),389.0)</f>
        <v>389</v>
      </c>
      <c r="H631" s="46">
        <f>IFERROR(__xludf.DUMMYFUNCTION("""COMPUTED_VALUE"""),18458.050000000003)</f>
        <v>18458.05</v>
      </c>
      <c r="I631" s="46">
        <f>IFERROR(__xludf.DUMMYFUNCTION("""COMPUTED_VALUE"""),12366.31)</f>
        <v>12366.31</v>
      </c>
      <c r="J631" s="46">
        <f>IFERROR(__xludf.DUMMYFUNCTION("""COMPUTED_VALUE"""),6091.740000000003)</f>
        <v>6091.74</v>
      </c>
      <c r="K631" s="46" t="str">
        <f t="array" ref="K631">TEXT(D631, "mmmm")</f>
        <v>November</v>
      </c>
      <c r="M631" s="46" t="str">
        <f>IFERROR(__xludf.DUMMYFUNCTION("""COMPUTED_VALUE"""),"Andorra")</f>
        <v>Andorra</v>
      </c>
      <c r="N631" s="94">
        <f>IFERROR(__xludf.DUMMYFUNCTION("""COMPUTED_VALUE"""),41699.0)</f>
        <v>41699</v>
      </c>
      <c r="O631" s="46">
        <f>IFERROR(__xludf.DUMMYFUNCTION("""COMPUTED_VALUE"""),1.0)</f>
        <v>1</v>
      </c>
      <c r="P631" s="46">
        <f>IFERROR(__xludf.DUMMYFUNCTION("""COMPUTED_VALUE"""),3020.0)</f>
        <v>3020</v>
      </c>
      <c r="Q631" s="46">
        <f>IFERROR(__xludf.DUMMYFUNCTION("""COMPUTED_VALUE"""),1966654.2000000002)</f>
        <v>1966654.2</v>
      </c>
      <c r="R631" s="46">
        <f>IFERROR(__xludf.DUMMYFUNCTION("""COMPUTED_VALUE"""),1585379.2000000002)</f>
        <v>1585379.2</v>
      </c>
      <c r="S631" s="46">
        <f>IFERROR(__xludf.DUMMYFUNCTION("""COMPUTED_VALUE"""),381275.0)</f>
        <v>381275</v>
      </c>
    </row>
    <row r="632">
      <c r="A632" s="46" t="str">
        <f>IFERROR(__xludf.DUMMYFUNCTION("""COMPUTED_VALUE"""),"Cereal")</f>
        <v>Cereal</v>
      </c>
      <c r="B632" s="46" t="str">
        <f>IFERROR(__xludf.DUMMYFUNCTION("""COMPUTED_VALUE"""),"Poland")</f>
        <v>Poland</v>
      </c>
      <c r="C632" s="46" t="str">
        <f>IFERROR(__xludf.DUMMYFUNCTION("""COMPUTED_VALUE"""),"Europe")</f>
        <v>Europe</v>
      </c>
      <c r="D632" s="90">
        <f>IFERROR(__xludf.DUMMYFUNCTION("""COMPUTED_VALUE"""),41579.0)</f>
        <v>41579</v>
      </c>
      <c r="E632" s="46">
        <f>IFERROR(__xludf.DUMMYFUNCTION("""COMPUTED_VALUE"""),2013.0)</f>
        <v>2013</v>
      </c>
      <c r="F632" s="46">
        <f>IFERROR(__xludf.DUMMYFUNCTION("""COMPUTED_VALUE"""),1.0)</f>
        <v>1</v>
      </c>
      <c r="G632" s="46">
        <f>IFERROR(__xludf.DUMMYFUNCTION("""COMPUTED_VALUE"""),4477.0)</f>
        <v>4477</v>
      </c>
      <c r="H632" s="46">
        <f>IFERROR(__xludf.DUMMYFUNCTION("""COMPUTED_VALUE"""),920918.8999999999)</f>
        <v>920918.9</v>
      </c>
      <c r="I632" s="46">
        <f>IFERROR(__xludf.DUMMYFUNCTION("""COMPUTED_VALUE"""),524301.47)</f>
        <v>524301.47</v>
      </c>
      <c r="J632" s="46">
        <f>IFERROR(__xludf.DUMMYFUNCTION("""COMPUTED_VALUE"""),396617.42999999993)</f>
        <v>396617.43</v>
      </c>
      <c r="K632" s="46" t="str">
        <f t="array" ref="K632">TEXT(D632, "mmmm")</f>
        <v>November</v>
      </c>
      <c r="M632" s="46" t="str">
        <f>IFERROR(__xludf.DUMMYFUNCTION("""COMPUTED_VALUE"""),"Austria")</f>
        <v>Austria</v>
      </c>
      <c r="N632" s="94">
        <f>IFERROR(__xludf.DUMMYFUNCTION("""COMPUTED_VALUE"""),41699.0)</f>
        <v>41699</v>
      </c>
      <c r="O632" s="46">
        <f>IFERROR(__xludf.DUMMYFUNCTION("""COMPUTED_VALUE"""),1.0)</f>
        <v>1</v>
      </c>
      <c r="P632" s="46">
        <f>IFERROR(__xludf.DUMMYFUNCTION("""COMPUTED_VALUE"""),2717.0)</f>
        <v>2717</v>
      </c>
      <c r="Q632" s="46">
        <f>IFERROR(__xludf.DUMMYFUNCTION("""COMPUTED_VALUE"""),1769337.57)</f>
        <v>1769337.57</v>
      </c>
      <c r="R632" s="46">
        <f>IFERROR(__xludf.DUMMYFUNCTION("""COMPUTED_VALUE"""),1426316.32)</f>
        <v>1426316.32</v>
      </c>
      <c r="S632" s="46">
        <f>IFERROR(__xludf.DUMMYFUNCTION("""COMPUTED_VALUE"""),343021.25)</f>
        <v>343021.25</v>
      </c>
    </row>
    <row r="633">
      <c r="A633" s="46" t="str">
        <f>IFERROR(__xludf.DUMMYFUNCTION("""COMPUTED_VALUE"""),"Clothes")</f>
        <v>Clothes</v>
      </c>
      <c r="B633" s="46" t="str">
        <f>IFERROR(__xludf.DUMMYFUNCTION("""COMPUTED_VALUE"""),"Luxembourg")</f>
        <v>Luxembourg</v>
      </c>
      <c r="C633" s="46" t="str">
        <f>IFERROR(__xludf.DUMMYFUNCTION("""COMPUTED_VALUE"""),"Europe")</f>
        <v>Europe</v>
      </c>
      <c r="D633" s="90">
        <f>IFERROR(__xludf.DUMMYFUNCTION("""COMPUTED_VALUE"""),41579.0)</f>
        <v>41579</v>
      </c>
      <c r="E633" s="46">
        <f>IFERROR(__xludf.DUMMYFUNCTION("""COMPUTED_VALUE"""),2013.0)</f>
        <v>2013</v>
      </c>
      <c r="F633" s="46">
        <f>IFERROR(__xludf.DUMMYFUNCTION("""COMPUTED_VALUE"""),1.0)</f>
        <v>1</v>
      </c>
      <c r="G633" s="46">
        <f>IFERROR(__xludf.DUMMYFUNCTION("""COMPUTED_VALUE"""),6700.0)</f>
        <v>6700</v>
      </c>
      <c r="H633" s="46">
        <f>IFERROR(__xludf.DUMMYFUNCTION("""COMPUTED_VALUE"""),732176.0)</f>
        <v>732176</v>
      </c>
      <c r="I633" s="46">
        <f>IFERROR(__xludf.DUMMYFUNCTION("""COMPUTED_VALUE"""),240128.00000000003)</f>
        <v>240128</v>
      </c>
      <c r="J633" s="46">
        <f>IFERROR(__xludf.DUMMYFUNCTION("""COMPUTED_VALUE"""),492048.0)</f>
        <v>492048</v>
      </c>
      <c r="K633" s="46" t="str">
        <f t="array" ref="K633">TEXT(D633, "mmmm")</f>
        <v>November</v>
      </c>
      <c r="M633" s="46" t="str">
        <f>IFERROR(__xludf.DUMMYFUNCTION("""COMPUTED_VALUE"""),"Bulgaria")</f>
        <v>Bulgaria</v>
      </c>
      <c r="N633" s="94">
        <f>IFERROR(__xludf.DUMMYFUNCTION("""COMPUTED_VALUE"""),41699.0)</f>
        <v>41699</v>
      </c>
      <c r="O633" s="46">
        <f>IFERROR(__xludf.DUMMYFUNCTION("""COMPUTED_VALUE"""),1.0)</f>
        <v>1</v>
      </c>
      <c r="P633" s="46">
        <f>IFERROR(__xludf.DUMMYFUNCTION("""COMPUTED_VALUE"""),2.0)</f>
        <v>2</v>
      </c>
      <c r="Q633" s="46">
        <f>IFERROR(__xludf.DUMMYFUNCTION("""COMPUTED_VALUE"""),1336.54)</f>
        <v>1336.54</v>
      </c>
      <c r="R633" s="46">
        <f>IFERROR(__xludf.DUMMYFUNCTION("""COMPUTED_VALUE"""),1005.08)</f>
        <v>1005.08</v>
      </c>
      <c r="S633" s="46">
        <f>IFERROR(__xludf.DUMMYFUNCTION("""COMPUTED_VALUE"""),331.4599999999999)</f>
        <v>331.46</v>
      </c>
    </row>
    <row r="634">
      <c r="A634" s="46" t="str">
        <f>IFERROR(__xludf.DUMMYFUNCTION("""COMPUTED_VALUE"""),"Cosmetics")</f>
        <v>Cosmetics</v>
      </c>
      <c r="B634" s="46" t="str">
        <f>IFERROR(__xludf.DUMMYFUNCTION("""COMPUTED_VALUE"""),"Slovakia")</f>
        <v>Slovakia</v>
      </c>
      <c r="C634" s="46" t="str">
        <f>IFERROR(__xludf.DUMMYFUNCTION("""COMPUTED_VALUE"""),"Europe")</f>
        <v>Europe</v>
      </c>
      <c r="D634" s="90">
        <f>IFERROR(__xludf.DUMMYFUNCTION("""COMPUTED_VALUE"""),41579.0)</f>
        <v>41579</v>
      </c>
      <c r="E634" s="46">
        <f>IFERROR(__xludf.DUMMYFUNCTION("""COMPUTED_VALUE"""),2013.0)</f>
        <v>2013</v>
      </c>
      <c r="F634" s="46">
        <f>IFERROR(__xludf.DUMMYFUNCTION("""COMPUTED_VALUE"""),1.0)</f>
        <v>1</v>
      </c>
      <c r="G634" s="46">
        <f>IFERROR(__xludf.DUMMYFUNCTION("""COMPUTED_VALUE"""),6936.0)</f>
        <v>6936</v>
      </c>
      <c r="H634" s="46">
        <f>IFERROR(__xludf.DUMMYFUNCTION("""COMPUTED_VALUE"""),3032419.1999999997)</f>
        <v>3032419.2</v>
      </c>
      <c r="I634" s="46">
        <f>IFERROR(__xludf.DUMMYFUNCTION("""COMPUTED_VALUE"""),1826456.88)</f>
        <v>1826456.88</v>
      </c>
      <c r="J634" s="46">
        <f>IFERROR(__xludf.DUMMYFUNCTION("""COMPUTED_VALUE"""),1205962.3199999998)</f>
        <v>1205962.32</v>
      </c>
      <c r="K634" s="46" t="str">
        <f t="array" ref="K634">TEXT(D634, "mmmm")</f>
        <v>November</v>
      </c>
      <c r="M634" s="46" t="str">
        <f>IFERROR(__xludf.DUMMYFUNCTION("""COMPUTED_VALUE"""),"Cyprus")</f>
        <v>Cyprus</v>
      </c>
      <c r="N634" s="94">
        <f>IFERROR(__xludf.DUMMYFUNCTION("""COMPUTED_VALUE"""),41699.0)</f>
        <v>41699</v>
      </c>
      <c r="O634" s="46">
        <f>IFERROR(__xludf.DUMMYFUNCTION("""COMPUTED_VALUE"""),1.0)</f>
        <v>1</v>
      </c>
      <c r="P634" s="46">
        <f>IFERROR(__xludf.DUMMYFUNCTION("""COMPUTED_VALUE"""),7468.0)</f>
        <v>7468</v>
      </c>
      <c r="Q634" s="46">
        <f>IFERROR(__xludf.DUMMYFUNCTION("""COMPUTED_VALUE"""),816103.04)</f>
        <v>816103.04</v>
      </c>
      <c r="R634" s="46">
        <f>IFERROR(__xludf.DUMMYFUNCTION("""COMPUTED_VALUE"""),267653.12000000005)</f>
        <v>267653.12</v>
      </c>
      <c r="S634" s="46">
        <f>IFERROR(__xludf.DUMMYFUNCTION("""COMPUTED_VALUE"""),548449.9199999999)</f>
        <v>548449.92</v>
      </c>
    </row>
    <row r="635">
      <c r="A635" s="46" t="str">
        <f>IFERROR(__xludf.DUMMYFUNCTION("""COMPUTED_VALUE"""),"Fruits")</f>
        <v>Fruits</v>
      </c>
      <c r="B635" s="46" t="str">
        <f>IFERROR(__xludf.DUMMYFUNCTION("""COMPUTED_VALUE"""),"Belgium")</f>
        <v>Belgium</v>
      </c>
      <c r="C635" s="46" t="str">
        <f>IFERROR(__xludf.DUMMYFUNCTION("""COMPUTED_VALUE"""),"Europe")</f>
        <v>Europe</v>
      </c>
      <c r="D635" s="90">
        <f>IFERROR(__xludf.DUMMYFUNCTION("""COMPUTED_VALUE"""),41579.0)</f>
        <v>41579</v>
      </c>
      <c r="E635" s="46">
        <f>IFERROR(__xludf.DUMMYFUNCTION("""COMPUTED_VALUE"""),2013.0)</f>
        <v>2013</v>
      </c>
      <c r="F635" s="46">
        <f>IFERROR(__xludf.DUMMYFUNCTION("""COMPUTED_VALUE"""),1.0)</f>
        <v>1</v>
      </c>
      <c r="G635" s="46">
        <f>IFERROR(__xludf.DUMMYFUNCTION("""COMPUTED_VALUE"""),3582.0)</f>
        <v>3582</v>
      </c>
      <c r="H635" s="46">
        <f>IFERROR(__xludf.DUMMYFUNCTION("""COMPUTED_VALUE"""),33420.06)</f>
        <v>33420.06</v>
      </c>
      <c r="I635" s="46">
        <f>IFERROR(__xludf.DUMMYFUNCTION("""COMPUTED_VALUE"""),24787.44)</f>
        <v>24787.44</v>
      </c>
      <c r="J635" s="46">
        <f>IFERROR(__xludf.DUMMYFUNCTION("""COMPUTED_VALUE"""),8632.619999999999)</f>
        <v>8632.62</v>
      </c>
      <c r="K635" s="46" t="str">
        <f t="array" ref="K635">TEXT(D635, "mmmm")</f>
        <v>November</v>
      </c>
      <c r="M635" s="46" t="str">
        <f>IFERROR(__xludf.DUMMYFUNCTION("""COMPUTED_VALUE"""),"France")</f>
        <v>France</v>
      </c>
      <c r="N635" s="94">
        <f>IFERROR(__xludf.DUMMYFUNCTION("""COMPUTED_VALUE"""),41699.0)</f>
        <v>41699</v>
      </c>
      <c r="O635" s="46">
        <f>IFERROR(__xludf.DUMMYFUNCTION("""COMPUTED_VALUE"""),1.0)</f>
        <v>1</v>
      </c>
      <c r="P635" s="46">
        <f>IFERROR(__xludf.DUMMYFUNCTION("""COMPUTED_VALUE"""),7069.0)</f>
        <v>7069</v>
      </c>
      <c r="Q635" s="46">
        <f>IFERROR(__xludf.DUMMYFUNCTION("""COMPUTED_VALUE"""),3090566.8)</f>
        <v>3090566.8</v>
      </c>
      <c r="R635" s="46">
        <f>IFERROR(__xludf.DUMMYFUNCTION("""COMPUTED_VALUE"""),1861479.7699999998)</f>
        <v>1861479.77</v>
      </c>
      <c r="S635" s="46">
        <f>IFERROR(__xludf.DUMMYFUNCTION("""COMPUTED_VALUE"""),1229087.03)</f>
        <v>1229087.03</v>
      </c>
    </row>
    <row r="636">
      <c r="A636" s="46" t="str">
        <f>IFERROR(__xludf.DUMMYFUNCTION("""COMPUTED_VALUE"""),"Household")</f>
        <v>Household</v>
      </c>
      <c r="B636" s="46" t="str">
        <f>IFERROR(__xludf.DUMMYFUNCTION("""COMPUTED_VALUE"""),"Belarus")</f>
        <v>Belarus</v>
      </c>
      <c r="C636" s="46" t="str">
        <f>IFERROR(__xludf.DUMMYFUNCTION("""COMPUTED_VALUE"""),"Europe")</f>
        <v>Europe</v>
      </c>
      <c r="D636" s="90">
        <f>IFERROR(__xludf.DUMMYFUNCTION("""COMPUTED_VALUE"""),41579.0)</f>
        <v>41579</v>
      </c>
      <c r="E636" s="46">
        <f>IFERROR(__xludf.DUMMYFUNCTION("""COMPUTED_VALUE"""),2013.0)</f>
        <v>2013</v>
      </c>
      <c r="F636" s="46">
        <f>IFERROR(__xludf.DUMMYFUNCTION("""COMPUTED_VALUE"""),1.0)</f>
        <v>1</v>
      </c>
      <c r="G636" s="46">
        <f>IFERROR(__xludf.DUMMYFUNCTION("""COMPUTED_VALUE"""),6526.0)</f>
        <v>6526</v>
      </c>
      <c r="H636" s="46">
        <f>IFERROR(__xludf.DUMMYFUNCTION("""COMPUTED_VALUE"""),4361130.02)</f>
        <v>4361130.02</v>
      </c>
      <c r="I636" s="46">
        <f>IFERROR(__xludf.DUMMYFUNCTION("""COMPUTED_VALUE"""),3279576.04)</f>
        <v>3279576.04</v>
      </c>
      <c r="J636" s="46">
        <f>IFERROR(__xludf.DUMMYFUNCTION("""COMPUTED_VALUE"""),1081553.9799999995)</f>
        <v>1081553.98</v>
      </c>
      <c r="K636" s="46" t="str">
        <f t="array" ref="K636">TEXT(D636, "mmmm")</f>
        <v>November</v>
      </c>
      <c r="M636" s="46" t="str">
        <f>IFERROR(__xludf.DUMMYFUNCTION("""COMPUTED_VALUE"""),"Germany")</f>
        <v>Germany</v>
      </c>
      <c r="N636" s="94">
        <f>IFERROR(__xludf.DUMMYFUNCTION("""COMPUTED_VALUE"""),41699.0)</f>
        <v>41699</v>
      </c>
      <c r="O636" s="46">
        <f>IFERROR(__xludf.DUMMYFUNCTION("""COMPUTED_VALUE"""),1.0)</f>
        <v>1</v>
      </c>
      <c r="P636" s="46">
        <f>IFERROR(__xludf.DUMMYFUNCTION("""COMPUTED_VALUE"""),3944.0)</f>
        <v>3944</v>
      </c>
      <c r="Q636" s="46">
        <f>IFERROR(__xludf.DUMMYFUNCTION("""COMPUTED_VALUE"""),601775.52)</f>
        <v>601775.52</v>
      </c>
      <c r="R636" s="46">
        <f>IFERROR(__xludf.DUMMYFUNCTION("""COMPUTED_VALUE"""),384303.36)</f>
        <v>384303.36</v>
      </c>
      <c r="S636" s="46">
        <f>IFERROR(__xludf.DUMMYFUNCTION("""COMPUTED_VALUE"""),217472.16000000003)</f>
        <v>217472.16</v>
      </c>
    </row>
    <row r="637">
      <c r="A637" s="46" t="str">
        <f>IFERROR(__xludf.DUMMYFUNCTION("""COMPUTED_VALUE"""),"Meat")</f>
        <v>Meat</v>
      </c>
      <c r="B637" s="46" t="str">
        <f>IFERROR(__xludf.DUMMYFUNCTION("""COMPUTED_VALUE"""),"Austria")</f>
        <v>Austria</v>
      </c>
      <c r="C637" s="46" t="str">
        <f>IFERROR(__xludf.DUMMYFUNCTION("""COMPUTED_VALUE"""),"Europe")</f>
        <v>Europe</v>
      </c>
      <c r="D637" s="90">
        <f>IFERROR(__xludf.DUMMYFUNCTION("""COMPUTED_VALUE"""),41579.0)</f>
        <v>41579</v>
      </c>
      <c r="E637" s="46">
        <f>IFERROR(__xludf.DUMMYFUNCTION("""COMPUTED_VALUE"""),2013.0)</f>
        <v>2013</v>
      </c>
      <c r="F637" s="46">
        <f>IFERROR(__xludf.DUMMYFUNCTION("""COMPUTED_VALUE"""),1.0)</f>
        <v>1</v>
      </c>
      <c r="G637" s="46">
        <f>IFERROR(__xludf.DUMMYFUNCTION("""COMPUTED_VALUE"""),4765.0)</f>
        <v>4765</v>
      </c>
      <c r="H637" s="46">
        <f>IFERROR(__xludf.DUMMYFUNCTION("""COMPUTED_VALUE"""),2010305.8499999999)</f>
        <v>2010305.85</v>
      </c>
      <c r="I637" s="46">
        <f>IFERROR(__xludf.DUMMYFUNCTION("""COMPUTED_VALUE"""),1737747.85)</f>
        <v>1737747.85</v>
      </c>
      <c r="J637" s="46">
        <f>IFERROR(__xludf.DUMMYFUNCTION("""COMPUTED_VALUE"""),272557.99999999977)</f>
        <v>272558</v>
      </c>
      <c r="K637" s="46" t="str">
        <f t="array" ref="K637">TEXT(D637, "mmmm")</f>
        <v>November</v>
      </c>
      <c r="M637" s="46" t="str">
        <f>IFERROR(__xludf.DUMMYFUNCTION("""COMPUTED_VALUE"""),"Greece")</f>
        <v>Greece</v>
      </c>
      <c r="N637" s="94">
        <f>IFERROR(__xludf.DUMMYFUNCTION("""COMPUTED_VALUE"""),41699.0)</f>
        <v>41699</v>
      </c>
      <c r="O637" s="46">
        <f>IFERROR(__xludf.DUMMYFUNCTION("""COMPUTED_VALUE"""),1.0)</f>
        <v>1</v>
      </c>
      <c r="P637" s="46">
        <f>IFERROR(__xludf.DUMMYFUNCTION("""COMPUTED_VALUE"""),6850.0)</f>
        <v>6850</v>
      </c>
      <c r="Q637" s="46">
        <f>IFERROR(__xludf.DUMMYFUNCTION("""COMPUTED_VALUE"""),4460788.5)</f>
        <v>4460788.5</v>
      </c>
      <c r="R637" s="46">
        <f>IFERROR(__xludf.DUMMYFUNCTION("""COMPUTED_VALUE"""),3595976.0000000005)</f>
        <v>3595976</v>
      </c>
      <c r="S637" s="46">
        <f>IFERROR(__xludf.DUMMYFUNCTION("""COMPUTED_VALUE"""),864812.4999999995)</f>
        <v>864812.5</v>
      </c>
    </row>
    <row r="638">
      <c r="A638" s="46" t="str">
        <f>IFERROR(__xludf.DUMMYFUNCTION("""COMPUTED_VALUE"""),"Meat")</f>
        <v>Meat</v>
      </c>
      <c r="B638" s="46" t="str">
        <f>IFERROR(__xludf.DUMMYFUNCTION("""COMPUTED_VALUE"""),"Greece")</f>
        <v>Greece</v>
      </c>
      <c r="C638" s="46" t="str">
        <f>IFERROR(__xludf.DUMMYFUNCTION("""COMPUTED_VALUE"""),"Europe")</f>
        <v>Europe</v>
      </c>
      <c r="D638" s="90">
        <f>IFERROR(__xludf.DUMMYFUNCTION("""COMPUTED_VALUE"""),41579.0)</f>
        <v>41579</v>
      </c>
      <c r="E638" s="46">
        <f>IFERROR(__xludf.DUMMYFUNCTION("""COMPUTED_VALUE"""),2013.0)</f>
        <v>2013</v>
      </c>
      <c r="F638" s="46">
        <f>IFERROR(__xludf.DUMMYFUNCTION("""COMPUTED_VALUE"""),1.0)</f>
        <v>1</v>
      </c>
      <c r="G638" s="46">
        <f>IFERROR(__xludf.DUMMYFUNCTION("""COMPUTED_VALUE"""),6666.0)</f>
        <v>6666</v>
      </c>
      <c r="H638" s="46">
        <f>IFERROR(__xludf.DUMMYFUNCTION("""COMPUTED_VALUE"""),2812318.7399999998)</f>
        <v>2812318.74</v>
      </c>
      <c r="I638" s="46">
        <f>IFERROR(__xludf.DUMMYFUNCTION("""COMPUTED_VALUE"""),2431023.54)</f>
        <v>2431023.54</v>
      </c>
      <c r="J638" s="46">
        <f>IFERROR(__xludf.DUMMYFUNCTION("""COMPUTED_VALUE"""),381295.1999999997)</f>
        <v>381295.2</v>
      </c>
      <c r="K638" s="46" t="str">
        <f t="array" ref="K638">TEXT(D638, "mmmm")</f>
        <v>November</v>
      </c>
      <c r="M638" s="46" t="str">
        <f>IFERROR(__xludf.DUMMYFUNCTION("""COMPUTED_VALUE"""),"Latvia")</f>
        <v>Latvia</v>
      </c>
      <c r="N638" s="94">
        <f>IFERROR(__xludf.DUMMYFUNCTION("""COMPUTED_VALUE"""),41699.0)</f>
        <v>41699</v>
      </c>
      <c r="O638" s="46">
        <f>IFERROR(__xludf.DUMMYFUNCTION("""COMPUTED_VALUE"""),1.0)</f>
        <v>1</v>
      </c>
      <c r="P638" s="46">
        <f>IFERROR(__xludf.DUMMYFUNCTION("""COMPUTED_VALUE"""),9382.0)</f>
        <v>9382</v>
      </c>
      <c r="Q638" s="46">
        <f>IFERROR(__xludf.DUMMYFUNCTION("""COMPUTED_VALUE"""),4101810.4)</f>
        <v>4101810.4</v>
      </c>
      <c r="R638" s="46">
        <f>IFERROR(__xludf.DUMMYFUNCTION("""COMPUTED_VALUE"""),2470562.06)</f>
        <v>2470562.06</v>
      </c>
      <c r="S638" s="46">
        <f>IFERROR(__xludf.DUMMYFUNCTION("""COMPUTED_VALUE"""),1631248.3399999999)</f>
        <v>1631248.34</v>
      </c>
    </row>
    <row r="639">
      <c r="A639" s="46" t="str">
        <f>IFERROR(__xludf.DUMMYFUNCTION("""COMPUTED_VALUE"""),"Meat")</f>
        <v>Meat</v>
      </c>
      <c r="B639" s="46" t="str">
        <f>IFERROR(__xludf.DUMMYFUNCTION("""COMPUTED_VALUE"""),"Spain")</f>
        <v>Spain</v>
      </c>
      <c r="C639" s="46" t="str">
        <f>IFERROR(__xludf.DUMMYFUNCTION("""COMPUTED_VALUE"""),"Europe")</f>
        <v>Europe</v>
      </c>
      <c r="D639" s="90">
        <f>IFERROR(__xludf.DUMMYFUNCTION("""COMPUTED_VALUE"""),41579.0)</f>
        <v>41579</v>
      </c>
      <c r="E639" s="46">
        <f>IFERROR(__xludf.DUMMYFUNCTION("""COMPUTED_VALUE"""),2013.0)</f>
        <v>2013</v>
      </c>
      <c r="F639" s="46">
        <f>IFERROR(__xludf.DUMMYFUNCTION("""COMPUTED_VALUE"""),1.0)</f>
        <v>1</v>
      </c>
      <c r="G639" s="46">
        <f>IFERROR(__xludf.DUMMYFUNCTION("""COMPUTED_VALUE"""),9336.0)</f>
        <v>9336</v>
      </c>
      <c r="H639" s="46">
        <f>IFERROR(__xludf.DUMMYFUNCTION("""COMPUTED_VALUE"""),3938765.04)</f>
        <v>3938765.04</v>
      </c>
      <c r="I639" s="46">
        <f>IFERROR(__xludf.DUMMYFUNCTION("""COMPUTED_VALUE"""),3404745.84)</f>
        <v>3404745.84</v>
      </c>
      <c r="J639" s="46">
        <f>IFERROR(__xludf.DUMMYFUNCTION("""COMPUTED_VALUE"""),534019.2000000002)</f>
        <v>534019.2</v>
      </c>
      <c r="K639" s="46" t="str">
        <f t="array" ref="K639">TEXT(D639, "mmmm")</f>
        <v>November</v>
      </c>
      <c r="M639" s="46" t="str">
        <f>IFERROR(__xludf.DUMMYFUNCTION("""COMPUTED_VALUE"""),"Malta")</f>
        <v>Malta</v>
      </c>
      <c r="N639" s="94">
        <f>IFERROR(__xludf.DUMMYFUNCTION("""COMPUTED_VALUE"""),41699.0)</f>
        <v>41699</v>
      </c>
      <c r="O639" s="46">
        <f>IFERROR(__xludf.DUMMYFUNCTION("""COMPUTED_VALUE"""),2.0)</f>
        <v>2</v>
      </c>
      <c r="P639" s="46">
        <f>IFERROR(__xludf.DUMMYFUNCTION("""COMPUTED_VALUE"""),10497.0)</f>
        <v>10497</v>
      </c>
      <c r="Q639" s="46">
        <f>IFERROR(__xludf.DUMMYFUNCTION("""COMPUTED_VALUE"""),2425249.38)</f>
        <v>2425249.38</v>
      </c>
      <c r="R639" s="46">
        <f>IFERROR(__xludf.DUMMYFUNCTION("""COMPUTED_VALUE"""),1446521.81)</f>
        <v>1446521.81</v>
      </c>
      <c r="S639" s="46">
        <f>IFERROR(__xludf.DUMMYFUNCTION("""COMPUTED_VALUE"""),978727.5700000001)</f>
        <v>978727.57</v>
      </c>
    </row>
    <row r="640">
      <c r="A640" s="46" t="str">
        <f>IFERROR(__xludf.DUMMYFUNCTION("""COMPUTED_VALUE"""),"Office Supplies")</f>
        <v>Office Supplies</v>
      </c>
      <c r="B640" s="46" t="str">
        <f>IFERROR(__xludf.DUMMYFUNCTION("""COMPUTED_VALUE"""),"France")</f>
        <v>France</v>
      </c>
      <c r="C640" s="46" t="str">
        <f>IFERROR(__xludf.DUMMYFUNCTION("""COMPUTED_VALUE"""),"Europe")</f>
        <v>Europe</v>
      </c>
      <c r="D640" s="90">
        <f>IFERROR(__xludf.DUMMYFUNCTION("""COMPUTED_VALUE"""),41579.0)</f>
        <v>41579</v>
      </c>
      <c r="E640" s="46">
        <f>IFERROR(__xludf.DUMMYFUNCTION("""COMPUTED_VALUE"""),2013.0)</f>
        <v>2013</v>
      </c>
      <c r="F640" s="46">
        <f>IFERROR(__xludf.DUMMYFUNCTION("""COMPUTED_VALUE"""),1.0)</f>
        <v>1</v>
      </c>
      <c r="G640" s="46">
        <f>IFERROR(__xludf.DUMMYFUNCTION("""COMPUTED_VALUE"""),7813.0)</f>
        <v>7813</v>
      </c>
      <c r="H640" s="46">
        <f>IFERROR(__xludf.DUMMYFUNCTION("""COMPUTED_VALUE"""),5087903.73)</f>
        <v>5087903.73</v>
      </c>
      <c r="I640" s="46">
        <f>IFERROR(__xludf.DUMMYFUNCTION("""COMPUTED_VALUE"""),4101512.4800000004)</f>
        <v>4101512.48</v>
      </c>
      <c r="J640" s="46">
        <f>IFERROR(__xludf.DUMMYFUNCTION("""COMPUTED_VALUE"""),986391.25)</f>
        <v>986391.25</v>
      </c>
      <c r="K640" s="46" t="str">
        <f t="array" ref="K640">TEXT(D640, "mmmm")</f>
        <v>November</v>
      </c>
      <c r="M640" s="46" t="str">
        <f>IFERROR(__xludf.DUMMYFUNCTION("""COMPUTED_VALUE"""),"Montenegro")</f>
        <v>Montenegro</v>
      </c>
      <c r="N640" s="94">
        <f>IFERROR(__xludf.DUMMYFUNCTION("""COMPUTED_VALUE"""),41699.0)</f>
        <v>41699</v>
      </c>
      <c r="O640" s="46">
        <f>IFERROR(__xludf.DUMMYFUNCTION("""COMPUTED_VALUE"""),2.0)</f>
        <v>2</v>
      </c>
      <c r="P640" s="46">
        <f>IFERROR(__xludf.DUMMYFUNCTION("""COMPUTED_VALUE"""),11050.0)</f>
        <v>11050</v>
      </c>
      <c r="Q640" s="46">
        <f>IFERROR(__xludf.DUMMYFUNCTION("""COMPUTED_VALUE"""),1862400.24)</f>
        <v>1862400.24</v>
      </c>
      <c r="R640" s="46">
        <f>IFERROR(__xludf.DUMMYFUNCTION("""COMPUTED_VALUE"""),850329.53)</f>
        <v>850329.53</v>
      </c>
      <c r="S640" s="46">
        <f>IFERROR(__xludf.DUMMYFUNCTION("""COMPUTED_VALUE"""),1012070.71)</f>
        <v>1012070.71</v>
      </c>
    </row>
    <row r="641">
      <c r="A641" s="46" t="str">
        <f>IFERROR(__xludf.DUMMYFUNCTION("""COMPUTED_VALUE"""),"Office Supplies")</f>
        <v>Office Supplies</v>
      </c>
      <c r="B641" s="46" t="str">
        <f>IFERROR(__xludf.DUMMYFUNCTION("""COMPUTED_VALUE"""),"San Marino")</f>
        <v>San Marino</v>
      </c>
      <c r="C641" s="46" t="str">
        <f>IFERROR(__xludf.DUMMYFUNCTION("""COMPUTED_VALUE"""),"Europe")</f>
        <v>Europe</v>
      </c>
      <c r="D641" s="90">
        <f>IFERROR(__xludf.DUMMYFUNCTION("""COMPUTED_VALUE"""),41579.0)</f>
        <v>41579</v>
      </c>
      <c r="E641" s="46">
        <f>IFERROR(__xludf.DUMMYFUNCTION("""COMPUTED_VALUE"""),2013.0)</f>
        <v>2013</v>
      </c>
      <c r="F641" s="46">
        <f>IFERROR(__xludf.DUMMYFUNCTION("""COMPUTED_VALUE"""),1.0)</f>
        <v>1</v>
      </c>
      <c r="G641" s="46">
        <f>IFERROR(__xludf.DUMMYFUNCTION("""COMPUTED_VALUE"""),3969.0)</f>
        <v>3969</v>
      </c>
      <c r="H641" s="46">
        <f>IFERROR(__xludf.DUMMYFUNCTION("""COMPUTED_VALUE"""),2584652.49)</f>
        <v>2584652.49</v>
      </c>
      <c r="I641" s="46">
        <f>IFERROR(__xludf.DUMMYFUNCTION("""COMPUTED_VALUE"""),2083566.2400000002)</f>
        <v>2083566.24</v>
      </c>
      <c r="J641" s="46">
        <f>IFERROR(__xludf.DUMMYFUNCTION("""COMPUTED_VALUE"""),501086.25)</f>
        <v>501086.25</v>
      </c>
      <c r="K641" s="46" t="str">
        <f t="array" ref="K641">TEXT(D641, "mmmm")</f>
        <v>November</v>
      </c>
      <c r="M641" s="46" t="str">
        <f>IFERROR(__xludf.DUMMYFUNCTION("""COMPUTED_VALUE"""),"Norway")</f>
        <v>Norway</v>
      </c>
      <c r="N641" s="94">
        <f>IFERROR(__xludf.DUMMYFUNCTION("""COMPUTED_VALUE"""),41699.0)</f>
        <v>41699</v>
      </c>
      <c r="O641" s="46">
        <f>IFERROR(__xludf.DUMMYFUNCTION("""COMPUTED_VALUE"""),1.0)</f>
        <v>1</v>
      </c>
      <c r="P641" s="46">
        <f>IFERROR(__xludf.DUMMYFUNCTION("""COMPUTED_VALUE"""),3661.0)</f>
        <v>3661</v>
      </c>
      <c r="Q641" s="46">
        <f>IFERROR(__xludf.DUMMYFUNCTION("""COMPUTED_VALUE"""),1600589.2)</f>
        <v>1600589.2</v>
      </c>
      <c r="R641" s="46">
        <f>IFERROR(__xludf.DUMMYFUNCTION("""COMPUTED_VALUE"""),964051.1299999999)</f>
        <v>964051.13</v>
      </c>
      <c r="S641" s="46">
        <f>IFERROR(__xludf.DUMMYFUNCTION("""COMPUTED_VALUE"""),636538.0700000001)</f>
        <v>636538.07</v>
      </c>
    </row>
    <row r="642">
      <c r="A642" s="46" t="str">
        <f>IFERROR(__xludf.DUMMYFUNCTION("""COMPUTED_VALUE"""),"Personal Care")</f>
        <v>Personal Care</v>
      </c>
      <c r="B642" s="46" t="str">
        <f>IFERROR(__xludf.DUMMYFUNCTION("""COMPUTED_VALUE"""),"Iceland")</f>
        <v>Iceland</v>
      </c>
      <c r="C642" s="46" t="str">
        <f>IFERROR(__xludf.DUMMYFUNCTION("""COMPUTED_VALUE"""),"Europe")</f>
        <v>Europe</v>
      </c>
      <c r="D642" s="90">
        <f>IFERROR(__xludf.DUMMYFUNCTION("""COMPUTED_VALUE"""),41579.0)</f>
        <v>41579</v>
      </c>
      <c r="E642" s="46">
        <f>IFERROR(__xludf.DUMMYFUNCTION("""COMPUTED_VALUE"""),2013.0)</f>
        <v>2013</v>
      </c>
      <c r="F642" s="46">
        <f>IFERROR(__xludf.DUMMYFUNCTION("""COMPUTED_VALUE"""),1.0)</f>
        <v>1</v>
      </c>
      <c r="G642" s="46">
        <f>IFERROR(__xludf.DUMMYFUNCTION("""COMPUTED_VALUE"""),3843.0)</f>
        <v>3843</v>
      </c>
      <c r="H642" s="46">
        <f>IFERROR(__xludf.DUMMYFUNCTION("""COMPUTED_VALUE"""),314088.39)</f>
        <v>314088.39</v>
      </c>
      <c r="I642" s="46">
        <f>IFERROR(__xludf.DUMMYFUNCTION("""COMPUTED_VALUE"""),217782.81)</f>
        <v>217782.81</v>
      </c>
      <c r="J642" s="46">
        <f>IFERROR(__xludf.DUMMYFUNCTION("""COMPUTED_VALUE"""),96305.58000000002)</f>
        <v>96305.58</v>
      </c>
      <c r="K642" s="46" t="str">
        <f t="array" ref="K642">TEXT(D642, "mmmm")</f>
        <v>November</v>
      </c>
      <c r="M642" s="46" t="str">
        <f>IFERROR(__xludf.DUMMYFUNCTION("""COMPUTED_VALUE"""),"Portugal")</f>
        <v>Portugal</v>
      </c>
      <c r="N642" s="94">
        <f>IFERROR(__xludf.DUMMYFUNCTION("""COMPUTED_VALUE"""),41699.0)</f>
        <v>41699</v>
      </c>
      <c r="O642" s="46">
        <f>IFERROR(__xludf.DUMMYFUNCTION("""COMPUTED_VALUE"""),2.0)</f>
        <v>2</v>
      </c>
      <c r="P642" s="46">
        <f>IFERROR(__xludf.DUMMYFUNCTION("""COMPUTED_VALUE"""),8767.0)</f>
        <v>8767</v>
      </c>
      <c r="Q642" s="46">
        <f>IFERROR(__xludf.DUMMYFUNCTION("""COMPUTED_VALUE"""),3045388.86)</f>
        <v>3045388.86</v>
      </c>
      <c r="R642" s="46">
        <f>IFERROR(__xludf.DUMMYFUNCTION("""COMPUTED_VALUE"""),1849596.48)</f>
        <v>1849596.48</v>
      </c>
      <c r="S642" s="46">
        <f>IFERROR(__xludf.DUMMYFUNCTION("""COMPUTED_VALUE"""),1195792.3800000001)</f>
        <v>1195792.38</v>
      </c>
    </row>
    <row r="643">
      <c r="A643" s="46" t="str">
        <f>IFERROR(__xludf.DUMMYFUNCTION("""COMPUTED_VALUE"""),"Personal Care")</f>
        <v>Personal Care</v>
      </c>
      <c r="B643" s="46" t="str">
        <f>IFERROR(__xludf.DUMMYFUNCTION("""COMPUTED_VALUE"""),"Latvia")</f>
        <v>Latvia</v>
      </c>
      <c r="C643" s="46" t="str">
        <f>IFERROR(__xludf.DUMMYFUNCTION("""COMPUTED_VALUE"""),"Europe")</f>
        <v>Europe</v>
      </c>
      <c r="D643" s="90">
        <f>IFERROR(__xludf.DUMMYFUNCTION("""COMPUTED_VALUE"""),41579.0)</f>
        <v>41579</v>
      </c>
      <c r="E643" s="46">
        <f>IFERROR(__xludf.DUMMYFUNCTION("""COMPUTED_VALUE"""),2013.0)</f>
        <v>2013</v>
      </c>
      <c r="F643" s="46">
        <f>IFERROR(__xludf.DUMMYFUNCTION("""COMPUTED_VALUE"""),1.0)</f>
        <v>1</v>
      </c>
      <c r="G643" s="46">
        <f>IFERROR(__xludf.DUMMYFUNCTION("""COMPUTED_VALUE"""),7870.0)</f>
        <v>7870</v>
      </c>
      <c r="H643" s="46">
        <f>IFERROR(__xludf.DUMMYFUNCTION("""COMPUTED_VALUE"""),643215.1)</f>
        <v>643215.1</v>
      </c>
      <c r="I643" s="46">
        <f>IFERROR(__xludf.DUMMYFUNCTION("""COMPUTED_VALUE"""),445992.9)</f>
        <v>445992.9</v>
      </c>
      <c r="J643" s="46">
        <f>IFERROR(__xludf.DUMMYFUNCTION("""COMPUTED_VALUE"""),197222.19999999995)</f>
        <v>197222.2</v>
      </c>
      <c r="K643" s="46" t="str">
        <f t="array" ref="K643">TEXT(D643, "mmmm")</f>
        <v>November</v>
      </c>
      <c r="M643" s="46" t="str">
        <f>IFERROR(__xludf.DUMMYFUNCTION("""COMPUTED_VALUE"""),"Russia")</f>
        <v>Russia</v>
      </c>
      <c r="N643" s="94">
        <f>IFERROR(__xludf.DUMMYFUNCTION("""COMPUTED_VALUE"""),41699.0)</f>
        <v>41699</v>
      </c>
      <c r="O643" s="46">
        <f>IFERROR(__xludf.DUMMYFUNCTION("""COMPUTED_VALUE"""),1.0)</f>
        <v>1</v>
      </c>
      <c r="P643" s="46">
        <f>IFERROR(__xludf.DUMMYFUNCTION("""COMPUTED_VALUE"""),5119.0)</f>
        <v>5119</v>
      </c>
      <c r="Q643" s="46">
        <f>IFERROR(__xludf.DUMMYFUNCTION("""COMPUTED_VALUE"""),788633.14)</f>
        <v>788633.14</v>
      </c>
      <c r="R643" s="46">
        <f>IFERROR(__xludf.DUMMYFUNCTION("""COMPUTED_VALUE"""),465470.67000000004)</f>
        <v>465470.67</v>
      </c>
      <c r="S643" s="46">
        <f>IFERROR(__xludf.DUMMYFUNCTION("""COMPUTED_VALUE"""),323162.47)</f>
        <v>323162.47</v>
      </c>
    </row>
    <row r="644">
      <c r="A644" s="46" t="str">
        <f>IFERROR(__xludf.DUMMYFUNCTION("""COMPUTED_VALUE"""),"Personal Care")</f>
        <v>Personal Care</v>
      </c>
      <c r="B644" s="46" t="str">
        <f>IFERROR(__xludf.DUMMYFUNCTION("""COMPUTED_VALUE"""),"Netherlands")</f>
        <v>Netherlands</v>
      </c>
      <c r="C644" s="46" t="str">
        <f>IFERROR(__xludf.DUMMYFUNCTION("""COMPUTED_VALUE"""),"Europe")</f>
        <v>Europe</v>
      </c>
      <c r="D644" s="90">
        <f>IFERROR(__xludf.DUMMYFUNCTION("""COMPUTED_VALUE"""),41579.0)</f>
        <v>41579</v>
      </c>
      <c r="E644" s="46">
        <f>IFERROR(__xludf.DUMMYFUNCTION("""COMPUTED_VALUE"""),2013.0)</f>
        <v>2013</v>
      </c>
      <c r="F644" s="46">
        <f>IFERROR(__xludf.DUMMYFUNCTION("""COMPUTED_VALUE"""),1.0)</f>
        <v>1</v>
      </c>
      <c r="G644" s="46">
        <f>IFERROR(__xludf.DUMMYFUNCTION("""COMPUTED_VALUE"""),1173.0)</f>
        <v>1173</v>
      </c>
      <c r="H644" s="46">
        <f>IFERROR(__xludf.DUMMYFUNCTION("""COMPUTED_VALUE"""),95869.29000000001)</f>
        <v>95869.29</v>
      </c>
      <c r="I644" s="46">
        <f>IFERROR(__xludf.DUMMYFUNCTION("""COMPUTED_VALUE"""),66473.91)</f>
        <v>66473.91</v>
      </c>
      <c r="J644" s="46">
        <f>IFERROR(__xludf.DUMMYFUNCTION("""COMPUTED_VALUE"""),29395.380000000005)</f>
        <v>29395.38</v>
      </c>
      <c r="K644" s="46" t="str">
        <f t="array" ref="K644">TEXT(D644, "mmmm")</f>
        <v>November</v>
      </c>
      <c r="M644" s="46" t="str">
        <f>IFERROR(__xludf.DUMMYFUNCTION("""COMPUTED_VALUE"""),"Serbia")</f>
        <v>Serbia</v>
      </c>
      <c r="N644" s="94">
        <f>IFERROR(__xludf.DUMMYFUNCTION("""COMPUTED_VALUE"""),41699.0)</f>
        <v>41699</v>
      </c>
      <c r="O644" s="46">
        <f>IFERROR(__xludf.DUMMYFUNCTION("""COMPUTED_VALUE"""),2.0)</f>
        <v>2</v>
      </c>
      <c r="P644" s="46">
        <f>IFERROR(__xludf.DUMMYFUNCTION("""COMPUTED_VALUE"""),3675.0)</f>
        <v>3675</v>
      </c>
      <c r="Q644" s="46">
        <f>IFERROR(__xludf.DUMMYFUNCTION("""COMPUTED_VALUE"""),770432.46)</f>
        <v>770432.46</v>
      </c>
      <c r="R644" s="46">
        <f>IFERROR(__xludf.DUMMYFUNCTION("""COMPUTED_VALUE"""),472380.57)</f>
        <v>472380.57</v>
      </c>
      <c r="S644" s="46">
        <f>IFERROR(__xludf.DUMMYFUNCTION("""COMPUTED_VALUE"""),298051.89)</f>
        <v>298051.89</v>
      </c>
    </row>
    <row r="645">
      <c r="A645" s="46" t="str">
        <f>IFERROR(__xludf.DUMMYFUNCTION("""COMPUTED_VALUE"""),"Snacks")</f>
        <v>Snacks</v>
      </c>
      <c r="B645" s="46" t="str">
        <f>IFERROR(__xludf.DUMMYFUNCTION("""COMPUTED_VALUE"""),"Serbia")</f>
        <v>Serbia</v>
      </c>
      <c r="C645" s="46" t="str">
        <f>IFERROR(__xludf.DUMMYFUNCTION("""COMPUTED_VALUE"""),"Europe")</f>
        <v>Europe</v>
      </c>
      <c r="D645" s="90">
        <f>IFERROR(__xludf.DUMMYFUNCTION("""COMPUTED_VALUE"""),41579.0)</f>
        <v>41579</v>
      </c>
      <c r="E645" s="46">
        <f>IFERROR(__xludf.DUMMYFUNCTION("""COMPUTED_VALUE"""),2013.0)</f>
        <v>2013</v>
      </c>
      <c r="F645" s="46">
        <f>IFERROR(__xludf.DUMMYFUNCTION("""COMPUTED_VALUE"""),1.0)</f>
        <v>1</v>
      </c>
      <c r="G645" s="46">
        <f>IFERROR(__xludf.DUMMYFUNCTION("""COMPUTED_VALUE"""),8288.0)</f>
        <v>8288</v>
      </c>
      <c r="H645" s="46">
        <f>IFERROR(__xludf.DUMMYFUNCTION("""COMPUTED_VALUE"""),1264583.04)</f>
        <v>1264583.04</v>
      </c>
      <c r="I645" s="46">
        <f>IFERROR(__xludf.DUMMYFUNCTION("""COMPUTED_VALUE"""),807582.72)</f>
        <v>807582.72</v>
      </c>
      <c r="J645" s="46">
        <f>IFERROR(__xludf.DUMMYFUNCTION("""COMPUTED_VALUE"""),457000.32000000007)</f>
        <v>457000.32</v>
      </c>
      <c r="K645" s="46" t="str">
        <f t="array" ref="K645">TEXT(D645, "mmmm")</f>
        <v>November</v>
      </c>
      <c r="M645" s="46" t="str">
        <f>IFERROR(__xludf.DUMMYFUNCTION("""COMPUTED_VALUE"""),"Switzerland")</f>
        <v>Switzerland</v>
      </c>
      <c r="N645" s="94">
        <f>IFERROR(__xludf.DUMMYFUNCTION("""COMPUTED_VALUE"""),41699.0)</f>
        <v>41699</v>
      </c>
      <c r="O645" s="46">
        <f>IFERROR(__xludf.DUMMYFUNCTION("""COMPUTED_VALUE"""),2.0)</f>
        <v>2</v>
      </c>
      <c r="P645" s="46">
        <f>IFERROR(__xludf.DUMMYFUNCTION("""COMPUTED_VALUE"""),10197.0)</f>
        <v>10197</v>
      </c>
      <c r="Q645" s="46">
        <f>IFERROR(__xludf.DUMMYFUNCTION("""COMPUTED_VALUE"""),4429651.8)</f>
        <v>4429651.8</v>
      </c>
      <c r="R645" s="46">
        <f>IFERROR(__xludf.DUMMYFUNCTION("""COMPUTED_VALUE"""),2873705.61)</f>
        <v>2873705.61</v>
      </c>
      <c r="S645" s="46">
        <f>IFERROR(__xludf.DUMMYFUNCTION("""COMPUTED_VALUE"""),1555946.19)</f>
        <v>1555946.19</v>
      </c>
    </row>
    <row r="646">
      <c r="A646" s="46" t="str">
        <f>IFERROR(__xludf.DUMMYFUNCTION("""COMPUTED_VALUE"""),"Vegetables")</f>
        <v>Vegetables</v>
      </c>
      <c r="B646" s="46" t="str">
        <f>IFERROR(__xludf.DUMMYFUNCTION("""COMPUTED_VALUE"""),"Bosnia and Herzegovina")</f>
        <v>Bosnia and Herzegovina</v>
      </c>
      <c r="C646" s="46" t="str">
        <f>IFERROR(__xludf.DUMMYFUNCTION("""COMPUTED_VALUE"""),"Europe")</f>
        <v>Europe</v>
      </c>
      <c r="D646" s="90">
        <f>IFERROR(__xludf.DUMMYFUNCTION("""COMPUTED_VALUE"""),41579.0)</f>
        <v>41579</v>
      </c>
      <c r="E646" s="46">
        <f>IFERROR(__xludf.DUMMYFUNCTION("""COMPUTED_VALUE"""),2013.0)</f>
        <v>2013</v>
      </c>
      <c r="F646" s="46">
        <f>IFERROR(__xludf.DUMMYFUNCTION("""COMPUTED_VALUE"""),1.0)</f>
        <v>1</v>
      </c>
      <c r="G646" s="46">
        <f>IFERROR(__xludf.DUMMYFUNCTION("""COMPUTED_VALUE"""),5633.0)</f>
        <v>5633</v>
      </c>
      <c r="H646" s="46">
        <f>IFERROR(__xludf.DUMMYFUNCTION("""COMPUTED_VALUE"""),867819.98)</f>
        <v>867819.98</v>
      </c>
      <c r="I646" s="46">
        <f>IFERROR(__xludf.DUMMYFUNCTION("""COMPUTED_VALUE"""),512208.69000000006)</f>
        <v>512208.69</v>
      </c>
      <c r="J646" s="46">
        <f>IFERROR(__xludf.DUMMYFUNCTION("""COMPUTED_VALUE"""),355611.2899999999)</f>
        <v>355611.29</v>
      </c>
      <c r="K646" s="46" t="str">
        <f t="array" ref="K646">TEXT(D646, "mmmm")</f>
        <v>November</v>
      </c>
      <c r="M646" s="46" t="str">
        <f>IFERROR(__xludf.DUMMYFUNCTION("""COMPUTED_VALUE"""),"Undefined")</f>
        <v>Undefined</v>
      </c>
      <c r="N646" s="94">
        <f>IFERROR(__xludf.DUMMYFUNCTION("""COMPUTED_VALUE"""),41699.0)</f>
        <v>41699</v>
      </c>
      <c r="O646" s="46">
        <f>IFERROR(__xludf.DUMMYFUNCTION("""COMPUTED_VALUE"""),2.0)</f>
        <v>2</v>
      </c>
      <c r="P646" s="46">
        <f>IFERROR(__xludf.DUMMYFUNCTION("""COMPUTED_VALUE"""),2982.0)</f>
        <v>2982</v>
      </c>
      <c r="Q646" s="46">
        <f>IFERROR(__xludf.DUMMYFUNCTION("""COMPUTED_VALUE"""),385878.16000000003)</f>
        <v>385878.16</v>
      </c>
      <c r="R646" s="46">
        <f>IFERROR(__xludf.DUMMYFUNCTION("""COMPUTED_VALUE"""),180695.48)</f>
        <v>180695.48</v>
      </c>
      <c r="S646" s="46">
        <f>IFERROR(__xludf.DUMMYFUNCTION("""COMPUTED_VALUE"""),205182.68)</f>
        <v>205182.68</v>
      </c>
    </row>
    <row r="647">
      <c r="A647" s="46" t="str">
        <f>IFERROR(__xludf.DUMMYFUNCTION("""COMPUTED_VALUE"""),"Beverages")</f>
        <v>Beverages</v>
      </c>
      <c r="B647" s="46" t="str">
        <f>IFERROR(__xludf.DUMMYFUNCTION("""COMPUTED_VALUE"""),"Andorra")</f>
        <v>Andorra</v>
      </c>
      <c r="C647" s="46" t="str">
        <f>IFERROR(__xludf.DUMMYFUNCTION("""COMPUTED_VALUE"""),"Europe")</f>
        <v>Europe</v>
      </c>
      <c r="D647" s="90">
        <f>IFERROR(__xludf.DUMMYFUNCTION("""COMPUTED_VALUE"""),41548.0)</f>
        <v>41548</v>
      </c>
      <c r="E647" s="46">
        <f>IFERROR(__xludf.DUMMYFUNCTION("""COMPUTED_VALUE"""),2013.0)</f>
        <v>2013</v>
      </c>
      <c r="F647" s="46">
        <f>IFERROR(__xludf.DUMMYFUNCTION("""COMPUTED_VALUE"""),1.0)</f>
        <v>1</v>
      </c>
      <c r="G647" s="46">
        <f>IFERROR(__xludf.DUMMYFUNCTION("""COMPUTED_VALUE"""),9107.0)</f>
        <v>9107</v>
      </c>
      <c r="H647" s="46">
        <f>IFERROR(__xludf.DUMMYFUNCTION("""COMPUTED_VALUE"""),432127.15)</f>
        <v>432127.15</v>
      </c>
      <c r="I647" s="46">
        <f>IFERROR(__xludf.DUMMYFUNCTION("""COMPUTED_VALUE"""),289511.52999999997)</f>
        <v>289511.53</v>
      </c>
      <c r="J647" s="46">
        <f>IFERROR(__xludf.DUMMYFUNCTION("""COMPUTED_VALUE"""),142615.62000000005)</f>
        <v>142615.62</v>
      </c>
      <c r="K647" s="46" t="str">
        <f t="array" ref="K647">TEXT(D647, "mmmm")</f>
        <v>October</v>
      </c>
      <c r="M647" s="46" t="str">
        <f>IFERROR(__xludf.DUMMYFUNCTION("""COMPUTED_VALUE"""),"Bosnia and Herzegovina")</f>
        <v>Bosnia and Herzegovina</v>
      </c>
      <c r="N647" s="94">
        <f>IFERROR(__xludf.DUMMYFUNCTION("""COMPUTED_VALUE"""),41730.0)</f>
        <v>41730</v>
      </c>
      <c r="O647" s="46">
        <f>IFERROR(__xludf.DUMMYFUNCTION("""COMPUTED_VALUE"""),1.0)</f>
        <v>1</v>
      </c>
      <c r="P647" s="46">
        <f>IFERROR(__xludf.DUMMYFUNCTION("""COMPUTED_VALUE"""),474.0)</f>
        <v>474</v>
      </c>
      <c r="Q647" s="46">
        <f>IFERROR(__xludf.DUMMYFUNCTION("""COMPUTED_VALUE"""),121002.72)</f>
        <v>121002.72</v>
      </c>
      <c r="R647" s="46">
        <f>IFERROR(__xludf.DUMMYFUNCTION("""COMPUTED_VALUE"""),75565.07999999999)</f>
        <v>75565.08</v>
      </c>
      <c r="S647" s="46">
        <f>IFERROR(__xludf.DUMMYFUNCTION("""COMPUTED_VALUE"""),45437.640000000014)</f>
        <v>45437.64</v>
      </c>
    </row>
    <row r="648">
      <c r="A648" s="46" t="str">
        <f>IFERROR(__xludf.DUMMYFUNCTION("""COMPUTED_VALUE"""),"Beverages")</f>
        <v>Beverages</v>
      </c>
      <c r="B648" s="46" t="str">
        <f>IFERROR(__xludf.DUMMYFUNCTION("""COMPUTED_VALUE"""),"Bulgaria")</f>
        <v>Bulgaria</v>
      </c>
      <c r="C648" s="46" t="str">
        <f>IFERROR(__xludf.DUMMYFUNCTION("""COMPUTED_VALUE"""),"Europe")</f>
        <v>Europe</v>
      </c>
      <c r="D648" s="90">
        <f>IFERROR(__xludf.DUMMYFUNCTION("""COMPUTED_VALUE"""),41548.0)</f>
        <v>41548</v>
      </c>
      <c r="E648" s="46">
        <f>IFERROR(__xludf.DUMMYFUNCTION("""COMPUTED_VALUE"""),2013.0)</f>
        <v>2013</v>
      </c>
      <c r="F648" s="46">
        <f>IFERROR(__xludf.DUMMYFUNCTION("""COMPUTED_VALUE"""),1.0)</f>
        <v>1</v>
      </c>
      <c r="G648" s="46">
        <f>IFERROR(__xludf.DUMMYFUNCTION("""COMPUTED_VALUE"""),5185.0)</f>
        <v>5185</v>
      </c>
      <c r="H648" s="46">
        <f>IFERROR(__xludf.DUMMYFUNCTION("""COMPUTED_VALUE"""),246028.25000000003)</f>
        <v>246028.25</v>
      </c>
      <c r="I648" s="46">
        <f>IFERROR(__xludf.DUMMYFUNCTION("""COMPUTED_VALUE"""),164831.15)</f>
        <v>164831.15</v>
      </c>
      <c r="J648" s="46">
        <f>IFERROR(__xludf.DUMMYFUNCTION("""COMPUTED_VALUE"""),81197.10000000003)</f>
        <v>81197.1</v>
      </c>
      <c r="K648" s="46" t="str">
        <f t="array" ref="K648">TEXT(D648, "mmmm")</f>
        <v>October</v>
      </c>
      <c r="M648" s="46" t="str">
        <f>IFERROR(__xludf.DUMMYFUNCTION("""COMPUTED_VALUE"""),"Bulgaria")</f>
        <v>Bulgaria</v>
      </c>
      <c r="N648" s="94">
        <f>IFERROR(__xludf.DUMMYFUNCTION("""COMPUTED_VALUE"""),41730.0)</f>
        <v>41730</v>
      </c>
      <c r="O648" s="46">
        <f>IFERROR(__xludf.DUMMYFUNCTION("""COMPUTED_VALUE"""),1.0)</f>
        <v>1</v>
      </c>
      <c r="P648" s="46">
        <f>IFERROR(__xludf.DUMMYFUNCTION("""COMPUTED_VALUE"""),6927.0)</f>
        <v>6927</v>
      </c>
      <c r="Q648" s="46">
        <f>IFERROR(__xludf.DUMMYFUNCTION("""COMPUTED_VALUE"""),756982.56)</f>
        <v>756982.56</v>
      </c>
      <c r="R648" s="46">
        <f>IFERROR(__xludf.DUMMYFUNCTION("""COMPUTED_VALUE"""),248263.68000000002)</f>
        <v>248263.68</v>
      </c>
      <c r="S648" s="46">
        <f>IFERROR(__xludf.DUMMYFUNCTION("""COMPUTED_VALUE"""),508718.88)</f>
        <v>508718.88</v>
      </c>
    </row>
    <row r="649">
      <c r="A649" s="46" t="str">
        <f>IFERROR(__xludf.DUMMYFUNCTION("""COMPUTED_VALUE"""),"Beverages")</f>
        <v>Beverages</v>
      </c>
      <c r="B649" s="46" t="str">
        <f>IFERROR(__xludf.DUMMYFUNCTION("""COMPUTED_VALUE"""),"Malta")</f>
        <v>Malta</v>
      </c>
      <c r="C649" s="46" t="str">
        <f>IFERROR(__xludf.DUMMYFUNCTION("""COMPUTED_VALUE"""),"Europe")</f>
        <v>Europe</v>
      </c>
      <c r="D649" s="90">
        <f>IFERROR(__xludf.DUMMYFUNCTION("""COMPUTED_VALUE"""),41548.0)</f>
        <v>41548</v>
      </c>
      <c r="E649" s="46">
        <f>IFERROR(__xludf.DUMMYFUNCTION("""COMPUTED_VALUE"""),2013.0)</f>
        <v>2013</v>
      </c>
      <c r="F649" s="46">
        <f>IFERROR(__xludf.DUMMYFUNCTION("""COMPUTED_VALUE"""),1.0)</f>
        <v>1</v>
      </c>
      <c r="G649" s="46">
        <f>IFERROR(__xludf.DUMMYFUNCTION("""COMPUTED_VALUE"""),2199.0)</f>
        <v>2199</v>
      </c>
      <c r="H649" s="46">
        <f>IFERROR(__xludf.DUMMYFUNCTION("""COMPUTED_VALUE"""),104342.55)</f>
        <v>104342.55</v>
      </c>
      <c r="I649" s="46">
        <f>IFERROR(__xludf.DUMMYFUNCTION("""COMPUTED_VALUE"""),69906.20999999999)</f>
        <v>69906.21</v>
      </c>
      <c r="J649" s="46">
        <f>IFERROR(__xludf.DUMMYFUNCTION("""COMPUTED_VALUE"""),34436.34000000001)</f>
        <v>34436.34</v>
      </c>
      <c r="K649" s="46" t="str">
        <f t="array" ref="K649">TEXT(D649, "mmmm")</f>
        <v>October</v>
      </c>
      <c r="M649" s="46" t="str">
        <f>IFERROR(__xludf.DUMMYFUNCTION("""COMPUTED_VALUE"""),"Finland")</f>
        <v>Finland</v>
      </c>
      <c r="N649" s="94">
        <f>IFERROR(__xludf.DUMMYFUNCTION("""COMPUTED_VALUE"""),41730.0)</f>
        <v>41730</v>
      </c>
      <c r="O649" s="46">
        <f>IFERROR(__xludf.DUMMYFUNCTION("""COMPUTED_VALUE"""),1.0)</f>
        <v>1</v>
      </c>
      <c r="P649" s="46">
        <f>IFERROR(__xludf.DUMMYFUNCTION("""COMPUTED_VALUE"""),9410.0)</f>
        <v>9410</v>
      </c>
      <c r="Q649" s="46">
        <f>IFERROR(__xludf.DUMMYFUNCTION("""COMPUTED_VALUE"""),1028324.8)</f>
        <v>1028324.8</v>
      </c>
      <c r="R649" s="46">
        <f>IFERROR(__xludf.DUMMYFUNCTION("""COMPUTED_VALUE"""),337254.4)</f>
        <v>337254.4</v>
      </c>
      <c r="S649" s="46">
        <f>IFERROR(__xludf.DUMMYFUNCTION("""COMPUTED_VALUE"""),691070.4)</f>
        <v>691070.4</v>
      </c>
    </row>
    <row r="650">
      <c r="A650" s="46" t="str">
        <f>IFERROR(__xludf.DUMMYFUNCTION("""COMPUTED_VALUE"""),"Beverages")</f>
        <v>Beverages</v>
      </c>
      <c r="B650" s="46" t="str">
        <f>IFERROR(__xludf.DUMMYFUNCTION("""COMPUTED_VALUE"""),"Russia")</f>
        <v>Russia</v>
      </c>
      <c r="C650" s="46" t="str">
        <f>IFERROR(__xludf.DUMMYFUNCTION("""COMPUTED_VALUE"""),"Europe")</f>
        <v>Europe</v>
      </c>
      <c r="D650" s="90">
        <f>IFERROR(__xludf.DUMMYFUNCTION("""COMPUTED_VALUE"""),41548.0)</f>
        <v>41548</v>
      </c>
      <c r="E650" s="46">
        <f>IFERROR(__xludf.DUMMYFUNCTION("""COMPUTED_VALUE"""),2013.0)</f>
        <v>2013</v>
      </c>
      <c r="F650" s="46">
        <f>IFERROR(__xludf.DUMMYFUNCTION("""COMPUTED_VALUE"""),1.0)</f>
        <v>1</v>
      </c>
      <c r="G650" s="46">
        <f>IFERROR(__xludf.DUMMYFUNCTION("""COMPUTED_VALUE"""),8685.0)</f>
        <v>8685</v>
      </c>
      <c r="H650" s="46">
        <f>IFERROR(__xludf.DUMMYFUNCTION("""COMPUTED_VALUE"""),412103.25)</f>
        <v>412103.25</v>
      </c>
      <c r="I650" s="46">
        <f>IFERROR(__xludf.DUMMYFUNCTION("""COMPUTED_VALUE"""),276096.14999999997)</f>
        <v>276096.15</v>
      </c>
      <c r="J650" s="46">
        <f>IFERROR(__xludf.DUMMYFUNCTION("""COMPUTED_VALUE"""),136007.10000000003)</f>
        <v>136007.1</v>
      </c>
      <c r="K650" s="46" t="str">
        <f t="array" ref="K650">TEXT(D650, "mmmm")</f>
        <v>October</v>
      </c>
      <c r="M650" s="46" t="str">
        <f>IFERROR(__xludf.DUMMYFUNCTION("""COMPUTED_VALUE"""),"France")</f>
        <v>France</v>
      </c>
      <c r="N650" s="94">
        <f>IFERROR(__xludf.DUMMYFUNCTION("""COMPUTED_VALUE"""),41730.0)</f>
        <v>41730</v>
      </c>
      <c r="O650" s="46">
        <f>IFERROR(__xludf.DUMMYFUNCTION("""COMPUTED_VALUE"""),2.0)</f>
        <v>2</v>
      </c>
      <c r="P650" s="46">
        <f>IFERROR(__xludf.DUMMYFUNCTION("""COMPUTED_VALUE"""),6587.0)</f>
        <v>6587</v>
      </c>
      <c r="Q650" s="46">
        <f>IFERROR(__xludf.DUMMYFUNCTION("""COMPUTED_VALUE"""),682446.06)</f>
        <v>682446.06</v>
      </c>
      <c r="R650" s="46">
        <f>IFERROR(__xludf.DUMMYFUNCTION("""COMPUTED_VALUE"""),225262.0)</f>
        <v>225262</v>
      </c>
      <c r="S650" s="46">
        <f>IFERROR(__xludf.DUMMYFUNCTION("""COMPUTED_VALUE"""),457184.06)</f>
        <v>457184.06</v>
      </c>
    </row>
    <row r="651">
      <c r="A651" s="46" t="str">
        <f>IFERROR(__xludf.DUMMYFUNCTION("""COMPUTED_VALUE"""),"Beverages")</f>
        <v>Beverages</v>
      </c>
      <c r="B651" s="46" t="str">
        <f>IFERROR(__xludf.DUMMYFUNCTION("""COMPUTED_VALUE"""),"Slovakia")</f>
        <v>Slovakia</v>
      </c>
      <c r="C651" s="46" t="str">
        <f>IFERROR(__xludf.DUMMYFUNCTION("""COMPUTED_VALUE"""),"Europe")</f>
        <v>Europe</v>
      </c>
      <c r="D651" s="90">
        <f>IFERROR(__xludf.DUMMYFUNCTION("""COMPUTED_VALUE"""),41548.0)</f>
        <v>41548</v>
      </c>
      <c r="E651" s="46">
        <f>IFERROR(__xludf.DUMMYFUNCTION("""COMPUTED_VALUE"""),2013.0)</f>
        <v>2013</v>
      </c>
      <c r="F651" s="46">
        <f>IFERROR(__xludf.DUMMYFUNCTION("""COMPUTED_VALUE"""),1.0)</f>
        <v>1</v>
      </c>
      <c r="G651" s="46">
        <f>IFERROR(__xludf.DUMMYFUNCTION("""COMPUTED_VALUE"""),9505.0)</f>
        <v>9505</v>
      </c>
      <c r="H651" s="46">
        <f>IFERROR(__xludf.DUMMYFUNCTION("""COMPUTED_VALUE"""),451012.25)</f>
        <v>451012.25</v>
      </c>
      <c r="I651" s="46">
        <f>IFERROR(__xludf.DUMMYFUNCTION("""COMPUTED_VALUE"""),302163.95)</f>
        <v>302163.95</v>
      </c>
      <c r="J651" s="46">
        <f>IFERROR(__xludf.DUMMYFUNCTION("""COMPUTED_VALUE"""),148848.3)</f>
        <v>148848.3</v>
      </c>
      <c r="K651" s="46" t="str">
        <f t="array" ref="K651">TEXT(D651, "mmmm")</f>
        <v>October</v>
      </c>
      <c r="M651" s="46" t="str">
        <f>IFERROR(__xludf.DUMMYFUNCTION("""COMPUTED_VALUE"""),"Liechtenstein")</f>
        <v>Liechtenstein</v>
      </c>
      <c r="N651" s="94">
        <f>IFERROR(__xludf.DUMMYFUNCTION("""COMPUTED_VALUE"""),41730.0)</f>
        <v>41730</v>
      </c>
      <c r="O651" s="46">
        <f>IFERROR(__xludf.DUMMYFUNCTION("""COMPUTED_VALUE"""),1.0)</f>
        <v>1</v>
      </c>
      <c r="P651" s="46">
        <f>IFERROR(__xludf.DUMMYFUNCTION("""COMPUTED_VALUE"""),2169.0)</f>
        <v>2169</v>
      </c>
      <c r="Q651" s="46">
        <f>IFERROR(__xludf.DUMMYFUNCTION("""COMPUTED_VALUE"""),1449477.63)</f>
        <v>1449477.63</v>
      </c>
      <c r="R651" s="46">
        <f>IFERROR(__xludf.DUMMYFUNCTION("""COMPUTED_VALUE"""),1090009.26)</f>
        <v>1090009.26</v>
      </c>
      <c r="S651" s="46">
        <f>IFERROR(__xludf.DUMMYFUNCTION("""COMPUTED_VALUE"""),359468.3699999999)</f>
        <v>359468.37</v>
      </c>
    </row>
    <row r="652">
      <c r="A652" s="46" t="str">
        <f>IFERROR(__xludf.DUMMYFUNCTION("""COMPUTED_VALUE"""),"Cereal")</f>
        <v>Cereal</v>
      </c>
      <c r="B652" s="46" t="str">
        <f>IFERROR(__xludf.DUMMYFUNCTION("""COMPUTED_VALUE"""),"Estonia")</f>
        <v>Estonia</v>
      </c>
      <c r="C652" s="46" t="str">
        <f>IFERROR(__xludf.DUMMYFUNCTION("""COMPUTED_VALUE"""),"Europe")</f>
        <v>Europe</v>
      </c>
      <c r="D652" s="90">
        <f>IFERROR(__xludf.DUMMYFUNCTION("""COMPUTED_VALUE"""),41548.0)</f>
        <v>41548</v>
      </c>
      <c r="E652" s="46">
        <f>IFERROR(__xludf.DUMMYFUNCTION("""COMPUTED_VALUE"""),2013.0)</f>
        <v>2013</v>
      </c>
      <c r="F652" s="46">
        <f>IFERROR(__xludf.DUMMYFUNCTION("""COMPUTED_VALUE"""),1.0)</f>
        <v>1</v>
      </c>
      <c r="G652" s="46">
        <f>IFERROR(__xludf.DUMMYFUNCTION("""COMPUTED_VALUE"""),1504.0)</f>
        <v>1504</v>
      </c>
      <c r="H652" s="46">
        <f>IFERROR(__xludf.DUMMYFUNCTION("""COMPUTED_VALUE"""),309372.8)</f>
        <v>309372.8</v>
      </c>
      <c r="I652" s="46">
        <f>IFERROR(__xludf.DUMMYFUNCTION("""COMPUTED_VALUE"""),176133.44)</f>
        <v>176133.44</v>
      </c>
      <c r="J652" s="46">
        <f>IFERROR(__xludf.DUMMYFUNCTION("""COMPUTED_VALUE"""),133239.36)</f>
        <v>133239.36</v>
      </c>
      <c r="K652" s="46" t="str">
        <f t="array" ref="K652">TEXT(D652, "mmmm")</f>
        <v>October</v>
      </c>
      <c r="M652" s="46" t="str">
        <f>IFERROR(__xludf.DUMMYFUNCTION("""COMPUTED_VALUE"""),"Macedonia")</f>
        <v>Macedonia</v>
      </c>
      <c r="N652" s="94">
        <f>IFERROR(__xludf.DUMMYFUNCTION("""COMPUTED_VALUE"""),41730.0)</f>
        <v>41730</v>
      </c>
      <c r="O652" s="46">
        <f>IFERROR(__xludf.DUMMYFUNCTION("""COMPUTED_VALUE"""),1.0)</f>
        <v>1</v>
      </c>
      <c r="P652" s="46">
        <f>IFERROR(__xludf.DUMMYFUNCTION("""COMPUTED_VALUE"""),8307.0)</f>
        <v>8307</v>
      </c>
      <c r="Q652" s="46">
        <f>IFERROR(__xludf.DUMMYFUNCTION("""COMPUTED_VALUE"""),2120610.96)</f>
        <v>2120610.96</v>
      </c>
      <c r="R652" s="46">
        <f>IFERROR(__xludf.DUMMYFUNCTION("""COMPUTED_VALUE"""),1324301.94)</f>
        <v>1324301.94</v>
      </c>
      <c r="S652" s="46">
        <f>IFERROR(__xludf.DUMMYFUNCTION("""COMPUTED_VALUE"""),796309.02)</f>
        <v>796309.02</v>
      </c>
    </row>
    <row r="653">
      <c r="A653" s="46" t="str">
        <f>IFERROR(__xludf.DUMMYFUNCTION("""COMPUTED_VALUE"""),"Cereal")</f>
        <v>Cereal</v>
      </c>
      <c r="B653" s="46" t="str">
        <f>IFERROR(__xludf.DUMMYFUNCTION("""COMPUTED_VALUE"""),"Greece")</f>
        <v>Greece</v>
      </c>
      <c r="C653" s="46" t="str">
        <f>IFERROR(__xludf.DUMMYFUNCTION("""COMPUTED_VALUE"""),"Europe")</f>
        <v>Europe</v>
      </c>
      <c r="D653" s="90">
        <f>IFERROR(__xludf.DUMMYFUNCTION("""COMPUTED_VALUE"""),41548.0)</f>
        <v>41548</v>
      </c>
      <c r="E653" s="46">
        <f>IFERROR(__xludf.DUMMYFUNCTION("""COMPUTED_VALUE"""),2013.0)</f>
        <v>2013</v>
      </c>
      <c r="F653" s="46">
        <f>IFERROR(__xludf.DUMMYFUNCTION("""COMPUTED_VALUE"""),1.0)</f>
        <v>1</v>
      </c>
      <c r="G653" s="46">
        <f>IFERROR(__xludf.DUMMYFUNCTION("""COMPUTED_VALUE"""),2045.0)</f>
        <v>2045</v>
      </c>
      <c r="H653" s="46">
        <f>IFERROR(__xludf.DUMMYFUNCTION("""COMPUTED_VALUE"""),420656.5)</f>
        <v>420656.5</v>
      </c>
      <c r="I653" s="46">
        <f>IFERROR(__xludf.DUMMYFUNCTION("""COMPUTED_VALUE"""),239489.95)</f>
        <v>239489.95</v>
      </c>
      <c r="J653" s="46">
        <f>IFERROR(__xludf.DUMMYFUNCTION("""COMPUTED_VALUE"""),181166.55)</f>
        <v>181166.55</v>
      </c>
      <c r="K653" s="46" t="str">
        <f t="array" ref="K653">TEXT(D653, "mmmm")</f>
        <v>October</v>
      </c>
      <c r="M653" s="46" t="str">
        <f>IFERROR(__xludf.DUMMYFUNCTION("""COMPUTED_VALUE"""),"Monaco")</f>
        <v>Monaco</v>
      </c>
      <c r="N653" s="94">
        <f>IFERROR(__xludf.DUMMYFUNCTION("""COMPUTED_VALUE"""),41730.0)</f>
        <v>41730</v>
      </c>
      <c r="O653" s="46">
        <f>IFERROR(__xludf.DUMMYFUNCTION("""COMPUTED_VALUE"""),1.0)</f>
        <v>1</v>
      </c>
      <c r="P653" s="46">
        <f>IFERROR(__xludf.DUMMYFUNCTION("""COMPUTED_VALUE"""),478.0)</f>
        <v>478</v>
      </c>
      <c r="Q653" s="46">
        <f>IFERROR(__xludf.DUMMYFUNCTION("""COMPUTED_VALUE"""),319433.06)</f>
        <v>319433.06</v>
      </c>
      <c r="R653" s="46">
        <f>IFERROR(__xludf.DUMMYFUNCTION("""COMPUTED_VALUE"""),240214.12)</f>
        <v>240214.12</v>
      </c>
      <c r="S653" s="46">
        <f>IFERROR(__xludf.DUMMYFUNCTION("""COMPUTED_VALUE"""),79218.94)</f>
        <v>79218.94</v>
      </c>
    </row>
    <row r="654">
      <c r="A654" s="46" t="str">
        <f>IFERROR(__xludf.DUMMYFUNCTION("""COMPUTED_VALUE"""),"Clothes")</f>
        <v>Clothes</v>
      </c>
      <c r="B654" s="46" t="str">
        <f>IFERROR(__xludf.DUMMYFUNCTION("""COMPUTED_VALUE"""),"Bosnia and Herzegovina")</f>
        <v>Bosnia and Herzegovina</v>
      </c>
      <c r="C654" s="46" t="str">
        <f>IFERROR(__xludf.DUMMYFUNCTION("""COMPUTED_VALUE"""),"Europe")</f>
        <v>Europe</v>
      </c>
      <c r="D654" s="90">
        <f>IFERROR(__xludf.DUMMYFUNCTION("""COMPUTED_VALUE"""),41548.0)</f>
        <v>41548</v>
      </c>
      <c r="E654" s="46">
        <f>IFERROR(__xludf.DUMMYFUNCTION("""COMPUTED_VALUE"""),2013.0)</f>
        <v>2013</v>
      </c>
      <c r="F654" s="46">
        <f>IFERROR(__xludf.DUMMYFUNCTION("""COMPUTED_VALUE"""),1.0)</f>
        <v>1</v>
      </c>
      <c r="G654" s="46">
        <f>IFERROR(__xludf.DUMMYFUNCTION("""COMPUTED_VALUE"""),927.0)</f>
        <v>927</v>
      </c>
      <c r="H654" s="46">
        <f>IFERROR(__xludf.DUMMYFUNCTION("""COMPUTED_VALUE"""),101302.56)</f>
        <v>101302.56</v>
      </c>
      <c r="I654" s="46">
        <f>IFERROR(__xludf.DUMMYFUNCTION("""COMPUTED_VALUE"""),33223.68)</f>
        <v>33223.68</v>
      </c>
      <c r="J654" s="46">
        <f>IFERROR(__xludf.DUMMYFUNCTION("""COMPUTED_VALUE"""),68078.88)</f>
        <v>68078.88</v>
      </c>
      <c r="K654" s="46" t="str">
        <f t="array" ref="K654">TEXT(D654, "mmmm")</f>
        <v>October</v>
      </c>
      <c r="M654" s="46" t="str">
        <f>IFERROR(__xludf.DUMMYFUNCTION("""COMPUTED_VALUE"""),"Norway")</f>
        <v>Norway</v>
      </c>
      <c r="N654" s="94">
        <f>IFERROR(__xludf.DUMMYFUNCTION("""COMPUTED_VALUE"""),41730.0)</f>
        <v>41730</v>
      </c>
      <c r="O654" s="46">
        <f>IFERROR(__xludf.DUMMYFUNCTION("""COMPUTED_VALUE"""),1.0)</f>
        <v>1</v>
      </c>
      <c r="P654" s="46">
        <f>IFERROR(__xludf.DUMMYFUNCTION("""COMPUTED_VALUE"""),8631.0)</f>
        <v>8631</v>
      </c>
      <c r="Q654" s="46">
        <f>IFERROR(__xludf.DUMMYFUNCTION("""COMPUTED_VALUE"""),943195.68)</f>
        <v>943195.68</v>
      </c>
      <c r="R654" s="46">
        <f>IFERROR(__xludf.DUMMYFUNCTION("""COMPUTED_VALUE"""),309335.04000000004)</f>
        <v>309335.04</v>
      </c>
      <c r="S654" s="46">
        <f>IFERROR(__xludf.DUMMYFUNCTION("""COMPUTED_VALUE"""),633860.64)</f>
        <v>633860.64</v>
      </c>
    </row>
    <row r="655">
      <c r="A655" s="46" t="str">
        <f>IFERROR(__xludf.DUMMYFUNCTION("""COMPUTED_VALUE"""),"Cosmetics")</f>
        <v>Cosmetics</v>
      </c>
      <c r="B655" s="46" t="str">
        <f>IFERROR(__xludf.DUMMYFUNCTION("""COMPUTED_VALUE"""),"Slovenia")</f>
        <v>Slovenia</v>
      </c>
      <c r="C655" s="46" t="str">
        <f>IFERROR(__xludf.DUMMYFUNCTION("""COMPUTED_VALUE"""),"Europe")</f>
        <v>Europe</v>
      </c>
      <c r="D655" s="90">
        <f>IFERROR(__xludf.DUMMYFUNCTION("""COMPUTED_VALUE"""),41548.0)</f>
        <v>41548</v>
      </c>
      <c r="E655" s="46">
        <f>IFERROR(__xludf.DUMMYFUNCTION("""COMPUTED_VALUE"""),2013.0)</f>
        <v>2013</v>
      </c>
      <c r="F655" s="46">
        <f>IFERROR(__xludf.DUMMYFUNCTION("""COMPUTED_VALUE"""),1.0)</f>
        <v>1</v>
      </c>
      <c r="G655" s="46">
        <f>IFERROR(__xludf.DUMMYFUNCTION("""COMPUTED_VALUE"""),7623.0)</f>
        <v>7623</v>
      </c>
      <c r="H655" s="46">
        <f>IFERROR(__xludf.DUMMYFUNCTION("""COMPUTED_VALUE"""),3332775.6)</f>
        <v>3332775.6</v>
      </c>
      <c r="I655" s="46">
        <f>IFERROR(__xludf.DUMMYFUNCTION("""COMPUTED_VALUE"""),2007364.5899999999)</f>
        <v>2007364.59</v>
      </c>
      <c r="J655" s="46">
        <f>IFERROR(__xludf.DUMMYFUNCTION("""COMPUTED_VALUE"""),1325411.0100000002)</f>
        <v>1325411.01</v>
      </c>
      <c r="K655" s="46" t="str">
        <f t="array" ref="K655">TEXT(D655, "mmmm")</f>
        <v>October</v>
      </c>
      <c r="M655" s="46" t="str">
        <f>IFERROR(__xludf.DUMMYFUNCTION("""COMPUTED_VALUE"""),"Poland")</f>
        <v>Poland</v>
      </c>
      <c r="N655" s="94">
        <f>IFERROR(__xludf.DUMMYFUNCTION("""COMPUTED_VALUE"""),41730.0)</f>
        <v>41730</v>
      </c>
      <c r="O655" s="46">
        <f>IFERROR(__xludf.DUMMYFUNCTION("""COMPUTED_VALUE"""),1.0)</f>
        <v>1</v>
      </c>
      <c r="P655" s="46">
        <f>IFERROR(__xludf.DUMMYFUNCTION("""COMPUTED_VALUE"""),5060.0)</f>
        <v>5060</v>
      </c>
      <c r="Q655" s="46">
        <f>IFERROR(__xludf.DUMMYFUNCTION("""COMPUTED_VALUE"""),413553.80000000005)</f>
        <v>413553.8</v>
      </c>
      <c r="R655" s="46">
        <f>IFERROR(__xludf.DUMMYFUNCTION("""COMPUTED_VALUE"""),286750.2)</f>
        <v>286750.2</v>
      </c>
      <c r="S655" s="46">
        <f>IFERROR(__xludf.DUMMYFUNCTION("""COMPUTED_VALUE"""),126803.60000000003)</f>
        <v>126803.6</v>
      </c>
    </row>
    <row r="656">
      <c r="A656" s="46" t="str">
        <f>IFERROR(__xludf.DUMMYFUNCTION("""COMPUTED_VALUE"""),"Fruits")</f>
        <v>Fruits</v>
      </c>
      <c r="B656" s="46" t="str">
        <f>IFERROR(__xludf.DUMMYFUNCTION("""COMPUTED_VALUE"""),"Belgium")</f>
        <v>Belgium</v>
      </c>
      <c r="C656" s="46" t="str">
        <f>IFERROR(__xludf.DUMMYFUNCTION("""COMPUTED_VALUE"""),"Europe")</f>
        <v>Europe</v>
      </c>
      <c r="D656" s="90">
        <f>IFERROR(__xludf.DUMMYFUNCTION("""COMPUTED_VALUE"""),41548.0)</f>
        <v>41548</v>
      </c>
      <c r="E656" s="46">
        <f>IFERROR(__xludf.DUMMYFUNCTION("""COMPUTED_VALUE"""),2013.0)</f>
        <v>2013</v>
      </c>
      <c r="F656" s="46">
        <f>IFERROR(__xludf.DUMMYFUNCTION("""COMPUTED_VALUE"""),1.0)</f>
        <v>1</v>
      </c>
      <c r="G656" s="46">
        <f>IFERROR(__xludf.DUMMYFUNCTION("""COMPUTED_VALUE"""),8310.0)</f>
        <v>8310</v>
      </c>
      <c r="H656" s="46">
        <f>IFERROR(__xludf.DUMMYFUNCTION("""COMPUTED_VALUE"""),77532.3)</f>
        <v>77532.3</v>
      </c>
      <c r="I656" s="46">
        <f>IFERROR(__xludf.DUMMYFUNCTION("""COMPUTED_VALUE"""),57505.2)</f>
        <v>57505.2</v>
      </c>
      <c r="J656" s="46">
        <f>IFERROR(__xludf.DUMMYFUNCTION("""COMPUTED_VALUE"""),20027.100000000006)</f>
        <v>20027.1</v>
      </c>
      <c r="K656" s="46" t="str">
        <f t="array" ref="K656">TEXT(D656, "mmmm")</f>
        <v>October</v>
      </c>
      <c r="M656" s="46" t="str">
        <f>IFERROR(__xludf.DUMMYFUNCTION("""COMPUTED_VALUE"""),"Russia")</f>
        <v>Russia</v>
      </c>
      <c r="N656" s="94">
        <f>IFERROR(__xludf.DUMMYFUNCTION("""COMPUTED_VALUE"""),41730.0)</f>
        <v>41730</v>
      </c>
      <c r="O656" s="46">
        <f>IFERROR(__xludf.DUMMYFUNCTION("""COMPUTED_VALUE"""),1.0)</f>
        <v>1</v>
      </c>
      <c r="P656" s="46">
        <f>IFERROR(__xludf.DUMMYFUNCTION("""COMPUTED_VALUE"""),114.0)</f>
        <v>114</v>
      </c>
      <c r="Q656" s="46">
        <f>IFERROR(__xludf.DUMMYFUNCTION("""COMPUTED_VALUE"""),5409.3)</f>
        <v>5409.3</v>
      </c>
      <c r="R656" s="46">
        <f>IFERROR(__xludf.DUMMYFUNCTION("""COMPUTED_VALUE"""),3624.06)</f>
        <v>3624.06</v>
      </c>
      <c r="S656" s="46">
        <f>IFERROR(__xludf.DUMMYFUNCTION("""COMPUTED_VALUE"""),1785.2400000000002)</f>
        <v>1785.24</v>
      </c>
    </row>
    <row r="657">
      <c r="A657" s="46" t="str">
        <f>IFERROR(__xludf.DUMMYFUNCTION("""COMPUTED_VALUE"""),"Fruits")</f>
        <v>Fruits</v>
      </c>
      <c r="B657" s="46" t="str">
        <f>IFERROR(__xludf.DUMMYFUNCTION("""COMPUTED_VALUE"""),"Bulgaria")</f>
        <v>Bulgaria</v>
      </c>
      <c r="C657" s="46" t="str">
        <f>IFERROR(__xludf.DUMMYFUNCTION("""COMPUTED_VALUE"""),"Europe")</f>
        <v>Europe</v>
      </c>
      <c r="D657" s="90">
        <f>IFERROR(__xludf.DUMMYFUNCTION("""COMPUTED_VALUE"""),41548.0)</f>
        <v>41548</v>
      </c>
      <c r="E657" s="46">
        <f>IFERROR(__xludf.DUMMYFUNCTION("""COMPUTED_VALUE"""),2013.0)</f>
        <v>2013</v>
      </c>
      <c r="F657" s="46">
        <f>IFERROR(__xludf.DUMMYFUNCTION("""COMPUTED_VALUE"""),1.0)</f>
        <v>1</v>
      </c>
      <c r="G657" s="46">
        <f>IFERROR(__xludf.DUMMYFUNCTION("""COMPUTED_VALUE"""),7742.0)</f>
        <v>7742</v>
      </c>
      <c r="H657" s="46">
        <f>IFERROR(__xludf.DUMMYFUNCTION("""COMPUTED_VALUE"""),72232.86)</f>
        <v>72232.86</v>
      </c>
      <c r="I657" s="46">
        <f>IFERROR(__xludf.DUMMYFUNCTION("""COMPUTED_VALUE"""),53574.64)</f>
        <v>53574.64</v>
      </c>
      <c r="J657" s="46">
        <f>IFERROR(__xludf.DUMMYFUNCTION("""COMPUTED_VALUE"""),18658.22)</f>
        <v>18658.22</v>
      </c>
      <c r="K657" s="46" t="str">
        <f t="array" ref="K657">TEXT(D657, "mmmm")</f>
        <v>October</v>
      </c>
      <c r="M657" s="46" t="str">
        <f>IFERROR(__xludf.DUMMYFUNCTION("""COMPUTED_VALUE"""),"San Marino")</f>
        <v>San Marino</v>
      </c>
      <c r="N657" s="94">
        <f>IFERROR(__xludf.DUMMYFUNCTION("""COMPUTED_VALUE"""),41730.0)</f>
        <v>41730</v>
      </c>
      <c r="O657" s="46">
        <f>IFERROR(__xludf.DUMMYFUNCTION("""COMPUTED_VALUE"""),1.0)</f>
        <v>1</v>
      </c>
      <c r="P657" s="46">
        <f>IFERROR(__xludf.DUMMYFUNCTION("""COMPUTED_VALUE"""),6905.0)</f>
        <v>6905</v>
      </c>
      <c r="Q657" s="46">
        <f>IFERROR(__xludf.DUMMYFUNCTION("""COMPUTED_VALUE"""),4496605.05)</f>
        <v>4496605.05</v>
      </c>
      <c r="R657" s="46">
        <f>IFERROR(__xludf.DUMMYFUNCTION("""COMPUTED_VALUE"""),3624848.8000000003)</f>
        <v>3624848.8</v>
      </c>
      <c r="S657" s="46">
        <f>IFERROR(__xludf.DUMMYFUNCTION("""COMPUTED_VALUE"""),871756.2499999995)</f>
        <v>871756.25</v>
      </c>
    </row>
    <row r="658">
      <c r="A658" s="46" t="str">
        <f>IFERROR(__xludf.DUMMYFUNCTION("""COMPUTED_VALUE"""),"Household")</f>
        <v>Household</v>
      </c>
      <c r="B658" s="46" t="str">
        <f>IFERROR(__xludf.DUMMYFUNCTION("""COMPUTED_VALUE"""),"Croatia")</f>
        <v>Croatia</v>
      </c>
      <c r="C658" s="46" t="str">
        <f>IFERROR(__xludf.DUMMYFUNCTION("""COMPUTED_VALUE"""),"Europe")</f>
        <v>Europe</v>
      </c>
      <c r="D658" s="90">
        <f>IFERROR(__xludf.DUMMYFUNCTION("""COMPUTED_VALUE"""),41548.0)</f>
        <v>41548</v>
      </c>
      <c r="E658" s="46">
        <f>IFERROR(__xludf.DUMMYFUNCTION("""COMPUTED_VALUE"""),2013.0)</f>
        <v>2013</v>
      </c>
      <c r="F658" s="46">
        <f>IFERROR(__xludf.DUMMYFUNCTION("""COMPUTED_VALUE"""),1.0)</f>
        <v>1</v>
      </c>
      <c r="G658" s="46">
        <f>IFERROR(__xludf.DUMMYFUNCTION("""COMPUTED_VALUE"""),5258.0)</f>
        <v>5258</v>
      </c>
      <c r="H658" s="46">
        <f>IFERROR(__xludf.DUMMYFUNCTION("""COMPUTED_VALUE"""),3513763.6599999997)</f>
        <v>3513763.66</v>
      </c>
      <c r="I658" s="46">
        <f>IFERROR(__xludf.DUMMYFUNCTION("""COMPUTED_VALUE"""),2642355.3200000003)</f>
        <v>2642355.32</v>
      </c>
      <c r="J658" s="46">
        <f>IFERROR(__xludf.DUMMYFUNCTION("""COMPUTED_VALUE"""),871408.3399999994)</f>
        <v>871408.34</v>
      </c>
      <c r="K658" s="46" t="str">
        <f t="array" ref="K658">TEXT(D658, "mmmm")</f>
        <v>October</v>
      </c>
      <c r="M658" s="46" t="str">
        <f>IFERROR(__xludf.DUMMYFUNCTION("""COMPUTED_VALUE"""),"Switzerland")</f>
        <v>Switzerland</v>
      </c>
      <c r="N658" s="94">
        <f>IFERROR(__xludf.DUMMYFUNCTION("""COMPUTED_VALUE"""),41730.0)</f>
        <v>41730</v>
      </c>
      <c r="O658" s="46">
        <f>IFERROR(__xludf.DUMMYFUNCTION("""COMPUTED_VALUE"""),1.0)</f>
        <v>1</v>
      </c>
      <c r="P658" s="46">
        <f>IFERROR(__xludf.DUMMYFUNCTION("""COMPUTED_VALUE"""),2958.0)</f>
        <v>2958</v>
      </c>
      <c r="Q658" s="46">
        <f>IFERROR(__xludf.DUMMYFUNCTION("""COMPUTED_VALUE"""),241757.34000000003)</f>
        <v>241757.34</v>
      </c>
      <c r="R658" s="46">
        <f>IFERROR(__xludf.DUMMYFUNCTION("""COMPUTED_VALUE"""),167629.86000000002)</f>
        <v>167629.86</v>
      </c>
      <c r="S658" s="46">
        <f>IFERROR(__xludf.DUMMYFUNCTION("""COMPUTED_VALUE"""),74127.48000000001)</f>
        <v>74127.48</v>
      </c>
    </row>
    <row r="659">
      <c r="A659" s="46" t="str">
        <f>IFERROR(__xludf.DUMMYFUNCTION("""COMPUTED_VALUE"""),"Office Supplies")</f>
        <v>Office Supplies</v>
      </c>
      <c r="B659" s="46" t="str">
        <f>IFERROR(__xludf.DUMMYFUNCTION("""COMPUTED_VALUE"""),"France")</f>
        <v>France</v>
      </c>
      <c r="C659" s="46" t="str">
        <f>IFERROR(__xludf.DUMMYFUNCTION("""COMPUTED_VALUE"""),"Europe")</f>
        <v>Europe</v>
      </c>
      <c r="D659" s="90">
        <f>IFERROR(__xludf.DUMMYFUNCTION("""COMPUTED_VALUE"""),41548.0)</f>
        <v>41548</v>
      </c>
      <c r="E659" s="46">
        <f>IFERROR(__xludf.DUMMYFUNCTION("""COMPUTED_VALUE"""),2013.0)</f>
        <v>2013</v>
      </c>
      <c r="F659" s="46">
        <f>IFERROR(__xludf.DUMMYFUNCTION("""COMPUTED_VALUE"""),1.0)</f>
        <v>1</v>
      </c>
      <c r="G659" s="46">
        <f>IFERROR(__xludf.DUMMYFUNCTION("""COMPUTED_VALUE"""),1962.0)</f>
        <v>1962</v>
      </c>
      <c r="H659" s="46">
        <f>IFERROR(__xludf.DUMMYFUNCTION("""COMPUTED_VALUE"""),1277674.02)</f>
        <v>1277674.02</v>
      </c>
      <c r="I659" s="46">
        <f>IFERROR(__xludf.DUMMYFUNCTION("""COMPUTED_VALUE"""),1029971.52)</f>
        <v>1029971.52</v>
      </c>
      <c r="J659" s="46">
        <f>IFERROR(__xludf.DUMMYFUNCTION("""COMPUTED_VALUE"""),247702.5)</f>
        <v>247702.5</v>
      </c>
      <c r="K659" s="46" t="str">
        <f t="array" ref="K659">TEXT(D659, "mmmm")</f>
        <v>October</v>
      </c>
      <c r="M659" s="46" t="str">
        <f>IFERROR(__xludf.DUMMYFUNCTION("""COMPUTED_VALUE"""),"Ukraine")</f>
        <v>Ukraine</v>
      </c>
      <c r="N659" s="94">
        <f>IFERROR(__xludf.DUMMYFUNCTION("""COMPUTED_VALUE"""),41730.0)</f>
        <v>41730</v>
      </c>
      <c r="O659" s="46">
        <f>IFERROR(__xludf.DUMMYFUNCTION("""COMPUTED_VALUE"""),1.0)</f>
        <v>1</v>
      </c>
      <c r="P659" s="46">
        <f>IFERROR(__xludf.DUMMYFUNCTION("""COMPUTED_VALUE"""),3633.0)</f>
        <v>3633</v>
      </c>
      <c r="Q659" s="46">
        <f>IFERROR(__xludf.DUMMYFUNCTION("""COMPUTED_VALUE"""),747308.1)</f>
        <v>747308.1</v>
      </c>
      <c r="R659" s="46">
        <f>IFERROR(__xludf.DUMMYFUNCTION("""COMPUTED_VALUE"""),425460.63)</f>
        <v>425460.63</v>
      </c>
      <c r="S659" s="46">
        <f>IFERROR(__xludf.DUMMYFUNCTION("""COMPUTED_VALUE"""),321847.47)</f>
        <v>321847.47</v>
      </c>
    </row>
    <row r="660">
      <c r="A660" s="46" t="str">
        <f>IFERROR(__xludf.DUMMYFUNCTION("""COMPUTED_VALUE"""),"Snacks")</f>
        <v>Snacks</v>
      </c>
      <c r="B660" s="46" t="str">
        <f>IFERROR(__xludf.DUMMYFUNCTION("""COMPUTED_VALUE"""),"Slovakia")</f>
        <v>Slovakia</v>
      </c>
      <c r="C660" s="46" t="str">
        <f>IFERROR(__xludf.DUMMYFUNCTION("""COMPUTED_VALUE"""),"Europe")</f>
        <v>Europe</v>
      </c>
      <c r="D660" s="90">
        <f>IFERROR(__xludf.DUMMYFUNCTION("""COMPUTED_VALUE"""),41548.0)</f>
        <v>41548</v>
      </c>
      <c r="E660" s="46">
        <f>IFERROR(__xludf.DUMMYFUNCTION("""COMPUTED_VALUE"""),2013.0)</f>
        <v>2013</v>
      </c>
      <c r="F660" s="46">
        <f>IFERROR(__xludf.DUMMYFUNCTION("""COMPUTED_VALUE"""),1.0)</f>
        <v>1</v>
      </c>
      <c r="G660" s="46">
        <f>IFERROR(__xludf.DUMMYFUNCTION("""COMPUTED_VALUE"""),3968.0)</f>
        <v>3968</v>
      </c>
      <c r="H660" s="46">
        <f>IFERROR(__xludf.DUMMYFUNCTION("""COMPUTED_VALUE"""),605437.4400000001)</f>
        <v>605437.44</v>
      </c>
      <c r="I660" s="46">
        <f>IFERROR(__xludf.DUMMYFUNCTION("""COMPUTED_VALUE"""),386641.92)</f>
        <v>386641.92</v>
      </c>
      <c r="J660" s="46">
        <f>IFERROR(__xludf.DUMMYFUNCTION("""COMPUTED_VALUE"""),218795.52000000008)</f>
        <v>218795.52</v>
      </c>
      <c r="K660" s="46" t="str">
        <f t="array" ref="K660">TEXT(D660, "mmmm")</f>
        <v>October</v>
      </c>
      <c r="M660" s="46" t="str">
        <f>IFERROR(__xludf.DUMMYFUNCTION("""COMPUTED_VALUE"""),"Andorra")</f>
        <v>Andorra</v>
      </c>
      <c r="N660" s="94">
        <f>IFERROR(__xludf.DUMMYFUNCTION("""COMPUTED_VALUE"""),41760.0)</f>
        <v>41760</v>
      </c>
      <c r="O660" s="46">
        <f>IFERROR(__xludf.DUMMYFUNCTION("""COMPUTED_VALUE"""),2.0)</f>
        <v>2</v>
      </c>
      <c r="P660" s="46">
        <f>IFERROR(__xludf.DUMMYFUNCTION("""COMPUTED_VALUE"""),4210.0)</f>
        <v>4210</v>
      </c>
      <c r="Q660" s="46">
        <f>IFERROR(__xludf.DUMMYFUNCTION("""COMPUTED_VALUE"""),2165678.68)</f>
        <v>2165678.68</v>
      </c>
      <c r="R660" s="46">
        <f>IFERROR(__xludf.DUMMYFUNCTION("""COMPUTED_VALUE"""),1628498.9400000002)</f>
        <v>1628498.94</v>
      </c>
      <c r="S660" s="46">
        <f>IFERROR(__xludf.DUMMYFUNCTION("""COMPUTED_VALUE"""),537179.74)</f>
        <v>537179.74</v>
      </c>
    </row>
    <row r="661">
      <c r="A661" s="46" t="str">
        <f>IFERROR(__xludf.DUMMYFUNCTION("""COMPUTED_VALUE"""),"Vegetables")</f>
        <v>Vegetables</v>
      </c>
      <c r="B661" s="46" t="str">
        <f>IFERROR(__xludf.DUMMYFUNCTION("""COMPUTED_VALUE"""),"Liechtenstein")</f>
        <v>Liechtenstein</v>
      </c>
      <c r="C661" s="46" t="str">
        <f>IFERROR(__xludf.DUMMYFUNCTION("""COMPUTED_VALUE"""),"Europe")</f>
        <v>Europe</v>
      </c>
      <c r="D661" s="90">
        <f>IFERROR(__xludf.DUMMYFUNCTION("""COMPUTED_VALUE"""),41548.0)</f>
        <v>41548</v>
      </c>
      <c r="E661" s="46">
        <f>IFERROR(__xludf.DUMMYFUNCTION("""COMPUTED_VALUE"""),2013.0)</f>
        <v>2013</v>
      </c>
      <c r="F661" s="46">
        <f>IFERROR(__xludf.DUMMYFUNCTION("""COMPUTED_VALUE"""),1.0)</f>
        <v>1</v>
      </c>
      <c r="G661" s="46">
        <f>IFERROR(__xludf.DUMMYFUNCTION("""COMPUTED_VALUE"""),6531.0)</f>
        <v>6531</v>
      </c>
      <c r="H661" s="46">
        <f>IFERROR(__xludf.DUMMYFUNCTION("""COMPUTED_VALUE"""),1006165.86)</f>
        <v>1006165.86</v>
      </c>
      <c r="I661" s="46">
        <f>IFERROR(__xludf.DUMMYFUNCTION("""COMPUTED_VALUE"""),593863.8300000001)</f>
        <v>593863.83</v>
      </c>
      <c r="J661" s="46">
        <f>IFERROR(__xludf.DUMMYFUNCTION("""COMPUTED_VALUE"""),412302.0299999999)</f>
        <v>412302.03</v>
      </c>
      <c r="K661" s="46" t="str">
        <f t="array" ref="K661">TEXT(D661, "mmmm")</f>
        <v>October</v>
      </c>
      <c r="M661" s="46" t="str">
        <f>IFERROR(__xludf.DUMMYFUNCTION("""COMPUTED_VALUE"""),"Austria")</f>
        <v>Austria</v>
      </c>
      <c r="N661" s="94">
        <f>IFERROR(__xludf.DUMMYFUNCTION("""COMPUTED_VALUE"""),41760.0)</f>
        <v>41760</v>
      </c>
      <c r="O661" s="46">
        <f>IFERROR(__xludf.DUMMYFUNCTION("""COMPUTED_VALUE"""),1.0)</f>
        <v>1</v>
      </c>
      <c r="P661" s="46">
        <f>IFERROR(__xludf.DUMMYFUNCTION("""COMPUTED_VALUE"""),2622.0)</f>
        <v>2622</v>
      </c>
      <c r="Q661" s="46">
        <f>IFERROR(__xludf.DUMMYFUNCTION("""COMPUTED_VALUE"""),403945.32)</f>
        <v>403945.32</v>
      </c>
      <c r="R661" s="46">
        <f>IFERROR(__xludf.DUMMYFUNCTION("""COMPUTED_VALUE"""),238418.46000000002)</f>
        <v>238418.46</v>
      </c>
      <c r="S661" s="46">
        <f>IFERROR(__xludf.DUMMYFUNCTION("""COMPUTED_VALUE"""),165526.86)</f>
        <v>165526.86</v>
      </c>
    </row>
    <row r="662">
      <c r="A662" s="46" t="str">
        <f>IFERROR(__xludf.DUMMYFUNCTION("""COMPUTED_VALUE"""),"Vegetables")</f>
        <v>Vegetables</v>
      </c>
      <c r="B662" s="46" t="str">
        <f>IFERROR(__xludf.DUMMYFUNCTION("""COMPUTED_VALUE"""),"Serbia")</f>
        <v>Serbia</v>
      </c>
      <c r="C662" s="46" t="str">
        <f>IFERROR(__xludf.DUMMYFUNCTION("""COMPUTED_VALUE"""),"Europe")</f>
        <v>Europe</v>
      </c>
      <c r="D662" s="90">
        <f>IFERROR(__xludf.DUMMYFUNCTION("""COMPUTED_VALUE"""),41548.0)</f>
        <v>41548</v>
      </c>
      <c r="E662" s="46">
        <f>IFERROR(__xludf.DUMMYFUNCTION("""COMPUTED_VALUE"""),2013.0)</f>
        <v>2013</v>
      </c>
      <c r="F662" s="46">
        <f>IFERROR(__xludf.DUMMYFUNCTION("""COMPUTED_VALUE"""),1.0)</f>
        <v>1</v>
      </c>
      <c r="G662" s="46">
        <f>IFERROR(__xludf.DUMMYFUNCTION("""COMPUTED_VALUE"""),8854.0)</f>
        <v>8854</v>
      </c>
      <c r="H662" s="46">
        <f>IFERROR(__xludf.DUMMYFUNCTION("""COMPUTED_VALUE"""),1364047.24)</f>
        <v>1364047.24</v>
      </c>
      <c r="I662" s="46">
        <f>IFERROR(__xludf.DUMMYFUNCTION("""COMPUTED_VALUE"""),805094.2200000001)</f>
        <v>805094.22</v>
      </c>
      <c r="J662" s="46">
        <f>IFERROR(__xludf.DUMMYFUNCTION("""COMPUTED_VALUE"""),558953.0199999999)</f>
        <v>558953.02</v>
      </c>
      <c r="K662" s="46" t="str">
        <f t="array" ref="K662">TEXT(D662, "mmmm")</f>
        <v>October</v>
      </c>
      <c r="M662" s="46" t="str">
        <f>IFERROR(__xludf.DUMMYFUNCTION("""COMPUTED_VALUE"""),"Croatia")</f>
        <v>Croatia</v>
      </c>
      <c r="N662" s="94">
        <f>IFERROR(__xludf.DUMMYFUNCTION("""COMPUTED_VALUE"""),41760.0)</f>
        <v>41760</v>
      </c>
      <c r="O662" s="46">
        <f>IFERROR(__xludf.DUMMYFUNCTION("""COMPUTED_VALUE"""),1.0)</f>
        <v>1</v>
      </c>
      <c r="P662" s="46">
        <f>IFERROR(__xludf.DUMMYFUNCTION("""COMPUTED_VALUE"""),4958.0)</f>
        <v>4958</v>
      </c>
      <c r="Q662" s="46">
        <f>IFERROR(__xludf.DUMMYFUNCTION("""COMPUTED_VALUE"""),405217.34)</f>
        <v>405217.34</v>
      </c>
      <c r="R662" s="46">
        <f>IFERROR(__xludf.DUMMYFUNCTION("""COMPUTED_VALUE"""),280969.86)</f>
        <v>280969.86</v>
      </c>
      <c r="S662" s="46">
        <f>IFERROR(__xludf.DUMMYFUNCTION("""COMPUTED_VALUE"""),124247.48000000004)</f>
        <v>124247.48</v>
      </c>
    </row>
    <row r="663">
      <c r="A663" s="46" t="str">
        <f>IFERROR(__xludf.DUMMYFUNCTION("""COMPUTED_VALUE"""),"Baby Food")</f>
        <v>Baby Food</v>
      </c>
      <c r="B663" s="46" t="str">
        <f>IFERROR(__xludf.DUMMYFUNCTION("""COMPUTED_VALUE"""),"Denmark")</f>
        <v>Denmark</v>
      </c>
      <c r="C663" s="46" t="str">
        <f>IFERROR(__xludf.DUMMYFUNCTION("""COMPUTED_VALUE"""),"Europe")</f>
        <v>Europe</v>
      </c>
      <c r="D663" s="90">
        <f>IFERROR(__xludf.DUMMYFUNCTION("""COMPUTED_VALUE"""),41518.0)</f>
        <v>41518</v>
      </c>
      <c r="E663" s="46">
        <f>IFERROR(__xludf.DUMMYFUNCTION("""COMPUTED_VALUE"""),2013.0)</f>
        <v>2013</v>
      </c>
      <c r="F663" s="46">
        <f>IFERROR(__xludf.DUMMYFUNCTION("""COMPUTED_VALUE"""),1.0)</f>
        <v>1</v>
      </c>
      <c r="G663" s="46">
        <f>IFERROR(__xludf.DUMMYFUNCTION("""COMPUTED_VALUE"""),9454.0)</f>
        <v>9454</v>
      </c>
      <c r="H663" s="46">
        <f>IFERROR(__xludf.DUMMYFUNCTION("""COMPUTED_VALUE"""),2413417.12)</f>
        <v>2413417.12</v>
      </c>
      <c r="I663" s="46">
        <f>IFERROR(__xludf.DUMMYFUNCTION("""COMPUTED_VALUE"""),1507156.68)</f>
        <v>1507156.68</v>
      </c>
      <c r="J663" s="46">
        <f>IFERROR(__xludf.DUMMYFUNCTION("""COMPUTED_VALUE"""),906260.4400000002)</f>
        <v>906260.44</v>
      </c>
      <c r="K663" s="46" t="str">
        <f t="array" ref="K663">TEXT(D663, "mmmm")</f>
        <v>September</v>
      </c>
      <c r="M663" s="46" t="str">
        <f>IFERROR(__xludf.DUMMYFUNCTION("""COMPUTED_VALUE"""),"Czech Republic")</f>
        <v>Czech Republic</v>
      </c>
      <c r="N663" s="94">
        <f>IFERROR(__xludf.DUMMYFUNCTION("""COMPUTED_VALUE"""),41760.0)</f>
        <v>41760</v>
      </c>
      <c r="O663" s="46">
        <f>IFERROR(__xludf.DUMMYFUNCTION("""COMPUTED_VALUE"""),1.0)</f>
        <v>1</v>
      </c>
      <c r="P663" s="46">
        <f>IFERROR(__xludf.DUMMYFUNCTION("""COMPUTED_VALUE"""),5479.0)</f>
        <v>5479</v>
      </c>
      <c r="Q663" s="46">
        <f>IFERROR(__xludf.DUMMYFUNCTION("""COMPUTED_VALUE"""),3567979.5900000003)</f>
        <v>3567979.59</v>
      </c>
      <c r="R663" s="46">
        <f>IFERROR(__xludf.DUMMYFUNCTION("""COMPUTED_VALUE"""),2876255.8400000003)</f>
        <v>2876255.84</v>
      </c>
      <c r="S663" s="46">
        <f>IFERROR(__xludf.DUMMYFUNCTION("""COMPUTED_VALUE"""),691723.75)</f>
        <v>691723.75</v>
      </c>
    </row>
    <row r="664">
      <c r="A664" s="46" t="str">
        <f>IFERROR(__xludf.DUMMYFUNCTION("""COMPUTED_VALUE"""),"Beverages")</f>
        <v>Beverages</v>
      </c>
      <c r="B664" s="46" t="str">
        <f>IFERROR(__xludf.DUMMYFUNCTION("""COMPUTED_VALUE"""),"Ukraine")</f>
        <v>Ukraine</v>
      </c>
      <c r="C664" s="46" t="str">
        <f>IFERROR(__xludf.DUMMYFUNCTION("""COMPUTED_VALUE"""),"Europe")</f>
        <v>Europe</v>
      </c>
      <c r="D664" s="90">
        <f>IFERROR(__xludf.DUMMYFUNCTION("""COMPUTED_VALUE"""),41518.0)</f>
        <v>41518</v>
      </c>
      <c r="E664" s="46">
        <f>IFERROR(__xludf.DUMMYFUNCTION("""COMPUTED_VALUE"""),2013.0)</f>
        <v>2013</v>
      </c>
      <c r="F664" s="46">
        <f>IFERROR(__xludf.DUMMYFUNCTION("""COMPUTED_VALUE"""),1.0)</f>
        <v>1</v>
      </c>
      <c r="G664" s="46">
        <f>IFERROR(__xludf.DUMMYFUNCTION("""COMPUTED_VALUE"""),7271.0)</f>
        <v>7271</v>
      </c>
      <c r="H664" s="46">
        <f>IFERROR(__xludf.DUMMYFUNCTION("""COMPUTED_VALUE"""),345008.95)</f>
        <v>345008.95</v>
      </c>
      <c r="I664" s="46">
        <f>IFERROR(__xludf.DUMMYFUNCTION("""COMPUTED_VALUE"""),231145.09)</f>
        <v>231145.09</v>
      </c>
      <c r="J664" s="46">
        <f>IFERROR(__xludf.DUMMYFUNCTION("""COMPUTED_VALUE"""),113863.86000000002)</f>
        <v>113863.86</v>
      </c>
      <c r="K664" s="46" t="str">
        <f t="array" ref="K664">TEXT(D664, "mmmm")</f>
        <v>September</v>
      </c>
      <c r="M664" s="46" t="str">
        <f>IFERROR(__xludf.DUMMYFUNCTION("""COMPUTED_VALUE"""),"Denmark")</f>
        <v>Denmark</v>
      </c>
      <c r="N664" s="94">
        <f>IFERROR(__xludf.DUMMYFUNCTION("""COMPUTED_VALUE"""),41760.0)</f>
        <v>41760</v>
      </c>
      <c r="O664" s="46">
        <f>IFERROR(__xludf.DUMMYFUNCTION("""COMPUTED_VALUE"""),1.0)</f>
        <v>1</v>
      </c>
      <c r="P664" s="46">
        <f>IFERROR(__xludf.DUMMYFUNCTION("""COMPUTED_VALUE"""),9809.0)</f>
        <v>9809</v>
      </c>
      <c r="Q664" s="46">
        <f>IFERROR(__xludf.DUMMYFUNCTION("""COMPUTED_VALUE"""),1511174.54)</f>
        <v>1511174.54</v>
      </c>
      <c r="R664" s="46">
        <f>IFERROR(__xludf.DUMMYFUNCTION("""COMPUTED_VALUE"""),891932.3700000001)</f>
        <v>891932.37</v>
      </c>
      <c r="S664" s="46">
        <f>IFERROR(__xludf.DUMMYFUNCTION("""COMPUTED_VALUE"""),619242.1699999999)</f>
        <v>619242.17</v>
      </c>
    </row>
    <row r="665">
      <c r="A665" s="46" t="str">
        <f>IFERROR(__xludf.DUMMYFUNCTION("""COMPUTED_VALUE"""),"Cereal")</f>
        <v>Cereal</v>
      </c>
      <c r="B665" s="46" t="str">
        <f>IFERROR(__xludf.DUMMYFUNCTION("""COMPUTED_VALUE"""),"Poland")</f>
        <v>Poland</v>
      </c>
      <c r="C665" s="46" t="str">
        <f>IFERROR(__xludf.DUMMYFUNCTION("""COMPUTED_VALUE"""),"Europe")</f>
        <v>Europe</v>
      </c>
      <c r="D665" s="90">
        <f>IFERROR(__xludf.DUMMYFUNCTION("""COMPUTED_VALUE"""),41518.0)</f>
        <v>41518</v>
      </c>
      <c r="E665" s="46">
        <f>IFERROR(__xludf.DUMMYFUNCTION("""COMPUTED_VALUE"""),2013.0)</f>
        <v>2013</v>
      </c>
      <c r="F665" s="46">
        <f>IFERROR(__xludf.DUMMYFUNCTION("""COMPUTED_VALUE"""),1.0)</f>
        <v>1</v>
      </c>
      <c r="G665" s="46">
        <f>IFERROR(__xludf.DUMMYFUNCTION("""COMPUTED_VALUE"""),6140.0)</f>
        <v>6140</v>
      </c>
      <c r="H665" s="46">
        <f>IFERROR(__xludf.DUMMYFUNCTION("""COMPUTED_VALUE"""),1262998.0)</f>
        <v>1262998</v>
      </c>
      <c r="I665" s="46">
        <f>IFERROR(__xludf.DUMMYFUNCTION("""COMPUTED_VALUE"""),719055.4)</f>
        <v>719055.4</v>
      </c>
      <c r="J665" s="46">
        <f>IFERROR(__xludf.DUMMYFUNCTION("""COMPUTED_VALUE"""),543942.6)</f>
        <v>543942.6</v>
      </c>
      <c r="K665" s="46" t="str">
        <f t="array" ref="K665">TEXT(D665, "mmmm")</f>
        <v>September</v>
      </c>
      <c r="M665" s="46" t="str">
        <f>IFERROR(__xludf.DUMMYFUNCTION("""COMPUTED_VALUE"""),"Estonia")</f>
        <v>Estonia</v>
      </c>
      <c r="N665" s="94">
        <f>IFERROR(__xludf.DUMMYFUNCTION("""COMPUTED_VALUE"""),41760.0)</f>
        <v>41760</v>
      </c>
      <c r="O665" s="46">
        <f>IFERROR(__xludf.DUMMYFUNCTION("""COMPUTED_VALUE"""),1.0)</f>
        <v>1</v>
      </c>
      <c r="P665" s="46">
        <f>IFERROR(__xludf.DUMMYFUNCTION("""COMPUTED_VALUE"""),8229.0)</f>
        <v>8229</v>
      </c>
      <c r="Q665" s="46">
        <f>IFERROR(__xludf.DUMMYFUNCTION("""COMPUTED_VALUE"""),2100699.12)</f>
        <v>2100699.12</v>
      </c>
      <c r="R665" s="46">
        <f>IFERROR(__xludf.DUMMYFUNCTION("""COMPUTED_VALUE"""),1311867.18)</f>
        <v>1311867.18</v>
      </c>
      <c r="S665" s="46">
        <f>IFERROR(__xludf.DUMMYFUNCTION("""COMPUTED_VALUE"""),788831.9400000002)</f>
        <v>788831.94</v>
      </c>
    </row>
    <row r="666">
      <c r="A666" s="46" t="str">
        <f>IFERROR(__xludf.DUMMYFUNCTION("""COMPUTED_VALUE"""),"Clothes")</f>
        <v>Clothes</v>
      </c>
      <c r="B666" s="46" t="str">
        <f>IFERROR(__xludf.DUMMYFUNCTION("""COMPUTED_VALUE"""),"Iceland")</f>
        <v>Iceland</v>
      </c>
      <c r="C666" s="46" t="str">
        <f>IFERROR(__xludf.DUMMYFUNCTION("""COMPUTED_VALUE"""),"Europe")</f>
        <v>Europe</v>
      </c>
      <c r="D666" s="90">
        <f>IFERROR(__xludf.DUMMYFUNCTION("""COMPUTED_VALUE"""),41518.0)</f>
        <v>41518</v>
      </c>
      <c r="E666" s="46">
        <f>IFERROR(__xludf.DUMMYFUNCTION("""COMPUTED_VALUE"""),2013.0)</f>
        <v>2013</v>
      </c>
      <c r="F666" s="46">
        <f>IFERROR(__xludf.DUMMYFUNCTION("""COMPUTED_VALUE"""),1.0)</f>
        <v>1</v>
      </c>
      <c r="G666" s="46">
        <f>IFERROR(__xludf.DUMMYFUNCTION("""COMPUTED_VALUE"""),3938.0)</f>
        <v>3938</v>
      </c>
      <c r="H666" s="46">
        <f>IFERROR(__xludf.DUMMYFUNCTION("""COMPUTED_VALUE"""),430344.64)</f>
        <v>430344.64</v>
      </c>
      <c r="I666" s="46">
        <f>IFERROR(__xludf.DUMMYFUNCTION("""COMPUTED_VALUE"""),141137.92)</f>
        <v>141137.92</v>
      </c>
      <c r="J666" s="46">
        <f>IFERROR(__xludf.DUMMYFUNCTION("""COMPUTED_VALUE"""),289206.72)</f>
        <v>289206.72</v>
      </c>
      <c r="K666" s="46" t="str">
        <f t="array" ref="K666">TEXT(D666, "mmmm")</f>
        <v>September</v>
      </c>
      <c r="M666" s="46" t="str">
        <f>IFERROR(__xludf.DUMMYFUNCTION("""COMPUTED_VALUE"""),"France")</f>
        <v>France</v>
      </c>
      <c r="N666" s="94">
        <f>IFERROR(__xludf.DUMMYFUNCTION("""COMPUTED_VALUE"""),41760.0)</f>
        <v>41760</v>
      </c>
      <c r="O666" s="46">
        <f>IFERROR(__xludf.DUMMYFUNCTION("""COMPUTED_VALUE"""),1.0)</f>
        <v>1</v>
      </c>
      <c r="P666" s="46">
        <f>IFERROR(__xludf.DUMMYFUNCTION("""COMPUTED_VALUE"""),6986.0)</f>
        <v>6986</v>
      </c>
      <c r="Q666" s="46">
        <f>IFERROR(__xludf.DUMMYFUNCTION("""COMPUTED_VALUE"""),2947323.54)</f>
        <v>2947323.54</v>
      </c>
      <c r="R666" s="46">
        <f>IFERROR(__xludf.DUMMYFUNCTION("""COMPUTED_VALUE"""),2547724.34)</f>
        <v>2547724.34</v>
      </c>
      <c r="S666" s="46">
        <f>IFERROR(__xludf.DUMMYFUNCTION("""COMPUTED_VALUE"""),399599.2000000002)</f>
        <v>399599.2</v>
      </c>
    </row>
    <row r="667">
      <c r="A667" s="46" t="str">
        <f>IFERROR(__xludf.DUMMYFUNCTION("""COMPUTED_VALUE"""),"Clothes")</f>
        <v>Clothes</v>
      </c>
      <c r="B667" s="46" t="str">
        <f>IFERROR(__xludf.DUMMYFUNCTION("""COMPUTED_VALUE"""),"Undefined")</f>
        <v>Undefined</v>
      </c>
      <c r="C667" s="46" t="str">
        <f>IFERROR(__xludf.DUMMYFUNCTION("""COMPUTED_VALUE"""),"Undefined")</f>
        <v>Undefined</v>
      </c>
      <c r="D667" s="90">
        <f>IFERROR(__xludf.DUMMYFUNCTION("""COMPUTED_VALUE"""),41518.0)</f>
        <v>41518</v>
      </c>
      <c r="E667" s="46">
        <f>IFERROR(__xludf.DUMMYFUNCTION("""COMPUTED_VALUE"""),2013.0)</f>
        <v>2013</v>
      </c>
      <c r="F667" s="46">
        <f>IFERROR(__xludf.DUMMYFUNCTION("""COMPUTED_VALUE"""),1.0)</f>
        <v>1</v>
      </c>
      <c r="G667" s="46">
        <f>IFERROR(__xludf.DUMMYFUNCTION("""COMPUTED_VALUE"""),2366.0)</f>
        <v>2366</v>
      </c>
      <c r="H667" s="46">
        <f>IFERROR(__xludf.DUMMYFUNCTION("""COMPUTED_VALUE"""),258556.48)</f>
        <v>258556.48</v>
      </c>
      <c r="I667" s="46">
        <f>IFERROR(__xludf.DUMMYFUNCTION("""COMPUTED_VALUE"""),84797.44)</f>
        <v>84797.44</v>
      </c>
      <c r="J667" s="46">
        <f>IFERROR(__xludf.DUMMYFUNCTION("""COMPUTED_VALUE"""),173759.04)</f>
        <v>173759.04</v>
      </c>
      <c r="K667" s="46" t="str">
        <f t="array" ref="K667">TEXT(D667, "mmmm")</f>
        <v>September</v>
      </c>
      <c r="M667" s="46" t="str">
        <f>IFERROR(__xludf.DUMMYFUNCTION("""COMPUTED_VALUE"""),"Greece")</f>
        <v>Greece</v>
      </c>
      <c r="N667" s="94">
        <f>IFERROR(__xludf.DUMMYFUNCTION("""COMPUTED_VALUE"""),41760.0)</f>
        <v>41760</v>
      </c>
      <c r="O667" s="46">
        <f>IFERROR(__xludf.DUMMYFUNCTION("""COMPUTED_VALUE"""),1.0)</f>
        <v>1</v>
      </c>
      <c r="P667" s="46">
        <f>IFERROR(__xludf.DUMMYFUNCTION("""COMPUTED_VALUE"""),6201.0)</f>
        <v>6201</v>
      </c>
      <c r="Q667" s="46">
        <f>IFERROR(__xludf.DUMMYFUNCTION("""COMPUTED_VALUE"""),57855.33)</f>
        <v>57855.33</v>
      </c>
      <c r="R667" s="46">
        <f>IFERROR(__xludf.DUMMYFUNCTION("""COMPUTED_VALUE"""),42910.92)</f>
        <v>42910.92</v>
      </c>
      <c r="S667" s="46">
        <f>IFERROR(__xludf.DUMMYFUNCTION("""COMPUTED_VALUE"""),14944.410000000003)</f>
        <v>14944.41</v>
      </c>
    </row>
    <row r="668">
      <c r="A668" s="46" t="str">
        <f>IFERROR(__xludf.DUMMYFUNCTION("""COMPUTED_VALUE"""),"Cosmetics")</f>
        <v>Cosmetics</v>
      </c>
      <c r="B668" s="46" t="str">
        <f>IFERROR(__xludf.DUMMYFUNCTION("""COMPUTED_VALUE"""),"Luxembourg")</f>
        <v>Luxembourg</v>
      </c>
      <c r="C668" s="46" t="str">
        <f>IFERROR(__xludf.DUMMYFUNCTION("""COMPUTED_VALUE"""),"Europe")</f>
        <v>Europe</v>
      </c>
      <c r="D668" s="90">
        <f>IFERROR(__xludf.DUMMYFUNCTION("""COMPUTED_VALUE"""),41518.0)</f>
        <v>41518</v>
      </c>
      <c r="E668" s="46">
        <f>IFERROR(__xludf.DUMMYFUNCTION("""COMPUTED_VALUE"""),2013.0)</f>
        <v>2013</v>
      </c>
      <c r="F668" s="46">
        <f>IFERROR(__xludf.DUMMYFUNCTION("""COMPUTED_VALUE"""),1.0)</f>
        <v>1</v>
      </c>
      <c r="G668" s="46">
        <f>IFERROR(__xludf.DUMMYFUNCTION("""COMPUTED_VALUE"""),7120.0)</f>
        <v>7120</v>
      </c>
      <c r="H668" s="46">
        <f>IFERROR(__xludf.DUMMYFUNCTION("""COMPUTED_VALUE"""),3112864.0)</f>
        <v>3112864</v>
      </c>
      <c r="I668" s="46">
        <f>IFERROR(__xludf.DUMMYFUNCTION("""COMPUTED_VALUE"""),1874909.5999999999)</f>
        <v>1874909.6</v>
      </c>
      <c r="J668" s="46">
        <f>IFERROR(__xludf.DUMMYFUNCTION("""COMPUTED_VALUE"""),1237954.4000000001)</f>
        <v>1237954.4</v>
      </c>
      <c r="K668" s="46" t="str">
        <f t="array" ref="K668">TEXT(D668, "mmmm")</f>
        <v>September</v>
      </c>
      <c r="M668" s="46" t="str">
        <f>IFERROR(__xludf.DUMMYFUNCTION("""COMPUTED_VALUE"""),"Hungary")</f>
        <v>Hungary</v>
      </c>
      <c r="N668" s="94">
        <f>IFERROR(__xludf.DUMMYFUNCTION("""COMPUTED_VALUE"""),41760.0)</f>
        <v>41760</v>
      </c>
      <c r="O668" s="46">
        <f>IFERROR(__xludf.DUMMYFUNCTION("""COMPUTED_VALUE"""),3.0)</f>
        <v>3</v>
      </c>
      <c r="P668" s="46">
        <f>IFERROR(__xludf.DUMMYFUNCTION("""COMPUTED_VALUE"""),16021.0)</f>
        <v>16021</v>
      </c>
      <c r="Q668" s="46">
        <f>IFERROR(__xludf.DUMMYFUNCTION("""COMPUTED_VALUE"""),3091664.4400000004)</f>
        <v>3091664.44</v>
      </c>
      <c r="R668" s="46">
        <f>IFERROR(__xludf.DUMMYFUNCTION("""COMPUTED_VALUE"""),1922800.37)</f>
        <v>1922800.37</v>
      </c>
      <c r="S668" s="46">
        <f>IFERROR(__xludf.DUMMYFUNCTION("""COMPUTED_VALUE"""),1168864.0700000003)</f>
        <v>1168864.07</v>
      </c>
    </row>
    <row r="669">
      <c r="A669" s="46" t="str">
        <f>IFERROR(__xludf.DUMMYFUNCTION("""COMPUTED_VALUE"""),"Fruits")</f>
        <v>Fruits</v>
      </c>
      <c r="B669" s="46" t="str">
        <f>IFERROR(__xludf.DUMMYFUNCTION("""COMPUTED_VALUE"""),"Netherlands")</f>
        <v>Netherlands</v>
      </c>
      <c r="C669" s="46" t="str">
        <f>IFERROR(__xludf.DUMMYFUNCTION("""COMPUTED_VALUE"""),"Europe")</f>
        <v>Europe</v>
      </c>
      <c r="D669" s="90">
        <f>IFERROR(__xludf.DUMMYFUNCTION("""COMPUTED_VALUE"""),41518.0)</f>
        <v>41518</v>
      </c>
      <c r="E669" s="46">
        <f>IFERROR(__xludf.DUMMYFUNCTION("""COMPUTED_VALUE"""),2013.0)</f>
        <v>2013</v>
      </c>
      <c r="F669" s="46">
        <f>IFERROR(__xludf.DUMMYFUNCTION("""COMPUTED_VALUE"""),1.0)</f>
        <v>1</v>
      </c>
      <c r="G669" s="46">
        <f>IFERROR(__xludf.DUMMYFUNCTION("""COMPUTED_VALUE"""),9024.0)</f>
        <v>9024</v>
      </c>
      <c r="H669" s="46">
        <f>IFERROR(__xludf.DUMMYFUNCTION("""COMPUTED_VALUE"""),84193.92)</f>
        <v>84193.92</v>
      </c>
      <c r="I669" s="46">
        <f>IFERROR(__xludf.DUMMYFUNCTION("""COMPUTED_VALUE"""),62446.08)</f>
        <v>62446.08</v>
      </c>
      <c r="J669" s="46">
        <f>IFERROR(__xludf.DUMMYFUNCTION("""COMPUTED_VALUE"""),21747.839999999997)</f>
        <v>21747.84</v>
      </c>
      <c r="K669" s="46" t="str">
        <f t="array" ref="K669">TEXT(D669, "mmmm")</f>
        <v>September</v>
      </c>
      <c r="M669" s="46" t="str">
        <f>IFERROR(__xludf.DUMMYFUNCTION("""COMPUTED_VALUE"""),"Russia")</f>
        <v>Russia</v>
      </c>
      <c r="N669" s="94">
        <f>IFERROR(__xludf.DUMMYFUNCTION("""COMPUTED_VALUE"""),41760.0)</f>
        <v>41760</v>
      </c>
      <c r="O669" s="46">
        <f>IFERROR(__xludf.DUMMYFUNCTION("""COMPUTED_VALUE"""),1.0)</f>
        <v>1</v>
      </c>
      <c r="P669" s="46">
        <f>IFERROR(__xludf.DUMMYFUNCTION("""COMPUTED_VALUE"""),9186.0)</f>
        <v>9186</v>
      </c>
      <c r="Q669" s="46">
        <f>IFERROR(__xludf.DUMMYFUNCTION("""COMPUTED_VALUE"""),1003846.08)</f>
        <v>1003846.08</v>
      </c>
      <c r="R669" s="46">
        <f>IFERROR(__xludf.DUMMYFUNCTION("""COMPUTED_VALUE"""),329226.24000000005)</f>
        <v>329226.24</v>
      </c>
      <c r="S669" s="46">
        <f>IFERROR(__xludf.DUMMYFUNCTION("""COMPUTED_VALUE"""),674619.8399999999)</f>
        <v>674619.84</v>
      </c>
    </row>
    <row r="670">
      <c r="A670" s="46" t="str">
        <f>IFERROR(__xludf.DUMMYFUNCTION("""COMPUTED_VALUE"""),"Household")</f>
        <v>Household</v>
      </c>
      <c r="B670" s="46" t="str">
        <f>IFERROR(__xludf.DUMMYFUNCTION("""COMPUTED_VALUE"""),"Greece")</f>
        <v>Greece</v>
      </c>
      <c r="C670" s="46" t="str">
        <f>IFERROR(__xludf.DUMMYFUNCTION("""COMPUTED_VALUE"""),"Europe")</f>
        <v>Europe</v>
      </c>
      <c r="D670" s="90">
        <f>IFERROR(__xludf.DUMMYFUNCTION("""COMPUTED_VALUE"""),41518.0)</f>
        <v>41518</v>
      </c>
      <c r="E670" s="46">
        <f>IFERROR(__xludf.DUMMYFUNCTION("""COMPUTED_VALUE"""),2013.0)</f>
        <v>2013</v>
      </c>
      <c r="F670" s="46">
        <f>IFERROR(__xludf.DUMMYFUNCTION("""COMPUTED_VALUE"""),1.0)</f>
        <v>1</v>
      </c>
      <c r="G670" s="46">
        <f>IFERROR(__xludf.DUMMYFUNCTION("""COMPUTED_VALUE"""),356.0)</f>
        <v>356</v>
      </c>
      <c r="H670" s="46">
        <f>IFERROR(__xludf.DUMMYFUNCTION("""COMPUTED_VALUE"""),237904.12)</f>
        <v>237904.12</v>
      </c>
      <c r="I670" s="46">
        <f>IFERROR(__xludf.DUMMYFUNCTION("""COMPUTED_VALUE"""),178904.24000000002)</f>
        <v>178904.24</v>
      </c>
      <c r="J670" s="46">
        <f>IFERROR(__xludf.DUMMYFUNCTION("""COMPUTED_VALUE"""),58999.879999999976)</f>
        <v>58999.88</v>
      </c>
      <c r="K670" s="46" t="str">
        <f t="array" ref="K670">TEXT(D670, "mmmm")</f>
        <v>September</v>
      </c>
      <c r="M670" s="46" t="str">
        <f>IFERROR(__xludf.DUMMYFUNCTION("""COMPUTED_VALUE"""),"San Marino")</f>
        <v>San Marino</v>
      </c>
      <c r="N670" s="94">
        <f>IFERROR(__xludf.DUMMYFUNCTION("""COMPUTED_VALUE"""),41760.0)</f>
        <v>41760</v>
      </c>
      <c r="O670" s="46">
        <f>IFERROR(__xludf.DUMMYFUNCTION("""COMPUTED_VALUE"""),2.0)</f>
        <v>2</v>
      </c>
      <c r="P670" s="46">
        <f>IFERROR(__xludf.DUMMYFUNCTION("""COMPUTED_VALUE"""),17526.0)</f>
        <v>17526</v>
      </c>
      <c r="Q670" s="46">
        <f>IFERROR(__xludf.DUMMYFUNCTION("""COMPUTED_VALUE"""),2092386.45)</f>
        <v>2092386.45</v>
      </c>
      <c r="R670" s="46">
        <f>IFERROR(__xludf.DUMMYFUNCTION("""COMPUTED_VALUE"""),1236895.98)</f>
        <v>1236895.98</v>
      </c>
      <c r="S670" s="46">
        <f>IFERROR(__xludf.DUMMYFUNCTION("""COMPUTED_VALUE"""),855490.47)</f>
        <v>855490.47</v>
      </c>
    </row>
    <row r="671">
      <c r="A671" s="46" t="str">
        <f>IFERROR(__xludf.DUMMYFUNCTION("""COMPUTED_VALUE"""),"Household")</f>
        <v>Household</v>
      </c>
      <c r="B671" s="46" t="str">
        <f>IFERROR(__xludf.DUMMYFUNCTION("""COMPUTED_VALUE"""),"Serbia")</f>
        <v>Serbia</v>
      </c>
      <c r="C671" s="46" t="str">
        <f>IFERROR(__xludf.DUMMYFUNCTION("""COMPUTED_VALUE"""),"Europe")</f>
        <v>Europe</v>
      </c>
      <c r="D671" s="90">
        <f>IFERROR(__xludf.DUMMYFUNCTION("""COMPUTED_VALUE"""),41518.0)</f>
        <v>41518</v>
      </c>
      <c r="E671" s="46">
        <f>IFERROR(__xludf.DUMMYFUNCTION("""COMPUTED_VALUE"""),2013.0)</f>
        <v>2013</v>
      </c>
      <c r="F671" s="46">
        <f>IFERROR(__xludf.DUMMYFUNCTION("""COMPUTED_VALUE"""),1.0)</f>
        <v>1</v>
      </c>
      <c r="G671" s="46">
        <f>IFERROR(__xludf.DUMMYFUNCTION("""COMPUTED_VALUE"""),6115.0)</f>
        <v>6115</v>
      </c>
      <c r="H671" s="46">
        <f>IFERROR(__xludf.DUMMYFUNCTION("""COMPUTED_VALUE"""),4086471.05)</f>
        <v>4086471.05</v>
      </c>
      <c r="I671" s="46">
        <f>IFERROR(__xludf.DUMMYFUNCTION("""COMPUTED_VALUE"""),3073032.1)</f>
        <v>3073032.1</v>
      </c>
      <c r="J671" s="46">
        <f>IFERROR(__xludf.DUMMYFUNCTION("""COMPUTED_VALUE"""),1013438.9499999997)</f>
        <v>1013438.95</v>
      </c>
      <c r="K671" s="46" t="str">
        <f t="array" ref="K671">TEXT(D671, "mmmm")</f>
        <v>September</v>
      </c>
      <c r="M671" s="46" t="str">
        <f>IFERROR(__xludf.DUMMYFUNCTION("""COMPUTED_VALUE"""),"Slovenia")</f>
        <v>Slovenia</v>
      </c>
      <c r="N671" s="94">
        <f>IFERROR(__xludf.DUMMYFUNCTION("""COMPUTED_VALUE"""),41760.0)</f>
        <v>41760</v>
      </c>
      <c r="O671" s="46">
        <f>IFERROR(__xludf.DUMMYFUNCTION("""COMPUTED_VALUE"""),1.0)</f>
        <v>1</v>
      </c>
      <c r="P671" s="46">
        <f>IFERROR(__xludf.DUMMYFUNCTION("""COMPUTED_VALUE"""),8750.0)</f>
        <v>8750</v>
      </c>
      <c r="Q671" s="46">
        <f>IFERROR(__xludf.DUMMYFUNCTION("""COMPUTED_VALUE"""),956200.0)</f>
        <v>956200</v>
      </c>
      <c r="R671" s="46">
        <f>IFERROR(__xludf.DUMMYFUNCTION("""COMPUTED_VALUE"""),313600.00000000006)</f>
        <v>313600</v>
      </c>
      <c r="S671" s="46">
        <f>IFERROR(__xludf.DUMMYFUNCTION("""COMPUTED_VALUE"""),642600.0)</f>
        <v>642600</v>
      </c>
    </row>
    <row r="672">
      <c r="A672" s="46" t="str">
        <f>IFERROR(__xludf.DUMMYFUNCTION("""COMPUTED_VALUE"""),"Meat")</f>
        <v>Meat</v>
      </c>
      <c r="B672" s="46" t="str">
        <f>IFERROR(__xludf.DUMMYFUNCTION("""COMPUTED_VALUE"""),"Bulgaria")</f>
        <v>Bulgaria</v>
      </c>
      <c r="C672" s="46" t="str">
        <f>IFERROR(__xludf.DUMMYFUNCTION("""COMPUTED_VALUE"""),"Europe")</f>
        <v>Europe</v>
      </c>
      <c r="D672" s="90">
        <f>IFERROR(__xludf.DUMMYFUNCTION("""COMPUTED_VALUE"""),41518.0)</f>
        <v>41518</v>
      </c>
      <c r="E672" s="46">
        <f>IFERROR(__xludf.DUMMYFUNCTION("""COMPUTED_VALUE"""),2013.0)</f>
        <v>2013</v>
      </c>
      <c r="F672" s="46">
        <f>IFERROR(__xludf.DUMMYFUNCTION("""COMPUTED_VALUE"""),1.0)</f>
        <v>1</v>
      </c>
      <c r="G672" s="46">
        <f>IFERROR(__xludf.DUMMYFUNCTION("""COMPUTED_VALUE"""),2796.0)</f>
        <v>2796</v>
      </c>
      <c r="H672" s="46">
        <f>IFERROR(__xludf.DUMMYFUNCTION("""COMPUTED_VALUE"""),1179604.44)</f>
        <v>1179604.44</v>
      </c>
      <c r="I672" s="46">
        <f>IFERROR(__xludf.DUMMYFUNCTION("""COMPUTED_VALUE"""),1019673.24)</f>
        <v>1019673.24</v>
      </c>
      <c r="J672" s="46">
        <f>IFERROR(__xludf.DUMMYFUNCTION("""COMPUTED_VALUE"""),159931.19999999995)</f>
        <v>159931.2</v>
      </c>
      <c r="K672" s="46" t="str">
        <f t="array" ref="K672">TEXT(D672, "mmmm")</f>
        <v>September</v>
      </c>
      <c r="M672" s="46" t="str">
        <f>IFERROR(__xludf.DUMMYFUNCTION("""COMPUTED_VALUE"""),"Spain")</f>
        <v>Spain</v>
      </c>
      <c r="N672" s="94">
        <f>IFERROR(__xludf.DUMMYFUNCTION("""COMPUTED_VALUE"""),41760.0)</f>
        <v>41760</v>
      </c>
      <c r="O672" s="46">
        <f>IFERROR(__xludf.DUMMYFUNCTION("""COMPUTED_VALUE"""),1.0)</f>
        <v>1</v>
      </c>
      <c r="P672" s="46">
        <f>IFERROR(__xludf.DUMMYFUNCTION("""COMPUTED_VALUE"""),4958.0)</f>
        <v>4958</v>
      </c>
      <c r="Q672" s="46">
        <f>IFERROR(__xludf.DUMMYFUNCTION("""COMPUTED_VALUE"""),2091730.6199999999)</f>
        <v>2091730.62</v>
      </c>
      <c r="R672" s="46">
        <f>IFERROR(__xludf.DUMMYFUNCTION("""COMPUTED_VALUE"""),1808133.02)</f>
        <v>1808133.02</v>
      </c>
      <c r="S672" s="46">
        <f>IFERROR(__xludf.DUMMYFUNCTION("""COMPUTED_VALUE"""),283597.59999999986)</f>
        <v>283597.6</v>
      </c>
    </row>
    <row r="673">
      <c r="A673" s="46" t="str">
        <f>IFERROR(__xludf.DUMMYFUNCTION("""COMPUTED_VALUE"""),"Office Supplies")</f>
        <v>Office Supplies</v>
      </c>
      <c r="B673" s="46" t="str">
        <f>IFERROR(__xludf.DUMMYFUNCTION("""COMPUTED_VALUE"""),"Germany")</f>
        <v>Germany</v>
      </c>
      <c r="C673" s="46" t="str">
        <f>IFERROR(__xludf.DUMMYFUNCTION("""COMPUTED_VALUE"""),"Europe")</f>
        <v>Europe</v>
      </c>
      <c r="D673" s="90">
        <f>IFERROR(__xludf.DUMMYFUNCTION("""COMPUTED_VALUE"""),41518.0)</f>
        <v>41518</v>
      </c>
      <c r="E673" s="46">
        <f>IFERROR(__xludf.DUMMYFUNCTION("""COMPUTED_VALUE"""),2013.0)</f>
        <v>2013</v>
      </c>
      <c r="F673" s="46">
        <f>IFERROR(__xludf.DUMMYFUNCTION("""COMPUTED_VALUE"""),1.0)</f>
        <v>1</v>
      </c>
      <c r="G673" s="46">
        <f>IFERROR(__xludf.DUMMYFUNCTION("""COMPUTED_VALUE"""),4445.0)</f>
        <v>4445</v>
      </c>
      <c r="H673" s="46">
        <f>IFERROR(__xludf.DUMMYFUNCTION("""COMPUTED_VALUE"""),2894628.45)</f>
        <v>2894628.45</v>
      </c>
      <c r="I673" s="46">
        <f>IFERROR(__xludf.DUMMYFUNCTION("""COMPUTED_VALUE"""),2333447.2)</f>
        <v>2333447.2</v>
      </c>
      <c r="J673" s="46">
        <f>IFERROR(__xludf.DUMMYFUNCTION("""COMPUTED_VALUE"""),561181.25)</f>
        <v>561181.25</v>
      </c>
      <c r="K673" s="46" t="str">
        <f t="array" ref="K673">TEXT(D673, "mmmm")</f>
        <v>September</v>
      </c>
      <c r="M673" s="46" t="str">
        <f>IFERROR(__xludf.DUMMYFUNCTION("""COMPUTED_VALUE"""),"Ukraine")</f>
        <v>Ukraine</v>
      </c>
      <c r="N673" s="94">
        <f>IFERROR(__xludf.DUMMYFUNCTION("""COMPUTED_VALUE"""),41760.0)</f>
        <v>41760</v>
      </c>
      <c r="O673" s="46">
        <f>IFERROR(__xludf.DUMMYFUNCTION("""COMPUTED_VALUE"""),1.0)</f>
        <v>1</v>
      </c>
      <c r="P673" s="46">
        <f>IFERROR(__xludf.DUMMYFUNCTION("""COMPUTED_VALUE"""),1161.0)</f>
        <v>1161</v>
      </c>
      <c r="Q673" s="46">
        <f>IFERROR(__xludf.DUMMYFUNCTION("""COMPUTED_VALUE"""),296380.08)</f>
        <v>296380.08</v>
      </c>
      <c r="R673" s="46">
        <f>IFERROR(__xludf.DUMMYFUNCTION("""COMPUTED_VALUE"""),185086.62)</f>
        <v>185086.62</v>
      </c>
      <c r="S673" s="46">
        <f>IFERROR(__xludf.DUMMYFUNCTION("""COMPUTED_VALUE"""),111293.46000000002)</f>
        <v>111293.46</v>
      </c>
    </row>
    <row r="674">
      <c r="A674" s="46" t="str">
        <f>IFERROR(__xludf.DUMMYFUNCTION("""COMPUTED_VALUE"""),"Office Supplies")</f>
        <v>Office Supplies</v>
      </c>
      <c r="B674" s="46" t="str">
        <f>IFERROR(__xludf.DUMMYFUNCTION("""COMPUTED_VALUE"""),"Poland")</f>
        <v>Poland</v>
      </c>
      <c r="C674" s="46" t="str">
        <f>IFERROR(__xludf.DUMMYFUNCTION("""COMPUTED_VALUE"""),"Europe")</f>
        <v>Europe</v>
      </c>
      <c r="D674" s="90">
        <f>IFERROR(__xludf.DUMMYFUNCTION("""COMPUTED_VALUE"""),41518.0)</f>
        <v>41518</v>
      </c>
      <c r="E674" s="46">
        <f>IFERROR(__xludf.DUMMYFUNCTION("""COMPUTED_VALUE"""),2013.0)</f>
        <v>2013</v>
      </c>
      <c r="F674" s="46">
        <f>IFERROR(__xludf.DUMMYFUNCTION("""COMPUTED_VALUE"""),1.0)</f>
        <v>1</v>
      </c>
      <c r="G674" s="46">
        <f>IFERROR(__xludf.DUMMYFUNCTION("""COMPUTED_VALUE"""),85.0)</f>
        <v>85</v>
      </c>
      <c r="H674" s="46">
        <f>IFERROR(__xludf.DUMMYFUNCTION("""COMPUTED_VALUE"""),55352.850000000006)</f>
        <v>55352.85</v>
      </c>
      <c r="I674" s="46">
        <f>IFERROR(__xludf.DUMMYFUNCTION("""COMPUTED_VALUE"""),44621.600000000006)</f>
        <v>44621.6</v>
      </c>
      <c r="J674" s="46">
        <f>IFERROR(__xludf.DUMMYFUNCTION("""COMPUTED_VALUE"""),10731.25)</f>
        <v>10731.25</v>
      </c>
      <c r="K674" s="46" t="str">
        <f t="array" ref="K674">TEXT(D674, "mmmm")</f>
        <v>September</v>
      </c>
      <c r="M674" s="46" t="str">
        <f>IFERROR(__xludf.DUMMYFUNCTION("""COMPUTED_VALUE"""),"Undefined")</f>
        <v>Undefined</v>
      </c>
      <c r="N674" s="94">
        <f>IFERROR(__xludf.DUMMYFUNCTION("""COMPUTED_VALUE"""),41760.0)</f>
        <v>41760</v>
      </c>
      <c r="O674" s="46">
        <f>IFERROR(__xludf.DUMMYFUNCTION("""COMPUTED_VALUE"""),1.0)</f>
        <v>1</v>
      </c>
      <c r="P674" s="46">
        <f>IFERROR(__xludf.DUMMYFUNCTION("""COMPUTED_VALUE"""),2809.0)</f>
        <v>2809</v>
      </c>
      <c r="Q674" s="46">
        <f>IFERROR(__xludf.DUMMYFUNCTION("""COMPUTED_VALUE"""),1829248.8900000001)</f>
        <v>1829248.89</v>
      </c>
      <c r="R674" s="46">
        <f>IFERROR(__xludf.DUMMYFUNCTION("""COMPUTED_VALUE"""),1474612.6400000001)</f>
        <v>1474612.64</v>
      </c>
      <c r="S674" s="46">
        <f>IFERROR(__xludf.DUMMYFUNCTION("""COMPUTED_VALUE"""),354636.25)</f>
        <v>354636.25</v>
      </c>
    </row>
    <row r="675">
      <c r="A675" s="46" t="str">
        <f>IFERROR(__xludf.DUMMYFUNCTION("""COMPUTED_VALUE"""),"Snacks")</f>
        <v>Snacks</v>
      </c>
      <c r="B675" s="46" t="str">
        <f>IFERROR(__xludf.DUMMYFUNCTION("""COMPUTED_VALUE"""),"Georgia")</f>
        <v>Georgia</v>
      </c>
      <c r="C675" s="46" t="str">
        <f>IFERROR(__xludf.DUMMYFUNCTION("""COMPUTED_VALUE"""),"Asia")</f>
        <v>Asia</v>
      </c>
      <c r="D675" s="90">
        <f>IFERROR(__xludf.DUMMYFUNCTION("""COMPUTED_VALUE"""),41518.0)</f>
        <v>41518</v>
      </c>
      <c r="E675" s="46">
        <f>IFERROR(__xludf.DUMMYFUNCTION("""COMPUTED_VALUE"""),2013.0)</f>
        <v>2013</v>
      </c>
      <c r="F675" s="46">
        <f>IFERROR(__xludf.DUMMYFUNCTION("""COMPUTED_VALUE"""),1.0)</f>
        <v>1</v>
      </c>
      <c r="G675" s="46">
        <f>IFERROR(__xludf.DUMMYFUNCTION("""COMPUTED_VALUE"""),6291.0)</f>
        <v>6291</v>
      </c>
      <c r="H675" s="46">
        <f>IFERROR(__xludf.DUMMYFUNCTION("""COMPUTED_VALUE"""),959880.78)</f>
        <v>959880.78</v>
      </c>
      <c r="I675" s="46">
        <f>IFERROR(__xludf.DUMMYFUNCTION("""COMPUTED_VALUE"""),612995.04)</f>
        <v>612995.04</v>
      </c>
      <c r="J675" s="46">
        <f>IFERROR(__xludf.DUMMYFUNCTION("""COMPUTED_VALUE"""),346885.74)</f>
        <v>346885.74</v>
      </c>
      <c r="K675" s="46" t="str">
        <f t="array" ref="K675">TEXT(D675, "mmmm")</f>
        <v>September</v>
      </c>
      <c r="M675" s="46" t="str">
        <f>IFERROR(__xludf.DUMMYFUNCTION("""COMPUTED_VALUE"""),"Belarus")</f>
        <v>Belarus</v>
      </c>
      <c r="N675" s="94">
        <f>IFERROR(__xludf.DUMMYFUNCTION("""COMPUTED_VALUE"""),41791.0)</f>
        <v>41791</v>
      </c>
      <c r="O675" s="46">
        <f>IFERROR(__xludf.DUMMYFUNCTION("""COMPUTED_VALUE"""),2.0)</f>
        <v>2</v>
      </c>
      <c r="P675" s="46">
        <f>IFERROR(__xludf.DUMMYFUNCTION("""COMPUTED_VALUE"""),9818.0)</f>
        <v>9818</v>
      </c>
      <c r="Q675" s="46">
        <f>IFERROR(__xludf.DUMMYFUNCTION("""COMPUTED_VALUE"""),259177.46000000002)</f>
        <v>259177.46</v>
      </c>
      <c r="R675" s="46">
        <f>IFERROR(__xludf.DUMMYFUNCTION("""COMPUTED_VALUE"""),177269.08)</f>
        <v>177269.08</v>
      </c>
      <c r="S675" s="46">
        <f>IFERROR(__xludf.DUMMYFUNCTION("""COMPUTED_VALUE"""),81908.38000000002)</f>
        <v>81908.38</v>
      </c>
    </row>
    <row r="676">
      <c r="A676" s="46" t="str">
        <f>IFERROR(__xludf.DUMMYFUNCTION("""COMPUTED_VALUE"""),"Vegetables")</f>
        <v>Vegetables</v>
      </c>
      <c r="B676" s="46" t="str">
        <f>IFERROR(__xludf.DUMMYFUNCTION("""COMPUTED_VALUE"""),"San Marino")</f>
        <v>San Marino</v>
      </c>
      <c r="C676" s="46" t="str">
        <f>IFERROR(__xludf.DUMMYFUNCTION("""COMPUTED_VALUE"""),"Europe")</f>
        <v>Europe</v>
      </c>
      <c r="D676" s="90">
        <f>IFERROR(__xludf.DUMMYFUNCTION("""COMPUTED_VALUE"""),41518.0)</f>
        <v>41518</v>
      </c>
      <c r="E676" s="46">
        <f>IFERROR(__xludf.DUMMYFUNCTION("""COMPUTED_VALUE"""),2013.0)</f>
        <v>2013</v>
      </c>
      <c r="F676" s="46">
        <f>IFERROR(__xludf.DUMMYFUNCTION("""COMPUTED_VALUE"""),1.0)</f>
        <v>1</v>
      </c>
      <c r="G676" s="46">
        <f>IFERROR(__xludf.DUMMYFUNCTION("""COMPUTED_VALUE"""),5102.0)</f>
        <v>5102</v>
      </c>
      <c r="H676" s="46">
        <f>IFERROR(__xludf.DUMMYFUNCTION("""COMPUTED_VALUE"""),786014.12)</f>
        <v>786014.12</v>
      </c>
      <c r="I676" s="46">
        <f>IFERROR(__xludf.DUMMYFUNCTION("""COMPUTED_VALUE"""),463924.86000000004)</f>
        <v>463924.86</v>
      </c>
      <c r="J676" s="46">
        <f>IFERROR(__xludf.DUMMYFUNCTION("""COMPUTED_VALUE"""),322089.25999999995)</f>
        <v>322089.26</v>
      </c>
      <c r="K676" s="46" t="str">
        <f t="array" ref="K676">TEXT(D676, "mmmm")</f>
        <v>September</v>
      </c>
      <c r="M676" s="46" t="str">
        <f>IFERROR(__xludf.DUMMYFUNCTION("""COMPUTED_VALUE"""),"Belgium")</f>
        <v>Belgium</v>
      </c>
      <c r="N676" s="94">
        <f>IFERROR(__xludf.DUMMYFUNCTION("""COMPUTED_VALUE"""),41791.0)</f>
        <v>41791</v>
      </c>
      <c r="O676" s="46">
        <f>IFERROR(__xludf.DUMMYFUNCTION("""COMPUTED_VALUE"""),2.0)</f>
        <v>2</v>
      </c>
      <c r="P676" s="46">
        <f>IFERROR(__xludf.DUMMYFUNCTION("""COMPUTED_VALUE"""),3858.0)</f>
        <v>3858</v>
      </c>
      <c r="Q676" s="46">
        <f>IFERROR(__xludf.DUMMYFUNCTION("""COMPUTED_VALUE"""),189687.85)</f>
        <v>189687.85</v>
      </c>
      <c r="R676" s="46">
        <f>IFERROR(__xludf.DUMMYFUNCTION("""COMPUTED_VALUE"""),126582.0)</f>
        <v>126582</v>
      </c>
      <c r="S676" s="46">
        <f>IFERROR(__xludf.DUMMYFUNCTION("""COMPUTED_VALUE"""),63105.85000000001)</f>
        <v>63105.85</v>
      </c>
    </row>
    <row r="677">
      <c r="A677" s="46" t="str">
        <f>IFERROR(__xludf.DUMMYFUNCTION("""COMPUTED_VALUE"""),"Vegetables")</f>
        <v>Vegetables</v>
      </c>
      <c r="B677" s="46" t="str">
        <f>IFERROR(__xludf.DUMMYFUNCTION("""COMPUTED_VALUE"""),"Switzerland")</f>
        <v>Switzerland</v>
      </c>
      <c r="C677" s="46" t="str">
        <f>IFERROR(__xludf.DUMMYFUNCTION("""COMPUTED_VALUE"""),"Europe")</f>
        <v>Europe</v>
      </c>
      <c r="D677" s="90">
        <f>IFERROR(__xludf.DUMMYFUNCTION("""COMPUTED_VALUE"""),41518.0)</f>
        <v>41518</v>
      </c>
      <c r="E677" s="46">
        <f>IFERROR(__xludf.DUMMYFUNCTION("""COMPUTED_VALUE"""),2013.0)</f>
        <v>2013</v>
      </c>
      <c r="F677" s="46">
        <f>IFERROR(__xludf.DUMMYFUNCTION("""COMPUTED_VALUE"""),1.0)</f>
        <v>1</v>
      </c>
      <c r="G677" s="46">
        <f>IFERROR(__xludf.DUMMYFUNCTION("""COMPUTED_VALUE"""),4364.0)</f>
        <v>4364</v>
      </c>
      <c r="H677" s="46">
        <f>IFERROR(__xludf.DUMMYFUNCTION("""COMPUTED_VALUE"""),672317.84)</f>
        <v>672317.84</v>
      </c>
      <c r="I677" s="46">
        <f>IFERROR(__xludf.DUMMYFUNCTION("""COMPUTED_VALUE"""),396818.52)</f>
        <v>396818.52</v>
      </c>
      <c r="J677" s="46">
        <f>IFERROR(__xludf.DUMMYFUNCTION("""COMPUTED_VALUE"""),275499.31999999995)</f>
        <v>275499.32</v>
      </c>
      <c r="K677" s="46" t="str">
        <f t="array" ref="K677">TEXT(D677, "mmmm")</f>
        <v>September</v>
      </c>
      <c r="M677" s="46" t="str">
        <f>IFERROR(__xludf.DUMMYFUNCTION("""COMPUTED_VALUE"""),"Bulgaria")</f>
        <v>Bulgaria</v>
      </c>
      <c r="N677" s="94">
        <f>IFERROR(__xludf.DUMMYFUNCTION("""COMPUTED_VALUE"""),41791.0)</f>
        <v>41791</v>
      </c>
      <c r="O677" s="46">
        <f>IFERROR(__xludf.DUMMYFUNCTION("""COMPUTED_VALUE"""),1.0)</f>
        <v>1</v>
      </c>
      <c r="P677" s="46">
        <f>IFERROR(__xludf.DUMMYFUNCTION("""COMPUTED_VALUE"""),7459.0)</f>
        <v>7459</v>
      </c>
      <c r="Q677" s="46">
        <f>IFERROR(__xludf.DUMMYFUNCTION("""COMPUTED_VALUE"""),1149133.54)</f>
        <v>1149133.54</v>
      </c>
      <c r="R677" s="46">
        <f>IFERROR(__xludf.DUMMYFUNCTION("""COMPUTED_VALUE"""),678246.87)</f>
        <v>678246.87</v>
      </c>
      <c r="S677" s="46">
        <f>IFERROR(__xludf.DUMMYFUNCTION("""COMPUTED_VALUE"""),470886.67000000004)</f>
        <v>470886.67</v>
      </c>
    </row>
    <row r="678">
      <c r="A678" s="46" t="str">
        <f>IFERROR(__xludf.DUMMYFUNCTION("""COMPUTED_VALUE"""),"Baby Food")</f>
        <v>Baby Food</v>
      </c>
      <c r="B678" s="46" t="str">
        <f>IFERROR(__xludf.DUMMYFUNCTION("""COMPUTED_VALUE"""),"Greece")</f>
        <v>Greece</v>
      </c>
      <c r="C678" s="46" t="str">
        <f>IFERROR(__xludf.DUMMYFUNCTION("""COMPUTED_VALUE"""),"Europe")</f>
        <v>Europe</v>
      </c>
      <c r="D678" s="90">
        <f>IFERROR(__xludf.DUMMYFUNCTION("""COMPUTED_VALUE"""),41487.0)</f>
        <v>41487</v>
      </c>
      <c r="E678" s="46">
        <f>IFERROR(__xludf.DUMMYFUNCTION("""COMPUTED_VALUE"""),2013.0)</f>
        <v>2013</v>
      </c>
      <c r="F678" s="46">
        <f>IFERROR(__xludf.DUMMYFUNCTION("""COMPUTED_VALUE"""),1.0)</f>
        <v>1</v>
      </c>
      <c r="G678" s="46">
        <f>IFERROR(__xludf.DUMMYFUNCTION("""COMPUTED_VALUE"""),7617.0)</f>
        <v>7617</v>
      </c>
      <c r="H678" s="46">
        <f>IFERROR(__xludf.DUMMYFUNCTION("""COMPUTED_VALUE"""),1944467.76)</f>
        <v>1944467.76</v>
      </c>
      <c r="I678" s="46">
        <f>IFERROR(__xludf.DUMMYFUNCTION("""COMPUTED_VALUE"""),1214302.14)</f>
        <v>1214302.14</v>
      </c>
      <c r="J678" s="46">
        <f>IFERROR(__xludf.DUMMYFUNCTION("""COMPUTED_VALUE"""),730165.6200000001)</f>
        <v>730165.62</v>
      </c>
      <c r="K678" s="46" t="str">
        <f t="array" ref="K678">TEXT(D678, "mmmm")</f>
        <v>August</v>
      </c>
      <c r="M678" s="46" t="str">
        <f>IFERROR(__xludf.DUMMYFUNCTION("""COMPUTED_VALUE"""),"Cyprus")</f>
        <v>Cyprus</v>
      </c>
      <c r="N678" s="94">
        <f>IFERROR(__xludf.DUMMYFUNCTION("""COMPUTED_VALUE"""),41791.0)</f>
        <v>41791</v>
      </c>
      <c r="O678" s="46">
        <f>IFERROR(__xludf.DUMMYFUNCTION("""COMPUTED_VALUE"""),1.0)</f>
        <v>1</v>
      </c>
      <c r="P678" s="46">
        <f>IFERROR(__xludf.DUMMYFUNCTION("""COMPUTED_VALUE"""),6240.0)</f>
        <v>6240</v>
      </c>
      <c r="Q678" s="46">
        <f>IFERROR(__xludf.DUMMYFUNCTION("""COMPUTED_VALUE"""),681907.2)</f>
        <v>681907.2</v>
      </c>
      <c r="R678" s="46">
        <f>IFERROR(__xludf.DUMMYFUNCTION("""COMPUTED_VALUE"""),223641.60000000003)</f>
        <v>223641.6</v>
      </c>
      <c r="S678" s="46">
        <f>IFERROR(__xludf.DUMMYFUNCTION("""COMPUTED_VALUE"""),458265.5999999999)</f>
        <v>458265.6</v>
      </c>
    </row>
    <row r="679">
      <c r="A679" s="46" t="str">
        <f>IFERROR(__xludf.DUMMYFUNCTION("""COMPUTED_VALUE"""),"Beverages")</f>
        <v>Beverages</v>
      </c>
      <c r="B679" s="46" t="str">
        <f>IFERROR(__xludf.DUMMYFUNCTION("""COMPUTED_VALUE"""),"Poland")</f>
        <v>Poland</v>
      </c>
      <c r="C679" s="46" t="str">
        <f>IFERROR(__xludf.DUMMYFUNCTION("""COMPUTED_VALUE"""),"Europe")</f>
        <v>Europe</v>
      </c>
      <c r="D679" s="90">
        <f>IFERROR(__xludf.DUMMYFUNCTION("""COMPUTED_VALUE"""),41487.0)</f>
        <v>41487</v>
      </c>
      <c r="E679" s="46">
        <f>IFERROR(__xludf.DUMMYFUNCTION("""COMPUTED_VALUE"""),2013.0)</f>
        <v>2013</v>
      </c>
      <c r="F679" s="46">
        <f>IFERROR(__xludf.DUMMYFUNCTION("""COMPUTED_VALUE"""),1.0)</f>
        <v>1</v>
      </c>
      <c r="G679" s="46">
        <f>IFERROR(__xludf.DUMMYFUNCTION("""COMPUTED_VALUE"""),2859.0)</f>
        <v>2859</v>
      </c>
      <c r="H679" s="46">
        <f>IFERROR(__xludf.DUMMYFUNCTION("""COMPUTED_VALUE"""),135659.55000000002)</f>
        <v>135659.55</v>
      </c>
      <c r="I679" s="46">
        <f>IFERROR(__xludf.DUMMYFUNCTION("""COMPUTED_VALUE"""),90887.61)</f>
        <v>90887.61</v>
      </c>
      <c r="J679" s="46">
        <f>IFERROR(__xludf.DUMMYFUNCTION("""COMPUTED_VALUE"""),44771.94000000002)</f>
        <v>44771.94</v>
      </c>
      <c r="K679" s="46" t="str">
        <f t="array" ref="K679">TEXT(D679, "mmmm")</f>
        <v>August</v>
      </c>
      <c r="M679" s="46" t="str">
        <f>IFERROR(__xludf.DUMMYFUNCTION("""COMPUTED_VALUE"""),"Denmark")</f>
        <v>Denmark</v>
      </c>
      <c r="N679" s="94">
        <f>IFERROR(__xludf.DUMMYFUNCTION("""COMPUTED_VALUE"""),41791.0)</f>
        <v>41791</v>
      </c>
      <c r="O679" s="46">
        <f>IFERROR(__xludf.DUMMYFUNCTION("""COMPUTED_VALUE"""),1.0)</f>
        <v>1</v>
      </c>
      <c r="P679" s="46">
        <f>IFERROR(__xludf.DUMMYFUNCTION("""COMPUTED_VALUE"""),2802.0)</f>
        <v>2802</v>
      </c>
      <c r="Q679" s="46">
        <f>IFERROR(__xludf.DUMMYFUNCTION("""COMPUTED_VALUE"""),229007.46000000002)</f>
        <v>229007.46</v>
      </c>
      <c r="R679" s="46">
        <f>IFERROR(__xludf.DUMMYFUNCTION("""COMPUTED_VALUE"""),158789.34)</f>
        <v>158789.34</v>
      </c>
      <c r="S679" s="46">
        <f>IFERROR(__xludf.DUMMYFUNCTION("""COMPUTED_VALUE"""),70218.12000000002)</f>
        <v>70218.12</v>
      </c>
    </row>
    <row r="680">
      <c r="A680" s="46" t="str">
        <f>IFERROR(__xludf.DUMMYFUNCTION("""COMPUTED_VALUE"""),"Cosmetics")</f>
        <v>Cosmetics</v>
      </c>
      <c r="B680" s="46" t="str">
        <f>IFERROR(__xludf.DUMMYFUNCTION("""COMPUTED_VALUE"""),"Sweden")</f>
        <v>Sweden</v>
      </c>
      <c r="C680" s="46" t="str">
        <f>IFERROR(__xludf.DUMMYFUNCTION("""COMPUTED_VALUE"""),"Europe")</f>
        <v>Europe</v>
      </c>
      <c r="D680" s="90">
        <f>IFERROR(__xludf.DUMMYFUNCTION("""COMPUTED_VALUE"""),41487.0)</f>
        <v>41487</v>
      </c>
      <c r="E680" s="46">
        <f>IFERROR(__xludf.DUMMYFUNCTION("""COMPUTED_VALUE"""),2013.0)</f>
        <v>2013</v>
      </c>
      <c r="F680" s="46">
        <f>IFERROR(__xludf.DUMMYFUNCTION("""COMPUTED_VALUE"""),1.0)</f>
        <v>1</v>
      </c>
      <c r="G680" s="46">
        <f>IFERROR(__xludf.DUMMYFUNCTION("""COMPUTED_VALUE"""),661.0)</f>
        <v>661</v>
      </c>
      <c r="H680" s="46">
        <f>IFERROR(__xludf.DUMMYFUNCTION("""COMPUTED_VALUE"""),288989.2)</f>
        <v>288989.2</v>
      </c>
      <c r="I680" s="46">
        <f>IFERROR(__xludf.DUMMYFUNCTION("""COMPUTED_VALUE"""),174061.12999999998)</f>
        <v>174061.13</v>
      </c>
      <c r="J680" s="46">
        <f>IFERROR(__xludf.DUMMYFUNCTION("""COMPUTED_VALUE"""),114928.07000000004)</f>
        <v>114928.07</v>
      </c>
      <c r="K680" s="46" t="str">
        <f t="array" ref="K680">TEXT(D680, "mmmm")</f>
        <v>August</v>
      </c>
      <c r="M680" s="46" t="str">
        <f>IFERROR(__xludf.DUMMYFUNCTION("""COMPUTED_VALUE"""),"Finland")</f>
        <v>Finland</v>
      </c>
      <c r="N680" s="94">
        <f>IFERROR(__xludf.DUMMYFUNCTION("""COMPUTED_VALUE"""),41791.0)</f>
        <v>41791</v>
      </c>
      <c r="O680" s="46">
        <f>IFERROR(__xludf.DUMMYFUNCTION("""COMPUTED_VALUE"""),1.0)</f>
        <v>1</v>
      </c>
      <c r="P680" s="46">
        <f>IFERROR(__xludf.DUMMYFUNCTION("""COMPUTED_VALUE"""),7397.0)</f>
        <v>7397</v>
      </c>
      <c r="Q680" s="46">
        <f>IFERROR(__xludf.DUMMYFUNCTION("""COMPUTED_VALUE"""),3120720.33)</f>
        <v>3120720.33</v>
      </c>
      <c r="R680" s="46">
        <f>IFERROR(__xludf.DUMMYFUNCTION("""COMPUTED_VALUE"""),2697611.93)</f>
        <v>2697611.93</v>
      </c>
      <c r="S680" s="46">
        <f>IFERROR(__xludf.DUMMYFUNCTION("""COMPUTED_VALUE"""),423108.3999999999)</f>
        <v>423108.4</v>
      </c>
    </row>
    <row r="681">
      <c r="A681" s="46" t="str">
        <f>IFERROR(__xludf.DUMMYFUNCTION("""COMPUTED_VALUE"""),"Fruits")</f>
        <v>Fruits</v>
      </c>
      <c r="B681" s="46" t="str">
        <f>IFERROR(__xludf.DUMMYFUNCTION("""COMPUTED_VALUE"""),"Norway")</f>
        <v>Norway</v>
      </c>
      <c r="C681" s="46" t="str">
        <f>IFERROR(__xludf.DUMMYFUNCTION("""COMPUTED_VALUE"""),"Europe")</f>
        <v>Europe</v>
      </c>
      <c r="D681" s="90">
        <f>IFERROR(__xludf.DUMMYFUNCTION("""COMPUTED_VALUE"""),41487.0)</f>
        <v>41487</v>
      </c>
      <c r="E681" s="46">
        <f>IFERROR(__xludf.DUMMYFUNCTION("""COMPUTED_VALUE"""),2013.0)</f>
        <v>2013</v>
      </c>
      <c r="F681" s="46">
        <f>IFERROR(__xludf.DUMMYFUNCTION("""COMPUTED_VALUE"""),1.0)</f>
        <v>1</v>
      </c>
      <c r="G681" s="46">
        <f>IFERROR(__xludf.DUMMYFUNCTION("""COMPUTED_VALUE"""),4705.0)</f>
        <v>4705</v>
      </c>
      <c r="H681" s="46">
        <f>IFERROR(__xludf.DUMMYFUNCTION("""COMPUTED_VALUE"""),43897.65)</f>
        <v>43897.65</v>
      </c>
      <c r="I681" s="46">
        <f>IFERROR(__xludf.DUMMYFUNCTION("""COMPUTED_VALUE"""),32558.6)</f>
        <v>32558.6</v>
      </c>
      <c r="J681" s="46">
        <f>IFERROR(__xludf.DUMMYFUNCTION("""COMPUTED_VALUE"""),11339.050000000003)</f>
        <v>11339.05</v>
      </c>
      <c r="K681" s="46" t="str">
        <f t="array" ref="K681">TEXT(D681, "mmmm")</f>
        <v>August</v>
      </c>
      <c r="M681" s="46" t="str">
        <f>IFERROR(__xludf.DUMMYFUNCTION("""COMPUTED_VALUE"""),"Georgia")</f>
        <v>Georgia</v>
      </c>
      <c r="N681" s="94">
        <f>IFERROR(__xludf.DUMMYFUNCTION("""COMPUTED_VALUE"""),41791.0)</f>
        <v>41791</v>
      </c>
      <c r="O681" s="46">
        <f>IFERROR(__xludf.DUMMYFUNCTION("""COMPUTED_VALUE"""),1.0)</f>
        <v>1</v>
      </c>
      <c r="P681" s="46">
        <f>IFERROR(__xludf.DUMMYFUNCTION("""COMPUTED_VALUE"""),701.0)</f>
        <v>701</v>
      </c>
      <c r="Q681" s="46">
        <f>IFERROR(__xludf.DUMMYFUNCTION("""COMPUTED_VALUE"""),144195.69999999998)</f>
        <v>144195.7</v>
      </c>
      <c r="R681" s="46">
        <f>IFERROR(__xludf.DUMMYFUNCTION("""COMPUTED_VALUE"""),82094.11)</f>
        <v>82094.11</v>
      </c>
      <c r="S681" s="46">
        <f>IFERROR(__xludf.DUMMYFUNCTION("""COMPUTED_VALUE"""),62101.58999999998)</f>
        <v>62101.59</v>
      </c>
    </row>
    <row r="682">
      <c r="A682" s="46" t="str">
        <f>IFERROR(__xludf.DUMMYFUNCTION("""COMPUTED_VALUE"""),"Household")</f>
        <v>Household</v>
      </c>
      <c r="B682" s="46" t="str">
        <f>IFERROR(__xludf.DUMMYFUNCTION("""COMPUTED_VALUE"""),"Netherlands")</f>
        <v>Netherlands</v>
      </c>
      <c r="C682" s="46" t="str">
        <f>IFERROR(__xludf.DUMMYFUNCTION("""COMPUTED_VALUE"""),"Europe")</f>
        <v>Europe</v>
      </c>
      <c r="D682" s="90">
        <f>IFERROR(__xludf.DUMMYFUNCTION("""COMPUTED_VALUE"""),41487.0)</f>
        <v>41487</v>
      </c>
      <c r="E682" s="46">
        <f>IFERROR(__xludf.DUMMYFUNCTION("""COMPUTED_VALUE"""),2013.0)</f>
        <v>2013</v>
      </c>
      <c r="F682" s="46">
        <f>IFERROR(__xludf.DUMMYFUNCTION("""COMPUTED_VALUE"""),1.0)</f>
        <v>1</v>
      </c>
      <c r="G682" s="46">
        <f>IFERROR(__xludf.DUMMYFUNCTION("""COMPUTED_VALUE"""),2112.0)</f>
        <v>2112</v>
      </c>
      <c r="H682" s="46">
        <f>IFERROR(__xludf.DUMMYFUNCTION("""COMPUTED_VALUE"""),1411386.24)</f>
        <v>1411386.24</v>
      </c>
      <c r="I682" s="46">
        <f>IFERROR(__xludf.DUMMYFUNCTION("""COMPUTED_VALUE"""),1061364.48)</f>
        <v>1061364.48</v>
      </c>
      <c r="J682" s="46">
        <f>IFERROR(__xludf.DUMMYFUNCTION("""COMPUTED_VALUE"""),350021.76)</f>
        <v>350021.76</v>
      </c>
      <c r="K682" s="46" t="str">
        <f t="array" ref="K682">TEXT(D682, "mmmm")</f>
        <v>August</v>
      </c>
      <c r="M682" s="46" t="str">
        <f>IFERROR(__xludf.DUMMYFUNCTION("""COMPUTED_VALUE"""),"Ireland")</f>
        <v>Ireland</v>
      </c>
      <c r="N682" s="94">
        <f>IFERROR(__xludf.DUMMYFUNCTION("""COMPUTED_VALUE"""),41791.0)</f>
        <v>41791</v>
      </c>
      <c r="O682" s="46">
        <f>IFERROR(__xludf.DUMMYFUNCTION("""COMPUTED_VALUE"""),1.0)</f>
        <v>1</v>
      </c>
      <c r="P682" s="46">
        <f>IFERROR(__xludf.DUMMYFUNCTION("""COMPUTED_VALUE"""),6707.0)</f>
        <v>6707</v>
      </c>
      <c r="Q682" s="46">
        <f>IFERROR(__xludf.DUMMYFUNCTION("""COMPUTED_VALUE"""),4367665.470000001)</f>
        <v>4367665.47</v>
      </c>
      <c r="R682" s="46">
        <f>IFERROR(__xludf.DUMMYFUNCTION("""COMPUTED_VALUE"""),3520906.72)</f>
        <v>3520906.72</v>
      </c>
      <c r="S682" s="46">
        <f>IFERROR(__xludf.DUMMYFUNCTION("""COMPUTED_VALUE"""),846758.7500000005)</f>
        <v>846758.75</v>
      </c>
    </row>
    <row r="683">
      <c r="A683" s="46" t="str">
        <f>IFERROR(__xludf.DUMMYFUNCTION("""COMPUTED_VALUE"""),"Meat")</f>
        <v>Meat</v>
      </c>
      <c r="B683" s="46" t="str">
        <f>IFERROR(__xludf.DUMMYFUNCTION("""COMPUTED_VALUE"""),"Slovakia")</f>
        <v>Slovakia</v>
      </c>
      <c r="C683" s="46" t="str">
        <f>IFERROR(__xludf.DUMMYFUNCTION("""COMPUTED_VALUE"""),"Europe")</f>
        <v>Europe</v>
      </c>
      <c r="D683" s="90">
        <f>IFERROR(__xludf.DUMMYFUNCTION("""COMPUTED_VALUE"""),41487.0)</f>
        <v>41487</v>
      </c>
      <c r="E683" s="46">
        <f>IFERROR(__xludf.DUMMYFUNCTION("""COMPUTED_VALUE"""),2013.0)</f>
        <v>2013</v>
      </c>
      <c r="F683" s="46">
        <f>IFERROR(__xludf.DUMMYFUNCTION("""COMPUTED_VALUE"""),1.0)</f>
        <v>1</v>
      </c>
      <c r="G683" s="46">
        <f>IFERROR(__xludf.DUMMYFUNCTION("""COMPUTED_VALUE"""),166.0)</f>
        <v>166</v>
      </c>
      <c r="H683" s="46">
        <f>IFERROR(__xludf.DUMMYFUNCTION("""COMPUTED_VALUE"""),70033.73999999999)</f>
        <v>70033.74</v>
      </c>
      <c r="I683" s="46">
        <f>IFERROR(__xludf.DUMMYFUNCTION("""COMPUTED_VALUE"""),60538.54)</f>
        <v>60538.54</v>
      </c>
      <c r="J683" s="46">
        <f>IFERROR(__xludf.DUMMYFUNCTION("""COMPUTED_VALUE"""),9495.19999999999)</f>
        <v>9495.2</v>
      </c>
      <c r="K683" s="46" t="str">
        <f t="array" ref="K683">TEXT(D683, "mmmm")</f>
        <v>August</v>
      </c>
      <c r="M683" s="46" t="str">
        <f>IFERROR(__xludf.DUMMYFUNCTION("""COMPUTED_VALUE"""),"Malta")</f>
        <v>Malta</v>
      </c>
      <c r="N683" s="94">
        <f>IFERROR(__xludf.DUMMYFUNCTION("""COMPUTED_VALUE"""),41791.0)</f>
        <v>41791</v>
      </c>
      <c r="O683" s="46">
        <f>IFERROR(__xludf.DUMMYFUNCTION("""COMPUTED_VALUE"""),1.0)</f>
        <v>1</v>
      </c>
      <c r="P683" s="46">
        <f>IFERROR(__xludf.DUMMYFUNCTION("""COMPUTED_VALUE"""),3870.0)</f>
        <v>3870</v>
      </c>
      <c r="Q683" s="46">
        <f>IFERROR(__xludf.DUMMYFUNCTION("""COMPUTED_VALUE"""),1632714.3)</f>
        <v>1632714.3</v>
      </c>
      <c r="R683" s="46">
        <f>IFERROR(__xludf.DUMMYFUNCTION("""COMPUTED_VALUE"""),1411350.3)</f>
        <v>1411350.3</v>
      </c>
      <c r="S683" s="46">
        <f>IFERROR(__xludf.DUMMYFUNCTION("""COMPUTED_VALUE"""),221364.0)</f>
        <v>221364</v>
      </c>
    </row>
    <row r="684">
      <c r="A684" s="46" t="str">
        <f>IFERROR(__xludf.DUMMYFUNCTION("""COMPUTED_VALUE"""),"Snacks")</f>
        <v>Snacks</v>
      </c>
      <c r="B684" s="46" t="str">
        <f>IFERROR(__xludf.DUMMYFUNCTION("""COMPUTED_VALUE"""),"Belgium")</f>
        <v>Belgium</v>
      </c>
      <c r="C684" s="46" t="str">
        <f>IFERROR(__xludf.DUMMYFUNCTION("""COMPUTED_VALUE"""),"Europe")</f>
        <v>Europe</v>
      </c>
      <c r="D684" s="90">
        <f>IFERROR(__xludf.DUMMYFUNCTION("""COMPUTED_VALUE"""),41487.0)</f>
        <v>41487</v>
      </c>
      <c r="E684" s="46">
        <f>IFERROR(__xludf.DUMMYFUNCTION("""COMPUTED_VALUE"""),2013.0)</f>
        <v>2013</v>
      </c>
      <c r="F684" s="46">
        <f>IFERROR(__xludf.DUMMYFUNCTION("""COMPUTED_VALUE"""),1.0)</f>
        <v>1</v>
      </c>
      <c r="G684" s="46">
        <f>IFERROR(__xludf.DUMMYFUNCTION("""COMPUTED_VALUE"""),2856.0)</f>
        <v>2856</v>
      </c>
      <c r="H684" s="46">
        <f>IFERROR(__xludf.DUMMYFUNCTION("""COMPUTED_VALUE"""),435768.48000000004)</f>
        <v>435768.48</v>
      </c>
      <c r="I684" s="46">
        <f>IFERROR(__xludf.DUMMYFUNCTION("""COMPUTED_VALUE"""),278288.64)</f>
        <v>278288.64</v>
      </c>
      <c r="J684" s="46">
        <f>IFERROR(__xludf.DUMMYFUNCTION("""COMPUTED_VALUE"""),157479.84000000003)</f>
        <v>157479.84</v>
      </c>
      <c r="K684" s="46" t="str">
        <f t="array" ref="K684">TEXT(D684, "mmmm")</f>
        <v>August</v>
      </c>
      <c r="M684" s="46" t="str">
        <f>IFERROR(__xludf.DUMMYFUNCTION("""COMPUTED_VALUE"""),"Monaco")</f>
        <v>Monaco</v>
      </c>
      <c r="N684" s="94">
        <f>IFERROR(__xludf.DUMMYFUNCTION("""COMPUTED_VALUE"""),41791.0)</f>
        <v>41791</v>
      </c>
      <c r="O684" s="46">
        <f>IFERROR(__xludf.DUMMYFUNCTION("""COMPUTED_VALUE"""),2.0)</f>
        <v>2</v>
      </c>
      <c r="P684" s="46">
        <f>IFERROR(__xludf.DUMMYFUNCTION("""COMPUTED_VALUE"""),14879.0)</f>
        <v>14879</v>
      </c>
      <c r="Q684" s="46">
        <f>IFERROR(__xludf.DUMMYFUNCTION("""COMPUTED_VALUE"""),6711940.47)</f>
        <v>6711940.47</v>
      </c>
      <c r="R684" s="46">
        <f>IFERROR(__xludf.DUMMYFUNCTION("""COMPUTED_VALUE"""),5020994.83)</f>
        <v>5020994.83</v>
      </c>
      <c r="S684" s="46">
        <f>IFERROR(__xludf.DUMMYFUNCTION("""COMPUTED_VALUE"""),1690945.6399999997)</f>
        <v>1690945.64</v>
      </c>
    </row>
    <row r="685">
      <c r="A685" s="46" t="str">
        <f>IFERROR(__xludf.DUMMYFUNCTION("""COMPUTED_VALUE"""),"Baby Food")</f>
        <v>Baby Food</v>
      </c>
      <c r="B685" s="46" t="str">
        <f>IFERROR(__xludf.DUMMYFUNCTION("""COMPUTED_VALUE"""),"Andorra")</f>
        <v>Andorra</v>
      </c>
      <c r="C685" s="46" t="str">
        <f>IFERROR(__xludf.DUMMYFUNCTION("""COMPUTED_VALUE"""),"Europe")</f>
        <v>Europe</v>
      </c>
      <c r="D685" s="90">
        <f>IFERROR(__xludf.DUMMYFUNCTION("""COMPUTED_VALUE"""),41456.0)</f>
        <v>41456</v>
      </c>
      <c r="E685" s="46">
        <f>IFERROR(__xludf.DUMMYFUNCTION("""COMPUTED_VALUE"""),2013.0)</f>
        <v>2013</v>
      </c>
      <c r="F685" s="46">
        <f>IFERROR(__xludf.DUMMYFUNCTION("""COMPUTED_VALUE"""),1.0)</f>
        <v>1</v>
      </c>
      <c r="G685" s="46">
        <f>IFERROR(__xludf.DUMMYFUNCTION("""COMPUTED_VALUE"""),46.0)</f>
        <v>46</v>
      </c>
      <c r="H685" s="46">
        <f>IFERROR(__xludf.DUMMYFUNCTION("""COMPUTED_VALUE"""),11742.88)</f>
        <v>11742.88</v>
      </c>
      <c r="I685" s="46">
        <f>IFERROR(__xludf.DUMMYFUNCTION("""COMPUTED_VALUE"""),7333.32)</f>
        <v>7333.32</v>
      </c>
      <c r="J685" s="46">
        <f>IFERROR(__xludf.DUMMYFUNCTION("""COMPUTED_VALUE"""),4409.5599999999995)</f>
        <v>4409.56</v>
      </c>
      <c r="K685" s="46" t="str">
        <f t="array" ref="K685">TEXT(D685, "mmmm")</f>
        <v>July</v>
      </c>
      <c r="M685" s="46" t="str">
        <f>IFERROR(__xludf.DUMMYFUNCTION("""COMPUTED_VALUE"""),"Romania")</f>
        <v>Romania</v>
      </c>
      <c r="N685" s="94">
        <f>IFERROR(__xludf.DUMMYFUNCTION("""COMPUTED_VALUE"""),41791.0)</f>
        <v>41791</v>
      </c>
      <c r="O685" s="46">
        <f>IFERROR(__xludf.DUMMYFUNCTION("""COMPUTED_VALUE"""),1.0)</f>
        <v>1</v>
      </c>
      <c r="P685" s="46">
        <f>IFERROR(__xludf.DUMMYFUNCTION("""COMPUTED_VALUE"""),3530.0)</f>
        <v>3530</v>
      </c>
      <c r="Q685" s="46">
        <f>IFERROR(__xludf.DUMMYFUNCTION("""COMPUTED_VALUE"""),2358993.1)</f>
        <v>2358993.1</v>
      </c>
      <c r="R685" s="46">
        <f>IFERROR(__xludf.DUMMYFUNCTION("""COMPUTED_VALUE"""),1773966.2000000002)</f>
        <v>1773966.2</v>
      </c>
      <c r="S685" s="46">
        <f>IFERROR(__xludf.DUMMYFUNCTION("""COMPUTED_VALUE"""),585026.8999999999)</f>
        <v>585026.9</v>
      </c>
    </row>
    <row r="686">
      <c r="A686" s="46" t="str">
        <f>IFERROR(__xludf.DUMMYFUNCTION("""COMPUTED_VALUE"""),"Baby Food")</f>
        <v>Baby Food</v>
      </c>
      <c r="B686" s="46" t="str">
        <f>IFERROR(__xludf.DUMMYFUNCTION("""COMPUTED_VALUE"""),"Georgia")</f>
        <v>Georgia</v>
      </c>
      <c r="C686" s="46" t="str">
        <f>IFERROR(__xludf.DUMMYFUNCTION("""COMPUTED_VALUE"""),"Asia")</f>
        <v>Asia</v>
      </c>
      <c r="D686" s="90">
        <f>IFERROR(__xludf.DUMMYFUNCTION("""COMPUTED_VALUE"""),41456.0)</f>
        <v>41456</v>
      </c>
      <c r="E686" s="46">
        <f>IFERROR(__xludf.DUMMYFUNCTION("""COMPUTED_VALUE"""),2013.0)</f>
        <v>2013</v>
      </c>
      <c r="F686" s="46">
        <f>IFERROR(__xludf.DUMMYFUNCTION("""COMPUTED_VALUE"""),1.0)</f>
        <v>1</v>
      </c>
      <c r="G686" s="46">
        <f>IFERROR(__xludf.DUMMYFUNCTION("""COMPUTED_VALUE"""),8039.0)</f>
        <v>8039</v>
      </c>
      <c r="H686" s="46">
        <f>IFERROR(__xludf.DUMMYFUNCTION("""COMPUTED_VALUE"""),2052195.92)</f>
        <v>2052195.92</v>
      </c>
      <c r="I686" s="46">
        <f>IFERROR(__xludf.DUMMYFUNCTION("""COMPUTED_VALUE"""),1281577.38)</f>
        <v>1281577.38</v>
      </c>
      <c r="J686" s="46">
        <f>IFERROR(__xludf.DUMMYFUNCTION("""COMPUTED_VALUE"""),770618.54)</f>
        <v>770618.54</v>
      </c>
      <c r="K686" s="46" t="str">
        <f t="array" ref="K686">TEXT(D686, "mmmm")</f>
        <v>July</v>
      </c>
      <c r="M686" s="46" t="str">
        <f>IFERROR(__xludf.DUMMYFUNCTION("""COMPUTED_VALUE"""),"Slovakia")</f>
        <v>Slovakia</v>
      </c>
      <c r="N686" s="94">
        <f>IFERROR(__xludf.DUMMYFUNCTION("""COMPUTED_VALUE"""),41791.0)</f>
        <v>41791</v>
      </c>
      <c r="O686" s="46">
        <f>IFERROR(__xludf.DUMMYFUNCTION("""COMPUTED_VALUE"""),1.0)</f>
        <v>1</v>
      </c>
      <c r="P686" s="46">
        <f>IFERROR(__xludf.DUMMYFUNCTION("""COMPUTED_VALUE"""),6918.0)</f>
        <v>6918</v>
      </c>
      <c r="Q686" s="46">
        <f>IFERROR(__xludf.DUMMYFUNCTION("""COMPUTED_VALUE"""),4505070.78)</f>
        <v>4505070.78</v>
      </c>
      <c r="R686" s="46">
        <f>IFERROR(__xludf.DUMMYFUNCTION("""COMPUTED_VALUE"""),3631673.2800000003)</f>
        <v>3631673.28</v>
      </c>
      <c r="S686" s="46">
        <f>IFERROR(__xludf.DUMMYFUNCTION("""COMPUTED_VALUE"""),873397.5)</f>
        <v>873397.5</v>
      </c>
    </row>
    <row r="687">
      <c r="A687" s="46" t="str">
        <f>IFERROR(__xludf.DUMMYFUNCTION("""COMPUTED_VALUE"""),"Beverages")</f>
        <v>Beverages</v>
      </c>
      <c r="B687" s="46" t="str">
        <f>IFERROR(__xludf.DUMMYFUNCTION("""COMPUTED_VALUE"""),"Italy")</f>
        <v>Italy</v>
      </c>
      <c r="C687" s="46" t="str">
        <f>IFERROR(__xludf.DUMMYFUNCTION("""COMPUTED_VALUE"""),"Europe")</f>
        <v>Europe</v>
      </c>
      <c r="D687" s="90">
        <f>IFERROR(__xludf.DUMMYFUNCTION("""COMPUTED_VALUE"""),41456.0)</f>
        <v>41456</v>
      </c>
      <c r="E687" s="46">
        <f>IFERROR(__xludf.DUMMYFUNCTION("""COMPUTED_VALUE"""),2013.0)</f>
        <v>2013</v>
      </c>
      <c r="F687" s="46">
        <f>IFERROR(__xludf.DUMMYFUNCTION("""COMPUTED_VALUE"""),1.0)</f>
        <v>1</v>
      </c>
      <c r="G687" s="46">
        <f>IFERROR(__xludf.DUMMYFUNCTION("""COMPUTED_VALUE"""),4141.0)</f>
        <v>4141</v>
      </c>
      <c r="H687" s="46">
        <f>IFERROR(__xludf.DUMMYFUNCTION("""COMPUTED_VALUE"""),196490.45)</f>
        <v>196490.45</v>
      </c>
      <c r="I687" s="46">
        <f>IFERROR(__xludf.DUMMYFUNCTION("""COMPUTED_VALUE"""),131642.38999999998)</f>
        <v>131642.39</v>
      </c>
      <c r="J687" s="46">
        <f>IFERROR(__xludf.DUMMYFUNCTION("""COMPUTED_VALUE"""),64848.06000000003)</f>
        <v>64848.06</v>
      </c>
      <c r="K687" s="46" t="str">
        <f t="array" ref="K687">TEXT(D687, "mmmm")</f>
        <v>July</v>
      </c>
      <c r="M687" s="46" t="str">
        <f>IFERROR(__xludf.DUMMYFUNCTION("""COMPUTED_VALUE"""),"Switzerland")</f>
        <v>Switzerland</v>
      </c>
      <c r="N687" s="94">
        <f>IFERROR(__xludf.DUMMYFUNCTION("""COMPUTED_VALUE"""),41791.0)</f>
        <v>41791</v>
      </c>
      <c r="O687" s="46">
        <f>IFERROR(__xludf.DUMMYFUNCTION("""COMPUTED_VALUE"""),1.0)</f>
        <v>1</v>
      </c>
      <c r="P687" s="46">
        <f>IFERROR(__xludf.DUMMYFUNCTION("""COMPUTED_VALUE"""),9293.0)</f>
        <v>9293</v>
      </c>
      <c r="Q687" s="46">
        <f>IFERROR(__xludf.DUMMYFUNCTION("""COMPUTED_VALUE"""),86703.69)</f>
        <v>86703.69</v>
      </c>
      <c r="R687" s="46">
        <f>IFERROR(__xludf.DUMMYFUNCTION("""COMPUTED_VALUE"""),64307.56)</f>
        <v>64307.56</v>
      </c>
      <c r="S687" s="46">
        <f>IFERROR(__xludf.DUMMYFUNCTION("""COMPUTED_VALUE"""),22396.130000000005)</f>
        <v>22396.13</v>
      </c>
    </row>
    <row r="688">
      <c r="A688" s="46" t="str">
        <f>IFERROR(__xludf.DUMMYFUNCTION("""COMPUTED_VALUE"""),"Cereal")</f>
        <v>Cereal</v>
      </c>
      <c r="B688" s="46" t="str">
        <f>IFERROR(__xludf.DUMMYFUNCTION("""COMPUTED_VALUE"""),"Estonia")</f>
        <v>Estonia</v>
      </c>
      <c r="C688" s="46" t="str">
        <f>IFERROR(__xludf.DUMMYFUNCTION("""COMPUTED_VALUE"""),"Europe")</f>
        <v>Europe</v>
      </c>
      <c r="D688" s="90">
        <f>IFERROR(__xludf.DUMMYFUNCTION("""COMPUTED_VALUE"""),41456.0)</f>
        <v>41456</v>
      </c>
      <c r="E688" s="46">
        <f>IFERROR(__xludf.DUMMYFUNCTION("""COMPUTED_VALUE"""),2013.0)</f>
        <v>2013</v>
      </c>
      <c r="F688" s="46">
        <f>IFERROR(__xludf.DUMMYFUNCTION("""COMPUTED_VALUE"""),1.0)</f>
        <v>1</v>
      </c>
      <c r="G688" s="46">
        <f>IFERROR(__xludf.DUMMYFUNCTION("""COMPUTED_VALUE"""),6641.0)</f>
        <v>6641</v>
      </c>
      <c r="H688" s="46">
        <f>IFERROR(__xludf.DUMMYFUNCTION("""COMPUTED_VALUE"""),1366053.7)</f>
        <v>1366053.7</v>
      </c>
      <c r="I688" s="46">
        <f>IFERROR(__xludf.DUMMYFUNCTION("""COMPUTED_VALUE"""),777727.51)</f>
        <v>777727.51</v>
      </c>
      <c r="J688" s="46">
        <f>IFERROR(__xludf.DUMMYFUNCTION("""COMPUTED_VALUE"""),588326.19)</f>
        <v>588326.19</v>
      </c>
      <c r="K688" s="46" t="str">
        <f t="array" ref="K688">TEXT(D688, "mmmm")</f>
        <v>July</v>
      </c>
      <c r="M688" s="46" t="str">
        <f>IFERROR(__xludf.DUMMYFUNCTION("""COMPUTED_VALUE"""),"Ukraine")</f>
        <v>Ukraine</v>
      </c>
      <c r="N688" s="94">
        <f>IFERROR(__xludf.DUMMYFUNCTION("""COMPUTED_VALUE"""),41791.0)</f>
        <v>41791</v>
      </c>
      <c r="O688" s="46">
        <f>IFERROR(__xludf.DUMMYFUNCTION("""COMPUTED_VALUE"""),2.0)</f>
        <v>2</v>
      </c>
      <c r="P688" s="46">
        <f>IFERROR(__xludf.DUMMYFUNCTION("""COMPUTED_VALUE"""),11323.0)</f>
        <v>11323</v>
      </c>
      <c r="Q688" s="46">
        <f>IFERROR(__xludf.DUMMYFUNCTION("""COMPUTED_VALUE"""),4806853.7299999995)</f>
        <v>4806853.73</v>
      </c>
      <c r="R688" s="46">
        <f>IFERROR(__xludf.DUMMYFUNCTION("""COMPUTED_VALUE"""),3932138.31)</f>
        <v>3932138.31</v>
      </c>
      <c r="S688" s="46">
        <f>IFERROR(__xludf.DUMMYFUNCTION("""COMPUTED_VALUE"""),874715.4199999999)</f>
        <v>874715.42</v>
      </c>
    </row>
    <row r="689">
      <c r="A689" s="46" t="str">
        <f>IFERROR(__xludf.DUMMYFUNCTION("""COMPUTED_VALUE"""),"Cereal")</f>
        <v>Cereal</v>
      </c>
      <c r="B689" s="46" t="str">
        <f>IFERROR(__xludf.DUMMYFUNCTION("""COMPUTED_VALUE"""),"Finland")</f>
        <v>Finland</v>
      </c>
      <c r="C689" s="46" t="str">
        <f>IFERROR(__xludf.DUMMYFUNCTION("""COMPUTED_VALUE"""),"Europe")</f>
        <v>Europe</v>
      </c>
      <c r="D689" s="90">
        <f>IFERROR(__xludf.DUMMYFUNCTION("""COMPUTED_VALUE"""),41456.0)</f>
        <v>41456</v>
      </c>
      <c r="E689" s="46">
        <f>IFERROR(__xludf.DUMMYFUNCTION("""COMPUTED_VALUE"""),2013.0)</f>
        <v>2013</v>
      </c>
      <c r="F689" s="46">
        <f>IFERROR(__xludf.DUMMYFUNCTION("""COMPUTED_VALUE"""),1.0)</f>
        <v>1</v>
      </c>
      <c r="G689" s="46">
        <f>IFERROR(__xludf.DUMMYFUNCTION("""COMPUTED_VALUE"""),5386.0)</f>
        <v>5386</v>
      </c>
      <c r="H689" s="46">
        <f>IFERROR(__xludf.DUMMYFUNCTION("""COMPUTED_VALUE"""),1107900.2)</f>
        <v>1107900.2</v>
      </c>
      <c r="I689" s="46">
        <f>IFERROR(__xludf.DUMMYFUNCTION("""COMPUTED_VALUE"""),630754.46)</f>
        <v>630754.46</v>
      </c>
      <c r="J689" s="46">
        <f>IFERROR(__xludf.DUMMYFUNCTION("""COMPUTED_VALUE"""),477145.74)</f>
        <v>477145.74</v>
      </c>
      <c r="K689" s="46" t="str">
        <f t="array" ref="K689">TEXT(D689, "mmmm")</f>
        <v>July</v>
      </c>
      <c r="M689" s="46" t="str">
        <f>IFERROR(__xludf.DUMMYFUNCTION("""COMPUTED_VALUE"""),"Undefined")</f>
        <v>Undefined</v>
      </c>
      <c r="N689" s="94">
        <f>IFERROR(__xludf.DUMMYFUNCTION("""COMPUTED_VALUE"""),41791.0)</f>
        <v>41791</v>
      </c>
      <c r="O689" s="46">
        <f>IFERROR(__xludf.DUMMYFUNCTION("""COMPUTED_VALUE"""),1.0)</f>
        <v>1</v>
      </c>
      <c r="P689" s="46">
        <f>IFERROR(__xludf.DUMMYFUNCTION("""COMPUTED_VALUE"""),2091.0)</f>
        <v>2091</v>
      </c>
      <c r="Q689" s="46">
        <f>IFERROR(__xludf.DUMMYFUNCTION("""COMPUTED_VALUE"""),1397352.57)</f>
        <v>1397352.57</v>
      </c>
      <c r="R689" s="46">
        <f>IFERROR(__xludf.DUMMYFUNCTION("""COMPUTED_VALUE"""),1050811.1400000001)</f>
        <v>1050811.14</v>
      </c>
      <c r="S689" s="46">
        <f>IFERROR(__xludf.DUMMYFUNCTION("""COMPUTED_VALUE"""),346541.42999999993)</f>
        <v>346541.43</v>
      </c>
    </row>
    <row r="690">
      <c r="A690" s="46" t="str">
        <f>IFERROR(__xludf.DUMMYFUNCTION("""COMPUTED_VALUE"""),"Cereal")</f>
        <v>Cereal</v>
      </c>
      <c r="B690" s="46" t="str">
        <f>IFERROR(__xludf.DUMMYFUNCTION("""COMPUTED_VALUE"""),"Malta")</f>
        <v>Malta</v>
      </c>
      <c r="C690" s="46" t="str">
        <f>IFERROR(__xludf.DUMMYFUNCTION("""COMPUTED_VALUE"""),"Europe")</f>
        <v>Europe</v>
      </c>
      <c r="D690" s="90">
        <f>IFERROR(__xludf.DUMMYFUNCTION("""COMPUTED_VALUE"""),41456.0)</f>
        <v>41456</v>
      </c>
      <c r="E690" s="46">
        <f>IFERROR(__xludf.DUMMYFUNCTION("""COMPUTED_VALUE"""),2013.0)</f>
        <v>2013</v>
      </c>
      <c r="F690" s="46">
        <f>IFERROR(__xludf.DUMMYFUNCTION("""COMPUTED_VALUE"""),1.0)</f>
        <v>1</v>
      </c>
      <c r="G690" s="46">
        <f>IFERROR(__xludf.DUMMYFUNCTION("""COMPUTED_VALUE"""),9229.0)</f>
        <v>9229</v>
      </c>
      <c r="H690" s="46">
        <f>IFERROR(__xludf.DUMMYFUNCTION("""COMPUTED_VALUE"""),1898405.2999999998)</f>
        <v>1898405.3</v>
      </c>
      <c r="I690" s="46">
        <f>IFERROR(__xludf.DUMMYFUNCTION("""COMPUTED_VALUE"""),1080808.19)</f>
        <v>1080808.19</v>
      </c>
      <c r="J690" s="46">
        <f>IFERROR(__xludf.DUMMYFUNCTION("""COMPUTED_VALUE"""),817597.1099999999)</f>
        <v>817597.11</v>
      </c>
      <c r="K690" s="46" t="str">
        <f t="array" ref="K690">TEXT(D690, "mmmm")</f>
        <v>July</v>
      </c>
      <c r="M690" s="46" t="str">
        <f>IFERROR(__xludf.DUMMYFUNCTION("""COMPUTED_VALUE"""),"Austria")</f>
        <v>Austria</v>
      </c>
      <c r="N690" s="94">
        <f>IFERROR(__xludf.DUMMYFUNCTION("""COMPUTED_VALUE"""),41821.0)</f>
        <v>41821</v>
      </c>
      <c r="O690" s="46">
        <f>IFERROR(__xludf.DUMMYFUNCTION("""COMPUTED_VALUE"""),1.0)</f>
        <v>1</v>
      </c>
      <c r="P690" s="46">
        <f>IFERROR(__xludf.DUMMYFUNCTION("""COMPUTED_VALUE"""),2009.0)</f>
        <v>2009</v>
      </c>
      <c r="Q690" s="46">
        <f>IFERROR(__xludf.DUMMYFUNCTION("""COMPUTED_VALUE"""),164195.57)</f>
        <v>164195.57</v>
      </c>
      <c r="R690" s="46">
        <f>IFERROR(__xludf.DUMMYFUNCTION("""COMPUTED_VALUE"""),113850.03)</f>
        <v>113850.03</v>
      </c>
      <c r="S690" s="46">
        <f>IFERROR(__xludf.DUMMYFUNCTION("""COMPUTED_VALUE"""),50345.54000000001)</f>
        <v>50345.54</v>
      </c>
    </row>
    <row r="691">
      <c r="A691" s="46" t="str">
        <f>IFERROR(__xludf.DUMMYFUNCTION("""COMPUTED_VALUE"""),"Clothes")</f>
        <v>Clothes</v>
      </c>
      <c r="B691" s="46" t="str">
        <f>IFERROR(__xludf.DUMMYFUNCTION("""COMPUTED_VALUE"""),"San Marino")</f>
        <v>San Marino</v>
      </c>
      <c r="C691" s="46" t="str">
        <f>IFERROR(__xludf.DUMMYFUNCTION("""COMPUTED_VALUE"""),"Europe")</f>
        <v>Europe</v>
      </c>
      <c r="D691" s="90">
        <f>IFERROR(__xludf.DUMMYFUNCTION("""COMPUTED_VALUE"""),41456.0)</f>
        <v>41456</v>
      </c>
      <c r="E691" s="46">
        <f>IFERROR(__xludf.DUMMYFUNCTION("""COMPUTED_VALUE"""),2013.0)</f>
        <v>2013</v>
      </c>
      <c r="F691" s="46">
        <f>IFERROR(__xludf.DUMMYFUNCTION("""COMPUTED_VALUE"""),1.0)</f>
        <v>1</v>
      </c>
      <c r="G691" s="46">
        <f>IFERROR(__xludf.DUMMYFUNCTION("""COMPUTED_VALUE"""),5523.0)</f>
        <v>5523</v>
      </c>
      <c r="H691" s="46">
        <f>IFERROR(__xludf.DUMMYFUNCTION("""COMPUTED_VALUE"""),603553.4400000001)</f>
        <v>603553.44</v>
      </c>
      <c r="I691" s="46">
        <f>IFERROR(__xludf.DUMMYFUNCTION("""COMPUTED_VALUE"""),197944.32)</f>
        <v>197944.32</v>
      </c>
      <c r="J691" s="46">
        <f>IFERROR(__xludf.DUMMYFUNCTION("""COMPUTED_VALUE"""),405609.12000000005)</f>
        <v>405609.12</v>
      </c>
      <c r="K691" s="46" t="str">
        <f t="array" ref="K691">TEXT(D691, "mmmm")</f>
        <v>July</v>
      </c>
      <c r="M691" s="46" t="str">
        <f>IFERROR(__xludf.DUMMYFUNCTION("""COMPUTED_VALUE"""),"Bosnia and Herzegovina")</f>
        <v>Bosnia and Herzegovina</v>
      </c>
      <c r="N691" s="94">
        <f>IFERROR(__xludf.DUMMYFUNCTION("""COMPUTED_VALUE"""),41821.0)</f>
        <v>41821</v>
      </c>
      <c r="O691" s="46">
        <f>IFERROR(__xludf.DUMMYFUNCTION("""COMPUTED_VALUE"""),1.0)</f>
        <v>1</v>
      </c>
      <c r="P691" s="46">
        <f>IFERROR(__xludf.DUMMYFUNCTION("""COMPUTED_VALUE"""),3383.0)</f>
        <v>3383</v>
      </c>
      <c r="Q691" s="46">
        <f>IFERROR(__xludf.DUMMYFUNCTION("""COMPUTED_VALUE"""),276492.59)</f>
        <v>276492.59</v>
      </c>
      <c r="R691" s="46">
        <f>IFERROR(__xludf.DUMMYFUNCTION("""COMPUTED_VALUE"""),191714.61000000002)</f>
        <v>191714.61</v>
      </c>
      <c r="S691" s="46">
        <f>IFERROR(__xludf.DUMMYFUNCTION("""COMPUTED_VALUE"""),84777.98000000001)</f>
        <v>84777.98</v>
      </c>
    </row>
    <row r="692">
      <c r="A692" s="46" t="str">
        <f>IFERROR(__xludf.DUMMYFUNCTION("""COMPUTED_VALUE"""),"Fruits")</f>
        <v>Fruits</v>
      </c>
      <c r="B692" s="46" t="str">
        <f>IFERROR(__xludf.DUMMYFUNCTION("""COMPUTED_VALUE"""),"Undefined")</f>
        <v>Undefined</v>
      </c>
      <c r="C692" s="46" t="str">
        <f>IFERROR(__xludf.DUMMYFUNCTION("""COMPUTED_VALUE"""),"Undefined")</f>
        <v>Undefined</v>
      </c>
      <c r="D692" s="90">
        <f>IFERROR(__xludf.DUMMYFUNCTION("""COMPUTED_VALUE"""),41456.0)</f>
        <v>41456</v>
      </c>
      <c r="E692" s="46">
        <f>IFERROR(__xludf.DUMMYFUNCTION("""COMPUTED_VALUE"""),2013.0)</f>
        <v>2013</v>
      </c>
      <c r="F692" s="46">
        <f>IFERROR(__xludf.DUMMYFUNCTION("""COMPUTED_VALUE"""),1.0)</f>
        <v>1</v>
      </c>
      <c r="G692" s="46">
        <f>IFERROR(__xludf.DUMMYFUNCTION("""COMPUTED_VALUE"""),7371.0)</f>
        <v>7371</v>
      </c>
      <c r="H692" s="46">
        <f>IFERROR(__xludf.DUMMYFUNCTION("""COMPUTED_VALUE"""),68771.43000000001)</f>
        <v>68771.43</v>
      </c>
      <c r="I692" s="46">
        <f>IFERROR(__xludf.DUMMYFUNCTION("""COMPUTED_VALUE"""),51007.32)</f>
        <v>51007.32</v>
      </c>
      <c r="J692" s="46">
        <f>IFERROR(__xludf.DUMMYFUNCTION("""COMPUTED_VALUE"""),17764.110000000008)</f>
        <v>17764.11</v>
      </c>
      <c r="K692" s="46" t="str">
        <f t="array" ref="K692">TEXT(D692, "mmmm")</f>
        <v>July</v>
      </c>
      <c r="M692" s="46" t="str">
        <f>IFERROR(__xludf.DUMMYFUNCTION("""COMPUTED_VALUE"""),"Cyprus")</f>
        <v>Cyprus</v>
      </c>
      <c r="N692" s="94">
        <f>IFERROR(__xludf.DUMMYFUNCTION("""COMPUTED_VALUE"""),41821.0)</f>
        <v>41821</v>
      </c>
      <c r="O692" s="46">
        <f>IFERROR(__xludf.DUMMYFUNCTION("""COMPUTED_VALUE"""),1.0)</f>
        <v>1</v>
      </c>
      <c r="P692" s="46">
        <f>IFERROR(__xludf.DUMMYFUNCTION("""COMPUTED_VALUE"""),9558.0)</f>
        <v>9558</v>
      </c>
      <c r="Q692" s="46">
        <f>IFERROR(__xludf.DUMMYFUNCTION("""COMPUTED_VALUE"""),1472505.48)</f>
        <v>1472505.48</v>
      </c>
      <c r="R692" s="46">
        <f>IFERROR(__xludf.DUMMYFUNCTION("""COMPUTED_VALUE"""),869108.9400000001)</f>
        <v>869108.94</v>
      </c>
      <c r="S692" s="46">
        <f>IFERROR(__xludf.DUMMYFUNCTION("""COMPUTED_VALUE"""),603396.5399999999)</f>
        <v>603396.54</v>
      </c>
    </row>
    <row r="693">
      <c r="A693" s="46" t="str">
        <f>IFERROR(__xludf.DUMMYFUNCTION("""COMPUTED_VALUE"""),"Meat")</f>
        <v>Meat</v>
      </c>
      <c r="B693" s="46" t="str">
        <f>IFERROR(__xludf.DUMMYFUNCTION("""COMPUTED_VALUE"""),"Italy")</f>
        <v>Italy</v>
      </c>
      <c r="C693" s="46" t="str">
        <f>IFERROR(__xludf.DUMMYFUNCTION("""COMPUTED_VALUE"""),"Europe")</f>
        <v>Europe</v>
      </c>
      <c r="D693" s="90">
        <f>IFERROR(__xludf.DUMMYFUNCTION("""COMPUTED_VALUE"""),41456.0)</f>
        <v>41456</v>
      </c>
      <c r="E693" s="46">
        <f>IFERROR(__xludf.DUMMYFUNCTION("""COMPUTED_VALUE"""),2013.0)</f>
        <v>2013</v>
      </c>
      <c r="F693" s="46">
        <f>IFERROR(__xludf.DUMMYFUNCTION("""COMPUTED_VALUE"""),1.0)</f>
        <v>1</v>
      </c>
      <c r="G693" s="46">
        <f>IFERROR(__xludf.DUMMYFUNCTION("""COMPUTED_VALUE"""),6360.0)</f>
        <v>6360</v>
      </c>
      <c r="H693" s="46">
        <f>IFERROR(__xludf.DUMMYFUNCTION("""COMPUTED_VALUE"""),2683220.4)</f>
        <v>2683220.4</v>
      </c>
      <c r="I693" s="46">
        <f>IFERROR(__xludf.DUMMYFUNCTION("""COMPUTED_VALUE"""),2319428.4)</f>
        <v>2319428.4</v>
      </c>
      <c r="J693" s="46">
        <f>IFERROR(__xludf.DUMMYFUNCTION("""COMPUTED_VALUE"""),363792.0)</f>
        <v>363792</v>
      </c>
      <c r="K693" s="46" t="str">
        <f t="array" ref="K693">TEXT(D693, "mmmm")</f>
        <v>July</v>
      </c>
      <c r="M693" s="46" t="str">
        <f>IFERROR(__xludf.DUMMYFUNCTION("""COMPUTED_VALUE"""),"Denmark")</f>
        <v>Denmark</v>
      </c>
      <c r="N693" s="94">
        <f>IFERROR(__xludf.DUMMYFUNCTION("""COMPUTED_VALUE"""),41821.0)</f>
        <v>41821</v>
      </c>
      <c r="O693" s="46">
        <f>IFERROR(__xludf.DUMMYFUNCTION("""COMPUTED_VALUE"""),2.0)</f>
        <v>2</v>
      </c>
      <c r="P693" s="46">
        <f>IFERROR(__xludf.DUMMYFUNCTION("""COMPUTED_VALUE"""),5822.0)</f>
        <v>5822</v>
      </c>
      <c r="Q693" s="46">
        <f>IFERROR(__xludf.DUMMYFUNCTION("""COMPUTED_VALUE"""),2005950.0)</f>
        <v>2005950</v>
      </c>
      <c r="R693" s="46">
        <f>IFERROR(__xludf.DUMMYFUNCTION("""COMPUTED_VALUE"""),1158886.21)</f>
        <v>1158886.21</v>
      </c>
      <c r="S693" s="46">
        <f>IFERROR(__xludf.DUMMYFUNCTION("""COMPUTED_VALUE"""),847063.79)</f>
        <v>847063.79</v>
      </c>
    </row>
    <row r="694">
      <c r="A694" s="46" t="str">
        <f>IFERROR(__xludf.DUMMYFUNCTION("""COMPUTED_VALUE"""),"Meat")</f>
        <v>Meat</v>
      </c>
      <c r="B694" s="46" t="str">
        <f>IFERROR(__xludf.DUMMYFUNCTION("""COMPUTED_VALUE"""),"Monaco")</f>
        <v>Monaco</v>
      </c>
      <c r="C694" s="46" t="str">
        <f>IFERROR(__xludf.DUMMYFUNCTION("""COMPUTED_VALUE"""),"Europe")</f>
        <v>Europe</v>
      </c>
      <c r="D694" s="90">
        <f>IFERROR(__xludf.DUMMYFUNCTION("""COMPUTED_VALUE"""),41456.0)</f>
        <v>41456</v>
      </c>
      <c r="E694" s="46">
        <f>IFERROR(__xludf.DUMMYFUNCTION("""COMPUTED_VALUE"""),2013.0)</f>
        <v>2013</v>
      </c>
      <c r="F694" s="46">
        <f>IFERROR(__xludf.DUMMYFUNCTION("""COMPUTED_VALUE"""),1.0)</f>
        <v>1</v>
      </c>
      <c r="G694" s="46">
        <f>IFERROR(__xludf.DUMMYFUNCTION("""COMPUTED_VALUE"""),615.0)</f>
        <v>615</v>
      </c>
      <c r="H694" s="46">
        <f>IFERROR(__xludf.DUMMYFUNCTION("""COMPUTED_VALUE"""),259462.35)</f>
        <v>259462.35</v>
      </c>
      <c r="I694" s="46">
        <f>IFERROR(__xludf.DUMMYFUNCTION("""COMPUTED_VALUE"""),224284.35)</f>
        <v>224284.35</v>
      </c>
      <c r="J694" s="46">
        <f>IFERROR(__xludf.DUMMYFUNCTION("""COMPUTED_VALUE"""),35178.0)</f>
        <v>35178</v>
      </c>
      <c r="K694" s="46" t="str">
        <f t="array" ref="K694">TEXT(D694, "mmmm")</f>
        <v>July</v>
      </c>
      <c r="M694" s="46" t="str">
        <f>IFERROR(__xludf.DUMMYFUNCTION("""COMPUTED_VALUE"""),"Finland")</f>
        <v>Finland</v>
      </c>
      <c r="N694" s="94">
        <f>IFERROR(__xludf.DUMMYFUNCTION("""COMPUTED_VALUE"""),41821.0)</f>
        <v>41821</v>
      </c>
      <c r="O694" s="46">
        <f>IFERROR(__xludf.DUMMYFUNCTION("""COMPUTED_VALUE"""),1.0)</f>
        <v>1</v>
      </c>
      <c r="P694" s="46">
        <f>IFERROR(__xludf.DUMMYFUNCTION("""COMPUTED_VALUE"""),4322.0)</f>
        <v>4322</v>
      </c>
      <c r="Q694" s="46">
        <f>IFERROR(__xludf.DUMMYFUNCTION("""COMPUTED_VALUE"""),353237.06)</f>
        <v>353237.06</v>
      </c>
      <c r="R694" s="46">
        <f>IFERROR(__xludf.DUMMYFUNCTION("""COMPUTED_VALUE"""),244927.74000000002)</f>
        <v>244927.74</v>
      </c>
      <c r="S694" s="46">
        <f>IFERROR(__xludf.DUMMYFUNCTION("""COMPUTED_VALUE"""),108309.31999999998)</f>
        <v>108309.32</v>
      </c>
    </row>
    <row r="695">
      <c r="A695" s="46" t="str">
        <f>IFERROR(__xludf.DUMMYFUNCTION("""COMPUTED_VALUE"""),"Personal Care")</f>
        <v>Personal Care</v>
      </c>
      <c r="B695" s="46" t="str">
        <f>IFERROR(__xludf.DUMMYFUNCTION("""COMPUTED_VALUE"""),"Belarus")</f>
        <v>Belarus</v>
      </c>
      <c r="C695" s="46" t="str">
        <f>IFERROR(__xludf.DUMMYFUNCTION("""COMPUTED_VALUE"""),"Europe")</f>
        <v>Europe</v>
      </c>
      <c r="D695" s="90">
        <f>IFERROR(__xludf.DUMMYFUNCTION("""COMPUTED_VALUE"""),41456.0)</f>
        <v>41456</v>
      </c>
      <c r="E695" s="46">
        <f>IFERROR(__xludf.DUMMYFUNCTION("""COMPUTED_VALUE"""),2013.0)</f>
        <v>2013</v>
      </c>
      <c r="F695" s="46">
        <f>IFERROR(__xludf.DUMMYFUNCTION("""COMPUTED_VALUE"""),1.0)</f>
        <v>1</v>
      </c>
      <c r="G695" s="46">
        <f>IFERROR(__xludf.DUMMYFUNCTION("""COMPUTED_VALUE"""),829.0)</f>
        <v>829</v>
      </c>
      <c r="H695" s="46">
        <f>IFERROR(__xludf.DUMMYFUNCTION("""COMPUTED_VALUE"""),67754.17)</f>
        <v>67754.17</v>
      </c>
      <c r="I695" s="46">
        <f>IFERROR(__xludf.DUMMYFUNCTION("""COMPUTED_VALUE"""),46979.43)</f>
        <v>46979.43</v>
      </c>
      <c r="J695" s="46">
        <f>IFERROR(__xludf.DUMMYFUNCTION("""COMPUTED_VALUE"""),20774.739999999998)</f>
        <v>20774.74</v>
      </c>
      <c r="K695" s="46" t="str">
        <f t="array" ref="K695">TEXT(D695, "mmmm")</f>
        <v>July</v>
      </c>
      <c r="M695" s="46" t="str">
        <f>IFERROR(__xludf.DUMMYFUNCTION("""COMPUTED_VALUE"""),"Germany")</f>
        <v>Germany</v>
      </c>
      <c r="N695" s="94">
        <f>IFERROR(__xludf.DUMMYFUNCTION("""COMPUTED_VALUE"""),41821.0)</f>
        <v>41821</v>
      </c>
      <c r="O695" s="46">
        <f>IFERROR(__xludf.DUMMYFUNCTION("""COMPUTED_VALUE"""),1.0)</f>
        <v>1</v>
      </c>
      <c r="P695" s="46">
        <f>IFERROR(__xludf.DUMMYFUNCTION("""COMPUTED_VALUE"""),1547.0)</f>
        <v>1547</v>
      </c>
      <c r="Q695" s="46">
        <f>IFERROR(__xludf.DUMMYFUNCTION("""COMPUTED_VALUE"""),126436.31000000001)</f>
        <v>126436.31</v>
      </c>
      <c r="R695" s="46">
        <f>IFERROR(__xludf.DUMMYFUNCTION("""COMPUTED_VALUE"""),87668.49)</f>
        <v>87668.49</v>
      </c>
      <c r="S695" s="46">
        <f>IFERROR(__xludf.DUMMYFUNCTION("""COMPUTED_VALUE"""),38767.82000000001)</f>
        <v>38767.82</v>
      </c>
    </row>
    <row r="696">
      <c r="A696" s="46" t="str">
        <f>IFERROR(__xludf.DUMMYFUNCTION("""COMPUTED_VALUE"""),"Snacks")</f>
        <v>Snacks</v>
      </c>
      <c r="B696" s="46" t="str">
        <f>IFERROR(__xludf.DUMMYFUNCTION("""COMPUTED_VALUE"""),"Armenia")</f>
        <v>Armenia</v>
      </c>
      <c r="C696" s="46" t="str">
        <f>IFERROR(__xludf.DUMMYFUNCTION("""COMPUTED_VALUE"""),"Asia")</f>
        <v>Asia</v>
      </c>
      <c r="D696" s="90">
        <f>IFERROR(__xludf.DUMMYFUNCTION("""COMPUTED_VALUE"""),41456.0)</f>
        <v>41456</v>
      </c>
      <c r="E696" s="46">
        <f>IFERROR(__xludf.DUMMYFUNCTION("""COMPUTED_VALUE"""),2013.0)</f>
        <v>2013</v>
      </c>
      <c r="F696" s="46">
        <f>IFERROR(__xludf.DUMMYFUNCTION("""COMPUTED_VALUE"""),1.0)</f>
        <v>1</v>
      </c>
      <c r="G696" s="46">
        <f>IFERROR(__xludf.DUMMYFUNCTION("""COMPUTED_VALUE"""),1747.0)</f>
        <v>1747</v>
      </c>
      <c r="H696" s="46">
        <f>IFERROR(__xludf.DUMMYFUNCTION("""COMPUTED_VALUE"""),266557.26)</f>
        <v>266557.26</v>
      </c>
      <c r="I696" s="46">
        <f>IFERROR(__xludf.DUMMYFUNCTION("""COMPUTED_VALUE"""),170227.68)</f>
        <v>170227.68</v>
      </c>
      <c r="J696" s="46">
        <f>IFERROR(__xludf.DUMMYFUNCTION("""COMPUTED_VALUE"""),96329.58000000002)</f>
        <v>96329.58</v>
      </c>
      <c r="K696" s="46" t="str">
        <f t="array" ref="K696">TEXT(D696, "mmmm")</f>
        <v>July</v>
      </c>
      <c r="M696" s="46" t="str">
        <f>IFERROR(__xludf.DUMMYFUNCTION("""COMPUTED_VALUE"""),"Ireland")</f>
        <v>Ireland</v>
      </c>
      <c r="N696" s="94">
        <f>IFERROR(__xludf.DUMMYFUNCTION("""COMPUTED_VALUE"""),41821.0)</f>
        <v>41821</v>
      </c>
      <c r="O696" s="46">
        <f>IFERROR(__xludf.DUMMYFUNCTION("""COMPUTED_VALUE"""),1.0)</f>
        <v>1</v>
      </c>
      <c r="P696" s="46">
        <f>IFERROR(__xludf.DUMMYFUNCTION("""COMPUTED_VALUE"""),5875.0)</f>
        <v>5875</v>
      </c>
      <c r="Q696" s="46">
        <f>IFERROR(__xludf.DUMMYFUNCTION("""COMPUTED_VALUE"""),278768.75)</f>
        <v>278768.75</v>
      </c>
      <c r="R696" s="46">
        <f>IFERROR(__xludf.DUMMYFUNCTION("""COMPUTED_VALUE"""),186766.25)</f>
        <v>186766.25</v>
      </c>
      <c r="S696" s="46">
        <f>IFERROR(__xludf.DUMMYFUNCTION("""COMPUTED_VALUE"""),92002.5)</f>
        <v>92002.5</v>
      </c>
    </row>
    <row r="697">
      <c r="A697" s="46" t="str">
        <f>IFERROR(__xludf.DUMMYFUNCTION("""COMPUTED_VALUE"""),"Snacks")</f>
        <v>Snacks</v>
      </c>
      <c r="B697" s="46" t="str">
        <f>IFERROR(__xludf.DUMMYFUNCTION("""COMPUTED_VALUE"""),"Austria")</f>
        <v>Austria</v>
      </c>
      <c r="C697" s="46" t="str">
        <f>IFERROR(__xludf.DUMMYFUNCTION("""COMPUTED_VALUE"""),"Europe")</f>
        <v>Europe</v>
      </c>
      <c r="D697" s="90">
        <f>IFERROR(__xludf.DUMMYFUNCTION("""COMPUTED_VALUE"""),41456.0)</f>
        <v>41456</v>
      </c>
      <c r="E697" s="46">
        <f>IFERROR(__xludf.DUMMYFUNCTION("""COMPUTED_VALUE"""),2013.0)</f>
        <v>2013</v>
      </c>
      <c r="F697" s="46">
        <f>IFERROR(__xludf.DUMMYFUNCTION("""COMPUTED_VALUE"""),1.0)</f>
        <v>1</v>
      </c>
      <c r="G697" s="46">
        <f>IFERROR(__xludf.DUMMYFUNCTION("""COMPUTED_VALUE"""),6873.0)</f>
        <v>6873</v>
      </c>
      <c r="H697" s="46">
        <f>IFERROR(__xludf.DUMMYFUNCTION("""COMPUTED_VALUE"""),1048682.34)</f>
        <v>1048682.34</v>
      </c>
      <c r="I697" s="46">
        <f>IFERROR(__xludf.DUMMYFUNCTION("""COMPUTED_VALUE"""),669705.12)</f>
        <v>669705.12</v>
      </c>
      <c r="J697" s="46">
        <f>IFERROR(__xludf.DUMMYFUNCTION("""COMPUTED_VALUE"""),378977.2200000001)</f>
        <v>378977.22</v>
      </c>
      <c r="K697" s="46" t="str">
        <f t="array" ref="K697">TEXT(D697, "mmmm")</f>
        <v>July</v>
      </c>
      <c r="M697" s="46" t="str">
        <f>IFERROR(__xludf.DUMMYFUNCTION("""COMPUTED_VALUE"""),"Lithuania")</f>
        <v>Lithuania</v>
      </c>
      <c r="N697" s="94">
        <f>IFERROR(__xludf.DUMMYFUNCTION("""COMPUTED_VALUE"""),41821.0)</f>
        <v>41821</v>
      </c>
      <c r="O697" s="46">
        <f>IFERROR(__xludf.DUMMYFUNCTION("""COMPUTED_VALUE"""),1.0)</f>
        <v>1</v>
      </c>
      <c r="P697" s="46">
        <f>IFERROR(__xludf.DUMMYFUNCTION("""COMPUTED_VALUE"""),6380.0)</f>
        <v>6380</v>
      </c>
      <c r="Q697" s="46">
        <f>IFERROR(__xludf.DUMMYFUNCTION("""COMPUTED_VALUE"""),2691658.1999999997)</f>
        <v>2691658.2</v>
      </c>
      <c r="R697" s="46">
        <f>IFERROR(__xludf.DUMMYFUNCTION("""COMPUTED_VALUE"""),2326722.2)</f>
        <v>2326722.2</v>
      </c>
      <c r="S697" s="46">
        <f>IFERROR(__xludf.DUMMYFUNCTION("""COMPUTED_VALUE"""),364935.99999999953)</f>
        <v>364936</v>
      </c>
    </row>
    <row r="698">
      <c r="A698" s="46" t="str">
        <f>IFERROR(__xludf.DUMMYFUNCTION("""COMPUTED_VALUE"""),"Snacks")</f>
        <v>Snacks</v>
      </c>
      <c r="B698" s="46" t="str">
        <f>IFERROR(__xludf.DUMMYFUNCTION("""COMPUTED_VALUE"""),"United Kingdom")</f>
        <v>United Kingdom</v>
      </c>
      <c r="C698" s="46" t="str">
        <f>IFERROR(__xludf.DUMMYFUNCTION("""COMPUTED_VALUE"""),"Europe")</f>
        <v>Europe</v>
      </c>
      <c r="D698" s="90">
        <f>IFERROR(__xludf.DUMMYFUNCTION("""COMPUTED_VALUE"""),41456.0)</f>
        <v>41456</v>
      </c>
      <c r="E698" s="46">
        <f>IFERROR(__xludf.DUMMYFUNCTION("""COMPUTED_VALUE"""),2013.0)</f>
        <v>2013</v>
      </c>
      <c r="F698" s="46">
        <f>IFERROR(__xludf.DUMMYFUNCTION("""COMPUTED_VALUE"""),1.0)</f>
        <v>1</v>
      </c>
      <c r="G698" s="46">
        <f>IFERROR(__xludf.DUMMYFUNCTION("""COMPUTED_VALUE"""),3529.0)</f>
        <v>3529</v>
      </c>
      <c r="H698" s="46">
        <f>IFERROR(__xludf.DUMMYFUNCTION("""COMPUTED_VALUE"""),538454.8200000001)</f>
        <v>538454.82</v>
      </c>
      <c r="I698" s="46">
        <f>IFERROR(__xludf.DUMMYFUNCTION("""COMPUTED_VALUE"""),343865.76)</f>
        <v>343865.76</v>
      </c>
      <c r="J698" s="46">
        <f>IFERROR(__xludf.DUMMYFUNCTION("""COMPUTED_VALUE"""),194589.06000000006)</f>
        <v>194589.06</v>
      </c>
      <c r="K698" s="46" t="str">
        <f t="array" ref="K698">TEXT(D698, "mmmm")</f>
        <v>July</v>
      </c>
      <c r="M698" s="46" t="str">
        <f>IFERROR(__xludf.DUMMYFUNCTION("""COMPUTED_VALUE"""),"Macedonia")</f>
        <v>Macedonia</v>
      </c>
      <c r="N698" s="94">
        <f>IFERROR(__xludf.DUMMYFUNCTION("""COMPUTED_VALUE"""),41821.0)</f>
        <v>41821</v>
      </c>
      <c r="O698" s="46">
        <f>IFERROR(__xludf.DUMMYFUNCTION("""COMPUTED_VALUE"""),2.0)</f>
        <v>2</v>
      </c>
      <c r="P698" s="46">
        <f>IFERROR(__xludf.DUMMYFUNCTION("""COMPUTED_VALUE"""),12688.0)</f>
        <v>12688</v>
      </c>
      <c r="Q698" s="46">
        <f>IFERROR(__xludf.DUMMYFUNCTION("""COMPUTED_VALUE"""),4672951.7)</f>
        <v>4672951.7</v>
      </c>
      <c r="R698" s="46">
        <f>IFERROR(__xludf.DUMMYFUNCTION("""COMPUTED_VALUE"""),3482977.09)</f>
        <v>3482977.09</v>
      </c>
      <c r="S698" s="46">
        <f>IFERROR(__xludf.DUMMYFUNCTION("""COMPUTED_VALUE"""),1189974.6099999999)</f>
        <v>1189974.61</v>
      </c>
    </row>
    <row r="699">
      <c r="A699" s="46" t="str">
        <f>IFERROR(__xludf.DUMMYFUNCTION("""COMPUTED_VALUE"""),"Baby Food")</f>
        <v>Baby Food</v>
      </c>
      <c r="B699" s="46" t="str">
        <f>IFERROR(__xludf.DUMMYFUNCTION("""COMPUTED_VALUE"""),"Croatia")</f>
        <v>Croatia</v>
      </c>
      <c r="C699" s="46" t="str">
        <f>IFERROR(__xludf.DUMMYFUNCTION("""COMPUTED_VALUE"""),"Europe")</f>
        <v>Europe</v>
      </c>
      <c r="D699" s="90">
        <f>IFERROR(__xludf.DUMMYFUNCTION("""COMPUTED_VALUE"""),41426.0)</f>
        <v>41426</v>
      </c>
      <c r="E699" s="46">
        <f>IFERROR(__xludf.DUMMYFUNCTION("""COMPUTED_VALUE"""),2013.0)</f>
        <v>2013</v>
      </c>
      <c r="F699" s="46">
        <f>IFERROR(__xludf.DUMMYFUNCTION("""COMPUTED_VALUE"""),1.0)</f>
        <v>1</v>
      </c>
      <c r="G699" s="46">
        <f>IFERROR(__xludf.DUMMYFUNCTION("""COMPUTED_VALUE"""),1539.0)</f>
        <v>1539</v>
      </c>
      <c r="H699" s="46">
        <f>IFERROR(__xludf.DUMMYFUNCTION("""COMPUTED_VALUE"""),392875.92)</f>
        <v>392875.92</v>
      </c>
      <c r="I699" s="46">
        <f>IFERROR(__xludf.DUMMYFUNCTION("""COMPUTED_VALUE"""),245347.37999999998)</f>
        <v>245347.38</v>
      </c>
      <c r="J699" s="46">
        <f>IFERROR(__xludf.DUMMYFUNCTION("""COMPUTED_VALUE"""),147528.54)</f>
        <v>147528.54</v>
      </c>
      <c r="K699" s="46" t="str">
        <f t="array" ref="K699">TEXT(D699, "mmmm")</f>
        <v>June</v>
      </c>
      <c r="M699" s="46" t="str">
        <f>IFERROR(__xludf.DUMMYFUNCTION("""COMPUTED_VALUE"""),"Montenegro")</f>
        <v>Montenegro</v>
      </c>
      <c r="N699" s="94">
        <f>IFERROR(__xludf.DUMMYFUNCTION("""COMPUTED_VALUE"""),41821.0)</f>
        <v>41821</v>
      </c>
      <c r="O699" s="46">
        <f>IFERROR(__xludf.DUMMYFUNCTION("""COMPUTED_VALUE"""),1.0)</f>
        <v>1</v>
      </c>
      <c r="P699" s="46">
        <f>IFERROR(__xludf.DUMMYFUNCTION("""COMPUTED_VALUE"""),3061.0)</f>
        <v>3061</v>
      </c>
      <c r="Q699" s="46">
        <f>IFERROR(__xludf.DUMMYFUNCTION("""COMPUTED_VALUE"""),1993353.81)</f>
        <v>1993353.81</v>
      </c>
      <c r="R699" s="46">
        <f>IFERROR(__xludf.DUMMYFUNCTION("""COMPUTED_VALUE"""),1606902.56)</f>
        <v>1606902.56</v>
      </c>
      <c r="S699" s="46">
        <f>IFERROR(__xludf.DUMMYFUNCTION("""COMPUTED_VALUE"""),386451.25)</f>
        <v>386451.25</v>
      </c>
    </row>
    <row r="700">
      <c r="A700" s="46" t="str">
        <f>IFERROR(__xludf.DUMMYFUNCTION("""COMPUTED_VALUE"""),"Beverages")</f>
        <v>Beverages</v>
      </c>
      <c r="B700" s="46" t="str">
        <f>IFERROR(__xludf.DUMMYFUNCTION("""COMPUTED_VALUE"""),"Undefined")</f>
        <v>Undefined</v>
      </c>
      <c r="C700" s="46" t="str">
        <f>IFERROR(__xludf.DUMMYFUNCTION("""COMPUTED_VALUE"""),"Undefined")</f>
        <v>Undefined</v>
      </c>
      <c r="D700" s="90">
        <f>IFERROR(__xludf.DUMMYFUNCTION("""COMPUTED_VALUE"""),41426.0)</f>
        <v>41426</v>
      </c>
      <c r="E700" s="46">
        <f>IFERROR(__xludf.DUMMYFUNCTION("""COMPUTED_VALUE"""),2013.0)</f>
        <v>2013</v>
      </c>
      <c r="F700" s="46">
        <f>IFERROR(__xludf.DUMMYFUNCTION("""COMPUTED_VALUE"""),1.0)</f>
        <v>1</v>
      </c>
      <c r="G700" s="46">
        <f>IFERROR(__xludf.DUMMYFUNCTION("""COMPUTED_VALUE"""),4958.0)</f>
        <v>4958</v>
      </c>
      <c r="H700" s="46">
        <f>IFERROR(__xludf.DUMMYFUNCTION("""COMPUTED_VALUE"""),235257.1)</f>
        <v>235257.1</v>
      </c>
      <c r="I700" s="46">
        <f>IFERROR(__xludf.DUMMYFUNCTION("""COMPUTED_VALUE"""),157614.82)</f>
        <v>157614.82</v>
      </c>
      <c r="J700" s="46">
        <f>IFERROR(__xludf.DUMMYFUNCTION("""COMPUTED_VALUE"""),77642.28)</f>
        <v>77642.28</v>
      </c>
      <c r="K700" s="46" t="str">
        <f t="array" ref="K700">TEXT(D700, "mmmm")</f>
        <v>June</v>
      </c>
      <c r="M700" s="46" t="str">
        <f>IFERROR(__xludf.DUMMYFUNCTION("""COMPUTED_VALUE"""),"Ukraine")</f>
        <v>Ukraine</v>
      </c>
      <c r="N700" s="94">
        <f>IFERROR(__xludf.DUMMYFUNCTION("""COMPUTED_VALUE"""),41821.0)</f>
        <v>41821</v>
      </c>
      <c r="O700" s="46">
        <f>IFERROR(__xludf.DUMMYFUNCTION("""COMPUTED_VALUE"""),1.0)</f>
        <v>1</v>
      </c>
      <c r="P700" s="46">
        <f>IFERROR(__xludf.DUMMYFUNCTION("""COMPUTED_VALUE"""),4613.0)</f>
        <v>4613</v>
      </c>
      <c r="Q700" s="46">
        <f>IFERROR(__xludf.DUMMYFUNCTION("""COMPUTED_VALUE"""),2016803.5999999999)</f>
        <v>2016803.6</v>
      </c>
      <c r="R700" s="46">
        <f>IFERROR(__xludf.DUMMYFUNCTION("""COMPUTED_VALUE"""),1214741.29)</f>
        <v>1214741.29</v>
      </c>
      <c r="S700" s="46">
        <f>IFERROR(__xludf.DUMMYFUNCTION("""COMPUTED_VALUE"""),802062.3099999998)</f>
        <v>802062.31</v>
      </c>
    </row>
    <row r="701">
      <c r="A701" s="46" t="str">
        <f>IFERROR(__xludf.DUMMYFUNCTION("""COMPUTED_VALUE"""),"Cereal")</f>
        <v>Cereal</v>
      </c>
      <c r="B701" s="46" t="str">
        <f>IFERROR(__xludf.DUMMYFUNCTION("""COMPUTED_VALUE"""),"Montenegro")</f>
        <v>Montenegro</v>
      </c>
      <c r="C701" s="46" t="str">
        <f>IFERROR(__xludf.DUMMYFUNCTION("""COMPUTED_VALUE"""),"Europe")</f>
        <v>Europe</v>
      </c>
      <c r="D701" s="90">
        <f>IFERROR(__xludf.DUMMYFUNCTION("""COMPUTED_VALUE"""),41426.0)</f>
        <v>41426</v>
      </c>
      <c r="E701" s="46">
        <f>IFERROR(__xludf.DUMMYFUNCTION("""COMPUTED_VALUE"""),2013.0)</f>
        <v>2013</v>
      </c>
      <c r="F701" s="46">
        <f>IFERROR(__xludf.DUMMYFUNCTION("""COMPUTED_VALUE"""),1.0)</f>
        <v>1</v>
      </c>
      <c r="G701" s="46">
        <f>IFERROR(__xludf.DUMMYFUNCTION("""COMPUTED_VALUE"""),1845.0)</f>
        <v>1845</v>
      </c>
      <c r="H701" s="46">
        <f>IFERROR(__xludf.DUMMYFUNCTION("""COMPUTED_VALUE"""),379516.5)</f>
        <v>379516.5</v>
      </c>
      <c r="I701" s="46">
        <f>IFERROR(__xludf.DUMMYFUNCTION("""COMPUTED_VALUE"""),216067.95)</f>
        <v>216067.95</v>
      </c>
      <c r="J701" s="46">
        <f>IFERROR(__xludf.DUMMYFUNCTION("""COMPUTED_VALUE"""),163448.55)</f>
        <v>163448.55</v>
      </c>
      <c r="K701" s="46" t="str">
        <f t="array" ref="K701">TEXT(D701, "mmmm")</f>
        <v>June</v>
      </c>
      <c r="M701" s="46" t="str">
        <f>IFERROR(__xludf.DUMMYFUNCTION("""COMPUTED_VALUE"""),"Undefined")</f>
        <v>Undefined</v>
      </c>
      <c r="N701" s="94">
        <f>IFERROR(__xludf.DUMMYFUNCTION("""COMPUTED_VALUE"""),41821.0)</f>
        <v>41821</v>
      </c>
      <c r="O701" s="46">
        <f>IFERROR(__xludf.DUMMYFUNCTION("""COMPUTED_VALUE"""),3.0)</f>
        <v>3</v>
      </c>
      <c r="P701" s="46">
        <f>IFERROR(__xludf.DUMMYFUNCTION("""COMPUTED_VALUE"""),9785.0)</f>
        <v>9785</v>
      </c>
      <c r="Q701" s="46">
        <f>IFERROR(__xludf.DUMMYFUNCTION("""COMPUTED_VALUE"""),4970645.43)</f>
        <v>4970645.43</v>
      </c>
      <c r="R701" s="46">
        <f>IFERROR(__xludf.DUMMYFUNCTION("""COMPUTED_VALUE"""),3738107.14)</f>
        <v>3738107.14</v>
      </c>
      <c r="S701" s="46">
        <f>IFERROR(__xludf.DUMMYFUNCTION("""COMPUTED_VALUE"""),1232538.2899999996)</f>
        <v>1232538.29</v>
      </c>
    </row>
    <row r="702">
      <c r="A702" s="46" t="str">
        <f>IFERROR(__xludf.DUMMYFUNCTION("""COMPUTED_VALUE"""),"Cereal")</f>
        <v>Cereal</v>
      </c>
      <c r="B702" s="46" t="str">
        <f>IFERROR(__xludf.DUMMYFUNCTION("""COMPUTED_VALUE"""),"Norway")</f>
        <v>Norway</v>
      </c>
      <c r="C702" s="46" t="str">
        <f>IFERROR(__xludf.DUMMYFUNCTION("""COMPUTED_VALUE"""),"Europe")</f>
        <v>Europe</v>
      </c>
      <c r="D702" s="90">
        <f>IFERROR(__xludf.DUMMYFUNCTION("""COMPUTED_VALUE"""),41426.0)</f>
        <v>41426</v>
      </c>
      <c r="E702" s="46">
        <f>IFERROR(__xludf.DUMMYFUNCTION("""COMPUTED_VALUE"""),2013.0)</f>
        <v>2013</v>
      </c>
      <c r="F702" s="46">
        <f>IFERROR(__xludf.DUMMYFUNCTION("""COMPUTED_VALUE"""),1.0)</f>
        <v>1</v>
      </c>
      <c r="G702" s="46">
        <f>IFERROR(__xludf.DUMMYFUNCTION("""COMPUTED_VALUE"""),6416.0)</f>
        <v>6416</v>
      </c>
      <c r="H702" s="46">
        <f>IFERROR(__xludf.DUMMYFUNCTION("""COMPUTED_VALUE"""),1319771.2)</f>
        <v>1319771.2</v>
      </c>
      <c r="I702" s="46">
        <f>IFERROR(__xludf.DUMMYFUNCTION("""COMPUTED_VALUE"""),751377.76)</f>
        <v>751377.76</v>
      </c>
      <c r="J702" s="46">
        <f>IFERROR(__xludf.DUMMYFUNCTION("""COMPUTED_VALUE"""),568393.44)</f>
        <v>568393.44</v>
      </c>
      <c r="K702" s="46" t="str">
        <f t="array" ref="K702">TEXT(D702, "mmmm")</f>
        <v>June</v>
      </c>
      <c r="M702" s="46" t="str">
        <f>IFERROR(__xludf.DUMMYFUNCTION("""COMPUTED_VALUE"""),"Albania")</f>
        <v>Albania</v>
      </c>
      <c r="N702" s="94">
        <f>IFERROR(__xludf.DUMMYFUNCTION("""COMPUTED_VALUE"""),41852.0)</f>
        <v>41852</v>
      </c>
      <c r="O702" s="46">
        <f>IFERROR(__xludf.DUMMYFUNCTION("""COMPUTED_VALUE"""),1.0)</f>
        <v>1</v>
      </c>
      <c r="P702" s="46">
        <f>IFERROR(__xludf.DUMMYFUNCTION("""COMPUTED_VALUE"""),286.0)</f>
        <v>286</v>
      </c>
      <c r="Q702" s="46">
        <f>IFERROR(__xludf.DUMMYFUNCTION("""COMPUTED_VALUE"""),44061.16)</f>
        <v>44061.16</v>
      </c>
      <c r="R702" s="46">
        <f>IFERROR(__xludf.DUMMYFUNCTION("""COMPUTED_VALUE"""),26005.980000000003)</f>
        <v>26005.98</v>
      </c>
      <c r="S702" s="46">
        <f>IFERROR(__xludf.DUMMYFUNCTION("""COMPUTED_VALUE"""),18055.18)</f>
        <v>18055.18</v>
      </c>
    </row>
    <row r="703">
      <c r="A703" s="46" t="str">
        <f>IFERROR(__xludf.DUMMYFUNCTION("""COMPUTED_VALUE"""),"Cereal")</f>
        <v>Cereal</v>
      </c>
      <c r="B703" s="46" t="str">
        <f>IFERROR(__xludf.DUMMYFUNCTION("""COMPUTED_VALUE"""),"Serbia")</f>
        <v>Serbia</v>
      </c>
      <c r="C703" s="46" t="str">
        <f>IFERROR(__xludf.DUMMYFUNCTION("""COMPUTED_VALUE"""),"Europe")</f>
        <v>Europe</v>
      </c>
      <c r="D703" s="90">
        <f>IFERROR(__xludf.DUMMYFUNCTION("""COMPUTED_VALUE"""),41426.0)</f>
        <v>41426</v>
      </c>
      <c r="E703" s="46">
        <f>IFERROR(__xludf.DUMMYFUNCTION("""COMPUTED_VALUE"""),2013.0)</f>
        <v>2013</v>
      </c>
      <c r="F703" s="46">
        <f>IFERROR(__xludf.DUMMYFUNCTION("""COMPUTED_VALUE"""),1.0)</f>
        <v>1</v>
      </c>
      <c r="G703" s="46">
        <f>IFERROR(__xludf.DUMMYFUNCTION("""COMPUTED_VALUE"""),9586.0)</f>
        <v>9586</v>
      </c>
      <c r="H703" s="46">
        <f>IFERROR(__xludf.DUMMYFUNCTION("""COMPUTED_VALUE"""),1971840.2)</f>
        <v>1971840.2</v>
      </c>
      <c r="I703" s="46">
        <f>IFERROR(__xludf.DUMMYFUNCTION("""COMPUTED_VALUE"""),1122616.46)</f>
        <v>1122616.46</v>
      </c>
      <c r="J703" s="46">
        <f>IFERROR(__xludf.DUMMYFUNCTION("""COMPUTED_VALUE"""),849223.74)</f>
        <v>849223.74</v>
      </c>
      <c r="K703" s="46" t="str">
        <f t="array" ref="K703">TEXT(D703, "mmmm")</f>
        <v>June</v>
      </c>
      <c r="M703" s="46" t="str">
        <f>IFERROR(__xludf.DUMMYFUNCTION("""COMPUTED_VALUE"""),"Armenia")</f>
        <v>Armenia</v>
      </c>
      <c r="N703" s="94">
        <f>IFERROR(__xludf.DUMMYFUNCTION("""COMPUTED_VALUE"""),41852.0)</f>
        <v>41852</v>
      </c>
      <c r="O703" s="46">
        <f>IFERROR(__xludf.DUMMYFUNCTION("""COMPUTED_VALUE"""),1.0)</f>
        <v>1</v>
      </c>
      <c r="P703" s="46">
        <f>IFERROR(__xludf.DUMMYFUNCTION("""COMPUTED_VALUE"""),7462.0)</f>
        <v>7462</v>
      </c>
      <c r="Q703" s="46">
        <f>IFERROR(__xludf.DUMMYFUNCTION("""COMPUTED_VALUE"""),4859329.0200000005)</f>
        <v>4859329.02</v>
      </c>
      <c r="R703" s="46">
        <f>IFERROR(__xludf.DUMMYFUNCTION("""COMPUTED_VALUE"""),3917251.5200000005)</f>
        <v>3917251.52</v>
      </c>
      <c r="S703" s="46">
        <f>IFERROR(__xludf.DUMMYFUNCTION("""COMPUTED_VALUE"""),942077.5)</f>
        <v>942077.5</v>
      </c>
    </row>
    <row r="704">
      <c r="A704" s="46" t="str">
        <f>IFERROR(__xludf.DUMMYFUNCTION("""COMPUTED_VALUE"""),"Clothes")</f>
        <v>Clothes</v>
      </c>
      <c r="B704" s="46" t="str">
        <f>IFERROR(__xludf.DUMMYFUNCTION("""COMPUTED_VALUE"""),"Estonia")</f>
        <v>Estonia</v>
      </c>
      <c r="C704" s="46" t="str">
        <f>IFERROR(__xludf.DUMMYFUNCTION("""COMPUTED_VALUE"""),"Europe")</f>
        <v>Europe</v>
      </c>
      <c r="D704" s="90">
        <f>IFERROR(__xludf.DUMMYFUNCTION("""COMPUTED_VALUE"""),41426.0)</f>
        <v>41426</v>
      </c>
      <c r="E704" s="46">
        <f>IFERROR(__xludf.DUMMYFUNCTION("""COMPUTED_VALUE"""),2013.0)</f>
        <v>2013</v>
      </c>
      <c r="F704" s="46">
        <f>IFERROR(__xludf.DUMMYFUNCTION("""COMPUTED_VALUE"""),1.0)</f>
        <v>1</v>
      </c>
      <c r="G704" s="46">
        <f>IFERROR(__xludf.DUMMYFUNCTION("""COMPUTED_VALUE"""),6169.0)</f>
        <v>6169</v>
      </c>
      <c r="H704" s="46">
        <f>IFERROR(__xludf.DUMMYFUNCTION("""COMPUTED_VALUE"""),674148.3200000001)</f>
        <v>674148.32</v>
      </c>
      <c r="I704" s="46">
        <f>IFERROR(__xludf.DUMMYFUNCTION("""COMPUTED_VALUE"""),221096.96000000002)</f>
        <v>221096.96</v>
      </c>
      <c r="J704" s="46">
        <f>IFERROR(__xludf.DUMMYFUNCTION("""COMPUTED_VALUE"""),453051.36000000004)</f>
        <v>453051.36</v>
      </c>
      <c r="K704" s="46" t="str">
        <f t="array" ref="K704">TEXT(D704, "mmmm")</f>
        <v>June</v>
      </c>
      <c r="M704" s="46" t="str">
        <f>IFERROR(__xludf.DUMMYFUNCTION("""COMPUTED_VALUE"""),"Austria")</f>
        <v>Austria</v>
      </c>
      <c r="N704" s="94">
        <f>IFERROR(__xludf.DUMMYFUNCTION("""COMPUTED_VALUE"""),41852.0)</f>
        <v>41852</v>
      </c>
      <c r="O704" s="46">
        <f>IFERROR(__xludf.DUMMYFUNCTION("""COMPUTED_VALUE"""),1.0)</f>
        <v>1</v>
      </c>
      <c r="P704" s="46">
        <f>IFERROR(__xludf.DUMMYFUNCTION("""COMPUTED_VALUE"""),5616.0)</f>
        <v>5616</v>
      </c>
      <c r="Q704" s="46">
        <f>IFERROR(__xludf.DUMMYFUNCTION("""COMPUTED_VALUE"""),1155211.2)</f>
        <v>1155211.2</v>
      </c>
      <c r="R704" s="46">
        <f>IFERROR(__xludf.DUMMYFUNCTION("""COMPUTED_VALUE"""),657689.76)</f>
        <v>657689.76</v>
      </c>
      <c r="S704" s="46">
        <f>IFERROR(__xludf.DUMMYFUNCTION("""COMPUTED_VALUE"""),497521.43999999994)</f>
        <v>497521.44</v>
      </c>
    </row>
    <row r="705">
      <c r="A705" s="46" t="str">
        <f>IFERROR(__xludf.DUMMYFUNCTION("""COMPUTED_VALUE"""),"Clothes")</f>
        <v>Clothes</v>
      </c>
      <c r="B705" s="46" t="str">
        <f>IFERROR(__xludf.DUMMYFUNCTION("""COMPUTED_VALUE"""),"Hungary")</f>
        <v>Hungary</v>
      </c>
      <c r="C705" s="46" t="str">
        <f>IFERROR(__xludf.DUMMYFUNCTION("""COMPUTED_VALUE"""),"Europe")</f>
        <v>Europe</v>
      </c>
      <c r="D705" s="90">
        <f>IFERROR(__xludf.DUMMYFUNCTION("""COMPUTED_VALUE"""),41426.0)</f>
        <v>41426</v>
      </c>
      <c r="E705" s="46">
        <f>IFERROR(__xludf.DUMMYFUNCTION("""COMPUTED_VALUE"""),2013.0)</f>
        <v>2013</v>
      </c>
      <c r="F705" s="46">
        <f>IFERROR(__xludf.DUMMYFUNCTION("""COMPUTED_VALUE"""),1.0)</f>
        <v>1</v>
      </c>
      <c r="G705" s="46">
        <f>IFERROR(__xludf.DUMMYFUNCTION("""COMPUTED_VALUE"""),8098.0)</f>
        <v>8098</v>
      </c>
      <c r="H705" s="46">
        <f>IFERROR(__xludf.DUMMYFUNCTION("""COMPUTED_VALUE"""),884949.4400000001)</f>
        <v>884949.44</v>
      </c>
      <c r="I705" s="46">
        <f>IFERROR(__xludf.DUMMYFUNCTION("""COMPUTED_VALUE"""),290232.32)</f>
        <v>290232.32</v>
      </c>
      <c r="J705" s="46">
        <f>IFERROR(__xludf.DUMMYFUNCTION("""COMPUTED_VALUE"""),594717.1200000001)</f>
        <v>594717.12</v>
      </c>
      <c r="K705" s="46" t="str">
        <f t="array" ref="K705">TEXT(D705, "mmmm")</f>
        <v>June</v>
      </c>
      <c r="M705" s="46" t="str">
        <f>IFERROR(__xludf.DUMMYFUNCTION("""COMPUTED_VALUE"""),"Czech Republic")</f>
        <v>Czech Republic</v>
      </c>
      <c r="N705" s="94">
        <f>IFERROR(__xludf.DUMMYFUNCTION("""COMPUTED_VALUE"""),41852.0)</f>
        <v>41852</v>
      </c>
      <c r="O705" s="46">
        <f>IFERROR(__xludf.DUMMYFUNCTION("""COMPUTED_VALUE"""),2.0)</f>
        <v>2</v>
      </c>
      <c r="P705" s="46">
        <f>IFERROR(__xludf.DUMMYFUNCTION("""COMPUTED_VALUE"""),11180.0)</f>
        <v>11180</v>
      </c>
      <c r="Q705" s="46">
        <f>IFERROR(__xludf.DUMMYFUNCTION("""COMPUTED_VALUE"""),6102051.399999999)</f>
        <v>6102051.4</v>
      </c>
      <c r="R705" s="46">
        <f>IFERROR(__xludf.DUMMYFUNCTION("""COMPUTED_VALUE"""),4477524.4)</f>
        <v>4477524.4</v>
      </c>
      <c r="S705" s="46">
        <f>IFERROR(__xludf.DUMMYFUNCTION("""COMPUTED_VALUE"""),1624526.999999999)</f>
        <v>1624527</v>
      </c>
    </row>
    <row r="706">
      <c r="A706" s="46" t="str">
        <f>IFERROR(__xludf.DUMMYFUNCTION("""COMPUTED_VALUE"""),"Cosmetics")</f>
        <v>Cosmetics</v>
      </c>
      <c r="B706" s="46" t="str">
        <f>IFERROR(__xludf.DUMMYFUNCTION("""COMPUTED_VALUE"""),"Hungary")</f>
        <v>Hungary</v>
      </c>
      <c r="C706" s="46" t="str">
        <f>IFERROR(__xludf.DUMMYFUNCTION("""COMPUTED_VALUE"""),"Europe")</f>
        <v>Europe</v>
      </c>
      <c r="D706" s="90">
        <f>IFERROR(__xludf.DUMMYFUNCTION("""COMPUTED_VALUE"""),41426.0)</f>
        <v>41426</v>
      </c>
      <c r="E706" s="46">
        <f>IFERROR(__xludf.DUMMYFUNCTION("""COMPUTED_VALUE"""),2013.0)</f>
        <v>2013</v>
      </c>
      <c r="F706" s="46">
        <f>IFERROR(__xludf.DUMMYFUNCTION("""COMPUTED_VALUE"""),1.0)</f>
        <v>1</v>
      </c>
      <c r="G706" s="46">
        <f>IFERROR(__xludf.DUMMYFUNCTION("""COMPUTED_VALUE"""),2548.0)</f>
        <v>2548</v>
      </c>
      <c r="H706" s="46">
        <f>IFERROR(__xludf.DUMMYFUNCTION("""COMPUTED_VALUE"""),1113985.5999999999)</f>
        <v>1113985.6</v>
      </c>
      <c r="I706" s="46">
        <f>IFERROR(__xludf.DUMMYFUNCTION("""COMPUTED_VALUE"""),670964.84)</f>
        <v>670964.84</v>
      </c>
      <c r="J706" s="46">
        <f>IFERROR(__xludf.DUMMYFUNCTION("""COMPUTED_VALUE"""),443020.7599999999)</f>
        <v>443020.76</v>
      </c>
      <c r="K706" s="46" t="str">
        <f t="array" ref="K706">TEXT(D706, "mmmm")</f>
        <v>June</v>
      </c>
      <c r="M706" s="46" t="str">
        <f>IFERROR(__xludf.DUMMYFUNCTION("""COMPUTED_VALUE"""),"Georgia")</f>
        <v>Georgia</v>
      </c>
      <c r="N706" s="94">
        <f>IFERROR(__xludf.DUMMYFUNCTION("""COMPUTED_VALUE"""),41852.0)</f>
        <v>41852</v>
      </c>
      <c r="O706" s="46">
        <f>IFERROR(__xludf.DUMMYFUNCTION("""COMPUTED_VALUE"""),1.0)</f>
        <v>1</v>
      </c>
      <c r="P706" s="46">
        <f>IFERROR(__xludf.DUMMYFUNCTION("""COMPUTED_VALUE"""),2826.0)</f>
        <v>2826</v>
      </c>
      <c r="Q706" s="46">
        <f>IFERROR(__xludf.DUMMYFUNCTION("""COMPUTED_VALUE"""),1192261.14)</f>
        <v>1192261.14</v>
      </c>
      <c r="R706" s="46">
        <f>IFERROR(__xludf.DUMMYFUNCTION("""COMPUTED_VALUE"""),1030613.94)</f>
        <v>1030613.94</v>
      </c>
      <c r="S706" s="46">
        <f>IFERROR(__xludf.DUMMYFUNCTION("""COMPUTED_VALUE"""),161647.19999999995)</f>
        <v>161647.2</v>
      </c>
    </row>
    <row r="707">
      <c r="A707" s="46" t="str">
        <f>IFERROR(__xludf.DUMMYFUNCTION("""COMPUTED_VALUE"""),"Cosmetics")</f>
        <v>Cosmetics</v>
      </c>
      <c r="B707" s="46" t="str">
        <f>IFERROR(__xludf.DUMMYFUNCTION("""COMPUTED_VALUE"""),"Undefined")</f>
        <v>Undefined</v>
      </c>
      <c r="C707" s="46" t="str">
        <f>IFERROR(__xludf.DUMMYFUNCTION("""COMPUTED_VALUE"""),"Undefined")</f>
        <v>Undefined</v>
      </c>
      <c r="D707" s="90">
        <f>IFERROR(__xludf.DUMMYFUNCTION("""COMPUTED_VALUE"""),41426.0)</f>
        <v>41426</v>
      </c>
      <c r="E707" s="46">
        <f>IFERROR(__xludf.DUMMYFUNCTION("""COMPUTED_VALUE"""),2013.0)</f>
        <v>2013</v>
      </c>
      <c r="F707" s="46">
        <f>IFERROR(__xludf.DUMMYFUNCTION("""COMPUTED_VALUE"""),1.0)</f>
        <v>1</v>
      </c>
      <c r="G707" s="46">
        <f>IFERROR(__xludf.DUMMYFUNCTION("""COMPUTED_VALUE"""),5283.0)</f>
        <v>5283</v>
      </c>
      <c r="H707" s="46">
        <f>IFERROR(__xludf.DUMMYFUNCTION("""COMPUTED_VALUE"""),2309727.6)</f>
        <v>2309727.6</v>
      </c>
      <c r="I707" s="46">
        <f>IFERROR(__xludf.DUMMYFUNCTION("""COMPUTED_VALUE"""),1391172.39)</f>
        <v>1391172.39</v>
      </c>
      <c r="J707" s="46">
        <f>IFERROR(__xludf.DUMMYFUNCTION("""COMPUTED_VALUE"""),918555.2100000002)</f>
        <v>918555.21</v>
      </c>
      <c r="K707" s="46" t="str">
        <f t="array" ref="K707">TEXT(D707, "mmmm")</f>
        <v>June</v>
      </c>
      <c r="M707" s="46" t="str">
        <f>IFERROR(__xludf.DUMMYFUNCTION("""COMPUTED_VALUE"""),"Greece")</f>
        <v>Greece</v>
      </c>
      <c r="N707" s="94">
        <f>IFERROR(__xludf.DUMMYFUNCTION("""COMPUTED_VALUE"""),41852.0)</f>
        <v>41852</v>
      </c>
      <c r="O707" s="46">
        <f>IFERROR(__xludf.DUMMYFUNCTION("""COMPUTED_VALUE"""),1.0)</f>
        <v>1</v>
      </c>
      <c r="P707" s="46">
        <f>IFERROR(__xludf.DUMMYFUNCTION("""COMPUTED_VALUE"""),1354.0)</f>
        <v>1354</v>
      </c>
      <c r="Q707" s="46">
        <f>IFERROR(__xludf.DUMMYFUNCTION("""COMPUTED_VALUE"""),12632.82)</f>
        <v>12632.82</v>
      </c>
      <c r="R707" s="46">
        <f>IFERROR(__xludf.DUMMYFUNCTION("""COMPUTED_VALUE"""),9369.68)</f>
        <v>9369.68</v>
      </c>
      <c r="S707" s="46">
        <f>IFERROR(__xludf.DUMMYFUNCTION("""COMPUTED_VALUE"""),3263.1399999999994)</f>
        <v>3263.14</v>
      </c>
    </row>
    <row r="708">
      <c r="A708" s="46" t="str">
        <f>IFERROR(__xludf.DUMMYFUNCTION("""COMPUTED_VALUE"""),"Office Supplies")</f>
        <v>Office Supplies</v>
      </c>
      <c r="B708" s="46" t="str">
        <f>IFERROR(__xludf.DUMMYFUNCTION("""COMPUTED_VALUE"""),"Iceland")</f>
        <v>Iceland</v>
      </c>
      <c r="C708" s="46" t="str">
        <f>IFERROR(__xludf.DUMMYFUNCTION("""COMPUTED_VALUE"""),"Europe")</f>
        <v>Europe</v>
      </c>
      <c r="D708" s="90">
        <f>IFERROR(__xludf.DUMMYFUNCTION("""COMPUTED_VALUE"""),41426.0)</f>
        <v>41426</v>
      </c>
      <c r="E708" s="46">
        <f>IFERROR(__xludf.DUMMYFUNCTION("""COMPUTED_VALUE"""),2013.0)</f>
        <v>2013</v>
      </c>
      <c r="F708" s="46">
        <f>IFERROR(__xludf.DUMMYFUNCTION("""COMPUTED_VALUE"""),1.0)</f>
        <v>1</v>
      </c>
      <c r="G708" s="46">
        <f>IFERROR(__xludf.DUMMYFUNCTION("""COMPUTED_VALUE"""),691.0)</f>
        <v>691</v>
      </c>
      <c r="H708" s="46">
        <f>IFERROR(__xludf.DUMMYFUNCTION("""COMPUTED_VALUE"""),449986.11000000004)</f>
        <v>449986.11</v>
      </c>
      <c r="I708" s="46">
        <f>IFERROR(__xludf.DUMMYFUNCTION("""COMPUTED_VALUE"""),362747.36000000004)</f>
        <v>362747.36</v>
      </c>
      <c r="J708" s="46">
        <f>IFERROR(__xludf.DUMMYFUNCTION("""COMPUTED_VALUE"""),87238.75)</f>
        <v>87238.75</v>
      </c>
      <c r="K708" s="46" t="str">
        <f t="array" ref="K708">TEXT(D708, "mmmm")</f>
        <v>June</v>
      </c>
      <c r="M708" s="46" t="str">
        <f>IFERROR(__xludf.DUMMYFUNCTION("""COMPUTED_VALUE"""),"Hungary")</f>
        <v>Hungary</v>
      </c>
      <c r="N708" s="94">
        <f>IFERROR(__xludf.DUMMYFUNCTION("""COMPUTED_VALUE"""),41852.0)</f>
        <v>41852</v>
      </c>
      <c r="O708" s="46">
        <f>IFERROR(__xludf.DUMMYFUNCTION("""COMPUTED_VALUE"""),1.0)</f>
        <v>1</v>
      </c>
      <c r="P708" s="46">
        <f>IFERROR(__xludf.DUMMYFUNCTION("""COMPUTED_VALUE"""),7807.0)</f>
        <v>7807</v>
      </c>
      <c r="Q708" s="46">
        <f>IFERROR(__xludf.DUMMYFUNCTION("""COMPUTED_VALUE"""),1992970.96)</f>
        <v>1992970.96</v>
      </c>
      <c r="R708" s="46">
        <f>IFERROR(__xludf.DUMMYFUNCTION("""COMPUTED_VALUE"""),1244591.94)</f>
        <v>1244591.94</v>
      </c>
      <c r="S708" s="46">
        <f>IFERROR(__xludf.DUMMYFUNCTION("""COMPUTED_VALUE"""),748379.02)</f>
        <v>748379.02</v>
      </c>
    </row>
    <row r="709">
      <c r="A709" s="46" t="str">
        <f>IFERROR(__xludf.DUMMYFUNCTION("""COMPUTED_VALUE"""),"Office Supplies")</f>
        <v>Office Supplies</v>
      </c>
      <c r="B709" s="46" t="str">
        <f>IFERROR(__xludf.DUMMYFUNCTION("""COMPUTED_VALUE"""),"Latvia")</f>
        <v>Latvia</v>
      </c>
      <c r="C709" s="46" t="str">
        <f>IFERROR(__xludf.DUMMYFUNCTION("""COMPUTED_VALUE"""),"Europe")</f>
        <v>Europe</v>
      </c>
      <c r="D709" s="90">
        <f>IFERROR(__xludf.DUMMYFUNCTION("""COMPUTED_VALUE"""),41426.0)</f>
        <v>41426</v>
      </c>
      <c r="E709" s="46">
        <f>IFERROR(__xludf.DUMMYFUNCTION("""COMPUTED_VALUE"""),2013.0)</f>
        <v>2013</v>
      </c>
      <c r="F709" s="46">
        <f>IFERROR(__xludf.DUMMYFUNCTION("""COMPUTED_VALUE"""),1.0)</f>
        <v>1</v>
      </c>
      <c r="G709" s="46">
        <f>IFERROR(__xludf.DUMMYFUNCTION("""COMPUTED_VALUE"""),520.0)</f>
        <v>520</v>
      </c>
      <c r="H709" s="46">
        <f>IFERROR(__xludf.DUMMYFUNCTION("""COMPUTED_VALUE"""),338629.2)</f>
        <v>338629.2</v>
      </c>
      <c r="I709" s="46">
        <f>IFERROR(__xludf.DUMMYFUNCTION("""COMPUTED_VALUE"""),272979.2)</f>
        <v>272979.2</v>
      </c>
      <c r="J709" s="46">
        <f>IFERROR(__xludf.DUMMYFUNCTION("""COMPUTED_VALUE"""),65650.0)</f>
        <v>65650</v>
      </c>
      <c r="K709" s="46" t="str">
        <f t="array" ref="K709">TEXT(D709, "mmmm")</f>
        <v>June</v>
      </c>
      <c r="M709" s="46" t="str">
        <f>IFERROR(__xludf.DUMMYFUNCTION("""COMPUTED_VALUE"""),"Iceland")</f>
        <v>Iceland</v>
      </c>
      <c r="N709" s="94">
        <f>IFERROR(__xludf.DUMMYFUNCTION("""COMPUTED_VALUE"""),41852.0)</f>
        <v>41852</v>
      </c>
      <c r="O709" s="46">
        <f>IFERROR(__xludf.DUMMYFUNCTION("""COMPUTED_VALUE"""),1.0)</f>
        <v>1</v>
      </c>
      <c r="P709" s="46">
        <f>IFERROR(__xludf.DUMMYFUNCTION("""COMPUTED_VALUE"""),6552.0)</f>
        <v>6552</v>
      </c>
      <c r="Q709" s="46">
        <f>IFERROR(__xludf.DUMMYFUNCTION("""COMPUTED_VALUE"""),1672594.56)</f>
        <v>1672594.56</v>
      </c>
      <c r="R709" s="46">
        <f>IFERROR(__xludf.DUMMYFUNCTION("""COMPUTED_VALUE"""),1044519.84)</f>
        <v>1044519.84</v>
      </c>
      <c r="S709" s="46">
        <f>IFERROR(__xludf.DUMMYFUNCTION("""COMPUTED_VALUE"""),628074.7200000001)</f>
        <v>628074.72</v>
      </c>
    </row>
    <row r="710">
      <c r="A710" s="46" t="str">
        <f>IFERROR(__xludf.DUMMYFUNCTION("""COMPUTED_VALUE"""),"Personal Care")</f>
        <v>Personal Care</v>
      </c>
      <c r="B710" s="46" t="str">
        <f>IFERROR(__xludf.DUMMYFUNCTION("""COMPUTED_VALUE"""),"Montenegro")</f>
        <v>Montenegro</v>
      </c>
      <c r="C710" s="46" t="str">
        <f>IFERROR(__xludf.DUMMYFUNCTION("""COMPUTED_VALUE"""),"Europe")</f>
        <v>Europe</v>
      </c>
      <c r="D710" s="90">
        <f>IFERROR(__xludf.DUMMYFUNCTION("""COMPUTED_VALUE"""),41426.0)</f>
        <v>41426</v>
      </c>
      <c r="E710" s="46">
        <f>IFERROR(__xludf.DUMMYFUNCTION("""COMPUTED_VALUE"""),2013.0)</f>
        <v>2013</v>
      </c>
      <c r="F710" s="46">
        <f>IFERROR(__xludf.DUMMYFUNCTION("""COMPUTED_VALUE"""),1.0)</f>
        <v>1</v>
      </c>
      <c r="G710" s="46">
        <f>IFERROR(__xludf.DUMMYFUNCTION("""COMPUTED_VALUE"""),9625.0)</f>
        <v>9625</v>
      </c>
      <c r="H710" s="46">
        <f>IFERROR(__xludf.DUMMYFUNCTION("""COMPUTED_VALUE"""),786651.25)</f>
        <v>786651.25</v>
      </c>
      <c r="I710" s="46">
        <f>IFERROR(__xludf.DUMMYFUNCTION("""COMPUTED_VALUE"""),545448.75)</f>
        <v>545448.75</v>
      </c>
      <c r="J710" s="46">
        <f>IFERROR(__xludf.DUMMYFUNCTION("""COMPUTED_VALUE"""),241202.5)</f>
        <v>241202.5</v>
      </c>
      <c r="K710" s="46" t="str">
        <f t="array" ref="K710">TEXT(D710, "mmmm")</f>
        <v>June</v>
      </c>
      <c r="M710" s="46" t="str">
        <f>IFERROR(__xludf.DUMMYFUNCTION("""COMPUTED_VALUE"""),"Netherlands")</f>
        <v>Netherlands</v>
      </c>
      <c r="N710" s="94">
        <f>IFERROR(__xludf.DUMMYFUNCTION("""COMPUTED_VALUE"""),41852.0)</f>
        <v>41852</v>
      </c>
      <c r="O710" s="46">
        <f>IFERROR(__xludf.DUMMYFUNCTION("""COMPUTED_VALUE"""),1.0)</f>
        <v>1</v>
      </c>
      <c r="P710" s="46">
        <f>IFERROR(__xludf.DUMMYFUNCTION("""COMPUTED_VALUE"""),10.0)</f>
        <v>10</v>
      </c>
      <c r="Q710" s="46">
        <f>IFERROR(__xludf.DUMMYFUNCTION("""COMPUTED_VALUE"""),6512.1)</f>
        <v>6512.1</v>
      </c>
      <c r="R710" s="46">
        <f>IFERROR(__xludf.DUMMYFUNCTION("""COMPUTED_VALUE"""),5249.6)</f>
        <v>5249.6</v>
      </c>
      <c r="S710" s="46">
        <f>IFERROR(__xludf.DUMMYFUNCTION("""COMPUTED_VALUE"""),1262.5)</f>
        <v>1262.5</v>
      </c>
    </row>
    <row r="711">
      <c r="A711" s="46" t="str">
        <f>IFERROR(__xludf.DUMMYFUNCTION("""COMPUTED_VALUE"""),"Personal Care")</f>
        <v>Personal Care</v>
      </c>
      <c r="B711" s="46" t="str">
        <f>IFERROR(__xludf.DUMMYFUNCTION("""COMPUTED_VALUE"""),"United Kingdom")</f>
        <v>United Kingdom</v>
      </c>
      <c r="C711" s="46" t="str">
        <f>IFERROR(__xludf.DUMMYFUNCTION("""COMPUTED_VALUE"""),"Europe")</f>
        <v>Europe</v>
      </c>
      <c r="D711" s="90">
        <f>IFERROR(__xludf.DUMMYFUNCTION("""COMPUTED_VALUE"""),41426.0)</f>
        <v>41426</v>
      </c>
      <c r="E711" s="46">
        <f>IFERROR(__xludf.DUMMYFUNCTION("""COMPUTED_VALUE"""),2013.0)</f>
        <v>2013</v>
      </c>
      <c r="F711" s="46">
        <f>IFERROR(__xludf.DUMMYFUNCTION("""COMPUTED_VALUE"""),1.0)</f>
        <v>1</v>
      </c>
      <c r="G711" s="46">
        <f>IFERROR(__xludf.DUMMYFUNCTION("""COMPUTED_VALUE"""),8860.0)</f>
        <v>8860</v>
      </c>
      <c r="H711" s="46">
        <f>IFERROR(__xludf.DUMMYFUNCTION("""COMPUTED_VALUE"""),724127.8)</f>
        <v>724127.8</v>
      </c>
      <c r="I711" s="46">
        <f>IFERROR(__xludf.DUMMYFUNCTION("""COMPUTED_VALUE"""),502096.2)</f>
        <v>502096.2</v>
      </c>
      <c r="J711" s="46">
        <f>IFERROR(__xludf.DUMMYFUNCTION("""COMPUTED_VALUE"""),222031.60000000003)</f>
        <v>222031.6</v>
      </c>
      <c r="K711" s="46" t="str">
        <f t="array" ref="K711">TEXT(D711, "mmmm")</f>
        <v>June</v>
      </c>
      <c r="M711" s="46" t="str">
        <f>IFERROR(__xludf.DUMMYFUNCTION("""COMPUTED_VALUE"""),"Romania")</f>
        <v>Romania</v>
      </c>
      <c r="N711" s="94">
        <f>IFERROR(__xludf.DUMMYFUNCTION("""COMPUTED_VALUE"""),41852.0)</f>
        <v>41852</v>
      </c>
      <c r="O711" s="46">
        <f>IFERROR(__xludf.DUMMYFUNCTION("""COMPUTED_VALUE"""),2.0)</f>
        <v>2</v>
      </c>
      <c r="P711" s="46">
        <f>IFERROR(__xludf.DUMMYFUNCTION("""COMPUTED_VALUE"""),16629.0)</f>
        <v>16629</v>
      </c>
      <c r="Q711" s="46">
        <f>IFERROR(__xludf.DUMMYFUNCTION("""COMPUTED_VALUE"""),3260466.22)</f>
        <v>3260466.22</v>
      </c>
      <c r="R711" s="46">
        <f>IFERROR(__xludf.DUMMYFUNCTION("""COMPUTED_VALUE"""),2056792.92)</f>
        <v>2056792.92</v>
      </c>
      <c r="S711" s="46">
        <f>IFERROR(__xludf.DUMMYFUNCTION("""COMPUTED_VALUE"""),1203673.3000000003)</f>
        <v>1203673.3</v>
      </c>
    </row>
    <row r="712">
      <c r="A712" s="46" t="str">
        <f>IFERROR(__xludf.DUMMYFUNCTION("""COMPUTED_VALUE"""),"Snacks")</f>
        <v>Snacks</v>
      </c>
      <c r="B712" s="46" t="str">
        <f>IFERROR(__xludf.DUMMYFUNCTION("""COMPUTED_VALUE"""),"Denmark")</f>
        <v>Denmark</v>
      </c>
      <c r="C712" s="46" t="str">
        <f>IFERROR(__xludf.DUMMYFUNCTION("""COMPUTED_VALUE"""),"Europe")</f>
        <v>Europe</v>
      </c>
      <c r="D712" s="90">
        <f>IFERROR(__xludf.DUMMYFUNCTION("""COMPUTED_VALUE"""),41426.0)</f>
        <v>41426</v>
      </c>
      <c r="E712" s="46">
        <f>IFERROR(__xludf.DUMMYFUNCTION("""COMPUTED_VALUE"""),2013.0)</f>
        <v>2013</v>
      </c>
      <c r="F712" s="46">
        <f>IFERROR(__xludf.DUMMYFUNCTION("""COMPUTED_VALUE"""),1.0)</f>
        <v>1</v>
      </c>
      <c r="G712" s="46">
        <f>IFERROR(__xludf.DUMMYFUNCTION("""COMPUTED_VALUE"""),9631.0)</f>
        <v>9631</v>
      </c>
      <c r="H712" s="46">
        <f>IFERROR(__xludf.DUMMYFUNCTION("""COMPUTED_VALUE"""),1469497.9800000002)</f>
        <v>1469497.98</v>
      </c>
      <c r="I712" s="46">
        <f>IFERROR(__xludf.DUMMYFUNCTION("""COMPUTED_VALUE"""),938444.64)</f>
        <v>938444.64</v>
      </c>
      <c r="J712" s="46">
        <f>IFERROR(__xludf.DUMMYFUNCTION("""COMPUTED_VALUE"""),531053.3400000002)</f>
        <v>531053.34</v>
      </c>
      <c r="K712" s="46" t="str">
        <f t="array" ref="K712">TEXT(D712, "mmmm")</f>
        <v>June</v>
      </c>
      <c r="M712" s="46" t="str">
        <f>IFERROR(__xludf.DUMMYFUNCTION("""COMPUTED_VALUE"""),"San Marino")</f>
        <v>San Marino</v>
      </c>
      <c r="N712" s="94">
        <f>IFERROR(__xludf.DUMMYFUNCTION("""COMPUTED_VALUE"""),41852.0)</f>
        <v>41852</v>
      </c>
      <c r="O712" s="46">
        <f>IFERROR(__xludf.DUMMYFUNCTION("""COMPUTED_VALUE"""),2.0)</f>
        <v>2</v>
      </c>
      <c r="P712" s="46">
        <f>IFERROR(__xludf.DUMMYFUNCTION("""COMPUTED_VALUE"""),945.0)</f>
        <v>945</v>
      </c>
      <c r="Q712" s="46">
        <f>IFERROR(__xludf.DUMMYFUNCTION("""COMPUTED_VALUE"""),554337.77)</f>
        <v>554337.77</v>
      </c>
      <c r="R712" s="46">
        <f>IFERROR(__xludf.DUMMYFUNCTION("""COMPUTED_VALUE"""),395004.16000000003)</f>
        <v>395004.16</v>
      </c>
      <c r="S712" s="46">
        <f>IFERROR(__xludf.DUMMYFUNCTION("""COMPUTED_VALUE"""),159333.60999999996)</f>
        <v>159333.61</v>
      </c>
    </row>
    <row r="713">
      <c r="A713" s="46" t="str">
        <f>IFERROR(__xludf.DUMMYFUNCTION("""COMPUTED_VALUE"""),"Snacks")</f>
        <v>Snacks</v>
      </c>
      <c r="B713" s="46" t="str">
        <f>IFERROR(__xludf.DUMMYFUNCTION("""COMPUTED_VALUE"""),"Sweden")</f>
        <v>Sweden</v>
      </c>
      <c r="C713" s="46" t="str">
        <f>IFERROR(__xludf.DUMMYFUNCTION("""COMPUTED_VALUE"""),"Europe")</f>
        <v>Europe</v>
      </c>
      <c r="D713" s="90">
        <f>IFERROR(__xludf.DUMMYFUNCTION("""COMPUTED_VALUE"""),41426.0)</f>
        <v>41426</v>
      </c>
      <c r="E713" s="46">
        <f>IFERROR(__xludf.DUMMYFUNCTION("""COMPUTED_VALUE"""),2013.0)</f>
        <v>2013</v>
      </c>
      <c r="F713" s="46">
        <f>IFERROR(__xludf.DUMMYFUNCTION("""COMPUTED_VALUE"""),1.0)</f>
        <v>1</v>
      </c>
      <c r="G713" s="46">
        <f>IFERROR(__xludf.DUMMYFUNCTION("""COMPUTED_VALUE"""),5471.0)</f>
        <v>5471</v>
      </c>
      <c r="H713" s="46">
        <f>IFERROR(__xludf.DUMMYFUNCTION("""COMPUTED_VALUE"""),834765.18)</f>
        <v>834765.18</v>
      </c>
      <c r="I713" s="46">
        <f>IFERROR(__xludf.DUMMYFUNCTION("""COMPUTED_VALUE"""),533094.24)</f>
        <v>533094.24</v>
      </c>
      <c r="J713" s="46">
        <f>IFERROR(__xludf.DUMMYFUNCTION("""COMPUTED_VALUE"""),301670.94000000006)</f>
        <v>301670.94</v>
      </c>
      <c r="K713" s="46" t="str">
        <f t="array" ref="K713">TEXT(D713, "mmmm")</f>
        <v>June</v>
      </c>
      <c r="M713" s="46" t="str">
        <f>IFERROR(__xludf.DUMMYFUNCTION("""COMPUTED_VALUE"""),"Serbia")</f>
        <v>Serbia</v>
      </c>
      <c r="N713" s="94">
        <f>IFERROR(__xludf.DUMMYFUNCTION("""COMPUTED_VALUE"""),41852.0)</f>
        <v>41852</v>
      </c>
      <c r="O713" s="46">
        <f>IFERROR(__xludf.DUMMYFUNCTION("""COMPUTED_VALUE"""),3.0)</f>
        <v>3</v>
      </c>
      <c r="P713" s="46">
        <f>IFERROR(__xludf.DUMMYFUNCTION("""COMPUTED_VALUE"""),17913.0)</f>
        <v>17913</v>
      </c>
      <c r="Q713" s="46">
        <f>IFERROR(__xludf.DUMMYFUNCTION("""COMPUTED_VALUE"""),5023451.86)</f>
        <v>5023451.86</v>
      </c>
      <c r="R713" s="46">
        <f>IFERROR(__xludf.DUMMYFUNCTION("""COMPUTED_VALUE"""),3643175.3200000003)</f>
        <v>3643175.32</v>
      </c>
      <c r="S713" s="46">
        <f>IFERROR(__xludf.DUMMYFUNCTION("""COMPUTED_VALUE"""),1380276.54)</f>
        <v>1380276.54</v>
      </c>
    </row>
    <row r="714">
      <c r="A714" s="46" t="str">
        <f>IFERROR(__xludf.DUMMYFUNCTION("""COMPUTED_VALUE"""),"Cosmetics")</f>
        <v>Cosmetics</v>
      </c>
      <c r="B714" s="46" t="str">
        <f>IFERROR(__xludf.DUMMYFUNCTION("""COMPUTED_VALUE"""),"Portugal")</f>
        <v>Portugal</v>
      </c>
      <c r="C714" s="46" t="str">
        <f>IFERROR(__xludf.DUMMYFUNCTION("""COMPUTED_VALUE"""),"Europe")</f>
        <v>Europe</v>
      </c>
      <c r="D714" s="90">
        <f>IFERROR(__xludf.DUMMYFUNCTION("""COMPUTED_VALUE"""),41395.0)</f>
        <v>41395</v>
      </c>
      <c r="E714" s="46">
        <f>IFERROR(__xludf.DUMMYFUNCTION("""COMPUTED_VALUE"""),2013.0)</f>
        <v>2013</v>
      </c>
      <c r="F714" s="46">
        <f>IFERROR(__xludf.DUMMYFUNCTION("""COMPUTED_VALUE"""),1.0)</f>
        <v>1</v>
      </c>
      <c r="G714" s="46">
        <f>IFERROR(__xludf.DUMMYFUNCTION("""COMPUTED_VALUE"""),263.0)</f>
        <v>263</v>
      </c>
      <c r="H714" s="46">
        <f>IFERROR(__xludf.DUMMYFUNCTION("""COMPUTED_VALUE"""),114983.59999999999)</f>
        <v>114983.6</v>
      </c>
      <c r="I714" s="46">
        <f>IFERROR(__xludf.DUMMYFUNCTION("""COMPUTED_VALUE"""),69255.79)</f>
        <v>69255.79</v>
      </c>
      <c r="J714" s="46">
        <f>IFERROR(__xludf.DUMMYFUNCTION("""COMPUTED_VALUE"""),45727.81)</f>
        <v>45727.81</v>
      </c>
      <c r="K714" s="46" t="str">
        <f t="array" ref="K714">TEXT(D714, "mmmm")</f>
        <v>May</v>
      </c>
      <c r="M714" s="46" t="str">
        <f>IFERROR(__xludf.DUMMYFUNCTION("""COMPUTED_VALUE"""),"Switzerland")</f>
        <v>Switzerland</v>
      </c>
      <c r="N714" s="94">
        <f>IFERROR(__xludf.DUMMYFUNCTION("""COMPUTED_VALUE"""),41852.0)</f>
        <v>41852</v>
      </c>
      <c r="O714" s="46">
        <f>IFERROR(__xludf.DUMMYFUNCTION("""COMPUTED_VALUE"""),2.0)</f>
        <v>2</v>
      </c>
      <c r="P714" s="46">
        <f>IFERROR(__xludf.DUMMYFUNCTION("""COMPUTED_VALUE"""),12629.0)</f>
        <v>12629</v>
      </c>
      <c r="Q714" s="46">
        <f>IFERROR(__xludf.DUMMYFUNCTION("""COMPUTED_VALUE"""),2636811.4699999997)</f>
        <v>2636811.47</v>
      </c>
      <c r="R714" s="46">
        <f>IFERROR(__xludf.DUMMYFUNCTION("""COMPUTED_VALUE"""),1665711.93)</f>
        <v>1665711.93</v>
      </c>
      <c r="S714" s="46">
        <f>IFERROR(__xludf.DUMMYFUNCTION("""COMPUTED_VALUE"""),971099.54)</f>
        <v>971099.54</v>
      </c>
    </row>
    <row r="715">
      <c r="A715" s="46" t="str">
        <f>IFERROR(__xludf.DUMMYFUNCTION("""COMPUTED_VALUE"""),"Office Supplies")</f>
        <v>Office Supplies</v>
      </c>
      <c r="B715" s="46" t="str">
        <f>IFERROR(__xludf.DUMMYFUNCTION("""COMPUTED_VALUE"""),"Croatia")</f>
        <v>Croatia</v>
      </c>
      <c r="C715" s="46" t="str">
        <f>IFERROR(__xludf.DUMMYFUNCTION("""COMPUTED_VALUE"""),"Europe")</f>
        <v>Europe</v>
      </c>
      <c r="D715" s="90">
        <f>IFERROR(__xludf.DUMMYFUNCTION("""COMPUTED_VALUE"""),41395.0)</f>
        <v>41395</v>
      </c>
      <c r="E715" s="46">
        <f>IFERROR(__xludf.DUMMYFUNCTION("""COMPUTED_VALUE"""),2013.0)</f>
        <v>2013</v>
      </c>
      <c r="F715" s="46">
        <f>IFERROR(__xludf.DUMMYFUNCTION("""COMPUTED_VALUE"""),1.0)</f>
        <v>1</v>
      </c>
      <c r="G715" s="46">
        <f>IFERROR(__xludf.DUMMYFUNCTION("""COMPUTED_VALUE"""),4602.0)</f>
        <v>4602</v>
      </c>
      <c r="H715" s="46">
        <f>IFERROR(__xludf.DUMMYFUNCTION("""COMPUTED_VALUE"""),2996868.4200000004)</f>
        <v>2996868.42</v>
      </c>
      <c r="I715" s="46">
        <f>IFERROR(__xludf.DUMMYFUNCTION("""COMPUTED_VALUE"""),2415865.9200000004)</f>
        <v>2415865.92</v>
      </c>
      <c r="J715" s="46">
        <f>IFERROR(__xludf.DUMMYFUNCTION("""COMPUTED_VALUE"""),581002.5)</f>
        <v>581002.5</v>
      </c>
      <c r="K715" s="46" t="str">
        <f t="array" ref="K715">TEXT(D715, "mmmm")</f>
        <v>May</v>
      </c>
      <c r="M715" s="46" t="str">
        <f>IFERROR(__xludf.DUMMYFUNCTION("""COMPUTED_VALUE"""),"Undefined")</f>
        <v>Undefined</v>
      </c>
      <c r="N715" s="94">
        <f>IFERROR(__xludf.DUMMYFUNCTION("""COMPUTED_VALUE"""),41852.0)</f>
        <v>41852</v>
      </c>
      <c r="O715" s="46">
        <f>IFERROR(__xludf.DUMMYFUNCTION("""COMPUTED_VALUE"""),1.0)</f>
        <v>1</v>
      </c>
      <c r="P715" s="46">
        <f>IFERROR(__xludf.DUMMYFUNCTION("""COMPUTED_VALUE"""),7962.0)</f>
        <v>7962</v>
      </c>
      <c r="Q715" s="46">
        <f>IFERROR(__xludf.DUMMYFUNCTION("""COMPUTED_VALUE"""),5184934.0200000005)</f>
        <v>5184934.02</v>
      </c>
      <c r="R715" s="46">
        <f>IFERROR(__xludf.DUMMYFUNCTION("""COMPUTED_VALUE"""),4179731.5200000005)</f>
        <v>4179731.52</v>
      </c>
      <c r="S715" s="46">
        <f>IFERROR(__xludf.DUMMYFUNCTION("""COMPUTED_VALUE"""),1005202.5)</f>
        <v>1005202.5</v>
      </c>
    </row>
    <row r="716">
      <c r="A716" s="46" t="str">
        <f>IFERROR(__xludf.DUMMYFUNCTION("""COMPUTED_VALUE"""),"Office Supplies")</f>
        <v>Office Supplies</v>
      </c>
      <c r="B716" s="46" t="str">
        <f>IFERROR(__xludf.DUMMYFUNCTION("""COMPUTED_VALUE"""),"Cyprus")</f>
        <v>Cyprus</v>
      </c>
      <c r="C716" s="46" t="str">
        <f>IFERROR(__xludf.DUMMYFUNCTION("""COMPUTED_VALUE"""),"Asia")</f>
        <v>Asia</v>
      </c>
      <c r="D716" s="90">
        <f>IFERROR(__xludf.DUMMYFUNCTION("""COMPUTED_VALUE"""),41395.0)</f>
        <v>41395</v>
      </c>
      <c r="E716" s="46">
        <f>IFERROR(__xludf.DUMMYFUNCTION("""COMPUTED_VALUE"""),2013.0)</f>
        <v>2013</v>
      </c>
      <c r="F716" s="46">
        <f>IFERROR(__xludf.DUMMYFUNCTION("""COMPUTED_VALUE"""),1.0)</f>
        <v>1</v>
      </c>
      <c r="G716" s="46">
        <f>IFERROR(__xludf.DUMMYFUNCTION("""COMPUTED_VALUE"""),3636.0)</f>
        <v>3636</v>
      </c>
      <c r="H716" s="46">
        <f>IFERROR(__xludf.DUMMYFUNCTION("""COMPUTED_VALUE"""),2367799.56)</f>
        <v>2367799.56</v>
      </c>
      <c r="I716" s="46">
        <f>IFERROR(__xludf.DUMMYFUNCTION("""COMPUTED_VALUE"""),1908754.56)</f>
        <v>1908754.56</v>
      </c>
      <c r="J716" s="46">
        <f>IFERROR(__xludf.DUMMYFUNCTION("""COMPUTED_VALUE"""),459045.0)</f>
        <v>459045</v>
      </c>
      <c r="K716" s="46" t="str">
        <f t="array" ref="K716">TEXT(D716, "mmmm")</f>
        <v>May</v>
      </c>
      <c r="M716" s="46" t="str">
        <f>IFERROR(__xludf.DUMMYFUNCTION("""COMPUTED_VALUE"""),"Denmark")</f>
        <v>Denmark</v>
      </c>
      <c r="N716" s="94">
        <f>IFERROR(__xludf.DUMMYFUNCTION("""COMPUTED_VALUE"""),41883.0)</f>
        <v>41883</v>
      </c>
      <c r="O716" s="46">
        <f>IFERROR(__xludf.DUMMYFUNCTION("""COMPUTED_VALUE"""),1.0)</f>
        <v>1</v>
      </c>
      <c r="P716" s="46">
        <f>IFERROR(__xludf.DUMMYFUNCTION("""COMPUTED_VALUE"""),5735.0)</f>
        <v>5735</v>
      </c>
      <c r="Q716" s="46">
        <f>IFERROR(__xludf.DUMMYFUNCTION("""COMPUTED_VALUE"""),1179689.5)</f>
        <v>1179689.5</v>
      </c>
      <c r="R716" s="46">
        <f>IFERROR(__xludf.DUMMYFUNCTION("""COMPUTED_VALUE"""),671625.85)</f>
        <v>671625.85</v>
      </c>
      <c r="S716" s="46">
        <f>IFERROR(__xludf.DUMMYFUNCTION("""COMPUTED_VALUE"""),508063.65)</f>
        <v>508063.65</v>
      </c>
    </row>
    <row r="717">
      <c r="A717" s="46" t="str">
        <f>IFERROR(__xludf.DUMMYFUNCTION("""COMPUTED_VALUE"""),"Personal Care")</f>
        <v>Personal Care</v>
      </c>
      <c r="B717" s="46" t="str">
        <f>IFERROR(__xludf.DUMMYFUNCTION("""COMPUTED_VALUE"""),"Romania")</f>
        <v>Romania</v>
      </c>
      <c r="C717" s="46" t="str">
        <f>IFERROR(__xludf.DUMMYFUNCTION("""COMPUTED_VALUE"""),"Europe")</f>
        <v>Europe</v>
      </c>
      <c r="D717" s="90">
        <f>IFERROR(__xludf.DUMMYFUNCTION("""COMPUTED_VALUE"""),41395.0)</f>
        <v>41395</v>
      </c>
      <c r="E717" s="46">
        <f>IFERROR(__xludf.DUMMYFUNCTION("""COMPUTED_VALUE"""),2013.0)</f>
        <v>2013</v>
      </c>
      <c r="F717" s="46">
        <f>IFERROR(__xludf.DUMMYFUNCTION("""COMPUTED_VALUE"""),1.0)</f>
        <v>1</v>
      </c>
      <c r="G717" s="46">
        <f>IFERROR(__xludf.DUMMYFUNCTION("""COMPUTED_VALUE"""),1251.0)</f>
        <v>1251</v>
      </c>
      <c r="H717" s="46">
        <f>IFERROR(__xludf.DUMMYFUNCTION("""COMPUTED_VALUE"""),102244.23000000001)</f>
        <v>102244.23</v>
      </c>
      <c r="I717" s="46">
        <f>IFERROR(__xludf.DUMMYFUNCTION("""COMPUTED_VALUE"""),70894.17)</f>
        <v>70894.17</v>
      </c>
      <c r="J717" s="46">
        <f>IFERROR(__xludf.DUMMYFUNCTION("""COMPUTED_VALUE"""),31350.060000000012)</f>
        <v>31350.06</v>
      </c>
      <c r="K717" s="46" t="str">
        <f t="array" ref="K717">TEXT(D717, "mmmm")</f>
        <v>May</v>
      </c>
      <c r="M717" s="46" t="str">
        <f>IFERROR(__xludf.DUMMYFUNCTION("""COMPUTED_VALUE"""),"Finland")</f>
        <v>Finland</v>
      </c>
      <c r="N717" s="94">
        <f>IFERROR(__xludf.DUMMYFUNCTION("""COMPUTED_VALUE"""),41883.0)</f>
        <v>41883</v>
      </c>
      <c r="O717" s="46">
        <f>IFERROR(__xludf.DUMMYFUNCTION("""COMPUTED_VALUE"""),1.0)</f>
        <v>1</v>
      </c>
      <c r="P717" s="46">
        <f>IFERROR(__xludf.DUMMYFUNCTION("""COMPUTED_VALUE"""),8678.0)</f>
        <v>8678</v>
      </c>
      <c r="Q717" s="46">
        <f>IFERROR(__xludf.DUMMYFUNCTION("""COMPUTED_VALUE"""),2215319.84)</f>
        <v>2215319.84</v>
      </c>
      <c r="R717" s="46">
        <f>IFERROR(__xludf.DUMMYFUNCTION("""COMPUTED_VALUE"""),1383446.7599999998)</f>
        <v>1383446.76</v>
      </c>
      <c r="S717" s="46">
        <f>IFERROR(__xludf.DUMMYFUNCTION("""COMPUTED_VALUE"""),831873.0800000001)</f>
        <v>831873.08</v>
      </c>
    </row>
    <row r="718">
      <c r="A718" s="46" t="str">
        <f>IFERROR(__xludf.DUMMYFUNCTION("""COMPUTED_VALUE"""),"Vegetables")</f>
        <v>Vegetables</v>
      </c>
      <c r="B718" s="46" t="str">
        <f>IFERROR(__xludf.DUMMYFUNCTION("""COMPUTED_VALUE"""),"Belgium")</f>
        <v>Belgium</v>
      </c>
      <c r="C718" s="46" t="str">
        <f>IFERROR(__xludf.DUMMYFUNCTION("""COMPUTED_VALUE"""),"Europe")</f>
        <v>Europe</v>
      </c>
      <c r="D718" s="90">
        <f>IFERROR(__xludf.DUMMYFUNCTION("""COMPUTED_VALUE"""),41395.0)</f>
        <v>41395</v>
      </c>
      <c r="E718" s="46">
        <f>IFERROR(__xludf.DUMMYFUNCTION("""COMPUTED_VALUE"""),2013.0)</f>
        <v>2013</v>
      </c>
      <c r="F718" s="46">
        <f>IFERROR(__xludf.DUMMYFUNCTION("""COMPUTED_VALUE"""),1.0)</f>
        <v>1</v>
      </c>
      <c r="G718" s="46">
        <f>IFERROR(__xludf.DUMMYFUNCTION("""COMPUTED_VALUE"""),7426.0)</f>
        <v>7426</v>
      </c>
      <c r="H718" s="46">
        <f>IFERROR(__xludf.DUMMYFUNCTION("""COMPUTED_VALUE"""),1144049.56)</f>
        <v>1144049.56</v>
      </c>
      <c r="I718" s="46">
        <f>IFERROR(__xludf.DUMMYFUNCTION("""COMPUTED_VALUE"""),675246.18)</f>
        <v>675246.18</v>
      </c>
      <c r="J718" s="46">
        <f>IFERROR(__xludf.DUMMYFUNCTION("""COMPUTED_VALUE"""),468803.38)</f>
        <v>468803.38</v>
      </c>
      <c r="K718" s="46" t="str">
        <f t="array" ref="K718">TEXT(D718, "mmmm")</f>
        <v>May</v>
      </c>
      <c r="M718" s="46" t="str">
        <f>IFERROR(__xludf.DUMMYFUNCTION("""COMPUTED_VALUE"""),"Latvia")</f>
        <v>Latvia</v>
      </c>
      <c r="N718" s="94">
        <f>IFERROR(__xludf.DUMMYFUNCTION("""COMPUTED_VALUE"""),41883.0)</f>
        <v>41883</v>
      </c>
      <c r="O718" s="46">
        <f>IFERROR(__xludf.DUMMYFUNCTION("""COMPUTED_VALUE"""),1.0)</f>
        <v>1</v>
      </c>
      <c r="P718" s="46">
        <f>IFERROR(__xludf.DUMMYFUNCTION("""COMPUTED_VALUE"""),8566.0)</f>
        <v>8566</v>
      </c>
      <c r="Q718" s="46">
        <f>IFERROR(__xludf.DUMMYFUNCTION("""COMPUTED_VALUE"""),936092.48)</f>
        <v>936092.48</v>
      </c>
      <c r="R718" s="46">
        <f>IFERROR(__xludf.DUMMYFUNCTION("""COMPUTED_VALUE"""),307005.44)</f>
        <v>307005.44</v>
      </c>
      <c r="S718" s="46">
        <f>IFERROR(__xludf.DUMMYFUNCTION("""COMPUTED_VALUE"""),629087.04)</f>
        <v>629087.04</v>
      </c>
    </row>
    <row r="719">
      <c r="A719" s="46" t="str">
        <f>IFERROR(__xludf.DUMMYFUNCTION("""COMPUTED_VALUE"""),"Baby Food")</f>
        <v>Baby Food</v>
      </c>
      <c r="B719" s="46" t="str">
        <f>IFERROR(__xludf.DUMMYFUNCTION("""COMPUTED_VALUE"""),"Sweden")</f>
        <v>Sweden</v>
      </c>
      <c r="C719" s="46" t="str">
        <f>IFERROR(__xludf.DUMMYFUNCTION("""COMPUTED_VALUE"""),"Europe")</f>
        <v>Europe</v>
      </c>
      <c r="D719" s="90">
        <f>IFERROR(__xludf.DUMMYFUNCTION("""COMPUTED_VALUE"""),41365.0)</f>
        <v>41365</v>
      </c>
      <c r="E719" s="46">
        <f>IFERROR(__xludf.DUMMYFUNCTION("""COMPUTED_VALUE"""),2013.0)</f>
        <v>2013</v>
      </c>
      <c r="F719" s="46">
        <f>IFERROR(__xludf.DUMMYFUNCTION("""COMPUTED_VALUE"""),1.0)</f>
        <v>1</v>
      </c>
      <c r="G719" s="46">
        <f>IFERROR(__xludf.DUMMYFUNCTION("""COMPUTED_VALUE"""),5566.0)</f>
        <v>5566</v>
      </c>
      <c r="H719" s="46">
        <f>IFERROR(__xludf.DUMMYFUNCTION("""COMPUTED_VALUE"""),1420888.48)</f>
        <v>1420888.48</v>
      </c>
      <c r="I719" s="46">
        <f>IFERROR(__xludf.DUMMYFUNCTION("""COMPUTED_VALUE"""),887331.72)</f>
        <v>887331.72</v>
      </c>
      <c r="J719" s="46">
        <f>IFERROR(__xludf.DUMMYFUNCTION("""COMPUTED_VALUE"""),533556.76)</f>
        <v>533556.76</v>
      </c>
      <c r="K719" s="46" t="str">
        <f t="array" ref="K719">TEXT(D719, "mmmm")</f>
        <v>April</v>
      </c>
      <c r="M719" s="46" t="str">
        <f>IFERROR(__xludf.DUMMYFUNCTION("""COMPUTED_VALUE"""),"Luxembourg")</f>
        <v>Luxembourg</v>
      </c>
      <c r="N719" s="94">
        <f>IFERROR(__xludf.DUMMYFUNCTION("""COMPUTED_VALUE"""),41883.0)</f>
        <v>41883</v>
      </c>
      <c r="O719" s="46">
        <f>IFERROR(__xludf.DUMMYFUNCTION("""COMPUTED_VALUE"""),1.0)</f>
        <v>1</v>
      </c>
      <c r="P719" s="46">
        <f>IFERROR(__xludf.DUMMYFUNCTION("""COMPUTED_VALUE"""),1581.0)</f>
        <v>1581</v>
      </c>
      <c r="Q719" s="46">
        <f>IFERROR(__xludf.DUMMYFUNCTION("""COMPUTED_VALUE"""),243568.86000000002)</f>
        <v>243568.86</v>
      </c>
      <c r="R719" s="46">
        <f>IFERROR(__xludf.DUMMYFUNCTION("""COMPUTED_VALUE"""),143760.33000000002)</f>
        <v>143760.33</v>
      </c>
      <c r="S719" s="46">
        <f>IFERROR(__xludf.DUMMYFUNCTION("""COMPUTED_VALUE"""),99808.53)</f>
        <v>99808.53</v>
      </c>
    </row>
    <row r="720">
      <c r="A720" s="46" t="str">
        <f>IFERROR(__xludf.DUMMYFUNCTION("""COMPUTED_VALUE"""),"Beverages")</f>
        <v>Beverages</v>
      </c>
      <c r="B720" s="46" t="str">
        <f>IFERROR(__xludf.DUMMYFUNCTION("""COMPUTED_VALUE"""),"Albania")</f>
        <v>Albania</v>
      </c>
      <c r="C720" s="46" t="str">
        <f>IFERROR(__xludf.DUMMYFUNCTION("""COMPUTED_VALUE"""),"Europe")</f>
        <v>Europe</v>
      </c>
      <c r="D720" s="90">
        <f>IFERROR(__xludf.DUMMYFUNCTION("""COMPUTED_VALUE"""),41365.0)</f>
        <v>41365</v>
      </c>
      <c r="E720" s="46">
        <f>IFERROR(__xludf.DUMMYFUNCTION("""COMPUTED_VALUE"""),2013.0)</f>
        <v>2013</v>
      </c>
      <c r="F720" s="46">
        <f>IFERROR(__xludf.DUMMYFUNCTION("""COMPUTED_VALUE"""),1.0)</f>
        <v>1</v>
      </c>
      <c r="G720" s="46">
        <f>IFERROR(__xludf.DUMMYFUNCTION("""COMPUTED_VALUE"""),2264.0)</f>
        <v>2264</v>
      </c>
      <c r="H720" s="46">
        <f>IFERROR(__xludf.DUMMYFUNCTION("""COMPUTED_VALUE"""),107426.8)</f>
        <v>107426.8</v>
      </c>
      <c r="I720" s="46">
        <f>IFERROR(__xludf.DUMMYFUNCTION("""COMPUTED_VALUE"""),71972.56)</f>
        <v>71972.56</v>
      </c>
      <c r="J720" s="46">
        <f>IFERROR(__xludf.DUMMYFUNCTION("""COMPUTED_VALUE"""),35454.240000000005)</f>
        <v>35454.24</v>
      </c>
      <c r="K720" s="46" t="str">
        <f t="array" ref="K720">TEXT(D720, "mmmm")</f>
        <v>April</v>
      </c>
      <c r="M720" s="46" t="str">
        <f>IFERROR(__xludf.DUMMYFUNCTION("""COMPUTED_VALUE"""),"Portugal")</f>
        <v>Portugal</v>
      </c>
      <c r="N720" s="94">
        <f>IFERROR(__xludf.DUMMYFUNCTION("""COMPUTED_VALUE"""),41883.0)</f>
        <v>41883</v>
      </c>
      <c r="O720" s="46">
        <f>IFERROR(__xludf.DUMMYFUNCTION("""COMPUTED_VALUE"""),1.0)</f>
        <v>1</v>
      </c>
      <c r="P720" s="46">
        <f>IFERROR(__xludf.DUMMYFUNCTION("""COMPUTED_VALUE"""),9950.0)</f>
        <v>9950</v>
      </c>
      <c r="Q720" s="46">
        <f>IFERROR(__xludf.DUMMYFUNCTION("""COMPUTED_VALUE"""),2046715.0)</f>
        <v>2046715</v>
      </c>
      <c r="R720" s="46">
        <f>IFERROR(__xludf.DUMMYFUNCTION("""COMPUTED_VALUE"""),1165244.5)</f>
        <v>1165244.5</v>
      </c>
      <c r="S720" s="46">
        <f>IFERROR(__xludf.DUMMYFUNCTION("""COMPUTED_VALUE"""),881470.5)</f>
        <v>881470.5</v>
      </c>
    </row>
    <row r="721">
      <c r="A721" s="46" t="str">
        <f>IFERROR(__xludf.DUMMYFUNCTION("""COMPUTED_VALUE"""),"Beverages")</f>
        <v>Beverages</v>
      </c>
      <c r="B721" s="46" t="str">
        <f>IFERROR(__xludf.DUMMYFUNCTION("""COMPUTED_VALUE"""),"Hungary")</f>
        <v>Hungary</v>
      </c>
      <c r="C721" s="46" t="str">
        <f>IFERROR(__xludf.DUMMYFUNCTION("""COMPUTED_VALUE"""),"Europe")</f>
        <v>Europe</v>
      </c>
      <c r="D721" s="90">
        <f>IFERROR(__xludf.DUMMYFUNCTION("""COMPUTED_VALUE"""),41365.0)</f>
        <v>41365</v>
      </c>
      <c r="E721" s="46">
        <f>IFERROR(__xludf.DUMMYFUNCTION("""COMPUTED_VALUE"""),2013.0)</f>
        <v>2013</v>
      </c>
      <c r="F721" s="46">
        <f>IFERROR(__xludf.DUMMYFUNCTION("""COMPUTED_VALUE"""),1.0)</f>
        <v>1</v>
      </c>
      <c r="G721" s="46">
        <f>IFERROR(__xludf.DUMMYFUNCTION("""COMPUTED_VALUE"""),4284.0)</f>
        <v>4284</v>
      </c>
      <c r="H721" s="46">
        <f>IFERROR(__xludf.DUMMYFUNCTION("""COMPUTED_VALUE"""),203275.80000000002)</f>
        <v>203275.8</v>
      </c>
      <c r="I721" s="46">
        <f>IFERROR(__xludf.DUMMYFUNCTION("""COMPUTED_VALUE"""),136188.36)</f>
        <v>136188.36</v>
      </c>
      <c r="J721" s="46">
        <f>IFERROR(__xludf.DUMMYFUNCTION("""COMPUTED_VALUE"""),67087.44000000003)</f>
        <v>67087.44</v>
      </c>
      <c r="K721" s="46" t="str">
        <f t="array" ref="K721">TEXT(D721, "mmmm")</f>
        <v>April</v>
      </c>
      <c r="M721" s="46" t="str">
        <f>IFERROR(__xludf.DUMMYFUNCTION("""COMPUTED_VALUE"""),"Romania")</f>
        <v>Romania</v>
      </c>
      <c r="N721" s="94">
        <f>IFERROR(__xludf.DUMMYFUNCTION("""COMPUTED_VALUE"""),41883.0)</f>
        <v>41883</v>
      </c>
      <c r="O721" s="46">
        <f>IFERROR(__xludf.DUMMYFUNCTION("""COMPUTED_VALUE"""),1.0)</f>
        <v>1</v>
      </c>
      <c r="P721" s="46">
        <f>IFERROR(__xludf.DUMMYFUNCTION("""COMPUTED_VALUE"""),8152.0)</f>
        <v>8152</v>
      </c>
      <c r="Q721" s="46">
        <f>IFERROR(__xludf.DUMMYFUNCTION("""COMPUTED_VALUE"""),666262.9600000001)</f>
        <v>666262.96</v>
      </c>
      <c r="R721" s="46">
        <f>IFERROR(__xludf.DUMMYFUNCTION("""COMPUTED_VALUE"""),461973.84)</f>
        <v>461973.84</v>
      </c>
      <c r="S721" s="46">
        <f>IFERROR(__xludf.DUMMYFUNCTION("""COMPUTED_VALUE"""),204289.12000000005)</f>
        <v>204289.12</v>
      </c>
    </row>
    <row r="722">
      <c r="A722" s="46" t="str">
        <f>IFERROR(__xludf.DUMMYFUNCTION("""COMPUTED_VALUE"""),"Fruits")</f>
        <v>Fruits</v>
      </c>
      <c r="B722" s="46" t="str">
        <f>IFERROR(__xludf.DUMMYFUNCTION("""COMPUTED_VALUE"""),"France")</f>
        <v>France</v>
      </c>
      <c r="C722" s="46" t="str">
        <f>IFERROR(__xludf.DUMMYFUNCTION("""COMPUTED_VALUE"""),"Europe")</f>
        <v>Europe</v>
      </c>
      <c r="D722" s="90">
        <f>IFERROR(__xludf.DUMMYFUNCTION("""COMPUTED_VALUE"""),41365.0)</f>
        <v>41365</v>
      </c>
      <c r="E722" s="46">
        <f>IFERROR(__xludf.DUMMYFUNCTION("""COMPUTED_VALUE"""),2013.0)</f>
        <v>2013</v>
      </c>
      <c r="F722" s="46">
        <f>IFERROR(__xludf.DUMMYFUNCTION("""COMPUTED_VALUE"""),1.0)</f>
        <v>1</v>
      </c>
      <c r="G722" s="46">
        <f>IFERROR(__xludf.DUMMYFUNCTION("""COMPUTED_VALUE"""),6698.0)</f>
        <v>6698</v>
      </c>
      <c r="H722" s="46">
        <f>IFERROR(__xludf.DUMMYFUNCTION("""COMPUTED_VALUE"""),62492.340000000004)</f>
        <v>62492.34</v>
      </c>
      <c r="I722" s="46">
        <f>IFERROR(__xludf.DUMMYFUNCTION("""COMPUTED_VALUE"""),46350.159999999996)</f>
        <v>46350.16</v>
      </c>
      <c r="J722" s="46">
        <f>IFERROR(__xludf.DUMMYFUNCTION("""COMPUTED_VALUE"""),16142.180000000008)</f>
        <v>16142.18</v>
      </c>
      <c r="K722" s="46" t="str">
        <f t="array" ref="K722">TEXT(D722, "mmmm")</f>
        <v>April</v>
      </c>
      <c r="M722" s="46" t="str">
        <f>IFERROR(__xludf.DUMMYFUNCTION("""COMPUTED_VALUE"""),"Russia")</f>
        <v>Russia</v>
      </c>
      <c r="N722" s="94">
        <f>IFERROR(__xludf.DUMMYFUNCTION("""COMPUTED_VALUE"""),41883.0)</f>
        <v>41883</v>
      </c>
      <c r="O722" s="46">
        <f>IFERROR(__xludf.DUMMYFUNCTION("""COMPUTED_VALUE"""),2.0)</f>
        <v>2</v>
      </c>
      <c r="P722" s="46">
        <f>IFERROR(__xludf.DUMMYFUNCTION("""COMPUTED_VALUE"""),16519.0)</f>
        <v>16519</v>
      </c>
      <c r="Q722" s="46">
        <f>IFERROR(__xludf.DUMMYFUNCTION("""COMPUTED_VALUE"""),4676230.66)</f>
        <v>4676230.66</v>
      </c>
      <c r="R722" s="46">
        <f>IFERROR(__xludf.DUMMYFUNCTION("""COMPUTED_VALUE"""),2869849.35)</f>
        <v>2869849.35</v>
      </c>
      <c r="S722" s="46">
        <f>IFERROR(__xludf.DUMMYFUNCTION("""COMPUTED_VALUE"""),1806381.3099999998)</f>
        <v>1806381.31</v>
      </c>
    </row>
    <row r="723">
      <c r="A723" s="46" t="str">
        <f>IFERROR(__xludf.DUMMYFUNCTION("""COMPUTED_VALUE"""),"Household")</f>
        <v>Household</v>
      </c>
      <c r="B723" s="46" t="str">
        <f>IFERROR(__xludf.DUMMYFUNCTION("""COMPUTED_VALUE"""),"Croatia")</f>
        <v>Croatia</v>
      </c>
      <c r="C723" s="46" t="str">
        <f>IFERROR(__xludf.DUMMYFUNCTION("""COMPUTED_VALUE"""),"Europe")</f>
        <v>Europe</v>
      </c>
      <c r="D723" s="90">
        <f>IFERROR(__xludf.DUMMYFUNCTION("""COMPUTED_VALUE"""),41365.0)</f>
        <v>41365</v>
      </c>
      <c r="E723" s="46">
        <f>IFERROR(__xludf.DUMMYFUNCTION("""COMPUTED_VALUE"""),2013.0)</f>
        <v>2013</v>
      </c>
      <c r="F723" s="46">
        <f>IFERROR(__xludf.DUMMYFUNCTION("""COMPUTED_VALUE"""),1.0)</f>
        <v>1</v>
      </c>
      <c r="G723" s="46">
        <f>IFERROR(__xludf.DUMMYFUNCTION("""COMPUTED_VALUE"""),9680.0)</f>
        <v>9680</v>
      </c>
      <c r="H723" s="46">
        <f>IFERROR(__xludf.DUMMYFUNCTION("""COMPUTED_VALUE"""),6468853.6)</f>
        <v>6468853.6</v>
      </c>
      <c r="I723" s="46">
        <f>IFERROR(__xludf.DUMMYFUNCTION("""COMPUTED_VALUE"""),4864587.2)</f>
        <v>4864587.2</v>
      </c>
      <c r="J723" s="46">
        <f>IFERROR(__xludf.DUMMYFUNCTION("""COMPUTED_VALUE"""),1604266.3999999994)</f>
        <v>1604266.4</v>
      </c>
      <c r="K723" s="46" t="str">
        <f t="array" ref="K723">TEXT(D723, "mmmm")</f>
        <v>April</v>
      </c>
      <c r="M723" s="46" t="str">
        <f>IFERROR(__xludf.DUMMYFUNCTION("""COMPUTED_VALUE"""),"Slovenia")</f>
        <v>Slovenia</v>
      </c>
      <c r="N723" s="94">
        <f>IFERROR(__xludf.DUMMYFUNCTION("""COMPUTED_VALUE"""),41883.0)</f>
        <v>41883</v>
      </c>
      <c r="O723" s="46">
        <f>IFERROR(__xludf.DUMMYFUNCTION("""COMPUTED_VALUE"""),2.0)</f>
        <v>2</v>
      </c>
      <c r="P723" s="46">
        <f>IFERROR(__xludf.DUMMYFUNCTION("""COMPUTED_VALUE"""),9172.0)</f>
        <v>9172</v>
      </c>
      <c r="Q723" s="46">
        <f>IFERROR(__xludf.DUMMYFUNCTION("""COMPUTED_VALUE"""),5592264.04)</f>
        <v>5592264.04</v>
      </c>
      <c r="R723" s="46">
        <f>IFERROR(__xludf.DUMMYFUNCTION("""COMPUTED_VALUE"""),4308783.88)</f>
        <v>4308783.88</v>
      </c>
      <c r="S723" s="46">
        <f>IFERROR(__xludf.DUMMYFUNCTION("""COMPUTED_VALUE"""),1283480.1599999997)</f>
        <v>1283480.16</v>
      </c>
    </row>
    <row r="724">
      <c r="A724" s="46" t="str">
        <f>IFERROR(__xludf.DUMMYFUNCTION("""COMPUTED_VALUE"""),"Household")</f>
        <v>Household</v>
      </c>
      <c r="B724" s="46" t="str">
        <f>IFERROR(__xludf.DUMMYFUNCTION("""COMPUTED_VALUE"""),"Norway")</f>
        <v>Norway</v>
      </c>
      <c r="C724" s="46" t="str">
        <f>IFERROR(__xludf.DUMMYFUNCTION("""COMPUTED_VALUE"""),"Europe")</f>
        <v>Europe</v>
      </c>
      <c r="D724" s="90">
        <f>IFERROR(__xludf.DUMMYFUNCTION("""COMPUTED_VALUE"""),41365.0)</f>
        <v>41365</v>
      </c>
      <c r="E724" s="46">
        <f>IFERROR(__xludf.DUMMYFUNCTION("""COMPUTED_VALUE"""),2013.0)</f>
        <v>2013</v>
      </c>
      <c r="F724" s="46">
        <f>IFERROR(__xludf.DUMMYFUNCTION("""COMPUTED_VALUE"""),1.0)</f>
        <v>1</v>
      </c>
      <c r="G724" s="46">
        <f>IFERROR(__xludf.DUMMYFUNCTION("""COMPUTED_VALUE"""),2350.0)</f>
        <v>2350</v>
      </c>
      <c r="H724" s="46">
        <f>IFERROR(__xludf.DUMMYFUNCTION("""COMPUTED_VALUE"""),1570434.5)</f>
        <v>1570434.5</v>
      </c>
      <c r="I724" s="46">
        <f>IFERROR(__xludf.DUMMYFUNCTION("""COMPUTED_VALUE"""),1180969.0)</f>
        <v>1180969</v>
      </c>
      <c r="J724" s="46">
        <f>IFERROR(__xludf.DUMMYFUNCTION("""COMPUTED_VALUE"""),389465.5)</f>
        <v>389465.5</v>
      </c>
      <c r="K724" s="46" t="str">
        <f t="array" ref="K724">TEXT(D724, "mmmm")</f>
        <v>April</v>
      </c>
      <c r="M724" s="46" t="str">
        <f>IFERROR(__xludf.DUMMYFUNCTION("""COMPUTED_VALUE"""),"Switzerland")</f>
        <v>Switzerland</v>
      </c>
      <c r="N724" s="94">
        <f>IFERROR(__xludf.DUMMYFUNCTION("""COMPUTED_VALUE"""),41883.0)</f>
        <v>41883</v>
      </c>
      <c r="O724" s="46">
        <f>IFERROR(__xludf.DUMMYFUNCTION("""COMPUTED_VALUE"""),1.0)</f>
        <v>1</v>
      </c>
      <c r="P724" s="46">
        <f>IFERROR(__xludf.DUMMYFUNCTION("""COMPUTED_VALUE"""),4205.0)</f>
        <v>4205</v>
      </c>
      <c r="Q724" s="46">
        <f>IFERROR(__xludf.DUMMYFUNCTION("""COMPUTED_VALUE"""),1838426.0)</f>
        <v>1838426</v>
      </c>
      <c r="R724" s="46">
        <f>IFERROR(__xludf.DUMMYFUNCTION("""COMPUTED_VALUE"""),1107302.65)</f>
        <v>1107302.65</v>
      </c>
      <c r="S724" s="46">
        <f>IFERROR(__xludf.DUMMYFUNCTION("""COMPUTED_VALUE"""),731123.3500000001)</f>
        <v>731123.35</v>
      </c>
    </row>
    <row r="725">
      <c r="A725" s="46" t="str">
        <f>IFERROR(__xludf.DUMMYFUNCTION("""COMPUTED_VALUE"""),"Meat")</f>
        <v>Meat</v>
      </c>
      <c r="B725" s="46" t="str">
        <f>IFERROR(__xludf.DUMMYFUNCTION("""COMPUTED_VALUE"""),"Poland")</f>
        <v>Poland</v>
      </c>
      <c r="C725" s="46" t="str">
        <f>IFERROR(__xludf.DUMMYFUNCTION("""COMPUTED_VALUE"""),"Europe")</f>
        <v>Europe</v>
      </c>
      <c r="D725" s="90">
        <f>IFERROR(__xludf.DUMMYFUNCTION("""COMPUTED_VALUE"""),41365.0)</f>
        <v>41365</v>
      </c>
      <c r="E725" s="46">
        <f>IFERROR(__xludf.DUMMYFUNCTION("""COMPUTED_VALUE"""),2013.0)</f>
        <v>2013</v>
      </c>
      <c r="F725" s="46">
        <f>IFERROR(__xludf.DUMMYFUNCTION("""COMPUTED_VALUE"""),1.0)</f>
        <v>1</v>
      </c>
      <c r="G725" s="46">
        <f>IFERROR(__xludf.DUMMYFUNCTION("""COMPUTED_VALUE"""),6571.0)</f>
        <v>6571</v>
      </c>
      <c r="H725" s="46">
        <f>IFERROR(__xludf.DUMMYFUNCTION("""COMPUTED_VALUE"""),2772239.19)</f>
        <v>2772239.19</v>
      </c>
      <c r="I725" s="46">
        <f>IFERROR(__xludf.DUMMYFUNCTION("""COMPUTED_VALUE"""),2396377.9899999998)</f>
        <v>2396377.99</v>
      </c>
      <c r="J725" s="46">
        <f>IFERROR(__xludf.DUMMYFUNCTION("""COMPUTED_VALUE"""),375861.2000000002)</f>
        <v>375861.2</v>
      </c>
      <c r="K725" s="46" t="str">
        <f t="array" ref="K725">TEXT(D725, "mmmm")</f>
        <v>April</v>
      </c>
      <c r="M725" s="46" t="str">
        <f>IFERROR(__xludf.DUMMYFUNCTION("""COMPUTED_VALUE"""),"Belarus")</f>
        <v>Belarus</v>
      </c>
      <c r="N725" s="94">
        <f>IFERROR(__xludf.DUMMYFUNCTION("""COMPUTED_VALUE"""),41913.0)</f>
        <v>41913</v>
      </c>
      <c r="O725" s="46">
        <f>IFERROR(__xludf.DUMMYFUNCTION("""COMPUTED_VALUE"""),1.0)</f>
        <v>1</v>
      </c>
      <c r="P725" s="46">
        <f>IFERROR(__xludf.DUMMYFUNCTION("""COMPUTED_VALUE"""),1722.0)</f>
        <v>1722</v>
      </c>
      <c r="Q725" s="46">
        <f>IFERROR(__xludf.DUMMYFUNCTION("""COMPUTED_VALUE"""),752858.4)</f>
        <v>752858.4</v>
      </c>
      <c r="R725" s="46">
        <f>IFERROR(__xludf.DUMMYFUNCTION("""COMPUTED_VALUE"""),453454.25999999995)</f>
        <v>453454.26</v>
      </c>
      <c r="S725" s="46">
        <f>IFERROR(__xludf.DUMMYFUNCTION("""COMPUTED_VALUE"""),299404.1400000001)</f>
        <v>299404.14</v>
      </c>
    </row>
    <row r="726">
      <c r="A726" s="46" t="str">
        <f>IFERROR(__xludf.DUMMYFUNCTION("""COMPUTED_VALUE"""),"Meat")</f>
        <v>Meat</v>
      </c>
      <c r="B726" s="46" t="str">
        <f>IFERROR(__xludf.DUMMYFUNCTION("""COMPUTED_VALUE"""),"Spain")</f>
        <v>Spain</v>
      </c>
      <c r="C726" s="46" t="str">
        <f>IFERROR(__xludf.DUMMYFUNCTION("""COMPUTED_VALUE"""),"Europe")</f>
        <v>Europe</v>
      </c>
      <c r="D726" s="90">
        <f>IFERROR(__xludf.DUMMYFUNCTION("""COMPUTED_VALUE"""),41365.0)</f>
        <v>41365</v>
      </c>
      <c r="E726" s="46">
        <f>IFERROR(__xludf.DUMMYFUNCTION("""COMPUTED_VALUE"""),2013.0)</f>
        <v>2013</v>
      </c>
      <c r="F726" s="46">
        <f>IFERROR(__xludf.DUMMYFUNCTION("""COMPUTED_VALUE"""),1.0)</f>
        <v>1</v>
      </c>
      <c r="G726" s="46">
        <f>IFERROR(__xludf.DUMMYFUNCTION("""COMPUTED_VALUE"""),983.0)</f>
        <v>983</v>
      </c>
      <c r="H726" s="46">
        <f>IFERROR(__xludf.DUMMYFUNCTION("""COMPUTED_VALUE"""),414717.87)</f>
        <v>414717.87</v>
      </c>
      <c r="I726" s="46">
        <f>IFERROR(__xludf.DUMMYFUNCTION("""COMPUTED_VALUE"""),358490.27)</f>
        <v>358490.27</v>
      </c>
      <c r="J726" s="46">
        <f>IFERROR(__xludf.DUMMYFUNCTION("""COMPUTED_VALUE"""),56227.59999999998)</f>
        <v>56227.6</v>
      </c>
      <c r="K726" s="46" t="str">
        <f t="array" ref="K726">TEXT(D726, "mmmm")</f>
        <v>April</v>
      </c>
      <c r="M726" s="46" t="str">
        <f>IFERROR(__xludf.DUMMYFUNCTION("""COMPUTED_VALUE"""),"Denmark")</f>
        <v>Denmark</v>
      </c>
      <c r="N726" s="94">
        <f>IFERROR(__xludf.DUMMYFUNCTION("""COMPUTED_VALUE"""),41913.0)</f>
        <v>41913</v>
      </c>
      <c r="O726" s="46">
        <f>IFERROR(__xludf.DUMMYFUNCTION("""COMPUTED_VALUE"""),1.0)</f>
        <v>1</v>
      </c>
      <c r="P726" s="46">
        <f>IFERROR(__xludf.DUMMYFUNCTION("""COMPUTED_VALUE"""),4301.0)</f>
        <v>4301</v>
      </c>
      <c r="Q726" s="46">
        <f>IFERROR(__xludf.DUMMYFUNCTION("""COMPUTED_VALUE"""),470013.28)</f>
        <v>470013.28</v>
      </c>
      <c r="R726" s="46">
        <f>IFERROR(__xludf.DUMMYFUNCTION("""COMPUTED_VALUE"""),154147.84000000003)</f>
        <v>154147.84</v>
      </c>
      <c r="S726" s="46">
        <f>IFERROR(__xludf.DUMMYFUNCTION("""COMPUTED_VALUE"""),315865.44)</f>
        <v>315865.44</v>
      </c>
    </row>
    <row r="727">
      <c r="A727" s="46" t="str">
        <f>IFERROR(__xludf.DUMMYFUNCTION("""COMPUTED_VALUE"""),"Office Supplies")</f>
        <v>Office Supplies</v>
      </c>
      <c r="B727" s="46" t="str">
        <f>IFERROR(__xludf.DUMMYFUNCTION("""COMPUTED_VALUE"""),"Greece")</f>
        <v>Greece</v>
      </c>
      <c r="C727" s="46" t="str">
        <f>IFERROR(__xludf.DUMMYFUNCTION("""COMPUTED_VALUE"""),"Europe")</f>
        <v>Europe</v>
      </c>
      <c r="D727" s="90">
        <f>IFERROR(__xludf.DUMMYFUNCTION("""COMPUTED_VALUE"""),41365.0)</f>
        <v>41365</v>
      </c>
      <c r="E727" s="46">
        <f>IFERROR(__xludf.DUMMYFUNCTION("""COMPUTED_VALUE"""),2013.0)</f>
        <v>2013</v>
      </c>
      <c r="F727" s="46">
        <f>IFERROR(__xludf.DUMMYFUNCTION("""COMPUTED_VALUE"""),1.0)</f>
        <v>1</v>
      </c>
      <c r="G727" s="46">
        <f>IFERROR(__xludf.DUMMYFUNCTION("""COMPUTED_VALUE"""),2197.0)</f>
        <v>2197</v>
      </c>
      <c r="H727" s="46">
        <f>IFERROR(__xludf.DUMMYFUNCTION("""COMPUTED_VALUE"""),1430708.37)</f>
        <v>1430708.37</v>
      </c>
      <c r="I727" s="46">
        <f>IFERROR(__xludf.DUMMYFUNCTION("""COMPUTED_VALUE"""),1153337.12)</f>
        <v>1153337.12</v>
      </c>
      <c r="J727" s="46">
        <f>IFERROR(__xludf.DUMMYFUNCTION("""COMPUTED_VALUE"""),277371.25)</f>
        <v>277371.25</v>
      </c>
      <c r="K727" s="46" t="str">
        <f t="array" ref="K727">TEXT(D727, "mmmm")</f>
        <v>April</v>
      </c>
      <c r="M727" s="46" t="str">
        <f>IFERROR(__xludf.DUMMYFUNCTION("""COMPUTED_VALUE"""),"Hungary")</f>
        <v>Hungary</v>
      </c>
      <c r="N727" s="94">
        <f>IFERROR(__xludf.DUMMYFUNCTION("""COMPUTED_VALUE"""),41913.0)</f>
        <v>41913</v>
      </c>
      <c r="O727" s="46">
        <f>IFERROR(__xludf.DUMMYFUNCTION("""COMPUTED_VALUE"""),1.0)</f>
        <v>1</v>
      </c>
      <c r="P727" s="46">
        <f>IFERROR(__xludf.DUMMYFUNCTION("""COMPUTED_VALUE"""),7785.0)</f>
        <v>7785</v>
      </c>
      <c r="Q727" s="46">
        <f>IFERROR(__xludf.DUMMYFUNCTION("""COMPUTED_VALUE"""),636268.05)</f>
        <v>636268.05</v>
      </c>
      <c r="R727" s="46">
        <f>IFERROR(__xludf.DUMMYFUNCTION("""COMPUTED_VALUE"""),441175.95)</f>
        <v>441175.95</v>
      </c>
      <c r="S727" s="46">
        <f>IFERROR(__xludf.DUMMYFUNCTION("""COMPUTED_VALUE"""),195092.10000000003)</f>
        <v>195092.1</v>
      </c>
    </row>
    <row r="728">
      <c r="A728" s="46" t="str">
        <f>IFERROR(__xludf.DUMMYFUNCTION("""COMPUTED_VALUE"""),"Office Supplies")</f>
        <v>Office Supplies</v>
      </c>
      <c r="B728" s="46" t="str">
        <f>IFERROR(__xludf.DUMMYFUNCTION("""COMPUTED_VALUE"""),"Switzerland")</f>
        <v>Switzerland</v>
      </c>
      <c r="C728" s="46" t="str">
        <f>IFERROR(__xludf.DUMMYFUNCTION("""COMPUTED_VALUE"""),"Europe")</f>
        <v>Europe</v>
      </c>
      <c r="D728" s="90">
        <f>IFERROR(__xludf.DUMMYFUNCTION("""COMPUTED_VALUE"""),41365.0)</f>
        <v>41365</v>
      </c>
      <c r="E728" s="46">
        <f>IFERROR(__xludf.DUMMYFUNCTION("""COMPUTED_VALUE"""),2013.0)</f>
        <v>2013</v>
      </c>
      <c r="F728" s="46">
        <f>IFERROR(__xludf.DUMMYFUNCTION("""COMPUTED_VALUE"""),1.0)</f>
        <v>1</v>
      </c>
      <c r="G728" s="46">
        <f>IFERROR(__xludf.DUMMYFUNCTION("""COMPUTED_VALUE"""),150.0)</f>
        <v>150</v>
      </c>
      <c r="H728" s="46">
        <f>IFERROR(__xludf.DUMMYFUNCTION("""COMPUTED_VALUE"""),97681.5)</f>
        <v>97681.5</v>
      </c>
      <c r="I728" s="46">
        <f>IFERROR(__xludf.DUMMYFUNCTION("""COMPUTED_VALUE"""),78744.0)</f>
        <v>78744</v>
      </c>
      <c r="J728" s="46">
        <f>IFERROR(__xludf.DUMMYFUNCTION("""COMPUTED_VALUE"""),18937.5)</f>
        <v>18937.5</v>
      </c>
      <c r="K728" s="46" t="str">
        <f t="array" ref="K728">TEXT(D728, "mmmm")</f>
        <v>April</v>
      </c>
      <c r="M728" s="46" t="str">
        <f>IFERROR(__xludf.DUMMYFUNCTION("""COMPUTED_VALUE"""),"Iceland")</f>
        <v>Iceland</v>
      </c>
      <c r="N728" s="94">
        <f>IFERROR(__xludf.DUMMYFUNCTION("""COMPUTED_VALUE"""),41913.0)</f>
        <v>41913</v>
      </c>
      <c r="O728" s="46">
        <f>IFERROR(__xludf.DUMMYFUNCTION("""COMPUTED_VALUE"""),1.0)</f>
        <v>1</v>
      </c>
      <c r="P728" s="46">
        <f>IFERROR(__xludf.DUMMYFUNCTION("""COMPUTED_VALUE"""),112.0)</f>
        <v>112</v>
      </c>
      <c r="Q728" s="46">
        <f>IFERROR(__xludf.DUMMYFUNCTION("""COMPUTED_VALUE"""),1044.96)</f>
        <v>1044.96</v>
      </c>
      <c r="R728" s="46">
        <f>IFERROR(__xludf.DUMMYFUNCTION("""COMPUTED_VALUE"""),775.04)</f>
        <v>775.04</v>
      </c>
      <c r="S728" s="46">
        <f>IFERROR(__xludf.DUMMYFUNCTION("""COMPUTED_VALUE"""),269.9200000000001)</f>
        <v>269.92</v>
      </c>
    </row>
    <row r="729">
      <c r="A729" s="46" t="str">
        <f>IFERROR(__xludf.DUMMYFUNCTION("""COMPUTED_VALUE"""),"Vegetables")</f>
        <v>Vegetables</v>
      </c>
      <c r="B729" s="46" t="str">
        <f>IFERROR(__xludf.DUMMYFUNCTION("""COMPUTED_VALUE"""),"Slovenia")</f>
        <v>Slovenia</v>
      </c>
      <c r="C729" s="46" t="str">
        <f>IFERROR(__xludf.DUMMYFUNCTION("""COMPUTED_VALUE"""),"Europe")</f>
        <v>Europe</v>
      </c>
      <c r="D729" s="90">
        <f>IFERROR(__xludf.DUMMYFUNCTION("""COMPUTED_VALUE"""),41365.0)</f>
        <v>41365</v>
      </c>
      <c r="E729" s="46">
        <f>IFERROR(__xludf.DUMMYFUNCTION("""COMPUTED_VALUE"""),2013.0)</f>
        <v>2013</v>
      </c>
      <c r="F729" s="46">
        <f>IFERROR(__xludf.DUMMYFUNCTION("""COMPUTED_VALUE"""),1.0)</f>
        <v>1</v>
      </c>
      <c r="G729" s="46">
        <f>IFERROR(__xludf.DUMMYFUNCTION("""COMPUTED_VALUE"""),1997.0)</f>
        <v>1997</v>
      </c>
      <c r="H729" s="46">
        <f>IFERROR(__xludf.DUMMYFUNCTION("""COMPUTED_VALUE"""),307657.82)</f>
        <v>307657.82</v>
      </c>
      <c r="I729" s="46">
        <f>IFERROR(__xludf.DUMMYFUNCTION("""COMPUTED_VALUE"""),181587.21000000002)</f>
        <v>181587.21</v>
      </c>
      <c r="J729" s="46">
        <f>IFERROR(__xludf.DUMMYFUNCTION("""COMPUTED_VALUE"""),126070.60999999999)</f>
        <v>126070.61</v>
      </c>
      <c r="K729" s="46" t="str">
        <f t="array" ref="K729">TEXT(D729, "mmmm")</f>
        <v>April</v>
      </c>
      <c r="M729" s="46" t="str">
        <f>IFERROR(__xludf.DUMMYFUNCTION("""COMPUTED_VALUE"""),"Ireland")</f>
        <v>Ireland</v>
      </c>
      <c r="N729" s="94">
        <f>IFERROR(__xludf.DUMMYFUNCTION("""COMPUTED_VALUE"""),41913.0)</f>
        <v>41913</v>
      </c>
      <c r="O729" s="46">
        <f>IFERROR(__xludf.DUMMYFUNCTION("""COMPUTED_VALUE"""),1.0)</f>
        <v>1</v>
      </c>
      <c r="P729" s="46">
        <f>IFERROR(__xludf.DUMMYFUNCTION("""COMPUTED_VALUE"""),6819.0)</f>
        <v>6819</v>
      </c>
      <c r="Q729" s="46">
        <f>IFERROR(__xludf.DUMMYFUNCTION("""COMPUTED_VALUE"""),557316.87)</f>
        <v>557316.87</v>
      </c>
      <c r="R729" s="46">
        <f>IFERROR(__xludf.DUMMYFUNCTION("""COMPUTED_VALUE"""),386432.73000000004)</f>
        <v>386432.73</v>
      </c>
      <c r="S729" s="46">
        <f>IFERROR(__xludf.DUMMYFUNCTION("""COMPUTED_VALUE"""),170884.13999999996)</f>
        <v>170884.14</v>
      </c>
    </row>
    <row r="730">
      <c r="A730" s="46" t="str">
        <f>IFERROR(__xludf.DUMMYFUNCTION("""COMPUTED_VALUE"""),"Baby Food")</f>
        <v>Baby Food</v>
      </c>
      <c r="B730" s="46" t="str">
        <f>IFERROR(__xludf.DUMMYFUNCTION("""COMPUTED_VALUE"""),"Andorra")</f>
        <v>Andorra</v>
      </c>
      <c r="C730" s="46" t="str">
        <f>IFERROR(__xludf.DUMMYFUNCTION("""COMPUTED_VALUE"""),"Europe")</f>
        <v>Europe</v>
      </c>
      <c r="D730" s="90">
        <f>IFERROR(__xludf.DUMMYFUNCTION("""COMPUTED_VALUE"""),41334.0)</f>
        <v>41334</v>
      </c>
      <c r="E730" s="46">
        <f>IFERROR(__xludf.DUMMYFUNCTION("""COMPUTED_VALUE"""),2013.0)</f>
        <v>2013</v>
      </c>
      <c r="F730" s="46">
        <f>IFERROR(__xludf.DUMMYFUNCTION("""COMPUTED_VALUE"""),1.0)</f>
        <v>1</v>
      </c>
      <c r="G730" s="46">
        <f>IFERROR(__xludf.DUMMYFUNCTION("""COMPUTED_VALUE"""),6267.0)</f>
        <v>6267</v>
      </c>
      <c r="H730" s="46">
        <f>IFERROR(__xludf.DUMMYFUNCTION("""COMPUTED_VALUE"""),1599839.76)</f>
        <v>1599839.76</v>
      </c>
      <c r="I730" s="46">
        <f>IFERROR(__xludf.DUMMYFUNCTION("""COMPUTED_VALUE"""),999085.1399999999)</f>
        <v>999085.14</v>
      </c>
      <c r="J730" s="46">
        <f>IFERROR(__xludf.DUMMYFUNCTION("""COMPUTED_VALUE"""),600754.6200000001)</f>
        <v>600754.62</v>
      </c>
      <c r="K730" s="46" t="str">
        <f t="array" ref="K730">TEXT(D730, "mmmm")</f>
        <v>March</v>
      </c>
      <c r="M730" s="46" t="str">
        <f>IFERROR(__xludf.DUMMYFUNCTION("""COMPUTED_VALUE"""),"Liechtenstein")</f>
        <v>Liechtenstein</v>
      </c>
      <c r="N730" s="94">
        <f>IFERROR(__xludf.DUMMYFUNCTION("""COMPUTED_VALUE"""),41913.0)</f>
        <v>41913</v>
      </c>
      <c r="O730" s="46">
        <f>IFERROR(__xludf.DUMMYFUNCTION("""COMPUTED_VALUE"""),1.0)</f>
        <v>1</v>
      </c>
      <c r="P730" s="46">
        <f>IFERROR(__xludf.DUMMYFUNCTION("""COMPUTED_VALUE"""),280.0)</f>
        <v>280</v>
      </c>
      <c r="Q730" s="46">
        <f>IFERROR(__xludf.DUMMYFUNCTION("""COMPUTED_VALUE"""),57596.0)</f>
        <v>57596</v>
      </c>
      <c r="R730" s="46">
        <f>IFERROR(__xludf.DUMMYFUNCTION("""COMPUTED_VALUE"""),32790.8)</f>
        <v>32790.8</v>
      </c>
      <c r="S730" s="46">
        <f>IFERROR(__xludf.DUMMYFUNCTION("""COMPUTED_VALUE"""),24805.199999999997)</f>
        <v>24805.2</v>
      </c>
    </row>
    <row r="731">
      <c r="A731" s="46" t="str">
        <f>IFERROR(__xludf.DUMMYFUNCTION("""COMPUTED_VALUE"""),"Baby Food")</f>
        <v>Baby Food</v>
      </c>
      <c r="B731" s="46" t="str">
        <f>IFERROR(__xludf.DUMMYFUNCTION("""COMPUTED_VALUE"""),"Iceland")</f>
        <v>Iceland</v>
      </c>
      <c r="C731" s="46" t="str">
        <f>IFERROR(__xludf.DUMMYFUNCTION("""COMPUTED_VALUE"""),"Europe")</f>
        <v>Europe</v>
      </c>
      <c r="D731" s="90">
        <f>IFERROR(__xludf.DUMMYFUNCTION("""COMPUTED_VALUE"""),41334.0)</f>
        <v>41334</v>
      </c>
      <c r="E731" s="46">
        <f>IFERROR(__xludf.DUMMYFUNCTION("""COMPUTED_VALUE"""),2013.0)</f>
        <v>2013</v>
      </c>
      <c r="F731" s="46">
        <f>IFERROR(__xludf.DUMMYFUNCTION("""COMPUTED_VALUE"""),1.0)</f>
        <v>1</v>
      </c>
      <c r="G731" s="46">
        <f>IFERROR(__xludf.DUMMYFUNCTION("""COMPUTED_VALUE"""),7733.0)</f>
        <v>7733</v>
      </c>
      <c r="H731" s="46">
        <f>IFERROR(__xludf.DUMMYFUNCTION("""COMPUTED_VALUE"""),1974080.24)</f>
        <v>1974080.24</v>
      </c>
      <c r="I731" s="46">
        <f>IFERROR(__xludf.DUMMYFUNCTION("""COMPUTED_VALUE"""),1232794.8599999999)</f>
        <v>1232794.86</v>
      </c>
      <c r="J731" s="46">
        <f>IFERROR(__xludf.DUMMYFUNCTION("""COMPUTED_VALUE"""),741285.3800000001)</f>
        <v>741285.38</v>
      </c>
      <c r="K731" s="46" t="str">
        <f t="array" ref="K731">TEXT(D731, "mmmm")</f>
        <v>March</v>
      </c>
      <c r="M731" s="46" t="str">
        <f>IFERROR(__xludf.DUMMYFUNCTION("""COMPUTED_VALUE"""),"Lithuania")</f>
        <v>Lithuania</v>
      </c>
      <c r="N731" s="94">
        <f>IFERROR(__xludf.DUMMYFUNCTION("""COMPUTED_VALUE"""),41913.0)</f>
        <v>41913</v>
      </c>
      <c r="O731" s="46">
        <f>IFERROR(__xludf.DUMMYFUNCTION("""COMPUTED_VALUE"""),1.0)</f>
        <v>1</v>
      </c>
      <c r="P731" s="46">
        <f>IFERROR(__xludf.DUMMYFUNCTION("""COMPUTED_VALUE"""),4839.0)</f>
        <v>4839</v>
      </c>
      <c r="Q731" s="46">
        <f>IFERROR(__xludf.DUMMYFUNCTION("""COMPUTED_VALUE"""),3233758.53)</f>
        <v>3233758.53</v>
      </c>
      <c r="R731" s="46">
        <f>IFERROR(__xludf.DUMMYFUNCTION("""COMPUTED_VALUE"""),2431791.06)</f>
        <v>2431791.06</v>
      </c>
      <c r="S731" s="46">
        <f>IFERROR(__xludf.DUMMYFUNCTION("""COMPUTED_VALUE"""),801967.4699999997)</f>
        <v>801967.47</v>
      </c>
    </row>
    <row r="732">
      <c r="A732" s="46" t="str">
        <f>IFERROR(__xludf.DUMMYFUNCTION("""COMPUTED_VALUE"""),"Baby Food")</f>
        <v>Baby Food</v>
      </c>
      <c r="B732" s="46" t="str">
        <f>IFERROR(__xludf.DUMMYFUNCTION("""COMPUTED_VALUE"""),"Montenegro")</f>
        <v>Montenegro</v>
      </c>
      <c r="C732" s="46" t="str">
        <f>IFERROR(__xludf.DUMMYFUNCTION("""COMPUTED_VALUE"""),"Europe")</f>
        <v>Europe</v>
      </c>
      <c r="D732" s="90">
        <f>IFERROR(__xludf.DUMMYFUNCTION("""COMPUTED_VALUE"""),41334.0)</f>
        <v>41334</v>
      </c>
      <c r="E732" s="46">
        <f>IFERROR(__xludf.DUMMYFUNCTION("""COMPUTED_VALUE"""),2013.0)</f>
        <v>2013</v>
      </c>
      <c r="F732" s="46">
        <f>IFERROR(__xludf.DUMMYFUNCTION("""COMPUTED_VALUE"""),1.0)</f>
        <v>1</v>
      </c>
      <c r="G732" s="46">
        <f>IFERROR(__xludf.DUMMYFUNCTION("""COMPUTED_VALUE"""),5593.0)</f>
        <v>5593</v>
      </c>
      <c r="H732" s="46">
        <f>IFERROR(__xludf.DUMMYFUNCTION("""COMPUTED_VALUE"""),1427781.04)</f>
        <v>1427781.04</v>
      </c>
      <c r="I732" s="46">
        <f>IFERROR(__xludf.DUMMYFUNCTION("""COMPUTED_VALUE"""),891636.0599999999)</f>
        <v>891636.06</v>
      </c>
      <c r="J732" s="46">
        <f>IFERROR(__xludf.DUMMYFUNCTION("""COMPUTED_VALUE"""),536144.9800000001)</f>
        <v>536144.98</v>
      </c>
      <c r="K732" s="46" t="str">
        <f t="array" ref="K732">TEXT(D732, "mmmm")</f>
        <v>March</v>
      </c>
      <c r="M732" s="46" t="str">
        <f>IFERROR(__xludf.DUMMYFUNCTION("""COMPUTED_VALUE"""),"Luxembourg")</f>
        <v>Luxembourg</v>
      </c>
      <c r="N732" s="94">
        <f>IFERROR(__xludf.DUMMYFUNCTION("""COMPUTED_VALUE"""),41913.0)</f>
        <v>41913</v>
      </c>
      <c r="O732" s="46">
        <f>IFERROR(__xludf.DUMMYFUNCTION("""COMPUTED_VALUE"""),1.0)</f>
        <v>1</v>
      </c>
      <c r="P732" s="46">
        <f>IFERROR(__xludf.DUMMYFUNCTION("""COMPUTED_VALUE"""),4622.0)</f>
        <v>4622</v>
      </c>
      <c r="Q732" s="46">
        <f>IFERROR(__xludf.DUMMYFUNCTION("""COMPUTED_VALUE"""),3009892.62)</f>
        <v>3009892.62</v>
      </c>
      <c r="R732" s="46">
        <f>IFERROR(__xludf.DUMMYFUNCTION("""COMPUTED_VALUE"""),2426365.12)</f>
        <v>2426365.12</v>
      </c>
      <c r="S732" s="46">
        <f>IFERROR(__xludf.DUMMYFUNCTION("""COMPUTED_VALUE"""),583527.5)</f>
        <v>583527.5</v>
      </c>
    </row>
    <row r="733">
      <c r="A733" s="46" t="str">
        <f>IFERROR(__xludf.DUMMYFUNCTION("""COMPUTED_VALUE"""),"Baby Food")</f>
        <v>Baby Food</v>
      </c>
      <c r="B733" s="46" t="str">
        <f>IFERROR(__xludf.DUMMYFUNCTION("""COMPUTED_VALUE"""),"Netherlands")</f>
        <v>Netherlands</v>
      </c>
      <c r="C733" s="46" t="str">
        <f>IFERROR(__xludf.DUMMYFUNCTION("""COMPUTED_VALUE"""),"Europe")</f>
        <v>Europe</v>
      </c>
      <c r="D733" s="90">
        <f>IFERROR(__xludf.DUMMYFUNCTION("""COMPUTED_VALUE"""),41334.0)</f>
        <v>41334</v>
      </c>
      <c r="E733" s="46">
        <f>IFERROR(__xludf.DUMMYFUNCTION("""COMPUTED_VALUE"""),2013.0)</f>
        <v>2013</v>
      </c>
      <c r="F733" s="46">
        <f>IFERROR(__xludf.DUMMYFUNCTION("""COMPUTED_VALUE"""),1.0)</f>
        <v>1</v>
      </c>
      <c r="G733" s="46">
        <f>IFERROR(__xludf.DUMMYFUNCTION("""COMPUTED_VALUE"""),7270.0)</f>
        <v>7270</v>
      </c>
      <c r="H733" s="46">
        <f>IFERROR(__xludf.DUMMYFUNCTION("""COMPUTED_VALUE"""),1855885.6)</f>
        <v>1855885.6</v>
      </c>
      <c r="I733" s="46">
        <f>IFERROR(__xludf.DUMMYFUNCTION("""COMPUTED_VALUE"""),1158983.4)</f>
        <v>1158983.4</v>
      </c>
      <c r="J733" s="46">
        <f>IFERROR(__xludf.DUMMYFUNCTION("""COMPUTED_VALUE"""),696902.2000000002)</f>
        <v>696902.2</v>
      </c>
      <c r="K733" s="46" t="str">
        <f t="array" ref="K733">TEXT(D733, "mmmm")</f>
        <v>March</v>
      </c>
      <c r="M733" s="46" t="str">
        <f>IFERROR(__xludf.DUMMYFUNCTION("""COMPUTED_VALUE"""),"Netherlands")</f>
        <v>Netherlands</v>
      </c>
      <c r="N733" s="94">
        <f>IFERROR(__xludf.DUMMYFUNCTION("""COMPUTED_VALUE"""),41913.0)</f>
        <v>41913</v>
      </c>
      <c r="O733" s="46">
        <f>IFERROR(__xludf.DUMMYFUNCTION("""COMPUTED_VALUE"""),1.0)</f>
        <v>1</v>
      </c>
      <c r="P733" s="46">
        <f>IFERROR(__xludf.DUMMYFUNCTION("""COMPUTED_VALUE"""),240.0)</f>
        <v>240</v>
      </c>
      <c r="Q733" s="46">
        <f>IFERROR(__xludf.DUMMYFUNCTION("""COMPUTED_VALUE"""),19615.2)</f>
        <v>19615.2</v>
      </c>
      <c r="R733" s="46">
        <f>IFERROR(__xludf.DUMMYFUNCTION("""COMPUTED_VALUE"""),13600.800000000001)</f>
        <v>13600.8</v>
      </c>
      <c r="S733" s="46">
        <f>IFERROR(__xludf.DUMMYFUNCTION("""COMPUTED_VALUE"""),6014.4)</f>
        <v>6014.4</v>
      </c>
    </row>
    <row r="734">
      <c r="A734" s="46" t="str">
        <f>IFERROR(__xludf.DUMMYFUNCTION("""COMPUTED_VALUE"""),"Baby Food")</f>
        <v>Baby Food</v>
      </c>
      <c r="B734" s="46" t="str">
        <f>IFERROR(__xludf.DUMMYFUNCTION("""COMPUTED_VALUE"""),"Slovenia")</f>
        <v>Slovenia</v>
      </c>
      <c r="C734" s="46" t="str">
        <f>IFERROR(__xludf.DUMMYFUNCTION("""COMPUTED_VALUE"""),"Europe")</f>
        <v>Europe</v>
      </c>
      <c r="D734" s="90">
        <f>IFERROR(__xludf.DUMMYFUNCTION("""COMPUTED_VALUE"""),41334.0)</f>
        <v>41334</v>
      </c>
      <c r="E734" s="46">
        <f>IFERROR(__xludf.DUMMYFUNCTION("""COMPUTED_VALUE"""),2013.0)</f>
        <v>2013</v>
      </c>
      <c r="F734" s="46">
        <f>IFERROR(__xludf.DUMMYFUNCTION("""COMPUTED_VALUE"""),1.0)</f>
        <v>1</v>
      </c>
      <c r="G734" s="46">
        <f>IFERROR(__xludf.DUMMYFUNCTION("""COMPUTED_VALUE"""),1525.0)</f>
        <v>1525</v>
      </c>
      <c r="H734" s="46">
        <f>IFERROR(__xludf.DUMMYFUNCTION("""COMPUTED_VALUE"""),389302.0)</f>
        <v>389302</v>
      </c>
      <c r="I734" s="46">
        <f>IFERROR(__xludf.DUMMYFUNCTION("""COMPUTED_VALUE"""),243115.49999999997)</f>
        <v>243115.5</v>
      </c>
      <c r="J734" s="46">
        <f>IFERROR(__xludf.DUMMYFUNCTION("""COMPUTED_VALUE"""),146186.50000000003)</f>
        <v>146186.5</v>
      </c>
      <c r="K734" s="46" t="str">
        <f t="array" ref="K734">TEXT(D734, "mmmm")</f>
        <v>March</v>
      </c>
      <c r="M734" s="46" t="str">
        <f>IFERROR(__xludf.DUMMYFUNCTION("""COMPUTED_VALUE"""),"Norway")</f>
        <v>Norway</v>
      </c>
      <c r="N734" s="94">
        <f>IFERROR(__xludf.DUMMYFUNCTION("""COMPUTED_VALUE"""),41913.0)</f>
        <v>41913</v>
      </c>
      <c r="O734" s="46">
        <f>IFERROR(__xludf.DUMMYFUNCTION("""COMPUTED_VALUE"""),2.0)</f>
        <v>2</v>
      </c>
      <c r="P734" s="46">
        <f>IFERROR(__xludf.DUMMYFUNCTION("""COMPUTED_VALUE"""),5136.0)</f>
        <v>5136</v>
      </c>
      <c r="Q734" s="46">
        <f>IFERROR(__xludf.DUMMYFUNCTION("""COMPUTED_VALUE"""),175559.38)</f>
        <v>175559.38</v>
      </c>
      <c r="R734" s="46">
        <f>IFERROR(__xludf.DUMMYFUNCTION("""COMPUTED_VALUE"""),107164.62)</f>
        <v>107164.62</v>
      </c>
      <c r="S734" s="46">
        <f>IFERROR(__xludf.DUMMYFUNCTION("""COMPUTED_VALUE"""),68394.76)</f>
        <v>68394.76</v>
      </c>
    </row>
    <row r="735">
      <c r="A735" s="46" t="str">
        <f>IFERROR(__xludf.DUMMYFUNCTION("""COMPUTED_VALUE"""),"Beverages")</f>
        <v>Beverages</v>
      </c>
      <c r="B735" s="46" t="str">
        <f>IFERROR(__xludf.DUMMYFUNCTION("""COMPUTED_VALUE"""),"Monaco")</f>
        <v>Monaco</v>
      </c>
      <c r="C735" s="46" t="str">
        <f>IFERROR(__xludf.DUMMYFUNCTION("""COMPUTED_VALUE"""),"Europe")</f>
        <v>Europe</v>
      </c>
      <c r="D735" s="90">
        <f>IFERROR(__xludf.DUMMYFUNCTION("""COMPUTED_VALUE"""),41334.0)</f>
        <v>41334</v>
      </c>
      <c r="E735" s="46">
        <f>IFERROR(__xludf.DUMMYFUNCTION("""COMPUTED_VALUE"""),2013.0)</f>
        <v>2013</v>
      </c>
      <c r="F735" s="46">
        <f>IFERROR(__xludf.DUMMYFUNCTION("""COMPUTED_VALUE"""),1.0)</f>
        <v>1</v>
      </c>
      <c r="G735" s="46">
        <f>IFERROR(__xludf.DUMMYFUNCTION("""COMPUTED_VALUE"""),757.0)</f>
        <v>757</v>
      </c>
      <c r="H735" s="46">
        <f>IFERROR(__xludf.DUMMYFUNCTION("""COMPUTED_VALUE"""),35919.65)</f>
        <v>35919.65</v>
      </c>
      <c r="I735" s="46">
        <f>IFERROR(__xludf.DUMMYFUNCTION("""COMPUTED_VALUE"""),24065.03)</f>
        <v>24065.03</v>
      </c>
      <c r="J735" s="46">
        <f>IFERROR(__xludf.DUMMYFUNCTION("""COMPUTED_VALUE"""),11854.620000000003)</f>
        <v>11854.62</v>
      </c>
      <c r="K735" s="46" t="str">
        <f t="array" ref="K735">TEXT(D735, "mmmm")</f>
        <v>March</v>
      </c>
      <c r="M735" s="46" t="str">
        <f>IFERROR(__xludf.DUMMYFUNCTION("""COMPUTED_VALUE"""),"Slovakia")</f>
        <v>Slovakia</v>
      </c>
      <c r="N735" s="94">
        <f>IFERROR(__xludf.DUMMYFUNCTION("""COMPUTED_VALUE"""),41913.0)</f>
        <v>41913</v>
      </c>
      <c r="O735" s="46">
        <f>IFERROR(__xludf.DUMMYFUNCTION("""COMPUTED_VALUE"""),1.0)</f>
        <v>1</v>
      </c>
      <c r="P735" s="46">
        <f>IFERROR(__xludf.DUMMYFUNCTION("""COMPUTED_VALUE"""),8743.0)</f>
        <v>8743</v>
      </c>
      <c r="Q735" s="46">
        <f>IFERROR(__xludf.DUMMYFUNCTION("""COMPUTED_VALUE"""),414855.35000000003)</f>
        <v>414855.35</v>
      </c>
      <c r="R735" s="46">
        <f>IFERROR(__xludf.DUMMYFUNCTION("""COMPUTED_VALUE"""),277939.97)</f>
        <v>277939.97</v>
      </c>
      <c r="S735" s="46">
        <f>IFERROR(__xludf.DUMMYFUNCTION("""COMPUTED_VALUE"""),136915.38000000006)</f>
        <v>136915.38</v>
      </c>
    </row>
    <row r="736">
      <c r="A736" s="46" t="str">
        <f>IFERROR(__xludf.DUMMYFUNCTION("""COMPUTED_VALUE"""),"Cereal")</f>
        <v>Cereal</v>
      </c>
      <c r="B736" s="46" t="str">
        <f>IFERROR(__xludf.DUMMYFUNCTION("""COMPUTED_VALUE"""),"Cyprus")</f>
        <v>Cyprus</v>
      </c>
      <c r="C736" s="46" t="str">
        <f>IFERROR(__xludf.DUMMYFUNCTION("""COMPUTED_VALUE"""),"Asia")</f>
        <v>Asia</v>
      </c>
      <c r="D736" s="90">
        <f>IFERROR(__xludf.DUMMYFUNCTION("""COMPUTED_VALUE"""),41334.0)</f>
        <v>41334</v>
      </c>
      <c r="E736" s="46">
        <f>IFERROR(__xludf.DUMMYFUNCTION("""COMPUTED_VALUE"""),2013.0)</f>
        <v>2013</v>
      </c>
      <c r="F736" s="46">
        <f>IFERROR(__xludf.DUMMYFUNCTION("""COMPUTED_VALUE"""),1.0)</f>
        <v>1</v>
      </c>
      <c r="G736" s="46">
        <f>IFERROR(__xludf.DUMMYFUNCTION("""COMPUTED_VALUE"""),1223.0)</f>
        <v>1223</v>
      </c>
      <c r="H736" s="46">
        <f>IFERROR(__xludf.DUMMYFUNCTION("""COMPUTED_VALUE"""),251571.09999999998)</f>
        <v>251571.1</v>
      </c>
      <c r="I736" s="46">
        <f>IFERROR(__xludf.DUMMYFUNCTION("""COMPUTED_VALUE"""),143225.53)</f>
        <v>143225.53</v>
      </c>
      <c r="J736" s="46">
        <f>IFERROR(__xludf.DUMMYFUNCTION("""COMPUTED_VALUE"""),108345.56999999998)</f>
        <v>108345.57</v>
      </c>
      <c r="K736" s="46" t="str">
        <f t="array" ref="K736">TEXT(D736, "mmmm")</f>
        <v>March</v>
      </c>
      <c r="M736" s="46" t="str">
        <f>IFERROR(__xludf.DUMMYFUNCTION("""COMPUTED_VALUE"""),"Undefined")</f>
        <v>Undefined</v>
      </c>
      <c r="N736" s="94">
        <f>IFERROR(__xludf.DUMMYFUNCTION("""COMPUTED_VALUE"""),41913.0)</f>
        <v>41913</v>
      </c>
      <c r="O736" s="46">
        <f>IFERROR(__xludf.DUMMYFUNCTION("""COMPUTED_VALUE"""),1.0)</f>
        <v>1</v>
      </c>
      <c r="P736" s="46">
        <f>IFERROR(__xludf.DUMMYFUNCTION("""COMPUTED_VALUE"""),6086.0)</f>
        <v>6086</v>
      </c>
      <c r="Q736" s="46">
        <f>IFERROR(__xludf.DUMMYFUNCTION("""COMPUTED_VALUE"""),928601.8800000001)</f>
        <v>928601.88</v>
      </c>
      <c r="R736" s="46">
        <f>IFERROR(__xludf.DUMMYFUNCTION("""COMPUTED_VALUE"""),593019.84)</f>
        <v>593019.84</v>
      </c>
      <c r="S736" s="46">
        <f>IFERROR(__xludf.DUMMYFUNCTION("""COMPUTED_VALUE"""),335582.04000000015)</f>
        <v>335582.04</v>
      </c>
    </row>
    <row r="737">
      <c r="A737" s="46" t="str">
        <f>IFERROR(__xludf.DUMMYFUNCTION("""COMPUTED_VALUE"""),"Clothes")</f>
        <v>Clothes</v>
      </c>
      <c r="B737" s="46" t="str">
        <f>IFERROR(__xludf.DUMMYFUNCTION("""COMPUTED_VALUE"""),"Macedonia")</f>
        <v>Macedonia</v>
      </c>
      <c r="C737" s="46" t="str">
        <f>IFERROR(__xludf.DUMMYFUNCTION("""COMPUTED_VALUE"""),"Europe")</f>
        <v>Europe</v>
      </c>
      <c r="D737" s="90">
        <f>IFERROR(__xludf.DUMMYFUNCTION("""COMPUTED_VALUE"""),41334.0)</f>
        <v>41334</v>
      </c>
      <c r="E737" s="46">
        <f>IFERROR(__xludf.DUMMYFUNCTION("""COMPUTED_VALUE"""),2013.0)</f>
        <v>2013</v>
      </c>
      <c r="F737" s="46">
        <f>IFERROR(__xludf.DUMMYFUNCTION("""COMPUTED_VALUE"""),1.0)</f>
        <v>1</v>
      </c>
      <c r="G737" s="46">
        <f>IFERROR(__xludf.DUMMYFUNCTION("""COMPUTED_VALUE"""),3183.0)</f>
        <v>3183</v>
      </c>
      <c r="H737" s="46">
        <f>IFERROR(__xludf.DUMMYFUNCTION("""COMPUTED_VALUE"""),347838.24)</f>
        <v>347838.24</v>
      </c>
      <c r="I737" s="46">
        <f>IFERROR(__xludf.DUMMYFUNCTION("""COMPUTED_VALUE"""),114078.72000000002)</f>
        <v>114078.72</v>
      </c>
      <c r="J737" s="46">
        <f>IFERROR(__xludf.DUMMYFUNCTION("""COMPUTED_VALUE"""),233759.51999999996)</f>
        <v>233759.52</v>
      </c>
      <c r="K737" s="46" t="str">
        <f t="array" ref="K737">TEXT(D737, "mmmm")</f>
        <v>March</v>
      </c>
      <c r="M737" s="46" t="str">
        <f>IFERROR(__xludf.DUMMYFUNCTION("""COMPUTED_VALUE"""),"Armenia")</f>
        <v>Armenia</v>
      </c>
      <c r="N737" s="94">
        <f>IFERROR(__xludf.DUMMYFUNCTION("""COMPUTED_VALUE"""),41944.0)</f>
        <v>41944</v>
      </c>
      <c r="O737" s="46">
        <f>IFERROR(__xludf.DUMMYFUNCTION("""COMPUTED_VALUE"""),1.0)</f>
        <v>1</v>
      </c>
      <c r="P737" s="46">
        <f>IFERROR(__xludf.DUMMYFUNCTION("""COMPUTED_VALUE"""),9214.0)</f>
        <v>9214</v>
      </c>
      <c r="Q737" s="46">
        <f>IFERROR(__xludf.DUMMYFUNCTION("""COMPUTED_VALUE"""),85966.62)</f>
        <v>85966.62</v>
      </c>
      <c r="R737" s="46">
        <f>IFERROR(__xludf.DUMMYFUNCTION("""COMPUTED_VALUE"""),63760.88)</f>
        <v>63760.88</v>
      </c>
      <c r="S737" s="46">
        <f>IFERROR(__xludf.DUMMYFUNCTION("""COMPUTED_VALUE"""),22205.739999999998)</f>
        <v>22205.74</v>
      </c>
    </row>
    <row r="738">
      <c r="A738" s="46" t="str">
        <f>IFERROR(__xludf.DUMMYFUNCTION("""COMPUTED_VALUE"""),"Fruits")</f>
        <v>Fruits</v>
      </c>
      <c r="B738" s="46" t="str">
        <f>IFERROR(__xludf.DUMMYFUNCTION("""COMPUTED_VALUE"""),"Russia")</f>
        <v>Russia</v>
      </c>
      <c r="C738" s="46" t="str">
        <f>IFERROR(__xludf.DUMMYFUNCTION("""COMPUTED_VALUE"""),"Europe")</f>
        <v>Europe</v>
      </c>
      <c r="D738" s="90">
        <f>IFERROR(__xludf.DUMMYFUNCTION("""COMPUTED_VALUE"""),41334.0)</f>
        <v>41334</v>
      </c>
      <c r="E738" s="46">
        <f>IFERROR(__xludf.DUMMYFUNCTION("""COMPUTED_VALUE"""),2013.0)</f>
        <v>2013</v>
      </c>
      <c r="F738" s="46">
        <f>IFERROR(__xludf.DUMMYFUNCTION("""COMPUTED_VALUE"""),1.0)</f>
        <v>1</v>
      </c>
      <c r="G738" s="46">
        <f>IFERROR(__xludf.DUMMYFUNCTION("""COMPUTED_VALUE"""),9127.0)</f>
        <v>9127</v>
      </c>
      <c r="H738" s="46">
        <f>IFERROR(__xludf.DUMMYFUNCTION("""COMPUTED_VALUE"""),85154.91)</f>
        <v>85154.91</v>
      </c>
      <c r="I738" s="46">
        <f>IFERROR(__xludf.DUMMYFUNCTION("""COMPUTED_VALUE"""),63158.84)</f>
        <v>63158.84</v>
      </c>
      <c r="J738" s="46">
        <f>IFERROR(__xludf.DUMMYFUNCTION("""COMPUTED_VALUE"""),21996.070000000007)</f>
        <v>21996.07</v>
      </c>
      <c r="K738" s="46" t="str">
        <f t="array" ref="K738">TEXT(D738, "mmmm")</f>
        <v>March</v>
      </c>
      <c r="M738" s="46" t="str">
        <f>IFERROR(__xludf.DUMMYFUNCTION("""COMPUTED_VALUE"""),"Belgium")</f>
        <v>Belgium</v>
      </c>
      <c r="N738" s="94">
        <f>IFERROR(__xludf.DUMMYFUNCTION("""COMPUTED_VALUE"""),41944.0)</f>
        <v>41944</v>
      </c>
      <c r="O738" s="46">
        <f>IFERROR(__xludf.DUMMYFUNCTION("""COMPUTED_VALUE"""),1.0)</f>
        <v>1</v>
      </c>
      <c r="P738" s="46">
        <f>IFERROR(__xludf.DUMMYFUNCTION("""COMPUTED_VALUE"""),6728.0)</f>
        <v>6728</v>
      </c>
      <c r="Q738" s="46">
        <f>IFERROR(__xludf.DUMMYFUNCTION("""COMPUTED_VALUE"""),1383949.5999999999)</f>
        <v>1383949.6</v>
      </c>
      <c r="R738" s="46">
        <f>IFERROR(__xludf.DUMMYFUNCTION("""COMPUTED_VALUE"""),787916.08)</f>
        <v>787916.08</v>
      </c>
      <c r="S738" s="46">
        <f>IFERROR(__xludf.DUMMYFUNCTION("""COMPUTED_VALUE"""),596033.5199999999)</f>
        <v>596033.52</v>
      </c>
    </row>
    <row r="739">
      <c r="A739" s="46" t="str">
        <f>IFERROR(__xludf.DUMMYFUNCTION("""COMPUTED_VALUE"""),"Fruits")</f>
        <v>Fruits</v>
      </c>
      <c r="B739" s="46" t="str">
        <f>IFERROR(__xludf.DUMMYFUNCTION("""COMPUTED_VALUE"""),"United Kingdom")</f>
        <v>United Kingdom</v>
      </c>
      <c r="C739" s="46" t="str">
        <f>IFERROR(__xludf.DUMMYFUNCTION("""COMPUTED_VALUE"""),"Europe")</f>
        <v>Europe</v>
      </c>
      <c r="D739" s="90">
        <f>IFERROR(__xludf.DUMMYFUNCTION("""COMPUTED_VALUE"""),41334.0)</f>
        <v>41334</v>
      </c>
      <c r="E739" s="46">
        <f>IFERROR(__xludf.DUMMYFUNCTION("""COMPUTED_VALUE"""),2013.0)</f>
        <v>2013</v>
      </c>
      <c r="F739" s="46">
        <f>IFERROR(__xludf.DUMMYFUNCTION("""COMPUTED_VALUE"""),1.0)</f>
        <v>1</v>
      </c>
      <c r="G739" s="46">
        <f>IFERROR(__xludf.DUMMYFUNCTION("""COMPUTED_VALUE"""),7290.0)</f>
        <v>7290</v>
      </c>
      <c r="H739" s="46">
        <f>IFERROR(__xludf.DUMMYFUNCTION("""COMPUTED_VALUE"""),68015.7)</f>
        <v>68015.7</v>
      </c>
      <c r="I739" s="46">
        <f>IFERROR(__xludf.DUMMYFUNCTION("""COMPUTED_VALUE"""),50446.8)</f>
        <v>50446.8</v>
      </c>
      <c r="J739" s="46">
        <f>IFERROR(__xludf.DUMMYFUNCTION("""COMPUTED_VALUE"""),17568.899999999994)</f>
        <v>17568.9</v>
      </c>
      <c r="K739" s="46" t="str">
        <f t="array" ref="K739">TEXT(D739, "mmmm")</f>
        <v>March</v>
      </c>
      <c r="M739" s="46" t="str">
        <f>IFERROR(__xludf.DUMMYFUNCTION("""COMPUTED_VALUE"""),"Czech Republic")</f>
        <v>Czech Republic</v>
      </c>
      <c r="N739" s="94">
        <f>IFERROR(__xludf.DUMMYFUNCTION("""COMPUTED_VALUE"""),41944.0)</f>
        <v>41944</v>
      </c>
      <c r="O739" s="46">
        <f>IFERROR(__xludf.DUMMYFUNCTION("""COMPUTED_VALUE"""),2.0)</f>
        <v>2</v>
      </c>
      <c r="P739" s="46">
        <f>IFERROR(__xludf.DUMMYFUNCTION("""COMPUTED_VALUE"""),14478.0)</f>
        <v>14478</v>
      </c>
      <c r="Q739" s="46">
        <f>IFERROR(__xludf.DUMMYFUNCTION("""COMPUTED_VALUE"""),5091626.42)</f>
        <v>5091626.42</v>
      </c>
      <c r="R739" s="46">
        <f>IFERROR(__xludf.DUMMYFUNCTION("""COMPUTED_VALUE"""),3828241.4000000004)</f>
        <v>3828241.4</v>
      </c>
      <c r="S739" s="46">
        <f>IFERROR(__xludf.DUMMYFUNCTION("""COMPUTED_VALUE"""),1263385.019999999)</f>
        <v>1263385.02</v>
      </c>
    </row>
    <row r="740">
      <c r="A740" s="46" t="str">
        <f>IFERROR(__xludf.DUMMYFUNCTION("""COMPUTED_VALUE"""),"Household")</f>
        <v>Household</v>
      </c>
      <c r="B740" s="46" t="str">
        <f>IFERROR(__xludf.DUMMYFUNCTION("""COMPUTED_VALUE"""),"Cyprus")</f>
        <v>Cyprus</v>
      </c>
      <c r="C740" s="46" t="str">
        <f>IFERROR(__xludf.DUMMYFUNCTION("""COMPUTED_VALUE"""),"Asia")</f>
        <v>Asia</v>
      </c>
      <c r="D740" s="90">
        <f>IFERROR(__xludf.DUMMYFUNCTION("""COMPUTED_VALUE"""),41334.0)</f>
        <v>41334</v>
      </c>
      <c r="E740" s="46">
        <f>IFERROR(__xludf.DUMMYFUNCTION("""COMPUTED_VALUE"""),2013.0)</f>
        <v>2013</v>
      </c>
      <c r="F740" s="46">
        <f>IFERROR(__xludf.DUMMYFUNCTION("""COMPUTED_VALUE"""),1.0)</f>
        <v>1</v>
      </c>
      <c r="G740" s="46">
        <f>IFERROR(__xludf.DUMMYFUNCTION("""COMPUTED_VALUE"""),7302.0)</f>
        <v>7302</v>
      </c>
      <c r="H740" s="46">
        <f>IFERROR(__xludf.DUMMYFUNCTION("""COMPUTED_VALUE"""),4879707.54)</f>
        <v>4879707.54</v>
      </c>
      <c r="I740" s="46">
        <f>IFERROR(__xludf.DUMMYFUNCTION("""COMPUTED_VALUE"""),3669547.08)</f>
        <v>3669547.08</v>
      </c>
      <c r="J740" s="46">
        <f>IFERROR(__xludf.DUMMYFUNCTION("""COMPUTED_VALUE"""),1210160.46)</f>
        <v>1210160.46</v>
      </c>
      <c r="K740" s="46" t="str">
        <f t="array" ref="K740">TEXT(D740, "mmmm")</f>
        <v>March</v>
      </c>
      <c r="M740" s="46" t="str">
        <f>IFERROR(__xludf.DUMMYFUNCTION("""COMPUTED_VALUE"""),"Germany")</f>
        <v>Germany</v>
      </c>
      <c r="N740" s="94">
        <f>IFERROR(__xludf.DUMMYFUNCTION("""COMPUTED_VALUE"""),41944.0)</f>
        <v>41944</v>
      </c>
      <c r="O740" s="46">
        <f>IFERROR(__xludf.DUMMYFUNCTION("""COMPUTED_VALUE"""),2.0)</f>
        <v>2</v>
      </c>
      <c r="P740" s="46">
        <f>IFERROR(__xludf.DUMMYFUNCTION("""COMPUTED_VALUE"""),4257.0)</f>
        <v>4257</v>
      </c>
      <c r="Q740" s="46">
        <f>IFERROR(__xludf.DUMMYFUNCTION("""COMPUTED_VALUE"""),988360.24)</f>
        <v>988360.24</v>
      </c>
      <c r="R740" s="46">
        <f>IFERROR(__xludf.DUMMYFUNCTION("""COMPUTED_VALUE"""),594707.8999999999)</f>
        <v>594707.9</v>
      </c>
      <c r="S740" s="46">
        <f>IFERROR(__xludf.DUMMYFUNCTION("""COMPUTED_VALUE"""),393652.3400000001)</f>
        <v>393652.34</v>
      </c>
    </row>
    <row r="741">
      <c r="A741" s="46" t="str">
        <f>IFERROR(__xludf.DUMMYFUNCTION("""COMPUTED_VALUE"""),"Office Supplies")</f>
        <v>Office Supplies</v>
      </c>
      <c r="B741" s="46" t="str">
        <f>IFERROR(__xludf.DUMMYFUNCTION("""COMPUTED_VALUE"""),"Estonia")</f>
        <v>Estonia</v>
      </c>
      <c r="C741" s="46" t="str">
        <f>IFERROR(__xludf.DUMMYFUNCTION("""COMPUTED_VALUE"""),"Europe")</f>
        <v>Europe</v>
      </c>
      <c r="D741" s="90">
        <f>IFERROR(__xludf.DUMMYFUNCTION("""COMPUTED_VALUE"""),41334.0)</f>
        <v>41334</v>
      </c>
      <c r="E741" s="46">
        <f>IFERROR(__xludf.DUMMYFUNCTION("""COMPUTED_VALUE"""),2013.0)</f>
        <v>2013</v>
      </c>
      <c r="F741" s="46">
        <f>IFERROR(__xludf.DUMMYFUNCTION("""COMPUTED_VALUE"""),1.0)</f>
        <v>1</v>
      </c>
      <c r="G741" s="46">
        <f>IFERROR(__xludf.DUMMYFUNCTION("""COMPUTED_VALUE"""),5129.0)</f>
        <v>5129</v>
      </c>
      <c r="H741" s="46">
        <f>IFERROR(__xludf.DUMMYFUNCTION("""COMPUTED_VALUE"""),3340056.0900000003)</f>
        <v>3340056.09</v>
      </c>
      <c r="I741" s="46">
        <f>IFERROR(__xludf.DUMMYFUNCTION("""COMPUTED_VALUE"""),2692519.8400000003)</f>
        <v>2692519.84</v>
      </c>
      <c r="J741" s="46">
        <f>IFERROR(__xludf.DUMMYFUNCTION("""COMPUTED_VALUE"""),647536.25)</f>
        <v>647536.25</v>
      </c>
      <c r="K741" s="46" t="str">
        <f t="array" ref="K741">TEXT(D741, "mmmm")</f>
        <v>March</v>
      </c>
      <c r="M741" s="46" t="str">
        <f>IFERROR(__xludf.DUMMYFUNCTION("""COMPUTED_VALUE"""),"Latvia")</f>
        <v>Latvia</v>
      </c>
      <c r="N741" s="94">
        <f>IFERROR(__xludf.DUMMYFUNCTION("""COMPUTED_VALUE"""),41944.0)</f>
        <v>41944</v>
      </c>
      <c r="O741" s="46">
        <f>IFERROR(__xludf.DUMMYFUNCTION("""COMPUTED_VALUE"""),1.0)</f>
        <v>1</v>
      </c>
      <c r="P741" s="46">
        <f>IFERROR(__xludf.DUMMYFUNCTION("""COMPUTED_VALUE"""),4611.0)</f>
        <v>4611</v>
      </c>
      <c r="Q741" s="46">
        <f>IFERROR(__xludf.DUMMYFUNCTION("""COMPUTED_VALUE"""),1945334.79)</f>
        <v>1945334.79</v>
      </c>
      <c r="R741" s="46">
        <f>IFERROR(__xludf.DUMMYFUNCTION("""COMPUTED_VALUE"""),1681585.59)</f>
        <v>1681585.59</v>
      </c>
      <c r="S741" s="46">
        <f>IFERROR(__xludf.DUMMYFUNCTION("""COMPUTED_VALUE"""),263749.19999999995)</f>
        <v>263749.2</v>
      </c>
    </row>
    <row r="742">
      <c r="A742" s="46" t="str">
        <f>IFERROR(__xludf.DUMMYFUNCTION("""COMPUTED_VALUE"""),"Office Supplies")</f>
        <v>Office Supplies</v>
      </c>
      <c r="B742" s="46" t="str">
        <f>IFERROR(__xludf.DUMMYFUNCTION("""COMPUTED_VALUE"""),"Lithuania")</f>
        <v>Lithuania</v>
      </c>
      <c r="C742" s="46" t="str">
        <f>IFERROR(__xludf.DUMMYFUNCTION("""COMPUTED_VALUE"""),"Europe")</f>
        <v>Europe</v>
      </c>
      <c r="D742" s="90">
        <f>IFERROR(__xludf.DUMMYFUNCTION("""COMPUTED_VALUE"""),41334.0)</f>
        <v>41334</v>
      </c>
      <c r="E742" s="46">
        <f>IFERROR(__xludf.DUMMYFUNCTION("""COMPUTED_VALUE"""),2013.0)</f>
        <v>2013</v>
      </c>
      <c r="F742" s="46">
        <f>IFERROR(__xludf.DUMMYFUNCTION("""COMPUTED_VALUE"""),1.0)</f>
        <v>1</v>
      </c>
      <c r="G742" s="46">
        <f>IFERROR(__xludf.DUMMYFUNCTION("""COMPUTED_VALUE"""),6609.0)</f>
        <v>6609</v>
      </c>
      <c r="H742" s="46">
        <f>IFERROR(__xludf.DUMMYFUNCTION("""COMPUTED_VALUE"""),4303846.890000001)</f>
        <v>4303846.89</v>
      </c>
      <c r="I742" s="46">
        <f>IFERROR(__xludf.DUMMYFUNCTION("""COMPUTED_VALUE"""),3469460.64)</f>
        <v>3469460.64</v>
      </c>
      <c r="J742" s="46">
        <f>IFERROR(__xludf.DUMMYFUNCTION("""COMPUTED_VALUE"""),834386.2500000005)</f>
        <v>834386.25</v>
      </c>
      <c r="K742" s="46" t="str">
        <f t="array" ref="K742">TEXT(D742, "mmmm")</f>
        <v>March</v>
      </c>
      <c r="M742" s="46" t="str">
        <f>IFERROR(__xludf.DUMMYFUNCTION("""COMPUTED_VALUE"""),"Romania")</f>
        <v>Romania</v>
      </c>
      <c r="N742" s="94">
        <f>IFERROR(__xludf.DUMMYFUNCTION("""COMPUTED_VALUE"""),41944.0)</f>
        <v>41944</v>
      </c>
      <c r="O742" s="46">
        <f>IFERROR(__xludf.DUMMYFUNCTION("""COMPUTED_VALUE"""),1.0)</f>
        <v>1</v>
      </c>
      <c r="P742" s="46">
        <f>IFERROR(__xludf.DUMMYFUNCTION("""COMPUTED_VALUE"""),2809.0)</f>
        <v>2809</v>
      </c>
      <c r="Q742" s="46">
        <f>IFERROR(__xludf.DUMMYFUNCTION("""COMPUTED_VALUE"""),432754.54)</f>
        <v>432754.54</v>
      </c>
      <c r="R742" s="46">
        <f>IFERROR(__xludf.DUMMYFUNCTION("""COMPUTED_VALUE"""),255422.37000000002)</f>
        <v>255422.37</v>
      </c>
      <c r="S742" s="46">
        <f>IFERROR(__xludf.DUMMYFUNCTION("""COMPUTED_VALUE"""),177332.16999999995)</f>
        <v>177332.17</v>
      </c>
    </row>
    <row r="743">
      <c r="A743" s="46" t="str">
        <f>IFERROR(__xludf.DUMMYFUNCTION("""COMPUTED_VALUE"""),"Office Supplies")</f>
        <v>Office Supplies</v>
      </c>
      <c r="B743" s="46" t="str">
        <f>IFERROR(__xludf.DUMMYFUNCTION("""COMPUTED_VALUE"""),"Russia")</f>
        <v>Russia</v>
      </c>
      <c r="C743" s="46" t="str">
        <f>IFERROR(__xludf.DUMMYFUNCTION("""COMPUTED_VALUE"""),"Europe")</f>
        <v>Europe</v>
      </c>
      <c r="D743" s="90">
        <f>IFERROR(__xludf.DUMMYFUNCTION("""COMPUTED_VALUE"""),41334.0)</f>
        <v>41334</v>
      </c>
      <c r="E743" s="46">
        <f>IFERROR(__xludf.DUMMYFUNCTION("""COMPUTED_VALUE"""),2013.0)</f>
        <v>2013</v>
      </c>
      <c r="F743" s="46">
        <f>IFERROR(__xludf.DUMMYFUNCTION("""COMPUTED_VALUE"""),1.0)</f>
        <v>1</v>
      </c>
      <c r="G743" s="46">
        <f>IFERROR(__xludf.DUMMYFUNCTION("""COMPUTED_VALUE"""),9766.0)</f>
        <v>9766</v>
      </c>
      <c r="H743" s="46">
        <f>IFERROR(__xludf.DUMMYFUNCTION("""COMPUTED_VALUE"""),6359716.86)</f>
        <v>6359716.86</v>
      </c>
      <c r="I743" s="46">
        <f>IFERROR(__xludf.DUMMYFUNCTION("""COMPUTED_VALUE"""),5126759.36)</f>
        <v>5126759.36</v>
      </c>
      <c r="J743" s="46">
        <f>IFERROR(__xludf.DUMMYFUNCTION("""COMPUTED_VALUE"""),1232957.5)</f>
        <v>1232957.5</v>
      </c>
      <c r="K743" s="46" t="str">
        <f t="array" ref="K743">TEXT(D743, "mmmm")</f>
        <v>March</v>
      </c>
      <c r="M743" s="46" t="str">
        <f>IFERROR(__xludf.DUMMYFUNCTION("""COMPUTED_VALUE"""),"Slovenia")</f>
        <v>Slovenia</v>
      </c>
      <c r="N743" s="94">
        <f>IFERROR(__xludf.DUMMYFUNCTION("""COMPUTED_VALUE"""),41944.0)</f>
        <v>41944</v>
      </c>
      <c r="O743" s="46">
        <f>IFERROR(__xludf.DUMMYFUNCTION("""COMPUTED_VALUE"""),1.0)</f>
        <v>1</v>
      </c>
      <c r="P743" s="46">
        <f>IFERROR(__xludf.DUMMYFUNCTION("""COMPUTED_VALUE"""),4376.0)</f>
        <v>4376</v>
      </c>
      <c r="Q743" s="46">
        <f>IFERROR(__xludf.DUMMYFUNCTION("""COMPUTED_VALUE"""),357650.48000000004)</f>
        <v>357650.48</v>
      </c>
      <c r="R743" s="46">
        <f>IFERROR(__xludf.DUMMYFUNCTION("""COMPUTED_VALUE"""),247987.92)</f>
        <v>247987.92</v>
      </c>
      <c r="S743" s="46">
        <f>IFERROR(__xludf.DUMMYFUNCTION("""COMPUTED_VALUE"""),109662.56000000003)</f>
        <v>109662.56</v>
      </c>
    </row>
    <row r="744">
      <c r="A744" s="46" t="str">
        <f>IFERROR(__xludf.DUMMYFUNCTION("""COMPUTED_VALUE"""),"Personal Care")</f>
        <v>Personal Care</v>
      </c>
      <c r="B744" s="46" t="str">
        <f>IFERROR(__xludf.DUMMYFUNCTION("""COMPUTED_VALUE"""),"Croatia")</f>
        <v>Croatia</v>
      </c>
      <c r="C744" s="46" t="str">
        <f>IFERROR(__xludf.DUMMYFUNCTION("""COMPUTED_VALUE"""),"Europe")</f>
        <v>Europe</v>
      </c>
      <c r="D744" s="90">
        <f>IFERROR(__xludf.DUMMYFUNCTION("""COMPUTED_VALUE"""),41334.0)</f>
        <v>41334</v>
      </c>
      <c r="E744" s="46">
        <f>IFERROR(__xludf.DUMMYFUNCTION("""COMPUTED_VALUE"""),2013.0)</f>
        <v>2013</v>
      </c>
      <c r="F744" s="46">
        <f>IFERROR(__xludf.DUMMYFUNCTION("""COMPUTED_VALUE"""),1.0)</f>
        <v>1</v>
      </c>
      <c r="G744" s="46">
        <f>IFERROR(__xludf.DUMMYFUNCTION("""COMPUTED_VALUE"""),523.0)</f>
        <v>523</v>
      </c>
      <c r="H744" s="46">
        <f>IFERROR(__xludf.DUMMYFUNCTION("""COMPUTED_VALUE"""),42744.79)</f>
        <v>42744.79</v>
      </c>
      <c r="I744" s="46">
        <f>IFERROR(__xludf.DUMMYFUNCTION("""COMPUTED_VALUE"""),29638.41)</f>
        <v>29638.41</v>
      </c>
      <c r="J744" s="46">
        <f>IFERROR(__xludf.DUMMYFUNCTION("""COMPUTED_VALUE"""),13106.380000000001)</f>
        <v>13106.38</v>
      </c>
      <c r="K744" s="46" t="str">
        <f t="array" ref="K744">TEXT(D744, "mmmm")</f>
        <v>March</v>
      </c>
      <c r="M744" s="46" t="str">
        <f>IFERROR(__xludf.DUMMYFUNCTION("""COMPUTED_VALUE"""),"Undefined")</f>
        <v>Undefined</v>
      </c>
      <c r="N744" s="94">
        <f>IFERROR(__xludf.DUMMYFUNCTION("""COMPUTED_VALUE"""),41944.0)</f>
        <v>41944</v>
      </c>
      <c r="O744" s="46">
        <f>IFERROR(__xludf.DUMMYFUNCTION("""COMPUTED_VALUE"""),2.0)</f>
        <v>2</v>
      </c>
      <c r="P744" s="46">
        <f>IFERROR(__xludf.DUMMYFUNCTION("""COMPUTED_VALUE"""),18605.0)</f>
        <v>18605</v>
      </c>
      <c r="Q744" s="46">
        <f>IFERROR(__xludf.DUMMYFUNCTION("""COMPUTED_VALUE"""),1429262.1300000001)</f>
        <v>1429262.13</v>
      </c>
      <c r="R744" s="46">
        <f>IFERROR(__xludf.DUMMYFUNCTION("""COMPUTED_VALUE"""),857617.3600000001)</f>
        <v>857617.36</v>
      </c>
      <c r="S744" s="46">
        <f>IFERROR(__xludf.DUMMYFUNCTION("""COMPUTED_VALUE"""),571644.77)</f>
        <v>571644.77</v>
      </c>
    </row>
    <row r="745">
      <c r="A745" s="46" t="str">
        <f>IFERROR(__xludf.DUMMYFUNCTION("""COMPUTED_VALUE"""),"Personal Care")</f>
        <v>Personal Care</v>
      </c>
      <c r="B745" s="46" t="str">
        <f>IFERROR(__xludf.DUMMYFUNCTION("""COMPUTED_VALUE"""),"Lithuania")</f>
        <v>Lithuania</v>
      </c>
      <c r="C745" s="46" t="str">
        <f>IFERROR(__xludf.DUMMYFUNCTION("""COMPUTED_VALUE"""),"Europe")</f>
        <v>Europe</v>
      </c>
      <c r="D745" s="90">
        <f>IFERROR(__xludf.DUMMYFUNCTION("""COMPUTED_VALUE"""),41334.0)</f>
        <v>41334</v>
      </c>
      <c r="E745" s="46">
        <f>IFERROR(__xludf.DUMMYFUNCTION("""COMPUTED_VALUE"""),2013.0)</f>
        <v>2013</v>
      </c>
      <c r="F745" s="46">
        <f>IFERROR(__xludf.DUMMYFUNCTION("""COMPUTED_VALUE"""),1.0)</f>
        <v>1</v>
      </c>
      <c r="G745" s="46">
        <f>IFERROR(__xludf.DUMMYFUNCTION("""COMPUTED_VALUE"""),7683.0)</f>
        <v>7683</v>
      </c>
      <c r="H745" s="46">
        <f>IFERROR(__xludf.DUMMYFUNCTION("""COMPUTED_VALUE"""),627931.5900000001)</f>
        <v>627931.59</v>
      </c>
      <c r="I745" s="46">
        <f>IFERROR(__xludf.DUMMYFUNCTION("""COMPUTED_VALUE"""),435395.61)</f>
        <v>435395.61</v>
      </c>
      <c r="J745" s="46">
        <f>IFERROR(__xludf.DUMMYFUNCTION("""COMPUTED_VALUE"""),192535.9800000001)</f>
        <v>192535.98</v>
      </c>
      <c r="K745" s="46" t="str">
        <f t="array" ref="K745">TEXT(D745, "mmmm")</f>
        <v>March</v>
      </c>
      <c r="M745" s="46" t="str">
        <f>IFERROR(__xludf.DUMMYFUNCTION("""COMPUTED_VALUE"""),"Albania")</f>
        <v>Albania</v>
      </c>
      <c r="N745" s="94">
        <f>IFERROR(__xludf.DUMMYFUNCTION("""COMPUTED_VALUE"""),41974.0)</f>
        <v>41974</v>
      </c>
      <c r="O745" s="46">
        <f>IFERROR(__xludf.DUMMYFUNCTION("""COMPUTED_VALUE"""),1.0)</f>
        <v>1</v>
      </c>
      <c r="P745" s="46">
        <f>IFERROR(__xludf.DUMMYFUNCTION("""COMPUTED_VALUE"""),4028.0)</f>
        <v>4028</v>
      </c>
      <c r="Q745" s="46">
        <f>IFERROR(__xludf.DUMMYFUNCTION("""COMPUTED_VALUE"""),191128.6)</f>
        <v>191128.6</v>
      </c>
      <c r="R745" s="46">
        <f>IFERROR(__xludf.DUMMYFUNCTION("""COMPUTED_VALUE"""),128050.12)</f>
        <v>128050.12</v>
      </c>
      <c r="S745" s="46">
        <f>IFERROR(__xludf.DUMMYFUNCTION("""COMPUTED_VALUE"""),63078.48000000001)</f>
        <v>63078.48</v>
      </c>
    </row>
    <row r="746">
      <c r="A746" s="46" t="str">
        <f>IFERROR(__xludf.DUMMYFUNCTION("""COMPUTED_VALUE"""),"Personal Care")</f>
        <v>Personal Care</v>
      </c>
      <c r="B746" s="46" t="str">
        <f>IFERROR(__xludf.DUMMYFUNCTION("""COMPUTED_VALUE"""),"Undefined")</f>
        <v>Undefined</v>
      </c>
      <c r="C746" s="46" t="str">
        <f>IFERROR(__xludf.DUMMYFUNCTION("""COMPUTED_VALUE"""),"Undefined")</f>
        <v>Undefined</v>
      </c>
      <c r="D746" s="90">
        <f>IFERROR(__xludf.DUMMYFUNCTION("""COMPUTED_VALUE"""),41334.0)</f>
        <v>41334</v>
      </c>
      <c r="E746" s="46">
        <f>IFERROR(__xludf.DUMMYFUNCTION("""COMPUTED_VALUE"""),2013.0)</f>
        <v>2013</v>
      </c>
      <c r="F746" s="46">
        <f>IFERROR(__xludf.DUMMYFUNCTION("""COMPUTED_VALUE"""),1.0)</f>
        <v>1</v>
      </c>
      <c r="G746" s="46">
        <f>IFERROR(__xludf.DUMMYFUNCTION("""COMPUTED_VALUE"""),8092.0)</f>
        <v>8092</v>
      </c>
      <c r="H746" s="46">
        <f>IFERROR(__xludf.DUMMYFUNCTION("""COMPUTED_VALUE"""),661359.16)</f>
        <v>661359.16</v>
      </c>
      <c r="I746" s="46">
        <f>IFERROR(__xludf.DUMMYFUNCTION("""COMPUTED_VALUE"""),458573.64)</f>
        <v>458573.64</v>
      </c>
      <c r="J746" s="46">
        <f>IFERROR(__xludf.DUMMYFUNCTION("""COMPUTED_VALUE"""),202785.52000000002)</f>
        <v>202785.52</v>
      </c>
      <c r="K746" s="46" t="str">
        <f t="array" ref="K746">TEXT(D746, "mmmm")</f>
        <v>March</v>
      </c>
      <c r="M746" s="46" t="str">
        <f>IFERROR(__xludf.DUMMYFUNCTION("""COMPUTED_VALUE"""),"Andorra")</f>
        <v>Andorra</v>
      </c>
      <c r="N746" s="94">
        <f>IFERROR(__xludf.DUMMYFUNCTION("""COMPUTED_VALUE"""),41974.0)</f>
        <v>41974</v>
      </c>
      <c r="O746" s="46">
        <f>IFERROR(__xludf.DUMMYFUNCTION("""COMPUTED_VALUE"""),1.0)</f>
        <v>1</v>
      </c>
      <c r="P746" s="46">
        <f>IFERROR(__xludf.DUMMYFUNCTION("""COMPUTED_VALUE"""),4390.0)</f>
        <v>4390</v>
      </c>
      <c r="Q746" s="46">
        <f>IFERROR(__xludf.DUMMYFUNCTION("""COMPUTED_VALUE"""),358794.7)</f>
        <v>358794.7</v>
      </c>
      <c r="R746" s="46">
        <f>IFERROR(__xludf.DUMMYFUNCTION("""COMPUTED_VALUE"""),248781.30000000002)</f>
        <v>248781.3</v>
      </c>
      <c r="S746" s="46">
        <f>IFERROR(__xludf.DUMMYFUNCTION("""COMPUTED_VALUE"""),110013.4)</f>
        <v>110013.4</v>
      </c>
    </row>
    <row r="747">
      <c r="A747" s="46" t="str">
        <f>IFERROR(__xludf.DUMMYFUNCTION("""COMPUTED_VALUE"""),"Snacks")</f>
        <v>Snacks</v>
      </c>
      <c r="B747" s="46" t="str">
        <f>IFERROR(__xludf.DUMMYFUNCTION("""COMPUTED_VALUE"""),"Finland")</f>
        <v>Finland</v>
      </c>
      <c r="C747" s="46" t="str">
        <f>IFERROR(__xludf.DUMMYFUNCTION("""COMPUTED_VALUE"""),"Europe")</f>
        <v>Europe</v>
      </c>
      <c r="D747" s="90">
        <f>IFERROR(__xludf.DUMMYFUNCTION("""COMPUTED_VALUE"""),41334.0)</f>
        <v>41334</v>
      </c>
      <c r="E747" s="46">
        <f>IFERROR(__xludf.DUMMYFUNCTION("""COMPUTED_VALUE"""),2013.0)</f>
        <v>2013</v>
      </c>
      <c r="F747" s="46">
        <f>IFERROR(__xludf.DUMMYFUNCTION("""COMPUTED_VALUE"""),1.0)</f>
        <v>1</v>
      </c>
      <c r="G747" s="46">
        <f>IFERROR(__xludf.DUMMYFUNCTION("""COMPUTED_VALUE"""),3223.0)</f>
        <v>3223</v>
      </c>
      <c r="H747" s="46">
        <f>IFERROR(__xludf.DUMMYFUNCTION("""COMPUTED_VALUE"""),491765.34)</f>
        <v>491765.34</v>
      </c>
      <c r="I747" s="46">
        <f>IFERROR(__xludf.DUMMYFUNCTION("""COMPUTED_VALUE"""),314049.12)</f>
        <v>314049.12</v>
      </c>
      <c r="J747" s="46">
        <f>IFERROR(__xludf.DUMMYFUNCTION("""COMPUTED_VALUE"""),177716.22000000003)</f>
        <v>177716.22</v>
      </c>
      <c r="K747" s="46" t="str">
        <f t="array" ref="K747">TEXT(D747, "mmmm")</f>
        <v>March</v>
      </c>
      <c r="M747" s="46" t="str">
        <f>IFERROR(__xludf.DUMMYFUNCTION("""COMPUTED_VALUE"""),"Belarus")</f>
        <v>Belarus</v>
      </c>
      <c r="N747" s="94">
        <f>IFERROR(__xludf.DUMMYFUNCTION("""COMPUTED_VALUE"""),41974.0)</f>
        <v>41974</v>
      </c>
      <c r="O747" s="46">
        <f>IFERROR(__xludf.DUMMYFUNCTION("""COMPUTED_VALUE"""),1.0)</f>
        <v>1</v>
      </c>
      <c r="P747" s="46">
        <f>IFERROR(__xludf.DUMMYFUNCTION("""COMPUTED_VALUE"""),7128.0)</f>
        <v>7128</v>
      </c>
      <c r="Q747" s="46">
        <f>IFERROR(__xludf.DUMMYFUNCTION("""COMPUTED_VALUE"""),778947.84)</f>
        <v>778947.84</v>
      </c>
      <c r="R747" s="46">
        <f>IFERROR(__xludf.DUMMYFUNCTION("""COMPUTED_VALUE"""),255467.52000000002)</f>
        <v>255467.52</v>
      </c>
      <c r="S747" s="46">
        <f>IFERROR(__xludf.DUMMYFUNCTION("""COMPUTED_VALUE"""),523480.31999999995)</f>
        <v>523480.32</v>
      </c>
    </row>
    <row r="748">
      <c r="A748" s="46" t="str">
        <f>IFERROR(__xludf.DUMMYFUNCTION("""COMPUTED_VALUE"""),"Vegetables")</f>
        <v>Vegetables</v>
      </c>
      <c r="B748" s="46" t="str">
        <f>IFERROR(__xludf.DUMMYFUNCTION("""COMPUTED_VALUE"""),"Andorra")</f>
        <v>Andorra</v>
      </c>
      <c r="C748" s="46" t="str">
        <f>IFERROR(__xludf.DUMMYFUNCTION("""COMPUTED_VALUE"""),"Europe")</f>
        <v>Europe</v>
      </c>
      <c r="D748" s="90">
        <f>IFERROR(__xludf.DUMMYFUNCTION("""COMPUTED_VALUE"""),41334.0)</f>
        <v>41334</v>
      </c>
      <c r="E748" s="46">
        <f>IFERROR(__xludf.DUMMYFUNCTION("""COMPUTED_VALUE"""),2013.0)</f>
        <v>2013</v>
      </c>
      <c r="F748" s="46">
        <f>IFERROR(__xludf.DUMMYFUNCTION("""COMPUTED_VALUE"""),1.0)</f>
        <v>1</v>
      </c>
      <c r="G748" s="46">
        <f>IFERROR(__xludf.DUMMYFUNCTION("""COMPUTED_VALUE"""),6592.0)</f>
        <v>6592</v>
      </c>
      <c r="H748" s="46">
        <f>IFERROR(__xludf.DUMMYFUNCTION("""COMPUTED_VALUE"""),1015563.52)</f>
        <v>1015563.52</v>
      </c>
      <c r="I748" s="46">
        <f>IFERROR(__xludf.DUMMYFUNCTION("""COMPUTED_VALUE"""),599410.56)</f>
        <v>599410.56</v>
      </c>
      <c r="J748" s="46">
        <f>IFERROR(__xludf.DUMMYFUNCTION("""COMPUTED_VALUE"""),416152.95999999996)</f>
        <v>416152.96</v>
      </c>
      <c r="K748" s="46" t="str">
        <f t="array" ref="K748">TEXT(D748, "mmmm")</f>
        <v>March</v>
      </c>
      <c r="M748" s="46" t="str">
        <f>IFERROR(__xludf.DUMMYFUNCTION("""COMPUTED_VALUE"""),"Bulgaria")</f>
        <v>Bulgaria</v>
      </c>
      <c r="N748" s="94">
        <f>IFERROR(__xludf.DUMMYFUNCTION("""COMPUTED_VALUE"""),41974.0)</f>
        <v>41974</v>
      </c>
      <c r="O748" s="46">
        <f>IFERROR(__xludf.DUMMYFUNCTION("""COMPUTED_VALUE"""),1.0)</f>
        <v>1</v>
      </c>
      <c r="P748" s="46">
        <f>IFERROR(__xludf.DUMMYFUNCTION("""COMPUTED_VALUE"""),2736.0)</f>
        <v>2736</v>
      </c>
      <c r="Q748" s="46">
        <f>IFERROR(__xludf.DUMMYFUNCTION("""COMPUTED_VALUE"""),698446.08)</f>
        <v>698446.08</v>
      </c>
      <c r="R748" s="46">
        <f>IFERROR(__xludf.DUMMYFUNCTION("""COMPUTED_VALUE"""),436173.11999999994)</f>
        <v>436173.12</v>
      </c>
      <c r="S748" s="46">
        <f>IFERROR(__xludf.DUMMYFUNCTION("""COMPUTED_VALUE"""),262272.96)</f>
        <v>262272.96</v>
      </c>
    </row>
    <row r="749">
      <c r="A749" s="46" t="str">
        <f>IFERROR(__xludf.DUMMYFUNCTION("""COMPUTED_VALUE"""),"Vegetables")</f>
        <v>Vegetables</v>
      </c>
      <c r="B749" s="46" t="str">
        <f>IFERROR(__xludf.DUMMYFUNCTION("""COMPUTED_VALUE"""),"Montenegro")</f>
        <v>Montenegro</v>
      </c>
      <c r="C749" s="46" t="str">
        <f>IFERROR(__xludf.DUMMYFUNCTION("""COMPUTED_VALUE"""),"Europe")</f>
        <v>Europe</v>
      </c>
      <c r="D749" s="90">
        <f>IFERROR(__xludf.DUMMYFUNCTION("""COMPUTED_VALUE"""),41334.0)</f>
        <v>41334</v>
      </c>
      <c r="E749" s="46">
        <f>IFERROR(__xludf.DUMMYFUNCTION("""COMPUTED_VALUE"""),2013.0)</f>
        <v>2013</v>
      </c>
      <c r="F749" s="46">
        <f>IFERROR(__xludf.DUMMYFUNCTION("""COMPUTED_VALUE"""),1.0)</f>
        <v>1</v>
      </c>
      <c r="G749" s="46">
        <f>IFERROR(__xludf.DUMMYFUNCTION("""COMPUTED_VALUE"""),4388.0)</f>
        <v>4388</v>
      </c>
      <c r="H749" s="46">
        <f>IFERROR(__xludf.DUMMYFUNCTION("""COMPUTED_VALUE"""),676015.28)</f>
        <v>676015.28</v>
      </c>
      <c r="I749" s="46">
        <f>IFERROR(__xludf.DUMMYFUNCTION("""COMPUTED_VALUE"""),399000.84)</f>
        <v>399000.84</v>
      </c>
      <c r="J749" s="46">
        <f>IFERROR(__xludf.DUMMYFUNCTION("""COMPUTED_VALUE"""),277014.44)</f>
        <v>277014.44</v>
      </c>
      <c r="K749" s="46" t="str">
        <f t="array" ref="K749">TEXT(D749, "mmmm")</f>
        <v>March</v>
      </c>
      <c r="M749" s="46" t="str">
        <f>IFERROR(__xludf.DUMMYFUNCTION("""COMPUTED_VALUE"""),"Cyprus")</f>
        <v>Cyprus</v>
      </c>
      <c r="N749" s="94">
        <f>IFERROR(__xludf.DUMMYFUNCTION("""COMPUTED_VALUE"""),41974.0)</f>
        <v>41974</v>
      </c>
      <c r="O749" s="46">
        <f>IFERROR(__xludf.DUMMYFUNCTION("""COMPUTED_VALUE"""),2.0)</f>
        <v>2</v>
      </c>
      <c r="P749" s="46">
        <f>IFERROR(__xludf.DUMMYFUNCTION("""COMPUTED_VALUE"""),11718.0)</f>
        <v>11718</v>
      </c>
      <c r="Q749" s="46">
        <f>IFERROR(__xludf.DUMMYFUNCTION("""COMPUTED_VALUE"""),1380474.09)</f>
        <v>1380474.09</v>
      </c>
      <c r="R749" s="46">
        <f>IFERROR(__xludf.DUMMYFUNCTION("""COMPUTED_VALUE"""),907333.6499999999)</f>
        <v>907333.65</v>
      </c>
      <c r="S749" s="46">
        <f>IFERROR(__xludf.DUMMYFUNCTION("""COMPUTED_VALUE"""),473140.4400000002)</f>
        <v>473140.44</v>
      </c>
    </row>
    <row r="750">
      <c r="A750" s="46" t="str">
        <f>IFERROR(__xludf.DUMMYFUNCTION("""COMPUTED_VALUE"""),"Baby Food")</f>
        <v>Baby Food</v>
      </c>
      <c r="B750" s="46" t="str">
        <f>IFERROR(__xludf.DUMMYFUNCTION("""COMPUTED_VALUE"""),"Norway")</f>
        <v>Norway</v>
      </c>
      <c r="C750" s="46" t="str">
        <f>IFERROR(__xludf.DUMMYFUNCTION("""COMPUTED_VALUE"""),"Europe")</f>
        <v>Europe</v>
      </c>
      <c r="D750" s="90">
        <f>IFERROR(__xludf.DUMMYFUNCTION("""COMPUTED_VALUE"""),41306.0)</f>
        <v>41306</v>
      </c>
      <c r="E750" s="46">
        <f>IFERROR(__xludf.DUMMYFUNCTION("""COMPUTED_VALUE"""),2013.0)</f>
        <v>2013</v>
      </c>
      <c r="F750" s="46">
        <f>IFERROR(__xludf.DUMMYFUNCTION("""COMPUTED_VALUE"""),1.0)</f>
        <v>1</v>
      </c>
      <c r="G750" s="46">
        <f>IFERROR(__xludf.DUMMYFUNCTION("""COMPUTED_VALUE"""),2396.0)</f>
        <v>2396</v>
      </c>
      <c r="H750" s="46">
        <f>IFERROR(__xludf.DUMMYFUNCTION("""COMPUTED_VALUE"""),611650.88)</f>
        <v>611650.88</v>
      </c>
      <c r="I750" s="46">
        <f>IFERROR(__xludf.DUMMYFUNCTION("""COMPUTED_VALUE"""),381970.31999999995)</f>
        <v>381970.32</v>
      </c>
      <c r="J750" s="46">
        <f>IFERROR(__xludf.DUMMYFUNCTION("""COMPUTED_VALUE"""),229680.56000000006)</f>
        <v>229680.56</v>
      </c>
      <c r="K750" s="46" t="str">
        <f t="array" ref="K750">TEXT(D750, "mmmm")</f>
        <v>February</v>
      </c>
      <c r="M750" s="46" t="str">
        <f>IFERROR(__xludf.DUMMYFUNCTION("""COMPUTED_VALUE"""),"Germany")</f>
        <v>Germany</v>
      </c>
      <c r="N750" s="94">
        <f>IFERROR(__xludf.DUMMYFUNCTION("""COMPUTED_VALUE"""),41974.0)</f>
        <v>41974</v>
      </c>
      <c r="O750" s="46">
        <f>IFERROR(__xludf.DUMMYFUNCTION("""COMPUTED_VALUE"""),1.0)</f>
        <v>1</v>
      </c>
      <c r="P750" s="46">
        <f>IFERROR(__xludf.DUMMYFUNCTION("""COMPUTED_VALUE"""),9222.0)</f>
        <v>9222</v>
      </c>
      <c r="Q750" s="46">
        <f>IFERROR(__xludf.DUMMYFUNCTION("""COMPUTED_VALUE"""),2354192.16)</f>
        <v>2354192.16</v>
      </c>
      <c r="R750" s="46">
        <f>IFERROR(__xludf.DUMMYFUNCTION("""COMPUTED_VALUE"""),1470171.24)</f>
        <v>1470171.24</v>
      </c>
      <c r="S750" s="46">
        <f>IFERROR(__xludf.DUMMYFUNCTION("""COMPUTED_VALUE"""),884020.9200000002)</f>
        <v>884020.92</v>
      </c>
    </row>
    <row r="751">
      <c r="A751" s="46" t="str">
        <f>IFERROR(__xludf.DUMMYFUNCTION("""COMPUTED_VALUE"""),"Beverages")</f>
        <v>Beverages</v>
      </c>
      <c r="B751" s="46" t="str">
        <f>IFERROR(__xludf.DUMMYFUNCTION("""COMPUTED_VALUE"""),"Croatia")</f>
        <v>Croatia</v>
      </c>
      <c r="C751" s="46" t="str">
        <f>IFERROR(__xludf.DUMMYFUNCTION("""COMPUTED_VALUE"""),"Europe")</f>
        <v>Europe</v>
      </c>
      <c r="D751" s="90">
        <f>IFERROR(__xludf.DUMMYFUNCTION("""COMPUTED_VALUE"""),41306.0)</f>
        <v>41306</v>
      </c>
      <c r="E751" s="46">
        <f>IFERROR(__xludf.DUMMYFUNCTION("""COMPUTED_VALUE"""),2013.0)</f>
        <v>2013</v>
      </c>
      <c r="F751" s="46">
        <f>IFERROR(__xludf.DUMMYFUNCTION("""COMPUTED_VALUE"""),1.0)</f>
        <v>1</v>
      </c>
      <c r="G751" s="46">
        <f>IFERROR(__xludf.DUMMYFUNCTION("""COMPUTED_VALUE"""),1668.0)</f>
        <v>1668</v>
      </c>
      <c r="H751" s="46">
        <f>IFERROR(__xludf.DUMMYFUNCTION("""COMPUTED_VALUE"""),79146.6)</f>
        <v>79146.6</v>
      </c>
      <c r="I751" s="46">
        <f>IFERROR(__xludf.DUMMYFUNCTION("""COMPUTED_VALUE"""),53025.72)</f>
        <v>53025.72</v>
      </c>
      <c r="J751" s="46">
        <f>IFERROR(__xludf.DUMMYFUNCTION("""COMPUTED_VALUE"""),26120.880000000005)</f>
        <v>26120.88</v>
      </c>
      <c r="K751" s="46" t="str">
        <f t="array" ref="K751">TEXT(D751, "mmmm")</f>
        <v>February</v>
      </c>
      <c r="M751" s="46" t="str">
        <f>IFERROR(__xludf.DUMMYFUNCTION("""COMPUTED_VALUE"""),"Italy")</f>
        <v>Italy</v>
      </c>
      <c r="N751" s="94">
        <f>IFERROR(__xludf.DUMMYFUNCTION("""COMPUTED_VALUE"""),41974.0)</f>
        <v>41974</v>
      </c>
      <c r="O751" s="46">
        <f>IFERROR(__xludf.DUMMYFUNCTION("""COMPUTED_VALUE"""),1.0)</f>
        <v>1</v>
      </c>
      <c r="P751" s="46">
        <f>IFERROR(__xludf.DUMMYFUNCTION("""COMPUTED_VALUE"""),5192.0)</f>
        <v>5192</v>
      </c>
      <c r="Q751" s="46">
        <f>IFERROR(__xludf.DUMMYFUNCTION("""COMPUTED_VALUE"""),246360.40000000002)</f>
        <v>246360.4</v>
      </c>
      <c r="R751" s="46">
        <f>IFERROR(__xludf.DUMMYFUNCTION("""COMPUTED_VALUE"""),165053.68)</f>
        <v>165053.68</v>
      </c>
      <c r="S751" s="46">
        <f>IFERROR(__xludf.DUMMYFUNCTION("""COMPUTED_VALUE"""),81306.72000000003)</f>
        <v>81306.72</v>
      </c>
    </row>
    <row r="752">
      <c r="A752" s="46" t="str">
        <f>IFERROR(__xludf.DUMMYFUNCTION("""COMPUTED_VALUE"""),"Cereal")</f>
        <v>Cereal</v>
      </c>
      <c r="B752" s="46" t="str">
        <f>IFERROR(__xludf.DUMMYFUNCTION("""COMPUTED_VALUE"""),"Armenia")</f>
        <v>Armenia</v>
      </c>
      <c r="C752" s="46" t="str">
        <f>IFERROR(__xludf.DUMMYFUNCTION("""COMPUTED_VALUE"""),"Asia")</f>
        <v>Asia</v>
      </c>
      <c r="D752" s="90">
        <f>IFERROR(__xludf.DUMMYFUNCTION("""COMPUTED_VALUE"""),41306.0)</f>
        <v>41306</v>
      </c>
      <c r="E752" s="46">
        <f>IFERROR(__xludf.DUMMYFUNCTION("""COMPUTED_VALUE"""),2013.0)</f>
        <v>2013</v>
      </c>
      <c r="F752" s="46">
        <f>IFERROR(__xludf.DUMMYFUNCTION("""COMPUTED_VALUE"""),1.0)</f>
        <v>1</v>
      </c>
      <c r="G752" s="46">
        <f>IFERROR(__xludf.DUMMYFUNCTION("""COMPUTED_VALUE"""),3600.0)</f>
        <v>3600</v>
      </c>
      <c r="H752" s="46">
        <f>IFERROR(__xludf.DUMMYFUNCTION("""COMPUTED_VALUE"""),740520.0)</f>
        <v>740520</v>
      </c>
      <c r="I752" s="46">
        <f>IFERROR(__xludf.DUMMYFUNCTION("""COMPUTED_VALUE"""),421596.0)</f>
        <v>421596</v>
      </c>
      <c r="J752" s="46">
        <f>IFERROR(__xludf.DUMMYFUNCTION("""COMPUTED_VALUE"""),318924.0)</f>
        <v>318924</v>
      </c>
      <c r="K752" s="46" t="str">
        <f t="array" ref="K752">TEXT(D752, "mmmm")</f>
        <v>February</v>
      </c>
      <c r="M752" s="46" t="str">
        <f>IFERROR(__xludf.DUMMYFUNCTION("""COMPUTED_VALUE"""),"Malta")</f>
        <v>Malta</v>
      </c>
      <c r="N752" s="94">
        <f>IFERROR(__xludf.DUMMYFUNCTION("""COMPUTED_VALUE"""),41974.0)</f>
        <v>41974</v>
      </c>
      <c r="O752" s="46">
        <f>IFERROR(__xludf.DUMMYFUNCTION("""COMPUTED_VALUE"""),1.0)</f>
        <v>1</v>
      </c>
      <c r="P752" s="46">
        <f>IFERROR(__xludf.DUMMYFUNCTION("""COMPUTED_VALUE"""),2258.0)</f>
        <v>2258</v>
      </c>
      <c r="Q752" s="46">
        <f>IFERROR(__xludf.DUMMYFUNCTION("""COMPUTED_VALUE"""),1470432.1800000002)</f>
        <v>1470432.18</v>
      </c>
      <c r="R752" s="46">
        <f>IFERROR(__xludf.DUMMYFUNCTION("""COMPUTED_VALUE"""),1185359.6800000002)</f>
        <v>1185359.68</v>
      </c>
      <c r="S752" s="46">
        <f>IFERROR(__xludf.DUMMYFUNCTION("""COMPUTED_VALUE"""),285072.5)</f>
        <v>285072.5</v>
      </c>
    </row>
    <row r="753">
      <c r="A753" s="46" t="str">
        <f>IFERROR(__xludf.DUMMYFUNCTION("""COMPUTED_VALUE"""),"Cereal")</f>
        <v>Cereal</v>
      </c>
      <c r="B753" s="46" t="str">
        <f>IFERROR(__xludf.DUMMYFUNCTION("""COMPUTED_VALUE"""),"Czech Republic")</f>
        <v>Czech Republic</v>
      </c>
      <c r="C753" s="46" t="str">
        <f>IFERROR(__xludf.DUMMYFUNCTION("""COMPUTED_VALUE"""),"Europe")</f>
        <v>Europe</v>
      </c>
      <c r="D753" s="90">
        <f>IFERROR(__xludf.DUMMYFUNCTION("""COMPUTED_VALUE"""),41306.0)</f>
        <v>41306</v>
      </c>
      <c r="E753" s="46">
        <f>IFERROR(__xludf.DUMMYFUNCTION("""COMPUTED_VALUE"""),2013.0)</f>
        <v>2013</v>
      </c>
      <c r="F753" s="46">
        <f>IFERROR(__xludf.DUMMYFUNCTION("""COMPUTED_VALUE"""),1.0)</f>
        <v>1</v>
      </c>
      <c r="G753" s="46">
        <f>IFERROR(__xludf.DUMMYFUNCTION("""COMPUTED_VALUE"""),6903.0)</f>
        <v>6903</v>
      </c>
      <c r="H753" s="46">
        <f>IFERROR(__xludf.DUMMYFUNCTION("""COMPUTED_VALUE"""),1419947.0999999999)</f>
        <v>1419947.1</v>
      </c>
      <c r="I753" s="46">
        <f>IFERROR(__xludf.DUMMYFUNCTION("""COMPUTED_VALUE"""),808410.33)</f>
        <v>808410.33</v>
      </c>
      <c r="J753" s="46">
        <f>IFERROR(__xludf.DUMMYFUNCTION("""COMPUTED_VALUE"""),611536.7699999999)</f>
        <v>611536.77</v>
      </c>
      <c r="K753" s="46" t="str">
        <f t="array" ref="K753">TEXT(D753, "mmmm")</f>
        <v>February</v>
      </c>
      <c r="M753" s="46" t="str">
        <f>IFERROR(__xludf.DUMMYFUNCTION("""COMPUTED_VALUE"""),"Montenegro")</f>
        <v>Montenegro</v>
      </c>
      <c r="N753" s="94">
        <f>IFERROR(__xludf.DUMMYFUNCTION("""COMPUTED_VALUE"""),41974.0)</f>
        <v>41974</v>
      </c>
      <c r="O753" s="46">
        <f>IFERROR(__xludf.DUMMYFUNCTION("""COMPUTED_VALUE"""),1.0)</f>
        <v>1</v>
      </c>
      <c r="P753" s="46">
        <f>IFERROR(__xludf.DUMMYFUNCTION("""COMPUTED_VALUE"""),3138.0)</f>
        <v>3138</v>
      </c>
      <c r="Q753" s="46">
        <f>IFERROR(__xludf.DUMMYFUNCTION("""COMPUTED_VALUE"""),2097031.26)</f>
        <v>2097031.26</v>
      </c>
      <c r="R753" s="46">
        <f>IFERROR(__xludf.DUMMYFUNCTION("""COMPUTED_VALUE"""),1576970.52)</f>
        <v>1576970.52</v>
      </c>
      <c r="S753" s="46">
        <f>IFERROR(__xludf.DUMMYFUNCTION("""COMPUTED_VALUE"""),520060.74)</f>
        <v>520060.74</v>
      </c>
    </row>
    <row r="754">
      <c r="A754" s="46" t="str">
        <f>IFERROR(__xludf.DUMMYFUNCTION("""COMPUTED_VALUE"""),"Cereal")</f>
        <v>Cereal</v>
      </c>
      <c r="B754" s="46" t="str">
        <f>IFERROR(__xludf.DUMMYFUNCTION("""COMPUTED_VALUE"""),"Portugal")</f>
        <v>Portugal</v>
      </c>
      <c r="C754" s="46" t="str">
        <f>IFERROR(__xludf.DUMMYFUNCTION("""COMPUTED_VALUE"""),"Europe")</f>
        <v>Europe</v>
      </c>
      <c r="D754" s="90">
        <f>IFERROR(__xludf.DUMMYFUNCTION("""COMPUTED_VALUE"""),41306.0)</f>
        <v>41306</v>
      </c>
      <c r="E754" s="46">
        <f>IFERROR(__xludf.DUMMYFUNCTION("""COMPUTED_VALUE"""),2013.0)</f>
        <v>2013</v>
      </c>
      <c r="F754" s="46">
        <f>IFERROR(__xludf.DUMMYFUNCTION("""COMPUTED_VALUE"""),1.0)</f>
        <v>1</v>
      </c>
      <c r="G754" s="46">
        <f>IFERROR(__xludf.DUMMYFUNCTION("""COMPUTED_VALUE"""),2093.0)</f>
        <v>2093</v>
      </c>
      <c r="H754" s="46">
        <f>IFERROR(__xludf.DUMMYFUNCTION("""COMPUTED_VALUE"""),430530.1)</f>
        <v>430530.1</v>
      </c>
      <c r="I754" s="46">
        <f>IFERROR(__xludf.DUMMYFUNCTION("""COMPUTED_VALUE"""),245111.23)</f>
        <v>245111.23</v>
      </c>
      <c r="J754" s="46">
        <f>IFERROR(__xludf.DUMMYFUNCTION("""COMPUTED_VALUE"""),185418.86999999997)</f>
        <v>185418.87</v>
      </c>
      <c r="K754" s="46" t="str">
        <f t="array" ref="K754">TEXT(D754, "mmmm")</f>
        <v>February</v>
      </c>
      <c r="M754" s="46" t="str">
        <f>IFERROR(__xludf.DUMMYFUNCTION("""COMPUTED_VALUE"""),"Slovenia")</f>
        <v>Slovenia</v>
      </c>
      <c r="N754" s="94">
        <f>IFERROR(__xludf.DUMMYFUNCTION("""COMPUTED_VALUE"""),41974.0)</f>
        <v>41974</v>
      </c>
      <c r="O754" s="46">
        <f>IFERROR(__xludf.DUMMYFUNCTION("""COMPUTED_VALUE"""),1.0)</f>
        <v>1</v>
      </c>
      <c r="P754" s="46">
        <f>IFERROR(__xludf.DUMMYFUNCTION("""COMPUTED_VALUE"""),7670.0)</f>
        <v>7670</v>
      </c>
      <c r="Q754" s="46">
        <f>IFERROR(__xludf.DUMMYFUNCTION("""COMPUTED_VALUE"""),71561.1)</f>
        <v>71561.1</v>
      </c>
      <c r="R754" s="46">
        <f>IFERROR(__xludf.DUMMYFUNCTION("""COMPUTED_VALUE"""),53076.4)</f>
        <v>53076.4</v>
      </c>
      <c r="S754" s="46">
        <f>IFERROR(__xludf.DUMMYFUNCTION("""COMPUTED_VALUE"""),18484.700000000004)</f>
        <v>18484.7</v>
      </c>
    </row>
    <row r="755">
      <c r="A755" s="46" t="str">
        <f>IFERROR(__xludf.DUMMYFUNCTION("""COMPUTED_VALUE"""),"Clothes")</f>
        <v>Clothes</v>
      </c>
      <c r="B755" s="46" t="str">
        <f>IFERROR(__xludf.DUMMYFUNCTION("""COMPUTED_VALUE"""),"Lithuania")</f>
        <v>Lithuania</v>
      </c>
      <c r="C755" s="46" t="str">
        <f>IFERROR(__xludf.DUMMYFUNCTION("""COMPUTED_VALUE"""),"Europe")</f>
        <v>Europe</v>
      </c>
      <c r="D755" s="90">
        <f>IFERROR(__xludf.DUMMYFUNCTION("""COMPUTED_VALUE"""),41306.0)</f>
        <v>41306</v>
      </c>
      <c r="E755" s="46">
        <f>IFERROR(__xludf.DUMMYFUNCTION("""COMPUTED_VALUE"""),2013.0)</f>
        <v>2013</v>
      </c>
      <c r="F755" s="46">
        <f>IFERROR(__xludf.DUMMYFUNCTION("""COMPUTED_VALUE"""),1.0)</f>
        <v>1</v>
      </c>
      <c r="G755" s="46">
        <f>IFERROR(__xludf.DUMMYFUNCTION("""COMPUTED_VALUE"""),3605.0)</f>
        <v>3605</v>
      </c>
      <c r="H755" s="46">
        <f>IFERROR(__xludf.DUMMYFUNCTION("""COMPUTED_VALUE"""),393954.4)</f>
        <v>393954.4</v>
      </c>
      <c r="I755" s="46">
        <f>IFERROR(__xludf.DUMMYFUNCTION("""COMPUTED_VALUE"""),129203.20000000001)</f>
        <v>129203.2</v>
      </c>
      <c r="J755" s="46">
        <f>IFERROR(__xludf.DUMMYFUNCTION("""COMPUTED_VALUE"""),264751.2)</f>
        <v>264751.2</v>
      </c>
      <c r="K755" s="46" t="str">
        <f t="array" ref="K755">TEXT(D755, "mmmm")</f>
        <v>February</v>
      </c>
      <c r="M755" s="46" t="str">
        <f>IFERROR(__xludf.DUMMYFUNCTION("""COMPUTED_VALUE"""),"Belgium")</f>
        <v>Belgium</v>
      </c>
      <c r="N755" s="94">
        <f>IFERROR(__xludf.DUMMYFUNCTION("""COMPUTED_VALUE"""),42005.0)</f>
        <v>42005</v>
      </c>
      <c r="O755" s="46">
        <f>IFERROR(__xludf.DUMMYFUNCTION("""COMPUTED_VALUE"""),1.0)</f>
        <v>1</v>
      </c>
      <c r="P755" s="46">
        <f>IFERROR(__xludf.DUMMYFUNCTION("""COMPUTED_VALUE"""),5005.0)</f>
        <v>5005</v>
      </c>
      <c r="Q755" s="46">
        <f>IFERROR(__xludf.DUMMYFUNCTION("""COMPUTED_VALUE"""),763662.9)</f>
        <v>763662.9</v>
      </c>
      <c r="R755" s="46">
        <f>IFERROR(__xludf.DUMMYFUNCTION("""COMPUTED_VALUE"""),487687.2)</f>
        <v>487687.2</v>
      </c>
      <c r="S755" s="46">
        <f>IFERROR(__xludf.DUMMYFUNCTION("""COMPUTED_VALUE"""),275975.7)</f>
        <v>275975.7</v>
      </c>
    </row>
    <row r="756">
      <c r="A756" s="46" t="str">
        <f>IFERROR(__xludf.DUMMYFUNCTION("""COMPUTED_VALUE"""),"Fruits")</f>
        <v>Fruits</v>
      </c>
      <c r="B756" s="46" t="str">
        <f>IFERROR(__xludf.DUMMYFUNCTION("""COMPUTED_VALUE"""),"Estonia")</f>
        <v>Estonia</v>
      </c>
      <c r="C756" s="46" t="str">
        <f>IFERROR(__xludf.DUMMYFUNCTION("""COMPUTED_VALUE"""),"Europe")</f>
        <v>Europe</v>
      </c>
      <c r="D756" s="90">
        <f>IFERROR(__xludf.DUMMYFUNCTION("""COMPUTED_VALUE"""),41306.0)</f>
        <v>41306</v>
      </c>
      <c r="E756" s="46">
        <f>IFERROR(__xludf.DUMMYFUNCTION("""COMPUTED_VALUE"""),2013.0)</f>
        <v>2013</v>
      </c>
      <c r="F756" s="46">
        <f>IFERROR(__xludf.DUMMYFUNCTION("""COMPUTED_VALUE"""),1.0)</f>
        <v>1</v>
      </c>
      <c r="G756" s="46">
        <f>IFERROR(__xludf.DUMMYFUNCTION("""COMPUTED_VALUE"""),9616.0)</f>
        <v>9616</v>
      </c>
      <c r="H756" s="46">
        <f>IFERROR(__xludf.DUMMYFUNCTION("""COMPUTED_VALUE"""),89717.28)</f>
        <v>89717.28</v>
      </c>
      <c r="I756" s="46">
        <f>IFERROR(__xludf.DUMMYFUNCTION("""COMPUTED_VALUE"""),66542.72)</f>
        <v>66542.72</v>
      </c>
      <c r="J756" s="46">
        <f>IFERROR(__xludf.DUMMYFUNCTION("""COMPUTED_VALUE"""),23174.559999999998)</f>
        <v>23174.56</v>
      </c>
      <c r="K756" s="46" t="str">
        <f t="array" ref="K756">TEXT(D756, "mmmm")</f>
        <v>February</v>
      </c>
      <c r="M756" s="46" t="str">
        <f>IFERROR(__xludf.DUMMYFUNCTION("""COMPUTED_VALUE"""),"Czech Republic")</f>
        <v>Czech Republic</v>
      </c>
      <c r="N756" s="94">
        <f>IFERROR(__xludf.DUMMYFUNCTION("""COMPUTED_VALUE"""),42005.0)</f>
        <v>42005</v>
      </c>
      <c r="O756" s="46">
        <f>IFERROR(__xludf.DUMMYFUNCTION("""COMPUTED_VALUE"""),2.0)</f>
        <v>2</v>
      </c>
      <c r="P756" s="46">
        <f>IFERROR(__xludf.DUMMYFUNCTION("""COMPUTED_VALUE"""),4349.0)</f>
        <v>4349</v>
      </c>
      <c r="Q756" s="46">
        <f>IFERROR(__xludf.DUMMYFUNCTION("""COMPUTED_VALUE"""),1834799.61)</f>
        <v>1834799.61</v>
      </c>
      <c r="R756" s="46">
        <f>IFERROR(__xludf.DUMMYFUNCTION("""COMPUTED_VALUE"""),1586036.81)</f>
        <v>1586036.81</v>
      </c>
      <c r="S756" s="46">
        <f>IFERROR(__xludf.DUMMYFUNCTION("""COMPUTED_VALUE"""),248762.8000000001)</f>
        <v>248762.8</v>
      </c>
    </row>
    <row r="757">
      <c r="A757" s="46" t="str">
        <f>IFERROR(__xludf.DUMMYFUNCTION("""COMPUTED_VALUE"""),"Household")</f>
        <v>Household</v>
      </c>
      <c r="B757" s="46" t="str">
        <f>IFERROR(__xludf.DUMMYFUNCTION("""COMPUTED_VALUE"""),"Bosnia and Herzegovina")</f>
        <v>Bosnia and Herzegovina</v>
      </c>
      <c r="C757" s="46" t="str">
        <f>IFERROR(__xludf.DUMMYFUNCTION("""COMPUTED_VALUE"""),"Europe")</f>
        <v>Europe</v>
      </c>
      <c r="D757" s="90">
        <f>IFERROR(__xludf.DUMMYFUNCTION("""COMPUTED_VALUE"""),41306.0)</f>
        <v>41306</v>
      </c>
      <c r="E757" s="46">
        <f>IFERROR(__xludf.DUMMYFUNCTION("""COMPUTED_VALUE"""),2013.0)</f>
        <v>2013</v>
      </c>
      <c r="F757" s="46">
        <f>IFERROR(__xludf.DUMMYFUNCTION("""COMPUTED_VALUE"""),1.0)</f>
        <v>1</v>
      </c>
      <c r="G757" s="46">
        <f>IFERROR(__xludf.DUMMYFUNCTION("""COMPUTED_VALUE"""),5095.0)</f>
        <v>5095</v>
      </c>
      <c r="H757" s="46">
        <f>IFERROR(__xludf.DUMMYFUNCTION("""COMPUTED_VALUE"""),3404835.65)</f>
        <v>3404835.65</v>
      </c>
      <c r="I757" s="46">
        <f>IFERROR(__xludf.DUMMYFUNCTION("""COMPUTED_VALUE"""),2560441.3000000003)</f>
        <v>2560441.3</v>
      </c>
      <c r="J757" s="46">
        <f>IFERROR(__xludf.DUMMYFUNCTION("""COMPUTED_VALUE"""),844394.3499999996)</f>
        <v>844394.35</v>
      </c>
      <c r="K757" s="46" t="str">
        <f t="array" ref="K757">TEXT(D757, "mmmm")</f>
        <v>February</v>
      </c>
      <c r="M757" s="46" t="str">
        <f>IFERROR(__xludf.DUMMYFUNCTION("""COMPUTED_VALUE"""),"Greece")</f>
        <v>Greece</v>
      </c>
      <c r="N757" s="94">
        <f>IFERROR(__xludf.DUMMYFUNCTION("""COMPUTED_VALUE"""),42005.0)</f>
        <v>42005</v>
      </c>
      <c r="O757" s="46">
        <f>IFERROR(__xludf.DUMMYFUNCTION("""COMPUTED_VALUE"""),2.0)</f>
        <v>2</v>
      </c>
      <c r="P757" s="46">
        <f>IFERROR(__xludf.DUMMYFUNCTION("""COMPUTED_VALUE"""),15611.0)</f>
        <v>15611</v>
      </c>
      <c r="Q757" s="46">
        <f>IFERROR(__xludf.DUMMYFUNCTION("""COMPUTED_VALUE"""),2606936.08)</f>
        <v>2606936.08</v>
      </c>
      <c r="R757" s="46">
        <f>IFERROR(__xludf.DUMMYFUNCTION("""COMPUTED_VALUE"""),1322110.42)</f>
        <v>1322110.42</v>
      </c>
      <c r="S757" s="46">
        <f>IFERROR(__xludf.DUMMYFUNCTION("""COMPUTED_VALUE"""),1284825.6600000001)</f>
        <v>1284825.66</v>
      </c>
    </row>
    <row r="758">
      <c r="A758" s="46" t="str">
        <f>IFERROR(__xludf.DUMMYFUNCTION("""COMPUTED_VALUE"""),"Meat")</f>
        <v>Meat</v>
      </c>
      <c r="B758" s="46" t="str">
        <f>IFERROR(__xludf.DUMMYFUNCTION("""COMPUTED_VALUE"""),"Portugal")</f>
        <v>Portugal</v>
      </c>
      <c r="C758" s="46" t="str">
        <f>IFERROR(__xludf.DUMMYFUNCTION("""COMPUTED_VALUE"""),"Europe")</f>
        <v>Europe</v>
      </c>
      <c r="D758" s="90">
        <f>IFERROR(__xludf.DUMMYFUNCTION("""COMPUTED_VALUE"""),41306.0)</f>
        <v>41306</v>
      </c>
      <c r="E758" s="46">
        <f>IFERROR(__xludf.DUMMYFUNCTION("""COMPUTED_VALUE"""),2013.0)</f>
        <v>2013</v>
      </c>
      <c r="F758" s="46">
        <f>IFERROR(__xludf.DUMMYFUNCTION("""COMPUTED_VALUE"""),1.0)</f>
        <v>1</v>
      </c>
      <c r="G758" s="46">
        <f>IFERROR(__xludf.DUMMYFUNCTION("""COMPUTED_VALUE"""),7932.0)</f>
        <v>7932</v>
      </c>
      <c r="H758" s="46">
        <f>IFERROR(__xludf.DUMMYFUNCTION("""COMPUTED_VALUE"""),3346431.48)</f>
        <v>3346431.48</v>
      </c>
      <c r="I758" s="46">
        <f>IFERROR(__xludf.DUMMYFUNCTION("""COMPUTED_VALUE"""),2892721.08)</f>
        <v>2892721.08</v>
      </c>
      <c r="J758" s="46">
        <f>IFERROR(__xludf.DUMMYFUNCTION("""COMPUTED_VALUE"""),453710.3999999999)</f>
        <v>453710.4</v>
      </c>
      <c r="K758" s="46" t="str">
        <f t="array" ref="K758">TEXT(D758, "mmmm")</f>
        <v>February</v>
      </c>
      <c r="M758" s="46" t="str">
        <f>IFERROR(__xludf.DUMMYFUNCTION("""COMPUTED_VALUE"""),"Hungary")</f>
        <v>Hungary</v>
      </c>
      <c r="N758" s="94">
        <f>IFERROR(__xludf.DUMMYFUNCTION("""COMPUTED_VALUE"""),42005.0)</f>
        <v>42005</v>
      </c>
      <c r="O758" s="46">
        <f>IFERROR(__xludf.DUMMYFUNCTION("""COMPUTED_VALUE"""),1.0)</f>
        <v>1</v>
      </c>
      <c r="P758" s="46">
        <f>IFERROR(__xludf.DUMMYFUNCTION("""COMPUTED_VALUE"""),2359.0)</f>
        <v>2359</v>
      </c>
      <c r="Q758" s="46">
        <f>IFERROR(__xludf.DUMMYFUNCTION("""COMPUTED_VALUE"""),257791.52)</f>
        <v>257791.52</v>
      </c>
      <c r="R758" s="46">
        <f>IFERROR(__xludf.DUMMYFUNCTION("""COMPUTED_VALUE"""),84546.56000000001)</f>
        <v>84546.56</v>
      </c>
      <c r="S758" s="46">
        <f>IFERROR(__xludf.DUMMYFUNCTION("""COMPUTED_VALUE"""),173244.95999999996)</f>
        <v>173244.96</v>
      </c>
    </row>
    <row r="759">
      <c r="A759" s="46" t="str">
        <f>IFERROR(__xludf.DUMMYFUNCTION("""COMPUTED_VALUE"""),"Office Supplies")</f>
        <v>Office Supplies</v>
      </c>
      <c r="B759" s="46" t="str">
        <f>IFERROR(__xludf.DUMMYFUNCTION("""COMPUTED_VALUE"""),"Portugal")</f>
        <v>Portugal</v>
      </c>
      <c r="C759" s="46" t="str">
        <f>IFERROR(__xludf.DUMMYFUNCTION("""COMPUTED_VALUE"""),"Europe")</f>
        <v>Europe</v>
      </c>
      <c r="D759" s="90">
        <f>IFERROR(__xludf.DUMMYFUNCTION("""COMPUTED_VALUE"""),41306.0)</f>
        <v>41306</v>
      </c>
      <c r="E759" s="46">
        <f>IFERROR(__xludf.DUMMYFUNCTION("""COMPUTED_VALUE"""),2013.0)</f>
        <v>2013</v>
      </c>
      <c r="F759" s="46">
        <f>IFERROR(__xludf.DUMMYFUNCTION("""COMPUTED_VALUE"""),1.0)</f>
        <v>1</v>
      </c>
      <c r="G759" s="46">
        <f>IFERROR(__xludf.DUMMYFUNCTION("""COMPUTED_VALUE"""),2130.0)</f>
        <v>2130</v>
      </c>
      <c r="H759" s="46">
        <f>IFERROR(__xludf.DUMMYFUNCTION("""COMPUTED_VALUE"""),1387077.3)</f>
        <v>1387077.3</v>
      </c>
      <c r="I759" s="46">
        <f>IFERROR(__xludf.DUMMYFUNCTION("""COMPUTED_VALUE"""),1118164.8)</f>
        <v>1118164.8</v>
      </c>
      <c r="J759" s="46">
        <f>IFERROR(__xludf.DUMMYFUNCTION("""COMPUTED_VALUE"""),268912.5)</f>
        <v>268912.5</v>
      </c>
      <c r="K759" s="46" t="str">
        <f t="array" ref="K759">TEXT(D759, "mmmm")</f>
        <v>February</v>
      </c>
      <c r="M759" s="46" t="str">
        <f>IFERROR(__xludf.DUMMYFUNCTION("""COMPUTED_VALUE"""),"Liechtenstein")</f>
        <v>Liechtenstein</v>
      </c>
      <c r="N759" s="94">
        <f>IFERROR(__xludf.DUMMYFUNCTION("""COMPUTED_VALUE"""),42005.0)</f>
        <v>42005</v>
      </c>
      <c r="O759" s="46">
        <f>IFERROR(__xludf.DUMMYFUNCTION("""COMPUTED_VALUE"""),1.0)</f>
        <v>1</v>
      </c>
      <c r="P759" s="46">
        <f>IFERROR(__xludf.DUMMYFUNCTION("""COMPUTED_VALUE"""),9052.0)</f>
        <v>9052</v>
      </c>
      <c r="Q759" s="46">
        <f>IFERROR(__xludf.DUMMYFUNCTION("""COMPUTED_VALUE"""),2310794.56)</f>
        <v>2310794.56</v>
      </c>
      <c r="R759" s="46">
        <f>IFERROR(__xludf.DUMMYFUNCTION("""COMPUTED_VALUE"""),1443069.8399999999)</f>
        <v>1443069.84</v>
      </c>
      <c r="S759" s="46">
        <f>IFERROR(__xludf.DUMMYFUNCTION("""COMPUTED_VALUE"""),867724.7200000002)</f>
        <v>867724.72</v>
      </c>
    </row>
    <row r="760">
      <c r="A760" s="46" t="str">
        <f>IFERROR(__xludf.DUMMYFUNCTION("""COMPUTED_VALUE"""),"Personal Care")</f>
        <v>Personal Care</v>
      </c>
      <c r="B760" s="46" t="str">
        <f>IFERROR(__xludf.DUMMYFUNCTION("""COMPUTED_VALUE"""),"Ireland")</f>
        <v>Ireland</v>
      </c>
      <c r="C760" s="46" t="str">
        <f>IFERROR(__xludf.DUMMYFUNCTION("""COMPUTED_VALUE"""),"Europe")</f>
        <v>Europe</v>
      </c>
      <c r="D760" s="90">
        <f>IFERROR(__xludf.DUMMYFUNCTION("""COMPUTED_VALUE"""),41306.0)</f>
        <v>41306</v>
      </c>
      <c r="E760" s="46">
        <f>IFERROR(__xludf.DUMMYFUNCTION("""COMPUTED_VALUE"""),2013.0)</f>
        <v>2013</v>
      </c>
      <c r="F760" s="46">
        <f>IFERROR(__xludf.DUMMYFUNCTION("""COMPUTED_VALUE"""),1.0)</f>
        <v>1</v>
      </c>
      <c r="G760" s="46">
        <f>IFERROR(__xludf.DUMMYFUNCTION("""COMPUTED_VALUE"""),3112.0)</f>
        <v>3112</v>
      </c>
      <c r="H760" s="46">
        <f>IFERROR(__xludf.DUMMYFUNCTION("""COMPUTED_VALUE"""),254343.76)</f>
        <v>254343.76</v>
      </c>
      <c r="I760" s="46">
        <f>IFERROR(__xludf.DUMMYFUNCTION("""COMPUTED_VALUE"""),176357.04)</f>
        <v>176357.04</v>
      </c>
      <c r="J760" s="46">
        <f>IFERROR(__xludf.DUMMYFUNCTION("""COMPUTED_VALUE"""),77986.72)</f>
        <v>77986.72</v>
      </c>
      <c r="K760" s="46" t="str">
        <f t="array" ref="K760">TEXT(D760, "mmmm")</f>
        <v>February</v>
      </c>
      <c r="M760" s="46" t="str">
        <f>IFERROR(__xludf.DUMMYFUNCTION("""COMPUTED_VALUE"""),"Luxembourg")</f>
        <v>Luxembourg</v>
      </c>
      <c r="N760" s="94">
        <f>IFERROR(__xludf.DUMMYFUNCTION("""COMPUTED_VALUE"""),42005.0)</f>
        <v>42005</v>
      </c>
      <c r="O760" s="46">
        <f>IFERROR(__xludf.DUMMYFUNCTION("""COMPUTED_VALUE"""),1.0)</f>
        <v>1</v>
      </c>
      <c r="P760" s="46">
        <f>IFERROR(__xludf.DUMMYFUNCTION("""COMPUTED_VALUE"""),1789.0)</f>
        <v>1789</v>
      </c>
      <c r="Q760" s="46">
        <f>IFERROR(__xludf.DUMMYFUNCTION("""COMPUTED_VALUE"""),782150.7999999999)</f>
        <v>782150.8</v>
      </c>
      <c r="R760" s="46">
        <f>IFERROR(__xludf.DUMMYFUNCTION("""COMPUTED_VALUE"""),471097.37)</f>
        <v>471097.37</v>
      </c>
      <c r="S760" s="46">
        <f>IFERROR(__xludf.DUMMYFUNCTION("""COMPUTED_VALUE"""),311053.42999999993)</f>
        <v>311053.43</v>
      </c>
    </row>
    <row r="761">
      <c r="A761" s="46" t="str">
        <f>IFERROR(__xludf.DUMMYFUNCTION("""COMPUTED_VALUE"""),"Snacks")</f>
        <v>Snacks</v>
      </c>
      <c r="B761" s="46" t="str">
        <f>IFERROR(__xludf.DUMMYFUNCTION("""COMPUTED_VALUE"""),"Latvia")</f>
        <v>Latvia</v>
      </c>
      <c r="C761" s="46" t="str">
        <f>IFERROR(__xludf.DUMMYFUNCTION("""COMPUTED_VALUE"""),"Europe")</f>
        <v>Europe</v>
      </c>
      <c r="D761" s="90">
        <f>IFERROR(__xludf.DUMMYFUNCTION("""COMPUTED_VALUE"""),41306.0)</f>
        <v>41306</v>
      </c>
      <c r="E761" s="46">
        <f>IFERROR(__xludf.DUMMYFUNCTION("""COMPUTED_VALUE"""),2013.0)</f>
        <v>2013</v>
      </c>
      <c r="F761" s="46">
        <f>IFERROR(__xludf.DUMMYFUNCTION("""COMPUTED_VALUE"""),1.0)</f>
        <v>1</v>
      </c>
      <c r="G761" s="46">
        <f>IFERROR(__xludf.DUMMYFUNCTION("""COMPUTED_VALUE"""),4836.0)</f>
        <v>4836</v>
      </c>
      <c r="H761" s="46">
        <f>IFERROR(__xludf.DUMMYFUNCTION("""COMPUTED_VALUE"""),737876.88)</f>
        <v>737876.88</v>
      </c>
      <c r="I761" s="46">
        <f>IFERROR(__xludf.DUMMYFUNCTION("""COMPUTED_VALUE"""),471219.83999999997)</f>
        <v>471219.84</v>
      </c>
      <c r="J761" s="46">
        <f>IFERROR(__xludf.DUMMYFUNCTION("""COMPUTED_VALUE"""),266657.04000000004)</f>
        <v>266657.04</v>
      </c>
      <c r="K761" s="46" t="str">
        <f t="array" ref="K761">TEXT(D761, "mmmm")</f>
        <v>February</v>
      </c>
      <c r="M761" s="46" t="str">
        <f>IFERROR(__xludf.DUMMYFUNCTION("""COMPUTED_VALUE"""),"Malta")</f>
        <v>Malta</v>
      </c>
      <c r="N761" s="94">
        <f>IFERROR(__xludf.DUMMYFUNCTION("""COMPUTED_VALUE"""),42005.0)</f>
        <v>42005</v>
      </c>
      <c r="O761" s="46">
        <f>IFERROR(__xludf.DUMMYFUNCTION("""COMPUTED_VALUE"""),1.0)</f>
        <v>1</v>
      </c>
      <c r="P761" s="46">
        <f>IFERROR(__xludf.DUMMYFUNCTION("""COMPUTED_VALUE"""),8857.0)</f>
        <v>8857</v>
      </c>
      <c r="Q761" s="46">
        <f>IFERROR(__xludf.DUMMYFUNCTION("""COMPUTED_VALUE"""),3872280.4)</f>
        <v>3872280.4</v>
      </c>
      <c r="R761" s="46">
        <f>IFERROR(__xludf.DUMMYFUNCTION("""COMPUTED_VALUE"""),2332313.81)</f>
        <v>2332313.81</v>
      </c>
      <c r="S761" s="46">
        <f>IFERROR(__xludf.DUMMYFUNCTION("""COMPUTED_VALUE"""),1539966.5899999999)</f>
        <v>1539966.59</v>
      </c>
    </row>
    <row r="762">
      <c r="A762" s="46" t="str">
        <f>IFERROR(__xludf.DUMMYFUNCTION("""COMPUTED_VALUE"""),"Snacks")</f>
        <v>Snacks</v>
      </c>
      <c r="B762" s="46" t="str">
        <f>IFERROR(__xludf.DUMMYFUNCTION("""COMPUTED_VALUE"""),"Luxembourg")</f>
        <v>Luxembourg</v>
      </c>
      <c r="C762" s="46" t="str">
        <f>IFERROR(__xludf.DUMMYFUNCTION("""COMPUTED_VALUE"""),"Europe")</f>
        <v>Europe</v>
      </c>
      <c r="D762" s="90">
        <f>IFERROR(__xludf.DUMMYFUNCTION("""COMPUTED_VALUE"""),41306.0)</f>
        <v>41306</v>
      </c>
      <c r="E762" s="46">
        <f>IFERROR(__xludf.DUMMYFUNCTION("""COMPUTED_VALUE"""),2013.0)</f>
        <v>2013</v>
      </c>
      <c r="F762" s="46">
        <f>IFERROR(__xludf.DUMMYFUNCTION("""COMPUTED_VALUE"""),1.0)</f>
        <v>1</v>
      </c>
      <c r="G762" s="46">
        <f>IFERROR(__xludf.DUMMYFUNCTION("""COMPUTED_VALUE"""),5655.0)</f>
        <v>5655</v>
      </c>
      <c r="H762" s="46">
        <f>IFERROR(__xludf.DUMMYFUNCTION("""COMPUTED_VALUE"""),862839.9)</f>
        <v>862839.9</v>
      </c>
      <c r="I762" s="46">
        <f>IFERROR(__xludf.DUMMYFUNCTION("""COMPUTED_VALUE"""),551023.2)</f>
        <v>551023.2</v>
      </c>
      <c r="J762" s="46">
        <f>IFERROR(__xludf.DUMMYFUNCTION("""COMPUTED_VALUE"""),311816.70000000007)</f>
        <v>311816.7</v>
      </c>
      <c r="K762" s="46" t="str">
        <f t="array" ref="K762">TEXT(D762, "mmmm")</f>
        <v>February</v>
      </c>
      <c r="M762" s="46" t="str">
        <f>IFERROR(__xludf.DUMMYFUNCTION("""COMPUTED_VALUE"""),"Romania")</f>
        <v>Romania</v>
      </c>
      <c r="N762" s="94">
        <f>IFERROR(__xludf.DUMMYFUNCTION("""COMPUTED_VALUE"""),42005.0)</f>
        <v>42005</v>
      </c>
      <c r="O762" s="46">
        <f>IFERROR(__xludf.DUMMYFUNCTION("""COMPUTED_VALUE"""),1.0)</f>
        <v>1</v>
      </c>
      <c r="P762" s="46">
        <f>IFERROR(__xludf.DUMMYFUNCTION("""COMPUTED_VALUE"""),519.0)</f>
        <v>519</v>
      </c>
      <c r="Q762" s="46">
        <f>IFERROR(__xludf.DUMMYFUNCTION("""COMPUTED_VALUE"""),42417.87)</f>
        <v>42417.87</v>
      </c>
      <c r="R762" s="46">
        <f>IFERROR(__xludf.DUMMYFUNCTION("""COMPUTED_VALUE"""),29411.73)</f>
        <v>29411.73</v>
      </c>
      <c r="S762" s="46">
        <f>IFERROR(__xludf.DUMMYFUNCTION("""COMPUTED_VALUE"""),13006.140000000003)</f>
        <v>13006.14</v>
      </c>
    </row>
    <row r="763">
      <c r="A763" s="46" t="str">
        <f>IFERROR(__xludf.DUMMYFUNCTION("""COMPUTED_VALUE"""),"Snacks")</f>
        <v>Snacks</v>
      </c>
      <c r="B763" s="46" t="str">
        <f>IFERROR(__xludf.DUMMYFUNCTION("""COMPUTED_VALUE"""),"Undefined")</f>
        <v>Undefined</v>
      </c>
      <c r="C763" s="46" t="str">
        <f>IFERROR(__xludf.DUMMYFUNCTION("""COMPUTED_VALUE"""),"Undefined")</f>
        <v>Undefined</v>
      </c>
      <c r="D763" s="90">
        <f>IFERROR(__xludf.DUMMYFUNCTION("""COMPUTED_VALUE"""),41306.0)</f>
        <v>41306</v>
      </c>
      <c r="E763" s="46">
        <f>IFERROR(__xludf.DUMMYFUNCTION("""COMPUTED_VALUE"""),2013.0)</f>
        <v>2013</v>
      </c>
      <c r="F763" s="46">
        <f>IFERROR(__xludf.DUMMYFUNCTION("""COMPUTED_VALUE"""),1.0)</f>
        <v>1</v>
      </c>
      <c r="G763" s="46">
        <f>IFERROR(__xludf.DUMMYFUNCTION("""COMPUTED_VALUE"""),6380.0)</f>
        <v>6380</v>
      </c>
      <c r="H763" s="46">
        <f>IFERROR(__xludf.DUMMYFUNCTION("""COMPUTED_VALUE"""),973460.4)</f>
        <v>973460.4</v>
      </c>
      <c r="I763" s="46">
        <f>IFERROR(__xludf.DUMMYFUNCTION("""COMPUTED_VALUE"""),621667.2)</f>
        <v>621667.2</v>
      </c>
      <c r="J763" s="46">
        <f>IFERROR(__xludf.DUMMYFUNCTION("""COMPUTED_VALUE"""),351793.20000000007)</f>
        <v>351793.2</v>
      </c>
      <c r="K763" s="46" t="str">
        <f t="array" ref="K763">TEXT(D763, "mmmm")</f>
        <v>February</v>
      </c>
      <c r="M763" s="46" t="str">
        <f>IFERROR(__xludf.DUMMYFUNCTION("""COMPUTED_VALUE"""),"Russia")</f>
        <v>Russia</v>
      </c>
      <c r="N763" s="94">
        <f>IFERROR(__xludf.DUMMYFUNCTION("""COMPUTED_VALUE"""),42005.0)</f>
        <v>42005</v>
      </c>
      <c r="O763" s="46">
        <f>IFERROR(__xludf.DUMMYFUNCTION("""COMPUTED_VALUE"""),1.0)</f>
        <v>1</v>
      </c>
      <c r="P763" s="46">
        <f>IFERROR(__xludf.DUMMYFUNCTION("""COMPUTED_VALUE"""),567.0)</f>
        <v>567</v>
      </c>
      <c r="Q763" s="46">
        <f>IFERROR(__xludf.DUMMYFUNCTION("""COMPUTED_VALUE"""),369236.07)</f>
        <v>369236.07</v>
      </c>
      <c r="R763" s="46">
        <f>IFERROR(__xludf.DUMMYFUNCTION("""COMPUTED_VALUE"""),297652.32)</f>
        <v>297652.32</v>
      </c>
      <c r="S763" s="46">
        <f>IFERROR(__xludf.DUMMYFUNCTION("""COMPUTED_VALUE"""),71583.75)</f>
        <v>71583.75</v>
      </c>
    </row>
    <row r="764">
      <c r="A764" s="46" t="str">
        <f>IFERROR(__xludf.DUMMYFUNCTION("""COMPUTED_VALUE"""),"Vegetables")</f>
        <v>Vegetables</v>
      </c>
      <c r="B764" s="46" t="str">
        <f>IFERROR(__xludf.DUMMYFUNCTION("""COMPUTED_VALUE"""),"Finland")</f>
        <v>Finland</v>
      </c>
      <c r="C764" s="46" t="str">
        <f>IFERROR(__xludf.DUMMYFUNCTION("""COMPUTED_VALUE"""),"Europe")</f>
        <v>Europe</v>
      </c>
      <c r="D764" s="90">
        <f>IFERROR(__xludf.DUMMYFUNCTION("""COMPUTED_VALUE"""),41306.0)</f>
        <v>41306</v>
      </c>
      <c r="E764" s="46">
        <f>IFERROR(__xludf.DUMMYFUNCTION("""COMPUTED_VALUE"""),2013.0)</f>
        <v>2013</v>
      </c>
      <c r="F764" s="46">
        <f>IFERROR(__xludf.DUMMYFUNCTION("""COMPUTED_VALUE"""),1.0)</f>
        <v>1</v>
      </c>
      <c r="G764" s="46">
        <f>IFERROR(__xludf.DUMMYFUNCTION("""COMPUTED_VALUE"""),4453.0)</f>
        <v>4453</v>
      </c>
      <c r="H764" s="46">
        <f>IFERROR(__xludf.DUMMYFUNCTION("""COMPUTED_VALUE"""),686029.18)</f>
        <v>686029.18</v>
      </c>
      <c r="I764" s="46">
        <f>IFERROR(__xludf.DUMMYFUNCTION("""COMPUTED_VALUE"""),404911.29000000004)</f>
        <v>404911.29</v>
      </c>
      <c r="J764" s="46">
        <f>IFERROR(__xludf.DUMMYFUNCTION("""COMPUTED_VALUE"""),281117.89)</f>
        <v>281117.89</v>
      </c>
      <c r="K764" s="46" t="str">
        <f t="array" ref="K764">TEXT(D764, "mmmm")</f>
        <v>February</v>
      </c>
      <c r="M764" s="46" t="str">
        <f>IFERROR(__xludf.DUMMYFUNCTION("""COMPUTED_VALUE"""),"Slovakia")</f>
        <v>Slovakia</v>
      </c>
      <c r="N764" s="94">
        <f>IFERROR(__xludf.DUMMYFUNCTION("""COMPUTED_VALUE"""),42005.0)</f>
        <v>42005</v>
      </c>
      <c r="O764" s="46">
        <f>IFERROR(__xludf.DUMMYFUNCTION("""COMPUTED_VALUE"""),1.0)</f>
        <v>1</v>
      </c>
      <c r="P764" s="46">
        <f>IFERROR(__xludf.DUMMYFUNCTION("""COMPUTED_VALUE"""),2303.0)</f>
        <v>2303</v>
      </c>
      <c r="Q764" s="46">
        <f>IFERROR(__xludf.DUMMYFUNCTION("""COMPUTED_VALUE"""),473727.1)</f>
        <v>473727.1</v>
      </c>
      <c r="R764" s="46">
        <f>IFERROR(__xludf.DUMMYFUNCTION("""COMPUTED_VALUE"""),269704.33)</f>
        <v>269704.33</v>
      </c>
      <c r="S764" s="46">
        <f>IFERROR(__xludf.DUMMYFUNCTION("""COMPUTED_VALUE"""),204022.76999999996)</f>
        <v>204022.77</v>
      </c>
    </row>
    <row r="765">
      <c r="A765" s="46" t="str">
        <f>IFERROR(__xludf.DUMMYFUNCTION("""COMPUTED_VALUE"""),"Vegetables")</f>
        <v>Vegetables</v>
      </c>
      <c r="B765" s="46" t="str">
        <f>IFERROR(__xludf.DUMMYFUNCTION("""COMPUTED_VALUE"""),"Serbia")</f>
        <v>Serbia</v>
      </c>
      <c r="C765" s="46" t="str">
        <f>IFERROR(__xludf.DUMMYFUNCTION("""COMPUTED_VALUE"""),"Europe")</f>
        <v>Europe</v>
      </c>
      <c r="D765" s="90">
        <f>IFERROR(__xludf.DUMMYFUNCTION("""COMPUTED_VALUE"""),41306.0)</f>
        <v>41306</v>
      </c>
      <c r="E765" s="46">
        <f>IFERROR(__xludf.DUMMYFUNCTION("""COMPUTED_VALUE"""),2013.0)</f>
        <v>2013</v>
      </c>
      <c r="F765" s="46">
        <f>IFERROR(__xludf.DUMMYFUNCTION("""COMPUTED_VALUE"""),1.0)</f>
        <v>1</v>
      </c>
      <c r="G765" s="46">
        <f>IFERROR(__xludf.DUMMYFUNCTION("""COMPUTED_VALUE"""),2973.0)</f>
        <v>2973</v>
      </c>
      <c r="H765" s="46">
        <f>IFERROR(__xludf.DUMMYFUNCTION("""COMPUTED_VALUE"""),458020.38)</f>
        <v>458020.38</v>
      </c>
      <c r="I765" s="46">
        <f>IFERROR(__xludf.DUMMYFUNCTION("""COMPUTED_VALUE"""),270334.89)</f>
        <v>270334.89</v>
      </c>
      <c r="J765" s="46">
        <f>IFERROR(__xludf.DUMMYFUNCTION("""COMPUTED_VALUE"""),187685.49)</f>
        <v>187685.49</v>
      </c>
      <c r="K765" s="46" t="str">
        <f t="array" ref="K765">TEXT(D765, "mmmm")</f>
        <v>February</v>
      </c>
      <c r="M765" s="46" t="str">
        <f>IFERROR(__xludf.DUMMYFUNCTION("""COMPUTED_VALUE"""),"Spain")</f>
        <v>Spain</v>
      </c>
      <c r="N765" s="94">
        <f>IFERROR(__xludf.DUMMYFUNCTION("""COMPUTED_VALUE"""),42005.0)</f>
        <v>42005</v>
      </c>
      <c r="O765" s="46">
        <f>IFERROR(__xludf.DUMMYFUNCTION("""COMPUTED_VALUE"""),1.0)</f>
        <v>1</v>
      </c>
      <c r="P765" s="46">
        <f>IFERROR(__xludf.DUMMYFUNCTION("""COMPUTED_VALUE"""),5222.0)</f>
        <v>5222</v>
      </c>
      <c r="Q765" s="46">
        <f>IFERROR(__xludf.DUMMYFUNCTION("""COMPUTED_VALUE"""),1074165.4)</f>
        <v>1074165.4</v>
      </c>
      <c r="R765" s="46">
        <f>IFERROR(__xludf.DUMMYFUNCTION("""COMPUTED_VALUE"""),611548.42)</f>
        <v>611548.42</v>
      </c>
      <c r="S765" s="46">
        <f>IFERROR(__xludf.DUMMYFUNCTION("""COMPUTED_VALUE"""),462616.97999999986)</f>
        <v>462616.98</v>
      </c>
    </row>
    <row r="766">
      <c r="A766" s="46" t="str">
        <f>IFERROR(__xludf.DUMMYFUNCTION("""COMPUTED_VALUE"""),"Vegetables")</f>
        <v>Vegetables</v>
      </c>
      <c r="B766" s="46" t="str">
        <f>IFERROR(__xludf.DUMMYFUNCTION("""COMPUTED_VALUE"""),"Slovenia")</f>
        <v>Slovenia</v>
      </c>
      <c r="C766" s="46" t="str">
        <f>IFERROR(__xludf.DUMMYFUNCTION("""COMPUTED_VALUE"""),"Europe")</f>
        <v>Europe</v>
      </c>
      <c r="D766" s="90">
        <f>IFERROR(__xludf.DUMMYFUNCTION("""COMPUTED_VALUE"""),41306.0)</f>
        <v>41306</v>
      </c>
      <c r="E766" s="46">
        <f>IFERROR(__xludf.DUMMYFUNCTION("""COMPUTED_VALUE"""),2013.0)</f>
        <v>2013</v>
      </c>
      <c r="F766" s="46">
        <f>IFERROR(__xludf.DUMMYFUNCTION("""COMPUTED_VALUE"""),1.0)</f>
        <v>1</v>
      </c>
      <c r="G766" s="46">
        <f>IFERROR(__xludf.DUMMYFUNCTION("""COMPUTED_VALUE"""),4637.0)</f>
        <v>4637</v>
      </c>
      <c r="H766" s="46">
        <f>IFERROR(__xludf.DUMMYFUNCTION("""COMPUTED_VALUE"""),714376.22)</f>
        <v>714376.22</v>
      </c>
      <c r="I766" s="46">
        <f>IFERROR(__xludf.DUMMYFUNCTION("""COMPUTED_VALUE"""),421642.41000000003)</f>
        <v>421642.41</v>
      </c>
      <c r="J766" s="46">
        <f>IFERROR(__xludf.DUMMYFUNCTION("""COMPUTED_VALUE"""),292733.80999999994)</f>
        <v>292733.81</v>
      </c>
      <c r="K766" s="46" t="str">
        <f t="array" ref="K766">TEXT(D766, "mmmm")</f>
        <v>February</v>
      </c>
      <c r="M766" s="46" t="str">
        <f>IFERROR(__xludf.DUMMYFUNCTION("""COMPUTED_VALUE"""),"Sweden")</f>
        <v>Sweden</v>
      </c>
      <c r="N766" s="94">
        <f>IFERROR(__xludf.DUMMYFUNCTION("""COMPUTED_VALUE"""),42005.0)</f>
        <v>42005</v>
      </c>
      <c r="O766" s="46">
        <f>IFERROR(__xludf.DUMMYFUNCTION("""COMPUTED_VALUE"""),2.0)</f>
        <v>2</v>
      </c>
      <c r="P766" s="46">
        <f>IFERROR(__xludf.DUMMYFUNCTION("""COMPUTED_VALUE"""),6788.0)</f>
        <v>6788</v>
      </c>
      <c r="Q766" s="46">
        <f>IFERROR(__xludf.DUMMYFUNCTION("""COMPUTED_VALUE"""),674745.96)</f>
        <v>674745.96</v>
      </c>
      <c r="R766" s="46">
        <f>IFERROR(__xludf.DUMMYFUNCTION("""COMPUTED_VALUE"""),577188.1)</f>
        <v>577188.1</v>
      </c>
      <c r="S766" s="46">
        <f>IFERROR(__xludf.DUMMYFUNCTION("""COMPUTED_VALUE"""),97557.86000000003)</f>
        <v>97557.86</v>
      </c>
    </row>
    <row r="767">
      <c r="A767" s="46" t="str">
        <f>IFERROR(__xludf.DUMMYFUNCTION("""COMPUTED_VALUE"""),"Cereal")</f>
        <v>Cereal</v>
      </c>
      <c r="B767" s="46" t="str">
        <f>IFERROR(__xludf.DUMMYFUNCTION("""COMPUTED_VALUE"""),"Greece")</f>
        <v>Greece</v>
      </c>
      <c r="C767" s="46" t="str">
        <f>IFERROR(__xludf.DUMMYFUNCTION("""COMPUTED_VALUE"""),"Europe")</f>
        <v>Europe</v>
      </c>
      <c r="D767" s="90">
        <f>IFERROR(__xludf.DUMMYFUNCTION("""COMPUTED_VALUE"""),41275.0)</f>
        <v>41275</v>
      </c>
      <c r="E767" s="46">
        <f>IFERROR(__xludf.DUMMYFUNCTION("""COMPUTED_VALUE"""),2013.0)</f>
        <v>2013</v>
      </c>
      <c r="F767" s="46">
        <f>IFERROR(__xludf.DUMMYFUNCTION("""COMPUTED_VALUE"""),1.0)</f>
        <v>1</v>
      </c>
      <c r="G767" s="46">
        <f>IFERROR(__xludf.DUMMYFUNCTION("""COMPUTED_VALUE"""),2569.0)</f>
        <v>2569</v>
      </c>
      <c r="H767" s="46">
        <f>IFERROR(__xludf.DUMMYFUNCTION("""COMPUTED_VALUE"""),528443.2999999999)</f>
        <v>528443.3</v>
      </c>
      <c r="I767" s="46">
        <f>IFERROR(__xludf.DUMMYFUNCTION("""COMPUTED_VALUE"""),300855.59)</f>
        <v>300855.59</v>
      </c>
      <c r="J767" s="46">
        <f>IFERROR(__xludf.DUMMYFUNCTION("""COMPUTED_VALUE"""),227587.7099999999)</f>
        <v>227587.71</v>
      </c>
      <c r="K767" s="46" t="str">
        <f t="array" ref="K767">TEXT(D767, "mmmm")</f>
        <v>January</v>
      </c>
      <c r="M767" s="46" t="str">
        <f>IFERROR(__xludf.DUMMYFUNCTION("""COMPUTED_VALUE"""),"Undefined")</f>
        <v>Undefined</v>
      </c>
      <c r="N767" s="94">
        <f>IFERROR(__xludf.DUMMYFUNCTION("""COMPUTED_VALUE"""),42005.0)</f>
        <v>42005</v>
      </c>
      <c r="O767" s="46">
        <f>IFERROR(__xludf.DUMMYFUNCTION("""COMPUTED_VALUE"""),1.0)</f>
        <v>1</v>
      </c>
      <c r="P767" s="46">
        <f>IFERROR(__xludf.DUMMYFUNCTION("""COMPUTED_VALUE"""),6813.0)</f>
        <v>6813</v>
      </c>
      <c r="Q767" s="46">
        <f>IFERROR(__xludf.DUMMYFUNCTION("""COMPUTED_VALUE"""),63565.29)</f>
        <v>63565.29</v>
      </c>
      <c r="R767" s="46">
        <f>IFERROR(__xludf.DUMMYFUNCTION("""COMPUTED_VALUE"""),47145.96)</f>
        <v>47145.96</v>
      </c>
      <c r="S767" s="46">
        <f>IFERROR(__xludf.DUMMYFUNCTION("""COMPUTED_VALUE"""),16419.33)</f>
        <v>16419.33</v>
      </c>
    </row>
    <row r="768">
      <c r="A768" s="46" t="str">
        <f>IFERROR(__xludf.DUMMYFUNCTION("""COMPUTED_VALUE"""),"Cereal")</f>
        <v>Cereal</v>
      </c>
      <c r="B768" s="46" t="str">
        <f>IFERROR(__xludf.DUMMYFUNCTION("""COMPUTED_VALUE"""),"Italy")</f>
        <v>Italy</v>
      </c>
      <c r="C768" s="46" t="str">
        <f>IFERROR(__xludf.DUMMYFUNCTION("""COMPUTED_VALUE"""),"Europe")</f>
        <v>Europe</v>
      </c>
      <c r="D768" s="90">
        <f>IFERROR(__xludf.DUMMYFUNCTION("""COMPUTED_VALUE"""),41275.0)</f>
        <v>41275</v>
      </c>
      <c r="E768" s="46">
        <f>IFERROR(__xludf.DUMMYFUNCTION("""COMPUTED_VALUE"""),2013.0)</f>
        <v>2013</v>
      </c>
      <c r="F768" s="46">
        <f>IFERROR(__xludf.DUMMYFUNCTION("""COMPUTED_VALUE"""),1.0)</f>
        <v>1</v>
      </c>
      <c r="G768" s="46">
        <f>IFERROR(__xludf.DUMMYFUNCTION("""COMPUTED_VALUE"""),4920.0)</f>
        <v>4920</v>
      </c>
      <c r="H768" s="46">
        <f>IFERROR(__xludf.DUMMYFUNCTION("""COMPUTED_VALUE"""),1012044.0)</f>
        <v>1012044</v>
      </c>
      <c r="I768" s="46">
        <f>IFERROR(__xludf.DUMMYFUNCTION("""COMPUTED_VALUE"""),576181.2)</f>
        <v>576181.2</v>
      </c>
      <c r="J768" s="46">
        <f>IFERROR(__xludf.DUMMYFUNCTION("""COMPUTED_VALUE"""),435862.80000000005)</f>
        <v>435862.8</v>
      </c>
      <c r="K768" s="46" t="str">
        <f t="array" ref="K768">TEXT(D768, "mmmm")</f>
        <v>January</v>
      </c>
      <c r="M768" s="46" t="str">
        <f>IFERROR(__xludf.DUMMYFUNCTION("""COMPUTED_VALUE"""),"United Kingdom")</f>
        <v>United Kingdom</v>
      </c>
      <c r="N768" s="94">
        <f>IFERROR(__xludf.DUMMYFUNCTION("""COMPUTED_VALUE"""),42005.0)</f>
        <v>42005</v>
      </c>
      <c r="O768" s="46">
        <f>IFERROR(__xludf.DUMMYFUNCTION("""COMPUTED_VALUE"""),1.0)</f>
        <v>1</v>
      </c>
      <c r="P768" s="46">
        <f>IFERROR(__xludf.DUMMYFUNCTION("""COMPUTED_VALUE"""),4509.0)</f>
        <v>4509</v>
      </c>
      <c r="Q768" s="46">
        <f>IFERROR(__xludf.DUMMYFUNCTION("""COMPUTED_VALUE"""),368520.57)</f>
        <v>368520.57</v>
      </c>
      <c r="R768" s="46">
        <f>IFERROR(__xludf.DUMMYFUNCTION("""COMPUTED_VALUE"""),255525.03)</f>
        <v>255525.03</v>
      </c>
      <c r="S768" s="46">
        <f>IFERROR(__xludf.DUMMYFUNCTION("""COMPUTED_VALUE"""),112995.54000000001)</f>
        <v>112995.54</v>
      </c>
    </row>
    <row r="769">
      <c r="A769" s="46" t="str">
        <f>IFERROR(__xludf.DUMMYFUNCTION("""COMPUTED_VALUE"""),"Clothes")</f>
        <v>Clothes</v>
      </c>
      <c r="B769" s="46" t="str">
        <f>IFERROR(__xludf.DUMMYFUNCTION("""COMPUTED_VALUE"""),"Cyprus")</f>
        <v>Cyprus</v>
      </c>
      <c r="C769" s="46" t="str">
        <f>IFERROR(__xludf.DUMMYFUNCTION("""COMPUTED_VALUE"""),"Asia")</f>
        <v>Asia</v>
      </c>
      <c r="D769" s="90">
        <f>IFERROR(__xludf.DUMMYFUNCTION("""COMPUTED_VALUE"""),41275.0)</f>
        <v>41275</v>
      </c>
      <c r="E769" s="46">
        <f>IFERROR(__xludf.DUMMYFUNCTION("""COMPUTED_VALUE"""),2013.0)</f>
        <v>2013</v>
      </c>
      <c r="F769" s="46">
        <f>IFERROR(__xludf.DUMMYFUNCTION("""COMPUTED_VALUE"""),1.0)</f>
        <v>1</v>
      </c>
      <c r="G769" s="46">
        <f>IFERROR(__xludf.DUMMYFUNCTION("""COMPUTED_VALUE"""),3802.0)</f>
        <v>3802</v>
      </c>
      <c r="H769" s="46">
        <f>IFERROR(__xludf.DUMMYFUNCTION("""COMPUTED_VALUE"""),415482.56)</f>
        <v>415482.56</v>
      </c>
      <c r="I769" s="46">
        <f>IFERROR(__xludf.DUMMYFUNCTION("""COMPUTED_VALUE"""),136263.68000000002)</f>
        <v>136263.68</v>
      </c>
      <c r="J769" s="46">
        <f>IFERROR(__xludf.DUMMYFUNCTION("""COMPUTED_VALUE"""),279218.88)</f>
        <v>279218.88</v>
      </c>
      <c r="K769" s="46" t="str">
        <f t="array" ref="K769">TEXT(D769, "mmmm")</f>
        <v>January</v>
      </c>
      <c r="M769" s="46" t="str">
        <f>IFERROR(__xludf.DUMMYFUNCTION("""COMPUTED_VALUE"""),"Andorra")</f>
        <v>Andorra</v>
      </c>
      <c r="N769" s="94">
        <f>IFERROR(__xludf.DUMMYFUNCTION("""COMPUTED_VALUE"""),42036.0)</f>
        <v>42036</v>
      </c>
      <c r="O769" s="46">
        <f>IFERROR(__xludf.DUMMYFUNCTION("""COMPUTED_VALUE"""),1.0)</f>
        <v>1</v>
      </c>
      <c r="P769" s="46">
        <f>IFERROR(__xludf.DUMMYFUNCTION("""COMPUTED_VALUE"""),1798.0)</f>
        <v>1798</v>
      </c>
      <c r="Q769" s="46">
        <f>IFERROR(__xludf.DUMMYFUNCTION("""COMPUTED_VALUE"""),758558.22)</f>
        <v>758558.22</v>
      </c>
      <c r="R769" s="46">
        <f>IFERROR(__xludf.DUMMYFUNCTION("""COMPUTED_VALUE"""),655712.62)</f>
        <v>655712.62</v>
      </c>
      <c r="S769" s="46">
        <f>IFERROR(__xludf.DUMMYFUNCTION("""COMPUTED_VALUE"""),102845.59999999998)</f>
        <v>102845.6</v>
      </c>
    </row>
    <row r="770">
      <c r="A770" s="46" t="str">
        <f>IFERROR(__xludf.DUMMYFUNCTION("""COMPUTED_VALUE"""),"Clothes")</f>
        <v>Clothes</v>
      </c>
      <c r="B770" s="46" t="str">
        <f>IFERROR(__xludf.DUMMYFUNCTION("""COMPUTED_VALUE"""),"Luxembourg")</f>
        <v>Luxembourg</v>
      </c>
      <c r="C770" s="46" t="str">
        <f>IFERROR(__xludf.DUMMYFUNCTION("""COMPUTED_VALUE"""),"Europe")</f>
        <v>Europe</v>
      </c>
      <c r="D770" s="90">
        <f>IFERROR(__xludf.DUMMYFUNCTION("""COMPUTED_VALUE"""),41275.0)</f>
        <v>41275</v>
      </c>
      <c r="E770" s="46">
        <f>IFERROR(__xludf.DUMMYFUNCTION("""COMPUTED_VALUE"""),2013.0)</f>
        <v>2013</v>
      </c>
      <c r="F770" s="46">
        <f>IFERROR(__xludf.DUMMYFUNCTION("""COMPUTED_VALUE"""),1.0)</f>
        <v>1</v>
      </c>
      <c r="G770" s="46">
        <f>IFERROR(__xludf.DUMMYFUNCTION("""COMPUTED_VALUE"""),407.0)</f>
        <v>407</v>
      </c>
      <c r="H770" s="46">
        <f>IFERROR(__xludf.DUMMYFUNCTION("""COMPUTED_VALUE"""),44476.96)</f>
        <v>44476.96</v>
      </c>
      <c r="I770" s="46">
        <f>IFERROR(__xludf.DUMMYFUNCTION("""COMPUTED_VALUE"""),14586.880000000001)</f>
        <v>14586.88</v>
      </c>
      <c r="J770" s="46">
        <f>IFERROR(__xludf.DUMMYFUNCTION("""COMPUTED_VALUE"""),29890.079999999998)</f>
        <v>29890.08</v>
      </c>
      <c r="K770" s="46" t="str">
        <f t="array" ref="K770">TEXT(D770, "mmmm")</f>
        <v>January</v>
      </c>
      <c r="M770" s="46" t="str">
        <f>IFERROR(__xludf.DUMMYFUNCTION("""COMPUTED_VALUE"""),"Belarus")</f>
        <v>Belarus</v>
      </c>
      <c r="N770" s="94">
        <f>IFERROR(__xludf.DUMMYFUNCTION("""COMPUTED_VALUE"""),42036.0)</f>
        <v>42036</v>
      </c>
      <c r="O770" s="46">
        <f>IFERROR(__xludf.DUMMYFUNCTION("""COMPUTED_VALUE"""),1.0)</f>
        <v>1</v>
      </c>
      <c r="P770" s="46">
        <f>IFERROR(__xludf.DUMMYFUNCTION("""COMPUTED_VALUE"""),5754.0)</f>
        <v>5754</v>
      </c>
      <c r="Q770" s="46">
        <f>IFERROR(__xludf.DUMMYFUNCTION("""COMPUTED_VALUE"""),3845225.58)</f>
        <v>3845225.58</v>
      </c>
      <c r="R770" s="46">
        <f>IFERROR(__xludf.DUMMYFUNCTION("""COMPUTED_VALUE"""),2891615.16)</f>
        <v>2891615.16</v>
      </c>
      <c r="S770" s="46">
        <f>IFERROR(__xludf.DUMMYFUNCTION("""COMPUTED_VALUE"""),953610.4199999999)</f>
        <v>953610.42</v>
      </c>
    </row>
    <row r="771">
      <c r="A771" s="46" t="str">
        <f>IFERROR(__xludf.DUMMYFUNCTION("""COMPUTED_VALUE"""),"Fruits")</f>
        <v>Fruits</v>
      </c>
      <c r="B771" s="46" t="str">
        <f>IFERROR(__xludf.DUMMYFUNCTION("""COMPUTED_VALUE"""),"Bosnia and Herzegovina")</f>
        <v>Bosnia and Herzegovina</v>
      </c>
      <c r="C771" s="46" t="str">
        <f>IFERROR(__xludf.DUMMYFUNCTION("""COMPUTED_VALUE"""),"Europe")</f>
        <v>Europe</v>
      </c>
      <c r="D771" s="90">
        <f>IFERROR(__xludf.DUMMYFUNCTION("""COMPUTED_VALUE"""),41275.0)</f>
        <v>41275</v>
      </c>
      <c r="E771" s="46">
        <f>IFERROR(__xludf.DUMMYFUNCTION("""COMPUTED_VALUE"""),2013.0)</f>
        <v>2013</v>
      </c>
      <c r="F771" s="46">
        <f>IFERROR(__xludf.DUMMYFUNCTION("""COMPUTED_VALUE"""),1.0)</f>
        <v>1</v>
      </c>
      <c r="G771" s="46">
        <f>IFERROR(__xludf.DUMMYFUNCTION("""COMPUTED_VALUE"""),2705.0)</f>
        <v>2705</v>
      </c>
      <c r="H771" s="46">
        <f>IFERROR(__xludf.DUMMYFUNCTION("""COMPUTED_VALUE"""),25237.65)</f>
        <v>25237.65</v>
      </c>
      <c r="I771" s="46">
        <f>IFERROR(__xludf.DUMMYFUNCTION("""COMPUTED_VALUE"""),18718.6)</f>
        <v>18718.6</v>
      </c>
      <c r="J771" s="46">
        <f>IFERROR(__xludf.DUMMYFUNCTION("""COMPUTED_VALUE"""),6519.050000000003)</f>
        <v>6519.05</v>
      </c>
      <c r="K771" s="46" t="str">
        <f t="array" ref="K771">TEXT(D771, "mmmm")</f>
        <v>January</v>
      </c>
      <c r="M771" s="46" t="str">
        <f>IFERROR(__xludf.DUMMYFUNCTION("""COMPUTED_VALUE"""),"Georgia")</f>
        <v>Georgia</v>
      </c>
      <c r="N771" s="94">
        <f>IFERROR(__xludf.DUMMYFUNCTION("""COMPUTED_VALUE"""),42036.0)</f>
        <v>42036</v>
      </c>
      <c r="O771" s="46">
        <f>IFERROR(__xludf.DUMMYFUNCTION("""COMPUTED_VALUE"""),1.0)</f>
        <v>1</v>
      </c>
      <c r="P771" s="46">
        <f>IFERROR(__xludf.DUMMYFUNCTION("""COMPUTED_VALUE"""),4013.0)</f>
        <v>4013</v>
      </c>
      <c r="Q771" s="46">
        <f>IFERROR(__xludf.DUMMYFUNCTION("""COMPUTED_VALUE"""),618242.78)</f>
        <v>618242.78</v>
      </c>
      <c r="R771" s="46">
        <f>IFERROR(__xludf.DUMMYFUNCTION("""COMPUTED_VALUE"""),364902.09)</f>
        <v>364902.09</v>
      </c>
      <c r="S771" s="46">
        <f>IFERROR(__xludf.DUMMYFUNCTION("""COMPUTED_VALUE"""),253340.69)</f>
        <v>253340.69</v>
      </c>
    </row>
    <row r="772">
      <c r="A772" s="46" t="str">
        <f>IFERROR(__xludf.DUMMYFUNCTION("""COMPUTED_VALUE"""),"Meat")</f>
        <v>Meat</v>
      </c>
      <c r="B772" s="46" t="str">
        <f>IFERROR(__xludf.DUMMYFUNCTION("""COMPUTED_VALUE"""),"Albania")</f>
        <v>Albania</v>
      </c>
      <c r="C772" s="46" t="str">
        <f>IFERROR(__xludf.DUMMYFUNCTION("""COMPUTED_VALUE"""),"Europe")</f>
        <v>Europe</v>
      </c>
      <c r="D772" s="90">
        <f>IFERROR(__xludf.DUMMYFUNCTION("""COMPUTED_VALUE"""),41275.0)</f>
        <v>41275</v>
      </c>
      <c r="E772" s="46">
        <f>IFERROR(__xludf.DUMMYFUNCTION("""COMPUTED_VALUE"""),2013.0)</f>
        <v>2013</v>
      </c>
      <c r="F772" s="46">
        <f>IFERROR(__xludf.DUMMYFUNCTION("""COMPUTED_VALUE"""),1.0)</f>
        <v>1</v>
      </c>
      <c r="G772" s="46">
        <f>IFERROR(__xludf.DUMMYFUNCTION("""COMPUTED_VALUE"""),1272.0)</f>
        <v>1272</v>
      </c>
      <c r="H772" s="46">
        <f>IFERROR(__xludf.DUMMYFUNCTION("""COMPUTED_VALUE"""),536644.08)</f>
        <v>536644.08</v>
      </c>
      <c r="I772" s="46">
        <f>IFERROR(__xludf.DUMMYFUNCTION("""COMPUTED_VALUE"""),463885.68)</f>
        <v>463885.68</v>
      </c>
      <c r="J772" s="46">
        <f>IFERROR(__xludf.DUMMYFUNCTION("""COMPUTED_VALUE"""),72758.39999999997)</f>
        <v>72758.4</v>
      </c>
      <c r="K772" s="46" t="str">
        <f t="array" ref="K772">TEXT(D772, "mmmm")</f>
        <v>January</v>
      </c>
      <c r="M772" s="46" t="str">
        <f>IFERROR(__xludf.DUMMYFUNCTION("""COMPUTED_VALUE"""),"Iceland")</f>
        <v>Iceland</v>
      </c>
      <c r="N772" s="94">
        <f>IFERROR(__xludf.DUMMYFUNCTION("""COMPUTED_VALUE"""),42036.0)</f>
        <v>42036</v>
      </c>
      <c r="O772" s="46">
        <f>IFERROR(__xludf.DUMMYFUNCTION("""COMPUTED_VALUE"""),2.0)</f>
        <v>2</v>
      </c>
      <c r="P772" s="46">
        <f>IFERROR(__xludf.DUMMYFUNCTION("""COMPUTED_VALUE"""),4067.0)</f>
        <v>4067</v>
      </c>
      <c r="Q772" s="46">
        <f>IFERROR(__xludf.DUMMYFUNCTION("""COMPUTED_VALUE"""),1559712.5700000003)</f>
        <v>1559712.57</v>
      </c>
      <c r="R772" s="46">
        <f>IFERROR(__xludf.DUMMYFUNCTION("""COMPUTED_VALUE"""),1184486.62)</f>
        <v>1184486.62</v>
      </c>
      <c r="S772" s="46">
        <f>IFERROR(__xludf.DUMMYFUNCTION("""COMPUTED_VALUE"""),375225.9500000001)</f>
        <v>375225.95</v>
      </c>
    </row>
    <row r="773">
      <c r="A773" s="46" t="str">
        <f>IFERROR(__xludf.DUMMYFUNCTION("""COMPUTED_VALUE"""),"Meat")</f>
        <v>Meat</v>
      </c>
      <c r="B773" s="46" t="str">
        <f>IFERROR(__xludf.DUMMYFUNCTION("""COMPUTED_VALUE"""),"Sweden")</f>
        <v>Sweden</v>
      </c>
      <c r="C773" s="46" t="str">
        <f>IFERROR(__xludf.DUMMYFUNCTION("""COMPUTED_VALUE"""),"Europe")</f>
        <v>Europe</v>
      </c>
      <c r="D773" s="90">
        <f>IFERROR(__xludf.DUMMYFUNCTION("""COMPUTED_VALUE"""),41275.0)</f>
        <v>41275</v>
      </c>
      <c r="E773" s="46">
        <f>IFERROR(__xludf.DUMMYFUNCTION("""COMPUTED_VALUE"""),2013.0)</f>
        <v>2013</v>
      </c>
      <c r="F773" s="46">
        <f>IFERROR(__xludf.DUMMYFUNCTION("""COMPUTED_VALUE"""),1.0)</f>
        <v>1</v>
      </c>
      <c r="G773" s="46">
        <f>IFERROR(__xludf.DUMMYFUNCTION("""COMPUTED_VALUE"""),691.0)</f>
        <v>691</v>
      </c>
      <c r="H773" s="46">
        <f>IFERROR(__xludf.DUMMYFUNCTION("""COMPUTED_VALUE"""),291525.99)</f>
        <v>291525.99</v>
      </c>
      <c r="I773" s="46">
        <f>IFERROR(__xludf.DUMMYFUNCTION("""COMPUTED_VALUE"""),252000.79)</f>
        <v>252000.79</v>
      </c>
      <c r="J773" s="46">
        <f>IFERROR(__xludf.DUMMYFUNCTION("""COMPUTED_VALUE"""),39525.19999999998)</f>
        <v>39525.2</v>
      </c>
      <c r="K773" s="46" t="str">
        <f t="array" ref="K773">TEXT(D773, "mmmm")</f>
        <v>January</v>
      </c>
      <c r="M773" s="46" t="str">
        <f>IFERROR(__xludf.DUMMYFUNCTION("""COMPUTED_VALUE"""),"Portugal")</f>
        <v>Portugal</v>
      </c>
      <c r="N773" s="94">
        <f>IFERROR(__xludf.DUMMYFUNCTION("""COMPUTED_VALUE"""),42036.0)</f>
        <v>42036</v>
      </c>
      <c r="O773" s="46">
        <f>IFERROR(__xludf.DUMMYFUNCTION("""COMPUTED_VALUE"""),2.0)</f>
        <v>2</v>
      </c>
      <c r="P773" s="46">
        <f>IFERROR(__xludf.DUMMYFUNCTION("""COMPUTED_VALUE"""),7977.0)</f>
        <v>7977</v>
      </c>
      <c r="Q773" s="46">
        <f>IFERROR(__xludf.DUMMYFUNCTION("""COMPUTED_VALUE"""),2337089.63)</f>
        <v>2337089.63</v>
      </c>
      <c r="R773" s="46">
        <f>IFERROR(__xludf.DUMMYFUNCTION("""COMPUTED_VALUE"""),1733041.1)</f>
        <v>1733041.1</v>
      </c>
      <c r="S773" s="46">
        <f>IFERROR(__xludf.DUMMYFUNCTION("""COMPUTED_VALUE"""),604048.5299999998)</f>
        <v>604048.53</v>
      </c>
    </row>
    <row r="774">
      <c r="A774" s="46" t="str">
        <f>IFERROR(__xludf.DUMMYFUNCTION("""COMPUTED_VALUE"""),"Snacks")</f>
        <v>Snacks</v>
      </c>
      <c r="B774" s="46" t="str">
        <f>IFERROR(__xludf.DUMMYFUNCTION("""COMPUTED_VALUE"""),"Poland")</f>
        <v>Poland</v>
      </c>
      <c r="C774" s="46" t="str">
        <f>IFERROR(__xludf.DUMMYFUNCTION("""COMPUTED_VALUE"""),"Europe")</f>
        <v>Europe</v>
      </c>
      <c r="D774" s="90">
        <f>IFERROR(__xludf.DUMMYFUNCTION("""COMPUTED_VALUE"""),41275.0)</f>
        <v>41275</v>
      </c>
      <c r="E774" s="46">
        <f>IFERROR(__xludf.DUMMYFUNCTION("""COMPUTED_VALUE"""),2013.0)</f>
        <v>2013</v>
      </c>
      <c r="F774" s="46">
        <f>IFERROR(__xludf.DUMMYFUNCTION("""COMPUTED_VALUE"""),1.0)</f>
        <v>1</v>
      </c>
      <c r="G774" s="46">
        <f>IFERROR(__xludf.DUMMYFUNCTION("""COMPUTED_VALUE"""),6448.0)</f>
        <v>6448</v>
      </c>
      <c r="H774" s="46">
        <f>IFERROR(__xludf.DUMMYFUNCTION("""COMPUTED_VALUE"""),983835.8400000001)</f>
        <v>983835.84</v>
      </c>
      <c r="I774" s="46">
        <f>IFERROR(__xludf.DUMMYFUNCTION("""COMPUTED_VALUE"""),628293.12)</f>
        <v>628293.12</v>
      </c>
      <c r="J774" s="46">
        <f>IFERROR(__xludf.DUMMYFUNCTION("""COMPUTED_VALUE"""),355542.7200000001)</f>
        <v>355542.72</v>
      </c>
      <c r="K774" s="46" t="str">
        <f t="array" ref="K774">TEXT(D774, "mmmm")</f>
        <v>January</v>
      </c>
      <c r="M774" s="46" t="str">
        <f>IFERROR(__xludf.DUMMYFUNCTION("""COMPUTED_VALUE"""),"Romania")</f>
        <v>Romania</v>
      </c>
      <c r="N774" s="94">
        <f>IFERROR(__xludf.DUMMYFUNCTION("""COMPUTED_VALUE"""),42036.0)</f>
        <v>42036</v>
      </c>
      <c r="O774" s="46">
        <f>IFERROR(__xludf.DUMMYFUNCTION("""COMPUTED_VALUE"""),1.0)</f>
        <v>1</v>
      </c>
      <c r="P774" s="46">
        <f>IFERROR(__xludf.DUMMYFUNCTION("""COMPUTED_VALUE"""),9025.0)</f>
        <v>9025</v>
      </c>
      <c r="Q774" s="46">
        <f>IFERROR(__xludf.DUMMYFUNCTION("""COMPUTED_VALUE"""),2303902.0)</f>
        <v>2303902</v>
      </c>
      <c r="R774" s="46">
        <f>IFERROR(__xludf.DUMMYFUNCTION("""COMPUTED_VALUE"""),1438765.5)</f>
        <v>1438765.5</v>
      </c>
      <c r="S774" s="46">
        <f>IFERROR(__xludf.DUMMYFUNCTION("""COMPUTED_VALUE"""),865136.5)</f>
        <v>865136.5</v>
      </c>
    </row>
    <row r="775">
      <c r="A775" s="46" t="str">
        <f>IFERROR(__xludf.DUMMYFUNCTION("""COMPUTED_VALUE"""),"Snacks")</f>
        <v>Snacks</v>
      </c>
      <c r="B775" s="46" t="str">
        <f>IFERROR(__xludf.DUMMYFUNCTION("""COMPUTED_VALUE"""),"Russia")</f>
        <v>Russia</v>
      </c>
      <c r="C775" s="46" t="str">
        <f>IFERROR(__xludf.DUMMYFUNCTION("""COMPUTED_VALUE"""),"Europe")</f>
        <v>Europe</v>
      </c>
      <c r="D775" s="90">
        <f>IFERROR(__xludf.DUMMYFUNCTION("""COMPUTED_VALUE"""),41275.0)</f>
        <v>41275</v>
      </c>
      <c r="E775" s="46">
        <f>IFERROR(__xludf.DUMMYFUNCTION("""COMPUTED_VALUE"""),2013.0)</f>
        <v>2013</v>
      </c>
      <c r="F775" s="46">
        <f>IFERROR(__xludf.DUMMYFUNCTION("""COMPUTED_VALUE"""),1.0)</f>
        <v>1</v>
      </c>
      <c r="G775" s="46">
        <f>IFERROR(__xludf.DUMMYFUNCTION("""COMPUTED_VALUE"""),7846.0)</f>
        <v>7846</v>
      </c>
      <c r="H775" s="46">
        <f>IFERROR(__xludf.DUMMYFUNCTION("""COMPUTED_VALUE"""),1197142.6800000002)</f>
        <v>1197142.68</v>
      </c>
      <c r="I775" s="46">
        <f>IFERROR(__xludf.DUMMYFUNCTION("""COMPUTED_VALUE"""),764514.24)</f>
        <v>764514.24</v>
      </c>
      <c r="J775" s="46">
        <f>IFERROR(__xludf.DUMMYFUNCTION("""COMPUTED_VALUE"""),432628.4400000002)</f>
        <v>432628.44</v>
      </c>
      <c r="K775" s="46" t="str">
        <f t="array" ref="K775">TEXT(D775, "mmmm")</f>
        <v>January</v>
      </c>
      <c r="M775" s="46" t="str">
        <f>IFERROR(__xludf.DUMMYFUNCTION("""COMPUTED_VALUE"""),"Undefined")</f>
        <v>Undefined</v>
      </c>
      <c r="N775" s="94">
        <f>IFERROR(__xludf.DUMMYFUNCTION("""COMPUTED_VALUE"""),42036.0)</f>
        <v>42036</v>
      </c>
      <c r="O775" s="46">
        <f>IFERROR(__xludf.DUMMYFUNCTION("""COMPUTED_VALUE"""),1.0)</f>
        <v>1</v>
      </c>
      <c r="P775" s="46">
        <f>IFERROR(__xludf.DUMMYFUNCTION("""COMPUTED_VALUE"""),5217.0)</f>
        <v>5217</v>
      </c>
      <c r="Q775" s="46">
        <f>IFERROR(__xludf.DUMMYFUNCTION("""COMPUTED_VALUE"""),3397362.5700000003)</f>
        <v>3397362.57</v>
      </c>
      <c r="R775" s="46">
        <f>IFERROR(__xludf.DUMMYFUNCTION("""COMPUTED_VALUE"""),2738716.3200000003)</f>
        <v>2738716.32</v>
      </c>
      <c r="S775" s="46">
        <f>IFERROR(__xludf.DUMMYFUNCTION("""COMPUTED_VALUE"""),658646.25)</f>
        <v>658646.25</v>
      </c>
    </row>
    <row r="776">
      <c r="A776" s="46" t="str">
        <f>IFERROR(__xludf.DUMMYFUNCTION("""COMPUTED_VALUE"""),"Snacks")</f>
        <v>Snacks</v>
      </c>
      <c r="B776" s="46" t="str">
        <f>IFERROR(__xludf.DUMMYFUNCTION("""COMPUTED_VALUE"""),"San Marino")</f>
        <v>San Marino</v>
      </c>
      <c r="C776" s="46" t="str">
        <f>IFERROR(__xludf.DUMMYFUNCTION("""COMPUTED_VALUE"""),"Europe")</f>
        <v>Europe</v>
      </c>
      <c r="D776" s="90">
        <f>IFERROR(__xludf.DUMMYFUNCTION("""COMPUTED_VALUE"""),41275.0)</f>
        <v>41275</v>
      </c>
      <c r="E776" s="46">
        <f>IFERROR(__xludf.DUMMYFUNCTION("""COMPUTED_VALUE"""),2013.0)</f>
        <v>2013</v>
      </c>
      <c r="F776" s="46">
        <f>IFERROR(__xludf.DUMMYFUNCTION("""COMPUTED_VALUE"""),1.0)</f>
        <v>1</v>
      </c>
      <c r="G776" s="46">
        <f>IFERROR(__xludf.DUMMYFUNCTION("""COMPUTED_VALUE"""),6302.0)</f>
        <v>6302</v>
      </c>
      <c r="H776" s="46">
        <f>IFERROR(__xludf.DUMMYFUNCTION("""COMPUTED_VALUE"""),961559.16)</f>
        <v>961559.16</v>
      </c>
      <c r="I776" s="46">
        <f>IFERROR(__xludf.DUMMYFUNCTION("""COMPUTED_VALUE"""),614066.88)</f>
        <v>614066.88</v>
      </c>
      <c r="J776" s="46">
        <f>IFERROR(__xludf.DUMMYFUNCTION("""COMPUTED_VALUE"""),347492.28)</f>
        <v>347492.28</v>
      </c>
      <c r="K776" s="46" t="str">
        <f t="array" ref="K776">TEXT(D776, "mmmm")</f>
        <v>January</v>
      </c>
      <c r="M776" s="46" t="str">
        <f>IFERROR(__xludf.DUMMYFUNCTION("""COMPUTED_VALUE"""),"Albania")</f>
        <v>Albania</v>
      </c>
      <c r="N776" s="94">
        <f>IFERROR(__xludf.DUMMYFUNCTION("""COMPUTED_VALUE"""),42064.0)</f>
        <v>42064</v>
      </c>
      <c r="O776" s="46">
        <f>IFERROR(__xludf.DUMMYFUNCTION("""COMPUTED_VALUE"""),1.0)</f>
        <v>1</v>
      </c>
      <c r="P776" s="46">
        <f>IFERROR(__xludf.DUMMYFUNCTION("""COMPUTED_VALUE"""),1172.0)</f>
        <v>1172</v>
      </c>
      <c r="Q776" s="46">
        <f>IFERROR(__xludf.DUMMYFUNCTION("""COMPUTED_VALUE"""),128076.16)</f>
        <v>128076.16</v>
      </c>
      <c r="R776" s="46">
        <f>IFERROR(__xludf.DUMMYFUNCTION("""COMPUTED_VALUE"""),42004.48)</f>
        <v>42004.48</v>
      </c>
      <c r="S776" s="46">
        <f>IFERROR(__xludf.DUMMYFUNCTION("""COMPUTED_VALUE"""),86071.68)</f>
        <v>86071.68</v>
      </c>
    </row>
    <row r="777">
      <c r="A777" s="46" t="str">
        <f>IFERROR(__xludf.DUMMYFUNCTION("""COMPUTED_VALUE"""),"Baby Food")</f>
        <v>Baby Food</v>
      </c>
      <c r="B777" s="46" t="str">
        <f>IFERROR(__xludf.DUMMYFUNCTION("""COMPUTED_VALUE"""),"Denmark")</f>
        <v>Denmark</v>
      </c>
      <c r="C777" s="46" t="str">
        <f>IFERROR(__xludf.DUMMYFUNCTION("""COMPUTED_VALUE"""),"Europe")</f>
        <v>Europe</v>
      </c>
      <c r="D777" s="90">
        <f>IFERROR(__xludf.DUMMYFUNCTION("""COMPUTED_VALUE"""),41244.0)</f>
        <v>41244</v>
      </c>
      <c r="E777" s="46">
        <f>IFERROR(__xludf.DUMMYFUNCTION("""COMPUTED_VALUE"""),2012.0)</f>
        <v>2012</v>
      </c>
      <c r="F777" s="46">
        <f>IFERROR(__xludf.DUMMYFUNCTION("""COMPUTED_VALUE"""),1.0)</f>
        <v>1</v>
      </c>
      <c r="G777" s="46">
        <f>IFERROR(__xludf.DUMMYFUNCTION("""COMPUTED_VALUE"""),1485.0)</f>
        <v>1485</v>
      </c>
      <c r="H777" s="46">
        <f>IFERROR(__xludf.DUMMYFUNCTION("""COMPUTED_VALUE"""),379090.8)</f>
        <v>379090.8</v>
      </c>
      <c r="I777" s="46">
        <f>IFERROR(__xludf.DUMMYFUNCTION("""COMPUTED_VALUE"""),236738.69999999998)</f>
        <v>236738.7</v>
      </c>
      <c r="J777" s="46">
        <f>IFERROR(__xludf.DUMMYFUNCTION("""COMPUTED_VALUE"""),142352.1)</f>
        <v>142352.1</v>
      </c>
      <c r="K777" s="46" t="str">
        <f t="array" ref="K777">TEXT(D777, "mmmm")</f>
        <v>December</v>
      </c>
      <c r="M777" s="46" t="str">
        <f>IFERROR(__xludf.DUMMYFUNCTION("""COMPUTED_VALUE"""),"Andorra")</f>
        <v>Andorra</v>
      </c>
      <c r="N777" s="94">
        <f>IFERROR(__xludf.DUMMYFUNCTION("""COMPUTED_VALUE"""),42064.0)</f>
        <v>42064</v>
      </c>
      <c r="O777" s="46">
        <f>IFERROR(__xludf.DUMMYFUNCTION("""COMPUTED_VALUE"""),2.0)</f>
        <v>2</v>
      </c>
      <c r="P777" s="46">
        <f>IFERROR(__xludf.DUMMYFUNCTION("""COMPUTED_VALUE"""),6661.0)</f>
        <v>6661</v>
      </c>
      <c r="Q777" s="46">
        <f>IFERROR(__xludf.DUMMYFUNCTION("""COMPUTED_VALUE"""),1125671.45)</f>
        <v>1125671.45</v>
      </c>
      <c r="R777" s="46">
        <f>IFERROR(__xludf.DUMMYFUNCTION("""COMPUTED_VALUE"""),648250.31)</f>
        <v>648250.31</v>
      </c>
      <c r="S777" s="46">
        <f>IFERROR(__xludf.DUMMYFUNCTION("""COMPUTED_VALUE"""),477421.13999999996)</f>
        <v>477421.14</v>
      </c>
    </row>
    <row r="778">
      <c r="A778" s="46" t="str">
        <f>IFERROR(__xludf.DUMMYFUNCTION("""COMPUTED_VALUE"""),"Baby Food")</f>
        <v>Baby Food</v>
      </c>
      <c r="B778" s="46" t="str">
        <f>IFERROR(__xludf.DUMMYFUNCTION("""COMPUTED_VALUE"""),"Malta")</f>
        <v>Malta</v>
      </c>
      <c r="C778" s="46" t="str">
        <f>IFERROR(__xludf.DUMMYFUNCTION("""COMPUTED_VALUE"""),"Europe")</f>
        <v>Europe</v>
      </c>
      <c r="D778" s="90">
        <f>IFERROR(__xludf.DUMMYFUNCTION("""COMPUTED_VALUE"""),41244.0)</f>
        <v>41244</v>
      </c>
      <c r="E778" s="46">
        <f>IFERROR(__xludf.DUMMYFUNCTION("""COMPUTED_VALUE"""),2012.0)</f>
        <v>2012</v>
      </c>
      <c r="F778" s="46">
        <f>IFERROR(__xludf.DUMMYFUNCTION("""COMPUTED_VALUE"""),1.0)</f>
        <v>1</v>
      </c>
      <c r="G778" s="46">
        <f>IFERROR(__xludf.DUMMYFUNCTION("""COMPUTED_VALUE"""),8379.0)</f>
        <v>8379</v>
      </c>
      <c r="H778" s="46">
        <f>IFERROR(__xludf.DUMMYFUNCTION("""COMPUTED_VALUE"""),2138991.12)</f>
        <v>2138991.12</v>
      </c>
      <c r="I778" s="46">
        <f>IFERROR(__xludf.DUMMYFUNCTION("""COMPUTED_VALUE"""),1335780.18)</f>
        <v>1335780.18</v>
      </c>
      <c r="J778" s="46">
        <f>IFERROR(__xludf.DUMMYFUNCTION("""COMPUTED_VALUE"""),803210.9400000002)</f>
        <v>803210.94</v>
      </c>
      <c r="K778" s="46" t="str">
        <f t="array" ref="K778">TEXT(D778, "mmmm")</f>
        <v>December</v>
      </c>
      <c r="M778" s="46" t="str">
        <f>IFERROR(__xludf.DUMMYFUNCTION("""COMPUTED_VALUE"""),"Armenia")</f>
        <v>Armenia</v>
      </c>
      <c r="N778" s="94">
        <f>IFERROR(__xludf.DUMMYFUNCTION("""COMPUTED_VALUE"""),42064.0)</f>
        <v>42064</v>
      </c>
      <c r="O778" s="46">
        <f>IFERROR(__xludf.DUMMYFUNCTION("""COMPUTED_VALUE"""),1.0)</f>
        <v>1</v>
      </c>
      <c r="P778" s="46">
        <f>IFERROR(__xludf.DUMMYFUNCTION("""COMPUTED_VALUE"""),3524.0)</f>
        <v>3524</v>
      </c>
      <c r="Q778" s="46">
        <f>IFERROR(__xludf.DUMMYFUNCTION("""COMPUTED_VALUE"""),32878.92)</f>
        <v>32878.92</v>
      </c>
      <c r="R778" s="46">
        <f>IFERROR(__xludf.DUMMYFUNCTION("""COMPUTED_VALUE"""),24386.079999999998)</f>
        <v>24386.08</v>
      </c>
      <c r="S778" s="46">
        <f>IFERROR(__xludf.DUMMYFUNCTION("""COMPUTED_VALUE"""),8492.84)</f>
        <v>8492.84</v>
      </c>
    </row>
    <row r="779">
      <c r="A779" s="46" t="str">
        <f>IFERROR(__xludf.DUMMYFUNCTION("""COMPUTED_VALUE"""),"Beverages")</f>
        <v>Beverages</v>
      </c>
      <c r="B779" s="46" t="str">
        <f>IFERROR(__xludf.DUMMYFUNCTION("""COMPUTED_VALUE"""),"Norway")</f>
        <v>Norway</v>
      </c>
      <c r="C779" s="46" t="str">
        <f>IFERROR(__xludf.DUMMYFUNCTION("""COMPUTED_VALUE"""),"Europe")</f>
        <v>Europe</v>
      </c>
      <c r="D779" s="90">
        <f>IFERROR(__xludf.DUMMYFUNCTION("""COMPUTED_VALUE"""),41244.0)</f>
        <v>41244</v>
      </c>
      <c r="E779" s="46">
        <f>IFERROR(__xludf.DUMMYFUNCTION("""COMPUTED_VALUE"""),2012.0)</f>
        <v>2012</v>
      </c>
      <c r="F779" s="46">
        <f>IFERROR(__xludf.DUMMYFUNCTION("""COMPUTED_VALUE"""),1.0)</f>
        <v>1</v>
      </c>
      <c r="G779" s="46">
        <f>IFERROR(__xludf.DUMMYFUNCTION("""COMPUTED_VALUE"""),8944.0)</f>
        <v>8944</v>
      </c>
      <c r="H779" s="46">
        <f>IFERROR(__xludf.DUMMYFUNCTION("""COMPUTED_VALUE"""),424392.80000000005)</f>
        <v>424392.8</v>
      </c>
      <c r="I779" s="46">
        <f>IFERROR(__xludf.DUMMYFUNCTION("""COMPUTED_VALUE"""),284329.76)</f>
        <v>284329.76</v>
      </c>
      <c r="J779" s="46">
        <f>IFERROR(__xludf.DUMMYFUNCTION("""COMPUTED_VALUE"""),140063.04000000004)</f>
        <v>140063.04</v>
      </c>
      <c r="K779" s="46" t="str">
        <f t="array" ref="K779">TEXT(D779, "mmmm")</f>
        <v>December</v>
      </c>
      <c r="M779" s="46" t="str">
        <f>IFERROR(__xludf.DUMMYFUNCTION("""COMPUTED_VALUE"""),"Austria")</f>
        <v>Austria</v>
      </c>
      <c r="N779" s="94">
        <f>IFERROR(__xludf.DUMMYFUNCTION("""COMPUTED_VALUE"""),42064.0)</f>
        <v>42064</v>
      </c>
      <c r="O779" s="46">
        <f>IFERROR(__xludf.DUMMYFUNCTION("""COMPUTED_VALUE"""),1.0)</f>
        <v>1</v>
      </c>
      <c r="P779" s="46">
        <f>IFERROR(__xludf.DUMMYFUNCTION("""COMPUTED_VALUE"""),5839.0)</f>
        <v>5839</v>
      </c>
      <c r="Q779" s="46">
        <f>IFERROR(__xludf.DUMMYFUNCTION("""COMPUTED_VALUE"""),3802415.1900000004)</f>
        <v>3802415.19</v>
      </c>
      <c r="R779" s="46">
        <f>IFERROR(__xludf.DUMMYFUNCTION("""COMPUTED_VALUE"""),3065241.4400000004)</f>
        <v>3065241.44</v>
      </c>
      <c r="S779" s="46">
        <f>IFERROR(__xludf.DUMMYFUNCTION("""COMPUTED_VALUE"""),737173.75)</f>
        <v>737173.75</v>
      </c>
    </row>
    <row r="780">
      <c r="A780" s="46" t="str">
        <f>IFERROR(__xludf.DUMMYFUNCTION("""COMPUTED_VALUE"""),"Beverages")</f>
        <v>Beverages</v>
      </c>
      <c r="B780" s="46" t="str">
        <f>IFERROR(__xludf.DUMMYFUNCTION("""COMPUTED_VALUE"""),"Serbia")</f>
        <v>Serbia</v>
      </c>
      <c r="C780" s="46" t="str">
        <f>IFERROR(__xludf.DUMMYFUNCTION("""COMPUTED_VALUE"""),"Europe")</f>
        <v>Europe</v>
      </c>
      <c r="D780" s="90">
        <f>IFERROR(__xludf.DUMMYFUNCTION("""COMPUTED_VALUE"""),41244.0)</f>
        <v>41244</v>
      </c>
      <c r="E780" s="46">
        <f>IFERROR(__xludf.DUMMYFUNCTION("""COMPUTED_VALUE"""),2012.0)</f>
        <v>2012</v>
      </c>
      <c r="F780" s="46">
        <f>IFERROR(__xludf.DUMMYFUNCTION("""COMPUTED_VALUE"""),1.0)</f>
        <v>1</v>
      </c>
      <c r="G780" s="46">
        <f>IFERROR(__xludf.DUMMYFUNCTION("""COMPUTED_VALUE"""),5312.0)</f>
        <v>5312</v>
      </c>
      <c r="H780" s="46">
        <f>IFERROR(__xludf.DUMMYFUNCTION("""COMPUTED_VALUE"""),252054.40000000002)</f>
        <v>252054.4</v>
      </c>
      <c r="I780" s="46">
        <f>IFERROR(__xludf.DUMMYFUNCTION("""COMPUTED_VALUE"""),168868.47999999998)</f>
        <v>168868.48</v>
      </c>
      <c r="J780" s="46">
        <f>IFERROR(__xludf.DUMMYFUNCTION("""COMPUTED_VALUE"""),83185.92000000004)</f>
        <v>83185.92</v>
      </c>
      <c r="K780" s="46" t="str">
        <f t="array" ref="K780">TEXT(D780, "mmmm")</f>
        <v>December</v>
      </c>
      <c r="M780" s="46" t="str">
        <f>IFERROR(__xludf.DUMMYFUNCTION("""COMPUTED_VALUE"""),"Belgium")</f>
        <v>Belgium</v>
      </c>
      <c r="N780" s="94">
        <f>IFERROR(__xludf.DUMMYFUNCTION("""COMPUTED_VALUE"""),42064.0)</f>
        <v>42064</v>
      </c>
      <c r="O780" s="46">
        <f>IFERROR(__xludf.DUMMYFUNCTION("""COMPUTED_VALUE"""),1.0)</f>
        <v>1</v>
      </c>
      <c r="P780" s="46">
        <f>IFERROR(__xludf.DUMMYFUNCTION("""COMPUTED_VALUE"""),6924.0)</f>
        <v>6924</v>
      </c>
      <c r="Q780" s="46">
        <f>IFERROR(__xludf.DUMMYFUNCTION("""COMPUTED_VALUE"""),2921166.36)</f>
        <v>2921166.36</v>
      </c>
      <c r="R780" s="46">
        <f>IFERROR(__xludf.DUMMYFUNCTION("""COMPUTED_VALUE"""),2525113.56)</f>
        <v>2525113.56</v>
      </c>
      <c r="S780" s="46">
        <f>IFERROR(__xludf.DUMMYFUNCTION("""COMPUTED_VALUE"""),396052.7999999998)</f>
        <v>396052.8</v>
      </c>
    </row>
    <row r="781">
      <c r="A781" s="46" t="str">
        <f>IFERROR(__xludf.DUMMYFUNCTION("""COMPUTED_VALUE"""),"Cereal")</f>
        <v>Cereal</v>
      </c>
      <c r="B781" s="46" t="str">
        <f>IFERROR(__xludf.DUMMYFUNCTION("""COMPUTED_VALUE"""),"Belarus")</f>
        <v>Belarus</v>
      </c>
      <c r="C781" s="46" t="str">
        <f>IFERROR(__xludf.DUMMYFUNCTION("""COMPUTED_VALUE"""),"Europe")</f>
        <v>Europe</v>
      </c>
      <c r="D781" s="90">
        <f>IFERROR(__xludf.DUMMYFUNCTION("""COMPUTED_VALUE"""),41244.0)</f>
        <v>41244</v>
      </c>
      <c r="E781" s="46">
        <f>IFERROR(__xludf.DUMMYFUNCTION("""COMPUTED_VALUE"""),2012.0)</f>
        <v>2012</v>
      </c>
      <c r="F781" s="46">
        <f>IFERROR(__xludf.DUMMYFUNCTION("""COMPUTED_VALUE"""),1.0)</f>
        <v>1</v>
      </c>
      <c r="G781" s="46">
        <f>IFERROR(__xludf.DUMMYFUNCTION("""COMPUTED_VALUE"""),8315.0)</f>
        <v>8315</v>
      </c>
      <c r="H781" s="46">
        <f>IFERROR(__xludf.DUMMYFUNCTION("""COMPUTED_VALUE"""),1710395.5)</f>
        <v>1710395.5</v>
      </c>
      <c r="I781" s="46">
        <f>IFERROR(__xludf.DUMMYFUNCTION("""COMPUTED_VALUE"""),973769.65)</f>
        <v>973769.65</v>
      </c>
      <c r="J781" s="46">
        <f>IFERROR(__xludf.DUMMYFUNCTION("""COMPUTED_VALUE"""),736625.85)</f>
        <v>736625.85</v>
      </c>
      <c r="K781" s="46" t="str">
        <f t="array" ref="K781">TEXT(D781, "mmmm")</f>
        <v>December</v>
      </c>
      <c r="M781" s="46" t="str">
        <f>IFERROR(__xludf.DUMMYFUNCTION("""COMPUTED_VALUE"""),"Germany")</f>
        <v>Germany</v>
      </c>
      <c r="N781" s="94">
        <f>IFERROR(__xludf.DUMMYFUNCTION("""COMPUTED_VALUE"""),42064.0)</f>
        <v>42064</v>
      </c>
      <c r="O781" s="46">
        <f>IFERROR(__xludf.DUMMYFUNCTION("""COMPUTED_VALUE"""),1.0)</f>
        <v>1</v>
      </c>
      <c r="P781" s="46">
        <f>IFERROR(__xludf.DUMMYFUNCTION("""COMPUTED_VALUE"""),5413.0)</f>
        <v>5413</v>
      </c>
      <c r="Q781" s="46">
        <f>IFERROR(__xludf.DUMMYFUNCTION("""COMPUTED_VALUE"""),591532.64)</f>
        <v>591532.64</v>
      </c>
      <c r="R781" s="46">
        <f>IFERROR(__xludf.DUMMYFUNCTION("""COMPUTED_VALUE"""),194001.92)</f>
        <v>194001.92</v>
      </c>
      <c r="S781" s="46">
        <f>IFERROR(__xludf.DUMMYFUNCTION("""COMPUTED_VALUE"""),397530.72)</f>
        <v>397530.72</v>
      </c>
    </row>
    <row r="782">
      <c r="A782" s="46" t="str">
        <f>IFERROR(__xludf.DUMMYFUNCTION("""COMPUTED_VALUE"""),"Cereal")</f>
        <v>Cereal</v>
      </c>
      <c r="B782" s="46" t="str">
        <f>IFERROR(__xludf.DUMMYFUNCTION("""COMPUTED_VALUE"""),"Luxembourg")</f>
        <v>Luxembourg</v>
      </c>
      <c r="C782" s="46" t="str">
        <f>IFERROR(__xludf.DUMMYFUNCTION("""COMPUTED_VALUE"""),"Europe")</f>
        <v>Europe</v>
      </c>
      <c r="D782" s="90">
        <f>IFERROR(__xludf.DUMMYFUNCTION("""COMPUTED_VALUE"""),41244.0)</f>
        <v>41244</v>
      </c>
      <c r="E782" s="46">
        <f>IFERROR(__xludf.DUMMYFUNCTION("""COMPUTED_VALUE"""),2012.0)</f>
        <v>2012</v>
      </c>
      <c r="F782" s="46">
        <f>IFERROR(__xludf.DUMMYFUNCTION("""COMPUTED_VALUE"""),1.0)</f>
        <v>1</v>
      </c>
      <c r="G782" s="46">
        <f>IFERROR(__xludf.DUMMYFUNCTION("""COMPUTED_VALUE"""),1842.0)</f>
        <v>1842</v>
      </c>
      <c r="H782" s="46">
        <f>IFERROR(__xludf.DUMMYFUNCTION("""COMPUTED_VALUE"""),378899.39999999997)</f>
        <v>378899.4</v>
      </c>
      <c r="I782" s="46">
        <f>IFERROR(__xludf.DUMMYFUNCTION("""COMPUTED_VALUE"""),215716.62)</f>
        <v>215716.62</v>
      </c>
      <c r="J782" s="46">
        <f>IFERROR(__xludf.DUMMYFUNCTION("""COMPUTED_VALUE"""),163182.77999999997)</f>
        <v>163182.78</v>
      </c>
      <c r="K782" s="46" t="str">
        <f t="array" ref="K782">TEXT(D782, "mmmm")</f>
        <v>December</v>
      </c>
      <c r="M782" s="46" t="str">
        <f>IFERROR(__xludf.DUMMYFUNCTION("""COMPUTED_VALUE"""),"Ireland")</f>
        <v>Ireland</v>
      </c>
      <c r="N782" s="94">
        <f>IFERROR(__xludf.DUMMYFUNCTION("""COMPUTED_VALUE"""),42064.0)</f>
        <v>42064</v>
      </c>
      <c r="O782" s="46">
        <f>IFERROR(__xludf.DUMMYFUNCTION("""COMPUTED_VALUE"""),2.0)</f>
        <v>2</v>
      </c>
      <c r="P782" s="46">
        <f>IFERROR(__xludf.DUMMYFUNCTION("""COMPUTED_VALUE"""),14984.0)</f>
        <v>14984</v>
      </c>
      <c r="Q782" s="46">
        <f>IFERROR(__xludf.DUMMYFUNCTION("""COMPUTED_VALUE"""),5080532.84)</f>
        <v>5080532.84</v>
      </c>
      <c r="R782" s="46">
        <f>IFERROR(__xludf.DUMMYFUNCTION("""COMPUTED_VALUE"""),3819848.04)</f>
        <v>3819848.04</v>
      </c>
      <c r="S782" s="46">
        <f>IFERROR(__xludf.DUMMYFUNCTION("""COMPUTED_VALUE"""),1260684.8)</f>
        <v>1260684.8</v>
      </c>
    </row>
    <row r="783">
      <c r="A783" s="46" t="str">
        <f>IFERROR(__xludf.DUMMYFUNCTION("""COMPUTED_VALUE"""),"Cosmetics")</f>
        <v>Cosmetics</v>
      </c>
      <c r="B783" s="46" t="str">
        <f>IFERROR(__xludf.DUMMYFUNCTION("""COMPUTED_VALUE"""),"Malta")</f>
        <v>Malta</v>
      </c>
      <c r="C783" s="46" t="str">
        <f>IFERROR(__xludf.DUMMYFUNCTION("""COMPUTED_VALUE"""),"Europe")</f>
        <v>Europe</v>
      </c>
      <c r="D783" s="90">
        <f>IFERROR(__xludf.DUMMYFUNCTION("""COMPUTED_VALUE"""),41244.0)</f>
        <v>41244</v>
      </c>
      <c r="E783" s="46">
        <f>IFERROR(__xludf.DUMMYFUNCTION("""COMPUTED_VALUE"""),2012.0)</f>
        <v>2012</v>
      </c>
      <c r="F783" s="46">
        <f>IFERROR(__xludf.DUMMYFUNCTION("""COMPUTED_VALUE"""),1.0)</f>
        <v>1</v>
      </c>
      <c r="G783" s="46">
        <f>IFERROR(__xludf.DUMMYFUNCTION("""COMPUTED_VALUE"""),9018.0)</f>
        <v>9018</v>
      </c>
      <c r="H783" s="46">
        <f>IFERROR(__xludf.DUMMYFUNCTION("""COMPUTED_VALUE"""),3942669.6)</f>
        <v>3942669.6</v>
      </c>
      <c r="I783" s="46">
        <f>IFERROR(__xludf.DUMMYFUNCTION("""COMPUTED_VALUE"""),2374709.94)</f>
        <v>2374709.94</v>
      </c>
      <c r="J783" s="46">
        <f>IFERROR(__xludf.DUMMYFUNCTION("""COMPUTED_VALUE"""),1567959.6600000001)</f>
        <v>1567959.66</v>
      </c>
      <c r="K783" s="46" t="str">
        <f t="array" ref="K783">TEXT(D783, "mmmm")</f>
        <v>December</v>
      </c>
      <c r="M783" s="46" t="str">
        <f>IFERROR(__xludf.DUMMYFUNCTION("""COMPUTED_VALUE"""),"Macedonia")</f>
        <v>Macedonia</v>
      </c>
      <c r="N783" s="94">
        <f>IFERROR(__xludf.DUMMYFUNCTION("""COMPUTED_VALUE"""),42064.0)</f>
        <v>42064</v>
      </c>
      <c r="O783" s="46">
        <f>IFERROR(__xludf.DUMMYFUNCTION("""COMPUTED_VALUE"""),1.0)</f>
        <v>1</v>
      </c>
      <c r="P783" s="46">
        <f>IFERROR(__xludf.DUMMYFUNCTION("""COMPUTED_VALUE"""),2659.0)</f>
        <v>2659</v>
      </c>
      <c r="Q783" s="46">
        <f>IFERROR(__xludf.DUMMYFUNCTION("""COMPUTED_VALUE"""),1121805.51)</f>
        <v>1121805.51</v>
      </c>
      <c r="R783" s="46">
        <f>IFERROR(__xludf.DUMMYFUNCTION("""COMPUTED_VALUE"""),969710.71)</f>
        <v>969710.71</v>
      </c>
      <c r="S783" s="46">
        <f>IFERROR(__xludf.DUMMYFUNCTION("""COMPUTED_VALUE"""),152094.80000000005)</f>
        <v>152094.8</v>
      </c>
    </row>
    <row r="784">
      <c r="A784" s="46" t="str">
        <f>IFERROR(__xludf.DUMMYFUNCTION("""COMPUTED_VALUE"""),"Cosmetics")</f>
        <v>Cosmetics</v>
      </c>
      <c r="B784" s="46" t="str">
        <f>IFERROR(__xludf.DUMMYFUNCTION("""COMPUTED_VALUE"""),"United Kingdom")</f>
        <v>United Kingdom</v>
      </c>
      <c r="C784" s="46" t="str">
        <f>IFERROR(__xludf.DUMMYFUNCTION("""COMPUTED_VALUE"""),"Europe")</f>
        <v>Europe</v>
      </c>
      <c r="D784" s="90">
        <f>IFERROR(__xludf.DUMMYFUNCTION("""COMPUTED_VALUE"""),41244.0)</f>
        <v>41244</v>
      </c>
      <c r="E784" s="46">
        <f>IFERROR(__xludf.DUMMYFUNCTION("""COMPUTED_VALUE"""),2012.0)</f>
        <v>2012</v>
      </c>
      <c r="F784" s="46">
        <f>IFERROR(__xludf.DUMMYFUNCTION("""COMPUTED_VALUE"""),1.0)</f>
        <v>1</v>
      </c>
      <c r="G784" s="46">
        <f>IFERROR(__xludf.DUMMYFUNCTION("""COMPUTED_VALUE"""),8807.0)</f>
        <v>8807</v>
      </c>
      <c r="H784" s="46">
        <f>IFERROR(__xludf.DUMMYFUNCTION("""COMPUTED_VALUE"""),3850420.4)</f>
        <v>3850420.4</v>
      </c>
      <c r="I784" s="46">
        <f>IFERROR(__xludf.DUMMYFUNCTION("""COMPUTED_VALUE"""),2319147.31)</f>
        <v>2319147.31</v>
      </c>
      <c r="J784" s="46">
        <f>IFERROR(__xludf.DUMMYFUNCTION("""COMPUTED_VALUE"""),1531273.0899999999)</f>
        <v>1531273.09</v>
      </c>
      <c r="K784" s="46" t="str">
        <f t="array" ref="K784">TEXT(D784, "mmmm")</f>
        <v>December</v>
      </c>
      <c r="M784" s="46" t="str">
        <f>IFERROR(__xludf.DUMMYFUNCTION("""COMPUTED_VALUE"""),"Malta")</f>
        <v>Malta</v>
      </c>
      <c r="N784" s="94">
        <f>IFERROR(__xludf.DUMMYFUNCTION("""COMPUTED_VALUE"""),42064.0)</f>
        <v>42064</v>
      </c>
      <c r="O784" s="46">
        <f>IFERROR(__xludf.DUMMYFUNCTION("""COMPUTED_VALUE"""),1.0)</f>
        <v>1</v>
      </c>
      <c r="P784" s="46">
        <f>IFERROR(__xludf.DUMMYFUNCTION("""COMPUTED_VALUE"""),8509.0)</f>
        <v>8509</v>
      </c>
      <c r="Q784" s="46">
        <f>IFERROR(__xludf.DUMMYFUNCTION("""COMPUTED_VALUE"""),3589862.01)</f>
        <v>3589862.01</v>
      </c>
      <c r="R784" s="46">
        <f>IFERROR(__xludf.DUMMYFUNCTION("""COMPUTED_VALUE"""),3103147.21)</f>
        <v>3103147.21</v>
      </c>
      <c r="S784" s="46">
        <f>IFERROR(__xludf.DUMMYFUNCTION("""COMPUTED_VALUE"""),486714.7999999998)</f>
        <v>486714.8</v>
      </c>
    </row>
    <row r="785">
      <c r="A785" s="46" t="str">
        <f>IFERROR(__xludf.DUMMYFUNCTION("""COMPUTED_VALUE"""),"Fruits")</f>
        <v>Fruits</v>
      </c>
      <c r="B785" s="46" t="str">
        <f>IFERROR(__xludf.DUMMYFUNCTION("""COMPUTED_VALUE"""),"Spain")</f>
        <v>Spain</v>
      </c>
      <c r="C785" s="46" t="str">
        <f>IFERROR(__xludf.DUMMYFUNCTION("""COMPUTED_VALUE"""),"Europe")</f>
        <v>Europe</v>
      </c>
      <c r="D785" s="90">
        <f>IFERROR(__xludf.DUMMYFUNCTION("""COMPUTED_VALUE"""),41244.0)</f>
        <v>41244</v>
      </c>
      <c r="E785" s="46">
        <f>IFERROR(__xludf.DUMMYFUNCTION("""COMPUTED_VALUE"""),2012.0)</f>
        <v>2012</v>
      </c>
      <c r="F785" s="46">
        <f>IFERROR(__xludf.DUMMYFUNCTION("""COMPUTED_VALUE"""),1.0)</f>
        <v>1</v>
      </c>
      <c r="G785" s="46">
        <f>IFERROR(__xludf.DUMMYFUNCTION("""COMPUTED_VALUE"""),3103.0)</f>
        <v>3103</v>
      </c>
      <c r="H785" s="46">
        <f>IFERROR(__xludf.DUMMYFUNCTION("""COMPUTED_VALUE"""),28950.99)</f>
        <v>28950.99</v>
      </c>
      <c r="I785" s="46">
        <f>IFERROR(__xludf.DUMMYFUNCTION("""COMPUTED_VALUE"""),21472.76)</f>
        <v>21472.76</v>
      </c>
      <c r="J785" s="46">
        <f>IFERROR(__xludf.DUMMYFUNCTION("""COMPUTED_VALUE"""),7478.230000000003)</f>
        <v>7478.23</v>
      </c>
      <c r="K785" s="46" t="str">
        <f t="array" ref="K785">TEXT(D785, "mmmm")</f>
        <v>December</v>
      </c>
      <c r="M785" s="46" t="str">
        <f>IFERROR(__xludf.DUMMYFUNCTION("""COMPUTED_VALUE"""),"Serbia")</f>
        <v>Serbia</v>
      </c>
      <c r="N785" s="94">
        <f>IFERROR(__xludf.DUMMYFUNCTION("""COMPUTED_VALUE"""),42064.0)</f>
        <v>42064</v>
      </c>
      <c r="O785" s="46">
        <f>IFERROR(__xludf.DUMMYFUNCTION("""COMPUTED_VALUE"""),1.0)</f>
        <v>1</v>
      </c>
      <c r="P785" s="46">
        <f>IFERROR(__xludf.DUMMYFUNCTION("""COMPUTED_VALUE"""),5731.0)</f>
        <v>5731</v>
      </c>
      <c r="Q785" s="46">
        <f>IFERROR(__xludf.DUMMYFUNCTION("""COMPUTED_VALUE"""),882917.86)</f>
        <v>882917.86</v>
      </c>
      <c r="R785" s="46">
        <f>IFERROR(__xludf.DUMMYFUNCTION("""COMPUTED_VALUE"""),521119.83)</f>
        <v>521119.83</v>
      </c>
      <c r="S785" s="46">
        <f>IFERROR(__xludf.DUMMYFUNCTION("""COMPUTED_VALUE"""),361798.02999999997)</f>
        <v>361798.03</v>
      </c>
    </row>
    <row r="786">
      <c r="A786" s="46" t="str">
        <f>IFERROR(__xludf.DUMMYFUNCTION("""COMPUTED_VALUE"""),"Household")</f>
        <v>Household</v>
      </c>
      <c r="B786" s="46" t="str">
        <f>IFERROR(__xludf.DUMMYFUNCTION("""COMPUTED_VALUE"""),"Czech Republic")</f>
        <v>Czech Republic</v>
      </c>
      <c r="C786" s="46" t="str">
        <f>IFERROR(__xludf.DUMMYFUNCTION("""COMPUTED_VALUE"""),"Europe")</f>
        <v>Europe</v>
      </c>
      <c r="D786" s="90">
        <f>IFERROR(__xludf.DUMMYFUNCTION("""COMPUTED_VALUE"""),41244.0)</f>
        <v>41244</v>
      </c>
      <c r="E786" s="46">
        <f>IFERROR(__xludf.DUMMYFUNCTION("""COMPUTED_VALUE"""),2012.0)</f>
        <v>2012</v>
      </c>
      <c r="F786" s="46">
        <f>IFERROR(__xludf.DUMMYFUNCTION("""COMPUTED_VALUE"""),1.0)</f>
        <v>1</v>
      </c>
      <c r="G786" s="46">
        <f>IFERROR(__xludf.DUMMYFUNCTION("""COMPUTED_VALUE"""),1448.0)</f>
        <v>1448</v>
      </c>
      <c r="H786" s="46">
        <f>IFERROR(__xludf.DUMMYFUNCTION("""COMPUTED_VALUE"""),967654.96)</f>
        <v>967654.96</v>
      </c>
      <c r="I786" s="46">
        <f>IFERROR(__xludf.DUMMYFUNCTION("""COMPUTED_VALUE"""),727677.92)</f>
        <v>727677.92</v>
      </c>
      <c r="J786" s="46">
        <f>IFERROR(__xludf.DUMMYFUNCTION("""COMPUTED_VALUE"""),239977.03999999992)</f>
        <v>239977.04</v>
      </c>
      <c r="K786" s="46" t="str">
        <f t="array" ref="K786">TEXT(D786, "mmmm")</f>
        <v>December</v>
      </c>
      <c r="M786" s="46" t="str">
        <f>IFERROR(__xludf.DUMMYFUNCTION("""COMPUTED_VALUE"""),"Slovakia")</f>
        <v>Slovakia</v>
      </c>
      <c r="N786" s="94">
        <f>IFERROR(__xludf.DUMMYFUNCTION("""COMPUTED_VALUE"""),42064.0)</f>
        <v>42064</v>
      </c>
      <c r="O786" s="46">
        <f>IFERROR(__xludf.DUMMYFUNCTION("""COMPUTED_VALUE"""),1.0)</f>
        <v>1</v>
      </c>
      <c r="P786" s="46">
        <f>IFERROR(__xludf.DUMMYFUNCTION("""COMPUTED_VALUE"""),2220.0)</f>
        <v>2220</v>
      </c>
      <c r="Q786" s="46">
        <f>IFERROR(__xludf.DUMMYFUNCTION("""COMPUTED_VALUE"""),1445686.2000000002)</f>
        <v>1445686.2</v>
      </c>
      <c r="R786" s="46">
        <f>IFERROR(__xludf.DUMMYFUNCTION("""COMPUTED_VALUE"""),1165411.2000000002)</f>
        <v>1165411.2</v>
      </c>
      <c r="S786" s="46">
        <f>IFERROR(__xludf.DUMMYFUNCTION("""COMPUTED_VALUE"""),280275.0)</f>
        <v>280275</v>
      </c>
    </row>
    <row r="787">
      <c r="A787" s="46" t="str">
        <f>IFERROR(__xludf.DUMMYFUNCTION("""COMPUTED_VALUE"""),"Meat")</f>
        <v>Meat</v>
      </c>
      <c r="B787" s="46" t="str">
        <f>IFERROR(__xludf.DUMMYFUNCTION("""COMPUTED_VALUE"""),"Romania")</f>
        <v>Romania</v>
      </c>
      <c r="C787" s="46" t="str">
        <f>IFERROR(__xludf.DUMMYFUNCTION("""COMPUTED_VALUE"""),"Europe")</f>
        <v>Europe</v>
      </c>
      <c r="D787" s="90">
        <f>IFERROR(__xludf.DUMMYFUNCTION("""COMPUTED_VALUE"""),41244.0)</f>
        <v>41244</v>
      </c>
      <c r="E787" s="46">
        <f>IFERROR(__xludf.DUMMYFUNCTION("""COMPUTED_VALUE"""),2012.0)</f>
        <v>2012</v>
      </c>
      <c r="F787" s="46">
        <f>IFERROR(__xludf.DUMMYFUNCTION("""COMPUTED_VALUE"""),1.0)</f>
        <v>1</v>
      </c>
      <c r="G787" s="46">
        <f>IFERROR(__xludf.DUMMYFUNCTION("""COMPUTED_VALUE"""),17.0)</f>
        <v>17</v>
      </c>
      <c r="H787" s="46">
        <f>IFERROR(__xludf.DUMMYFUNCTION("""COMPUTED_VALUE"""),7172.13)</f>
        <v>7172.13</v>
      </c>
      <c r="I787" s="46">
        <f>IFERROR(__xludf.DUMMYFUNCTION("""COMPUTED_VALUE"""),6199.73)</f>
        <v>6199.73</v>
      </c>
      <c r="J787" s="46">
        <f>IFERROR(__xludf.DUMMYFUNCTION("""COMPUTED_VALUE"""),972.4000000000005)</f>
        <v>972.4</v>
      </c>
      <c r="K787" s="46" t="str">
        <f t="array" ref="K787">TEXT(D787, "mmmm")</f>
        <v>December</v>
      </c>
      <c r="M787" s="46" t="str">
        <f>IFERROR(__xludf.DUMMYFUNCTION("""COMPUTED_VALUE"""),"Ukraine")</f>
        <v>Ukraine</v>
      </c>
      <c r="N787" s="94">
        <f>IFERROR(__xludf.DUMMYFUNCTION("""COMPUTED_VALUE"""),42064.0)</f>
        <v>42064</v>
      </c>
      <c r="O787" s="46">
        <f>IFERROR(__xludf.DUMMYFUNCTION("""COMPUTED_VALUE"""),3.0)</f>
        <v>3</v>
      </c>
      <c r="P787" s="46">
        <f>IFERROR(__xludf.DUMMYFUNCTION("""COMPUTED_VALUE"""),10168.0)</f>
        <v>10168</v>
      </c>
      <c r="Q787" s="46">
        <f>IFERROR(__xludf.DUMMYFUNCTION("""COMPUTED_VALUE"""),630863.6000000001)</f>
        <v>630863.6</v>
      </c>
      <c r="R787" s="46">
        <f>IFERROR(__xludf.DUMMYFUNCTION("""COMPUTED_VALUE"""),332960.72000000003)</f>
        <v>332960.72</v>
      </c>
      <c r="S787" s="46">
        <f>IFERROR(__xludf.DUMMYFUNCTION("""COMPUTED_VALUE"""),297902.88)</f>
        <v>297902.88</v>
      </c>
    </row>
    <row r="788">
      <c r="A788" s="46" t="str">
        <f>IFERROR(__xludf.DUMMYFUNCTION("""COMPUTED_VALUE"""),"Office Supplies")</f>
        <v>Office Supplies</v>
      </c>
      <c r="B788" s="46" t="str">
        <f>IFERROR(__xludf.DUMMYFUNCTION("""COMPUTED_VALUE"""),"Belgium")</f>
        <v>Belgium</v>
      </c>
      <c r="C788" s="46" t="str">
        <f>IFERROR(__xludf.DUMMYFUNCTION("""COMPUTED_VALUE"""),"Europe")</f>
        <v>Europe</v>
      </c>
      <c r="D788" s="90">
        <f>IFERROR(__xludf.DUMMYFUNCTION("""COMPUTED_VALUE"""),41244.0)</f>
        <v>41244</v>
      </c>
      <c r="E788" s="46">
        <f>IFERROR(__xludf.DUMMYFUNCTION("""COMPUTED_VALUE"""),2012.0)</f>
        <v>2012</v>
      </c>
      <c r="F788" s="46">
        <f>IFERROR(__xludf.DUMMYFUNCTION("""COMPUTED_VALUE"""),1.0)</f>
        <v>1</v>
      </c>
      <c r="G788" s="46">
        <f>IFERROR(__xludf.DUMMYFUNCTION("""COMPUTED_VALUE"""),5419.0)</f>
        <v>5419</v>
      </c>
      <c r="H788" s="46">
        <f>IFERROR(__xludf.DUMMYFUNCTION("""COMPUTED_VALUE"""),3528906.99)</f>
        <v>3528906.99</v>
      </c>
      <c r="I788" s="46">
        <f>IFERROR(__xludf.DUMMYFUNCTION("""COMPUTED_VALUE"""),2844758.24)</f>
        <v>2844758.24</v>
      </c>
      <c r="J788" s="46">
        <f>IFERROR(__xludf.DUMMYFUNCTION("""COMPUTED_VALUE"""),684148.75)</f>
        <v>684148.75</v>
      </c>
      <c r="K788" s="46" t="str">
        <f t="array" ref="K788">TEXT(D788, "mmmm")</f>
        <v>December</v>
      </c>
      <c r="M788" s="46" t="str">
        <f>IFERROR(__xludf.DUMMYFUNCTION("""COMPUTED_VALUE"""),"Undefined")</f>
        <v>Undefined</v>
      </c>
      <c r="N788" s="94">
        <f>IFERROR(__xludf.DUMMYFUNCTION("""COMPUTED_VALUE"""),42064.0)</f>
        <v>42064</v>
      </c>
      <c r="O788" s="46">
        <f>IFERROR(__xludf.DUMMYFUNCTION("""COMPUTED_VALUE"""),2.0)</f>
        <v>2</v>
      </c>
      <c r="P788" s="46">
        <f>IFERROR(__xludf.DUMMYFUNCTION("""COMPUTED_VALUE"""),4764.0)</f>
        <v>4764</v>
      </c>
      <c r="Q788" s="46">
        <f>IFERROR(__xludf.DUMMYFUNCTION("""COMPUTED_VALUE"""),611861.37)</f>
        <v>611861.37</v>
      </c>
      <c r="R788" s="46">
        <f>IFERROR(__xludf.DUMMYFUNCTION("""COMPUTED_VALUE"""),391516.6)</f>
        <v>391516.6</v>
      </c>
      <c r="S788" s="46">
        <f>IFERROR(__xludf.DUMMYFUNCTION("""COMPUTED_VALUE"""),220344.77000000005)</f>
        <v>220344.77</v>
      </c>
    </row>
    <row r="789">
      <c r="A789" s="46" t="str">
        <f>IFERROR(__xludf.DUMMYFUNCTION("""COMPUTED_VALUE"""),"Office Supplies")</f>
        <v>Office Supplies</v>
      </c>
      <c r="B789" s="46" t="str">
        <f>IFERROR(__xludf.DUMMYFUNCTION("""COMPUTED_VALUE"""),"Norway")</f>
        <v>Norway</v>
      </c>
      <c r="C789" s="46" t="str">
        <f>IFERROR(__xludf.DUMMYFUNCTION("""COMPUTED_VALUE"""),"Europe")</f>
        <v>Europe</v>
      </c>
      <c r="D789" s="90">
        <f>IFERROR(__xludf.DUMMYFUNCTION("""COMPUTED_VALUE"""),41244.0)</f>
        <v>41244</v>
      </c>
      <c r="E789" s="46">
        <f>IFERROR(__xludf.DUMMYFUNCTION("""COMPUTED_VALUE"""),2012.0)</f>
        <v>2012</v>
      </c>
      <c r="F789" s="46">
        <f>IFERROR(__xludf.DUMMYFUNCTION("""COMPUTED_VALUE"""),1.0)</f>
        <v>1</v>
      </c>
      <c r="G789" s="46">
        <f>IFERROR(__xludf.DUMMYFUNCTION("""COMPUTED_VALUE"""),1164.0)</f>
        <v>1164</v>
      </c>
      <c r="H789" s="46">
        <f>IFERROR(__xludf.DUMMYFUNCTION("""COMPUTED_VALUE"""),758008.4400000001)</f>
        <v>758008.44</v>
      </c>
      <c r="I789" s="46">
        <f>IFERROR(__xludf.DUMMYFUNCTION("""COMPUTED_VALUE"""),611053.4400000001)</f>
        <v>611053.44</v>
      </c>
      <c r="J789" s="46">
        <f>IFERROR(__xludf.DUMMYFUNCTION("""COMPUTED_VALUE"""),146955.0)</f>
        <v>146955</v>
      </c>
      <c r="K789" s="46" t="str">
        <f t="array" ref="K789">TEXT(D789, "mmmm")</f>
        <v>December</v>
      </c>
      <c r="M789" s="46" t="str">
        <f>IFERROR(__xludf.DUMMYFUNCTION("""COMPUTED_VALUE"""),"Austria")</f>
        <v>Austria</v>
      </c>
      <c r="N789" s="94">
        <f>IFERROR(__xludf.DUMMYFUNCTION("""COMPUTED_VALUE"""),42095.0)</f>
        <v>42095</v>
      </c>
      <c r="O789" s="46">
        <f>IFERROR(__xludf.DUMMYFUNCTION("""COMPUTED_VALUE"""),1.0)</f>
        <v>1</v>
      </c>
      <c r="P789" s="46">
        <f>IFERROR(__xludf.DUMMYFUNCTION("""COMPUTED_VALUE"""),7516.0)</f>
        <v>7516</v>
      </c>
      <c r="Q789" s="46">
        <f>IFERROR(__xludf.DUMMYFUNCTION("""COMPUTED_VALUE"""),4894494.36)</f>
        <v>4894494.36</v>
      </c>
      <c r="R789" s="46">
        <f>IFERROR(__xludf.DUMMYFUNCTION("""COMPUTED_VALUE"""),3945599.3600000003)</f>
        <v>3945599.36</v>
      </c>
      <c r="S789" s="46">
        <f>IFERROR(__xludf.DUMMYFUNCTION("""COMPUTED_VALUE"""),948895.0)</f>
        <v>948895</v>
      </c>
    </row>
    <row r="790">
      <c r="A790" s="46" t="str">
        <f>IFERROR(__xludf.DUMMYFUNCTION("""COMPUTED_VALUE"""),"Personal Care")</f>
        <v>Personal Care</v>
      </c>
      <c r="B790" s="46" t="str">
        <f>IFERROR(__xludf.DUMMYFUNCTION("""COMPUTED_VALUE"""),"Germany")</f>
        <v>Germany</v>
      </c>
      <c r="C790" s="46" t="str">
        <f>IFERROR(__xludf.DUMMYFUNCTION("""COMPUTED_VALUE"""),"Europe")</f>
        <v>Europe</v>
      </c>
      <c r="D790" s="90">
        <f>IFERROR(__xludf.DUMMYFUNCTION("""COMPUTED_VALUE"""),41244.0)</f>
        <v>41244</v>
      </c>
      <c r="E790" s="46">
        <f>IFERROR(__xludf.DUMMYFUNCTION("""COMPUTED_VALUE"""),2012.0)</f>
        <v>2012</v>
      </c>
      <c r="F790" s="46">
        <f>IFERROR(__xludf.DUMMYFUNCTION("""COMPUTED_VALUE"""),1.0)</f>
        <v>1</v>
      </c>
      <c r="G790" s="46">
        <f>IFERROR(__xludf.DUMMYFUNCTION("""COMPUTED_VALUE"""),71.0)</f>
        <v>71</v>
      </c>
      <c r="H790" s="46">
        <f>IFERROR(__xludf.DUMMYFUNCTION("""COMPUTED_VALUE"""),5802.83)</f>
        <v>5802.83</v>
      </c>
      <c r="I790" s="46">
        <f>IFERROR(__xludf.DUMMYFUNCTION("""COMPUTED_VALUE"""),4023.57)</f>
        <v>4023.57</v>
      </c>
      <c r="J790" s="46">
        <f>IFERROR(__xludf.DUMMYFUNCTION("""COMPUTED_VALUE"""),1779.2599999999998)</f>
        <v>1779.26</v>
      </c>
      <c r="K790" s="46" t="str">
        <f t="array" ref="K790">TEXT(D790, "mmmm")</f>
        <v>December</v>
      </c>
      <c r="M790" s="46" t="str">
        <f>IFERROR(__xludf.DUMMYFUNCTION("""COMPUTED_VALUE"""),"Belgium")</f>
        <v>Belgium</v>
      </c>
      <c r="N790" s="94">
        <f>IFERROR(__xludf.DUMMYFUNCTION("""COMPUTED_VALUE"""),42095.0)</f>
        <v>42095</v>
      </c>
      <c r="O790" s="46">
        <f>IFERROR(__xludf.DUMMYFUNCTION("""COMPUTED_VALUE"""),1.0)</f>
        <v>1</v>
      </c>
      <c r="P790" s="46">
        <f>IFERROR(__xludf.DUMMYFUNCTION("""COMPUTED_VALUE"""),206.0)</f>
        <v>206</v>
      </c>
      <c r="Q790" s="46">
        <f>IFERROR(__xludf.DUMMYFUNCTION("""COMPUTED_VALUE"""),137663.62)</f>
        <v>137663.62</v>
      </c>
      <c r="R790" s="46">
        <f>IFERROR(__xludf.DUMMYFUNCTION("""COMPUTED_VALUE"""),103523.24)</f>
        <v>103523.24</v>
      </c>
      <c r="S790" s="46">
        <f>IFERROR(__xludf.DUMMYFUNCTION("""COMPUTED_VALUE"""),34140.37999999999)</f>
        <v>34140.38</v>
      </c>
    </row>
    <row r="791">
      <c r="A791" s="46" t="str">
        <f>IFERROR(__xludf.DUMMYFUNCTION("""COMPUTED_VALUE"""),"Personal Care")</f>
        <v>Personal Care</v>
      </c>
      <c r="B791" s="46" t="str">
        <f>IFERROR(__xludf.DUMMYFUNCTION("""COMPUTED_VALUE"""),"Romania")</f>
        <v>Romania</v>
      </c>
      <c r="C791" s="46" t="str">
        <f>IFERROR(__xludf.DUMMYFUNCTION("""COMPUTED_VALUE"""),"Europe")</f>
        <v>Europe</v>
      </c>
      <c r="D791" s="90">
        <f>IFERROR(__xludf.DUMMYFUNCTION("""COMPUTED_VALUE"""),41244.0)</f>
        <v>41244</v>
      </c>
      <c r="E791" s="46">
        <f>IFERROR(__xludf.DUMMYFUNCTION("""COMPUTED_VALUE"""),2012.0)</f>
        <v>2012</v>
      </c>
      <c r="F791" s="46">
        <f>IFERROR(__xludf.DUMMYFUNCTION("""COMPUTED_VALUE"""),1.0)</f>
        <v>1</v>
      </c>
      <c r="G791" s="46">
        <f>IFERROR(__xludf.DUMMYFUNCTION("""COMPUTED_VALUE"""),1935.0)</f>
        <v>1935</v>
      </c>
      <c r="H791" s="46">
        <f>IFERROR(__xludf.DUMMYFUNCTION("""COMPUTED_VALUE"""),158147.55000000002)</f>
        <v>158147.55</v>
      </c>
      <c r="I791" s="46">
        <f>IFERROR(__xludf.DUMMYFUNCTION("""COMPUTED_VALUE"""),109656.45)</f>
        <v>109656.45</v>
      </c>
      <c r="J791" s="46">
        <f>IFERROR(__xludf.DUMMYFUNCTION("""COMPUTED_VALUE"""),48491.10000000002)</f>
        <v>48491.1</v>
      </c>
      <c r="K791" s="46" t="str">
        <f t="array" ref="K791">TEXT(D791, "mmmm")</f>
        <v>December</v>
      </c>
      <c r="M791" s="46" t="str">
        <f>IFERROR(__xludf.DUMMYFUNCTION("""COMPUTED_VALUE"""),"Bosnia and Herzegovina")</f>
        <v>Bosnia and Herzegovina</v>
      </c>
      <c r="N791" s="94">
        <f>IFERROR(__xludf.DUMMYFUNCTION("""COMPUTED_VALUE"""),42095.0)</f>
        <v>42095</v>
      </c>
      <c r="O791" s="46">
        <f>IFERROR(__xludf.DUMMYFUNCTION("""COMPUTED_VALUE"""),2.0)</f>
        <v>2</v>
      </c>
      <c r="P791" s="46">
        <f>IFERROR(__xludf.DUMMYFUNCTION("""COMPUTED_VALUE"""),7178.0)</f>
        <v>7178</v>
      </c>
      <c r="Q791" s="46">
        <f>IFERROR(__xludf.DUMMYFUNCTION("""COMPUTED_VALUE"""),1832399.8399999999)</f>
        <v>1832399.84</v>
      </c>
      <c r="R791" s="46">
        <f>IFERROR(__xludf.DUMMYFUNCTION("""COMPUTED_VALUE"""),1144316.76)</f>
        <v>1144316.76</v>
      </c>
      <c r="S791" s="46">
        <f>IFERROR(__xludf.DUMMYFUNCTION("""COMPUTED_VALUE"""),688083.08)</f>
        <v>688083.08</v>
      </c>
    </row>
    <row r="792">
      <c r="A792" s="46" t="str">
        <f>IFERROR(__xludf.DUMMYFUNCTION("""COMPUTED_VALUE"""),"Snacks")</f>
        <v>Snacks</v>
      </c>
      <c r="B792" s="46" t="str">
        <f>IFERROR(__xludf.DUMMYFUNCTION("""COMPUTED_VALUE"""),"Bosnia and Herzegovina")</f>
        <v>Bosnia and Herzegovina</v>
      </c>
      <c r="C792" s="46" t="str">
        <f>IFERROR(__xludf.DUMMYFUNCTION("""COMPUTED_VALUE"""),"Europe")</f>
        <v>Europe</v>
      </c>
      <c r="D792" s="90">
        <f>IFERROR(__xludf.DUMMYFUNCTION("""COMPUTED_VALUE"""),41244.0)</f>
        <v>41244</v>
      </c>
      <c r="E792" s="46">
        <f>IFERROR(__xludf.DUMMYFUNCTION("""COMPUTED_VALUE"""),2012.0)</f>
        <v>2012</v>
      </c>
      <c r="F792" s="46">
        <f>IFERROR(__xludf.DUMMYFUNCTION("""COMPUTED_VALUE"""),1.0)</f>
        <v>1</v>
      </c>
      <c r="G792" s="46">
        <f>IFERROR(__xludf.DUMMYFUNCTION("""COMPUTED_VALUE"""),2958.0)</f>
        <v>2958</v>
      </c>
      <c r="H792" s="46">
        <f>IFERROR(__xludf.DUMMYFUNCTION("""COMPUTED_VALUE"""),451331.64)</f>
        <v>451331.64</v>
      </c>
      <c r="I792" s="46">
        <f>IFERROR(__xludf.DUMMYFUNCTION("""COMPUTED_VALUE"""),288227.52)</f>
        <v>288227.52</v>
      </c>
      <c r="J792" s="46">
        <f>IFERROR(__xludf.DUMMYFUNCTION("""COMPUTED_VALUE"""),163104.12)</f>
        <v>163104.12</v>
      </c>
      <c r="K792" s="46" t="str">
        <f t="array" ref="K792">TEXT(D792, "mmmm")</f>
        <v>December</v>
      </c>
      <c r="M792" s="46" t="str">
        <f>IFERROR(__xludf.DUMMYFUNCTION("""COMPUTED_VALUE"""),"Ireland")</f>
        <v>Ireland</v>
      </c>
      <c r="N792" s="94">
        <f>IFERROR(__xludf.DUMMYFUNCTION("""COMPUTED_VALUE"""),42095.0)</f>
        <v>42095</v>
      </c>
      <c r="O792" s="46">
        <f>IFERROR(__xludf.DUMMYFUNCTION("""COMPUTED_VALUE"""),1.0)</f>
        <v>1</v>
      </c>
      <c r="P792" s="46">
        <f>IFERROR(__xludf.DUMMYFUNCTION("""COMPUTED_VALUE"""),2144.0)</f>
        <v>2144</v>
      </c>
      <c r="Q792" s="46">
        <f>IFERROR(__xludf.DUMMYFUNCTION("""COMPUTED_VALUE"""),547320.32)</f>
        <v>547320.32</v>
      </c>
      <c r="R792" s="46">
        <f>IFERROR(__xludf.DUMMYFUNCTION("""COMPUTED_VALUE"""),341796.48)</f>
        <v>341796.48</v>
      </c>
      <c r="S792" s="46">
        <f>IFERROR(__xludf.DUMMYFUNCTION("""COMPUTED_VALUE"""),205523.83999999997)</f>
        <v>205523.84</v>
      </c>
    </row>
    <row r="793">
      <c r="A793" s="46" t="str">
        <f>IFERROR(__xludf.DUMMYFUNCTION("""COMPUTED_VALUE"""),"Vegetables")</f>
        <v>Vegetables</v>
      </c>
      <c r="B793" s="46" t="str">
        <f>IFERROR(__xludf.DUMMYFUNCTION("""COMPUTED_VALUE"""),"Belarus")</f>
        <v>Belarus</v>
      </c>
      <c r="C793" s="46" t="str">
        <f>IFERROR(__xludf.DUMMYFUNCTION("""COMPUTED_VALUE"""),"Europe")</f>
        <v>Europe</v>
      </c>
      <c r="D793" s="90">
        <f>IFERROR(__xludf.DUMMYFUNCTION("""COMPUTED_VALUE"""),41244.0)</f>
        <v>41244</v>
      </c>
      <c r="E793" s="46">
        <f>IFERROR(__xludf.DUMMYFUNCTION("""COMPUTED_VALUE"""),2012.0)</f>
        <v>2012</v>
      </c>
      <c r="F793" s="46">
        <f>IFERROR(__xludf.DUMMYFUNCTION("""COMPUTED_VALUE"""),1.0)</f>
        <v>1</v>
      </c>
      <c r="G793" s="46">
        <f>IFERROR(__xludf.DUMMYFUNCTION("""COMPUTED_VALUE"""),8086.0)</f>
        <v>8086</v>
      </c>
      <c r="H793" s="46">
        <f>IFERROR(__xludf.DUMMYFUNCTION("""COMPUTED_VALUE"""),1245729.16)</f>
        <v>1245729.16</v>
      </c>
      <c r="I793" s="46">
        <f>IFERROR(__xludf.DUMMYFUNCTION("""COMPUTED_VALUE"""),735259.9800000001)</f>
        <v>735259.98</v>
      </c>
      <c r="J793" s="46">
        <f>IFERROR(__xludf.DUMMYFUNCTION("""COMPUTED_VALUE"""),510469.1799999998)</f>
        <v>510469.18</v>
      </c>
      <c r="K793" s="46" t="str">
        <f t="array" ref="K793">TEXT(D793, "mmmm")</f>
        <v>December</v>
      </c>
      <c r="M793" s="46" t="str">
        <f>IFERROR(__xludf.DUMMYFUNCTION("""COMPUTED_VALUE"""),"Macedonia")</f>
        <v>Macedonia</v>
      </c>
      <c r="N793" s="94">
        <f>IFERROR(__xludf.DUMMYFUNCTION("""COMPUTED_VALUE"""),42095.0)</f>
        <v>42095</v>
      </c>
      <c r="O793" s="46">
        <f>IFERROR(__xludf.DUMMYFUNCTION("""COMPUTED_VALUE"""),2.0)</f>
        <v>2</v>
      </c>
      <c r="P793" s="46">
        <f>IFERROR(__xludf.DUMMYFUNCTION("""COMPUTED_VALUE"""),14343.0)</f>
        <v>14343</v>
      </c>
      <c r="Q793" s="46">
        <f>IFERROR(__xludf.DUMMYFUNCTION("""COMPUTED_VALUE"""),1013591.73)</f>
        <v>1013591.73</v>
      </c>
      <c r="R793" s="46">
        <f>IFERROR(__xludf.DUMMYFUNCTION("""COMPUTED_VALUE"""),477777.27)</f>
        <v>477777.27</v>
      </c>
      <c r="S793" s="46">
        <f>IFERROR(__xludf.DUMMYFUNCTION("""COMPUTED_VALUE"""),535814.46)</f>
        <v>535814.46</v>
      </c>
    </row>
    <row r="794">
      <c r="A794" s="46" t="str">
        <f>IFERROR(__xludf.DUMMYFUNCTION("""COMPUTED_VALUE"""),"Vegetables")</f>
        <v>Vegetables</v>
      </c>
      <c r="B794" s="46" t="str">
        <f>IFERROR(__xludf.DUMMYFUNCTION("""COMPUTED_VALUE"""),"Undefined")</f>
        <v>Undefined</v>
      </c>
      <c r="C794" s="46" t="str">
        <f>IFERROR(__xludf.DUMMYFUNCTION("""COMPUTED_VALUE"""),"Undefined")</f>
        <v>Undefined</v>
      </c>
      <c r="D794" s="90">
        <f>IFERROR(__xludf.DUMMYFUNCTION("""COMPUTED_VALUE"""),41244.0)</f>
        <v>41244</v>
      </c>
      <c r="E794" s="46">
        <f>IFERROR(__xludf.DUMMYFUNCTION("""COMPUTED_VALUE"""),2012.0)</f>
        <v>2012</v>
      </c>
      <c r="F794" s="46">
        <f>IFERROR(__xludf.DUMMYFUNCTION("""COMPUTED_VALUE"""),1.0)</f>
        <v>1</v>
      </c>
      <c r="G794" s="46">
        <f>IFERROR(__xludf.DUMMYFUNCTION("""COMPUTED_VALUE"""),2337.0)</f>
        <v>2337</v>
      </c>
      <c r="H794" s="46">
        <f>IFERROR(__xludf.DUMMYFUNCTION("""COMPUTED_VALUE"""),360038.22000000003)</f>
        <v>360038.22</v>
      </c>
      <c r="I794" s="46">
        <f>IFERROR(__xludf.DUMMYFUNCTION("""COMPUTED_VALUE"""),212503.41)</f>
        <v>212503.41</v>
      </c>
      <c r="J794" s="46">
        <f>IFERROR(__xludf.DUMMYFUNCTION("""COMPUTED_VALUE"""),147534.81000000003)</f>
        <v>147534.81</v>
      </c>
      <c r="K794" s="46" t="str">
        <f t="array" ref="K794">TEXT(D794, "mmmm")</f>
        <v>December</v>
      </c>
      <c r="M794" s="46" t="str">
        <f>IFERROR(__xludf.DUMMYFUNCTION("""COMPUTED_VALUE"""),"Malta")</f>
        <v>Malta</v>
      </c>
      <c r="N794" s="94">
        <f>IFERROR(__xludf.DUMMYFUNCTION("""COMPUTED_VALUE"""),42095.0)</f>
        <v>42095</v>
      </c>
      <c r="O794" s="46">
        <f>IFERROR(__xludf.DUMMYFUNCTION("""COMPUTED_VALUE"""),1.0)</f>
        <v>1</v>
      </c>
      <c r="P794" s="46">
        <f>IFERROR(__xludf.DUMMYFUNCTION("""COMPUTED_VALUE"""),3504.0)</f>
        <v>3504</v>
      </c>
      <c r="Q794" s="46">
        <f>IFERROR(__xludf.DUMMYFUNCTION("""COMPUTED_VALUE"""),894501.12)</f>
        <v>894501.12</v>
      </c>
      <c r="R794" s="46">
        <f>IFERROR(__xludf.DUMMYFUNCTION("""COMPUTED_VALUE"""),558607.6799999999)</f>
        <v>558607.68</v>
      </c>
      <c r="S794" s="46">
        <f>IFERROR(__xludf.DUMMYFUNCTION("""COMPUTED_VALUE"""),335893.44000000006)</f>
        <v>335893.44</v>
      </c>
    </row>
    <row r="795">
      <c r="A795" s="46" t="str">
        <f>IFERROR(__xludf.DUMMYFUNCTION("""COMPUTED_VALUE"""),"Beverages")</f>
        <v>Beverages</v>
      </c>
      <c r="B795" s="46" t="str">
        <f>IFERROR(__xludf.DUMMYFUNCTION("""COMPUTED_VALUE"""),"Andorra")</f>
        <v>Andorra</v>
      </c>
      <c r="C795" s="46" t="str">
        <f>IFERROR(__xludf.DUMMYFUNCTION("""COMPUTED_VALUE"""),"Europe")</f>
        <v>Europe</v>
      </c>
      <c r="D795" s="90">
        <f>IFERROR(__xludf.DUMMYFUNCTION("""COMPUTED_VALUE"""),41214.0)</f>
        <v>41214</v>
      </c>
      <c r="E795" s="46">
        <f>IFERROR(__xludf.DUMMYFUNCTION("""COMPUTED_VALUE"""),2012.0)</f>
        <v>2012</v>
      </c>
      <c r="F795" s="46">
        <f>IFERROR(__xludf.DUMMYFUNCTION("""COMPUTED_VALUE"""),1.0)</f>
        <v>1</v>
      </c>
      <c r="G795" s="46">
        <f>IFERROR(__xludf.DUMMYFUNCTION("""COMPUTED_VALUE"""),5866.0)</f>
        <v>5866</v>
      </c>
      <c r="H795" s="46">
        <f>IFERROR(__xludf.DUMMYFUNCTION("""COMPUTED_VALUE"""),278341.7)</f>
        <v>278341.7</v>
      </c>
      <c r="I795" s="46">
        <f>IFERROR(__xludf.DUMMYFUNCTION("""COMPUTED_VALUE"""),186480.13999999998)</f>
        <v>186480.14</v>
      </c>
      <c r="J795" s="46">
        <f>IFERROR(__xludf.DUMMYFUNCTION("""COMPUTED_VALUE"""),91861.56000000003)</f>
        <v>91861.56</v>
      </c>
      <c r="K795" s="46" t="str">
        <f t="array" ref="K795">TEXT(D795, "mmmm")</f>
        <v>November</v>
      </c>
      <c r="M795" s="46" t="str">
        <f>IFERROR(__xludf.DUMMYFUNCTION("""COMPUTED_VALUE"""),"Russia")</f>
        <v>Russia</v>
      </c>
      <c r="N795" s="94">
        <f>IFERROR(__xludf.DUMMYFUNCTION("""COMPUTED_VALUE"""),42095.0)</f>
        <v>42095</v>
      </c>
      <c r="O795" s="46">
        <f>IFERROR(__xludf.DUMMYFUNCTION("""COMPUTED_VALUE"""),1.0)</f>
        <v>1</v>
      </c>
      <c r="P795" s="46">
        <f>IFERROR(__xludf.DUMMYFUNCTION("""COMPUTED_VALUE"""),9689.0)</f>
        <v>9689</v>
      </c>
      <c r="Q795" s="46">
        <f>IFERROR(__xludf.DUMMYFUNCTION("""COMPUTED_VALUE"""),791881.9700000001)</f>
        <v>791881.97</v>
      </c>
      <c r="R795" s="46">
        <f>IFERROR(__xludf.DUMMYFUNCTION("""COMPUTED_VALUE"""),549075.63)</f>
        <v>549075.63</v>
      </c>
      <c r="S795" s="46">
        <f>IFERROR(__xludf.DUMMYFUNCTION("""COMPUTED_VALUE"""),242806.34000000008)</f>
        <v>242806.34</v>
      </c>
    </row>
    <row r="796">
      <c r="A796" s="46" t="str">
        <f>IFERROR(__xludf.DUMMYFUNCTION("""COMPUTED_VALUE"""),"Cereal")</f>
        <v>Cereal</v>
      </c>
      <c r="B796" s="46" t="str">
        <f>IFERROR(__xludf.DUMMYFUNCTION("""COMPUTED_VALUE"""),"Belgium")</f>
        <v>Belgium</v>
      </c>
      <c r="C796" s="46" t="str">
        <f>IFERROR(__xludf.DUMMYFUNCTION("""COMPUTED_VALUE"""),"Europe")</f>
        <v>Europe</v>
      </c>
      <c r="D796" s="90">
        <f>IFERROR(__xludf.DUMMYFUNCTION("""COMPUTED_VALUE"""),41214.0)</f>
        <v>41214</v>
      </c>
      <c r="E796" s="46">
        <f>IFERROR(__xludf.DUMMYFUNCTION("""COMPUTED_VALUE"""),2012.0)</f>
        <v>2012</v>
      </c>
      <c r="F796" s="46">
        <f>IFERROR(__xludf.DUMMYFUNCTION("""COMPUTED_VALUE"""),1.0)</f>
        <v>1</v>
      </c>
      <c r="G796" s="46">
        <f>IFERROR(__xludf.DUMMYFUNCTION("""COMPUTED_VALUE"""),3705.0)</f>
        <v>3705</v>
      </c>
      <c r="H796" s="46">
        <f>IFERROR(__xludf.DUMMYFUNCTION("""COMPUTED_VALUE"""),762118.5)</f>
        <v>762118.5</v>
      </c>
      <c r="I796" s="46">
        <f>IFERROR(__xludf.DUMMYFUNCTION("""COMPUTED_VALUE"""),433892.55)</f>
        <v>433892.55</v>
      </c>
      <c r="J796" s="46">
        <f>IFERROR(__xludf.DUMMYFUNCTION("""COMPUTED_VALUE"""),328225.95)</f>
        <v>328225.95</v>
      </c>
      <c r="K796" s="46" t="str">
        <f t="array" ref="K796">TEXT(D796, "mmmm")</f>
        <v>November</v>
      </c>
      <c r="M796" s="46" t="str">
        <f>IFERROR(__xludf.DUMMYFUNCTION("""COMPUTED_VALUE"""),"Switzerland")</f>
        <v>Switzerland</v>
      </c>
      <c r="N796" s="94">
        <f>IFERROR(__xludf.DUMMYFUNCTION("""COMPUTED_VALUE"""),42095.0)</f>
        <v>42095</v>
      </c>
      <c r="O796" s="46">
        <f>IFERROR(__xludf.DUMMYFUNCTION("""COMPUTED_VALUE"""),1.0)</f>
        <v>1</v>
      </c>
      <c r="P796" s="46">
        <f>IFERROR(__xludf.DUMMYFUNCTION("""COMPUTED_VALUE"""),905.0)</f>
        <v>905</v>
      </c>
      <c r="Q796" s="46">
        <f>IFERROR(__xludf.DUMMYFUNCTION("""COMPUTED_VALUE"""),395666.0)</f>
        <v>395666</v>
      </c>
      <c r="R796" s="46">
        <f>IFERROR(__xludf.DUMMYFUNCTION("""COMPUTED_VALUE"""),238313.65)</f>
        <v>238313.65</v>
      </c>
      <c r="S796" s="46">
        <f>IFERROR(__xludf.DUMMYFUNCTION("""COMPUTED_VALUE"""),157352.35)</f>
        <v>157352.35</v>
      </c>
    </row>
    <row r="797">
      <c r="A797" s="46" t="str">
        <f>IFERROR(__xludf.DUMMYFUNCTION("""COMPUTED_VALUE"""),"Clothes")</f>
        <v>Clothes</v>
      </c>
      <c r="B797" s="46" t="str">
        <f>IFERROR(__xludf.DUMMYFUNCTION("""COMPUTED_VALUE"""),"Denmark")</f>
        <v>Denmark</v>
      </c>
      <c r="C797" s="46" t="str">
        <f>IFERROR(__xludf.DUMMYFUNCTION("""COMPUTED_VALUE"""),"Europe")</f>
        <v>Europe</v>
      </c>
      <c r="D797" s="90">
        <f>IFERROR(__xludf.DUMMYFUNCTION("""COMPUTED_VALUE"""),41214.0)</f>
        <v>41214</v>
      </c>
      <c r="E797" s="46">
        <f>IFERROR(__xludf.DUMMYFUNCTION("""COMPUTED_VALUE"""),2012.0)</f>
        <v>2012</v>
      </c>
      <c r="F797" s="46">
        <f>IFERROR(__xludf.DUMMYFUNCTION("""COMPUTED_VALUE"""),1.0)</f>
        <v>1</v>
      </c>
      <c r="G797" s="46">
        <f>IFERROR(__xludf.DUMMYFUNCTION("""COMPUTED_VALUE"""),2666.0)</f>
        <v>2666</v>
      </c>
      <c r="H797" s="46">
        <f>IFERROR(__xludf.DUMMYFUNCTION("""COMPUTED_VALUE"""),291340.48)</f>
        <v>291340.48</v>
      </c>
      <c r="I797" s="46">
        <f>IFERROR(__xludf.DUMMYFUNCTION("""COMPUTED_VALUE"""),95549.44)</f>
        <v>95549.44</v>
      </c>
      <c r="J797" s="46">
        <f>IFERROR(__xludf.DUMMYFUNCTION("""COMPUTED_VALUE"""),195791.03999999998)</f>
        <v>195791.04</v>
      </c>
      <c r="K797" s="46" t="str">
        <f t="array" ref="K797">TEXT(D797, "mmmm")</f>
        <v>November</v>
      </c>
      <c r="M797" s="46" t="str">
        <f>IFERROR(__xludf.DUMMYFUNCTION("""COMPUTED_VALUE"""),"Undefined")</f>
        <v>Undefined</v>
      </c>
      <c r="N797" s="94">
        <f>IFERROR(__xludf.DUMMYFUNCTION("""COMPUTED_VALUE"""),42095.0)</f>
        <v>42095</v>
      </c>
      <c r="O797" s="46">
        <f>IFERROR(__xludf.DUMMYFUNCTION("""COMPUTED_VALUE"""),1.0)</f>
        <v>1</v>
      </c>
      <c r="P797" s="46">
        <f>IFERROR(__xludf.DUMMYFUNCTION("""COMPUTED_VALUE"""),2815.0)</f>
        <v>2815</v>
      </c>
      <c r="Q797" s="46">
        <f>IFERROR(__xludf.DUMMYFUNCTION("""COMPUTED_VALUE"""),1833156.1500000001)</f>
        <v>1833156.15</v>
      </c>
      <c r="R797" s="46">
        <f>IFERROR(__xludf.DUMMYFUNCTION("""COMPUTED_VALUE"""),1477762.4000000001)</f>
        <v>1477762.4</v>
      </c>
      <c r="S797" s="46">
        <f>IFERROR(__xludf.DUMMYFUNCTION("""COMPUTED_VALUE"""),355393.75)</f>
        <v>355393.75</v>
      </c>
    </row>
    <row r="798">
      <c r="A798" s="46" t="str">
        <f>IFERROR(__xludf.DUMMYFUNCTION("""COMPUTED_VALUE"""),"Cosmetics")</f>
        <v>Cosmetics</v>
      </c>
      <c r="B798" s="46" t="str">
        <f>IFERROR(__xludf.DUMMYFUNCTION("""COMPUTED_VALUE"""),"Montenegro")</f>
        <v>Montenegro</v>
      </c>
      <c r="C798" s="46" t="str">
        <f>IFERROR(__xludf.DUMMYFUNCTION("""COMPUTED_VALUE"""),"Europe")</f>
        <v>Europe</v>
      </c>
      <c r="D798" s="90">
        <f>IFERROR(__xludf.DUMMYFUNCTION("""COMPUTED_VALUE"""),41214.0)</f>
        <v>41214</v>
      </c>
      <c r="E798" s="46">
        <f>IFERROR(__xludf.DUMMYFUNCTION("""COMPUTED_VALUE"""),2012.0)</f>
        <v>2012</v>
      </c>
      <c r="F798" s="46">
        <f>IFERROR(__xludf.DUMMYFUNCTION("""COMPUTED_VALUE"""),1.0)</f>
        <v>1</v>
      </c>
      <c r="G798" s="46">
        <f>IFERROR(__xludf.DUMMYFUNCTION("""COMPUTED_VALUE"""),9005.0)</f>
        <v>9005</v>
      </c>
      <c r="H798" s="46">
        <f>IFERROR(__xludf.DUMMYFUNCTION("""COMPUTED_VALUE"""),3936986.0)</f>
        <v>3936986</v>
      </c>
      <c r="I798" s="46">
        <f>IFERROR(__xludf.DUMMYFUNCTION("""COMPUTED_VALUE"""),2371286.65)</f>
        <v>2371286.65</v>
      </c>
      <c r="J798" s="46">
        <f>IFERROR(__xludf.DUMMYFUNCTION("""COMPUTED_VALUE"""),1565699.35)</f>
        <v>1565699.35</v>
      </c>
      <c r="K798" s="46" t="str">
        <f t="array" ref="K798">TEXT(D798, "mmmm")</f>
        <v>November</v>
      </c>
      <c r="M798" s="46" t="str">
        <f>IFERROR(__xludf.DUMMYFUNCTION("""COMPUTED_VALUE"""),"Austria")</f>
        <v>Austria</v>
      </c>
      <c r="N798" s="94">
        <f>IFERROR(__xludf.DUMMYFUNCTION("""COMPUTED_VALUE"""),42125.0)</f>
        <v>42125</v>
      </c>
      <c r="O798" s="46">
        <f>IFERROR(__xludf.DUMMYFUNCTION("""COMPUTED_VALUE"""),1.0)</f>
        <v>1</v>
      </c>
      <c r="P798" s="46">
        <f>IFERROR(__xludf.DUMMYFUNCTION("""COMPUTED_VALUE"""),6395.0)</f>
        <v>6395</v>
      </c>
      <c r="Q798" s="46">
        <f>IFERROR(__xludf.DUMMYFUNCTION("""COMPUTED_VALUE"""),303442.75)</f>
        <v>303442.75</v>
      </c>
      <c r="R798" s="46">
        <f>IFERROR(__xludf.DUMMYFUNCTION("""COMPUTED_VALUE"""),203297.05)</f>
        <v>203297.05</v>
      </c>
      <c r="S798" s="46">
        <f>IFERROR(__xludf.DUMMYFUNCTION("""COMPUTED_VALUE"""),100145.70000000001)</f>
        <v>100145.7</v>
      </c>
    </row>
    <row r="799">
      <c r="A799" s="46" t="str">
        <f>IFERROR(__xludf.DUMMYFUNCTION("""COMPUTED_VALUE"""),"Cosmetics")</f>
        <v>Cosmetics</v>
      </c>
      <c r="B799" s="46" t="str">
        <f>IFERROR(__xludf.DUMMYFUNCTION("""COMPUTED_VALUE"""),"San Marino")</f>
        <v>San Marino</v>
      </c>
      <c r="C799" s="46" t="str">
        <f>IFERROR(__xludf.DUMMYFUNCTION("""COMPUTED_VALUE"""),"Europe")</f>
        <v>Europe</v>
      </c>
      <c r="D799" s="90">
        <f>IFERROR(__xludf.DUMMYFUNCTION("""COMPUTED_VALUE"""),41214.0)</f>
        <v>41214</v>
      </c>
      <c r="E799" s="46">
        <f>IFERROR(__xludf.DUMMYFUNCTION("""COMPUTED_VALUE"""),2012.0)</f>
        <v>2012</v>
      </c>
      <c r="F799" s="46">
        <f>IFERROR(__xludf.DUMMYFUNCTION("""COMPUTED_VALUE"""),1.0)</f>
        <v>1</v>
      </c>
      <c r="G799" s="46">
        <f>IFERROR(__xludf.DUMMYFUNCTION("""COMPUTED_VALUE"""),1620.0)</f>
        <v>1620</v>
      </c>
      <c r="H799" s="46">
        <f>IFERROR(__xludf.DUMMYFUNCTION("""COMPUTED_VALUE"""),708264.0)</f>
        <v>708264</v>
      </c>
      <c r="I799" s="46">
        <f>IFERROR(__xludf.DUMMYFUNCTION("""COMPUTED_VALUE"""),426594.6)</f>
        <v>426594.6</v>
      </c>
      <c r="J799" s="46">
        <f>IFERROR(__xludf.DUMMYFUNCTION("""COMPUTED_VALUE"""),281669.4)</f>
        <v>281669.4</v>
      </c>
      <c r="K799" s="46" t="str">
        <f t="array" ref="K799">TEXT(D799, "mmmm")</f>
        <v>November</v>
      </c>
      <c r="M799" s="46" t="str">
        <f>IFERROR(__xludf.DUMMYFUNCTION("""COMPUTED_VALUE"""),"Czech Republic")</f>
        <v>Czech Republic</v>
      </c>
      <c r="N799" s="94">
        <f>IFERROR(__xludf.DUMMYFUNCTION("""COMPUTED_VALUE"""),42125.0)</f>
        <v>42125</v>
      </c>
      <c r="O799" s="46">
        <f>IFERROR(__xludf.DUMMYFUNCTION("""COMPUTED_VALUE"""),2.0)</f>
        <v>2</v>
      </c>
      <c r="P799" s="46">
        <f>IFERROR(__xludf.DUMMYFUNCTION("""COMPUTED_VALUE"""),7914.0)</f>
        <v>7914</v>
      </c>
      <c r="Q799" s="46">
        <f>IFERROR(__xludf.DUMMYFUNCTION("""COMPUTED_VALUE"""),4870062.93)</f>
        <v>4870062.93</v>
      </c>
      <c r="R799" s="46">
        <f>IFERROR(__xludf.DUMMYFUNCTION("""COMPUTED_VALUE"""),3628287.41)</f>
        <v>3628287.41</v>
      </c>
      <c r="S799" s="46">
        <f>IFERROR(__xludf.DUMMYFUNCTION("""COMPUTED_VALUE"""),1241775.5199999993)</f>
        <v>1241775.52</v>
      </c>
    </row>
    <row r="800">
      <c r="A800" s="46" t="str">
        <f>IFERROR(__xludf.DUMMYFUNCTION("""COMPUTED_VALUE"""),"Cosmetics")</f>
        <v>Cosmetics</v>
      </c>
      <c r="B800" s="46" t="str">
        <f>IFERROR(__xludf.DUMMYFUNCTION("""COMPUTED_VALUE"""),"Undefined")</f>
        <v>Undefined</v>
      </c>
      <c r="C800" s="46" t="str">
        <f>IFERROR(__xludf.DUMMYFUNCTION("""COMPUTED_VALUE"""),"Undefined")</f>
        <v>Undefined</v>
      </c>
      <c r="D800" s="90">
        <f>IFERROR(__xludf.DUMMYFUNCTION("""COMPUTED_VALUE"""),41214.0)</f>
        <v>41214</v>
      </c>
      <c r="E800" s="46">
        <f>IFERROR(__xludf.DUMMYFUNCTION("""COMPUTED_VALUE"""),2012.0)</f>
        <v>2012</v>
      </c>
      <c r="F800" s="46">
        <f>IFERROR(__xludf.DUMMYFUNCTION("""COMPUTED_VALUE"""),1.0)</f>
        <v>1</v>
      </c>
      <c r="G800" s="46">
        <f>IFERROR(__xludf.DUMMYFUNCTION("""COMPUTED_VALUE"""),1818.0)</f>
        <v>1818</v>
      </c>
      <c r="H800" s="46">
        <f>IFERROR(__xludf.DUMMYFUNCTION("""COMPUTED_VALUE"""),794829.6)</f>
        <v>794829.6</v>
      </c>
      <c r="I800" s="46">
        <f>IFERROR(__xludf.DUMMYFUNCTION("""COMPUTED_VALUE"""),478733.93999999994)</f>
        <v>478733.94</v>
      </c>
      <c r="J800" s="46">
        <f>IFERROR(__xludf.DUMMYFUNCTION("""COMPUTED_VALUE"""),316095.66000000003)</f>
        <v>316095.66</v>
      </c>
      <c r="K800" s="46" t="str">
        <f t="array" ref="K800">TEXT(D800, "mmmm")</f>
        <v>November</v>
      </c>
      <c r="M800" s="46" t="str">
        <f>IFERROR(__xludf.DUMMYFUNCTION("""COMPUTED_VALUE"""),"Greece")</f>
        <v>Greece</v>
      </c>
      <c r="N800" s="94">
        <f>IFERROR(__xludf.DUMMYFUNCTION("""COMPUTED_VALUE"""),42125.0)</f>
        <v>42125</v>
      </c>
      <c r="O800" s="46">
        <f>IFERROR(__xludf.DUMMYFUNCTION("""COMPUTED_VALUE"""),1.0)</f>
        <v>1</v>
      </c>
      <c r="P800" s="46">
        <f>IFERROR(__xludf.DUMMYFUNCTION("""COMPUTED_VALUE"""),2422.0)</f>
        <v>2422</v>
      </c>
      <c r="Q800" s="46">
        <f>IFERROR(__xludf.DUMMYFUNCTION("""COMPUTED_VALUE"""),498205.39999999997)</f>
        <v>498205.4</v>
      </c>
      <c r="R800" s="46">
        <f>IFERROR(__xludf.DUMMYFUNCTION("""COMPUTED_VALUE"""),283640.42)</f>
        <v>283640.42</v>
      </c>
      <c r="S800" s="46">
        <f>IFERROR(__xludf.DUMMYFUNCTION("""COMPUTED_VALUE"""),214564.97999999998)</f>
        <v>214564.98</v>
      </c>
    </row>
    <row r="801">
      <c r="A801" s="46" t="str">
        <f>IFERROR(__xludf.DUMMYFUNCTION("""COMPUTED_VALUE"""),"Fruits")</f>
        <v>Fruits</v>
      </c>
      <c r="B801" s="46" t="str">
        <f>IFERROR(__xludf.DUMMYFUNCTION("""COMPUTED_VALUE"""),"Czech Republic")</f>
        <v>Czech Republic</v>
      </c>
      <c r="C801" s="46" t="str">
        <f>IFERROR(__xludf.DUMMYFUNCTION("""COMPUTED_VALUE"""),"Europe")</f>
        <v>Europe</v>
      </c>
      <c r="D801" s="90">
        <f>IFERROR(__xludf.DUMMYFUNCTION("""COMPUTED_VALUE"""),41214.0)</f>
        <v>41214</v>
      </c>
      <c r="E801" s="46">
        <f>IFERROR(__xludf.DUMMYFUNCTION("""COMPUTED_VALUE"""),2012.0)</f>
        <v>2012</v>
      </c>
      <c r="F801" s="46">
        <f>IFERROR(__xludf.DUMMYFUNCTION("""COMPUTED_VALUE"""),1.0)</f>
        <v>1</v>
      </c>
      <c r="G801" s="46">
        <f>IFERROR(__xludf.DUMMYFUNCTION("""COMPUTED_VALUE"""),314.0)</f>
        <v>314</v>
      </c>
      <c r="H801" s="46">
        <f>IFERROR(__xludf.DUMMYFUNCTION("""COMPUTED_VALUE"""),2929.62)</f>
        <v>2929.62</v>
      </c>
      <c r="I801" s="46">
        <f>IFERROR(__xludf.DUMMYFUNCTION("""COMPUTED_VALUE"""),2172.88)</f>
        <v>2172.88</v>
      </c>
      <c r="J801" s="46">
        <f>IFERROR(__xludf.DUMMYFUNCTION("""COMPUTED_VALUE"""),756.7399999999998)</f>
        <v>756.74</v>
      </c>
      <c r="K801" s="46" t="str">
        <f t="array" ref="K801">TEXT(D801, "mmmm")</f>
        <v>November</v>
      </c>
      <c r="M801" s="46" t="str">
        <f>IFERROR(__xludf.DUMMYFUNCTION("""COMPUTED_VALUE"""),"Lithuania")</f>
        <v>Lithuania</v>
      </c>
      <c r="N801" s="94">
        <f>IFERROR(__xludf.DUMMYFUNCTION("""COMPUTED_VALUE"""),42125.0)</f>
        <v>42125</v>
      </c>
      <c r="O801" s="46">
        <f>IFERROR(__xludf.DUMMYFUNCTION("""COMPUTED_VALUE"""),1.0)</f>
        <v>1</v>
      </c>
      <c r="P801" s="46">
        <f>IFERROR(__xludf.DUMMYFUNCTION("""COMPUTED_VALUE"""),3771.0)</f>
        <v>3771</v>
      </c>
      <c r="Q801" s="46">
        <f>IFERROR(__xludf.DUMMYFUNCTION("""COMPUTED_VALUE"""),308203.83)</f>
        <v>308203.83</v>
      </c>
      <c r="R801" s="46">
        <f>IFERROR(__xludf.DUMMYFUNCTION("""COMPUTED_VALUE"""),213702.57)</f>
        <v>213702.57</v>
      </c>
      <c r="S801" s="46">
        <f>IFERROR(__xludf.DUMMYFUNCTION("""COMPUTED_VALUE"""),94501.26000000001)</f>
        <v>94501.26</v>
      </c>
    </row>
    <row r="802">
      <c r="A802" s="46" t="str">
        <f>IFERROR(__xludf.DUMMYFUNCTION("""COMPUTED_VALUE"""),"Meat")</f>
        <v>Meat</v>
      </c>
      <c r="B802" s="46" t="str">
        <f>IFERROR(__xludf.DUMMYFUNCTION("""COMPUTED_VALUE"""),"Undefined")</f>
        <v>Undefined</v>
      </c>
      <c r="C802" s="46" t="str">
        <f>IFERROR(__xludf.DUMMYFUNCTION("""COMPUTED_VALUE"""),"Undefined")</f>
        <v>Undefined</v>
      </c>
      <c r="D802" s="90">
        <f>IFERROR(__xludf.DUMMYFUNCTION("""COMPUTED_VALUE"""),41214.0)</f>
        <v>41214</v>
      </c>
      <c r="E802" s="46">
        <f>IFERROR(__xludf.DUMMYFUNCTION("""COMPUTED_VALUE"""),2012.0)</f>
        <v>2012</v>
      </c>
      <c r="F802" s="46">
        <f>IFERROR(__xludf.DUMMYFUNCTION("""COMPUTED_VALUE"""),1.0)</f>
        <v>1</v>
      </c>
      <c r="G802" s="46">
        <f>IFERROR(__xludf.DUMMYFUNCTION("""COMPUTED_VALUE"""),8959.0)</f>
        <v>8959</v>
      </c>
      <c r="H802" s="46">
        <f>IFERROR(__xludf.DUMMYFUNCTION("""COMPUTED_VALUE"""),3779712.51)</f>
        <v>3779712.51</v>
      </c>
      <c r="I802" s="46">
        <f>IFERROR(__xludf.DUMMYFUNCTION("""COMPUTED_VALUE"""),3267257.71)</f>
        <v>3267257.71</v>
      </c>
      <c r="J802" s="46">
        <f>IFERROR(__xludf.DUMMYFUNCTION("""COMPUTED_VALUE"""),512454.7999999998)</f>
        <v>512454.8</v>
      </c>
      <c r="K802" s="46" t="str">
        <f t="array" ref="K802">TEXT(D802, "mmmm")</f>
        <v>November</v>
      </c>
      <c r="M802" s="46" t="str">
        <f>IFERROR(__xludf.DUMMYFUNCTION("""COMPUTED_VALUE"""),"Malta")</f>
        <v>Malta</v>
      </c>
      <c r="N802" s="94">
        <f>IFERROR(__xludf.DUMMYFUNCTION("""COMPUTED_VALUE"""),42125.0)</f>
        <v>42125</v>
      </c>
      <c r="O802" s="46">
        <f>IFERROR(__xludf.DUMMYFUNCTION("""COMPUTED_VALUE"""),1.0)</f>
        <v>1</v>
      </c>
      <c r="P802" s="46">
        <f>IFERROR(__xludf.DUMMYFUNCTION("""COMPUTED_VALUE"""),2311.0)</f>
        <v>2311</v>
      </c>
      <c r="Q802" s="46">
        <f>IFERROR(__xludf.DUMMYFUNCTION("""COMPUTED_VALUE"""),352612.38)</f>
        <v>352612.38</v>
      </c>
      <c r="R802" s="46">
        <f>IFERROR(__xludf.DUMMYFUNCTION("""COMPUTED_VALUE"""),225183.84)</f>
        <v>225183.84</v>
      </c>
      <c r="S802" s="46">
        <f>IFERROR(__xludf.DUMMYFUNCTION("""COMPUTED_VALUE"""),127428.54000000001)</f>
        <v>127428.54</v>
      </c>
    </row>
    <row r="803">
      <c r="A803" s="46" t="str">
        <f>IFERROR(__xludf.DUMMYFUNCTION("""COMPUTED_VALUE"""),"Office Supplies")</f>
        <v>Office Supplies</v>
      </c>
      <c r="B803" s="46" t="str">
        <f>IFERROR(__xludf.DUMMYFUNCTION("""COMPUTED_VALUE"""),"Bosnia and Herzegovina")</f>
        <v>Bosnia and Herzegovina</v>
      </c>
      <c r="C803" s="46" t="str">
        <f>IFERROR(__xludf.DUMMYFUNCTION("""COMPUTED_VALUE"""),"Europe")</f>
        <v>Europe</v>
      </c>
      <c r="D803" s="90">
        <f>IFERROR(__xludf.DUMMYFUNCTION("""COMPUTED_VALUE"""),41214.0)</f>
        <v>41214</v>
      </c>
      <c r="E803" s="46">
        <f>IFERROR(__xludf.DUMMYFUNCTION("""COMPUTED_VALUE"""),2012.0)</f>
        <v>2012</v>
      </c>
      <c r="F803" s="46">
        <f>IFERROR(__xludf.DUMMYFUNCTION("""COMPUTED_VALUE"""),1.0)</f>
        <v>1</v>
      </c>
      <c r="G803" s="46">
        <f>IFERROR(__xludf.DUMMYFUNCTION("""COMPUTED_VALUE"""),6660.0)</f>
        <v>6660</v>
      </c>
      <c r="H803" s="46">
        <f>IFERROR(__xludf.DUMMYFUNCTION("""COMPUTED_VALUE"""),4337058.600000001)</f>
        <v>4337058.6</v>
      </c>
      <c r="I803" s="46">
        <f>IFERROR(__xludf.DUMMYFUNCTION("""COMPUTED_VALUE"""),3496233.6)</f>
        <v>3496233.6</v>
      </c>
      <c r="J803" s="46">
        <f>IFERROR(__xludf.DUMMYFUNCTION("""COMPUTED_VALUE"""),840825.0000000005)</f>
        <v>840825</v>
      </c>
      <c r="K803" s="46" t="str">
        <f t="array" ref="K803">TEXT(D803, "mmmm")</f>
        <v>November</v>
      </c>
      <c r="M803" s="46" t="str">
        <f>IFERROR(__xludf.DUMMYFUNCTION("""COMPUTED_VALUE"""),"Montenegro")</f>
        <v>Montenegro</v>
      </c>
      <c r="N803" s="94">
        <f>IFERROR(__xludf.DUMMYFUNCTION("""COMPUTED_VALUE"""),42125.0)</f>
        <v>42125</v>
      </c>
      <c r="O803" s="46">
        <f>IFERROR(__xludf.DUMMYFUNCTION("""COMPUTED_VALUE"""),1.0)</f>
        <v>1</v>
      </c>
      <c r="P803" s="46">
        <f>IFERROR(__xludf.DUMMYFUNCTION("""COMPUTED_VALUE"""),1779.0)</f>
        <v>1779</v>
      </c>
      <c r="Q803" s="46">
        <f>IFERROR(__xludf.DUMMYFUNCTION("""COMPUTED_VALUE"""),777778.7999999999)</f>
        <v>777778.8</v>
      </c>
      <c r="R803" s="46">
        <f>IFERROR(__xludf.DUMMYFUNCTION("""COMPUTED_VALUE"""),468464.06999999995)</f>
        <v>468464.07</v>
      </c>
      <c r="S803" s="46">
        <f>IFERROR(__xludf.DUMMYFUNCTION("""COMPUTED_VALUE"""),309314.73)</f>
        <v>309314.73</v>
      </c>
    </row>
    <row r="804">
      <c r="A804" s="46" t="str">
        <f>IFERROR(__xludf.DUMMYFUNCTION("""COMPUTED_VALUE"""),"Office Supplies")</f>
        <v>Office Supplies</v>
      </c>
      <c r="B804" s="46" t="str">
        <f>IFERROR(__xludf.DUMMYFUNCTION("""COMPUTED_VALUE"""),"Croatia")</f>
        <v>Croatia</v>
      </c>
      <c r="C804" s="46" t="str">
        <f>IFERROR(__xludf.DUMMYFUNCTION("""COMPUTED_VALUE"""),"Europe")</f>
        <v>Europe</v>
      </c>
      <c r="D804" s="90">
        <f>IFERROR(__xludf.DUMMYFUNCTION("""COMPUTED_VALUE"""),41214.0)</f>
        <v>41214</v>
      </c>
      <c r="E804" s="46">
        <f>IFERROR(__xludf.DUMMYFUNCTION("""COMPUTED_VALUE"""),2012.0)</f>
        <v>2012</v>
      </c>
      <c r="F804" s="46">
        <f>IFERROR(__xludf.DUMMYFUNCTION("""COMPUTED_VALUE"""),1.0)</f>
        <v>1</v>
      </c>
      <c r="G804" s="46">
        <f>IFERROR(__xludf.DUMMYFUNCTION("""COMPUTED_VALUE"""),2908.0)</f>
        <v>2908</v>
      </c>
      <c r="H804" s="46">
        <f>IFERROR(__xludf.DUMMYFUNCTION("""COMPUTED_VALUE"""),1893718.6800000002)</f>
        <v>1893718.68</v>
      </c>
      <c r="I804" s="46">
        <f>IFERROR(__xludf.DUMMYFUNCTION("""COMPUTED_VALUE"""),1526583.6800000002)</f>
        <v>1526583.68</v>
      </c>
      <c r="J804" s="46">
        <f>IFERROR(__xludf.DUMMYFUNCTION("""COMPUTED_VALUE"""),367135.0)</f>
        <v>367135</v>
      </c>
      <c r="K804" s="46" t="str">
        <f t="array" ref="K804">TEXT(D804, "mmmm")</f>
        <v>November</v>
      </c>
      <c r="M804" s="46" t="str">
        <f>IFERROR(__xludf.DUMMYFUNCTION("""COMPUTED_VALUE"""),"Norway")</f>
        <v>Norway</v>
      </c>
      <c r="N804" s="94">
        <f>IFERROR(__xludf.DUMMYFUNCTION("""COMPUTED_VALUE"""),42125.0)</f>
        <v>42125</v>
      </c>
      <c r="O804" s="46">
        <f>IFERROR(__xludf.DUMMYFUNCTION("""COMPUTED_VALUE"""),1.0)</f>
        <v>1</v>
      </c>
      <c r="P804" s="46">
        <f>IFERROR(__xludf.DUMMYFUNCTION("""COMPUTED_VALUE"""),1211.0)</f>
        <v>1211</v>
      </c>
      <c r="Q804" s="46">
        <f>IFERROR(__xludf.DUMMYFUNCTION("""COMPUTED_VALUE"""),529449.2)</f>
        <v>529449.2</v>
      </c>
      <c r="R804" s="46">
        <f>IFERROR(__xludf.DUMMYFUNCTION("""COMPUTED_VALUE"""),318892.63)</f>
        <v>318892.63</v>
      </c>
      <c r="S804" s="46">
        <f>IFERROR(__xludf.DUMMYFUNCTION("""COMPUTED_VALUE"""),210556.56999999995)</f>
        <v>210556.57</v>
      </c>
    </row>
    <row r="805">
      <c r="A805" s="46" t="str">
        <f>IFERROR(__xludf.DUMMYFUNCTION("""COMPUTED_VALUE"""),"Office Supplies")</f>
        <v>Office Supplies</v>
      </c>
      <c r="B805" s="46" t="str">
        <f>IFERROR(__xludf.DUMMYFUNCTION("""COMPUTED_VALUE"""),"Ukraine")</f>
        <v>Ukraine</v>
      </c>
      <c r="C805" s="46" t="str">
        <f>IFERROR(__xludf.DUMMYFUNCTION("""COMPUTED_VALUE"""),"Europe")</f>
        <v>Europe</v>
      </c>
      <c r="D805" s="90">
        <f>IFERROR(__xludf.DUMMYFUNCTION("""COMPUTED_VALUE"""),41214.0)</f>
        <v>41214</v>
      </c>
      <c r="E805" s="46">
        <f>IFERROR(__xludf.DUMMYFUNCTION("""COMPUTED_VALUE"""),2012.0)</f>
        <v>2012</v>
      </c>
      <c r="F805" s="46">
        <f>IFERROR(__xludf.DUMMYFUNCTION("""COMPUTED_VALUE"""),1.0)</f>
        <v>1</v>
      </c>
      <c r="G805" s="46">
        <f>IFERROR(__xludf.DUMMYFUNCTION("""COMPUTED_VALUE"""),7347.0)</f>
        <v>7347</v>
      </c>
      <c r="H805" s="46">
        <f>IFERROR(__xludf.DUMMYFUNCTION("""COMPUTED_VALUE"""),4784439.87)</f>
        <v>4784439.87</v>
      </c>
      <c r="I805" s="46">
        <f>IFERROR(__xludf.DUMMYFUNCTION("""COMPUTED_VALUE"""),3856881.12)</f>
        <v>3856881.12</v>
      </c>
      <c r="J805" s="46">
        <f>IFERROR(__xludf.DUMMYFUNCTION("""COMPUTED_VALUE"""),927558.75)</f>
        <v>927558.75</v>
      </c>
      <c r="K805" s="46" t="str">
        <f t="array" ref="K805">TEXT(D805, "mmmm")</f>
        <v>November</v>
      </c>
      <c r="M805" s="46" t="str">
        <f>IFERROR(__xludf.DUMMYFUNCTION("""COMPUTED_VALUE"""),"Romania")</f>
        <v>Romania</v>
      </c>
      <c r="N805" s="94">
        <f>IFERROR(__xludf.DUMMYFUNCTION("""COMPUTED_VALUE"""),42125.0)</f>
        <v>42125</v>
      </c>
      <c r="O805" s="46">
        <f>IFERROR(__xludf.DUMMYFUNCTION("""COMPUTED_VALUE"""),1.0)</f>
        <v>1</v>
      </c>
      <c r="P805" s="46">
        <f>IFERROR(__xludf.DUMMYFUNCTION("""COMPUTED_VALUE"""),317.0)</f>
        <v>317</v>
      </c>
      <c r="Q805" s="46">
        <f>IFERROR(__xludf.DUMMYFUNCTION("""COMPUTED_VALUE"""),15041.650000000001)</f>
        <v>15041.65</v>
      </c>
      <c r="R805" s="46">
        <f>IFERROR(__xludf.DUMMYFUNCTION("""COMPUTED_VALUE"""),10077.43)</f>
        <v>10077.43</v>
      </c>
      <c r="S805" s="46">
        <f>IFERROR(__xludf.DUMMYFUNCTION("""COMPUTED_VALUE"""),4964.220000000001)</f>
        <v>4964.22</v>
      </c>
    </row>
    <row r="806">
      <c r="A806" s="46" t="str">
        <f>IFERROR(__xludf.DUMMYFUNCTION("""COMPUTED_VALUE"""),"Personal Care")</f>
        <v>Personal Care</v>
      </c>
      <c r="B806" s="46" t="str">
        <f>IFERROR(__xludf.DUMMYFUNCTION("""COMPUTED_VALUE"""),"Italy")</f>
        <v>Italy</v>
      </c>
      <c r="C806" s="46" t="str">
        <f>IFERROR(__xludf.DUMMYFUNCTION("""COMPUTED_VALUE"""),"Europe")</f>
        <v>Europe</v>
      </c>
      <c r="D806" s="90">
        <f>IFERROR(__xludf.DUMMYFUNCTION("""COMPUTED_VALUE"""),41214.0)</f>
        <v>41214</v>
      </c>
      <c r="E806" s="46">
        <f>IFERROR(__xludf.DUMMYFUNCTION("""COMPUTED_VALUE"""),2012.0)</f>
        <v>2012</v>
      </c>
      <c r="F806" s="46">
        <f>IFERROR(__xludf.DUMMYFUNCTION("""COMPUTED_VALUE"""),1.0)</f>
        <v>1</v>
      </c>
      <c r="G806" s="46">
        <f>IFERROR(__xludf.DUMMYFUNCTION("""COMPUTED_VALUE"""),6993.0)</f>
        <v>6993</v>
      </c>
      <c r="H806" s="46">
        <f>IFERROR(__xludf.DUMMYFUNCTION("""COMPUTED_VALUE"""),571537.89)</f>
        <v>571537.89</v>
      </c>
      <c r="I806" s="46">
        <f>IFERROR(__xludf.DUMMYFUNCTION("""COMPUTED_VALUE"""),396293.31)</f>
        <v>396293.31</v>
      </c>
      <c r="J806" s="46">
        <f>IFERROR(__xludf.DUMMYFUNCTION("""COMPUTED_VALUE"""),175244.58000000002)</f>
        <v>175244.58</v>
      </c>
      <c r="K806" s="46" t="str">
        <f t="array" ref="K806">TEXT(D806, "mmmm")</f>
        <v>November</v>
      </c>
      <c r="M806" s="46" t="str">
        <f>IFERROR(__xludf.DUMMYFUNCTION("""COMPUTED_VALUE"""),"Russia")</f>
        <v>Russia</v>
      </c>
      <c r="N806" s="94">
        <f>IFERROR(__xludf.DUMMYFUNCTION("""COMPUTED_VALUE"""),42125.0)</f>
        <v>42125</v>
      </c>
      <c r="O806" s="46">
        <f>IFERROR(__xludf.DUMMYFUNCTION("""COMPUTED_VALUE"""),1.0)</f>
        <v>1</v>
      </c>
      <c r="P806" s="46">
        <f>IFERROR(__xludf.DUMMYFUNCTION("""COMPUTED_VALUE"""),6542.0)</f>
        <v>6542</v>
      </c>
      <c r="Q806" s="46">
        <f>IFERROR(__xludf.DUMMYFUNCTION("""COMPUTED_VALUE"""),1670041.76)</f>
        <v>1670041.76</v>
      </c>
      <c r="R806" s="46">
        <f>IFERROR(__xludf.DUMMYFUNCTION("""COMPUTED_VALUE"""),1042925.6399999999)</f>
        <v>1042925.64</v>
      </c>
      <c r="S806" s="46">
        <f>IFERROR(__xludf.DUMMYFUNCTION("""COMPUTED_VALUE"""),627116.1200000001)</f>
        <v>627116.12</v>
      </c>
    </row>
    <row r="807">
      <c r="A807" s="46" t="str">
        <f>IFERROR(__xludf.DUMMYFUNCTION("""COMPUTED_VALUE"""),"Snacks")</f>
        <v>Snacks</v>
      </c>
      <c r="B807" s="46" t="str">
        <f>IFERROR(__xludf.DUMMYFUNCTION("""COMPUTED_VALUE"""),"Cyprus")</f>
        <v>Cyprus</v>
      </c>
      <c r="C807" s="46" t="str">
        <f>IFERROR(__xludf.DUMMYFUNCTION("""COMPUTED_VALUE"""),"Asia")</f>
        <v>Asia</v>
      </c>
      <c r="D807" s="90">
        <f>IFERROR(__xludf.DUMMYFUNCTION("""COMPUTED_VALUE"""),41214.0)</f>
        <v>41214</v>
      </c>
      <c r="E807" s="46">
        <f>IFERROR(__xludf.DUMMYFUNCTION("""COMPUTED_VALUE"""),2012.0)</f>
        <v>2012</v>
      </c>
      <c r="F807" s="46">
        <f>IFERROR(__xludf.DUMMYFUNCTION("""COMPUTED_VALUE"""),1.0)</f>
        <v>1</v>
      </c>
      <c r="G807" s="46">
        <f>IFERROR(__xludf.DUMMYFUNCTION("""COMPUTED_VALUE"""),6128.0)</f>
        <v>6128</v>
      </c>
      <c r="H807" s="46">
        <f>IFERROR(__xludf.DUMMYFUNCTION("""COMPUTED_VALUE"""),935010.2400000001)</f>
        <v>935010.24</v>
      </c>
      <c r="I807" s="46">
        <f>IFERROR(__xludf.DUMMYFUNCTION("""COMPUTED_VALUE"""),597112.32)</f>
        <v>597112.32</v>
      </c>
      <c r="J807" s="46">
        <f>IFERROR(__xludf.DUMMYFUNCTION("""COMPUTED_VALUE"""),337897.92000000016)</f>
        <v>337897.92</v>
      </c>
      <c r="K807" s="46" t="str">
        <f t="array" ref="K807">TEXT(D807, "mmmm")</f>
        <v>November</v>
      </c>
      <c r="M807" s="46" t="str">
        <f>IFERROR(__xludf.DUMMYFUNCTION("""COMPUTED_VALUE"""),"Serbia")</f>
        <v>Serbia</v>
      </c>
      <c r="N807" s="94">
        <f>IFERROR(__xludf.DUMMYFUNCTION("""COMPUTED_VALUE"""),42125.0)</f>
        <v>42125</v>
      </c>
      <c r="O807" s="46">
        <f>IFERROR(__xludf.DUMMYFUNCTION("""COMPUTED_VALUE"""),1.0)</f>
        <v>1</v>
      </c>
      <c r="P807" s="46">
        <f>IFERROR(__xludf.DUMMYFUNCTION("""COMPUTED_VALUE"""),8918.0)</f>
        <v>8918</v>
      </c>
      <c r="Q807" s="46">
        <f>IFERROR(__xludf.DUMMYFUNCTION("""COMPUTED_VALUE"""),5807490.78)</f>
        <v>5807490.78</v>
      </c>
      <c r="R807" s="46">
        <f>IFERROR(__xludf.DUMMYFUNCTION("""COMPUTED_VALUE"""),4681593.28)</f>
        <v>4681593.28</v>
      </c>
      <c r="S807" s="46">
        <f>IFERROR(__xludf.DUMMYFUNCTION("""COMPUTED_VALUE"""),1125897.5)</f>
        <v>1125897.5</v>
      </c>
    </row>
    <row r="808">
      <c r="A808" s="46" t="str">
        <f>IFERROR(__xludf.DUMMYFUNCTION("""COMPUTED_VALUE"""),"Vegetables")</f>
        <v>Vegetables</v>
      </c>
      <c r="B808" s="46" t="str">
        <f>IFERROR(__xludf.DUMMYFUNCTION("""COMPUTED_VALUE"""),"Monaco")</f>
        <v>Monaco</v>
      </c>
      <c r="C808" s="46" t="str">
        <f>IFERROR(__xludf.DUMMYFUNCTION("""COMPUTED_VALUE"""),"Europe")</f>
        <v>Europe</v>
      </c>
      <c r="D808" s="90">
        <f>IFERROR(__xludf.DUMMYFUNCTION("""COMPUTED_VALUE"""),41214.0)</f>
        <v>41214</v>
      </c>
      <c r="E808" s="46">
        <f>IFERROR(__xludf.DUMMYFUNCTION("""COMPUTED_VALUE"""),2012.0)</f>
        <v>2012</v>
      </c>
      <c r="F808" s="46">
        <f>IFERROR(__xludf.DUMMYFUNCTION("""COMPUTED_VALUE"""),1.0)</f>
        <v>1</v>
      </c>
      <c r="G808" s="46">
        <f>IFERROR(__xludf.DUMMYFUNCTION("""COMPUTED_VALUE"""),5072.0)</f>
        <v>5072</v>
      </c>
      <c r="H808" s="46">
        <f>IFERROR(__xludf.DUMMYFUNCTION("""COMPUTED_VALUE"""),781392.3200000001)</f>
        <v>781392.32</v>
      </c>
      <c r="I808" s="46">
        <f>IFERROR(__xludf.DUMMYFUNCTION("""COMPUTED_VALUE"""),461196.96)</f>
        <v>461196.96</v>
      </c>
      <c r="J808" s="46">
        <f>IFERROR(__xludf.DUMMYFUNCTION("""COMPUTED_VALUE"""),320195.36000000004)</f>
        <v>320195.36</v>
      </c>
      <c r="K808" s="46" t="str">
        <f t="array" ref="K808">TEXT(D808, "mmmm")</f>
        <v>November</v>
      </c>
      <c r="M808" s="46" t="str">
        <f>IFERROR(__xludf.DUMMYFUNCTION("""COMPUTED_VALUE"""),"Slovakia")</f>
        <v>Slovakia</v>
      </c>
      <c r="N808" s="94">
        <f>IFERROR(__xludf.DUMMYFUNCTION("""COMPUTED_VALUE"""),42125.0)</f>
        <v>42125</v>
      </c>
      <c r="O808" s="46">
        <f>IFERROR(__xludf.DUMMYFUNCTION("""COMPUTED_VALUE"""),2.0)</f>
        <v>2</v>
      </c>
      <c r="P808" s="46">
        <f>IFERROR(__xludf.DUMMYFUNCTION("""COMPUTED_VALUE"""),12080.0)</f>
        <v>12080</v>
      </c>
      <c r="Q808" s="46">
        <f>IFERROR(__xludf.DUMMYFUNCTION("""COMPUTED_VALUE"""),3211872.88)</f>
        <v>3211872.88</v>
      </c>
      <c r="R808" s="46">
        <f>IFERROR(__xludf.DUMMYFUNCTION("""COMPUTED_VALUE"""),1745337.01)</f>
        <v>1745337.01</v>
      </c>
      <c r="S808" s="46">
        <f>IFERROR(__xludf.DUMMYFUNCTION("""COMPUTED_VALUE"""),1466535.8699999996)</f>
        <v>1466535.87</v>
      </c>
    </row>
    <row r="809">
      <c r="A809" s="46" t="str">
        <f>IFERROR(__xludf.DUMMYFUNCTION("""COMPUTED_VALUE"""),"Baby Food")</f>
        <v>Baby Food</v>
      </c>
      <c r="B809" s="46" t="str">
        <f>IFERROR(__xludf.DUMMYFUNCTION("""COMPUTED_VALUE"""),"Bosnia and Herzegovina")</f>
        <v>Bosnia and Herzegovina</v>
      </c>
      <c r="C809" s="46" t="str">
        <f>IFERROR(__xludf.DUMMYFUNCTION("""COMPUTED_VALUE"""),"Europe")</f>
        <v>Europe</v>
      </c>
      <c r="D809" s="90">
        <f>IFERROR(__xludf.DUMMYFUNCTION("""COMPUTED_VALUE"""),41183.0)</f>
        <v>41183</v>
      </c>
      <c r="E809" s="46">
        <f>IFERROR(__xludf.DUMMYFUNCTION("""COMPUTED_VALUE"""),2012.0)</f>
        <v>2012</v>
      </c>
      <c r="F809" s="46">
        <f>IFERROR(__xludf.DUMMYFUNCTION("""COMPUTED_VALUE"""),1.0)</f>
        <v>1</v>
      </c>
      <c r="G809" s="46">
        <f>IFERROR(__xludf.DUMMYFUNCTION("""COMPUTED_VALUE"""),9410.0)</f>
        <v>9410</v>
      </c>
      <c r="H809" s="46">
        <f>IFERROR(__xludf.DUMMYFUNCTION("""COMPUTED_VALUE"""),2402184.8)</f>
        <v>2402184.8</v>
      </c>
      <c r="I809" s="46">
        <f>IFERROR(__xludf.DUMMYFUNCTION("""COMPUTED_VALUE"""),1500142.2)</f>
        <v>1500142.2</v>
      </c>
      <c r="J809" s="46">
        <f>IFERROR(__xludf.DUMMYFUNCTION("""COMPUTED_VALUE"""),902042.5999999999)</f>
        <v>902042.6</v>
      </c>
      <c r="K809" s="46" t="str">
        <f t="array" ref="K809">TEXT(D809, "mmmm")</f>
        <v>October</v>
      </c>
      <c r="M809" s="46" t="str">
        <f>IFERROR(__xludf.DUMMYFUNCTION("""COMPUTED_VALUE"""),"Undefined")</f>
        <v>Undefined</v>
      </c>
      <c r="N809" s="94">
        <f>IFERROR(__xludf.DUMMYFUNCTION("""COMPUTED_VALUE"""),42125.0)</f>
        <v>42125</v>
      </c>
      <c r="O809" s="46">
        <f>IFERROR(__xludf.DUMMYFUNCTION("""COMPUTED_VALUE"""),1.0)</f>
        <v>1</v>
      </c>
      <c r="P809" s="46">
        <f>IFERROR(__xludf.DUMMYFUNCTION("""COMPUTED_VALUE"""),3965.0)</f>
        <v>3965</v>
      </c>
      <c r="Q809" s="46">
        <f>IFERROR(__xludf.DUMMYFUNCTION("""COMPUTED_VALUE"""),2582047.6500000004)</f>
        <v>2582047.65</v>
      </c>
      <c r="R809" s="46">
        <f>IFERROR(__xludf.DUMMYFUNCTION("""COMPUTED_VALUE"""),2081466.4000000001)</f>
        <v>2081466.4</v>
      </c>
      <c r="S809" s="46">
        <f>IFERROR(__xludf.DUMMYFUNCTION("""COMPUTED_VALUE"""),500581.25000000023)</f>
        <v>500581.25</v>
      </c>
    </row>
    <row r="810">
      <c r="A810" s="46" t="str">
        <f>IFERROR(__xludf.DUMMYFUNCTION("""COMPUTED_VALUE"""),"Baby Food")</f>
        <v>Baby Food</v>
      </c>
      <c r="B810" s="46" t="str">
        <f>IFERROR(__xludf.DUMMYFUNCTION("""COMPUTED_VALUE"""),"Liechtenstein")</f>
        <v>Liechtenstein</v>
      </c>
      <c r="C810" s="46" t="str">
        <f>IFERROR(__xludf.DUMMYFUNCTION("""COMPUTED_VALUE"""),"Europe")</f>
        <v>Europe</v>
      </c>
      <c r="D810" s="90">
        <f>IFERROR(__xludf.DUMMYFUNCTION("""COMPUTED_VALUE"""),41183.0)</f>
        <v>41183</v>
      </c>
      <c r="E810" s="46">
        <f>IFERROR(__xludf.DUMMYFUNCTION("""COMPUTED_VALUE"""),2012.0)</f>
        <v>2012</v>
      </c>
      <c r="F810" s="46">
        <f>IFERROR(__xludf.DUMMYFUNCTION("""COMPUTED_VALUE"""),1.0)</f>
        <v>1</v>
      </c>
      <c r="G810" s="46">
        <f>IFERROR(__xludf.DUMMYFUNCTION("""COMPUTED_VALUE"""),9223.0)</f>
        <v>9223</v>
      </c>
      <c r="H810" s="46">
        <f>IFERROR(__xludf.DUMMYFUNCTION("""COMPUTED_VALUE"""),2354447.44)</f>
        <v>2354447.44</v>
      </c>
      <c r="I810" s="46">
        <f>IFERROR(__xludf.DUMMYFUNCTION("""COMPUTED_VALUE"""),1470330.66)</f>
        <v>1470330.66</v>
      </c>
      <c r="J810" s="46">
        <f>IFERROR(__xludf.DUMMYFUNCTION("""COMPUTED_VALUE"""),884116.78)</f>
        <v>884116.78</v>
      </c>
      <c r="K810" s="46" t="str">
        <f t="array" ref="K810">TEXT(D810, "mmmm")</f>
        <v>October</v>
      </c>
      <c r="M810" s="46" t="str">
        <f>IFERROR(__xludf.DUMMYFUNCTION("""COMPUTED_VALUE"""),"United Kingdom")</f>
        <v>United Kingdom</v>
      </c>
      <c r="N810" s="94">
        <f>IFERROR(__xludf.DUMMYFUNCTION("""COMPUTED_VALUE"""),42125.0)</f>
        <v>42125</v>
      </c>
      <c r="O810" s="46">
        <f>IFERROR(__xludf.DUMMYFUNCTION("""COMPUTED_VALUE"""),1.0)</f>
        <v>1</v>
      </c>
      <c r="P810" s="46">
        <f>IFERROR(__xludf.DUMMYFUNCTION("""COMPUTED_VALUE"""),6864.0)</f>
        <v>6864</v>
      </c>
      <c r="Q810" s="46">
        <f>IFERROR(__xludf.DUMMYFUNCTION("""COMPUTED_VALUE"""),3000940.8)</f>
        <v>3000940.8</v>
      </c>
      <c r="R810" s="46">
        <f>IFERROR(__xludf.DUMMYFUNCTION("""COMPUTED_VALUE"""),1807497.1199999999)</f>
        <v>1807497.12</v>
      </c>
      <c r="S810" s="46">
        <f>IFERROR(__xludf.DUMMYFUNCTION("""COMPUTED_VALUE"""),1193443.68)</f>
        <v>1193443.68</v>
      </c>
    </row>
    <row r="811">
      <c r="A811" s="46" t="str">
        <f>IFERROR(__xludf.DUMMYFUNCTION("""COMPUTED_VALUE"""),"Baby Food")</f>
        <v>Baby Food</v>
      </c>
      <c r="B811" s="46" t="str">
        <f>IFERROR(__xludf.DUMMYFUNCTION("""COMPUTED_VALUE"""),"San Marino")</f>
        <v>San Marino</v>
      </c>
      <c r="C811" s="46" t="str">
        <f>IFERROR(__xludf.DUMMYFUNCTION("""COMPUTED_VALUE"""),"Europe")</f>
        <v>Europe</v>
      </c>
      <c r="D811" s="90">
        <f>IFERROR(__xludf.DUMMYFUNCTION("""COMPUTED_VALUE"""),41183.0)</f>
        <v>41183</v>
      </c>
      <c r="E811" s="46">
        <f>IFERROR(__xludf.DUMMYFUNCTION("""COMPUTED_VALUE"""),2012.0)</f>
        <v>2012</v>
      </c>
      <c r="F811" s="46">
        <f>IFERROR(__xludf.DUMMYFUNCTION("""COMPUTED_VALUE"""),1.0)</f>
        <v>1</v>
      </c>
      <c r="G811" s="46">
        <f>IFERROR(__xludf.DUMMYFUNCTION("""COMPUTED_VALUE"""),4985.0)</f>
        <v>4985</v>
      </c>
      <c r="H811" s="46">
        <f>IFERROR(__xludf.DUMMYFUNCTION("""COMPUTED_VALUE"""),1272570.8)</f>
        <v>1272570.8</v>
      </c>
      <c r="I811" s="46">
        <f>IFERROR(__xludf.DUMMYFUNCTION("""COMPUTED_VALUE"""),794708.7)</f>
        <v>794708.7</v>
      </c>
      <c r="J811" s="46">
        <f>IFERROR(__xludf.DUMMYFUNCTION("""COMPUTED_VALUE"""),477862.1000000001)</f>
        <v>477862.1</v>
      </c>
      <c r="K811" s="46" t="str">
        <f t="array" ref="K811">TEXT(D811, "mmmm")</f>
        <v>October</v>
      </c>
      <c r="M811" s="46" t="str">
        <f>IFERROR(__xludf.DUMMYFUNCTION("""COMPUTED_VALUE"""),"Armenia")</f>
        <v>Armenia</v>
      </c>
      <c r="N811" s="94">
        <f>IFERROR(__xludf.DUMMYFUNCTION("""COMPUTED_VALUE"""),42156.0)</f>
        <v>42156</v>
      </c>
      <c r="O811" s="46">
        <f>IFERROR(__xludf.DUMMYFUNCTION("""COMPUTED_VALUE"""),1.0)</f>
        <v>1</v>
      </c>
      <c r="P811" s="46">
        <f>IFERROR(__xludf.DUMMYFUNCTION("""COMPUTED_VALUE"""),7084.0)</f>
        <v>7084</v>
      </c>
      <c r="Q811" s="46">
        <f>IFERROR(__xludf.DUMMYFUNCTION("""COMPUTED_VALUE"""),2988668.76)</f>
        <v>2988668.76</v>
      </c>
      <c r="R811" s="46">
        <f>IFERROR(__xludf.DUMMYFUNCTION("""COMPUTED_VALUE"""),2583463.96)</f>
        <v>2583463.96</v>
      </c>
      <c r="S811" s="46">
        <f>IFERROR(__xludf.DUMMYFUNCTION("""COMPUTED_VALUE"""),405204.7999999998)</f>
        <v>405204.8</v>
      </c>
    </row>
    <row r="812">
      <c r="A812" s="46" t="str">
        <f>IFERROR(__xludf.DUMMYFUNCTION("""COMPUTED_VALUE"""),"Beverages")</f>
        <v>Beverages</v>
      </c>
      <c r="B812" s="46" t="str">
        <f>IFERROR(__xludf.DUMMYFUNCTION("""COMPUTED_VALUE"""),"Albania")</f>
        <v>Albania</v>
      </c>
      <c r="C812" s="46" t="str">
        <f>IFERROR(__xludf.DUMMYFUNCTION("""COMPUTED_VALUE"""),"Europe")</f>
        <v>Europe</v>
      </c>
      <c r="D812" s="90">
        <f>IFERROR(__xludf.DUMMYFUNCTION("""COMPUTED_VALUE"""),41183.0)</f>
        <v>41183</v>
      </c>
      <c r="E812" s="46">
        <f>IFERROR(__xludf.DUMMYFUNCTION("""COMPUTED_VALUE"""),2012.0)</f>
        <v>2012</v>
      </c>
      <c r="F812" s="46">
        <f>IFERROR(__xludf.DUMMYFUNCTION("""COMPUTED_VALUE"""),1.0)</f>
        <v>1</v>
      </c>
      <c r="G812" s="46">
        <f>IFERROR(__xludf.DUMMYFUNCTION("""COMPUTED_VALUE"""),1124.0)</f>
        <v>1124</v>
      </c>
      <c r="H812" s="46">
        <f>IFERROR(__xludf.DUMMYFUNCTION("""COMPUTED_VALUE"""),53333.8)</f>
        <v>53333.8</v>
      </c>
      <c r="I812" s="46">
        <f>IFERROR(__xludf.DUMMYFUNCTION("""COMPUTED_VALUE"""),35731.96)</f>
        <v>35731.96</v>
      </c>
      <c r="J812" s="46">
        <f>IFERROR(__xludf.DUMMYFUNCTION("""COMPUTED_VALUE"""),17601.840000000004)</f>
        <v>17601.84</v>
      </c>
      <c r="K812" s="46" t="str">
        <f t="array" ref="K812">TEXT(D812, "mmmm")</f>
        <v>October</v>
      </c>
      <c r="M812" s="46" t="str">
        <f>IFERROR(__xludf.DUMMYFUNCTION("""COMPUTED_VALUE"""),"Belarus")</f>
        <v>Belarus</v>
      </c>
      <c r="N812" s="94">
        <f>IFERROR(__xludf.DUMMYFUNCTION("""COMPUTED_VALUE"""),42156.0)</f>
        <v>42156</v>
      </c>
      <c r="O812" s="46">
        <f>IFERROR(__xludf.DUMMYFUNCTION("""COMPUTED_VALUE"""),1.0)</f>
        <v>1</v>
      </c>
      <c r="P812" s="46">
        <f>IFERROR(__xludf.DUMMYFUNCTION("""COMPUTED_VALUE"""),9773.0)</f>
        <v>9773</v>
      </c>
      <c r="Q812" s="46">
        <f>IFERROR(__xludf.DUMMYFUNCTION("""COMPUTED_VALUE"""),1067993.44)</f>
        <v>1067993.44</v>
      </c>
      <c r="R812" s="46">
        <f>IFERROR(__xludf.DUMMYFUNCTION("""COMPUTED_VALUE"""),350264.32)</f>
        <v>350264.32</v>
      </c>
      <c r="S812" s="46">
        <f>IFERROR(__xludf.DUMMYFUNCTION("""COMPUTED_VALUE"""),717729.1199999999)</f>
        <v>717729.12</v>
      </c>
    </row>
    <row r="813">
      <c r="A813" s="46" t="str">
        <f>IFERROR(__xludf.DUMMYFUNCTION("""COMPUTED_VALUE"""),"Beverages")</f>
        <v>Beverages</v>
      </c>
      <c r="B813" s="46" t="str">
        <f>IFERROR(__xludf.DUMMYFUNCTION("""COMPUTED_VALUE"""),"Netherlands")</f>
        <v>Netherlands</v>
      </c>
      <c r="C813" s="46" t="str">
        <f>IFERROR(__xludf.DUMMYFUNCTION("""COMPUTED_VALUE"""),"Europe")</f>
        <v>Europe</v>
      </c>
      <c r="D813" s="90">
        <f>IFERROR(__xludf.DUMMYFUNCTION("""COMPUTED_VALUE"""),41183.0)</f>
        <v>41183</v>
      </c>
      <c r="E813" s="46">
        <f>IFERROR(__xludf.DUMMYFUNCTION("""COMPUTED_VALUE"""),2012.0)</f>
        <v>2012</v>
      </c>
      <c r="F813" s="46">
        <f>IFERROR(__xludf.DUMMYFUNCTION("""COMPUTED_VALUE"""),1.0)</f>
        <v>1</v>
      </c>
      <c r="G813" s="46">
        <f>IFERROR(__xludf.DUMMYFUNCTION("""COMPUTED_VALUE"""),6699.0)</f>
        <v>6699</v>
      </c>
      <c r="H813" s="46">
        <f>IFERROR(__xludf.DUMMYFUNCTION("""COMPUTED_VALUE"""),317867.55000000005)</f>
        <v>317867.55</v>
      </c>
      <c r="I813" s="46">
        <f>IFERROR(__xludf.DUMMYFUNCTION("""COMPUTED_VALUE"""),212961.21)</f>
        <v>212961.21</v>
      </c>
      <c r="J813" s="46">
        <f>IFERROR(__xludf.DUMMYFUNCTION("""COMPUTED_VALUE"""),104906.34000000005)</f>
        <v>104906.34</v>
      </c>
      <c r="K813" s="46" t="str">
        <f t="array" ref="K813">TEXT(D813, "mmmm")</f>
        <v>October</v>
      </c>
      <c r="M813" s="46" t="str">
        <f>IFERROR(__xludf.DUMMYFUNCTION("""COMPUTED_VALUE"""),"Bosnia and Herzegovina")</f>
        <v>Bosnia and Herzegovina</v>
      </c>
      <c r="N813" s="94">
        <f>IFERROR(__xludf.DUMMYFUNCTION("""COMPUTED_VALUE"""),42156.0)</f>
        <v>42156</v>
      </c>
      <c r="O813" s="46">
        <f>IFERROR(__xludf.DUMMYFUNCTION("""COMPUTED_VALUE"""),1.0)</f>
        <v>1</v>
      </c>
      <c r="P813" s="46">
        <f>IFERROR(__xludf.DUMMYFUNCTION("""COMPUTED_VALUE"""),4104.0)</f>
        <v>4104</v>
      </c>
      <c r="Q813" s="46">
        <f>IFERROR(__xludf.DUMMYFUNCTION("""COMPUTED_VALUE"""),2742580.08)</f>
        <v>2742580.08</v>
      </c>
      <c r="R813" s="46">
        <f>IFERROR(__xludf.DUMMYFUNCTION("""COMPUTED_VALUE"""),2062424.1600000001)</f>
        <v>2062424.16</v>
      </c>
      <c r="S813" s="46">
        <f>IFERROR(__xludf.DUMMYFUNCTION("""COMPUTED_VALUE"""),680155.9199999999)</f>
        <v>680155.92</v>
      </c>
    </row>
    <row r="814">
      <c r="A814" s="46" t="str">
        <f>IFERROR(__xludf.DUMMYFUNCTION("""COMPUTED_VALUE"""),"Cereal")</f>
        <v>Cereal</v>
      </c>
      <c r="B814" s="46" t="str">
        <f>IFERROR(__xludf.DUMMYFUNCTION("""COMPUTED_VALUE"""),"Sweden")</f>
        <v>Sweden</v>
      </c>
      <c r="C814" s="46" t="str">
        <f>IFERROR(__xludf.DUMMYFUNCTION("""COMPUTED_VALUE"""),"Europe")</f>
        <v>Europe</v>
      </c>
      <c r="D814" s="90">
        <f>IFERROR(__xludf.DUMMYFUNCTION("""COMPUTED_VALUE"""),41183.0)</f>
        <v>41183</v>
      </c>
      <c r="E814" s="46">
        <f>IFERROR(__xludf.DUMMYFUNCTION("""COMPUTED_VALUE"""),2012.0)</f>
        <v>2012</v>
      </c>
      <c r="F814" s="46">
        <f>IFERROR(__xludf.DUMMYFUNCTION("""COMPUTED_VALUE"""),1.0)</f>
        <v>1</v>
      </c>
      <c r="G814" s="46">
        <f>IFERROR(__xludf.DUMMYFUNCTION("""COMPUTED_VALUE"""),1352.0)</f>
        <v>1352</v>
      </c>
      <c r="H814" s="46">
        <f>IFERROR(__xludf.DUMMYFUNCTION("""COMPUTED_VALUE"""),278106.39999999997)</f>
        <v>278106.4</v>
      </c>
      <c r="I814" s="46">
        <f>IFERROR(__xludf.DUMMYFUNCTION("""COMPUTED_VALUE"""),158332.72)</f>
        <v>158332.72</v>
      </c>
      <c r="J814" s="46">
        <f>IFERROR(__xludf.DUMMYFUNCTION("""COMPUTED_VALUE"""),119773.67999999996)</f>
        <v>119773.68</v>
      </c>
      <c r="K814" s="46" t="str">
        <f t="array" ref="K814">TEXT(D814, "mmmm")</f>
        <v>October</v>
      </c>
      <c r="M814" s="46" t="str">
        <f>IFERROR(__xludf.DUMMYFUNCTION("""COMPUTED_VALUE"""),"Cyprus")</f>
        <v>Cyprus</v>
      </c>
      <c r="N814" s="94">
        <f>IFERROR(__xludf.DUMMYFUNCTION("""COMPUTED_VALUE"""),42156.0)</f>
        <v>42156</v>
      </c>
      <c r="O814" s="46">
        <f>IFERROR(__xludf.DUMMYFUNCTION("""COMPUTED_VALUE"""),1.0)</f>
        <v>1</v>
      </c>
      <c r="P814" s="46">
        <f>IFERROR(__xludf.DUMMYFUNCTION("""COMPUTED_VALUE"""),9941.0)</f>
        <v>9941</v>
      </c>
      <c r="Q814" s="46">
        <f>IFERROR(__xludf.DUMMYFUNCTION("""COMPUTED_VALUE"""),812477.93)</f>
        <v>812477.93</v>
      </c>
      <c r="R814" s="46">
        <f>IFERROR(__xludf.DUMMYFUNCTION("""COMPUTED_VALUE"""),563356.47)</f>
        <v>563356.47</v>
      </c>
      <c r="S814" s="46">
        <f>IFERROR(__xludf.DUMMYFUNCTION("""COMPUTED_VALUE"""),249121.46000000008)</f>
        <v>249121.46</v>
      </c>
    </row>
    <row r="815">
      <c r="A815" s="46" t="str">
        <f>IFERROR(__xludf.DUMMYFUNCTION("""COMPUTED_VALUE"""),"Clothes")</f>
        <v>Clothes</v>
      </c>
      <c r="B815" s="46" t="str">
        <f>IFERROR(__xludf.DUMMYFUNCTION("""COMPUTED_VALUE"""),"Ireland")</f>
        <v>Ireland</v>
      </c>
      <c r="C815" s="46" t="str">
        <f>IFERROR(__xludf.DUMMYFUNCTION("""COMPUTED_VALUE"""),"Europe")</f>
        <v>Europe</v>
      </c>
      <c r="D815" s="90">
        <f>IFERROR(__xludf.DUMMYFUNCTION("""COMPUTED_VALUE"""),41183.0)</f>
        <v>41183</v>
      </c>
      <c r="E815" s="46">
        <f>IFERROR(__xludf.DUMMYFUNCTION("""COMPUTED_VALUE"""),2012.0)</f>
        <v>2012</v>
      </c>
      <c r="F815" s="46">
        <f>IFERROR(__xludf.DUMMYFUNCTION("""COMPUTED_VALUE"""),1.0)</f>
        <v>1</v>
      </c>
      <c r="G815" s="46">
        <f>IFERROR(__xludf.DUMMYFUNCTION("""COMPUTED_VALUE"""),9996.0)</f>
        <v>9996</v>
      </c>
      <c r="H815" s="46">
        <f>IFERROR(__xludf.DUMMYFUNCTION("""COMPUTED_VALUE"""),1092362.8800000001)</f>
        <v>1092362.88</v>
      </c>
      <c r="I815" s="46">
        <f>IFERROR(__xludf.DUMMYFUNCTION("""COMPUTED_VALUE"""),358256.64)</f>
        <v>358256.64</v>
      </c>
      <c r="J815" s="46">
        <f>IFERROR(__xludf.DUMMYFUNCTION("""COMPUTED_VALUE"""),734106.2400000001)</f>
        <v>734106.24</v>
      </c>
      <c r="K815" s="46" t="str">
        <f t="array" ref="K815">TEXT(D815, "mmmm")</f>
        <v>October</v>
      </c>
      <c r="M815" s="46" t="str">
        <f>IFERROR(__xludf.DUMMYFUNCTION("""COMPUTED_VALUE"""),"Georgia")</f>
        <v>Georgia</v>
      </c>
      <c r="N815" s="94">
        <f>IFERROR(__xludf.DUMMYFUNCTION("""COMPUTED_VALUE"""),42156.0)</f>
        <v>42156</v>
      </c>
      <c r="O815" s="46">
        <f>IFERROR(__xludf.DUMMYFUNCTION("""COMPUTED_VALUE"""),1.0)</f>
        <v>1</v>
      </c>
      <c r="P815" s="46">
        <f>IFERROR(__xludf.DUMMYFUNCTION("""COMPUTED_VALUE"""),1905.0)</f>
        <v>1905</v>
      </c>
      <c r="Q815" s="46">
        <f>IFERROR(__xludf.DUMMYFUNCTION("""COMPUTED_VALUE"""),486308.4)</f>
        <v>486308.4</v>
      </c>
      <c r="R815" s="46">
        <f>IFERROR(__xludf.DUMMYFUNCTION("""COMPUTED_VALUE"""),303695.1)</f>
        <v>303695.1</v>
      </c>
      <c r="S815" s="46">
        <f>IFERROR(__xludf.DUMMYFUNCTION("""COMPUTED_VALUE"""),182613.30000000005)</f>
        <v>182613.3</v>
      </c>
    </row>
    <row r="816">
      <c r="A816" s="46" t="str">
        <f>IFERROR(__xludf.DUMMYFUNCTION("""COMPUTED_VALUE"""),"Cosmetics")</f>
        <v>Cosmetics</v>
      </c>
      <c r="B816" s="46" t="str">
        <f>IFERROR(__xludf.DUMMYFUNCTION("""COMPUTED_VALUE"""),"Sweden")</f>
        <v>Sweden</v>
      </c>
      <c r="C816" s="46" t="str">
        <f>IFERROR(__xludf.DUMMYFUNCTION("""COMPUTED_VALUE"""),"Europe")</f>
        <v>Europe</v>
      </c>
      <c r="D816" s="90">
        <f>IFERROR(__xludf.DUMMYFUNCTION("""COMPUTED_VALUE"""),41183.0)</f>
        <v>41183</v>
      </c>
      <c r="E816" s="46">
        <f>IFERROR(__xludf.DUMMYFUNCTION("""COMPUTED_VALUE"""),2012.0)</f>
        <v>2012</v>
      </c>
      <c r="F816" s="46">
        <f>IFERROR(__xludf.DUMMYFUNCTION("""COMPUTED_VALUE"""),1.0)</f>
        <v>1</v>
      </c>
      <c r="G816" s="46">
        <f>IFERROR(__xludf.DUMMYFUNCTION("""COMPUTED_VALUE"""),2981.0)</f>
        <v>2981</v>
      </c>
      <c r="H816" s="46">
        <f>IFERROR(__xludf.DUMMYFUNCTION("""COMPUTED_VALUE"""),1303293.2)</f>
        <v>1303293.2</v>
      </c>
      <c r="I816" s="46">
        <f>IFERROR(__xludf.DUMMYFUNCTION("""COMPUTED_VALUE"""),784986.73)</f>
        <v>784986.73</v>
      </c>
      <c r="J816" s="46">
        <f>IFERROR(__xludf.DUMMYFUNCTION("""COMPUTED_VALUE"""),518306.47)</f>
        <v>518306.47</v>
      </c>
      <c r="K816" s="46" t="str">
        <f t="array" ref="K816">TEXT(D816, "mmmm")</f>
        <v>October</v>
      </c>
      <c r="M816" s="46" t="str">
        <f>IFERROR(__xludf.DUMMYFUNCTION("""COMPUTED_VALUE"""),"Greece")</f>
        <v>Greece</v>
      </c>
      <c r="N816" s="94">
        <f>IFERROR(__xludf.DUMMYFUNCTION("""COMPUTED_VALUE"""),42156.0)</f>
        <v>42156</v>
      </c>
      <c r="O816" s="46">
        <f>IFERROR(__xludf.DUMMYFUNCTION("""COMPUTED_VALUE"""),1.0)</f>
        <v>1</v>
      </c>
      <c r="P816" s="46">
        <f>IFERROR(__xludf.DUMMYFUNCTION("""COMPUTED_VALUE"""),9034.0)</f>
        <v>9034</v>
      </c>
      <c r="Q816" s="46">
        <f>IFERROR(__xludf.DUMMYFUNCTION("""COMPUTED_VALUE"""),84287.22)</f>
        <v>84287.22</v>
      </c>
      <c r="R816" s="46">
        <f>IFERROR(__xludf.DUMMYFUNCTION("""COMPUTED_VALUE"""),62515.28)</f>
        <v>62515.28</v>
      </c>
      <c r="S816" s="46">
        <f>IFERROR(__xludf.DUMMYFUNCTION("""COMPUTED_VALUE"""),21771.940000000002)</f>
        <v>21771.94</v>
      </c>
    </row>
    <row r="817">
      <c r="A817" s="46" t="str">
        <f>IFERROR(__xludf.DUMMYFUNCTION("""COMPUTED_VALUE"""),"Fruits")</f>
        <v>Fruits</v>
      </c>
      <c r="B817" s="46" t="str">
        <f>IFERROR(__xludf.DUMMYFUNCTION("""COMPUTED_VALUE"""),"Georgia")</f>
        <v>Georgia</v>
      </c>
      <c r="C817" s="46" t="str">
        <f>IFERROR(__xludf.DUMMYFUNCTION("""COMPUTED_VALUE"""),"Asia")</f>
        <v>Asia</v>
      </c>
      <c r="D817" s="90">
        <f>IFERROR(__xludf.DUMMYFUNCTION("""COMPUTED_VALUE"""),41183.0)</f>
        <v>41183</v>
      </c>
      <c r="E817" s="46">
        <f>IFERROR(__xludf.DUMMYFUNCTION("""COMPUTED_VALUE"""),2012.0)</f>
        <v>2012</v>
      </c>
      <c r="F817" s="46">
        <f>IFERROR(__xludf.DUMMYFUNCTION("""COMPUTED_VALUE"""),1.0)</f>
        <v>1</v>
      </c>
      <c r="G817" s="46">
        <f>IFERROR(__xludf.DUMMYFUNCTION("""COMPUTED_VALUE"""),855.0)</f>
        <v>855</v>
      </c>
      <c r="H817" s="46">
        <f>IFERROR(__xludf.DUMMYFUNCTION("""COMPUTED_VALUE"""),7977.15)</f>
        <v>7977.15</v>
      </c>
      <c r="I817" s="46">
        <f>IFERROR(__xludf.DUMMYFUNCTION("""COMPUTED_VALUE"""),5916.6)</f>
        <v>5916.6</v>
      </c>
      <c r="J817" s="46">
        <f>IFERROR(__xludf.DUMMYFUNCTION("""COMPUTED_VALUE"""),2060.5499999999993)</f>
        <v>2060.55</v>
      </c>
      <c r="K817" s="46" t="str">
        <f t="array" ref="K817">TEXT(D817, "mmmm")</f>
        <v>October</v>
      </c>
      <c r="M817" s="46" t="str">
        <f>IFERROR(__xludf.DUMMYFUNCTION("""COMPUTED_VALUE"""),"Malta")</f>
        <v>Malta</v>
      </c>
      <c r="N817" s="94">
        <f>IFERROR(__xludf.DUMMYFUNCTION("""COMPUTED_VALUE"""),42156.0)</f>
        <v>42156</v>
      </c>
      <c r="O817" s="46">
        <f>IFERROR(__xludf.DUMMYFUNCTION("""COMPUTED_VALUE"""),1.0)</f>
        <v>1</v>
      </c>
      <c r="P817" s="46">
        <f>IFERROR(__xludf.DUMMYFUNCTION("""COMPUTED_VALUE"""),5906.0)</f>
        <v>5906</v>
      </c>
      <c r="Q817" s="46">
        <f>IFERROR(__xludf.DUMMYFUNCTION("""COMPUTED_VALUE"""),280239.7)</f>
        <v>280239.7</v>
      </c>
      <c r="R817" s="46">
        <f>IFERROR(__xludf.DUMMYFUNCTION("""COMPUTED_VALUE"""),187751.74)</f>
        <v>187751.74</v>
      </c>
      <c r="S817" s="46">
        <f>IFERROR(__xludf.DUMMYFUNCTION("""COMPUTED_VALUE"""),92487.96000000002)</f>
        <v>92487.96</v>
      </c>
    </row>
    <row r="818">
      <c r="A818" s="46" t="str">
        <f>IFERROR(__xludf.DUMMYFUNCTION("""COMPUTED_VALUE"""),"Fruits")</f>
        <v>Fruits</v>
      </c>
      <c r="B818" s="46" t="str">
        <f>IFERROR(__xludf.DUMMYFUNCTION("""COMPUTED_VALUE"""),"Slovenia")</f>
        <v>Slovenia</v>
      </c>
      <c r="C818" s="46" t="str">
        <f>IFERROR(__xludf.DUMMYFUNCTION("""COMPUTED_VALUE"""),"Europe")</f>
        <v>Europe</v>
      </c>
      <c r="D818" s="90">
        <f>IFERROR(__xludf.DUMMYFUNCTION("""COMPUTED_VALUE"""),41183.0)</f>
        <v>41183</v>
      </c>
      <c r="E818" s="46">
        <f>IFERROR(__xludf.DUMMYFUNCTION("""COMPUTED_VALUE"""),2012.0)</f>
        <v>2012</v>
      </c>
      <c r="F818" s="46">
        <f>IFERROR(__xludf.DUMMYFUNCTION("""COMPUTED_VALUE"""),1.0)</f>
        <v>1</v>
      </c>
      <c r="G818" s="46">
        <f>IFERROR(__xludf.DUMMYFUNCTION("""COMPUTED_VALUE"""),6443.0)</f>
        <v>6443</v>
      </c>
      <c r="H818" s="46">
        <f>IFERROR(__xludf.DUMMYFUNCTION("""COMPUTED_VALUE"""),60113.19)</f>
        <v>60113.19</v>
      </c>
      <c r="I818" s="46">
        <f>IFERROR(__xludf.DUMMYFUNCTION("""COMPUTED_VALUE"""),44585.56)</f>
        <v>44585.56</v>
      </c>
      <c r="J818" s="46">
        <f>IFERROR(__xludf.DUMMYFUNCTION("""COMPUTED_VALUE"""),15527.630000000005)</f>
        <v>15527.63</v>
      </c>
      <c r="K818" s="46" t="str">
        <f t="array" ref="K818">TEXT(D818, "mmmm")</f>
        <v>October</v>
      </c>
      <c r="M818" s="46" t="str">
        <f>IFERROR(__xludf.DUMMYFUNCTION("""COMPUTED_VALUE"""),"Norway")</f>
        <v>Norway</v>
      </c>
      <c r="N818" s="94">
        <f>IFERROR(__xludf.DUMMYFUNCTION("""COMPUTED_VALUE"""),42156.0)</f>
        <v>42156</v>
      </c>
      <c r="O818" s="46">
        <f>IFERROR(__xludf.DUMMYFUNCTION("""COMPUTED_VALUE"""),1.0)</f>
        <v>1</v>
      </c>
      <c r="P818" s="46">
        <f>IFERROR(__xludf.DUMMYFUNCTION("""COMPUTED_VALUE"""),6109.0)</f>
        <v>6109</v>
      </c>
      <c r="Q818" s="46">
        <f>IFERROR(__xludf.DUMMYFUNCTION("""COMPUTED_VALUE"""),1256621.3)</f>
        <v>1256621.3</v>
      </c>
      <c r="R818" s="46">
        <f>IFERROR(__xludf.DUMMYFUNCTION("""COMPUTED_VALUE"""),715424.99)</f>
        <v>715424.99</v>
      </c>
      <c r="S818" s="46">
        <f>IFERROR(__xludf.DUMMYFUNCTION("""COMPUTED_VALUE"""),541196.31)</f>
        <v>541196.31</v>
      </c>
    </row>
    <row r="819">
      <c r="A819" s="46" t="str">
        <f>IFERROR(__xludf.DUMMYFUNCTION("""COMPUTED_VALUE"""),"Office Supplies")</f>
        <v>Office Supplies</v>
      </c>
      <c r="B819" s="46" t="str">
        <f>IFERROR(__xludf.DUMMYFUNCTION("""COMPUTED_VALUE"""),"Monaco")</f>
        <v>Monaco</v>
      </c>
      <c r="C819" s="46" t="str">
        <f>IFERROR(__xludf.DUMMYFUNCTION("""COMPUTED_VALUE"""),"Europe")</f>
        <v>Europe</v>
      </c>
      <c r="D819" s="90">
        <f>IFERROR(__xludf.DUMMYFUNCTION("""COMPUTED_VALUE"""),41183.0)</f>
        <v>41183</v>
      </c>
      <c r="E819" s="46">
        <f>IFERROR(__xludf.DUMMYFUNCTION("""COMPUTED_VALUE"""),2012.0)</f>
        <v>2012</v>
      </c>
      <c r="F819" s="46">
        <f>IFERROR(__xludf.DUMMYFUNCTION("""COMPUTED_VALUE"""),1.0)</f>
        <v>1</v>
      </c>
      <c r="G819" s="46">
        <f>IFERROR(__xludf.DUMMYFUNCTION("""COMPUTED_VALUE"""),1429.0)</f>
        <v>1429</v>
      </c>
      <c r="H819" s="46">
        <f>IFERROR(__xludf.DUMMYFUNCTION("""COMPUTED_VALUE"""),930579.0900000001)</f>
        <v>930579.09</v>
      </c>
      <c r="I819" s="46">
        <f>IFERROR(__xludf.DUMMYFUNCTION("""COMPUTED_VALUE"""),750167.8400000001)</f>
        <v>750167.84</v>
      </c>
      <c r="J819" s="46">
        <f>IFERROR(__xludf.DUMMYFUNCTION("""COMPUTED_VALUE"""),180411.25)</f>
        <v>180411.25</v>
      </c>
      <c r="K819" s="46" t="str">
        <f t="array" ref="K819">TEXT(D819, "mmmm")</f>
        <v>October</v>
      </c>
      <c r="M819" s="46" t="str">
        <f>IFERROR(__xludf.DUMMYFUNCTION("""COMPUTED_VALUE"""),"Romania")</f>
        <v>Romania</v>
      </c>
      <c r="N819" s="94">
        <f>IFERROR(__xludf.DUMMYFUNCTION("""COMPUTED_VALUE"""),42156.0)</f>
        <v>42156</v>
      </c>
      <c r="O819" s="46">
        <f>IFERROR(__xludf.DUMMYFUNCTION("""COMPUTED_VALUE"""),1.0)</f>
        <v>1</v>
      </c>
      <c r="P819" s="46">
        <f>IFERROR(__xludf.DUMMYFUNCTION("""COMPUTED_VALUE"""),8895.0)</f>
        <v>8895</v>
      </c>
      <c r="Q819" s="46">
        <f>IFERROR(__xludf.DUMMYFUNCTION("""COMPUTED_VALUE"""),2270715.6)</f>
        <v>2270715.6</v>
      </c>
      <c r="R819" s="46">
        <f>IFERROR(__xludf.DUMMYFUNCTION("""COMPUTED_VALUE"""),1418040.9)</f>
        <v>1418040.9</v>
      </c>
      <c r="S819" s="46">
        <f>IFERROR(__xludf.DUMMYFUNCTION("""COMPUTED_VALUE"""),852674.7000000002)</f>
        <v>852674.7</v>
      </c>
    </row>
    <row r="820">
      <c r="A820" s="46" t="str">
        <f>IFERROR(__xludf.DUMMYFUNCTION("""COMPUTED_VALUE"""),"Personal Care")</f>
        <v>Personal Care</v>
      </c>
      <c r="B820" s="46" t="str">
        <f>IFERROR(__xludf.DUMMYFUNCTION("""COMPUTED_VALUE"""),"Bulgaria")</f>
        <v>Bulgaria</v>
      </c>
      <c r="C820" s="46" t="str">
        <f>IFERROR(__xludf.DUMMYFUNCTION("""COMPUTED_VALUE"""),"Europe")</f>
        <v>Europe</v>
      </c>
      <c r="D820" s="90">
        <f>IFERROR(__xludf.DUMMYFUNCTION("""COMPUTED_VALUE"""),41183.0)</f>
        <v>41183</v>
      </c>
      <c r="E820" s="46">
        <f>IFERROR(__xludf.DUMMYFUNCTION("""COMPUTED_VALUE"""),2012.0)</f>
        <v>2012</v>
      </c>
      <c r="F820" s="46">
        <f>IFERROR(__xludf.DUMMYFUNCTION("""COMPUTED_VALUE"""),1.0)</f>
        <v>1</v>
      </c>
      <c r="G820" s="46">
        <f>IFERROR(__xludf.DUMMYFUNCTION("""COMPUTED_VALUE"""),9530.0)</f>
        <v>9530</v>
      </c>
      <c r="H820" s="46">
        <f>IFERROR(__xludf.DUMMYFUNCTION("""COMPUTED_VALUE"""),778886.9)</f>
        <v>778886.9</v>
      </c>
      <c r="I820" s="46">
        <f>IFERROR(__xludf.DUMMYFUNCTION("""COMPUTED_VALUE"""),540065.1)</f>
        <v>540065.1</v>
      </c>
      <c r="J820" s="46">
        <f>IFERROR(__xludf.DUMMYFUNCTION("""COMPUTED_VALUE"""),238821.80000000005)</f>
        <v>238821.8</v>
      </c>
      <c r="K820" s="46" t="str">
        <f t="array" ref="K820">TEXT(D820, "mmmm")</f>
        <v>October</v>
      </c>
      <c r="M820" s="46" t="str">
        <f>IFERROR(__xludf.DUMMYFUNCTION("""COMPUTED_VALUE"""),"Spain")</f>
        <v>Spain</v>
      </c>
      <c r="N820" s="94">
        <f>IFERROR(__xludf.DUMMYFUNCTION("""COMPUTED_VALUE"""),42156.0)</f>
        <v>42156</v>
      </c>
      <c r="O820" s="46">
        <f>IFERROR(__xludf.DUMMYFUNCTION("""COMPUTED_VALUE"""),1.0)</f>
        <v>1</v>
      </c>
      <c r="P820" s="46">
        <f>IFERROR(__xludf.DUMMYFUNCTION("""COMPUTED_VALUE"""),6142.0)</f>
        <v>6142</v>
      </c>
      <c r="Q820" s="46">
        <f>IFERROR(__xludf.DUMMYFUNCTION("""COMPUTED_VALUE"""),946236.52)</f>
        <v>946236.52</v>
      </c>
      <c r="R820" s="46">
        <f>IFERROR(__xludf.DUMMYFUNCTION("""COMPUTED_VALUE"""),558492.06)</f>
        <v>558492.06</v>
      </c>
      <c r="S820" s="46">
        <f>IFERROR(__xludf.DUMMYFUNCTION("""COMPUTED_VALUE"""),387744.45999999996)</f>
        <v>387744.46</v>
      </c>
    </row>
    <row r="821">
      <c r="A821" s="46" t="str">
        <f>IFERROR(__xludf.DUMMYFUNCTION("""COMPUTED_VALUE"""),"Snacks")</f>
        <v>Snacks</v>
      </c>
      <c r="B821" s="46" t="str">
        <f>IFERROR(__xludf.DUMMYFUNCTION("""COMPUTED_VALUE"""),"Cyprus")</f>
        <v>Cyprus</v>
      </c>
      <c r="C821" s="46" t="str">
        <f>IFERROR(__xludf.DUMMYFUNCTION("""COMPUTED_VALUE"""),"Asia")</f>
        <v>Asia</v>
      </c>
      <c r="D821" s="90">
        <f>IFERROR(__xludf.DUMMYFUNCTION("""COMPUTED_VALUE"""),41183.0)</f>
        <v>41183</v>
      </c>
      <c r="E821" s="46">
        <f>IFERROR(__xludf.DUMMYFUNCTION("""COMPUTED_VALUE"""),2012.0)</f>
        <v>2012</v>
      </c>
      <c r="F821" s="46">
        <f>IFERROR(__xludf.DUMMYFUNCTION("""COMPUTED_VALUE"""),1.0)</f>
        <v>1</v>
      </c>
      <c r="G821" s="46">
        <f>IFERROR(__xludf.DUMMYFUNCTION("""COMPUTED_VALUE"""),3064.0)</f>
        <v>3064</v>
      </c>
      <c r="H821" s="46">
        <f>IFERROR(__xludf.DUMMYFUNCTION("""COMPUTED_VALUE"""),467505.12000000005)</f>
        <v>467505.12</v>
      </c>
      <c r="I821" s="46">
        <f>IFERROR(__xludf.DUMMYFUNCTION("""COMPUTED_VALUE"""),298556.16)</f>
        <v>298556.16</v>
      </c>
      <c r="J821" s="46">
        <f>IFERROR(__xludf.DUMMYFUNCTION("""COMPUTED_VALUE"""),168948.96000000008)</f>
        <v>168948.96</v>
      </c>
      <c r="K821" s="46" t="str">
        <f t="array" ref="K821">TEXT(D821, "mmmm")</f>
        <v>October</v>
      </c>
      <c r="M821" s="46" t="str">
        <f>IFERROR(__xludf.DUMMYFUNCTION("""COMPUTED_VALUE"""),"Switzerland")</f>
        <v>Switzerland</v>
      </c>
      <c r="N821" s="94">
        <f>IFERROR(__xludf.DUMMYFUNCTION("""COMPUTED_VALUE"""),42156.0)</f>
        <v>42156</v>
      </c>
      <c r="O821" s="46">
        <f>IFERROR(__xludf.DUMMYFUNCTION("""COMPUTED_VALUE"""),1.0)</f>
        <v>1</v>
      </c>
      <c r="P821" s="46">
        <f>IFERROR(__xludf.DUMMYFUNCTION("""COMPUTED_VALUE"""),4429.0)</f>
        <v>4429</v>
      </c>
      <c r="Q821" s="46">
        <f>IFERROR(__xludf.DUMMYFUNCTION("""COMPUTED_VALUE"""),1130635.12)</f>
        <v>1130635.12</v>
      </c>
      <c r="R821" s="46">
        <f>IFERROR(__xludf.DUMMYFUNCTION("""COMPUTED_VALUE"""),706071.1799999999)</f>
        <v>706071.18</v>
      </c>
      <c r="S821" s="46">
        <f>IFERROR(__xludf.DUMMYFUNCTION("""COMPUTED_VALUE"""),424563.9400000002)</f>
        <v>424563.94</v>
      </c>
    </row>
    <row r="822">
      <c r="A822" s="46" t="str">
        <f>IFERROR(__xludf.DUMMYFUNCTION("""COMPUTED_VALUE"""),"Snacks")</f>
        <v>Snacks</v>
      </c>
      <c r="B822" s="46" t="str">
        <f>IFERROR(__xludf.DUMMYFUNCTION("""COMPUTED_VALUE"""),"Iceland")</f>
        <v>Iceland</v>
      </c>
      <c r="C822" s="46" t="str">
        <f>IFERROR(__xludf.DUMMYFUNCTION("""COMPUTED_VALUE"""),"Europe")</f>
        <v>Europe</v>
      </c>
      <c r="D822" s="90">
        <f>IFERROR(__xludf.DUMMYFUNCTION("""COMPUTED_VALUE"""),41183.0)</f>
        <v>41183</v>
      </c>
      <c r="E822" s="46">
        <f>IFERROR(__xludf.DUMMYFUNCTION("""COMPUTED_VALUE"""),2012.0)</f>
        <v>2012</v>
      </c>
      <c r="F822" s="46">
        <f>IFERROR(__xludf.DUMMYFUNCTION("""COMPUTED_VALUE"""),1.0)</f>
        <v>1</v>
      </c>
      <c r="G822" s="46">
        <f>IFERROR(__xludf.DUMMYFUNCTION("""COMPUTED_VALUE"""),8441.0)</f>
        <v>8441</v>
      </c>
      <c r="H822" s="46">
        <f>IFERROR(__xludf.DUMMYFUNCTION("""COMPUTED_VALUE"""),1287927.78)</f>
        <v>1287927.78</v>
      </c>
      <c r="I822" s="46">
        <f>IFERROR(__xludf.DUMMYFUNCTION("""COMPUTED_VALUE"""),822491.04)</f>
        <v>822491.04</v>
      </c>
      <c r="J822" s="46">
        <f>IFERROR(__xludf.DUMMYFUNCTION("""COMPUTED_VALUE"""),465436.74)</f>
        <v>465436.74</v>
      </c>
      <c r="K822" s="46" t="str">
        <f t="array" ref="K822">TEXT(D822, "mmmm")</f>
        <v>October</v>
      </c>
      <c r="M822" s="46" t="str">
        <f>IFERROR(__xludf.DUMMYFUNCTION("""COMPUTED_VALUE"""),"Undefined")</f>
        <v>Undefined</v>
      </c>
      <c r="N822" s="94">
        <f>IFERROR(__xludf.DUMMYFUNCTION("""COMPUTED_VALUE"""),42156.0)</f>
        <v>42156</v>
      </c>
      <c r="O822" s="46">
        <f>IFERROR(__xludf.DUMMYFUNCTION("""COMPUTED_VALUE"""),1.0)</f>
        <v>1</v>
      </c>
      <c r="P822" s="46">
        <f>IFERROR(__xludf.DUMMYFUNCTION("""COMPUTED_VALUE"""),9923.0)</f>
        <v>9923</v>
      </c>
      <c r="Q822" s="46">
        <f>IFERROR(__xludf.DUMMYFUNCTION("""COMPUTED_VALUE"""),470846.35000000003)</f>
        <v>470846.35</v>
      </c>
      <c r="R822" s="46">
        <f>IFERROR(__xludf.DUMMYFUNCTION("""COMPUTED_VALUE"""),315452.17)</f>
        <v>315452.17</v>
      </c>
      <c r="S822" s="46">
        <f>IFERROR(__xludf.DUMMYFUNCTION("""COMPUTED_VALUE"""),155394.18000000005)</f>
        <v>155394.18</v>
      </c>
    </row>
    <row r="823">
      <c r="A823" s="46" t="str">
        <f>IFERROR(__xludf.DUMMYFUNCTION("""COMPUTED_VALUE"""),"Snacks")</f>
        <v>Snacks</v>
      </c>
      <c r="B823" s="46" t="str">
        <f>IFERROR(__xludf.DUMMYFUNCTION("""COMPUTED_VALUE"""),"Sweden")</f>
        <v>Sweden</v>
      </c>
      <c r="C823" s="46" t="str">
        <f>IFERROR(__xludf.DUMMYFUNCTION("""COMPUTED_VALUE"""),"Europe")</f>
        <v>Europe</v>
      </c>
      <c r="D823" s="90">
        <f>IFERROR(__xludf.DUMMYFUNCTION("""COMPUTED_VALUE"""),41183.0)</f>
        <v>41183</v>
      </c>
      <c r="E823" s="46">
        <f>IFERROR(__xludf.DUMMYFUNCTION("""COMPUTED_VALUE"""),2012.0)</f>
        <v>2012</v>
      </c>
      <c r="F823" s="46">
        <f>IFERROR(__xludf.DUMMYFUNCTION("""COMPUTED_VALUE"""),1.0)</f>
        <v>1</v>
      </c>
      <c r="G823" s="46">
        <f>IFERROR(__xludf.DUMMYFUNCTION("""COMPUTED_VALUE"""),8771.0)</f>
        <v>8771</v>
      </c>
      <c r="H823" s="46">
        <f>IFERROR(__xludf.DUMMYFUNCTION("""COMPUTED_VALUE"""),1338279.1800000002)</f>
        <v>1338279.18</v>
      </c>
      <c r="I823" s="46">
        <f>IFERROR(__xludf.DUMMYFUNCTION("""COMPUTED_VALUE"""),854646.24)</f>
        <v>854646.24</v>
      </c>
      <c r="J823" s="46">
        <f>IFERROR(__xludf.DUMMYFUNCTION("""COMPUTED_VALUE"""),483632.9400000002)</f>
        <v>483632.94</v>
      </c>
      <c r="K823" s="46" t="str">
        <f t="array" ref="K823">TEXT(D823, "mmmm")</f>
        <v>October</v>
      </c>
      <c r="M823" s="46" t="str">
        <f>IFERROR(__xludf.DUMMYFUNCTION("""COMPUTED_VALUE"""),"Albania")</f>
        <v>Albania</v>
      </c>
      <c r="N823" s="94">
        <f>IFERROR(__xludf.DUMMYFUNCTION("""COMPUTED_VALUE"""),42186.0)</f>
        <v>42186</v>
      </c>
      <c r="O823" s="46">
        <f>IFERROR(__xludf.DUMMYFUNCTION("""COMPUTED_VALUE"""),1.0)</f>
        <v>1</v>
      </c>
      <c r="P823" s="46">
        <f>IFERROR(__xludf.DUMMYFUNCTION("""COMPUTED_VALUE"""),8775.0)</f>
        <v>8775</v>
      </c>
      <c r="Q823" s="46">
        <f>IFERROR(__xludf.DUMMYFUNCTION("""COMPUTED_VALUE"""),5714367.75)</f>
        <v>5714367.75</v>
      </c>
      <c r="R823" s="46">
        <f>IFERROR(__xludf.DUMMYFUNCTION("""COMPUTED_VALUE"""),4606524.0)</f>
        <v>4606524</v>
      </c>
      <c r="S823" s="46">
        <f>IFERROR(__xludf.DUMMYFUNCTION("""COMPUTED_VALUE"""),1107843.75)</f>
        <v>1107843.75</v>
      </c>
    </row>
    <row r="824">
      <c r="A824" s="46" t="str">
        <f>IFERROR(__xludf.DUMMYFUNCTION("""COMPUTED_VALUE"""),"Vegetables")</f>
        <v>Vegetables</v>
      </c>
      <c r="B824" s="46" t="str">
        <f>IFERROR(__xludf.DUMMYFUNCTION("""COMPUTED_VALUE"""),"Albania")</f>
        <v>Albania</v>
      </c>
      <c r="C824" s="46" t="str">
        <f>IFERROR(__xludf.DUMMYFUNCTION("""COMPUTED_VALUE"""),"Europe")</f>
        <v>Europe</v>
      </c>
      <c r="D824" s="90">
        <f>IFERROR(__xludf.DUMMYFUNCTION("""COMPUTED_VALUE"""),41183.0)</f>
        <v>41183</v>
      </c>
      <c r="E824" s="46">
        <f>IFERROR(__xludf.DUMMYFUNCTION("""COMPUTED_VALUE"""),2012.0)</f>
        <v>2012</v>
      </c>
      <c r="F824" s="46">
        <f>IFERROR(__xludf.DUMMYFUNCTION("""COMPUTED_VALUE"""),1.0)</f>
        <v>1</v>
      </c>
      <c r="G824" s="46">
        <f>IFERROR(__xludf.DUMMYFUNCTION("""COMPUTED_VALUE"""),5310.0)</f>
        <v>5310</v>
      </c>
      <c r="H824" s="46">
        <f>IFERROR(__xludf.DUMMYFUNCTION("""COMPUTED_VALUE"""),818058.6)</f>
        <v>818058.6</v>
      </c>
      <c r="I824" s="46">
        <f>IFERROR(__xludf.DUMMYFUNCTION("""COMPUTED_VALUE"""),482838.30000000005)</f>
        <v>482838.3</v>
      </c>
      <c r="J824" s="46">
        <f>IFERROR(__xludf.DUMMYFUNCTION("""COMPUTED_VALUE"""),335220.29999999993)</f>
        <v>335220.3</v>
      </c>
      <c r="K824" s="46" t="str">
        <f t="array" ref="K824">TEXT(D824, "mmmm")</f>
        <v>October</v>
      </c>
      <c r="M824" s="46" t="str">
        <f>IFERROR(__xludf.DUMMYFUNCTION("""COMPUTED_VALUE"""),"Belarus")</f>
        <v>Belarus</v>
      </c>
      <c r="N824" s="94">
        <f>IFERROR(__xludf.DUMMYFUNCTION("""COMPUTED_VALUE"""),42186.0)</f>
        <v>42186</v>
      </c>
      <c r="O824" s="46">
        <f>IFERROR(__xludf.DUMMYFUNCTION("""COMPUTED_VALUE"""),1.0)</f>
        <v>1</v>
      </c>
      <c r="P824" s="46">
        <f>IFERROR(__xludf.DUMMYFUNCTION("""COMPUTED_VALUE"""),3840.0)</f>
        <v>3840</v>
      </c>
      <c r="Q824" s="46">
        <f>IFERROR(__xludf.DUMMYFUNCTION("""COMPUTED_VALUE"""),1678848.0)</f>
        <v>1678848</v>
      </c>
      <c r="R824" s="46">
        <f>IFERROR(__xludf.DUMMYFUNCTION("""COMPUTED_VALUE"""),1011187.2)</f>
        <v>1011187.2</v>
      </c>
      <c r="S824" s="46">
        <f>IFERROR(__xludf.DUMMYFUNCTION("""COMPUTED_VALUE"""),667660.8)</f>
        <v>667660.8</v>
      </c>
    </row>
    <row r="825">
      <c r="A825" s="46" t="str">
        <f>IFERROR(__xludf.DUMMYFUNCTION("""COMPUTED_VALUE"""),"Vegetables")</f>
        <v>Vegetables</v>
      </c>
      <c r="B825" s="46" t="str">
        <f>IFERROR(__xludf.DUMMYFUNCTION("""COMPUTED_VALUE"""),"Greece")</f>
        <v>Greece</v>
      </c>
      <c r="C825" s="46" t="str">
        <f>IFERROR(__xludf.DUMMYFUNCTION("""COMPUTED_VALUE"""),"Europe")</f>
        <v>Europe</v>
      </c>
      <c r="D825" s="90">
        <f>IFERROR(__xludf.DUMMYFUNCTION("""COMPUTED_VALUE"""),41183.0)</f>
        <v>41183</v>
      </c>
      <c r="E825" s="46">
        <f>IFERROR(__xludf.DUMMYFUNCTION("""COMPUTED_VALUE"""),2012.0)</f>
        <v>2012</v>
      </c>
      <c r="F825" s="46">
        <f>IFERROR(__xludf.DUMMYFUNCTION("""COMPUTED_VALUE"""),1.0)</f>
        <v>1</v>
      </c>
      <c r="G825" s="46">
        <f>IFERROR(__xludf.DUMMYFUNCTION("""COMPUTED_VALUE"""),8586.0)</f>
        <v>8586</v>
      </c>
      <c r="H825" s="46">
        <f>IFERROR(__xludf.DUMMYFUNCTION("""COMPUTED_VALUE"""),1322759.16)</f>
        <v>1322759.16</v>
      </c>
      <c r="I825" s="46">
        <f>IFERROR(__xludf.DUMMYFUNCTION("""COMPUTED_VALUE"""),780724.9800000001)</f>
        <v>780724.98</v>
      </c>
      <c r="J825" s="46">
        <f>IFERROR(__xludf.DUMMYFUNCTION("""COMPUTED_VALUE"""),542034.1799999998)</f>
        <v>542034.18</v>
      </c>
      <c r="K825" s="46" t="str">
        <f t="array" ref="K825">TEXT(D825, "mmmm")</f>
        <v>October</v>
      </c>
      <c r="M825" s="46" t="str">
        <f>IFERROR(__xludf.DUMMYFUNCTION("""COMPUTED_VALUE"""),"Belgium")</f>
        <v>Belgium</v>
      </c>
      <c r="N825" s="94">
        <f>IFERROR(__xludf.DUMMYFUNCTION("""COMPUTED_VALUE"""),42186.0)</f>
        <v>42186</v>
      </c>
      <c r="O825" s="46">
        <f>IFERROR(__xludf.DUMMYFUNCTION("""COMPUTED_VALUE"""),1.0)</f>
        <v>1</v>
      </c>
      <c r="P825" s="46">
        <f>IFERROR(__xludf.DUMMYFUNCTION("""COMPUTED_VALUE"""),4503.0)</f>
        <v>4503</v>
      </c>
      <c r="Q825" s="46">
        <f>IFERROR(__xludf.DUMMYFUNCTION("""COMPUTED_VALUE"""),42012.99)</f>
        <v>42012.99</v>
      </c>
      <c r="R825" s="46">
        <f>IFERROR(__xludf.DUMMYFUNCTION("""COMPUTED_VALUE"""),31160.76)</f>
        <v>31160.76</v>
      </c>
      <c r="S825" s="46">
        <f>IFERROR(__xludf.DUMMYFUNCTION("""COMPUTED_VALUE"""),10852.23)</f>
        <v>10852.23</v>
      </c>
    </row>
    <row r="826">
      <c r="A826" s="46" t="str">
        <f>IFERROR(__xludf.DUMMYFUNCTION("""COMPUTED_VALUE"""),"Vegetables")</f>
        <v>Vegetables</v>
      </c>
      <c r="B826" s="46" t="str">
        <f>IFERROR(__xludf.DUMMYFUNCTION("""COMPUTED_VALUE"""),"San Marino")</f>
        <v>San Marino</v>
      </c>
      <c r="C826" s="46" t="str">
        <f>IFERROR(__xludf.DUMMYFUNCTION("""COMPUTED_VALUE"""),"Europe")</f>
        <v>Europe</v>
      </c>
      <c r="D826" s="90">
        <f>IFERROR(__xludf.DUMMYFUNCTION("""COMPUTED_VALUE"""),41183.0)</f>
        <v>41183</v>
      </c>
      <c r="E826" s="46">
        <f>IFERROR(__xludf.DUMMYFUNCTION("""COMPUTED_VALUE"""),2012.0)</f>
        <v>2012</v>
      </c>
      <c r="F826" s="46">
        <f>IFERROR(__xludf.DUMMYFUNCTION("""COMPUTED_VALUE"""),1.0)</f>
        <v>1</v>
      </c>
      <c r="G826" s="46">
        <f>IFERROR(__xludf.DUMMYFUNCTION("""COMPUTED_VALUE"""),5310.0)</f>
        <v>5310</v>
      </c>
      <c r="H826" s="46">
        <f>IFERROR(__xludf.DUMMYFUNCTION("""COMPUTED_VALUE"""),818058.6)</f>
        <v>818058.6</v>
      </c>
      <c r="I826" s="46">
        <f>IFERROR(__xludf.DUMMYFUNCTION("""COMPUTED_VALUE"""),482838.30000000005)</f>
        <v>482838.3</v>
      </c>
      <c r="J826" s="46">
        <f>IFERROR(__xludf.DUMMYFUNCTION("""COMPUTED_VALUE"""),335220.29999999993)</f>
        <v>335220.3</v>
      </c>
      <c r="K826" s="46" t="str">
        <f t="array" ref="K826">TEXT(D826, "mmmm")</f>
        <v>October</v>
      </c>
      <c r="M826" s="46" t="str">
        <f>IFERROR(__xludf.DUMMYFUNCTION("""COMPUTED_VALUE"""),"Cyprus")</f>
        <v>Cyprus</v>
      </c>
      <c r="N826" s="94">
        <f>IFERROR(__xludf.DUMMYFUNCTION("""COMPUTED_VALUE"""),42186.0)</f>
        <v>42186</v>
      </c>
      <c r="O826" s="46">
        <f>IFERROR(__xludf.DUMMYFUNCTION("""COMPUTED_VALUE"""),2.0)</f>
        <v>2</v>
      </c>
      <c r="P826" s="46">
        <f>IFERROR(__xludf.DUMMYFUNCTION("""COMPUTED_VALUE"""),4793.0)</f>
        <v>4793</v>
      </c>
      <c r="Q826" s="46">
        <f>IFERROR(__xludf.DUMMYFUNCTION("""COMPUTED_VALUE"""),69214.44)</f>
        <v>69214.44</v>
      </c>
      <c r="R826" s="46">
        <f>IFERROR(__xludf.DUMMYFUNCTION("""COMPUTED_VALUE"""),48646.479999999996)</f>
        <v>48646.48</v>
      </c>
      <c r="S826" s="46">
        <f>IFERROR(__xludf.DUMMYFUNCTION("""COMPUTED_VALUE"""),20567.96000000001)</f>
        <v>20567.96</v>
      </c>
    </row>
    <row r="827">
      <c r="A827" s="46" t="str">
        <f>IFERROR(__xludf.DUMMYFUNCTION("""COMPUTED_VALUE"""),"Vegetables")</f>
        <v>Vegetables</v>
      </c>
      <c r="B827" s="46" t="str">
        <f>IFERROR(__xludf.DUMMYFUNCTION("""COMPUTED_VALUE"""),"Switzerland")</f>
        <v>Switzerland</v>
      </c>
      <c r="C827" s="46" t="str">
        <f>IFERROR(__xludf.DUMMYFUNCTION("""COMPUTED_VALUE"""),"Europe")</f>
        <v>Europe</v>
      </c>
      <c r="D827" s="90">
        <f>IFERROR(__xludf.DUMMYFUNCTION("""COMPUTED_VALUE"""),41183.0)</f>
        <v>41183</v>
      </c>
      <c r="E827" s="46">
        <f>IFERROR(__xludf.DUMMYFUNCTION("""COMPUTED_VALUE"""),2012.0)</f>
        <v>2012</v>
      </c>
      <c r="F827" s="46">
        <f>IFERROR(__xludf.DUMMYFUNCTION("""COMPUTED_VALUE"""),1.0)</f>
        <v>1</v>
      </c>
      <c r="G827" s="46">
        <f>IFERROR(__xludf.DUMMYFUNCTION("""COMPUTED_VALUE"""),8082.0)</f>
        <v>8082</v>
      </c>
      <c r="H827" s="46">
        <f>IFERROR(__xludf.DUMMYFUNCTION("""COMPUTED_VALUE"""),1245112.92)</f>
        <v>1245112.92</v>
      </c>
      <c r="I827" s="46">
        <f>IFERROR(__xludf.DUMMYFUNCTION("""COMPUTED_VALUE"""),734896.26)</f>
        <v>734896.26</v>
      </c>
      <c r="J827" s="46">
        <f>IFERROR(__xludf.DUMMYFUNCTION("""COMPUTED_VALUE"""),510216.6599999999)</f>
        <v>510216.66</v>
      </c>
      <c r="K827" s="46" t="str">
        <f t="array" ref="K827">TEXT(D827, "mmmm")</f>
        <v>October</v>
      </c>
      <c r="M827" s="46" t="str">
        <f>IFERROR(__xludf.DUMMYFUNCTION("""COMPUTED_VALUE"""),"Czech Republic")</f>
        <v>Czech Republic</v>
      </c>
      <c r="N827" s="94">
        <f>IFERROR(__xludf.DUMMYFUNCTION("""COMPUTED_VALUE"""),42186.0)</f>
        <v>42186</v>
      </c>
      <c r="O827" s="46">
        <f>IFERROR(__xludf.DUMMYFUNCTION("""COMPUTED_VALUE"""),1.0)</f>
        <v>1</v>
      </c>
      <c r="P827" s="46">
        <f>IFERROR(__xludf.DUMMYFUNCTION("""COMPUTED_VALUE"""),810.0)</f>
        <v>810</v>
      </c>
      <c r="Q827" s="46">
        <f>IFERROR(__xludf.DUMMYFUNCTION("""COMPUTED_VALUE"""),206776.8)</f>
        <v>206776.8</v>
      </c>
      <c r="R827" s="46">
        <f>IFERROR(__xludf.DUMMYFUNCTION("""COMPUTED_VALUE"""),129130.2)</f>
        <v>129130.2</v>
      </c>
      <c r="S827" s="46">
        <f>IFERROR(__xludf.DUMMYFUNCTION("""COMPUTED_VALUE"""),77646.59999999999)</f>
        <v>77646.6</v>
      </c>
    </row>
    <row r="828">
      <c r="A828" s="46" t="str">
        <f>IFERROR(__xludf.DUMMYFUNCTION("""COMPUTED_VALUE"""),"Baby Food")</f>
        <v>Baby Food</v>
      </c>
      <c r="B828" s="46" t="str">
        <f>IFERROR(__xludf.DUMMYFUNCTION("""COMPUTED_VALUE"""),"Croatia")</f>
        <v>Croatia</v>
      </c>
      <c r="C828" s="46" t="str">
        <f>IFERROR(__xludf.DUMMYFUNCTION("""COMPUTED_VALUE"""),"Europe")</f>
        <v>Europe</v>
      </c>
      <c r="D828" s="90">
        <f>IFERROR(__xludf.DUMMYFUNCTION("""COMPUTED_VALUE"""),41153.0)</f>
        <v>41153</v>
      </c>
      <c r="E828" s="46">
        <f>IFERROR(__xludf.DUMMYFUNCTION("""COMPUTED_VALUE"""),2012.0)</f>
        <v>2012</v>
      </c>
      <c r="F828" s="46">
        <f>IFERROR(__xludf.DUMMYFUNCTION("""COMPUTED_VALUE"""),1.0)</f>
        <v>1</v>
      </c>
      <c r="G828" s="46">
        <f>IFERROR(__xludf.DUMMYFUNCTION("""COMPUTED_VALUE"""),5247.0)</f>
        <v>5247</v>
      </c>
      <c r="H828" s="46">
        <f>IFERROR(__xludf.DUMMYFUNCTION("""COMPUTED_VALUE"""),1339454.16)</f>
        <v>1339454.16</v>
      </c>
      <c r="I828" s="46">
        <f>IFERROR(__xludf.DUMMYFUNCTION("""COMPUTED_VALUE"""),836476.74)</f>
        <v>836476.74</v>
      </c>
      <c r="J828" s="46">
        <f>IFERROR(__xludf.DUMMYFUNCTION("""COMPUTED_VALUE"""),502977.4199999999)</f>
        <v>502977.42</v>
      </c>
      <c r="K828" s="46" t="str">
        <f t="array" ref="K828">TEXT(D828, "mmmm")</f>
        <v>September</v>
      </c>
      <c r="M828" s="46" t="str">
        <f>IFERROR(__xludf.DUMMYFUNCTION("""COMPUTED_VALUE"""),"Estonia")</f>
        <v>Estonia</v>
      </c>
      <c r="N828" s="94">
        <f>IFERROR(__xludf.DUMMYFUNCTION("""COMPUTED_VALUE"""),42186.0)</f>
        <v>42186</v>
      </c>
      <c r="O828" s="46">
        <f>IFERROR(__xludf.DUMMYFUNCTION("""COMPUTED_VALUE"""),1.0)</f>
        <v>1</v>
      </c>
      <c r="P828" s="46">
        <f>IFERROR(__xludf.DUMMYFUNCTION("""COMPUTED_VALUE"""),3488.0)</f>
        <v>3488</v>
      </c>
      <c r="Q828" s="46">
        <f>IFERROR(__xludf.DUMMYFUNCTION("""COMPUTED_VALUE"""),532199.04)</f>
        <v>532199.04</v>
      </c>
      <c r="R828" s="46">
        <f>IFERROR(__xludf.DUMMYFUNCTION("""COMPUTED_VALUE"""),339870.72)</f>
        <v>339870.72</v>
      </c>
      <c r="S828" s="46">
        <f>IFERROR(__xludf.DUMMYFUNCTION("""COMPUTED_VALUE"""),192328.32000000007)</f>
        <v>192328.32</v>
      </c>
    </row>
    <row r="829">
      <c r="A829" s="46" t="str">
        <f>IFERROR(__xludf.DUMMYFUNCTION("""COMPUTED_VALUE"""),"Baby Food")</f>
        <v>Baby Food</v>
      </c>
      <c r="B829" s="46" t="str">
        <f>IFERROR(__xludf.DUMMYFUNCTION("""COMPUTED_VALUE"""),"Undefined")</f>
        <v>Undefined</v>
      </c>
      <c r="C829" s="46" t="str">
        <f>IFERROR(__xludf.DUMMYFUNCTION("""COMPUTED_VALUE"""),"Undefined")</f>
        <v>Undefined</v>
      </c>
      <c r="D829" s="90">
        <f>IFERROR(__xludf.DUMMYFUNCTION("""COMPUTED_VALUE"""),41153.0)</f>
        <v>41153</v>
      </c>
      <c r="E829" s="46">
        <f>IFERROR(__xludf.DUMMYFUNCTION("""COMPUTED_VALUE"""),2012.0)</f>
        <v>2012</v>
      </c>
      <c r="F829" s="46">
        <f>IFERROR(__xludf.DUMMYFUNCTION("""COMPUTED_VALUE"""),1.0)</f>
        <v>1</v>
      </c>
      <c r="G829" s="46">
        <f>IFERROR(__xludf.DUMMYFUNCTION("""COMPUTED_VALUE"""),7413.0)</f>
        <v>7413</v>
      </c>
      <c r="H829" s="46">
        <f>IFERROR(__xludf.DUMMYFUNCTION("""COMPUTED_VALUE"""),1892390.64)</f>
        <v>1892390.64</v>
      </c>
      <c r="I829" s="46">
        <f>IFERROR(__xludf.DUMMYFUNCTION("""COMPUTED_VALUE"""),1181780.46)</f>
        <v>1181780.46</v>
      </c>
      <c r="J829" s="46">
        <f>IFERROR(__xludf.DUMMYFUNCTION("""COMPUTED_VALUE"""),710610.1799999999)</f>
        <v>710610.18</v>
      </c>
      <c r="K829" s="46" t="str">
        <f t="array" ref="K829">TEXT(D829, "mmmm")</f>
        <v>September</v>
      </c>
      <c r="M829" s="46" t="str">
        <f>IFERROR(__xludf.DUMMYFUNCTION("""COMPUTED_VALUE"""),"Georgia")</f>
        <v>Georgia</v>
      </c>
      <c r="N829" s="94">
        <f>IFERROR(__xludf.DUMMYFUNCTION("""COMPUTED_VALUE"""),42186.0)</f>
        <v>42186</v>
      </c>
      <c r="O829" s="46">
        <f>IFERROR(__xludf.DUMMYFUNCTION("""COMPUTED_VALUE"""),1.0)</f>
        <v>1</v>
      </c>
      <c r="P829" s="46">
        <f>IFERROR(__xludf.DUMMYFUNCTION("""COMPUTED_VALUE"""),4934.0)</f>
        <v>4934</v>
      </c>
      <c r="Q829" s="46">
        <f>IFERROR(__xludf.DUMMYFUNCTION("""COMPUTED_VALUE"""),403255.82)</f>
        <v>403255.82</v>
      </c>
      <c r="R829" s="46">
        <f>IFERROR(__xludf.DUMMYFUNCTION("""COMPUTED_VALUE"""),279609.78)</f>
        <v>279609.78</v>
      </c>
      <c r="S829" s="46">
        <f>IFERROR(__xludf.DUMMYFUNCTION("""COMPUTED_VALUE"""),123646.03999999998)</f>
        <v>123646.04</v>
      </c>
    </row>
    <row r="830">
      <c r="A830" s="46" t="str">
        <f>IFERROR(__xludf.DUMMYFUNCTION("""COMPUTED_VALUE"""),"Beverages")</f>
        <v>Beverages</v>
      </c>
      <c r="B830" s="46" t="str">
        <f>IFERROR(__xludf.DUMMYFUNCTION("""COMPUTED_VALUE"""),"Serbia")</f>
        <v>Serbia</v>
      </c>
      <c r="C830" s="46" t="str">
        <f>IFERROR(__xludf.DUMMYFUNCTION("""COMPUTED_VALUE"""),"Europe")</f>
        <v>Europe</v>
      </c>
      <c r="D830" s="90">
        <f>IFERROR(__xludf.DUMMYFUNCTION("""COMPUTED_VALUE"""),41153.0)</f>
        <v>41153</v>
      </c>
      <c r="E830" s="46">
        <f>IFERROR(__xludf.DUMMYFUNCTION("""COMPUTED_VALUE"""),2012.0)</f>
        <v>2012</v>
      </c>
      <c r="F830" s="46">
        <f>IFERROR(__xludf.DUMMYFUNCTION("""COMPUTED_VALUE"""),1.0)</f>
        <v>1</v>
      </c>
      <c r="G830" s="46">
        <f>IFERROR(__xludf.DUMMYFUNCTION("""COMPUTED_VALUE"""),978.0)</f>
        <v>978</v>
      </c>
      <c r="H830" s="46">
        <f>IFERROR(__xludf.DUMMYFUNCTION("""COMPUTED_VALUE"""),46406.100000000006)</f>
        <v>46406.1</v>
      </c>
      <c r="I830" s="46">
        <f>IFERROR(__xludf.DUMMYFUNCTION("""COMPUTED_VALUE"""),31090.62)</f>
        <v>31090.62</v>
      </c>
      <c r="J830" s="46">
        <f>IFERROR(__xludf.DUMMYFUNCTION("""COMPUTED_VALUE"""),15315.480000000007)</f>
        <v>15315.48</v>
      </c>
      <c r="K830" s="46" t="str">
        <f t="array" ref="K830">TEXT(D830, "mmmm")</f>
        <v>September</v>
      </c>
      <c r="M830" s="46" t="str">
        <f>IFERROR(__xludf.DUMMYFUNCTION("""COMPUTED_VALUE"""),"Iceland")</f>
        <v>Iceland</v>
      </c>
      <c r="N830" s="94">
        <f>IFERROR(__xludf.DUMMYFUNCTION("""COMPUTED_VALUE"""),42186.0)</f>
        <v>42186</v>
      </c>
      <c r="O830" s="46">
        <f>IFERROR(__xludf.DUMMYFUNCTION("""COMPUTED_VALUE"""),1.0)</f>
        <v>1</v>
      </c>
      <c r="P830" s="46">
        <f>IFERROR(__xludf.DUMMYFUNCTION("""COMPUTED_VALUE"""),7309.0)</f>
        <v>7309</v>
      </c>
      <c r="Q830" s="46">
        <f>IFERROR(__xludf.DUMMYFUNCTION("""COMPUTED_VALUE"""),3083594.01)</f>
        <v>3083594.01</v>
      </c>
      <c r="R830" s="46">
        <f>IFERROR(__xludf.DUMMYFUNCTION("""COMPUTED_VALUE"""),2665519.21)</f>
        <v>2665519.21</v>
      </c>
      <c r="S830" s="46">
        <f>IFERROR(__xludf.DUMMYFUNCTION("""COMPUTED_VALUE"""),418074.7999999998)</f>
        <v>418074.8</v>
      </c>
    </row>
    <row r="831">
      <c r="A831" s="46" t="str">
        <f>IFERROR(__xludf.DUMMYFUNCTION("""COMPUTED_VALUE"""),"Cereal")</f>
        <v>Cereal</v>
      </c>
      <c r="B831" s="46" t="str">
        <f>IFERROR(__xludf.DUMMYFUNCTION("""COMPUTED_VALUE"""),"France")</f>
        <v>France</v>
      </c>
      <c r="C831" s="46" t="str">
        <f>IFERROR(__xludf.DUMMYFUNCTION("""COMPUTED_VALUE"""),"Europe")</f>
        <v>Europe</v>
      </c>
      <c r="D831" s="90">
        <f>IFERROR(__xludf.DUMMYFUNCTION("""COMPUTED_VALUE"""),41153.0)</f>
        <v>41153</v>
      </c>
      <c r="E831" s="46">
        <f>IFERROR(__xludf.DUMMYFUNCTION("""COMPUTED_VALUE"""),2012.0)</f>
        <v>2012</v>
      </c>
      <c r="F831" s="46">
        <f>IFERROR(__xludf.DUMMYFUNCTION("""COMPUTED_VALUE"""),1.0)</f>
        <v>1</v>
      </c>
      <c r="G831" s="46">
        <f>IFERROR(__xludf.DUMMYFUNCTION("""COMPUTED_VALUE"""),3532.0)</f>
        <v>3532</v>
      </c>
      <c r="H831" s="46">
        <f>IFERROR(__xludf.DUMMYFUNCTION("""COMPUTED_VALUE"""),726532.3999999999)</f>
        <v>726532.4</v>
      </c>
      <c r="I831" s="46">
        <f>IFERROR(__xludf.DUMMYFUNCTION("""COMPUTED_VALUE"""),413632.52)</f>
        <v>413632.52</v>
      </c>
      <c r="J831" s="46">
        <f>IFERROR(__xludf.DUMMYFUNCTION("""COMPUTED_VALUE"""),312899.8799999999)</f>
        <v>312899.88</v>
      </c>
      <c r="K831" s="46" t="str">
        <f t="array" ref="K831">TEXT(D831, "mmmm")</f>
        <v>September</v>
      </c>
      <c r="M831" s="46" t="str">
        <f>IFERROR(__xludf.DUMMYFUNCTION("""COMPUTED_VALUE"""),"Lithuania")</f>
        <v>Lithuania</v>
      </c>
      <c r="N831" s="94">
        <f>IFERROR(__xludf.DUMMYFUNCTION("""COMPUTED_VALUE"""),42186.0)</f>
        <v>42186</v>
      </c>
      <c r="O831" s="46">
        <f>IFERROR(__xludf.DUMMYFUNCTION("""COMPUTED_VALUE"""),1.0)</f>
        <v>1</v>
      </c>
      <c r="P831" s="46">
        <f>IFERROR(__xludf.DUMMYFUNCTION("""COMPUTED_VALUE"""),5919.0)</f>
        <v>5919</v>
      </c>
      <c r="Q831" s="46">
        <f>IFERROR(__xludf.DUMMYFUNCTION("""COMPUTED_VALUE"""),280856.55)</f>
        <v>280856.55</v>
      </c>
      <c r="R831" s="46">
        <f>IFERROR(__xludf.DUMMYFUNCTION("""COMPUTED_VALUE"""),188165.01)</f>
        <v>188165.01</v>
      </c>
      <c r="S831" s="46">
        <f>IFERROR(__xludf.DUMMYFUNCTION("""COMPUTED_VALUE"""),92691.53999999998)</f>
        <v>92691.54</v>
      </c>
    </row>
    <row r="832">
      <c r="A832" s="46" t="str">
        <f>IFERROR(__xludf.DUMMYFUNCTION("""COMPUTED_VALUE"""),"Cereal")</f>
        <v>Cereal</v>
      </c>
      <c r="B832" s="46" t="str">
        <f>IFERROR(__xludf.DUMMYFUNCTION("""COMPUTED_VALUE"""),"Romania")</f>
        <v>Romania</v>
      </c>
      <c r="C832" s="46" t="str">
        <f>IFERROR(__xludf.DUMMYFUNCTION("""COMPUTED_VALUE"""),"Europe")</f>
        <v>Europe</v>
      </c>
      <c r="D832" s="90">
        <f>IFERROR(__xludf.DUMMYFUNCTION("""COMPUTED_VALUE"""),41153.0)</f>
        <v>41153</v>
      </c>
      <c r="E832" s="46">
        <f>IFERROR(__xludf.DUMMYFUNCTION("""COMPUTED_VALUE"""),2012.0)</f>
        <v>2012</v>
      </c>
      <c r="F832" s="46">
        <f>IFERROR(__xludf.DUMMYFUNCTION("""COMPUTED_VALUE"""),1.0)</f>
        <v>1</v>
      </c>
      <c r="G832" s="46">
        <f>IFERROR(__xludf.DUMMYFUNCTION("""COMPUTED_VALUE"""),4828.0)</f>
        <v>4828</v>
      </c>
      <c r="H832" s="46">
        <f>IFERROR(__xludf.DUMMYFUNCTION("""COMPUTED_VALUE"""),993119.6)</f>
        <v>993119.6</v>
      </c>
      <c r="I832" s="46">
        <f>IFERROR(__xludf.DUMMYFUNCTION("""COMPUTED_VALUE"""),565407.08)</f>
        <v>565407.08</v>
      </c>
      <c r="J832" s="46">
        <f>IFERROR(__xludf.DUMMYFUNCTION("""COMPUTED_VALUE"""),427712.52)</f>
        <v>427712.52</v>
      </c>
      <c r="K832" s="46" t="str">
        <f t="array" ref="K832">TEXT(D832, "mmmm")</f>
        <v>September</v>
      </c>
      <c r="M832" s="46" t="str">
        <f>IFERROR(__xludf.DUMMYFUNCTION("""COMPUTED_VALUE"""),"Poland")</f>
        <v>Poland</v>
      </c>
      <c r="N832" s="94">
        <f>IFERROR(__xludf.DUMMYFUNCTION("""COMPUTED_VALUE"""),42186.0)</f>
        <v>42186</v>
      </c>
      <c r="O832" s="46">
        <f>IFERROR(__xludf.DUMMYFUNCTION("""COMPUTED_VALUE"""),1.0)</f>
        <v>1</v>
      </c>
      <c r="P832" s="46">
        <f>IFERROR(__xludf.DUMMYFUNCTION("""COMPUTED_VALUE"""),1176.0)</f>
        <v>1176</v>
      </c>
      <c r="Q832" s="46">
        <f>IFERROR(__xludf.DUMMYFUNCTION("""COMPUTED_VALUE"""),181174.56)</f>
        <v>181174.56</v>
      </c>
      <c r="R832" s="46">
        <f>IFERROR(__xludf.DUMMYFUNCTION("""COMPUTED_VALUE"""),106933.68000000001)</f>
        <v>106933.68</v>
      </c>
      <c r="S832" s="46">
        <f>IFERROR(__xludf.DUMMYFUNCTION("""COMPUTED_VALUE"""),74240.87999999999)</f>
        <v>74240.88</v>
      </c>
    </row>
    <row r="833">
      <c r="A833" s="46" t="str">
        <f>IFERROR(__xludf.DUMMYFUNCTION("""COMPUTED_VALUE"""),"Clothes")</f>
        <v>Clothes</v>
      </c>
      <c r="B833" s="46" t="str">
        <f>IFERROR(__xludf.DUMMYFUNCTION("""COMPUTED_VALUE"""),"Estonia")</f>
        <v>Estonia</v>
      </c>
      <c r="C833" s="46" t="str">
        <f>IFERROR(__xludf.DUMMYFUNCTION("""COMPUTED_VALUE"""),"Europe")</f>
        <v>Europe</v>
      </c>
      <c r="D833" s="90">
        <f>IFERROR(__xludf.DUMMYFUNCTION("""COMPUTED_VALUE"""),41153.0)</f>
        <v>41153</v>
      </c>
      <c r="E833" s="46">
        <f>IFERROR(__xludf.DUMMYFUNCTION("""COMPUTED_VALUE"""),2012.0)</f>
        <v>2012</v>
      </c>
      <c r="F833" s="46">
        <f>IFERROR(__xludf.DUMMYFUNCTION("""COMPUTED_VALUE"""),1.0)</f>
        <v>1</v>
      </c>
      <c r="G833" s="46">
        <f>IFERROR(__xludf.DUMMYFUNCTION("""COMPUTED_VALUE"""),5016.0)</f>
        <v>5016</v>
      </c>
      <c r="H833" s="46">
        <f>IFERROR(__xludf.DUMMYFUNCTION("""COMPUTED_VALUE"""),548148.48)</f>
        <v>548148.48</v>
      </c>
      <c r="I833" s="46">
        <f>IFERROR(__xludf.DUMMYFUNCTION("""COMPUTED_VALUE"""),179773.44000000003)</f>
        <v>179773.44</v>
      </c>
      <c r="J833" s="46">
        <f>IFERROR(__xludf.DUMMYFUNCTION("""COMPUTED_VALUE"""),368375.0399999999)</f>
        <v>368375.04</v>
      </c>
      <c r="K833" s="46" t="str">
        <f t="array" ref="K833">TEXT(D833, "mmmm")</f>
        <v>September</v>
      </c>
      <c r="M833" s="46" t="str">
        <f>IFERROR(__xludf.DUMMYFUNCTION("""COMPUTED_VALUE"""),"Russia")</f>
        <v>Russia</v>
      </c>
      <c r="N833" s="94">
        <f>IFERROR(__xludf.DUMMYFUNCTION("""COMPUTED_VALUE"""),42186.0)</f>
        <v>42186</v>
      </c>
      <c r="O833" s="46">
        <f>IFERROR(__xludf.DUMMYFUNCTION("""COMPUTED_VALUE"""),1.0)</f>
        <v>1</v>
      </c>
      <c r="P833" s="46">
        <f>IFERROR(__xludf.DUMMYFUNCTION("""COMPUTED_VALUE"""),391.0)</f>
        <v>391</v>
      </c>
      <c r="Q833" s="46">
        <f>IFERROR(__xludf.DUMMYFUNCTION("""COMPUTED_VALUE"""),170945.19999999998)</f>
        <v>170945.2</v>
      </c>
      <c r="R833" s="46">
        <f>IFERROR(__xludf.DUMMYFUNCTION("""COMPUTED_VALUE"""),102962.03)</f>
        <v>102962.03</v>
      </c>
      <c r="S833" s="46">
        <f>IFERROR(__xludf.DUMMYFUNCTION("""COMPUTED_VALUE"""),67983.16999999998)</f>
        <v>67983.17</v>
      </c>
    </row>
    <row r="834">
      <c r="A834" s="46" t="str">
        <f>IFERROR(__xludf.DUMMYFUNCTION("""COMPUTED_VALUE"""),"Clothes")</f>
        <v>Clothes</v>
      </c>
      <c r="B834" s="46" t="str">
        <f>IFERROR(__xludf.DUMMYFUNCTION("""COMPUTED_VALUE"""),"Italy")</f>
        <v>Italy</v>
      </c>
      <c r="C834" s="46" t="str">
        <f>IFERROR(__xludf.DUMMYFUNCTION("""COMPUTED_VALUE"""),"Europe")</f>
        <v>Europe</v>
      </c>
      <c r="D834" s="90">
        <f>IFERROR(__xludf.DUMMYFUNCTION("""COMPUTED_VALUE"""),41153.0)</f>
        <v>41153</v>
      </c>
      <c r="E834" s="46">
        <f>IFERROR(__xludf.DUMMYFUNCTION("""COMPUTED_VALUE"""),2012.0)</f>
        <v>2012</v>
      </c>
      <c r="F834" s="46">
        <f>IFERROR(__xludf.DUMMYFUNCTION("""COMPUTED_VALUE"""),1.0)</f>
        <v>1</v>
      </c>
      <c r="G834" s="46">
        <f>IFERROR(__xludf.DUMMYFUNCTION("""COMPUTED_VALUE"""),3180.0)</f>
        <v>3180</v>
      </c>
      <c r="H834" s="46">
        <f>IFERROR(__xludf.DUMMYFUNCTION("""COMPUTED_VALUE"""),347510.4)</f>
        <v>347510.4</v>
      </c>
      <c r="I834" s="46">
        <f>IFERROR(__xludf.DUMMYFUNCTION("""COMPUTED_VALUE"""),113971.20000000001)</f>
        <v>113971.2</v>
      </c>
      <c r="J834" s="46">
        <f>IFERROR(__xludf.DUMMYFUNCTION("""COMPUTED_VALUE"""),233539.2)</f>
        <v>233539.2</v>
      </c>
      <c r="K834" s="46" t="str">
        <f t="array" ref="K834">TEXT(D834, "mmmm")</f>
        <v>September</v>
      </c>
      <c r="M834" s="46" t="str">
        <f>IFERROR(__xludf.DUMMYFUNCTION("""COMPUTED_VALUE"""),"Slovakia")</f>
        <v>Slovakia</v>
      </c>
      <c r="N834" s="94">
        <f>IFERROR(__xludf.DUMMYFUNCTION("""COMPUTED_VALUE"""),42186.0)</f>
        <v>42186</v>
      </c>
      <c r="O834" s="46">
        <f>IFERROR(__xludf.DUMMYFUNCTION("""COMPUTED_VALUE"""),1.0)</f>
        <v>1</v>
      </c>
      <c r="P834" s="46">
        <f>IFERROR(__xludf.DUMMYFUNCTION("""COMPUTED_VALUE"""),3382.0)</f>
        <v>3382</v>
      </c>
      <c r="Q834" s="46">
        <f>IFERROR(__xludf.DUMMYFUNCTION("""COMPUTED_VALUE"""),516025.56000000006)</f>
        <v>516025.56</v>
      </c>
      <c r="R834" s="46">
        <f>IFERROR(__xludf.DUMMYFUNCTION("""COMPUTED_VALUE"""),329542.08)</f>
        <v>329542.08</v>
      </c>
      <c r="S834" s="46">
        <f>IFERROR(__xludf.DUMMYFUNCTION("""COMPUTED_VALUE"""),186483.48000000004)</f>
        <v>186483.48</v>
      </c>
    </row>
    <row r="835">
      <c r="A835" s="46" t="str">
        <f>IFERROR(__xludf.DUMMYFUNCTION("""COMPUTED_VALUE"""),"Cosmetics")</f>
        <v>Cosmetics</v>
      </c>
      <c r="B835" s="46" t="str">
        <f>IFERROR(__xludf.DUMMYFUNCTION("""COMPUTED_VALUE"""),"Hungary")</f>
        <v>Hungary</v>
      </c>
      <c r="C835" s="46" t="str">
        <f>IFERROR(__xludf.DUMMYFUNCTION("""COMPUTED_VALUE"""),"Europe")</f>
        <v>Europe</v>
      </c>
      <c r="D835" s="90">
        <f>IFERROR(__xludf.DUMMYFUNCTION("""COMPUTED_VALUE"""),41153.0)</f>
        <v>41153</v>
      </c>
      <c r="E835" s="46">
        <f>IFERROR(__xludf.DUMMYFUNCTION("""COMPUTED_VALUE"""),2012.0)</f>
        <v>2012</v>
      </c>
      <c r="F835" s="46">
        <f>IFERROR(__xludf.DUMMYFUNCTION("""COMPUTED_VALUE"""),1.0)</f>
        <v>1</v>
      </c>
      <c r="G835" s="46">
        <f>IFERROR(__xludf.DUMMYFUNCTION("""COMPUTED_VALUE"""),9188.0)</f>
        <v>9188</v>
      </c>
      <c r="H835" s="46">
        <f>IFERROR(__xludf.DUMMYFUNCTION("""COMPUTED_VALUE"""),4016993.6)</f>
        <v>4016993.6</v>
      </c>
      <c r="I835" s="46">
        <f>IFERROR(__xludf.DUMMYFUNCTION("""COMPUTED_VALUE"""),2419476.04)</f>
        <v>2419476.04</v>
      </c>
      <c r="J835" s="46">
        <f>IFERROR(__xludf.DUMMYFUNCTION("""COMPUTED_VALUE"""),1597517.56)</f>
        <v>1597517.56</v>
      </c>
      <c r="K835" s="46" t="str">
        <f t="array" ref="K835">TEXT(D835, "mmmm")</f>
        <v>September</v>
      </c>
      <c r="M835" s="46" t="str">
        <f>IFERROR(__xludf.DUMMYFUNCTION("""COMPUTED_VALUE"""),"Switzerland")</f>
        <v>Switzerland</v>
      </c>
      <c r="N835" s="94">
        <f>IFERROR(__xludf.DUMMYFUNCTION("""COMPUTED_VALUE"""),42186.0)</f>
        <v>42186</v>
      </c>
      <c r="O835" s="46">
        <f>IFERROR(__xludf.DUMMYFUNCTION("""COMPUTED_VALUE"""),1.0)</f>
        <v>1</v>
      </c>
      <c r="P835" s="46">
        <f>IFERROR(__xludf.DUMMYFUNCTION("""COMPUTED_VALUE"""),1607.0)</f>
        <v>1607</v>
      </c>
      <c r="Q835" s="46">
        <f>IFERROR(__xludf.DUMMYFUNCTION("""COMPUTED_VALUE"""),1073909.89)</f>
        <v>1073909.89</v>
      </c>
      <c r="R835" s="46">
        <f>IFERROR(__xludf.DUMMYFUNCTION("""COMPUTED_VALUE"""),807581.78)</f>
        <v>807581.78</v>
      </c>
      <c r="S835" s="46">
        <f>IFERROR(__xludf.DUMMYFUNCTION("""COMPUTED_VALUE"""),266328.10999999987)</f>
        <v>266328.11</v>
      </c>
    </row>
    <row r="836">
      <c r="A836" s="46" t="str">
        <f>IFERROR(__xludf.DUMMYFUNCTION("""COMPUTED_VALUE"""),"Household")</f>
        <v>Household</v>
      </c>
      <c r="B836" s="46" t="str">
        <f>IFERROR(__xludf.DUMMYFUNCTION("""COMPUTED_VALUE"""),"Armenia")</f>
        <v>Armenia</v>
      </c>
      <c r="C836" s="46" t="str">
        <f>IFERROR(__xludf.DUMMYFUNCTION("""COMPUTED_VALUE"""),"Asia")</f>
        <v>Asia</v>
      </c>
      <c r="D836" s="90">
        <f>IFERROR(__xludf.DUMMYFUNCTION("""COMPUTED_VALUE"""),41153.0)</f>
        <v>41153</v>
      </c>
      <c r="E836" s="46">
        <f>IFERROR(__xludf.DUMMYFUNCTION("""COMPUTED_VALUE"""),2012.0)</f>
        <v>2012</v>
      </c>
      <c r="F836" s="46">
        <f>IFERROR(__xludf.DUMMYFUNCTION("""COMPUTED_VALUE"""),1.0)</f>
        <v>1</v>
      </c>
      <c r="G836" s="46">
        <f>IFERROR(__xludf.DUMMYFUNCTION("""COMPUTED_VALUE"""),1051.0)</f>
        <v>1051</v>
      </c>
      <c r="H836" s="46">
        <f>IFERROR(__xludf.DUMMYFUNCTION("""COMPUTED_VALUE"""),702351.77)</f>
        <v>702351.77</v>
      </c>
      <c r="I836" s="46">
        <f>IFERROR(__xludf.DUMMYFUNCTION("""COMPUTED_VALUE"""),528169.54)</f>
        <v>528169.54</v>
      </c>
      <c r="J836" s="46">
        <f>IFERROR(__xludf.DUMMYFUNCTION("""COMPUTED_VALUE"""),174182.22999999998)</f>
        <v>174182.23</v>
      </c>
      <c r="K836" s="46" t="str">
        <f t="array" ref="K836">TEXT(D836, "mmmm")</f>
        <v>September</v>
      </c>
      <c r="M836" s="46" t="str">
        <f>IFERROR(__xludf.DUMMYFUNCTION("""COMPUTED_VALUE"""),"United Kingdom")</f>
        <v>United Kingdom</v>
      </c>
      <c r="N836" s="94">
        <f>IFERROR(__xludf.DUMMYFUNCTION("""COMPUTED_VALUE"""),42186.0)</f>
        <v>42186</v>
      </c>
      <c r="O836" s="46">
        <f>IFERROR(__xludf.DUMMYFUNCTION("""COMPUTED_VALUE"""),1.0)</f>
        <v>1</v>
      </c>
      <c r="P836" s="46">
        <f>IFERROR(__xludf.DUMMYFUNCTION("""COMPUTED_VALUE"""),979.0)</f>
        <v>979</v>
      </c>
      <c r="Q836" s="46">
        <f>IFERROR(__xludf.DUMMYFUNCTION("""COMPUTED_VALUE"""),637534.5900000001)</f>
        <v>637534.59</v>
      </c>
      <c r="R836" s="46">
        <f>IFERROR(__xludf.DUMMYFUNCTION("""COMPUTED_VALUE"""),513935.84)</f>
        <v>513935.84</v>
      </c>
      <c r="S836" s="46">
        <f>IFERROR(__xludf.DUMMYFUNCTION("""COMPUTED_VALUE"""),123598.75000000006)</f>
        <v>123598.75</v>
      </c>
    </row>
    <row r="837">
      <c r="A837" s="46" t="str">
        <f>IFERROR(__xludf.DUMMYFUNCTION("""COMPUTED_VALUE"""),"Meat")</f>
        <v>Meat</v>
      </c>
      <c r="B837" s="46" t="str">
        <f>IFERROR(__xludf.DUMMYFUNCTION("""COMPUTED_VALUE"""),"Norway")</f>
        <v>Norway</v>
      </c>
      <c r="C837" s="46" t="str">
        <f>IFERROR(__xludf.DUMMYFUNCTION("""COMPUTED_VALUE"""),"Europe")</f>
        <v>Europe</v>
      </c>
      <c r="D837" s="90">
        <f>IFERROR(__xludf.DUMMYFUNCTION("""COMPUTED_VALUE"""),41153.0)</f>
        <v>41153</v>
      </c>
      <c r="E837" s="46">
        <f>IFERROR(__xludf.DUMMYFUNCTION("""COMPUTED_VALUE"""),2012.0)</f>
        <v>2012</v>
      </c>
      <c r="F837" s="46">
        <f>IFERROR(__xludf.DUMMYFUNCTION("""COMPUTED_VALUE"""),1.0)</f>
        <v>1</v>
      </c>
      <c r="G837" s="46">
        <f>IFERROR(__xludf.DUMMYFUNCTION("""COMPUTED_VALUE"""),8194.0)</f>
        <v>8194</v>
      </c>
      <c r="H837" s="46">
        <f>IFERROR(__xludf.DUMMYFUNCTION("""COMPUTED_VALUE"""),3456966.6599999997)</f>
        <v>3456966.66</v>
      </c>
      <c r="I837" s="46">
        <f>IFERROR(__xludf.DUMMYFUNCTION("""COMPUTED_VALUE"""),2988269.86)</f>
        <v>2988269.86</v>
      </c>
      <c r="J837" s="46">
        <f>IFERROR(__xludf.DUMMYFUNCTION("""COMPUTED_VALUE"""),468696.7999999998)</f>
        <v>468696.8</v>
      </c>
      <c r="K837" s="46" t="str">
        <f t="array" ref="K837">TEXT(D837, "mmmm")</f>
        <v>September</v>
      </c>
      <c r="M837" s="46" t="str">
        <f>IFERROR(__xludf.DUMMYFUNCTION("""COMPUTED_VALUE"""),"Albania")</f>
        <v>Albania</v>
      </c>
      <c r="N837" s="94">
        <f>IFERROR(__xludf.DUMMYFUNCTION("""COMPUTED_VALUE"""),42217.0)</f>
        <v>42217</v>
      </c>
      <c r="O837" s="46">
        <f>IFERROR(__xludf.DUMMYFUNCTION("""COMPUTED_VALUE"""),1.0)</f>
        <v>1</v>
      </c>
      <c r="P837" s="46">
        <f>IFERROR(__xludf.DUMMYFUNCTION("""COMPUTED_VALUE"""),1224.0)</f>
        <v>1224</v>
      </c>
      <c r="Q837" s="46">
        <f>IFERROR(__xludf.DUMMYFUNCTION("""COMPUTED_VALUE"""),535132.7999999999)</f>
        <v>535132.8</v>
      </c>
      <c r="R837" s="46">
        <f>IFERROR(__xludf.DUMMYFUNCTION("""COMPUTED_VALUE"""),322315.92)</f>
        <v>322315.92</v>
      </c>
      <c r="S837" s="46">
        <f>IFERROR(__xludf.DUMMYFUNCTION("""COMPUTED_VALUE"""),212816.87999999995)</f>
        <v>212816.88</v>
      </c>
    </row>
    <row r="838">
      <c r="A838" s="46" t="str">
        <f>IFERROR(__xludf.DUMMYFUNCTION("""COMPUTED_VALUE"""),"Meat")</f>
        <v>Meat</v>
      </c>
      <c r="B838" s="46" t="str">
        <f>IFERROR(__xludf.DUMMYFUNCTION("""COMPUTED_VALUE"""),"Undefined")</f>
        <v>Undefined</v>
      </c>
      <c r="C838" s="46" t="str">
        <f>IFERROR(__xludf.DUMMYFUNCTION("""COMPUTED_VALUE"""),"Undefined")</f>
        <v>Undefined</v>
      </c>
      <c r="D838" s="90">
        <f>IFERROR(__xludf.DUMMYFUNCTION("""COMPUTED_VALUE"""),41153.0)</f>
        <v>41153</v>
      </c>
      <c r="E838" s="46">
        <f>IFERROR(__xludf.DUMMYFUNCTION("""COMPUTED_VALUE"""),2012.0)</f>
        <v>2012</v>
      </c>
      <c r="F838" s="46">
        <f>IFERROR(__xludf.DUMMYFUNCTION("""COMPUTED_VALUE"""),1.0)</f>
        <v>1</v>
      </c>
      <c r="G838" s="46">
        <f>IFERROR(__xludf.DUMMYFUNCTION("""COMPUTED_VALUE"""),306.0)</f>
        <v>306</v>
      </c>
      <c r="H838" s="46">
        <f>IFERROR(__xludf.DUMMYFUNCTION("""COMPUTED_VALUE"""),129098.34)</f>
        <v>129098.34</v>
      </c>
      <c r="I838" s="46">
        <f>IFERROR(__xludf.DUMMYFUNCTION("""COMPUTED_VALUE"""),111595.14)</f>
        <v>111595.14</v>
      </c>
      <c r="J838" s="46">
        <f>IFERROR(__xludf.DUMMYFUNCTION("""COMPUTED_VALUE"""),17503.199999999997)</f>
        <v>17503.2</v>
      </c>
      <c r="K838" s="46" t="str">
        <f t="array" ref="K838">TEXT(D838, "mmmm")</f>
        <v>September</v>
      </c>
      <c r="M838" s="46" t="str">
        <f>IFERROR(__xludf.DUMMYFUNCTION("""COMPUTED_VALUE"""),"Belgium")</f>
        <v>Belgium</v>
      </c>
      <c r="N838" s="94">
        <f>IFERROR(__xludf.DUMMYFUNCTION("""COMPUTED_VALUE"""),42217.0)</f>
        <v>42217</v>
      </c>
      <c r="O838" s="46">
        <f>IFERROR(__xludf.DUMMYFUNCTION("""COMPUTED_VALUE"""),1.0)</f>
        <v>1</v>
      </c>
      <c r="P838" s="46">
        <f>IFERROR(__xludf.DUMMYFUNCTION("""COMPUTED_VALUE"""),7242.0)</f>
        <v>7242</v>
      </c>
      <c r="Q838" s="46">
        <f>IFERROR(__xludf.DUMMYFUNCTION("""COMPUTED_VALUE"""),343632.9)</f>
        <v>343632.9</v>
      </c>
      <c r="R838" s="46">
        <f>IFERROR(__xludf.DUMMYFUNCTION("""COMPUTED_VALUE"""),230223.18)</f>
        <v>230223.18</v>
      </c>
      <c r="S838" s="46">
        <f>IFERROR(__xludf.DUMMYFUNCTION("""COMPUTED_VALUE"""),113409.72000000003)</f>
        <v>113409.72</v>
      </c>
    </row>
    <row r="839">
      <c r="A839" s="46" t="str">
        <f>IFERROR(__xludf.DUMMYFUNCTION("""COMPUTED_VALUE"""),"Personal Care")</f>
        <v>Personal Care</v>
      </c>
      <c r="B839" s="46" t="str">
        <f>IFERROR(__xludf.DUMMYFUNCTION("""COMPUTED_VALUE"""),"Latvia")</f>
        <v>Latvia</v>
      </c>
      <c r="C839" s="46" t="str">
        <f>IFERROR(__xludf.DUMMYFUNCTION("""COMPUTED_VALUE"""),"Europe")</f>
        <v>Europe</v>
      </c>
      <c r="D839" s="90">
        <f>IFERROR(__xludf.DUMMYFUNCTION("""COMPUTED_VALUE"""),41153.0)</f>
        <v>41153</v>
      </c>
      <c r="E839" s="46">
        <f>IFERROR(__xludf.DUMMYFUNCTION("""COMPUTED_VALUE"""),2012.0)</f>
        <v>2012</v>
      </c>
      <c r="F839" s="46">
        <f>IFERROR(__xludf.DUMMYFUNCTION("""COMPUTED_VALUE"""),1.0)</f>
        <v>1</v>
      </c>
      <c r="G839" s="46">
        <f>IFERROR(__xludf.DUMMYFUNCTION("""COMPUTED_VALUE"""),3915.0)</f>
        <v>3915</v>
      </c>
      <c r="H839" s="46">
        <f>IFERROR(__xludf.DUMMYFUNCTION("""COMPUTED_VALUE"""),319972.95)</f>
        <v>319972.95</v>
      </c>
      <c r="I839" s="46">
        <f>IFERROR(__xludf.DUMMYFUNCTION("""COMPUTED_VALUE"""),221863.05000000002)</f>
        <v>221863.05</v>
      </c>
      <c r="J839" s="46">
        <f>IFERROR(__xludf.DUMMYFUNCTION("""COMPUTED_VALUE"""),98109.9)</f>
        <v>98109.9</v>
      </c>
      <c r="K839" s="46" t="str">
        <f t="array" ref="K839">TEXT(D839, "mmmm")</f>
        <v>September</v>
      </c>
      <c r="M839" s="46" t="str">
        <f>IFERROR(__xludf.DUMMYFUNCTION("""COMPUTED_VALUE"""),"Bosnia and Herzegovina")</f>
        <v>Bosnia and Herzegovina</v>
      </c>
      <c r="N839" s="94">
        <f>IFERROR(__xludf.DUMMYFUNCTION("""COMPUTED_VALUE"""),42217.0)</f>
        <v>42217</v>
      </c>
      <c r="O839" s="46">
        <f>IFERROR(__xludf.DUMMYFUNCTION("""COMPUTED_VALUE"""),1.0)</f>
        <v>1</v>
      </c>
      <c r="P839" s="46">
        <f>IFERROR(__xludf.DUMMYFUNCTION("""COMPUTED_VALUE"""),7929.0)</f>
        <v>7929</v>
      </c>
      <c r="Q839" s="46">
        <f>IFERROR(__xludf.DUMMYFUNCTION("""COMPUTED_VALUE"""),376231.05000000005)</f>
        <v>376231.05</v>
      </c>
      <c r="R839" s="46">
        <f>IFERROR(__xludf.DUMMYFUNCTION("""COMPUTED_VALUE"""),252062.91)</f>
        <v>252062.91</v>
      </c>
      <c r="S839" s="46">
        <f>IFERROR(__xludf.DUMMYFUNCTION("""COMPUTED_VALUE"""),124168.14000000004)</f>
        <v>124168.14</v>
      </c>
    </row>
    <row r="840">
      <c r="A840" s="46" t="str">
        <f>IFERROR(__xludf.DUMMYFUNCTION("""COMPUTED_VALUE"""),"Snacks")</f>
        <v>Snacks</v>
      </c>
      <c r="B840" s="46" t="str">
        <f>IFERROR(__xludf.DUMMYFUNCTION("""COMPUTED_VALUE"""),"Belarus")</f>
        <v>Belarus</v>
      </c>
      <c r="C840" s="46" t="str">
        <f>IFERROR(__xludf.DUMMYFUNCTION("""COMPUTED_VALUE"""),"Europe")</f>
        <v>Europe</v>
      </c>
      <c r="D840" s="90">
        <f>IFERROR(__xludf.DUMMYFUNCTION("""COMPUTED_VALUE"""),41153.0)</f>
        <v>41153</v>
      </c>
      <c r="E840" s="46">
        <f>IFERROR(__xludf.DUMMYFUNCTION("""COMPUTED_VALUE"""),2012.0)</f>
        <v>2012</v>
      </c>
      <c r="F840" s="46">
        <f>IFERROR(__xludf.DUMMYFUNCTION("""COMPUTED_VALUE"""),1.0)</f>
        <v>1</v>
      </c>
      <c r="G840" s="46">
        <f>IFERROR(__xludf.DUMMYFUNCTION("""COMPUTED_VALUE"""),9880.0)</f>
        <v>9880</v>
      </c>
      <c r="H840" s="46">
        <f>IFERROR(__xludf.DUMMYFUNCTION("""COMPUTED_VALUE"""),1507490.4000000001)</f>
        <v>1507490.4</v>
      </c>
      <c r="I840" s="46">
        <f>IFERROR(__xludf.DUMMYFUNCTION("""COMPUTED_VALUE"""),962707.2)</f>
        <v>962707.2</v>
      </c>
      <c r="J840" s="46">
        <f>IFERROR(__xludf.DUMMYFUNCTION("""COMPUTED_VALUE"""),544783.2000000002)</f>
        <v>544783.2</v>
      </c>
      <c r="K840" s="46" t="str">
        <f t="array" ref="K840">TEXT(D840, "mmmm")</f>
        <v>September</v>
      </c>
      <c r="M840" s="46" t="str">
        <f>IFERROR(__xludf.DUMMYFUNCTION("""COMPUTED_VALUE"""),"Denmark")</f>
        <v>Denmark</v>
      </c>
      <c r="N840" s="94">
        <f>IFERROR(__xludf.DUMMYFUNCTION("""COMPUTED_VALUE"""),42217.0)</f>
        <v>42217</v>
      </c>
      <c r="O840" s="46">
        <f>IFERROR(__xludf.DUMMYFUNCTION("""COMPUTED_VALUE"""),1.0)</f>
        <v>1</v>
      </c>
      <c r="P840" s="46">
        <f>IFERROR(__xludf.DUMMYFUNCTION("""COMPUTED_VALUE"""),3911.0)</f>
        <v>3911</v>
      </c>
      <c r="Q840" s="46">
        <f>IFERROR(__xludf.DUMMYFUNCTION("""COMPUTED_VALUE"""),602528.66)</f>
        <v>602528.66</v>
      </c>
      <c r="R840" s="46">
        <f>IFERROR(__xludf.DUMMYFUNCTION("""COMPUTED_VALUE"""),355627.23000000004)</f>
        <v>355627.23</v>
      </c>
      <c r="S840" s="46">
        <f>IFERROR(__xludf.DUMMYFUNCTION("""COMPUTED_VALUE"""),246901.43)</f>
        <v>246901.43</v>
      </c>
    </row>
    <row r="841">
      <c r="A841" s="46" t="str">
        <f>IFERROR(__xludf.DUMMYFUNCTION("""COMPUTED_VALUE"""),"Snacks")</f>
        <v>Snacks</v>
      </c>
      <c r="B841" s="46" t="str">
        <f>IFERROR(__xludf.DUMMYFUNCTION("""COMPUTED_VALUE"""),"Italy")</f>
        <v>Italy</v>
      </c>
      <c r="C841" s="46" t="str">
        <f>IFERROR(__xludf.DUMMYFUNCTION("""COMPUTED_VALUE"""),"Europe")</f>
        <v>Europe</v>
      </c>
      <c r="D841" s="90">
        <f>IFERROR(__xludf.DUMMYFUNCTION("""COMPUTED_VALUE"""),41153.0)</f>
        <v>41153</v>
      </c>
      <c r="E841" s="46">
        <f>IFERROR(__xludf.DUMMYFUNCTION("""COMPUTED_VALUE"""),2012.0)</f>
        <v>2012</v>
      </c>
      <c r="F841" s="46">
        <f>IFERROR(__xludf.DUMMYFUNCTION("""COMPUTED_VALUE"""),1.0)</f>
        <v>1</v>
      </c>
      <c r="G841" s="46">
        <f>IFERROR(__xludf.DUMMYFUNCTION("""COMPUTED_VALUE"""),2866.0)</f>
        <v>2866</v>
      </c>
      <c r="H841" s="46">
        <f>IFERROR(__xludf.DUMMYFUNCTION("""COMPUTED_VALUE"""),437294.28)</f>
        <v>437294.28</v>
      </c>
      <c r="I841" s="46">
        <f>IFERROR(__xludf.DUMMYFUNCTION("""COMPUTED_VALUE"""),279263.04)</f>
        <v>279263.04</v>
      </c>
      <c r="J841" s="46">
        <f>IFERROR(__xludf.DUMMYFUNCTION("""COMPUTED_VALUE"""),158031.24000000005)</f>
        <v>158031.24</v>
      </c>
      <c r="K841" s="46" t="str">
        <f t="array" ref="K841">TEXT(D841, "mmmm")</f>
        <v>September</v>
      </c>
      <c r="M841" s="46" t="str">
        <f>IFERROR(__xludf.DUMMYFUNCTION("""COMPUTED_VALUE"""),"Finland")</f>
        <v>Finland</v>
      </c>
      <c r="N841" s="94">
        <f>IFERROR(__xludf.DUMMYFUNCTION("""COMPUTED_VALUE"""),42217.0)</f>
        <v>42217</v>
      </c>
      <c r="O841" s="46">
        <f>IFERROR(__xludf.DUMMYFUNCTION("""COMPUTED_VALUE"""),1.0)</f>
        <v>1</v>
      </c>
      <c r="P841" s="46">
        <f>IFERROR(__xludf.DUMMYFUNCTION("""COMPUTED_VALUE"""),9169.0)</f>
        <v>9169</v>
      </c>
      <c r="Q841" s="46">
        <f>IFERROR(__xludf.DUMMYFUNCTION("""COMPUTED_VALUE"""),1412576.1400000001)</f>
        <v>1412576.14</v>
      </c>
      <c r="R841" s="46">
        <f>IFERROR(__xludf.DUMMYFUNCTION("""COMPUTED_VALUE"""),833737.17)</f>
        <v>833737.17</v>
      </c>
      <c r="S841" s="46">
        <f>IFERROR(__xludf.DUMMYFUNCTION("""COMPUTED_VALUE"""),578838.9700000001)</f>
        <v>578838.97</v>
      </c>
    </row>
    <row r="842">
      <c r="A842" s="46" t="str">
        <f>IFERROR(__xludf.DUMMYFUNCTION("""COMPUTED_VALUE"""),"Snacks")</f>
        <v>Snacks</v>
      </c>
      <c r="B842" s="46" t="str">
        <f>IFERROR(__xludf.DUMMYFUNCTION("""COMPUTED_VALUE"""),"Macedonia")</f>
        <v>Macedonia</v>
      </c>
      <c r="C842" s="46" t="str">
        <f>IFERROR(__xludf.DUMMYFUNCTION("""COMPUTED_VALUE"""),"Europe")</f>
        <v>Europe</v>
      </c>
      <c r="D842" s="90">
        <f>IFERROR(__xludf.DUMMYFUNCTION("""COMPUTED_VALUE"""),41153.0)</f>
        <v>41153</v>
      </c>
      <c r="E842" s="46">
        <f>IFERROR(__xludf.DUMMYFUNCTION("""COMPUTED_VALUE"""),2012.0)</f>
        <v>2012</v>
      </c>
      <c r="F842" s="46">
        <f>IFERROR(__xludf.DUMMYFUNCTION("""COMPUTED_VALUE"""),1.0)</f>
        <v>1</v>
      </c>
      <c r="G842" s="46">
        <f>IFERROR(__xludf.DUMMYFUNCTION("""COMPUTED_VALUE"""),5639.0)</f>
        <v>5639</v>
      </c>
      <c r="H842" s="46">
        <f>IFERROR(__xludf.DUMMYFUNCTION("""COMPUTED_VALUE"""),860398.6200000001)</f>
        <v>860398.62</v>
      </c>
      <c r="I842" s="46">
        <f>IFERROR(__xludf.DUMMYFUNCTION("""COMPUTED_VALUE"""),549464.16)</f>
        <v>549464.16</v>
      </c>
      <c r="J842" s="46">
        <f>IFERROR(__xludf.DUMMYFUNCTION("""COMPUTED_VALUE"""),310934.4600000001)</f>
        <v>310934.46</v>
      </c>
      <c r="K842" s="46" t="str">
        <f t="array" ref="K842">TEXT(D842, "mmmm")</f>
        <v>September</v>
      </c>
      <c r="M842" s="46" t="str">
        <f>IFERROR(__xludf.DUMMYFUNCTION("""COMPUTED_VALUE"""),"France")</f>
        <v>France</v>
      </c>
      <c r="N842" s="94">
        <f>IFERROR(__xludf.DUMMYFUNCTION("""COMPUTED_VALUE"""),42217.0)</f>
        <v>42217</v>
      </c>
      <c r="O842" s="46">
        <f>IFERROR(__xludf.DUMMYFUNCTION("""COMPUTED_VALUE"""),1.0)</f>
        <v>1</v>
      </c>
      <c r="P842" s="46">
        <f>IFERROR(__xludf.DUMMYFUNCTION("""COMPUTED_VALUE"""),9808.0)</f>
        <v>9808</v>
      </c>
      <c r="Q842" s="46">
        <f>IFERROR(__xludf.DUMMYFUNCTION("""COMPUTED_VALUE"""),801607.8400000001)</f>
        <v>801607.84</v>
      </c>
      <c r="R842" s="46">
        <f>IFERROR(__xludf.DUMMYFUNCTION("""COMPUTED_VALUE"""),555819.36)</f>
        <v>555819.36</v>
      </c>
      <c r="S842" s="46">
        <f>IFERROR(__xludf.DUMMYFUNCTION("""COMPUTED_VALUE"""),245788.4800000001)</f>
        <v>245788.48</v>
      </c>
    </row>
    <row r="843">
      <c r="A843" s="46" t="str">
        <f>IFERROR(__xludf.DUMMYFUNCTION("""COMPUTED_VALUE"""),"Vegetables")</f>
        <v>Vegetables</v>
      </c>
      <c r="B843" s="46" t="str">
        <f>IFERROR(__xludf.DUMMYFUNCTION("""COMPUTED_VALUE"""),"Finland")</f>
        <v>Finland</v>
      </c>
      <c r="C843" s="46" t="str">
        <f>IFERROR(__xludf.DUMMYFUNCTION("""COMPUTED_VALUE"""),"Europe")</f>
        <v>Europe</v>
      </c>
      <c r="D843" s="90">
        <f>IFERROR(__xludf.DUMMYFUNCTION("""COMPUTED_VALUE"""),41153.0)</f>
        <v>41153</v>
      </c>
      <c r="E843" s="46">
        <f>IFERROR(__xludf.DUMMYFUNCTION("""COMPUTED_VALUE"""),2012.0)</f>
        <v>2012</v>
      </c>
      <c r="F843" s="46">
        <f>IFERROR(__xludf.DUMMYFUNCTION("""COMPUTED_VALUE"""),1.0)</f>
        <v>1</v>
      </c>
      <c r="G843" s="46">
        <f>IFERROR(__xludf.DUMMYFUNCTION("""COMPUTED_VALUE"""),963.0)</f>
        <v>963</v>
      </c>
      <c r="H843" s="46">
        <f>IFERROR(__xludf.DUMMYFUNCTION("""COMPUTED_VALUE"""),148359.78)</f>
        <v>148359.78</v>
      </c>
      <c r="I843" s="46">
        <f>IFERROR(__xludf.DUMMYFUNCTION("""COMPUTED_VALUE"""),87565.59000000001)</f>
        <v>87565.59</v>
      </c>
      <c r="J843" s="46">
        <f>IFERROR(__xludf.DUMMYFUNCTION("""COMPUTED_VALUE"""),60794.18999999999)</f>
        <v>60794.19</v>
      </c>
      <c r="K843" s="46" t="str">
        <f t="array" ref="K843">TEXT(D843, "mmmm")</f>
        <v>September</v>
      </c>
      <c r="M843" s="46" t="str">
        <f>IFERROR(__xludf.DUMMYFUNCTION("""COMPUTED_VALUE"""),"Germany")</f>
        <v>Germany</v>
      </c>
      <c r="N843" s="94">
        <f>IFERROR(__xludf.DUMMYFUNCTION("""COMPUTED_VALUE"""),42217.0)</f>
        <v>42217</v>
      </c>
      <c r="O843" s="46">
        <f>IFERROR(__xludf.DUMMYFUNCTION("""COMPUTED_VALUE"""),1.0)</f>
        <v>1</v>
      </c>
      <c r="P843" s="46">
        <f>IFERROR(__xludf.DUMMYFUNCTION("""COMPUTED_VALUE"""),833.0)</f>
        <v>833</v>
      </c>
      <c r="Q843" s="46">
        <f>IFERROR(__xludf.DUMMYFUNCTION("""COMPUTED_VALUE"""),128331.98)</f>
        <v>128331.98</v>
      </c>
      <c r="R843" s="46">
        <f>IFERROR(__xludf.DUMMYFUNCTION("""COMPUTED_VALUE"""),75744.69)</f>
        <v>75744.69</v>
      </c>
      <c r="S843" s="46">
        <f>IFERROR(__xludf.DUMMYFUNCTION("""COMPUTED_VALUE"""),52587.28999999999)</f>
        <v>52587.29</v>
      </c>
    </row>
    <row r="844">
      <c r="A844" s="46" t="str">
        <f>IFERROR(__xludf.DUMMYFUNCTION("""COMPUTED_VALUE"""),"Vegetables")</f>
        <v>Vegetables</v>
      </c>
      <c r="B844" s="46" t="str">
        <f>IFERROR(__xludf.DUMMYFUNCTION("""COMPUTED_VALUE"""),"United Kingdom")</f>
        <v>United Kingdom</v>
      </c>
      <c r="C844" s="46" t="str">
        <f>IFERROR(__xludf.DUMMYFUNCTION("""COMPUTED_VALUE"""),"Europe")</f>
        <v>Europe</v>
      </c>
      <c r="D844" s="90">
        <f>IFERROR(__xludf.DUMMYFUNCTION("""COMPUTED_VALUE"""),41153.0)</f>
        <v>41153</v>
      </c>
      <c r="E844" s="46">
        <f>IFERROR(__xludf.DUMMYFUNCTION("""COMPUTED_VALUE"""),2012.0)</f>
        <v>2012</v>
      </c>
      <c r="F844" s="46">
        <f>IFERROR(__xludf.DUMMYFUNCTION("""COMPUTED_VALUE"""),1.0)</f>
        <v>1</v>
      </c>
      <c r="G844" s="46">
        <f>IFERROR(__xludf.DUMMYFUNCTION("""COMPUTED_VALUE"""),3341.0)</f>
        <v>3341</v>
      </c>
      <c r="H844" s="46">
        <f>IFERROR(__xludf.DUMMYFUNCTION("""COMPUTED_VALUE"""),514714.46)</f>
        <v>514714.46</v>
      </c>
      <c r="I844" s="46">
        <f>IFERROR(__xludf.DUMMYFUNCTION("""COMPUTED_VALUE"""),303797.13)</f>
        <v>303797.13</v>
      </c>
      <c r="J844" s="46">
        <f>IFERROR(__xludf.DUMMYFUNCTION("""COMPUTED_VALUE"""),210917.33000000002)</f>
        <v>210917.33</v>
      </c>
      <c r="K844" s="46" t="str">
        <f t="array" ref="K844">TEXT(D844, "mmmm")</f>
        <v>September</v>
      </c>
      <c r="M844" s="46" t="str">
        <f>IFERROR(__xludf.DUMMYFUNCTION("""COMPUTED_VALUE"""),"Greece")</f>
        <v>Greece</v>
      </c>
      <c r="N844" s="94">
        <f>IFERROR(__xludf.DUMMYFUNCTION("""COMPUTED_VALUE"""),42217.0)</f>
        <v>42217</v>
      </c>
      <c r="O844" s="46">
        <f>IFERROR(__xludf.DUMMYFUNCTION("""COMPUTED_VALUE"""),1.0)</f>
        <v>1</v>
      </c>
      <c r="P844" s="46">
        <f>IFERROR(__xludf.DUMMYFUNCTION("""COMPUTED_VALUE"""),2558.0)</f>
        <v>2558</v>
      </c>
      <c r="Q844" s="46">
        <f>IFERROR(__xludf.DUMMYFUNCTION("""COMPUTED_VALUE"""),526180.6)</f>
        <v>526180.6</v>
      </c>
      <c r="R844" s="46">
        <f>IFERROR(__xludf.DUMMYFUNCTION("""COMPUTED_VALUE"""),299567.38)</f>
        <v>299567.38</v>
      </c>
      <c r="S844" s="46">
        <f>IFERROR(__xludf.DUMMYFUNCTION("""COMPUTED_VALUE"""),226613.21999999997)</f>
        <v>226613.22</v>
      </c>
    </row>
    <row r="845">
      <c r="A845" s="46" t="str">
        <f>IFERROR(__xludf.DUMMYFUNCTION("""COMPUTED_VALUE"""),"Beverages")</f>
        <v>Beverages</v>
      </c>
      <c r="B845" s="46" t="str">
        <f>IFERROR(__xludf.DUMMYFUNCTION("""COMPUTED_VALUE"""),"Russia")</f>
        <v>Russia</v>
      </c>
      <c r="C845" s="46" t="str">
        <f>IFERROR(__xludf.DUMMYFUNCTION("""COMPUTED_VALUE"""),"Europe")</f>
        <v>Europe</v>
      </c>
      <c r="D845" s="90">
        <f>IFERROR(__xludf.DUMMYFUNCTION("""COMPUTED_VALUE"""),41122.0)</f>
        <v>41122</v>
      </c>
      <c r="E845" s="46">
        <f>IFERROR(__xludf.DUMMYFUNCTION("""COMPUTED_VALUE"""),2012.0)</f>
        <v>2012</v>
      </c>
      <c r="F845" s="46">
        <f>IFERROR(__xludf.DUMMYFUNCTION("""COMPUTED_VALUE"""),1.0)</f>
        <v>1</v>
      </c>
      <c r="G845" s="46">
        <f>IFERROR(__xludf.DUMMYFUNCTION("""COMPUTED_VALUE"""),1111.0)</f>
        <v>1111</v>
      </c>
      <c r="H845" s="46">
        <f>IFERROR(__xludf.DUMMYFUNCTION("""COMPUTED_VALUE"""),52716.950000000004)</f>
        <v>52716.95</v>
      </c>
      <c r="I845" s="46">
        <f>IFERROR(__xludf.DUMMYFUNCTION("""COMPUTED_VALUE"""),35318.69)</f>
        <v>35318.69</v>
      </c>
      <c r="J845" s="46">
        <f>IFERROR(__xludf.DUMMYFUNCTION("""COMPUTED_VALUE"""),17398.260000000002)</f>
        <v>17398.26</v>
      </c>
      <c r="K845" s="46" t="str">
        <f t="array" ref="K845">TEXT(D845, "mmmm")</f>
        <v>August</v>
      </c>
      <c r="M845" s="46" t="str">
        <f>IFERROR(__xludf.DUMMYFUNCTION("""COMPUTED_VALUE"""),"Italy")</f>
        <v>Italy</v>
      </c>
      <c r="N845" s="94">
        <f>IFERROR(__xludf.DUMMYFUNCTION("""COMPUTED_VALUE"""),42217.0)</f>
        <v>42217</v>
      </c>
      <c r="O845" s="46">
        <f>IFERROR(__xludf.DUMMYFUNCTION("""COMPUTED_VALUE"""),1.0)</f>
        <v>1</v>
      </c>
      <c r="P845" s="46">
        <f>IFERROR(__xludf.DUMMYFUNCTION("""COMPUTED_VALUE"""),4957.0)</f>
        <v>4957</v>
      </c>
      <c r="Q845" s="46">
        <f>IFERROR(__xludf.DUMMYFUNCTION("""COMPUTED_VALUE"""),235209.65000000002)</f>
        <v>235209.65</v>
      </c>
      <c r="R845" s="46">
        <f>IFERROR(__xludf.DUMMYFUNCTION("""COMPUTED_VALUE"""),157583.03)</f>
        <v>157583.03</v>
      </c>
      <c r="S845" s="46">
        <f>IFERROR(__xludf.DUMMYFUNCTION("""COMPUTED_VALUE"""),77626.62000000002)</f>
        <v>77626.62</v>
      </c>
    </row>
    <row r="846">
      <c r="A846" s="46" t="str">
        <f>IFERROR(__xludf.DUMMYFUNCTION("""COMPUTED_VALUE"""),"Beverages")</f>
        <v>Beverages</v>
      </c>
      <c r="B846" s="46" t="str">
        <f>IFERROR(__xludf.DUMMYFUNCTION("""COMPUTED_VALUE"""),"Serbia")</f>
        <v>Serbia</v>
      </c>
      <c r="C846" s="46" t="str">
        <f>IFERROR(__xludf.DUMMYFUNCTION("""COMPUTED_VALUE"""),"Europe")</f>
        <v>Europe</v>
      </c>
      <c r="D846" s="90">
        <f>IFERROR(__xludf.DUMMYFUNCTION("""COMPUTED_VALUE"""),41122.0)</f>
        <v>41122</v>
      </c>
      <c r="E846" s="46">
        <f>IFERROR(__xludf.DUMMYFUNCTION("""COMPUTED_VALUE"""),2012.0)</f>
        <v>2012</v>
      </c>
      <c r="F846" s="46">
        <f>IFERROR(__xludf.DUMMYFUNCTION("""COMPUTED_VALUE"""),1.0)</f>
        <v>1</v>
      </c>
      <c r="G846" s="46">
        <f>IFERROR(__xludf.DUMMYFUNCTION("""COMPUTED_VALUE"""),7648.0)</f>
        <v>7648</v>
      </c>
      <c r="H846" s="46">
        <f>IFERROR(__xludf.DUMMYFUNCTION("""COMPUTED_VALUE"""),362897.60000000003)</f>
        <v>362897.6</v>
      </c>
      <c r="I846" s="46">
        <f>IFERROR(__xludf.DUMMYFUNCTION("""COMPUTED_VALUE"""),243129.91999999998)</f>
        <v>243129.92</v>
      </c>
      <c r="J846" s="46">
        <f>IFERROR(__xludf.DUMMYFUNCTION("""COMPUTED_VALUE"""),119767.68000000005)</f>
        <v>119767.68</v>
      </c>
      <c r="K846" s="46" t="str">
        <f t="array" ref="K846">TEXT(D846, "mmmm")</f>
        <v>August</v>
      </c>
      <c r="M846" s="46" t="str">
        <f>IFERROR(__xludf.DUMMYFUNCTION("""COMPUTED_VALUE"""),"Liechtenstein")</f>
        <v>Liechtenstein</v>
      </c>
      <c r="N846" s="94">
        <f>IFERROR(__xludf.DUMMYFUNCTION("""COMPUTED_VALUE"""),42217.0)</f>
        <v>42217</v>
      </c>
      <c r="O846" s="46">
        <f>IFERROR(__xludf.DUMMYFUNCTION("""COMPUTED_VALUE"""),1.0)</f>
        <v>1</v>
      </c>
      <c r="P846" s="46">
        <f>IFERROR(__xludf.DUMMYFUNCTION("""COMPUTED_VALUE"""),7658.0)</f>
        <v>7658</v>
      </c>
      <c r="Q846" s="46">
        <f>IFERROR(__xludf.DUMMYFUNCTION("""COMPUTED_VALUE"""),5117611.66)</f>
        <v>5117611.66</v>
      </c>
      <c r="R846" s="46">
        <f>IFERROR(__xludf.DUMMYFUNCTION("""COMPUTED_VALUE"""),3848451.3200000003)</f>
        <v>3848451.32</v>
      </c>
      <c r="S846" s="46">
        <f>IFERROR(__xludf.DUMMYFUNCTION("""COMPUTED_VALUE"""),1269160.3399999999)</f>
        <v>1269160.34</v>
      </c>
    </row>
    <row r="847">
      <c r="A847" s="46" t="str">
        <f>IFERROR(__xludf.DUMMYFUNCTION("""COMPUTED_VALUE"""),"Cereal")</f>
        <v>Cereal</v>
      </c>
      <c r="B847" s="46" t="str">
        <f>IFERROR(__xludf.DUMMYFUNCTION("""COMPUTED_VALUE"""),"Ukraine")</f>
        <v>Ukraine</v>
      </c>
      <c r="C847" s="46" t="str">
        <f>IFERROR(__xludf.DUMMYFUNCTION("""COMPUTED_VALUE"""),"Europe")</f>
        <v>Europe</v>
      </c>
      <c r="D847" s="90">
        <f>IFERROR(__xludf.DUMMYFUNCTION("""COMPUTED_VALUE"""),41122.0)</f>
        <v>41122</v>
      </c>
      <c r="E847" s="46">
        <f>IFERROR(__xludf.DUMMYFUNCTION("""COMPUTED_VALUE"""),2012.0)</f>
        <v>2012</v>
      </c>
      <c r="F847" s="46">
        <f>IFERROR(__xludf.DUMMYFUNCTION("""COMPUTED_VALUE"""),1.0)</f>
        <v>1</v>
      </c>
      <c r="G847" s="46">
        <f>IFERROR(__xludf.DUMMYFUNCTION("""COMPUTED_VALUE"""),8539.0)</f>
        <v>8539</v>
      </c>
      <c r="H847" s="46">
        <f>IFERROR(__xludf.DUMMYFUNCTION("""COMPUTED_VALUE"""),1756472.2999999998)</f>
        <v>1756472.3</v>
      </c>
      <c r="I847" s="46">
        <f>IFERROR(__xludf.DUMMYFUNCTION("""COMPUTED_VALUE"""),1000002.29)</f>
        <v>1000002.29</v>
      </c>
      <c r="J847" s="46">
        <f>IFERROR(__xludf.DUMMYFUNCTION("""COMPUTED_VALUE"""),756470.0099999998)</f>
        <v>756470.01</v>
      </c>
      <c r="K847" s="46" t="str">
        <f t="array" ref="K847">TEXT(D847, "mmmm")</f>
        <v>August</v>
      </c>
      <c r="M847" s="46" t="str">
        <f>IFERROR(__xludf.DUMMYFUNCTION("""COMPUTED_VALUE"""),"Portugal")</f>
        <v>Portugal</v>
      </c>
      <c r="N847" s="94">
        <f>IFERROR(__xludf.DUMMYFUNCTION("""COMPUTED_VALUE"""),42217.0)</f>
        <v>42217</v>
      </c>
      <c r="O847" s="46">
        <f>IFERROR(__xludf.DUMMYFUNCTION("""COMPUTED_VALUE"""),2.0)</f>
        <v>2</v>
      </c>
      <c r="P847" s="46">
        <f>IFERROR(__xludf.DUMMYFUNCTION("""COMPUTED_VALUE"""),10025.0)</f>
        <v>10025</v>
      </c>
      <c r="Q847" s="46">
        <f>IFERROR(__xludf.DUMMYFUNCTION("""COMPUTED_VALUE"""),2317826.56)</f>
        <v>2317826.56</v>
      </c>
      <c r="R847" s="46">
        <f>IFERROR(__xludf.DUMMYFUNCTION("""COMPUTED_VALUE"""),1392220.42)</f>
        <v>1392220.42</v>
      </c>
      <c r="S847" s="46">
        <f>IFERROR(__xludf.DUMMYFUNCTION("""COMPUTED_VALUE"""),925606.14)</f>
        <v>925606.14</v>
      </c>
    </row>
    <row r="848">
      <c r="A848" s="46" t="str">
        <f>IFERROR(__xludf.DUMMYFUNCTION("""COMPUTED_VALUE"""),"Clothes")</f>
        <v>Clothes</v>
      </c>
      <c r="B848" s="46" t="str">
        <f>IFERROR(__xludf.DUMMYFUNCTION("""COMPUTED_VALUE"""),"Czech Republic")</f>
        <v>Czech Republic</v>
      </c>
      <c r="C848" s="46" t="str">
        <f>IFERROR(__xludf.DUMMYFUNCTION("""COMPUTED_VALUE"""),"Europe")</f>
        <v>Europe</v>
      </c>
      <c r="D848" s="90">
        <f>IFERROR(__xludf.DUMMYFUNCTION("""COMPUTED_VALUE"""),41122.0)</f>
        <v>41122</v>
      </c>
      <c r="E848" s="46">
        <f>IFERROR(__xludf.DUMMYFUNCTION("""COMPUTED_VALUE"""),2012.0)</f>
        <v>2012</v>
      </c>
      <c r="F848" s="46">
        <f>IFERROR(__xludf.DUMMYFUNCTION("""COMPUTED_VALUE"""),1.0)</f>
        <v>1</v>
      </c>
      <c r="G848" s="46">
        <f>IFERROR(__xludf.DUMMYFUNCTION("""COMPUTED_VALUE"""),2942.0)</f>
        <v>2942</v>
      </c>
      <c r="H848" s="46">
        <f>IFERROR(__xludf.DUMMYFUNCTION("""COMPUTED_VALUE"""),321501.76)</f>
        <v>321501.76</v>
      </c>
      <c r="I848" s="46">
        <f>IFERROR(__xludf.DUMMYFUNCTION("""COMPUTED_VALUE"""),105441.28000000001)</f>
        <v>105441.28</v>
      </c>
      <c r="J848" s="46">
        <f>IFERROR(__xludf.DUMMYFUNCTION("""COMPUTED_VALUE"""),216060.47999999998)</f>
        <v>216060.48</v>
      </c>
      <c r="K848" s="46" t="str">
        <f t="array" ref="K848">TEXT(D848, "mmmm")</f>
        <v>August</v>
      </c>
      <c r="M848" s="46" t="str">
        <f>IFERROR(__xludf.DUMMYFUNCTION("""COMPUTED_VALUE"""),"Russia")</f>
        <v>Russia</v>
      </c>
      <c r="N848" s="94">
        <f>IFERROR(__xludf.DUMMYFUNCTION("""COMPUTED_VALUE"""),42217.0)</f>
        <v>42217</v>
      </c>
      <c r="O848" s="46">
        <f>IFERROR(__xludf.DUMMYFUNCTION("""COMPUTED_VALUE"""),1.0)</f>
        <v>1</v>
      </c>
      <c r="P848" s="46">
        <f>IFERROR(__xludf.DUMMYFUNCTION("""COMPUTED_VALUE"""),3685.0)</f>
        <v>3685</v>
      </c>
      <c r="Q848" s="46">
        <f>IFERROR(__xludf.DUMMYFUNCTION("""COMPUTED_VALUE"""),402696.8)</f>
        <v>402696.8</v>
      </c>
      <c r="R848" s="46">
        <f>IFERROR(__xludf.DUMMYFUNCTION("""COMPUTED_VALUE"""),132070.40000000002)</f>
        <v>132070.4</v>
      </c>
      <c r="S848" s="46">
        <f>IFERROR(__xludf.DUMMYFUNCTION("""COMPUTED_VALUE"""),270626.39999999997)</f>
        <v>270626.4</v>
      </c>
    </row>
    <row r="849">
      <c r="A849" s="46" t="str">
        <f>IFERROR(__xludf.DUMMYFUNCTION("""COMPUTED_VALUE"""),"Clothes")</f>
        <v>Clothes</v>
      </c>
      <c r="B849" s="46" t="str">
        <f>IFERROR(__xludf.DUMMYFUNCTION("""COMPUTED_VALUE"""),"Spain")</f>
        <v>Spain</v>
      </c>
      <c r="C849" s="46" t="str">
        <f>IFERROR(__xludf.DUMMYFUNCTION("""COMPUTED_VALUE"""),"Europe")</f>
        <v>Europe</v>
      </c>
      <c r="D849" s="90">
        <f>IFERROR(__xludf.DUMMYFUNCTION("""COMPUTED_VALUE"""),41122.0)</f>
        <v>41122</v>
      </c>
      <c r="E849" s="46">
        <f>IFERROR(__xludf.DUMMYFUNCTION("""COMPUTED_VALUE"""),2012.0)</f>
        <v>2012</v>
      </c>
      <c r="F849" s="46">
        <f>IFERROR(__xludf.DUMMYFUNCTION("""COMPUTED_VALUE"""),1.0)</f>
        <v>1</v>
      </c>
      <c r="G849" s="46">
        <f>IFERROR(__xludf.DUMMYFUNCTION("""COMPUTED_VALUE"""),4897.0)</f>
        <v>4897</v>
      </c>
      <c r="H849" s="46">
        <f>IFERROR(__xludf.DUMMYFUNCTION("""COMPUTED_VALUE"""),535144.16)</f>
        <v>535144.16</v>
      </c>
      <c r="I849" s="46">
        <f>IFERROR(__xludf.DUMMYFUNCTION("""COMPUTED_VALUE"""),175508.48)</f>
        <v>175508.48</v>
      </c>
      <c r="J849" s="46">
        <f>IFERROR(__xludf.DUMMYFUNCTION("""COMPUTED_VALUE"""),359635.68000000005)</f>
        <v>359635.68</v>
      </c>
      <c r="K849" s="46" t="str">
        <f t="array" ref="K849">TEXT(D849, "mmmm")</f>
        <v>August</v>
      </c>
      <c r="M849" s="46" t="str">
        <f>IFERROR(__xludf.DUMMYFUNCTION("""COMPUTED_VALUE"""),"Armenia")</f>
        <v>Armenia</v>
      </c>
      <c r="N849" s="94">
        <f>IFERROR(__xludf.DUMMYFUNCTION("""COMPUTED_VALUE"""),42248.0)</f>
        <v>42248</v>
      </c>
      <c r="O849" s="46">
        <f>IFERROR(__xludf.DUMMYFUNCTION("""COMPUTED_VALUE"""),1.0)</f>
        <v>1</v>
      </c>
      <c r="P849" s="46">
        <f>IFERROR(__xludf.DUMMYFUNCTION("""COMPUTED_VALUE"""),7461.0)</f>
        <v>7461</v>
      </c>
      <c r="Q849" s="46">
        <f>IFERROR(__xludf.DUMMYFUNCTION("""COMPUTED_VALUE"""),4985962.47)</f>
        <v>4985962.47</v>
      </c>
      <c r="R849" s="46">
        <f>IFERROR(__xludf.DUMMYFUNCTION("""COMPUTED_VALUE"""),3749450.94)</f>
        <v>3749450.94</v>
      </c>
      <c r="S849" s="46">
        <f>IFERROR(__xludf.DUMMYFUNCTION("""COMPUTED_VALUE"""),1236511.5299999998)</f>
        <v>1236511.53</v>
      </c>
    </row>
    <row r="850">
      <c r="A850" s="46" t="str">
        <f>IFERROR(__xludf.DUMMYFUNCTION("""COMPUTED_VALUE"""),"Cosmetics")</f>
        <v>Cosmetics</v>
      </c>
      <c r="B850" s="46" t="str">
        <f>IFERROR(__xludf.DUMMYFUNCTION("""COMPUTED_VALUE"""),"Montenegro")</f>
        <v>Montenegro</v>
      </c>
      <c r="C850" s="46" t="str">
        <f>IFERROR(__xludf.DUMMYFUNCTION("""COMPUTED_VALUE"""),"Europe")</f>
        <v>Europe</v>
      </c>
      <c r="D850" s="90">
        <f>IFERROR(__xludf.DUMMYFUNCTION("""COMPUTED_VALUE"""),41122.0)</f>
        <v>41122</v>
      </c>
      <c r="E850" s="46">
        <f>IFERROR(__xludf.DUMMYFUNCTION("""COMPUTED_VALUE"""),2012.0)</f>
        <v>2012</v>
      </c>
      <c r="F850" s="46">
        <f>IFERROR(__xludf.DUMMYFUNCTION("""COMPUTED_VALUE"""),1.0)</f>
        <v>1</v>
      </c>
      <c r="G850" s="46">
        <f>IFERROR(__xludf.DUMMYFUNCTION("""COMPUTED_VALUE"""),4141.0)</f>
        <v>4141</v>
      </c>
      <c r="H850" s="46">
        <f>IFERROR(__xludf.DUMMYFUNCTION("""COMPUTED_VALUE"""),1810445.2)</f>
        <v>1810445.2</v>
      </c>
      <c r="I850" s="46">
        <f>IFERROR(__xludf.DUMMYFUNCTION("""COMPUTED_VALUE"""),1090449.53)</f>
        <v>1090449.53</v>
      </c>
      <c r="J850" s="46">
        <f>IFERROR(__xludf.DUMMYFUNCTION("""COMPUTED_VALUE"""),719995.6699999999)</f>
        <v>719995.67</v>
      </c>
      <c r="K850" s="46" t="str">
        <f t="array" ref="K850">TEXT(D850, "mmmm")</f>
        <v>August</v>
      </c>
      <c r="M850" s="46" t="str">
        <f>IFERROR(__xludf.DUMMYFUNCTION("""COMPUTED_VALUE"""),"Austria")</f>
        <v>Austria</v>
      </c>
      <c r="N850" s="94">
        <f>IFERROR(__xludf.DUMMYFUNCTION("""COMPUTED_VALUE"""),42248.0)</f>
        <v>42248</v>
      </c>
      <c r="O850" s="46">
        <f>IFERROR(__xludf.DUMMYFUNCTION("""COMPUTED_VALUE"""),1.0)</f>
        <v>1</v>
      </c>
      <c r="P850" s="46">
        <f>IFERROR(__xludf.DUMMYFUNCTION("""COMPUTED_VALUE"""),1767.0)</f>
        <v>1767</v>
      </c>
      <c r="Q850" s="46">
        <f>IFERROR(__xludf.DUMMYFUNCTION("""COMPUTED_VALUE"""),1180833.09)</f>
        <v>1180833.09</v>
      </c>
      <c r="R850" s="46">
        <f>IFERROR(__xludf.DUMMYFUNCTION("""COMPUTED_VALUE"""),887988.18)</f>
        <v>887988.18</v>
      </c>
      <c r="S850" s="46">
        <f>IFERROR(__xludf.DUMMYFUNCTION("""COMPUTED_VALUE"""),292844.91000000003)</f>
        <v>292844.91</v>
      </c>
    </row>
    <row r="851">
      <c r="A851" s="46" t="str">
        <f>IFERROR(__xludf.DUMMYFUNCTION("""COMPUTED_VALUE"""),"Fruits")</f>
        <v>Fruits</v>
      </c>
      <c r="B851" s="46" t="str">
        <f>IFERROR(__xludf.DUMMYFUNCTION("""COMPUTED_VALUE"""),"Slovakia")</f>
        <v>Slovakia</v>
      </c>
      <c r="C851" s="46" t="str">
        <f>IFERROR(__xludf.DUMMYFUNCTION("""COMPUTED_VALUE"""),"Europe")</f>
        <v>Europe</v>
      </c>
      <c r="D851" s="90">
        <f>IFERROR(__xludf.DUMMYFUNCTION("""COMPUTED_VALUE"""),41122.0)</f>
        <v>41122</v>
      </c>
      <c r="E851" s="46">
        <f>IFERROR(__xludf.DUMMYFUNCTION("""COMPUTED_VALUE"""),2012.0)</f>
        <v>2012</v>
      </c>
      <c r="F851" s="46">
        <f>IFERROR(__xludf.DUMMYFUNCTION("""COMPUTED_VALUE"""),1.0)</f>
        <v>1</v>
      </c>
      <c r="G851" s="46">
        <f>IFERROR(__xludf.DUMMYFUNCTION("""COMPUTED_VALUE"""),314.0)</f>
        <v>314</v>
      </c>
      <c r="H851" s="46">
        <f>IFERROR(__xludf.DUMMYFUNCTION("""COMPUTED_VALUE"""),2929.62)</f>
        <v>2929.62</v>
      </c>
      <c r="I851" s="46">
        <f>IFERROR(__xludf.DUMMYFUNCTION("""COMPUTED_VALUE"""),2172.88)</f>
        <v>2172.88</v>
      </c>
      <c r="J851" s="46">
        <f>IFERROR(__xludf.DUMMYFUNCTION("""COMPUTED_VALUE"""),756.7399999999998)</f>
        <v>756.74</v>
      </c>
      <c r="K851" s="46" t="str">
        <f t="array" ref="K851">TEXT(D851, "mmmm")</f>
        <v>August</v>
      </c>
      <c r="M851" s="46" t="str">
        <f>IFERROR(__xludf.DUMMYFUNCTION("""COMPUTED_VALUE"""),"Belgium")</f>
        <v>Belgium</v>
      </c>
      <c r="N851" s="94">
        <f>IFERROR(__xludf.DUMMYFUNCTION("""COMPUTED_VALUE"""),42248.0)</f>
        <v>42248</v>
      </c>
      <c r="O851" s="46">
        <f>IFERROR(__xludf.DUMMYFUNCTION("""COMPUTED_VALUE"""),2.0)</f>
        <v>2</v>
      </c>
      <c r="P851" s="46">
        <f>IFERROR(__xludf.DUMMYFUNCTION("""COMPUTED_VALUE"""),6621.0)</f>
        <v>6621</v>
      </c>
      <c r="Q851" s="46">
        <f>IFERROR(__xludf.DUMMYFUNCTION("""COMPUTED_VALUE"""),2856395.58)</f>
        <v>2856395.58</v>
      </c>
      <c r="R851" s="46">
        <f>IFERROR(__xludf.DUMMYFUNCTION("""COMPUTED_VALUE"""),1997110.65)</f>
        <v>1997110.65</v>
      </c>
      <c r="S851" s="46">
        <f>IFERROR(__xludf.DUMMYFUNCTION("""COMPUTED_VALUE"""),859284.93)</f>
        <v>859284.93</v>
      </c>
    </row>
    <row r="852">
      <c r="A852" s="46" t="str">
        <f>IFERROR(__xludf.DUMMYFUNCTION("""COMPUTED_VALUE"""),"Household")</f>
        <v>Household</v>
      </c>
      <c r="B852" s="46" t="str">
        <f>IFERROR(__xludf.DUMMYFUNCTION("""COMPUTED_VALUE"""),"Montenegro")</f>
        <v>Montenegro</v>
      </c>
      <c r="C852" s="46" t="str">
        <f>IFERROR(__xludf.DUMMYFUNCTION("""COMPUTED_VALUE"""),"Europe")</f>
        <v>Europe</v>
      </c>
      <c r="D852" s="90">
        <f>IFERROR(__xludf.DUMMYFUNCTION("""COMPUTED_VALUE"""),41122.0)</f>
        <v>41122</v>
      </c>
      <c r="E852" s="46">
        <f>IFERROR(__xludf.DUMMYFUNCTION("""COMPUTED_VALUE"""),2012.0)</f>
        <v>2012</v>
      </c>
      <c r="F852" s="46">
        <f>IFERROR(__xludf.DUMMYFUNCTION("""COMPUTED_VALUE"""),1.0)</f>
        <v>1</v>
      </c>
      <c r="G852" s="46">
        <f>IFERROR(__xludf.DUMMYFUNCTION("""COMPUTED_VALUE"""),3864.0)</f>
        <v>3864</v>
      </c>
      <c r="H852" s="46">
        <f>IFERROR(__xludf.DUMMYFUNCTION("""COMPUTED_VALUE"""),2582195.28)</f>
        <v>2582195.28</v>
      </c>
      <c r="I852" s="46">
        <f>IFERROR(__xludf.DUMMYFUNCTION("""COMPUTED_VALUE"""),1941814.56)</f>
        <v>1941814.56</v>
      </c>
      <c r="J852" s="46">
        <f>IFERROR(__xludf.DUMMYFUNCTION("""COMPUTED_VALUE"""),640380.7199999997)</f>
        <v>640380.72</v>
      </c>
      <c r="K852" s="46" t="str">
        <f t="array" ref="K852">TEXT(D852, "mmmm")</f>
        <v>August</v>
      </c>
      <c r="M852" s="46" t="str">
        <f>IFERROR(__xludf.DUMMYFUNCTION("""COMPUTED_VALUE"""),"Hungary")</f>
        <v>Hungary</v>
      </c>
      <c r="N852" s="94">
        <f>IFERROR(__xludf.DUMMYFUNCTION("""COMPUTED_VALUE"""),42248.0)</f>
        <v>42248</v>
      </c>
      <c r="O852" s="46">
        <f>IFERROR(__xludf.DUMMYFUNCTION("""COMPUTED_VALUE"""),1.0)</f>
        <v>1</v>
      </c>
      <c r="P852" s="46">
        <f>IFERROR(__xludf.DUMMYFUNCTION("""COMPUTED_VALUE"""),8179.0)</f>
        <v>8179</v>
      </c>
      <c r="Q852" s="46">
        <f>IFERROR(__xludf.DUMMYFUNCTION("""COMPUTED_VALUE"""),5326246.59)</f>
        <v>5326246.59</v>
      </c>
      <c r="R852" s="46">
        <f>IFERROR(__xludf.DUMMYFUNCTION("""COMPUTED_VALUE"""),4293647.84)</f>
        <v>4293647.84</v>
      </c>
      <c r="S852" s="46">
        <f>IFERROR(__xludf.DUMMYFUNCTION("""COMPUTED_VALUE"""),1032598.75)</f>
        <v>1032598.75</v>
      </c>
    </row>
    <row r="853">
      <c r="A853" s="46" t="str">
        <f>IFERROR(__xludf.DUMMYFUNCTION("""COMPUTED_VALUE"""),"Meat")</f>
        <v>Meat</v>
      </c>
      <c r="B853" s="46" t="str">
        <f>IFERROR(__xludf.DUMMYFUNCTION("""COMPUTED_VALUE"""),"Denmark")</f>
        <v>Denmark</v>
      </c>
      <c r="C853" s="46" t="str">
        <f>IFERROR(__xludf.DUMMYFUNCTION("""COMPUTED_VALUE"""),"Europe")</f>
        <v>Europe</v>
      </c>
      <c r="D853" s="90">
        <f>IFERROR(__xludf.DUMMYFUNCTION("""COMPUTED_VALUE"""),41122.0)</f>
        <v>41122</v>
      </c>
      <c r="E853" s="46">
        <f>IFERROR(__xludf.DUMMYFUNCTION("""COMPUTED_VALUE"""),2012.0)</f>
        <v>2012</v>
      </c>
      <c r="F853" s="46">
        <f>IFERROR(__xludf.DUMMYFUNCTION("""COMPUTED_VALUE"""),1.0)</f>
        <v>1</v>
      </c>
      <c r="G853" s="46">
        <f>IFERROR(__xludf.DUMMYFUNCTION("""COMPUTED_VALUE"""),5510.0)</f>
        <v>5510</v>
      </c>
      <c r="H853" s="46">
        <f>IFERROR(__xludf.DUMMYFUNCTION("""COMPUTED_VALUE"""),2324613.9)</f>
        <v>2324613.9</v>
      </c>
      <c r="I853" s="46">
        <f>IFERROR(__xludf.DUMMYFUNCTION("""COMPUTED_VALUE"""),2009441.9)</f>
        <v>2009441.9</v>
      </c>
      <c r="J853" s="46">
        <f>IFERROR(__xludf.DUMMYFUNCTION("""COMPUTED_VALUE"""),315172.0)</f>
        <v>315172</v>
      </c>
      <c r="K853" s="46" t="str">
        <f t="array" ref="K853">TEXT(D853, "mmmm")</f>
        <v>August</v>
      </c>
      <c r="M853" s="46" t="str">
        <f>IFERROR(__xludf.DUMMYFUNCTION("""COMPUTED_VALUE"""),"Luxembourg")</f>
        <v>Luxembourg</v>
      </c>
      <c r="N853" s="94">
        <f>IFERROR(__xludf.DUMMYFUNCTION("""COMPUTED_VALUE"""),42248.0)</f>
        <v>42248</v>
      </c>
      <c r="O853" s="46">
        <f>IFERROR(__xludf.DUMMYFUNCTION("""COMPUTED_VALUE"""),1.0)</f>
        <v>1</v>
      </c>
      <c r="P853" s="46">
        <f>IFERROR(__xludf.DUMMYFUNCTION("""COMPUTED_VALUE"""),3376.0)</f>
        <v>3376</v>
      </c>
      <c r="Q853" s="46">
        <f>IFERROR(__xludf.DUMMYFUNCTION("""COMPUTED_VALUE"""),275920.48000000004)</f>
        <v>275920.48</v>
      </c>
      <c r="R853" s="46">
        <f>IFERROR(__xludf.DUMMYFUNCTION("""COMPUTED_VALUE"""),191317.92)</f>
        <v>191317.92</v>
      </c>
      <c r="S853" s="46">
        <f>IFERROR(__xludf.DUMMYFUNCTION("""COMPUTED_VALUE"""),84602.56000000003)</f>
        <v>84602.56</v>
      </c>
    </row>
    <row r="854">
      <c r="A854" s="46" t="str">
        <f>IFERROR(__xludf.DUMMYFUNCTION("""COMPUTED_VALUE"""),"Meat")</f>
        <v>Meat</v>
      </c>
      <c r="B854" s="46" t="str">
        <f>IFERROR(__xludf.DUMMYFUNCTION("""COMPUTED_VALUE"""),"Georgia")</f>
        <v>Georgia</v>
      </c>
      <c r="C854" s="46" t="str">
        <f>IFERROR(__xludf.DUMMYFUNCTION("""COMPUTED_VALUE"""),"Asia")</f>
        <v>Asia</v>
      </c>
      <c r="D854" s="90">
        <f>IFERROR(__xludf.DUMMYFUNCTION("""COMPUTED_VALUE"""),41122.0)</f>
        <v>41122</v>
      </c>
      <c r="E854" s="46">
        <f>IFERROR(__xludf.DUMMYFUNCTION("""COMPUTED_VALUE"""),2012.0)</f>
        <v>2012</v>
      </c>
      <c r="F854" s="46">
        <f>IFERROR(__xludf.DUMMYFUNCTION("""COMPUTED_VALUE"""),1.0)</f>
        <v>1</v>
      </c>
      <c r="G854" s="46">
        <f>IFERROR(__xludf.DUMMYFUNCTION("""COMPUTED_VALUE"""),8959.0)</f>
        <v>8959</v>
      </c>
      <c r="H854" s="46">
        <f>IFERROR(__xludf.DUMMYFUNCTION("""COMPUTED_VALUE"""),3779712.51)</f>
        <v>3779712.51</v>
      </c>
      <c r="I854" s="46">
        <f>IFERROR(__xludf.DUMMYFUNCTION("""COMPUTED_VALUE"""),3267257.71)</f>
        <v>3267257.71</v>
      </c>
      <c r="J854" s="46">
        <f>IFERROR(__xludf.DUMMYFUNCTION("""COMPUTED_VALUE"""),512454.7999999998)</f>
        <v>512454.8</v>
      </c>
      <c r="K854" s="46" t="str">
        <f t="array" ref="K854">TEXT(D854, "mmmm")</f>
        <v>August</v>
      </c>
      <c r="M854" s="46" t="str">
        <f>IFERROR(__xludf.DUMMYFUNCTION("""COMPUTED_VALUE"""),"Romania")</f>
        <v>Romania</v>
      </c>
      <c r="N854" s="94">
        <f>IFERROR(__xludf.DUMMYFUNCTION("""COMPUTED_VALUE"""),42248.0)</f>
        <v>42248</v>
      </c>
      <c r="O854" s="46">
        <f>IFERROR(__xludf.DUMMYFUNCTION("""COMPUTED_VALUE"""),1.0)</f>
        <v>1</v>
      </c>
      <c r="P854" s="46">
        <f>IFERROR(__xludf.DUMMYFUNCTION("""COMPUTED_VALUE"""),7679.0)</f>
        <v>7679</v>
      </c>
      <c r="Q854" s="46">
        <f>IFERROR(__xludf.DUMMYFUNCTION("""COMPUTED_VALUE"""),5000641.59)</f>
        <v>5000641.59</v>
      </c>
      <c r="R854" s="46">
        <f>IFERROR(__xludf.DUMMYFUNCTION("""COMPUTED_VALUE"""),4031167.8400000003)</f>
        <v>4031167.84</v>
      </c>
      <c r="S854" s="46">
        <f>IFERROR(__xludf.DUMMYFUNCTION("""COMPUTED_VALUE"""),969473.7499999995)</f>
        <v>969473.75</v>
      </c>
    </row>
    <row r="855">
      <c r="A855" s="46" t="str">
        <f>IFERROR(__xludf.DUMMYFUNCTION("""COMPUTED_VALUE"""),"Meat")</f>
        <v>Meat</v>
      </c>
      <c r="B855" s="46" t="str">
        <f>IFERROR(__xludf.DUMMYFUNCTION("""COMPUTED_VALUE"""),"Romania")</f>
        <v>Romania</v>
      </c>
      <c r="C855" s="46" t="str">
        <f>IFERROR(__xludf.DUMMYFUNCTION("""COMPUTED_VALUE"""),"Europe")</f>
        <v>Europe</v>
      </c>
      <c r="D855" s="90">
        <f>IFERROR(__xludf.DUMMYFUNCTION("""COMPUTED_VALUE"""),41122.0)</f>
        <v>41122</v>
      </c>
      <c r="E855" s="46">
        <f>IFERROR(__xludf.DUMMYFUNCTION("""COMPUTED_VALUE"""),2012.0)</f>
        <v>2012</v>
      </c>
      <c r="F855" s="46">
        <f>IFERROR(__xludf.DUMMYFUNCTION("""COMPUTED_VALUE"""),1.0)</f>
        <v>1</v>
      </c>
      <c r="G855" s="46">
        <f>IFERROR(__xludf.DUMMYFUNCTION("""COMPUTED_VALUE"""),2089.0)</f>
        <v>2089</v>
      </c>
      <c r="H855" s="46">
        <f>IFERROR(__xludf.DUMMYFUNCTION("""COMPUTED_VALUE"""),881328.21)</f>
        <v>881328.21</v>
      </c>
      <c r="I855" s="46">
        <f>IFERROR(__xludf.DUMMYFUNCTION("""COMPUTED_VALUE"""),761837.41)</f>
        <v>761837.41</v>
      </c>
      <c r="J855" s="46">
        <f>IFERROR(__xludf.DUMMYFUNCTION("""COMPUTED_VALUE"""),119490.79999999993)</f>
        <v>119490.8</v>
      </c>
      <c r="K855" s="46" t="str">
        <f t="array" ref="K855">TEXT(D855, "mmmm")</f>
        <v>August</v>
      </c>
      <c r="M855" s="46" t="str">
        <f>IFERROR(__xludf.DUMMYFUNCTION("""COMPUTED_VALUE"""),"San Marino")</f>
        <v>San Marino</v>
      </c>
      <c r="N855" s="94">
        <f>IFERROR(__xludf.DUMMYFUNCTION("""COMPUTED_VALUE"""),42248.0)</f>
        <v>42248</v>
      </c>
      <c r="O855" s="46">
        <f>IFERROR(__xludf.DUMMYFUNCTION("""COMPUTED_VALUE"""),1.0)</f>
        <v>1</v>
      </c>
      <c r="P855" s="46">
        <f>IFERROR(__xludf.DUMMYFUNCTION("""COMPUTED_VALUE"""),2624.0)</f>
        <v>2624</v>
      </c>
      <c r="Q855" s="46">
        <f>IFERROR(__xludf.DUMMYFUNCTION("""COMPUTED_VALUE"""),214459.52000000002)</f>
        <v>214459.52</v>
      </c>
      <c r="R855" s="46">
        <f>IFERROR(__xludf.DUMMYFUNCTION("""COMPUTED_VALUE"""),148702.08000000002)</f>
        <v>148702.08</v>
      </c>
      <c r="S855" s="46">
        <f>IFERROR(__xludf.DUMMYFUNCTION("""COMPUTED_VALUE"""),65757.44)</f>
        <v>65757.44</v>
      </c>
    </row>
    <row r="856">
      <c r="A856" s="46" t="str">
        <f>IFERROR(__xludf.DUMMYFUNCTION("""COMPUTED_VALUE"""),"Meat")</f>
        <v>Meat</v>
      </c>
      <c r="B856" s="46" t="str">
        <f>IFERROR(__xludf.DUMMYFUNCTION("""COMPUTED_VALUE"""),"Ukraine")</f>
        <v>Ukraine</v>
      </c>
      <c r="C856" s="46" t="str">
        <f>IFERROR(__xludf.DUMMYFUNCTION("""COMPUTED_VALUE"""),"Europe")</f>
        <v>Europe</v>
      </c>
      <c r="D856" s="90">
        <f>IFERROR(__xludf.DUMMYFUNCTION("""COMPUTED_VALUE"""),41122.0)</f>
        <v>41122</v>
      </c>
      <c r="E856" s="46">
        <f>IFERROR(__xludf.DUMMYFUNCTION("""COMPUTED_VALUE"""),2012.0)</f>
        <v>2012</v>
      </c>
      <c r="F856" s="46">
        <f>IFERROR(__xludf.DUMMYFUNCTION("""COMPUTED_VALUE"""),1.0)</f>
        <v>1</v>
      </c>
      <c r="G856" s="46">
        <f>IFERROR(__xludf.DUMMYFUNCTION("""COMPUTED_VALUE"""),8286.0)</f>
        <v>8286</v>
      </c>
      <c r="H856" s="46">
        <f>IFERROR(__xludf.DUMMYFUNCTION("""COMPUTED_VALUE"""),3495780.54)</f>
        <v>3495780.54</v>
      </c>
      <c r="I856" s="46">
        <f>IFERROR(__xludf.DUMMYFUNCTION("""COMPUTED_VALUE"""),3021821.34)</f>
        <v>3021821.34</v>
      </c>
      <c r="J856" s="46">
        <f>IFERROR(__xludf.DUMMYFUNCTION("""COMPUTED_VALUE"""),473959.2000000002)</f>
        <v>473959.2</v>
      </c>
      <c r="K856" s="46" t="str">
        <f t="array" ref="K856">TEXT(D856, "mmmm")</f>
        <v>August</v>
      </c>
      <c r="M856" s="46" t="str">
        <f>IFERROR(__xludf.DUMMYFUNCTION("""COMPUTED_VALUE"""),"Serbia")</f>
        <v>Serbia</v>
      </c>
      <c r="N856" s="94">
        <f>IFERROR(__xludf.DUMMYFUNCTION("""COMPUTED_VALUE"""),42248.0)</f>
        <v>42248</v>
      </c>
      <c r="O856" s="46">
        <f>IFERROR(__xludf.DUMMYFUNCTION("""COMPUTED_VALUE"""),1.0)</f>
        <v>1</v>
      </c>
      <c r="P856" s="46">
        <f>IFERROR(__xludf.DUMMYFUNCTION("""COMPUTED_VALUE"""),9102.0)</f>
        <v>9102</v>
      </c>
      <c r="Q856" s="46">
        <f>IFERROR(__xludf.DUMMYFUNCTION("""COMPUTED_VALUE"""),84921.66)</f>
        <v>84921.66</v>
      </c>
      <c r="R856" s="46">
        <f>IFERROR(__xludf.DUMMYFUNCTION("""COMPUTED_VALUE"""),62985.84)</f>
        <v>62985.84</v>
      </c>
      <c r="S856" s="46">
        <f>IFERROR(__xludf.DUMMYFUNCTION("""COMPUTED_VALUE"""),21935.820000000007)</f>
        <v>21935.82</v>
      </c>
    </row>
    <row r="857">
      <c r="A857" s="46" t="str">
        <f>IFERROR(__xludf.DUMMYFUNCTION("""COMPUTED_VALUE"""),"Office Supplies")</f>
        <v>Office Supplies</v>
      </c>
      <c r="B857" s="46" t="str">
        <f>IFERROR(__xludf.DUMMYFUNCTION("""COMPUTED_VALUE"""),"Undefined")</f>
        <v>Undefined</v>
      </c>
      <c r="C857" s="46" t="str">
        <f>IFERROR(__xludf.DUMMYFUNCTION("""COMPUTED_VALUE"""),"Undefined")</f>
        <v>Undefined</v>
      </c>
      <c r="D857" s="90">
        <f>IFERROR(__xludf.DUMMYFUNCTION("""COMPUTED_VALUE"""),41122.0)</f>
        <v>41122</v>
      </c>
      <c r="E857" s="46">
        <f>IFERROR(__xludf.DUMMYFUNCTION("""COMPUTED_VALUE"""),2012.0)</f>
        <v>2012</v>
      </c>
      <c r="F857" s="46">
        <f>IFERROR(__xludf.DUMMYFUNCTION("""COMPUTED_VALUE"""),1.0)</f>
        <v>1</v>
      </c>
      <c r="G857" s="46">
        <f>IFERROR(__xludf.DUMMYFUNCTION("""COMPUTED_VALUE"""),2708.0)</f>
        <v>2708</v>
      </c>
      <c r="H857" s="46">
        <f>IFERROR(__xludf.DUMMYFUNCTION("""COMPUTED_VALUE"""),1763476.6800000002)</f>
        <v>1763476.68</v>
      </c>
      <c r="I857" s="46">
        <f>IFERROR(__xludf.DUMMYFUNCTION("""COMPUTED_VALUE"""),1421591.6800000002)</f>
        <v>1421591.68</v>
      </c>
      <c r="J857" s="46">
        <f>IFERROR(__xludf.DUMMYFUNCTION("""COMPUTED_VALUE"""),341885.0)</f>
        <v>341885</v>
      </c>
      <c r="K857" s="46" t="str">
        <f t="array" ref="K857">TEXT(D857, "mmmm")</f>
        <v>August</v>
      </c>
      <c r="M857" s="46" t="str">
        <f>IFERROR(__xludf.DUMMYFUNCTION("""COMPUTED_VALUE"""),"Slovakia")</f>
        <v>Slovakia</v>
      </c>
      <c r="N857" s="94">
        <f>IFERROR(__xludf.DUMMYFUNCTION("""COMPUTED_VALUE"""),42248.0)</f>
        <v>42248</v>
      </c>
      <c r="O857" s="46">
        <f>IFERROR(__xludf.DUMMYFUNCTION("""COMPUTED_VALUE"""),2.0)</f>
        <v>2</v>
      </c>
      <c r="P857" s="46">
        <f>IFERROR(__xludf.DUMMYFUNCTION("""COMPUTED_VALUE"""),10059.0)</f>
        <v>10059</v>
      </c>
      <c r="Q857" s="46">
        <f>IFERROR(__xludf.DUMMYFUNCTION("""COMPUTED_VALUE"""),477299.55000000005)</f>
        <v>477299.55</v>
      </c>
      <c r="R857" s="46">
        <f>IFERROR(__xludf.DUMMYFUNCTION("""COMPUTED_VALUE"""),319775.61)</f>
        <v>319775.61</v>
      </c>
      <c r="S857" s="46">
        <f>IFERROR(__xludf.DUMMYFUNCTION("""COMPUTED_VALUE"""),157523.94000000006)</f>
        <v>157523.94</v>
      </c>
    </row>
    <row r="858">
      <c r="A858" s="46" t="str">
        <f>IFERROR(__xludf.DUMMYFUNCTION("""COMPUTED_VALUE"""),"Vegetables")</f>
        <v>Vegetables</v>
      </c>
      <c r="B858" s="46" t="str">
        <f>IFERROR(__xludf.DUMMYFUNCTION("""COMPUTED_VALUE"""),"Denmark")</f>
        <v>Denmark</v>
      </c>
      <c r="C858" s="46" t="str">
        <f>IFERROR(__xludf.DUMMYFUNCTION("""COMPUTED_VALUE"""),"Europe")</f>
        <v>Europe</v>
      </c>
      <c r="D858" s="90">
        <f>IFERROR(__xludf.DUMMYFUNCTION("""COMPUTED_VALUE"""),41122.0)</f>
        <v>41122</v>
      </c>
      <c r="E858" s="46">
        <f>IFERROR(__xludf.DUMMYFUNCTION("""COMPUTED_VALUE"""),2012.0)</f>
        <v>2012</v>
      </c>
      <c r="F858" s="46">
        <f>IFERROR(__xludf.DUMMYFUNCTION("""COMPUTED_VALUE"""),1.0)</f>
        <v>1</v>
      </c>
      <c r="G858" s="46">
        <f>IFERROR(__xludf.DUMMYFUNCTION("""COMPUTED_VALUE"""),5269.0)</f>
        <v>5269</v>
      </c>
      <c r="H858" s="46">
        <f>IFERROR(__xludf.DUMMYFUNCTION("""COMPUTED_VALUE"""),811742.14)</f>
        <v>811742.14</v>
      </c>
      <c r="I858" s="46">
        <f>IFERROR(__xludf.DUMMYFUNCTION("""COMPUTED_VALUE"""),479110.17000000004)</f>
        <v>479110.17</v>
      </c>
      <c r="J858" s="46">
        <f>IFERROR(__xludf.DUMMYFUNCTION("""COMPUTED_VALUE"""),332631.97)</f>
        <v>332631.97</v>
      </c>
      <c r="K858" s="46" t="str">
        <f t="array" ref="K858">TEXT(D858, "mmmm")</f>
        <v>August</v>
      </c>
      <c r="M858" s="46" t="str">
        <f>IFERROR(__xludf.DUMMYFUNCTION("""COMPUTED_VALUE"""),"Bosnia and Herzegovina")</f>
        <v>Bosnia and Herzegovina</v>
      </c>
      <c r="N858" s="94">
        <f>IFERROR(__xludf.DUMMYFUNCTION("""COMPUTED_VALUE"""),42278.0)</f>
        <v>42278</v>
      </c>
      <c r="O858" s="46">
        <f>IFERROR(__xludf.DUMMYFUNCTION("""COMPUTED_VALUE"""),1.0)</f>
        <v>1</v>
      </c>
      <c r="P858" s="46">
        <f>IFERROR(__xludf.DUMMYFUNCTION("""COMPUTED_VALUE"""),5856.0)</f>
        <v>5856</v>
      </c>
      <c r="Q858" s="46">
        <f>IFERROR(__xludf.DUMMYFUNCTION("""COMPUTED_VALUE"""),3813485.7600000002)</f>
        <v>3813485.76</v>
      </c>
      <c r="R858" s="46">
        <f>IFERROR(__xludf.DUMMYFUNCTION("""COMPUTED_VALUE"""),3074165.7600000002)</f>
        <v>3074165.76</v>
      </c>
      <c r="S858" s="46">
        <f>IFERROR(__xludf.DUMMYFUNCTION("""COMPUTED_VALUE"""),739320.0)</f>
        <v>739320</v>
      </c>
    </row>
    <row r="859">
      <c r="A859" s="46" t="str">
        <f>IFERROR(__xludf.DUMMYFUNCTION("""COMPUTED_VALUE"""),"Baby Food")</f>
        <v>Baby Food</v>
      </c>
      <c r="B859" s="46" t="str">
        <f>IFERROR(__xludf.DUMMYFUNCTION("""COMPUTED_VALUE"""),"United Kingdom")</f>
        <v>United Kingdom</v>
      </c>
      <c r="C859" s="46" t="str">
        <f>IFERROR(__xludf.DUMMYFUNCTION("""COMPUTED_VALUE"""),"Europe")</f>
        <v>Europe</v>
      </c>
      <c r="D859" s="90">
        <f>IFERROR(__xludf.DUMMYFUNCTION("""COMPUTED_VALUE"""),41091.0)</f>
        <v>41091</v>
      </c>
      <c r="E859" s="46">
        <f>IFERROR(__xludf.DUMMYFUNCTION("""COMPUTED_VALUE"""),2012.0)</f>
        <v>2012</v>
      </c>
      <c r="F859" s="46">
        <f>IFERROR(__xludf.DUMMYFUNCTION("""COMPUTED_VALUE"""),1.0)</f>
        <v>1</v>
      </c>
      <c r="G859" s="46">
        <f>IFERROR(__xludf.DUMMYFUNCTION("""COMPUTED_VALUE"""),8152.0)</f>
        <v>8152</v>
      </c>
      <c r="H859" s="46">
        <f>IFERROR(__xludf.DUMMYFUNCTION("""COMPUTED_VALUE"""),2081042.56)</f>
        <v>2081042.56</v>
      </c>
      <c r="I859" s="46">
        <f>IFERROR(__xludf.DUMMYFUNCTION("""COMPUTED_VALUE"""),1299591.8399999999)</f>
        <v>1299591.84</v>
      </c>
      <c r="J859" s="46">
        <f>IFERROR(__xludf.DUMMYFUNCTION("""COMPUTED_VALUE"""),781450.7200000002)</f>
        <v>781450.72</v>
      </c>
      <c r="K859" s="46" t="str">
        <f t="array" ref="K859">TEXT(D859, "mmmm")</f>
        <v>July</v>
      </c>
      <c r="M859" s="46" t="str">
        <f>IFERROR(__xludf.DUMMYFUNCTION("""COMPUTED_VALUE"""),"Estonia")</f>
        <v>Estonia</v>
      </c>
      <c r="N859" s="94">
        <f>IFERROR(__xludf.DUMMYFUNCTION("""COMPUTED_VALUE"""),42278.0)</f>
        <v>42278</v>
      </c>
      <c r="O859" s="46">
        <f>IFERROR(__xludf.DUMMYFUNCTION("""COMPUTED_VALUE"""),1.0)</f>
        <v>1</v>
      </c>
      <c r="P859" s="46">
        <f>IFERROR(__xludf.DUMMYFUNCTION("""COMPUTED_VALUE"""),7048.0)</f>
        <v>7048</v>
      </c>
      <c r="Q859" s="46">
        <f>IFERROR(__xludf.DUMMYFUNCTION("""COMPUTED_VALUE"""),1449773.5999999999)</f>
        <v>1449773.6</v>
      </c>
      <c r="R859" s="46">
        <f>IFERROR(__xludf.DUMMYFUNCTION("""COMPUTED_VALUE"""),825391.28)</f>
        <v>825391.28</v>
      </c>
      <c r="S859" s="46">
        <f>IFERROR(__xludf.DUMMYFUNCTION("""COMPUTED_VALUE"""),624382.3199999998)</f>
        <v>624382.32</v>
      </c>
    </row>
    <row r="860">
      <c r="A860" s="46" t="str">
        <f>IFERROR(__xludf.DUMMYFUNCTION("""COMPUTED_VALUE"""),"Beverages")</f>
        <v>Beverages</v>
      </c>
      <c r="B860" s="46" t="str">
        <f>IFERROR(__xludf.DUMMYFUNCTION("""COMPUTED_VALUE"""),"Belarus")</f>
        <v>Belarus</v>
      </c>
      <c r="C860" s="46" t="str">
        <f>IFERROR(__xludf.DUMMYFUNCTION("""COMPUTED_VALUE"""),"Europe")</f>
        <v>Europe</v>
      </c>
      <c r="D860" s="90">
        <f>IFERROR(__xludf.DUMMYFUNCTION("""COMPUTED_VALUE"""),41091.0)</f>
        <v>41091</v>
      </c>
      <c r="E860" s="46">
        <f>IFERROR(__xludf.DUMMYFUNCTION("""COMPUTED_VALUE"""),2012.0)</f>
        <v>2012</v>
      </c>
      <c r="F860" s="46">
        <f>IFERROR(__xludf.DUMMYFUNCTION("""COMPUTED_VALUE"""),1.0)</f>
        <v>1</v>
      </c>
      <c r="G860" s="46">
        <f>IFERROR(__xludf.DUMMYFUNCTION("""COMPUTED_VALUE"""),5138.0)</f>
        <v>5138</v>
      </c>
      <c r="H860" s="46">
        <f>IFERROR(__xludf.DUMMYFUNCTION("""COMPUTED_VALUE"""),243798.1)</f>
        <v>243798.1</v>
      </c>
      <c r="I860" s="46">
        <f>IFERROR(__xludf.DUMMYFUNCTION("""COMPUTED_VALUE"""),163337.02)</f>
        <v>163337.02</v>
      </c>
      <c r="J860" s="46">
        <f>IFERROR(__xludf.DUMMYFUNCTION("""COMPUTED_VALUE"""),80461.08000000002)</f>
        <v>80461.08</v>
      </c>
      <c r="K860" s="46" t="str">
        <f t="array" ref="K860">TEXT(D860, "mmmm")</f>
        <v>July</v>
      </c>
      <c r="M860" s="46" t="str">
        <f>IFERROR(__xludf.DUMMYFUNCTION("""COMPUTED_VALUE"""),"Greece")</f>
        <v>Greece</v>
      </c>
      <c r="N860" s="94">
        <f>IFERROR(__xludf.DUMMYFUNCTION("""COMPUTED_VALUE"""),42278.0)</f>
        <v>42278</v>
      </c>
      <c r="O860" s="46">
        <f>IFERROR(__xludf.DUMMYFUNCTION("""COMPUTED_VALUE"""),1.0)</f>
        <v>1</v>
      </c>
      <c r="P860" s="46">
        <f>IFERROR(__xludf.DUMMYFUNCTION("""COMPUTED_VALUE"""),2523.0)</f>
        <v>2523</v>
      </c>
      <c r="Q860" s="46">
        <f>IFERROR(__xludf.DUMMYFUNCTION("""COMPUTED_VALUE"""),23539.59)</f>
        <v>23539.59</v>
      </c>
      <c r="R860" s="46">
        <f>IFERROR(__xludf.DUMMYFUNCTION("""COMPUTED_VALUE"""),17459.16)</f>
        <v>17459.16</v>
      </c>
      <c r="S860" s="46">
        <f>IFERROR(__xludf.DUMMYFUNCTION("""COMPUTED_VALUE"""),6080.43)</f>
        <v>6080.43</v>
      </c>
    </row>
    <row r="861">
      <c r="A861" s="46" t="str">
        <f>IFERROR(__xludf.DUMMYFUNCTION("""COMPUTED_VALUE"""),"Beverages")</f>
        <v>Beverages</v>
      </c>
      <c r="B861" s="46" t="str">
        <f>IFERROR(__xludf.DUMMYFUNCTION("""COMPUTED_VALUE"""),"Macedonia")</f>
        <v>Macedonia</v>
      </c>
      <c r="C861" s="46" t="str">
        <f>IFERROR(__xludf.DUMMYFUNCTION("""COMPUTED_VALUE"""),"Europe")</f>
        <v>Europe</v>
      </c>
      <c r="D861" s="90">
        <f>IFERROR(__xludf.DUMMYFUNCTION("""COMPUTED_VALUE"""),41091.0)</f>
        <v>41091</v>
      </c>
      <c r="E861" s="46">
        <f>IFERROR(__xludf.DUMMYFUNCTION("""COMPUTED_VALUE"""),2012.0)</f>
        <v>2012</v>
      </c>
      <c r="F861" s="46">
        <f>IFERROR(__xludf.DUMMYFUNCTION("""COMPUTED_VALUE"""),1.0)</f>
        <v>1</v>
      </c>
      <c r="G861" s="46">
        <f>IFERROR(__xludf.DUMMYFUNCTION("""COMPUTED_VALUE"""),9353.0)</f>
        <v>9353</v>
      </c>
      <c r="H861" s="46">
        <f>IFERROR(__xludf.DUMMYFUNCTION("""COMPUTED_VALUE"""),443799.85000000003)</f>
        <v>443799.85</v>
      </c>
      <c r="I861" s="46">
        <f>IFERROR(__xludf.DUMMYFUNCTION("""COMPUTED_VALUE"""),297331.87)</f>
        <v>297331.87</v>
      </c>
      <c r="J861" s="46">
        <f>IFERROR(__xludf.DUMMYFUNCTION("""COMPUTED_VALUE"""),146467.98000000004)</f>
        <v>146467.98</v>
      </c>
      <c r="K861" s="46" t="str">
        <f t="array" ref="K861">TEXT(D861, "mmmm")</f>
        <v>July</v>
      </c>
      <c r="M861" s="46" t="str">
        <f>IFERROR(__xludf.DUMMYFUNCTION("""COMPUTED_VALUE"""),"Macedonia")</f>
        <v>Macedonia</v>
      </c>
      <c r="N861" s="94">
        <f>IFERROR(__xludf.DUMMYFUNCTION("""COMPUTED_VALUE"""),42278.0)</f>
        <v>42278</v>
      </c>
      <c r="O861" s="46">
        <f>IFERROR(__xludf.DUMMYFUNCTION("""COMPUTED_VALUE"""),1.0)</f>
        <v>1</v>
      </c>
      <c r="P861" s="46">
        <f>IFERROR(__xludf.DUMMYFUNCTION("""COMPUTED_VALUE"""),9311.0)</f>
        <v>9311</v>
      </c>
      <c r="Q861" s="46">
        <f>IFERROR(__xludf.DUMMYFUNCTION("""COMPUTED_VALUE"""),6222261.97)</f>
        <v>6222261.97</v>
      </c>
      <c r="R861" s="46">
        <f>IFERROR(__xludf.DUMMYFUNCTION("""COMPUTED_VALUE"""),4679149.94)</f>
        <v>4679149.94</v>
      </c>
      <c r="S861" s="46">
        <f>IFERROR(__xludf.DUMMYFUNCTION("""COMPUTED_VALUE"""),1543112.0299999993)</f>
        <v>1543112.03</v>
      </c>
    </row>
    <row r="862">
      <c r="A862" s="46" t="str">
        <f>IFERROR(__xludf.DUMMYFUNCTION("""COMPUTED_VALUE"""),"Cereal")</f>
        <v>Cereal</v>
      </c>
      <c r="B862" s="46" t="str">
        <f>IFERROR(__xludf.DUMMYFUNCTION("""COMPUTED_VALUE"""),"San Marino")</f>
        <v>San Marino</v>
      </c>
      <c r="C862" s="46" t="str">
        <f>IFERROR(__xludf.DUMMYFUNCTION("""COMPUTED_VALUE"""),"Europe")</f>
        <v>Europe</v>
      </c>
      <c r="D862" s="90">
        <f>IFERROR(__xludf.DUMMYFUNCTION("""COMPUTED_VALUE"""),41091.0)</f>
        <v>41091</v>
      </c>
      <c r="E862" s="46">
        <f>IFERROR(__xludf.DUMMYFUNCTION("""COMPUTED_VALUE"""),2012.0)</f>
        <v>2012</v>
      </c>
      <c r="F862" s="46">
        <f>IFERROR(__xludf.DUMMYFUNCTION("""COMPUTED_VALUE"""),1.0)</f>
        <v>1</v>
      </c>
      <c r="G862" s="46">
        <f>IFERROR(__xludf.DUMMYFUNCTION("""COMPUTED_VALUE"""),3981.0)</f>
        <v>3981</v>
      </c>
      <c r="H862" s="46">
        <f>IFERROR(__xludf.DUMMYFUNCTION("""COMPUTED_VALUE"""),818891.7)</f>
        <v>818891.7</v>
      </c>
      <c r="I862" s="46">
        <f>IFERROR(__xludf.DUMMYFUNCTION("""COMPUTED_VALUE"""),466214.91)</f>
        <v>466214.91</v>
      </c>
      <c r="J862" s="46">
        <f>IFERROR(__xludf.DUMMYFUNCTION("""COMPUTED_VALUE"""),352676.79)</f>
        <v>352676.79</v>
      </c>
      <c r="K862" s="46" t="str">
        <f t="array" ref="K862">TEXT(D862, "mmmm")</f>
        <v>July</v>
      </c>
      <c r="M862" s="46" t="str">
        <f>IFERROR(__xludf.DUMMYFUNCTION("""COMPUTED_VALUE"""),"Netherlands")</f>
        <v>Netherlands</v>
      </c>
      <c r="N862" s="94">
        <f>IFERROR(__xludf.DUMMYFUNCTION("""COMPUTED_VALUE"""),42278.0)</f>
        <v>42278</v>
      </c>
      <c r="O862" s="46">
        <f>IFERROR(__xludf.DUMMYFUNCTION("""COMPUTED_VALUE"""),1.0)</f>
        <v>1</v>
      </c>
      <c r="P862" s="46">
        <f>IFERROR(__xludf.DUMMYFUNCTION("""COMPUTED_VALUE"""),3134.0)</f>
        <v>3134</v>
      </c>
      <c r="Q862" s="46">
        <f>IFERROR(__xludf.DUMMYFUNCTION("""COMPUTED_VALUE"""),148708.30000000002)</f>
        <v>148708.3</v>
      </c>
      <c r="R862" s="46">
        <f>IFERROR(__xludf.DUMMYFUNCTION("""COMPUTED_VALUE"""),99629.86)</f>
        <v>99629.86</v>
      </c>
      <c r="S862" s="46">
        <f>IFERROR(__xludf.DUMMYFUNCTION("""COMPUTED_VALUE"""),49078.44000000002)</f>
        <v>49078.44</v>
      </c>
    </row>
    <row r="863">
      <c r="A863" s="46" t="str">
        <f>IFERROR(__xludf.DUMMYFUNCTION("""COMPUTED_VALUE"""),"Cereal")</f>
        <v>Cereal</v>
      </c>
      <c r="B863" s="46" t="str">
        <f>IFERROR(__xludf.DUMMYFUNCTION("""COMPUTED_VALUE"""),"Slovenia")</f>
        <v>Slovenia</v>
      </c>
      <c r="C863" s="46" t="str">
        <f>IFERROR(__xludf.DUMMYFUNCTION("""COMPUTED_VALUE"""),"Europe")</f>
        <v>Europe</v>
      </c>
      <c r="D863" s="90">
        <f>IFERROR(__xludf.DUMMYFUNCTION("""COMPUTED_VALUE"""),41091.0)</f>
        <v>41091</v>
      </c>
      <c r="E863" s="46">
        <f>IFERROR(__xludf.DUMMYFUNCTION("""COMPUTED_VALUE"""),2012.0)</f>
        <v>2012</v>
      </c>
      <c r="F863" s="46">
        <f>IFERROR(__xludf.DUMMYFUNCTION("""COMPUTED_VALUE"""),1.0)</f>
        <v>1</v>
      </c>
      <c r="G863" s="46">
        <f>IFERROR(__xludf.DUMMYFUNCTION("""COMPUTED_VALUE"""),9264.0)</f>
        <v>9264</v>
      </c>
      <c r="H863" s="46">
        <f>IFERROR(__xludf.DUMMYFUNCTION("""COMPUTED_VALUE"""),1905604.7999999998)</f>
        <v>1905604.8</v>
      </c>
      <c r="I863" s="46">
        <f>IFERROR(__xludf.DUMMYFUNCTION("""COMPUTED_VALUE"""),1084907.04)</f>
        <v>1084907.04</v>
      </c>
      <c r="J863" s="46">
        <f>IFERROR(__xludf.DUMMYFUNCTION("""COMPUTED_VALUE"""),820697.7599999998)</f>
        <v>820697.76</v>
      </c>
      <c r="K863" s="46" t="str">
        <f t="array" ref="K863">TEXT(D863, "mmmm")</f>
        <v>July</v>
      </c>
      <c r="M863" s="46" t="str">
        <f>IFERROR(__xludf.DUMMYFUNCTION("""COMPUTED_VALUE"""),"Slovenia")</f>
        <v>Slovenia</v>
      </c>
      <c r="N863" s="94">
        <f>IFERROR(__xludf.DUMMYFUNCTION("""COMPUTED_VALUE"""),42278.0)</f>
        <v>42278</v>
      </c>
      <c r="O863" s="46">
        <f>IFERROR(__xludf.DUMMYFUNCTION("""COMPUTED_VALUE"""),1.0)</f>
        <v>1</v>
      </c>
      <c r="P863" s="46">
        <f>IFERROR(__xludf.DUMMYFUNCTION("""COMPUTED_VALUE"""),7642.0)</f>
        <v>7642</v>
      </c>
      <c r="Q863" s="46">
        <f>IFERROR(__xludf.DUMMYFUNCTION("""COMPUTED_VALUE"""),3224083.38)</f>
        <v>3224083.38</v>
      </c>
      <c r="R863" s="46">
        <f>IFERROR(__xludf.DUMMYFUNCTION("""COMPUTED_VALUE"""),2786960.98)</f>
        <v>2786960.98</v>
      </c>
      <c r="S863" s="46">
        <f>IFERROR(__xludf.DUMMYFUNCTION("""COMPUTED_VALUE"""),437122.3999999999)</f>
        <v>437122.4</v>
      </c>
    </row>
    <row r="864">
      <c r="A864" s="46" t="str">
        <f>IFERROR(__xludf.DUMMYFUNCTION("""COMPUTED_VALUE"""),"Clothes")</f>
        <v>Clothes</v>
      </c>
      <c r="B864" s="46" t="str">
        <f>IFERROR(__xludf.DUMMYFUNCTION("""COMPUTED_VALUE"""),"Georgia")</f>
        <v>Georgia</v>
      </c>
      <c r="C864" s="46" t="str">
        <f>IFERROR(__xludf.DUMMYFUNCTION("""COMPUTED_VALUE"""),"Asia")</f>
        <v>Asia</v>
      </c>
      <c r="D864" s="90">
        <f>IFERROR(__xludf.DUMMYFUNCTION("""COMPUTED_VALUE"""),41091.0)</f>
        <v>41091</v>
      </c>
      <c r="E864" s="46">
        <f>IFERROR(__xludf.DUMMYFUNCTION("""COMPUTED_VALUE"""),2012.0)</f>
        <v>2012</v>
      </c>
      <c r="F864" s="46">
        <f>IFERROR(__xludf.DUMMYFUNCTION("""COMPUTED_VALUE"""),1.0)</f>
        <v>1</v>
      </c>
      <c r="G864" s="46">
        <f>IFERROR(__xludf.DUMMYFUNCTION("""COMPUTED_VALUE"""),4302.0)</f>
        <v>4302</v>
      </c>
      <c r="H864" s="46">
        <f>IFERROR(__xludf.DUMMYFUNCTION("""COMPUTED_VALUE"""),470122.56)</f>
        <v>470122.56</v>
      </c>
      <c r="I864" s="46">
        <f>IFERROR(__xludf.DUMMYFUNCTION("""COMPUTED_VALUE"""),154183.68000000002)</f>
        <v>154183.68</v>
      </c>
      <c r="J864" s="46">
        <f>IFERROR(__xludf.DUMMYFUNCTION("""COMPUTED_VALUE"""),315938.88)</f>
        <v>315938.88</v>
      </c>
      <c r="K864" s="46" t="str">
        <f t="array" ref="K864">TEXT(D864, "mmmm")</f>
        <v>July</v>
      </c>
      <c r="M864" s="46" t="str">
        <f>IFERROR(__xludf.DUMMYFUNCTION("""COMPUTED_VALUE"""),"Spain")</f>
        <v>Spain</v>
      </c>
      <c r="N864" s="94">
        <f>IFERROR(__xludf.DUMMYFUNCTION("""COMPUTED_VALUE"""),42278.0)</f>
        <v>42278</v>
      </c>
      <c r="O864" s="46">
        <f>IFERROR(__xludf.DUMMYFUNCTION("""COMPUTED_VALUE"""),1.0)</f>
        <v>1</v>
      </c>
      <c r="P864" s="46">
        <f>IFERROR(__xludf.DUMMYFUNCTION("""COMPUTED_VALUE"""),3540.0)</f>
        <v>3540</v>
      </c>
      <c r="Q864" s="46">
        <f>IFERROR(__xludf.DUMMYFUNCTION("""COMPUTED_VALUE"""),33028.2)</f>
        <v>33028.2</v>
      </c>
      <c r="R864" s="46">
        <f>IFERROR(__xludf.DUMMYFUNCTION("""COMPUTED_VALUE"""),24496.8)</f>
        <v>24496.8</v>
      </c>
      <c r="S864" s="46">
        <f>IFERROR(__xludf.DUMMYFUNCTION("""COMPUTED_VALUE"""),8531.399999999998)</f>
        <v>8531.4</v>
      </c>
    </row>
    <row r="865">
      <c r="A865" s="46" t="str">
        <f>IFERROR(__xludf.DUMMYFUNCTION("""COMPUTED_VALUE"""),"Cosmetics")</f>
        <v>Cosmetics</v>
      </c>
      <c r="B865" s="46" t="str">
        <f>IFERROR(__xludf.DUMMYFUNCTION("""COMPUTED_VALUE"""),"Denmark")</f>
        <v>Denmark</v>
      </c>
      <c r="C865" s="46" t="str">
        <f>IFERROR(__xludf.DUMMYFUNCTION("""COMPUTED_VALUE"""),"Europe")</f>
        <v>Europe</v>
      </c>
      <c r="D865" s="90">
        <f>IFERROR(__xludf.DUMMYFUNCTION("""COMPUTED_VALUE"""),41091.0)</f>
        <v>41091</v>
      </c>
      <c r="E865" s="46">
        <f>IFERROR(__xludf.DUMMYFUNCTION("""COMPUTED_VALUE"""),2012.0)</f>
        <v>2012</v>
      </c>
      <c r="F865" s="46">
        <f>IFERROR(__xludf.DUMMYFUNCTION("""COMPUTED_VALUE"""),1.0)</f>
        <v>1</v>
      </c>
      <c r="G865" s="46">
        <f>IFERROR(__xludf.DUMMYFUNCTION("""COMPUTED_VALUE"""),4484.0)</f>
        <v>4484</v>
      </c>
      <c r="H865" s="46">
        <f>IFERROR(__xludf.DUMMYFUNCTION("""COMPUTED_VALUE"""),1960404.8)</f>
        <v>1960404.8</v>
      </c>
      <c r="I865" s="46">
        <f>IFERROR(__xludf.DUMMYFUNCTION("""COMPUTED_VALUE"""),1180771.72)</f>
        <v>1180771.72</v>
      </c>
      <c r="J865" s="46">
        <f>IFERROR(__xludf.DUMMYFUNCTION("""COMPUTED_VALUE"""),779633.0800000001)</f>
        <v>779633.08</v>
      </c>
      <c r="K865" s="46" t="str">
        <f t="array" ref="K865">TEXT(D865, "mmmm")</f>
        <v>July</v>
      </c>
      <c r="M865" s="46" t="str">
        <f>IFERROR(__xludf.DUMMYFUNCTION("""COMPUTED_VALUE"""),"Switzerland")</f>
        <v>Switzerland</v>
      </c>
      <c r="N865" s="94">
        <f>IFERROR(__xludf.DUMMYFUNCTION("""COMPUTED_VALUE"""),42278.0)</f>
        <v>42278</v>
      </c>
      <c r="O865" s="46">
        <f>IFERROR(__xludf.DUMMYFUNCTION("""COMPUTED_VALUE"""),1.0)</f>
        <v>1</v>
      </c>
      <c r="P865" s="46">
        <f>IFERROR(__xludf.DUMMYFUNCTION("""COMPUTED_VALUE"""),4565.0)</f>
        <v>4565</v>
      </c>
      <c r="Q865" s="46">
        <f>IFERROR(__xludf.DUMMYFUNCTION("""COMPUTED_VALUE"""),939020.5)</f>
        <v>939020.5</v>
      </c>
      <c r="R865" s="46">
        <f>IFERROR(__xludf.DUMMYFUNCTION("""COMPUTED_VALUE"""),534607.15)</f>
        <v>534607.15</v>
      </c>
      <c r="S865" s="46">
        <f>IFERROR(__xludf.DUMMYFUNCTION("""COMPUTED_VALUE"""),404413.35)</f>
        <v>404413.35</v>
      </c>
    </row>
    <row r="866">
      <c r="A866" s="46" t="str">
        <f>IFERROR(__xludf.DUMMYFUNCTION("""COMPUTED_VALUE"""),"Cosmetics")</f>
        <v>Cosmetics</v>
      </c>
      <c r="B866" s="46" t="str">
        <f>IFERROR(__xludf.DUMMYFUNCTION("""COMPUTED_VALUE"""),"Liechtenstein")</f>
        <v>Liechtenstein</v>
      </c>
      <c r="C866" s="46" t="str">
        <f>IFERROR(__xludf.DUMMYFUNCTION("""COMPUTED_VALUE"""),"Europe")</f>
        <v>Europe</v>
      </c>
      <c r="D866" s="90">
        <f>IFERROR(__xludf.DUMMYFUNCTION("""COMPUTED_VALUE"""),41091.0)</f>
        <v>41091</v>
      </c>
      <c r="E866" s="46">
        <f>IFERROR(__xludf.DUMMYFUNCTION("""COMPUTED_VALUE"""),2012.0)</f>
        <v>2012</v>
      </c>
      <c r="F866" s="46">
        <f>IFERROR(__xludf.DUMMYFUNCTION("""COMPUTED_VALUE"""),1.0)</f>
        <v>1</v>
      </c>
      <c r="G866" s="46">
        <f>IFERROR(__xludf.DUMMYFUNCTION("""COMPUTED_VALUE"""),138.0)</f>
        <v>138</v>
      </c>
      <c r="H866" s="46">
        <f>IFERROR(__xludf.DUMMYFUNCTION("""COMPUTED_VALUE"""),60333.6)</f>
        <v>60333.6</v>
      </c>
      <c r="I866" s="46">
        <f>IFERROR(__xludf.DUMMYFUNCTION("""COMPUTED_VALUE"""),36339.54)</f>
        <v>36339.54</v>
      </c>
      <c r="J866" s="46">
        <f>IFERROR(__xludf.DUMMYFUNCTION("""COMPUTED_VALUE"""),23994.059999999998)</f>
        <v>23994.06</v>
      </c>
      <c r="K866" s="46" t="str">
        <f t="array" ref="K866">TEXT(D866, "mmmm")</f>
        <v>July</v>
      </c>
      <c r="M866" s="46" t="str">
        <f>IFERROR(__xludf.DUMMYFUNCTION("""COMPUTED_VALUE"""),"United Kingdom")</f>
        <v>United Kingdom</v>
      </c>
      <c r="N866" s="94">
        <f>IFERROR(__xludf.DUMMYFUNCTION("""COMPUTED_VALUE"""),42278.0)</f>
        <v>42278</v>
      </c>
      <c r="O866" s="46">
        <f>IFERROR(__xludf.DUMMYFUNCTION("""COMPUTED_VALUE"""),1.0)</f>
        <v>1</v>
      </c>
      <c r="P866" s="46">
        <f>IFERROR(__xludf.DUMMYFUNCTION("""COMPUTED_VALUE"""),5541.0)</f>
        <v>5541</v>
      </c>
      <c r="Q866" s="46">
        <f>IFERROR(__xludf.DUMMYFUNCTION("""COMPUTED_VALUE"""),1414506.48)</f>
        <v>1414506.48</v>
      </c>
      <c r="R866" s="46">
        <f>IFERROR(__xludf.DUMMYFUNCTION("""COMPUTED_VALUE"""),883346.22)</f>
        <v>883346.22</v>
      </c>
      <c r="S866" s="46">
        <f>IFERROR(__xludf.DUMMYFUNCTION("""COMPUTED_VALUE"""),531160.26)</f>
        <v>531160.26</v>
      </c>
    </row>
    <row r="867">
      <c r="A867" s="46" t="str">
        <f>IFERROR(__xludf.DUMMYFUNCTION("""COMPUTED_VALUE"""),"Fruits")</f>
        <v>Fruits</v>
      </c>
      <c r="B867" s="46" t="str">
        <f>IFERROR(__xludf.DUMMYFUNCTION("""COMPUTED_VALUE"""),"Austria")</f>
        <v>Austria</v>
      </c>
      <c r="C867" s="46" t="str">
        <f>IFERROR(__xludf.DUMMYFUNCTION("""COMPUTED_VALUE"""),"Europe")</f>
        <v>Europe</v>
      </c>
      <c r="D867" s="90">
        <f>IFERROR(__xludf.DUMMYFUNCTION("""COMPUTED_VALUE"""),41091.0)</f>
        <v>41091</v>
      </c>
      <c r="E867" s="46">
        <f>IFERROR(__xludf.DUMMYFUNCTION("""COMPUTED_VALUE"""),2012.0)</f>
        <v>2012</v>
      </c>
      <c r="F867" s="46">
        <f>IFERROR(__xludf.DUMMYFUNCTION("""COMPUTED_VALUE"""),1.0)</f>
        <v>1</v>
      </c>
      <c r="G867" s="46">
        <f>IFERROR(__xludf.DUMMYFUNCTION("""COMPUTED_VALUE"""),4487.0)</f>
        <v>4487</v>
      </c>
      <c r="H867" s="46">
        <f>IFERROR(__xludf.DUMMYFUNCTION("""COMPUTED_VALUE"""),41863.71)</f>
        <v>41863.71</v>
      </c>
      <c r="I867" s="46">
        <f>IFERROR(__xludf.DUMMYFUNCTION("""COMPUTED_VALUE"""),31050.04)</f>
        <v>31050.04</v>
      </c>
      <c r="J867" s="46">
        <f>IFERROR(__xludf.DUMMYFUNCTION("""COMPUTED_VALUE"""),10813.669999999998)</f>
        <v>10813.67</v>
      </c>
      <c r="K867" s="46" t="str">
        <f t="array" ref="K867">TEXT(D867, "mmmm")</f>
        <v>July</v>
      </c>
      <c r="M867" s="46" t="str">
        <f>IFERROR(__xludf.DUMMYFUNCTION("""COMPUTED_VALUE"""),"Armenia")</f>
        <v>Armenia</v>
      </c>
      <c r="N867" s="94">
        <f>IFERROR(__xludf.DUMMYFUNCTION("""COMPUTED_VALUE"""),42309.0)</f>
        <v>42309</v>
      </c>
      <c r="O867" s="46">
        <f>IFERROR(__xludf.DUMMYFUNCTION("""COMPUTED_VALUE"""),1.0)</f>
        <v>1</v>
      </c>
      <c r="P867" s="46">
        <f>IFERROR(__xludf.DUMMYFUNCTION("""COMPUTED_VALUE"""),7390.0)</f>
        <v>7390</v>
      </c>
      <c r="Q867" s="46">
        <f>IFERROR(__xludf.DUMMYFUNCTION("""COMPUTED_VALUE"""),3117767.1)</f>
        <v>3117767.1</v>
      </c>
      <c r="R867" s="46">
        <f>IFERROR(__xludf.DUMMYFUNCTION("""COMPUTED_VALUE"""),2695059.1)</f>
        <v>2695059.1</v>
      </c>
      <c r="S867" s="46">
        <f>IFERROR(__xludf.DUMMYFUNCTION("""COMPUTED_VALUE"""),422708.0)</f>
        <v>422708</v>
      </c>
    </row>
    <row r="868">
      <c r="A868" s="46" t="str">
        <f>IFERROR(__xludf.DUMMYFUNCTION("""COMPUTED_VALUE"""),"Meat")</f>
        <v>Meat</v>
      </c>
      <c r="B868" s="46" t="str">
        <f>IFERROR(__xludf.DUMMYFUNCTION("""COMPUTED_VALUE"""),"Bosnia and Herzegovina")</f>
        <v>Bosnia and Herzegovina</v>
      </c>
      <c r="C868" s="46" t="str">
        <f>IFERROR(__xludf.DUMMYFUNCTION("""COMPUTED_VALUE"""),"Europe")</f>
        <v>Europe</v>
      </c>
      <c r="D868" s="90">
        <f>IFERROR(__xludf.DUMMYFUNCTION("""COMPUTED_VALUE"""),41091.0)</f>
        <v>41091</v>
      </c>
      <c r="E868" s="46">
        <f>IFERROR(__xludf.DUMMYFUNCTION("""COMPUTED_VALUE"""),2012.0)</f>
        <v>2012</v>
      </c>
      <c r="F868" s="46">
        <f>IFERROR(__xludf.DUMMYFUNCTION("""COMPUTED_VALUE"""),1.0)</f>
        <v>1</v>
      </c>
      <c r="G868" s="46">
        <f>IFERROR(__xludf.DUMMYFUNCTION("""COMPUTED_VALUE"""),6211.0)</f>
        <v>6211</v>
      </c>
      <c r="H868" s="46">
        <f>IFERROR(__xludf.DUMMYFUNCTION("""COMPUTED_VALUE"""),2620358.79)</f>
        <v>2620358.79</v>
      </c>
      <c r="I868" s="46">
        <f>IFERROR(__xludf.DUMMYFUNCTION("""COMPUTED_VALUE"""),2265089.59)</f>
        <v>2265089.59</v>
      </c>
      <c r="J868" s="46">
        <f>IFERROR(__xludf.DUMMYFUNCTION("""COMPUTED_VALUE"""),355269.2000000002)</f>
        <v>355269.2</v>
      </c>
      <c r="K868" s="46" t="str">
        <f t="array" ref="K868">TEXT(D868, "mmmm")</f>
        <v>July</v>
      </c>
      <c r="M868" s="46" t="str">
        <f>IFERROR(__xludf.DUMMYFUNCTION("""COMPUTED_VALUE"""),"Bosnia and Herzegovina")</f>
        <v>Bosnia and Herzegovina</v>
      </c>
      <c r="N868" s="94">
        <f>IFERROR(__xludf.DUMMYFUNCTION("""COMPUTED_VALUE"""),42309.0)</f>
        <v>42309</v>
      </c>
      <c r="O868" s="46">
        <f>IFERROR(__xludf.DUMMYFUNCTION("""COMPUTED_VALUE"""),1.0)</f>
        <v>1</v>
      </c>
      <c r="P868" s="46">
        <f>IFERROR(__xludf.DUMMYFUNCTION("""COMPUTED_VALUE"""),8632.0)</f>
        <v>8632</v>
      </c>
      <c r="Q868" s="46">
        <f>IFERROR(__xludf.DUMMYFUNCTION("""COMPUTED_VALUE"""),5621244.720000001)</f>
        <v>5621244.72</v>
      </c>
      <c r="R868" s="46">
        <f>IFERROR(__xludf.DUMMYFUNCTION("""COMPUTED_VALUE"""),4531454.720000001)</f>
        <v>4531454.72</v>
      </c>
      <c r="S868" s="46">
        <f>IFERROR(__xludf.DUMMYFUNCTION("""COMPUTED_VALUE"""),1089790.0)</f>
        <v>1089790</v>
      </c>
    </row>
    <row r="869">
      <c r="A869" s="46" t="str">
        <f>IFERROR(__xludf.DUMMYFUNCTION("""COMPUTED_VALUE"""),"Office Supplies")</f>
        <v>Office Supplies</v>
      </c>
      <c r="B869" s="46" t="str">
        <f>IFERROR(__xludf.DUMMYFUNCTION("""COMPUTED_VALUE"""),"Bosnia and Herzegovina")</f>
        <v>Bosnia and Herzegovina</v>
      </c>
      <c r="C869" s="46" t="str">
        <f>IFERROR(__xludf.DUMMYFUNCTION("""COMPUTED_VALUE"""),"Europe")</f>
        <v>Europe</v>
      </c>
      <c r="D869" s="90">
        <f>IFERROR(__xludf.DUMMYFUNCTION("""COMPUTED_VALUE"""),41091.0)</f>
        <v>41091</v>
      </c>
      <c r="E869" s="46">
        <f>IFERROR(__xludf.DUMMYFUNCTION("""COMPUTED_VALUE"""),2012.0)</f>
        <v>2012</v>
      </c>
      <c r="F869" s="46">
        <f>IFERROR(__xludf.DUMMYFUNCTION("""COMPUTED_VALUE"""),1.0)</f>
        <v>1</v>
      </c>
      <c r="G869" s="46">
        <f>IFERROR(__xludf.DUMMYFUNCTION("""COMPUTED_VALUE"""),674.0)</f>
        <v>674</v>
      </c>
      <c r="H869" s="46">
        <f>IFERROR(__xludf.DUMMYFUNCTION("""COMPUTED_VALUE"""),438915.54000000004)</f>
        <v>438915.54</v>
      </c>
      <c r="I869" s="46">
        <f>IFERROR(__xludf.DUMMYFUNCTION("""COMPUTED_VALUE"""),353823.04000000004)</f>
        <v>353823.04</v>
      </c>
      <c r="J869" s="46">
        <f>IFERROR(__xludf.DUMMYFUNCTION("""COMPUTED_VALUE"""),85092.5)</f>
        <v>85092.5</v>
      </c>
      <c r="K869" s="46" t="str">
        <f t="array" ref="K869">TEXT(D869, "mmmm")</f>
        <v>July</v>
      </c>
      <c r="M869" s="46" t="str">
        <f>IFERROR(__xludf.DUMMYFUNCTION("""COMPUTED_VALUE"""),"Bulgaria")</f>
        <v>Bulgaria</v>
      </c>
      <c r="N869" s="94">
        <f>IFERROR(__xludf.DUMMYFUNCTION("""COMPUTED_VALUE"""),42309.0)</f>
        <v>42309</v>
      </c>
      <c r="O869" s="46">
        <f>IFERROR(__xludf.DUMMYFUNCTION("""COMPUTED_VALUE"""),1.0)</f>
        <v>1</v>
      </c>
      <c r="P869" s="46">
        <f>IFERROR(__xludf.DUMMYFUNCTION("""COMPUTED_VALUE"""),4047.0)</f>
        <v>4047</v>
      </c>
      <c r="Q869" s="46">
        <f>IFERROR(__xludf.DUMMYFUNCTION("""COMPUTED_VALUE"""),2635446.87)</f>
        <v>2635446.87</v>
      </c>
      <c r="R869" s="46">
        <f>IFERROR(__xludf.DUMMYFUNCTION("""COMPUTED_VALUE"""),2124513.12)</f>
        <v>2124513.12</v>
      </c>
      <c r="S869" s="46">
        <f>IFERROR(__xludf.DUMMYFUNCTION("""COMPUTED_VALUE"""),510933.75)</f>
        <v>510933.75</v>
      </c>
    </row>
    <row r="870">
      <c r="A870" s="46" t="str">
        <f>IFERROR(__xludf.DUMMYFUNCTION("""COMPUTED_VALUE"""),"Office Supplies")</f>
        <v>Office Supplies</v>
      </c>
      <c r="B870" s="46" t="str">
        <f>IFERROR(__xludf.DUMMYFUNCTION("""COMPUTED_VALUE"""),"Lithuania")</f>
        <v>Lithuania</v>
      </c>
      <c r="C870" s="46" t="str">
        <f>IFERROR(__xludf.DUMMYFUNCTION("""COMPUTED_VALUE"""),"Europe")</f>
        <v>Europe</v>
      </c>
      <c r="D870" s="90">
        <f>IFERROR(__xludf.DUMMYFUNCTION("""COMPUTED_VALUE"""),41091.0)</f>
        <v>41091</v>
      </c>
      <c r="E870" s="46">
        <f>IFERROR(__xludf.DUMMYFUNCTION("""COMPUTED_VALUE"""),2012.0)</f>
        <v>2012</v>
      </c>
      <c r="F870" s="46">
        <f>IFERROR(__xludf.DUMMYFUNCTION("""COMPUTED_VALUE"""),1.0)</f>
        <v>1</v>
      </c>
      <c r="G870" s="46">
        <f>IFERROR(__xludf.DUMMYFUNCTION("""COMPUTED_VALUE"""),1150.0)</f>
        <v>1150</v>
      </c>
      <c r="H870" s="46">
        <f>IFERROR(__xludf.DUMMYFUNCTION("""COMPUTED_VALUE"""),748891.5)</f>
        <v>748891.5</v>
      </c>
      <c r="I870" s="46">
        <f>IFERROR(__xludf.DUMMYFUNCTION("""COMPUTED_VALUE"""),603704.0)</f>
        <v>603704</v>
      </c>
      <c r="J870" s="46">
        <f>IFERROR(__xludf.DUMMYFUNCTION("""COMPUTED_VALUE"""),145187.5)</f>
        <v>145187.5</v>
      </c>
      <c r="K870" s="46" t="str">
        <f t="array" ref="K870">TEXT(D870, "mmmm")</f>
        <v>July</v>
      </c>
      <c r="M870" s="46" t="str">
        <f>IFERROR(__xludf.DUMMYFUNCTION("""COMPUTED_VALUE"""),"Cyprus")</f>
        <v>Cyprus</v>
      </c>
      <c r="N870" s="94">
        <f>IFERROR(__xludf.DUMMYFUNCTION("""COMPUTED_VALUE"""),42309.0)</f>
        <v>42309</v>
      </c>
      <c r="O870" s="46">
        <f>IFERROR(__xludf.DUMMYFUNCTION("""COMPUTED_VALUE"""),1.0)</f>
        <v>1</v>
      </c>
      <c r="P870" s="46">
        <f>IFERROR(__xludf.DUMMYFUNCTION("""COMPUTED_VALUE"""),2864.0)</f>
        <v>2864</v>
      </c>
      <c r="Q870" s="46">
        <f>IFERROR(__xludf.DUMMYFUNCTION("""COMPUTED_VALUE"""),1252140.8)</f>
        <v>1252140.8</v>
      </c>
      <c r="R870" s="46">
        <f>IFERROR(__xludf.DUMMYFUNCTION("""COMPUTED_VALUE"""),754177.12)</f>
        <v>754177.12</v>
      </c>
      <c r="S870" s="46">
        <f>IFERROR(__xludf.DUMMYFUNCTION("""COMPUTED_VALUE"""),497963.68000000005)</f>
        <v>497963.68</v>
      </c>
    </row>
    <row r="871">
      <c r="A871" s="46" t="str">
        <f>IFERROR(__xludf.DUMMYFUNCTION("""COMPUTED_VALUE"""),"Snacks")</f>
        <v>Snacks</v>
      </c>
      <c r="B871" s="46" t="str">
        <f>IFERROR(__xludf.DUMMYFUNCTION("""COMPUTED_VALUE"""),"Russia")</f>
        <v>Russia</v>
      </c>
      <c r="C871" s="46" t="str">
        <f>IFERROR(__xludf.DUMMYFUNCTION("""COMPUTED_VALUE"""),"Europe")</f>
        <v>Europe</v>
      </c>
      <c r="D871" s="90">
        <f>IFERROR(__xludf.DUMMYFUNCTION("""COMPUTED_VALUE"""),41091.0)</f>
        <v>41091</v>
      </c>
      <c r="E871" s="46">
        <f>IFERROR(__xludf.DUMMYFUNCTION("""COMPUTED_VALUE"""),2012.0)</f>
        <v>2012</v>
      </c>
      <c r="F871" s="46">
        <f>IFERROR(__xludf.DUMMYFUNCTION("""COMPUTED_VALUE"""),1.0)</f>
        <v>1</v>
      </c>
      <c r="G871" s="46">
        <f>IFERROR(__xludf.DUMMYFUNCTION("""COMPUTED_VALUE"""),5598.0)</f>
        <v>5598</v>
      </c>
      <c r="H871" s="46">
        <f>IFERROR(__xludf.DUMMYFUNCTION("""COMPUTED_VALUE"""),854142.8400000001)</f>
        <v>854142.84</v>
      </c>
      <c r="I871" s="46">
        <f>IFERROR(__xludf.DUMMYFUNCTION("""COMPUTED_VALUE"""),545469.12)</f>
        <v>545469.12</v>
      </c>
      <c r="J871" s="46">
        <f>IFERROR(__xludf.DUMMYFUNCTION("""COMPUTED_VALUE"""),308673.7200000001)</f>
        <v>308673.72</v>
      </c>
      <c r="K871" s="46" t="str">
        <f t="array" ref="K871">TEXT(D871, "mmmm")</f>
        <v>July</v>
      </c>
      <c r="M871" s="46" t="str">
        <f>IFERROR(__xludf.DUMMYFUNCTION("""COMPUTED_VALUE"""),"Denmark")</f>
        <v>Denmark</v>
      </c>
      <c r="N871" s="94">
        <f>IFERROR(__xludf.DUMMYFUNCTION("""COMPUTED_VALUE"""),42309.0)</f>
        <v>42309</v>
      </c>
      <c r="O871" s="46">
        <f>IFERROR(__xludf.DUMMYFUNCTION("""COMPUTED_VALUE"""),1.0)</f>
        <v>1</v>
      </c>
      <c r="P871" s="46">
        <f>IFERROR(__xludf.DUMMYFUNCTION("""COMPUTED_VALUE"""),8847.0)</f>
        <v>8847</v>
      </c>
      <c r="Q871" s="46">
        <f>IFERROR(__xludf.DUMMYFUNCTION("""COMPUTED_VALUE"""),1819827.9)</f>
        <v>1819827.9</v>
      </c>
      <c r="R871" s="46">
        <f>IFERROR(__xludf.DUMMYFUNCTION("""COMPUTED_VALUE"""),1036072.17)</f>
        <v>1036072.17</v>
      </c>
      <c r="S871" s="46">
        <f>IFERROR(__xludf.DUMMYFUNCTION("""COMPUTED_VALUE"""),783755.7299999999)</f>
        <v>783755.73</v>
      </c>
    </row>
    <row r="872">
      <c r="A872" s="46" t="str">
        <f>IFERROR(__xludf.DUMMYFUNCTION("""COMPUTED_VALUE"""),"Vegetables")</f>
        <v>Vegetables</v>
      </c>
      <c r="B872" s="46" t="str">
        <f>IFERROR(__xludf.DUMMYFUNCTION("""COMPUTED_VALUE"""),"Norway")</f>
        <v>Norway</v>
      </c>
      <c r="C872" s="46" t="str">
        <f>IFERROR(__xludf.DUMMYFUNCTION("""COMPUTED_VALUE"""),"Europe")</f>
        <v>Europe</v>
      </c>
      <c r="D872" s="90">
        <f>IFERROR(__xludf.DUMMYFUNCTION("""COMPUTED_VALUE"""),41091.0)</f>
        <v>41091</v>
      </c>
      <c r="E872" s="46">
        <f>IFERROR(__xludf.DUMMYFUNCTION("""COMPUTED_VALUE"""),2012.0)</f>
        <v>2012</v>
      </c>
      <c r="F872" s="46">
        <f>IFERROR(__xludf.DUMMYFUNCTION("""COMPUTED_VALUE"""),1.0)</f>
        <v>1</v>
      </c>
      <c r="G872" s="46">
        <f>IFERROR(__xludf.DUMMYFUNCTION("""COMPUTED_VALUE"""),4344.0)</f>
        <v>4344</v>
      </c>
      <c r="H872" s="46">
        <f>IFERROR(__xludf.DUMMYFUNCTION("""COMPUTED_VALUE"""),669236.64)</f>
        <v>669236.64</v>
      </c>
      <c r="I872" s="46">
        <f>IFERROR(__xludf.DUMMYFUNCTION("""COMPUTED_VALUE"""),394999.92000000004)</f>
        <v>394999.92</v>
      </c>
      <c r="J872" s="46">
        <f>IFERROR(__xludf.DUMMYFUNCTION("""COMPUTED_VALUE"""),274236.72)</f>
        <v>274236.72</v>
      </c>
      <c r="K872" s="46" t="str">
        <f t="array" ref="K872">TEXT(D872, "mmmm")</f>
        <v>July</v>
      </c>
      <c r="M872" s="46" t="str">
        <f>IFERROR(__xludf.DUMMYFUNCTION("""COMPUTED_VALUE"""),"France")</f>
        <v>France</v>
      </c>
      <c r="N872" s="94">
        <f>IFERROR(__xludf.DUMMYFUNCTION("""COMPUTED_VALUE"""),42309.0)</f>
        <v>42309</v>
      </c>
      <c r="O872" s="46">
        <f>IFERROR(__xludf.DUMMYFUNCTION("""COMPUTED_VALUE"""),1.0)</f>
        <v>1</v>
      </c>
      <c r="P872" s="46">
        <f>IFERROR(__xludf.DUMMYFUNCTION("""COMPUTED_VALUE"""),257.0)</f>
        <v>257</v>
      </c>
      <c r="Q872" s="46">
        <f>IFERROR(__xludf.DUMMYFUNCTION("""COMPUTED_VALUE"""),108425.73)</f>
        <v>108425.73</v>
      </c>
      <c r="R872" s="46">
        <f>IFERROR(__xludf.DUMMYFUNCTION("""COMPUTED_VALUE"""),93725.33)</f>
        <v>93725.33</v>
      </c>
      <c r="S872" s="46">
        <f>IFERROR(__xludf.DUMMYFUNCTION("""COMPUTED_VALUE"""),14700.399999999994)</f>
        <v>14700.4</v>
      </c>
    </row>
    <row r="873">
      <c r="A873" s="46" t="str">
        <f>IFERROR(__xludf.DUMMYFUNCTION("""COMPUTED_VALUE"""),"Baby Food")</f>
        <v>Baby Food</v>
      </c>
      <c r="B873" s="46" t="str">
        <f>IFERROR(__xludf.DUMMYFUNCTION("""COMPUTED_VALUE"""),"Italy")</f>
        <v>Italy</v>
      </c>
      <c r="C873" s="46" t="str">
        <f>IFERROR(__xludf.DUMMYFUNCTION("""COMPUTED_VALUE"""),"Europe")</f>
        <v>Europe</v>
      </c>
      <c r="D873" s="90">
        <f>IFERROR(__xludf.DUMMYFUNCTION("""COMPUTED_VALUE"""),41061.0)</f>
        <v>41061</v>
      </c>
      <c r="E873" s="46">
        <f>IFERROR(__xludf.DUMMYFUNCTION("""COMPUTED_VALUE"""),2012.0)</f>
        <v>2012</v>
      </c>
      <c r="F873" s="46">
        <f>IFERROR(__xludf.DUMMYFUNCTION("""COMPUTED_VALUE"""),1.0)</f>
        <v>1</v>
      </c>
      <c r="G873" s="46">
        <f>IFERROR(__xludf.DUMMYFUNCTION("""COMPUTED_VALUE"""),9896.0)</f>
        <v>9896</v>
      </c>
      <c r="H873" s="46">
        <f>IFERROR(__xludf.DUMMYFUNCTION("""COMPUTED_VALUE"""),2526250.88)</f>
        <v>2526250.88</v>
      </c>
      <c r="I873" s="46">
        <f>IFERROR(__xludf.DUMMYFUNCTION("""COMPUTED_VALUE"""),1577620.3199999998)</f>
        <v>1577620.32</v>
      </c>
      <c r="J873" s="46">
        <f>IFERROR(__xludf.DUMMYFUNCTION("""COMPUTED_VALUE"""),948630.56)</f>
        <v>948630.56</v>
      </c>
      <c r="K873" s="46" t="str">
        <f t="array" ref="K873">TEXT(D873, "mmmm")</f>
        <v>June</v>
      </c>
      <c r="M873" s="46" t="str">
        <f>IFERROR(__xludf.DUMMYFUNCTION("""COMPUTED_VALUE"""),"Germany")</f>
        <v>Germany</v>
      </c>
      <c r="N873" s="94">
        <f>IFERROR(__xludf.DUMMYFUNCTION("""COMPUTED_VALUE"""),42309.0)</f>
        <v>42309</v>
      </c>
      <c r="O873" s="46">
        <f>IFERROR(__xludf.DUMMYFUNCTION("""COMPUTED_VALUE"""),1.0)</f>
        <v>1</v>
      </c>
      <c r="P873" s="46">
        <f>IFERROR(__xludf.DUMMYFUNCTION("""COMPUTED_VALUE"""),956.0)</f>
        <v>956</v>
      </c>
      <c r="Q873" s="46">
        <f>IFERROR(__xludf.DUMMYFUNCTION("""COMPUTED_VALUE"""),45362.200000000004)</f>
        <v>45362.2</v>
      </c>
      <c r="R873" s="46">
        <f>IFERROR(__xludf.DUMMYFUNCTION("""COMPUTED_VALUE"""),30391.239999999998)</f>
        <v>30391.24</v>
      </c>
      <c r="S873" s="46">
        <f>IFERROR(__xludf.DUMMYFUNCTION("""COMPUTED_VALUE"""),14970.960000000006)</f>
        <v>14970.96</v>
      </c>
    </row>
    <row r="874">
      <c r="A874" s="46" t="str">
        <f>IFERROR(__xludf.DUMMYFUNCTION("""COMPUTED_VALUE"""),"Baby Food")</f>
        <v>Baby Food</v>
      </c>
      <c r="B874" s="46" t="str">
        <f>IFERROR(__xludf.DUMMYFUNCTION("""COMPUTED_VALUE"""),"Liechtenstein")</f>
        <v>Liechtenstein</v>
      </c>
      <c r="C874" s="46" t="str">
        <f>IFERROR(__xludf.DUMMYFUNCTION("""COMPUTED_VALUE"""),"Europe")</f>
        <v>Europe</v>
      </c>
      <c r="D874" s="90">
        <f>IFERROR(__xludf.DUMMYFUNCTION("""COMPUTED_VALUE"""),41061.0)</f>
        <v>41061</v>
      </c>
      <c r="E874" s="46">
        <f>IFERROR(__xludf.DUMMYFUNCTION("""COMPUTED_VALUE"""),2012.0)</f>
        <v>2012</v>
      </c>
      <c r="F874" s="46">
        <f>IFERROR(__xludf.DUMMYFUNCTION("""COMPUTED_VALUE"""),1.0)</f>
        <v>1</v>
      </c>
      <c r="G874" s="46">
        <f>IFERROR(__xludf.DUMMYFUNCTION("""COMPUTED_VALUE"""),2948.0)</f>
        <v>2948</v>
      </c>
      <c r="H874" s="46">
        <f>IFERROR(__xludf.DUMMYFUNCTION("""COMPUTED_VALUE"""),752565.4400000001)</f>
        <v>752565.44</v>
      </c>
      <c r="I874" s="46">
        <f>IFERROR(__xludf.DUMMYFUNCTION("""COMPUTED_VALUE"""),469970.16)</f>
        <v>469970.16</v>
      </c>
      <c r="J874" s="46">
        <f>IFERROR(__xludf.DUMMYFUNCTION("""COMPUTED_VALUE"""),282595.2800000001)</f>
        <v>282595.28</v>
      </c>
      <c r="K874" s="46" t="str">
        <f t="array" ref="K874">TEXT(D874, "mmmm")</f>
        <v>June</v>
      </c>
      <c r="M874" s="46" t="str">
        <f>IFERROR(__xludf.DUMMYFUNCTION("""COMPUTED_VALUE"""),"Liechtenstein")</f>
        <v>Liechtenstein</v>
      </c>
      <c r="N874" s="94">
        <f>IFERROR(__xludf.DUMMYFUNCTION("""COMPUTED_VALUE"""),42309.0)</f>
        <v>42309</v>
      </c>
      <c r="O874" s="46">
        <f>IFERROR(__xludf.DUMMYFUNCTION("""COMPUTED_VALUE"""),1.0)</f>
        <v>1</v>
      </c>
      <c r="P874" s="46">
        <f>IFERROR(__xludf.DUMMYFUNCTION("""COMPUTED_VALUE"""),7322.0)</f>
        <v>7322</v>
      </c>
      <c r="Q874" s="46">
        <f>IFERROR(__xludf.DUMMYFUNCTION("""COMPUTED_VALUE"""),4768159.62)</f>
        <v>4768159.62</v>
      </c>
      <c r="R874" s="46">
        <f>IFERROR(__xludf.DUMMYFUNCTION("""COMPUTED_VALUE"""),3843757.12)</f>
        <v>3843757.12</v>
      </c>
      <c r="S874" s="46">
        <f>IFERROR(__xludf.DUMMYFUNCTION("""COMPUTED_VALUE"""),924402.5)</f>
        <v>924402.5</v>
      </c>
    </row>
    <row r="875">
      <c r="A875" s="46" t="str">
        <f>IFERROR(__xludf.DUMMYFUNCTION("""COMPUTED_VALUE"""),"Baby Food")</f>
        <v>Baby Food</v>
      </c>
      <c r="B875" s="46" t="str">
        <f>IFERROR(__xludf.DUMMYFUNCTION("""COMPUTED_VALUE"""),"Malta")</f>
        <v>Malta</v>
      </c>
      <c r="C875" s="46" t="str">
        <f>IFERROR(__xludf.DUMMYFUNCTION("""COMPUTED_VALUE"""),"Europe")</f>
        <v>Europe</v>
      </c>
      <c r="D875" s="90">
        <f>IFERROR(__xludf.DUMMYFUNCTION("""COMPUTED_VALUE"""),41061.0)</f>
        <v>41061</v>
      </c>
      <c r="E875" s="46">
        <f>IFERROR(__xludf.DUMMYFUNCTION("""COMPUTED_VALUE"""),2012.0)</f>
        <v>2012</v>
      </c>
      <c r="F875" s="46">
        <f>IFERROR(__xludf.DUMMYFUNCTION("""COMPUTED_VALUE"""),1.0)</f>
        <v>1</v>
      </c>
      <c r="G875" s="46">
        <f>IFERROR(__xludf.DUMMYFUNCTION("""COMPUTED_VALUE"""),6686.0)</f>
        <v>6686</v>
      </c>
      <c r="H875" s="46">
        <f>IFERROR(__xludf.DUMMYFUNCTION("""COMPUTED_VALUE"""),1706802.08)</f>
        <v>1706802.08</v>
      </c>
      <c r="I875" s="46">
        <f>IFERROR(__xludf.DUMMYFUNCTION("""COMPUTED_VALUE"""),1065882.1199999999)</f>
        <v>1065882.12</v>
      </c>
      <c r="J875" s="46">
        <f>IFERROR(__xludf.DUMMYFUNCTION("""COMPUTED_VALUE"""),640919.9600000002)</f>
        <v>640919.96</v>
      </c>
      <c r="K875" s="46" t="str">
        <f t="array" ref="K875">TEXT(D875, "mmmm")</f>
        <v>June</v>
      </c>
      <c r="M875" s="46" t="str">
        <f>IFERROR(__xludf.DUMMYFUNCTION("""COMPUTED_VALUE"""),"Macedonia")</f>
        <v>Macedonia</v>
      </c>
      <c r="N875" s="94">
        <f>IFERROR(__xludf.DUMMYFUNCTION("""COMPUTED_VALUE"""),42309.0)</f>
        <v>42309</v>
      </c>
      <c r="O875" s="46">
        <f>IFERROR(__xludf.DUMMYFUNCTION("""COMPUTED_VALUE"""),1.0)</f>
        <v>1</v>
      </c>
      <c r="P875" s="46">
        <f>IFERROR(__xludf.DUMMYFUNCTION("""COMPUTED_VALUE"""),7840.0)</f>
        <v>7840</v>
      </c>
      <c r="Q875" s="46">
        <f>IFERROR(__xludf.DUMMYFUNCTION("""COMPUTED_VALUE"""),2001395.2)</f>
        <v>2001395.2</v>
      </c>
      <c r="R875" s="46">
        <f>IFERROR(__xludf.DUMMYFUNCTION("""COMPUTED_VALUE"""),1249852.7999999998)</f>
        <v>1249852.8</v>
      </c>
      <c r="S875" s="46">
        <f>IFERROR(__xludf.DUMMYFUNCTION("""COMPUTED_VALUE"""),751542.4000000001)</f>
        <v>751542.4</v>
      </c>
    </row>
    <row r="876">
      <c r="A876" s="46" t="str">
        <f>IFERROR(__xludf.DUMMYFUNCTION("""COMPUTED_VALUE"""),"Baby Food")</f>
        <v>Baby Food</v>
      </c>
      <c r="B876" s="46" t="str">
        <f>IFERROR(__xludf.DUMMYFUNCTION("""COMPUTED_VALUE"""),"Undefined")</f>
        <v>Undefined</v>
      </c>
      <c r="C876" s="46" t="str">
        <f>IFERROR(__xludf.DUMMYFUNCTION("""COMPUTED_VALUE"""),"Undefined")</f>
        <v>Undefined</v>
      </c>
      <c r="D876" s="90">
        <f>IFERROR(__xludf.DUMMYFUNCTION("""COMPUTED_VALUE"""),41061.0)</f>
        <v>41061</v>
      </c>
      <c r="E876" s="46">
        <f>IFERROR(__xludf.DUMMYFUNCTION("""COMPUTED_VALUE"""),2012.0)</f>
        <v>2012</v>
      </c>
      <c r="F876" s="46">
        <f>IFERROR(__xludf.DUMMYFUNCTION("""COMPUTED_VALUE"""),1.0)</f>
        <v>1</v>
      </c>
      <c r="G876" s="46">
        <f>IFERROR(__xludf.DUMMYFUNCTION("""COMPUTED_VALUE"""),8641.0)</f>
        <v>8641</v>
      </c>
      <c r="H876" s="46">
        <f>IFERROR(__xludf.DUMMYFUNCTION("""COMPUTED_VALUE"""),2205874.48)</f>
        <v>2205874.48</v>
      </c>
      <c r="I876" s="46">
        <f>IFERROR(__xludf.DUMMYFUNCTION("""COMPUTED_VALUE"""),1377548.22)</f>
        <v>1377548.22</v>
      </c>
      <c r="J876" s="46">
        <f>IFERROR(__xludf.DUMMYFUNCTION("""COMPUTED_VALUE"""),828326.26)</f>
        <v>828326.26</v>
      </c>
      <c r="K876" s="46" t="str">
        <f t="array" ref="K876">TEXT(D876, "mmmm")</f>
        <v>June</v>
      </c>
      <c r="M876" s="46" t="str">
        <f>IFERROR(__xludf.DUMMYFUNCTION("""COMPUTED_VALUE"""),"Malta")</f>
        <v>Malta</v>
      </c>
      <c r="N876" s="94">
        <f>IFERROR(__xludf.DUMMYFUNCTION("""COMPUTED_VALUE"""),42309.0)</f>
        <v>42309</v>
      </c>
      <c r="O876" s="46">
        <f>IFERROR(__xludf.DUMMYFUNCTION("""COMPUTED_VALUE"""),1.0)</f>
        <v>1</v>
      </c>
      <c r="P876" s="46">
        <f>IFERROR(__xludf.DUMMYFUNCTION("""COMPUTED_VALUE"""),2098.0)</f>
        <v>2098</v>
      </c>
      <c r="Q876" s="46">
        <f>IFERROR(__xludf.DUMMYFUNCTION("""COMPUTED_VALUE"""),917245.6)</f>
        <v>917245.6</v>
      </c>
      <c r="R876" s="46">
        <f>IFERROR(__xludf.DUMMYFUNCTION("""COMPUTED_VALUE"""),552466.34)</f>
        <v>552466.34</v>
      </c>
      <c r="S876" s="46">
        <f>IFERROR(__xludf.DUMMYFUNCTION("""COMPUTED_VALUE"""),364779.26)</f>
        <v>364779.26</v>
      </c>
    </row>
    <row r="877">
      <c r="A877" s="46" t="str">
        <f>IFERROR(__xludf.DUMMYFUNCTION("""COMPUTED_VALUE"""),"Beverages")</f>
        <v>Beverages</v>
      </c>
      <c r="B877" s="46" t="str">
        <f>IFERROR(__xludf.DUMMYFUNCTION("""COMPUTED_VALUE"""),"Undefined")</f>
        <v>Undefined</v>
      </c>
      <c r="C877" s="46" t="str">
        <f>IFERROR(__xludf.DUMMYFUNCTION("""COMPUTED_VALUE"""),"Undefined")</f>
        <v>Undefined</v>
      </c>
      <c r="D877" s="90">
        <f>IFERROR(__xludf.DUMMYFUNCTION("""COMPUTED_VALUE"""),41061.0)</f>
        <v>41061</v>
      </c>
      <c r="E877" s="46">
        <f>IFERROR(__xludf.DUMMYFUNCTION("""COMPUTED_VALUE"""),2012.0)</f>
        <v>2012</v>
      </c>
      <c r="F877" s="46">
        <f>IFERROR(__xludf.DUMMYFUNCTION("""COMPUTED_VALUE"""),1.0)</f>
        <v>1</v>
      </c>
      <c r="G877" s="46">
        <f>IFERROR(__xludf.DUMMYFUNCTION("""COMPUTED_VALUE"""),2839.0)</f>
        <v>2839</v>
      </c>
      <c r="H877" s="46">
        <f>IFERROR(__xludf.DUMMYFUNCTION("""COMPUTED_VALUE"""),134710.55000000002)</f>
        <v>134710.55</v>
      </c>
      <c r="I877" s="46">
        <f>IFERROR(__xludf.DUMMYFUNCTION("""COMPUTED_VALUE"""),90251.81)</f>
        <v>90251.81</v>
      </c>
      <c r="J877" s="46">
        <f>IFERROR(__xludf.DUMMYFUNCTION("""COMPUTED_VALUE"""),44458.74000000002)</f>
        <v>44458.74</v>
      </c>
      <c r="K877" s="46" t="str">
        <f t="array" ref="K877">TEXT(D877, "mmmm")</f>
        <v>June</v>
      </c>
      <c r="M877" s="46" t="str">
        <f>IFERROR(__xludf.DUMMYFUNCTION("""COMPUTED_VALUE"""),"Norway")</f>
        <v>Norway</v>
      </c>
      <c r="N877" s="94">
        <f>IFERROR(__xludf.DUMMYFUNCTION("""COMPUTED_VALUE"""),42309.0)</f>
        <v>42309</v>
      </c>
      <c r="O877" s="46">
        <f>IFERROR(__xludf.DUMMYFUNCTION("""COMPUTED_VALUE"""),1.0)</f>
        <v>1</v>
      </c>
      <c r="P877" s="46">
        <f>IFERROR(__xludf.DUMMYFUNCTION("""COMPUTED_VALUE"""),1276.0)</f>
        <v>1276</v>
      </c>
      <c r="Q877" s="46">
        <f>IFERROR(__xludf.DUMMYFUNCTION("""COMPUTED_VALUE"""),262473.2)</f>
        <v>262473.2</v>
      </c>
      <c r="R877" s="46">
        <f>IFERROR(__xludf.DUMMYFUNCTION("""COMPUTED_VALUE"""),149432.36)</f>
        <v>149432.36</v>
      </c>
      <c r="S877" s="46">
        <f>IFERROR(__xludf.DUMMYFUNCTION("""COMPUTED_VALUE"""),113040.84000000003)</f>
        <v>113040.84</v>
      </c>
    </row>
    <row r="878">
      <c r="A878" s="46" t="str">
        <f>IFERROR(__xludf.DUMMYFUNCTION("""COMPUTED_VALUE"""),"Cereal")</f>
        <v>Cereal</v>
      </c>
      <c r="B878" s="46" t="str">
        <f>IFERROR(__xludf.DUMMYFUNCTION("""COMPUTED_VALUE"""),"Luxembourg")</f>
        <v>Luxembourg</v>
      </c>
      <c r="C878" s="46" t="str">
        <f>IFERROR(__xludf.DUMMYFUNCTION("""COMPUTED_VALUE"""),"Europe")</f>
        <v>Europe</v>
      </c>
      <c r="D878" s="90">
        <f>IFERROR(__xludf.DUMMYFUNCTION("""COMPUTED_VALUE"""),41061.0)</f>
        <v>41061</v>
      </c>
      <c r="E878" s="46">
        <f>IFERROR(__xludf.DUMMYFUNCTION("""COMPUTED_VALUE"""),2012.0)</f>
        <v>2012</v>
      </c>
      <c r="F878" s="46">
        <f>IFERROR(__xludf.DUMMYFUNCTION("""COMPUTED_VALUE"""),1.0)</f>
        <v>1</v>
      </c>
      <c r="G878" s="46">
        <f>IFERROR(__xludf.DUMMYFUNCTION("""COMPUTED_VALUE"""),1801.0)</f>
        <v>1801</v>
      </c>
      <c r="H878" s="46">
        <f>IFERROR(__xludf.DUMMYFUNCTION("""COMPUTED_VALUE"""),370465.69999999995)</f>
        <v>370465.7</v>
      </c>
      <c r="I878" s="46">
        <f>IFERROR(__xludf.DUMMYFUNCTION("""COMPUTED_VALUE"""),210915.11)</f>
        <v>210915.11</v>
      </c>
      <c r="J878" s="46">
        <f>IFERROR(__xludf.DUMMYFUNCTION("""COMPUTED_VALUE"""),159550.58999999997)</f>
        <v>159550.59</v>
      </c>
      <c r="K878" s="46" t="str">
        <f t="array" ref="K878">TEXT(D878, "mmmm")</f>
        <v>June</v>
      </c>
      <c r="M878" s="46" t="str">
        <f>IFERROR(__xludf.DUMMYFUNCTION("""COMPUTED_VALUE"""),"Poland")</f>
        <v>Poland</v>
      </c>
      <c r="N878" s="94">
        <f>IFERROR(__xludf.DUMMYFUNCTION("""COMPUTED_VALUE"""),42309.0)</f>
        <v>42309</v>
      </c>
      <c r="O878" s="46">
        <f>IFERROR(__xludf.DUMMYFUNCTION("""COMPUTED_VALUE"""),1.0)</f>
        <v>1</v>
      </c>
      <c r="P878" s="46">
        <f>IFERROR(__xludf.DUMMYFUNCTION("""COMPUTED_VALUE"""),8815.0)</f>
        <v>8815</v>
      </c>
      <c r="Q878" s="46">
        <f>IFERROR(__xludf.DUMMYFUNCTION("""COMPUTED_VALUE"""),5740416.15)</f>
        <v>5740416.15</v>
      </c>
      <c r="R878" s="46">
        <f>IFERROR(__xludf.DUMMYFUNCTION("""COMPUTED_VALUE"""),4627522.4)</f>
        <v>4627522.4</v>
      </c>
      <c r="S878" s="46">
        <f>IFERROR(__xludf.DUMMYFUNCTION("""COMPUTED_VALUE"""),1112893.75)</f>
        <v>1112893.75</v>
      </c>
    </row>
    <row r="879">
      <c r="A879" s="46" t="str">
        <f>IFERROR(__xludf.DUMMYFUNCTION("""COMPUTED_VALUE"""),"Cereal")</f>
        <v>Cereal</v>
      </c>
      <c r="B879" s="46" t="str">
        <f>IFERROR(__xludf.DUMMYFUNCTION("""COMPUTED_VALUE"""),"Russia")</f>
        <v>Russia</v>
      </c>
      <c r="C879" s="46" t="str">
        <f>IFERROR(__xludf.DUMMYFUNCTION("""COMPUTED_VALUE"""),"Europe")</f>
        <v>Europe</v>
      </c>
      <c r="D879" s="90">
        <f>IFERROR(__xludf.DUMMYFUNCTION("""COMPUTED_VALUE"""),41061.0)</f>
        <v>41061</v>
      </c>
      <c r="E879" s="46">
        <f>IFERROR(__xludf.DUMMYFUNCTION("""COMPUTED_VALUE"""),2012.0)</f>
        <v>2012</v>
      </c>
      <c r="F879" s="46">
        <f>IFERROR(__xludf.DUMMYFUNCTION("""COMPUTED_VALUE"""),1.0)</f>
        <v>1</v>
      </c>
      <c r="G879" s="46">
        <f>IFERROR(__xludf.DUMMYFUNCTION("""COMPUTED_VALUE"""),651.0)</f>
        <v>651</v>
      </c>
      <c r="H879" s="46">
        <f>IFERROR(__xludf.DUMMYFUNCTION("""COMPUTED_VALUE"""),133910.69999999998)</f>
        <v>133910.7</v>
      </c>
      <c r="I879" s="46">
        <f>IFERROR(__xludf.DUMMYFUNCTION("""COMPUTED_VALUE"""),76238.61)</f>
        <v>76238.61</v>
      </c>
      <c r="J879" s="46">
        <f>IFERROR(__xludf.DUMMYFUNCTION("""COMPUTED_VALUE"""),57672.08999999998)</f>
        <v>57672.09</v>
      </c>
      <c r="K879" s="46" t="str">
        <f t="array" ref="K879">TEXT(D879, "mmmm")</f>
        <v>June</v>
      </c>
      <c r="M879" s="46" t="str">
        <f>IFERROR(__xludf.DUMMYFUNCTION("""COMPUTED_VALUE"""),"Romania")</f>
        <v>Romania</v>
      </c>
      <c r="N879" s="94">
        <f>IFERROR(__xludf.DUMMYFUNCTION("""COMPUTED_VALUE"""),42309.0)</f>
        <v>42309</v>
      </c>
      <c r="O879" s="46">
        <f>IFERROR(__xludf.DUMMYFUNCTION("""COMPUTED_VALUE"""),1.0)</f>
        <v>1</v>
      </c>
      <c r="P879" s="46">
        <f>IFERROR(__xludf.DUMMYFUNCTION("""COMPUTED_VALUE"""),5944.0)</f>
        <v>5944</v>
      </c>
      <c r="Q879" s="46">
        <f>IFERROR(__xludf.DUMMYFUNCTION("""COMPUTED_VALUE"""),649560.32)</f>
        <v>649560.32</v>
      </c>
      <c r="R879" s="46">
        <f>IFERROR(__xludf.DUMMYFUNCTION("""COMPUTED_VALUE"""),213032.96000000002)</f>
        <v>213032.96</v>
      </c>
      <c r="S879" s="46">
        <f>IFERROR(__xludf.DUMMYFUNCTION("""COMPUTED_VALUE"""),436527.3599999999)</f>
        <v>436527.36</v>
      </c>
    </row>
    <row r="880">
      <c r="A880" s="46" t="str">
        <f>IFERROR(__xludf.DUMMYFUNCTION("""COMPUTED_VALUE"""),"Cosmetics")</f>
        <v>Cosmetics</v>
      </c>
      <c r="B880" s="46" t="str">
        <f>IFERROR(__xludf.DUMMYFUNCTION("""COMPUTED_VALUE"""),"Andorra")</f>
        <v>Andorra</v>
      </c>
      <c r="C880" s="46" t="str">
        <f>IFERROR(__xludf.DUMMYFUNCTION("""COMPUTED_VALUE"""),"Europe")</f>
        <v>Europe</v>
      </c>
      <c r="D880" s="90">
        <f>IFERROR(__xludf.DUMMYFUNCTION("""COMPUTED_VALUE"""),41061.0)</f>
        <v>41061</v>
      </c>
      <c r="E880" s="46">
        <f>IFERROR(__xludf.DUMMYFUNCTION("""COMPUTED_VALUE"""),2012.0)</f>
        <v>2012</v>
      </c>
      <c r="F880" s="46">
        <f>IFERROR(__xludf.DUMMYFUNCTION("""COMPUTED_VALUE"""),1.0)</f>
        <v>1</v>
      </c>
      <c r="G880" s="46">
        <f>IFERROR(__xludf.DUMMYFUNCTION("""COMPUTED_VALUE"""),6876.0)</f>
        <v>6876</v>
      </c>
      <c r="H880" s="46">
        <f>IFERROR(__xludf.DUMMYFUNCTION("""COMPUTED_VALUE"""),3006187.1999999997)</f>
        <v>3006187.2</v>
      </c>
      <c r="I880" s="46">
        <f>IFERROR(__xludf.DUMMYFUNCTION("""COMPUTED_VALUE"""),1810657.0799999998)</f>
        <v>1810657.08</v>
      </c>
      <c r="J880" s="46">
        <f>IFERROR(__xludf.DUMMYFUNCTION("""COMPUTED_VALUE"""),1195530.1199999999)</f>
        <v>1195530.12</v>
      </c>
      <c r="K880" s="46" t="str">
        <f t="array" ref="K880">TEXT(D880, "mmmm")</f>
        <v>June</v>
      </c>
      <c r="M880" s="46" t="str">
        <f>IFERROR(__xludf.DUMMYFUNCTION("""COMPUTED_VALUE"""),"Russia")</f>
        <v>Russia</v>
      </c>
      <c r="N880" s="94">
        <f>IFERROR(__xludf.DUMMYFUNCTION("""COMPUTED_VALUE"""),42309.0)</f>
        <v>42309</v>
      </c>
      <c r="O880" s="46">
        <f>IFERROR(__xludf.DUMMYFUNCTION("""COMPUTED_VALUE"""),1.0)</f>
        <v>1</v>
      </c>
      <c r="P880" s="46">
        <f>IFERROR(__xludf.DUMMYFUNCTION("""COMPUTED_VALUE"""),6052.0)</f>
        <v>6052</v>
      </c>
      <c r="Q880" s="46">
        <f>IFERROR(__xludf.DUMMYFUNCTION("""COMPUTED_VALUE"""),923414.16)</f>
        <v>923414.16</v>
      </c>
      <c r="R880" s="46">
        <f>IFERROR(__xludf.DUMMYFUNCTION("""COMPUTED_VALUE"""),589706.88)</f>
        <v>589706.88</v>
      </c>
      <c r="S880" s="46">
        <f>IFERROR(__xludf.DUMMYFUNCTION("""COMPUTED_VALUE"""),333707.28)</f>
        <v>333707.28</v>
      </c>
    </row>
    <row r="881">
      <c r="A881" s="46" t="str">
        <f>IFERROR(__xludf.DUMMYFUNCTION("""COMPUTED_VALUE"""),"Cosmetics")</f>
        <v>Cosmetics</v>
      </c>
      <c r="B881" s="46" t="str">
        <f>IFERROR(__xludf.DUMMYFUNCTION("""COMPUTED_VALUE"""),"Slovakia")</f>
        <v>Slovakia</v>
      </c>
      <c r="C881" s="46" t="str">
        <f>IFERROR(__xludf.DUMMYFUNCTION("""COMPUTED_VALUE"""),"Europe")</f>
        <v>Europe</v>
      </c>
      <c r="D881" s="90">
        <f>IFERROR(__xludf.DUMMYFUNCTION("""COMPUTED_VALUE"""),41061.0)</f>
        <v>41061</v>
      </c>
      <c r="E881" s="46">
        <f>IFERROR(__xludf.DUMMYFUNCTION("""COMPUTED_VALUE"""),2012.0)</f>
        <v>2012</v>
      </c>
      <c r="F881" s="46">
        <f>IFERROR(__xludf.DUMMYFUNCTION("""COMPUTED_VALUE"""),1.0)</f>
        <v>1</v>
      </c>
      <c r="G881" s="46">
        <f>IFERROR(__xludf.DUMMYFUNCTION("""COMPUTED_VALUE"""),4233.0)</f>
        <v>4233</v>
      </c>
      <c r="H881" s="46">
        <f>IFERROR(__xludf.DUMMYFUNCTION("""COMPUTED_VALUE"""),1850667.5999999999)</f>
        <v>1850667.6</v>
      </c>
      <c r="I881" s="46">
        <f>IFERROR(__xludf.DUMMYFUNCTION("""COMPUTED_VALUE"""),1114675.89)</f>
        <v>1114675.89</v>
      </c>
      <c r="J881" s="46">
        <f>IFERROR(__xludf.DUMMYFUNCTION("""COMPUTED_VALUE"""),735991.71)</f>
        <v>735991.71</v>
      </c>
      <c r="K881" s="46" t="str">
        <f t="array" ref="K881">TEXT(D881, "mmmm")</f>
        <v>June</v>
      </c>
      <c r="M881" s="46" t="str">
        <f>IFERROR(__xludf.DUMMYFUNCTION("""COMPUTED_VALUE"""),"Switzerland")</f>
        <v>Switzerland</v>
      </c>
      <c r="N881" s="94">
        <f>IFERROR(__xludf.DUMMYFUNCTION("""COMPUTED_VALUE"""),42309.0)</f>
        <v>42309</v>
      </c>
      <c r="O881" s="46">
        <f>IFERROR(__xludf.DUMMYFUNCTION("""COMPUTED_VALUE"""),1.0)</f>
        <v>1</v>
      </c>
      <c r="P881" s="46">
        <f>IFERROR(__xludf.DUMMYFUNCTION("""COMPUTED_VALUE"""),3118.0)</f>
        <v>3118</v>
      </c>
      <c r="Q881" s="46">
        <f>IFERROR(__xludf.DUMMYFUNCTION("""COMPUTED_VALUE"""),29090.94)</f>
        <v>29090.94</v>
      </c>
      <c r="R881" s="46">
        <f>IFERROR(__xludf.DUMMYFUNCTION("""COMPUTED_VALUE"""),21576.56)</f>
        <v>21576.56</v>
      </c>
      <c r="S881" s="46">
        <f>IFERROR(__xludf.DUMMYFUNCTION("""COMPUTED_VALUE"""),7514.379999999997)</f>
        <v>7514.38</v>
      </c>
    </row>
    <row r="882">
      <c r="A882" s="46" t="str">
        <f>IFERROR(__xludf.DUMMYFUNCTION("""COMPUTED_VALUE"""),"Cosmetics")</f>
        <v>Cosmetics</v>
      </c>
      <c r="B882" s="46" t="str">
        <f>IFERROR(__xludf.DUMMYFUNCTION("""COMPUTED_VALUE"""),"Sweden")</f>
        <v>Sweden</v>
      </c>
      <c r="C882" s="46" t="str">
        <f>IFERROR(__xludf.DUMMYFUNCTION("""COMPUTED_VALUE"""),"Europe")</f>
        <v>Europe</v>
      </c>
      <c r="D882" s="90">
        <f>IFERROR(__xludf.DUMMYFUNCTION("""COMPUTED_VALUE"""),41061.0)</f>
        <v>41061</v>
      </c>
      <c r="E882" s="46">
        <f>IFERROR(__xludf.DUMMYFUNCTION("""COMPUTED_VALUE"""),2012.0)</f>
        <v>2012</v>
      </c>
      <c r="F882" s="46">
        <f>IFERROR(__xludf.DUMMYFUNCTION("""COMPUTED_VALUE"""),1.0)</f>
        <v>1</v>
      </c>
      <c r="G882" s="46">
        <f>IFERROR(__xludf.DUMMYFUNCTION("""COMPUTED_VALUE"""),1723.0)</f>
        <v>1723</v>
      </c>
      <c r="H882" s="46">
        <f>IFERROR(__xludf.DUMMYFUNCTION("""COMPUTED_VALUE"""),753295.6)</f>
        <v>753295.6</v>
      </c>
      <c r="I882" s="46">
        <f>IFERROR(__xludf.DUMMYFUNCTION("""COMPUTED_VALUE"""),453717.58999999997)</f>
        <v>453717.59</v>
      </c>
      <c r="J882" s="46">
        <f>IFERROR(__xludf.DUMMYFUNCTION("""COMPUTED_VALUE"""),299578.01)</f>
        <v>299578.01</v>
      </c>
      <c r="K882" s="46" t="str">
        <f t="array" ref="K882">TEXT(D882, "mmmm")</f>
        <v>June</v>
      </c>
      <c r="M882" s="46" t="str">
        <f>IFERROR(__xludf.DUMMYFUNCTION("""COMPUTED_VALUE"""),"Undefined")</f>
        <v>Undefined</v>
      </c>
      <c r="N882" s="94">
        <f>IFERROR(__xludf.DUMMYFUNCTION("""COMPUTED_VALUE"""),42309.0)</f>
        <v>42309</v>
      </c>
      <c r="O882" s="46">
        <f>IFERROR(__xludf.DUMMYFUNCTION("""COMPUTED_VALUE"""),2.0)</f>
        <v>2</v>
      </c>
      <c r="P882" s="46">
        <f>IFERROR(__xludf.DUMMYFUNCTION("""COMPUTED_VALUE"""),9083.0)</f>
        <v>9083</v>
      </c>
      <c r="Q882" s="46">
        <f>IFERROR(__xludf.DUMMYFUNCTION("""COMPUTED_VALUE"""),4849384.67)</f>
        <v>4849384.67</v>
      </c>
      <c r="R882" s="46">
        <f>IFERROR(__xludf.DUMMYFUNCTION("""COMPUTED_VALUE"""),3301063.5999999996)</f>
        <v>3301063.6</v>
      </c>
      <c r="S882" s="46">
        <f>IFERROR(__xludf.DUMMYFUNCTION("""COMPUTED_VALUE"""),1548321.07)</f>
        <v>1548321.07</v>
      </c>
    </row>
    <row r="883">
      <c r="A883" s="46" t="str">
        <f>IFERROR(__xludf.DUMMYFUNCTION("""COMPUTED_VALUE"""),"Fruits")</f>
        <v>Fruits</v>
      </c>
      <c r="B883" s="46" t="str">
        <f>IFERROR(__xludf.DUMMYFUNCTION("""COMPUTED_VALUE"""),"Liechtenstein")</f>
        <v>Liechtenstein</v>
      </c>
      <c r="C883" s="46" t="str">
        <f>IFERROR(__xludf.DUMMYFUNCTION("""COMPUTED_VALUE"""),"Europe")</f>
        <v>Europe</v>
      </c>
      <c r="D883" s="90">
        <f>IFERROR(__xludf.DUMMYFUNCTION("""COMPUTED_VALUE"""),41061.0)</f>
        <v>41061</v>
      </c>
      <c r="E883" s="46">
        <f>IFERROR(__xludf.DUMMYFUNCTION("""COMPUTED_VALUE"""),2012.0)</f>
        <v>2012</v>
      </c>
      <c r="F883" s="46">
        <f>IFERROR(__xludf.DUMMYFUNCTION("""COMPUTED_VALUE"""),1.0)</f>
        <v>1</v>
      </c>
      <c r="G883" s="46">
        <f>IFERROR(__xludf.DUMMYFUNCTION("""COMPUTED_VALUE"""),3008.0)</f>
        <v>3008</v>
      </c>
      <c r="H883" s="46">
        <f>IFERROR(__xludf.DUMMYFUNCTION("""COMPUTED_VALUE"""),28064.64)</f>
        <v>28064.64</v>
      </c>
      <c r="I883" s="46">
        <f>IFERROR(__xludf.DUMMYFUNCTION("""COMPUTED_VALUE"""),20815.36)</f>
        <v>20815.36</v>
      </c>
      <c r="J883" s="46">
        <f>IFERROR(__xludf.DUMMYFUNCTION("""COMPUTED_VALUE"""),7249.279999999999)</f>
        <v>7249.28</v>
      </c>
      <c r="K883" s="46" t="str">
        <f t="array" ref="K883">TEXT(D883, "mmmm")</f>
        <v>June</v>
      </c>
      <c r="M883" s="46" t="str">
        <f>IFERROR(__xludf.DUMMYFUNCTION("""COMPUTED_VALUE"""),"Austria")</f>
        <v>Austria</v>
      </c>
      <c r="N883" s="94">
        <f>IFERROR(__xludf.DUMMYFUNCTION("""COMPUTED_VALUE"""),42339.0)</f>
        <v>42339</v>
      </c>
      <c r="O883" s="46">
        <f>IFERROR(__xludf.DUMMYFUNCTION("""COMPUTED_VALUE"""),2.0)</f>
        <v>2</v>
      </c>
      <c r="P883" s="46">
        <f>IFERROR(__xludf.DUMMYFUNCTION("""COMPUTED_VALUE"""),11066.0)</f>
        <v>11066</v>
      </c>
      <c r="Q883" s="46">
        <f>IFERROR(__xludf.DUMMYFUNCTION("""COMPUTED_VALUE"""),2039372.2599999998)</f>
        <v>2039372.26</v>
      </c>
      <c r="R883" s="46">
        <f>IFERROR(__xludf.DUMMYFUNCTION("""COMPUTED_VALUE"""),1096258.87)</f>
        <v>1096258.87</v>
      </c>
      <c r="S883" s="46">
        <f>IFERROR(__xludf.DUMMYFUNCTION("""COMPUTED_VALUE"""),943113.3899999999)</f>
        <v>943113.39</v>
      </c>
    </row>
    <row r="884">
      <c r="A884" s="46" t="str">
        <f>IFERROR(__xludf.DUMMYFUNCTION("""COMPUTED_VALUE"""),"Fruits")</f>
        <v>Fruits</v>
      </c>
      <c r="B884" s="46" t="str">
        <f>IFERROR(__xludf.DUMMYFUNCTION("""COMPUTED_VALUE"""),"Undefined")</f>
        <v>Undefined</v>
      </c>
      <c r="C884" s="46" t="str">
        <f>IFERROR(__xludf.DUMMYFUNCTION("""COMPUTED_VALUE"""),"Undefined")</f>
        <v>Undefined</v>
      </c>
      <c r="D884" s="90">
        <f>IFERROR(__xludf.DUMMYFUNCTION("""COMPUTED_VALUE"""),41061.0)</f>
        <v>41061</v>
      </c>
      <c r="E884" s="46">
        <f>IFERROR(__xludf.DUMMYFUNCTION("""COMPUTED_VALUE"""),2012.0)</f>
        <v>2012</v>
      </c>
      <c r="F884" s="46">
        <f>IFERROR(__xludf.DUMMYFUNCTION("""COMPUTED_VALUE"""),1.0)</f>
        <v>1</v>
      </c>
      <c r="G884" s="46">
        <f>IFERROR(__xludf.DUMMYFUNCTION("""COMPUTED_VALUE"""),6362.0)</f>
        <v>6362</v>
      </c>
      <c r="H884" s="46">
        <f>IFERROR(__xludf.DUMMYFUNCTION("""COMPUTED_VALUE"""),59357.46)</f>
        <v>59357.46</v>
      </c>
      <c r="I884" s="46">
        <f>IFERROR(__xludf.DUMMYFUNCTION("""COMPUTED_VALUE"""),44025.04)</f>
        <v>44025.04</v>
      </c>
      <c r="J884" s="46">
        <f>IFERROR(__xludf.DUMMYFUNCTION("""COMPUTED_VALUE"""),15332.419999999998)</f>
        <v>15332.42</v>
      </c>
      <c r="K884" s="46" t="str">
        <f t="array" ref="K884">TEXT(D884, "mmmm")</f>
        <v>June</v>
      </c>
      <c r="M884" s="46" t="str">
        <f>IFERROR(__xludf.DUMMYFUNCTION("""COMPUTED_VALUE"""),"Bosnia and Herzegovina")</f>
        <v>Bosnia and Herzegovina</v>
      </c>
      <c r="N884" s="94">
        <f>IFERROR(__xludf.DUMMYFUNCTION("""COMPUTED_VALUE"""),42339.0)</f>
        <v>42339</v>
      </c>
      <c r="O884" s="46">
        <f>IFERROR(__xludf.DUMMYFUNCTION("""COMPUTED_VALUE"""),1.0)</f>
        <v>1</v>
      </c>
      <c r="P884" s="46">
        <f>IFERROR(__xludf.DUMMYFUNCTION("""COMPUTED_VALUE"""),8342.0)</f>
        <v>8342</v>
      </c>
      <c r="Q884" s="46">
        <f>IFERROR(__xludf.DUMMYFUNCTION("""COMPUTED_VALUE"""),3519406.38)</f>
        <v>3519406.38</v>
      </c>
      <c r="R884" s="46">
        <f>IFERROR(__xludf.DUMMYFUNCTION("""COMPUTED_VALUE"""),3042243.98)</f>
        <v>3042243.98</v>
      </c>
      <c r="S884" s="46">
        <f>IFERROR(__xludf.DUMMYFUNCTION("""COMPUTED_VALUE"""),477162.3999999999)</f>
        <v>477162.4</v>
      </c>
    </row>
    <row r="885">
      <c r="A885" s="46" t="str">
        <f>IFERROR(__xludf.DUMMYFUNCTION("""COMPUTED_VALUE"""),"Household")</f>
        <v>Household</v>
      </c>
      <c r="B885" s="46" t="str">
        <f>IFERROR(__xludf.DUMMYFUNCTION("""COMPUTED_VALUE"""),"Cyprus")</f>
        <v>Cyprus</v>
      </c>
      <c r="C885" s="46" t="str">
        <f>IFERROR(__xludf.DUMMYFUNCTION("""COMPUTED_VALUE"""),"Asia")</f>
        <v>Asia</v>
      </c>
      <c r="D885" s="90">
        <f>IFERROR(__xludf.DUMMYFUNCTION("""COMPUTED_VALUE"""),41061.0)</f>
        <v>41061</v>
      </c>
      <c r="E885" s="46">
        <f>IFERROR(__xludf.DUMMYFUNCTION("""COMPUTED_VALUE"""),2012.0)</f>
        <v>2012</v>
      </c>
      <c r="F885" s="46">
        <f>IFERROR(__xludf.DUMMYFUNCTION("""COMPUTED_VALUE"""),1.0)</f>
        <v>1</v>
      </c>
      <c r="G885" s="46">
        <f>IFERROR(__xludf.DUMMYFUNCTION("""COMPUTED_VALUE"""),8778.0)</f>
        <v>8778</v>
      </c>
      <c r="H885" s="46">
        <f>IFERROR(__xludf.DUMMYFUNCTION("""COMPUTED_VALUE"""),5866074.06)</f>
        <v>5866074.06</v>
      </c>
      <c r="I885" s="46">
        <f>IFERROR(__xludf.DUMMYFUNCTION("""COMPUTED_VALUE"""),4411296.12)</f>
        <v>4411296.12</v>
      </c>
      <c r="J885" s="46">
        <f>IFERROR(__xludf.DUMMYFUNCTION("""COMPUTED_VALUE"""),1454777.9399999995)</f>
        <v>1454777.94</v>
      </c>
      <c r="K885" s="46" t="str">
        <f t="array" ref="K885">TEXT(D885, "mmmm")</f>
        <v>June</v>
      </c>
      <c r="M885" s="46" t="str">
        <f>IFERROR(__xludf.DUMMYFUNCTION("""COMPUTED_VALUE"""),"Finland")</f>
        <v>Finland</v>
      </c>
      <c r="N885" s="94">
        <f>IFERROR(__xludf.DUMMYFUNCTION("""COMPUTED_VALUE"""),42339.0)</f>
        <v>42339</v>
      </c>
      <c r="O885" s="46">
        <f>IFERROR(__xludf.DUMMYFUNCTION("""COMPUTED_VALUE"""),1.0)</f>
        <v>1</v>
      </c>
      <c r="P885" s="46">
        <f>IFERROR(__xludf.DUMMYFUNCTION("""COMPUTED_VALUE"""),5722.0)</f>
        <v>5722</v>
      </c>
      <c r="Q885" s="46">
        <f>IFERROR(__xludf.DUMMYFUNCTION("""COMPUTED_VALUE"""),873062.7600000001)</f>
        <v>873062.76</v>
      </c>
      <c r="R885" s="46">
        <f>IFERROR(__xludf.DUMMYFUNCTION("""COMPUTED_VALUE"""),557551.6799999999)</f>
        <v>557551.68</v>
      </c>
      <c r="S885" s="46">
        <f>IFERROR(__xludf.DUMMYFUNCTION("""COMPUTED_VALUE"""),315511.0800000002)</f>
        <v>315511.08</v>
      </c>
    </row>
    <row r="886">
      <c r="A886" s="46" t="str">
        <f>IFERROR(__xludf.DUMMYFUNCTION("""COMPUTED_VALUE"""),"Meat")</f>
        <v>Meat</v>
      </c>
      <c r="B886" s="46" t="str">
        <f>IFERROR(__xludf.DUMMYFUNCTION("""COMPUTED_VALUE"""),"Armenia")</f>
        <v>Armenia</v>
      </c>
      <c r="C886" s="46" t="str">
        <f>IFERROR(__xludf.DUMMYFUNCTION("""COMPUTED_VALUE"""),"Asia")</f>
        <v>Asia</v>
      </c>
      <c r="D886" s="90">
        <f>IFERROR(__xludf.DUMMYFUNCTION("""COMPUTED_VALUE"""),41061.0)</f>
        <v>41061</v>
      </c>
      <c r="E886" s="46">
        <f>IFERROR(__xludf.DUMMYFUNCTION("""COMPUTED_VALUE"""),2012.0)</f>
        <v>2012</v>
      </c>
      <c r="F886" s="46">
        <f>IFERROR(__xludf.DUMMYFUNCTION("""COMPUTED_VALUE"""),1.0)</f>
        <v>1</v>
      </c>
      <c r="G886" s="46">
        <f>IFERROR(__xludf.DUMMYFUNCTION("""COMPUTED_VALUE"""),5259.0)</f>
        <v>5259</v>
      </c>
      <c r="H886" s="46">
        <f>IFERROR(__xludf.DUMMYFUNCTION("""COMPUTED_VALUE"""),2218719.51)</f>
        <v>2218719.51</v>
      </c>
      <c r="I886" s="46">
        <f>IFERROR(__xludf.DUMMYFUNCTION("""COMPUTED_VALUE"""),1917904.71)</f>
        <v>1917904.71</v>
      </c>
      <c r="J886" s="46">
        <f>IFERROR(__xludf.DUMMYFUNCTION("""COMPUTED_VALUE"""),300814.7999999998)</f>
        <v>300814.8</v>
      </c>
      <c r="K886" s="46" t="str">
        <f t="array" ref="K886">TEXT(D886, "mmmm")</f>
        <v>June</v>
      </c>
      <c r="M886" s="46" t="str">
        <f>IFERROR(__xludf.DUMMYFUNCTION("""COMPUTED_VALUE"""),"Ireland")</f>
        <v>Ireland</v>
      </c>
      <c r="N886" s="94">
        <f>IFERROR(__xludf.DUMMYFUNCTION("""COMPUTED_VALUE"""),42339.0)</f>
        <v>42339</v>
      </c>
      <c r="O886" s="46">
        <f>IFERROR(__xludf.DUMMYFUNCTION("""COMPUTED_VALUE"""),1.0)</f>
        <v>1</v>
      </c>
      <c r="P886" s="46">
        <f>IFERROR(__xludf.DUMMYFUNCTION("""COMPUTED_VALUE"""),2789.0)</f>
        <v>2789</v>
      </c>
      <c r="Q886" s="46">
        <f>IFERROR(__xludf.DUMMYFUNCTION("""COMPUTED_VALUE"""),429673.34)</f>
        <v>429673.34</v>
      </c>
      <c r="R886" s="46">
        <f>IFERROR(__xludf.DUMMYFUNCTION("""COMPUTED_VALUE"""),253603.77000000002)</f>
        <v>253603.77</v>
      </c>
      <c r="S886" s="46">
        <f>IFERROR(__xludf.DUMMYFUNCTION("""COMPUTED_VALUE"""),176069.57)</f>
        <v>176069.57</v>
      </c>
    </row>
    <row r="887">
      <c r="A887" s="46" t="str">
        <f>IFERROR(__xludf.DUMMYFUNCTION("""COMPUTED_VALUE"""),"Meat")</f>
        <v>Meat</v>
      </c>
      <c r="B887" s="46" t="str">
        <f>IFERROR(__xludf.DUMMYFUNCTION("""COMPUTED_VALUE"""),"Undefined")</f>
        <v>Undefined</v>
      </c>
      <c r="C887" s="46" t="str">
        <f>IFERROR(__xludf.DUMMYFUNCTION("""COMPUTED_VALUE"""),"Undefined")</f>
        <v>Undefined</v>
      </c>
      <c r="D887" s="90">
        <f>IFERROR(__xludf.DUMMYFUNCTION("""COMPUTED_VALUE"""),41061.0)</f>
        <v>41061</v>
      </c>
      <c r="E887" s="46">
        <f>IFERROR(__xludf.DUMMYFUNCTION("""COMPUTED_VALUE"""),2012.0)</f>
        <v>2012</v>
      </c>
      <c r="F887" s="46">
        <f>IFERROR(__xludf.DUMMYFUNCTION("""COMPUTED_VALUE"""),1.0)</f>
        <v>1</v>
      </c>
      <c r="G887" s="46">
        <f>IFERROR(__xludf.DUMMYFUNCTION("""COMPUTED_VALUE"""),9381.0)</f>
        <v>9381</v>
      </c>
      <c r="H887" s="46">
        <f>IFERROR(__xludf.DUMMYFUNCTION("""COMPUTED_VALUE"""),3957750.09)</f>
        <v>3957750.09</v>
      </c>
      <c r="I887" s="46">
        <f>IFERROR(__xludf.DUMMYFUNCTION("""COMPUTED_VALUE"""),3421156.89)</f>
        <v>3421156.89</v>
      </c>
      <c r="J887" s="46">
        <f>IFERROR(__xludf.DUMMYFUNCTION("""COMPUTED_VALUE"""),536593.1999999997)</f>
        <v>536593.2</v>
      </c>
      <c r="K887" s="46" t="str">
        <f t="array" ref="K887">TEXT(D887, "mmmm")</f>
        <v>June</v>
      </c>
      <c r="M887" s="46" t="str">
        <f>IFERROR(__xludf.DUMMYFUNCTION("""COMPUTED_VALUE"""),"Luxembourg")</f>
        <v>Luxembourg</v>
      </c>
      <c r="N887" s="94">
        <f>IFERROR(__xludf.DUMMYFUNCTION("""COMPUTED_VALUE"""),42339.0)</f>
        <v>42339</v>
      </c>
      <c r="O887" s="46">
        <f>IFERROR(__xludf.DUMMYFUNCTION("""COMPUTED_VALUE"""),1.0)</f>
        <v>1</v>
      </c>
      <c r="P887" s="46">
        <f>IFERROR(__xludf.DUMMYFUNCTION("""COMPUTED_VALUE"""),495.0)</f>
        <v>495</v>
      </c>
      <c r="Q887" s="46">
        <f>IFERROR(__xludf.DUMMYFUNCTION("""COMPUTED_VALUE"""),208835.55)</f>
        <v>208835.55</v>
      </c>
      <c r="R887" s="46">
        <f>IFERROR(__xludf.DUMMYFUNCTION("""COMPUTED_VALUE"""),180521.55)</f>
        <v>180521.55</v>
      </c>
      <c r="S887" s="46">
        <f>IFERROR(__xludf.DUMMYFUNCTION("""COMPUTED_VALUE"""),28314.0)</f>
        <v>28314</v>
      </c>
    </row>
    <row r="888">
      <c r="A888" s="46" t="str">
        <f>IFERROR(__xludf.DUMMYFUNCTION("""COMPUTED_VALUE"""),"Personal Care")</f>
        <v>Personal Care</v>
      </c>
      <c r="B888" s="46" t="str">
        <f>IFERROR(__xludf.DUMMYFUNCTION("""COMPUTED_VALUE"""),"Norway")</f>
        <v>Norway</v>
      </c>
      <c r="C888" s="46" t="str">
        <f>IFERROR(__xludf.DUMMYFUNCTION("""COMPUTED_VALUE"""),"Europe")</f>
        <v>Europe</v>
      </c>
      <c r="D888" s="90">
        <f>IFERROR(__xludf.DUMMYFUNCTION("""COMPUTED_VALUE"""),41061.0)</f>
        <v>41061</v>
      </c>
      <c r="E888" s="46">
        <f>IFERROR(__xludf.DUMMYFUNCTION("""COMPUTED_VALUE"""),2012.0)</f>
        <v>2012</v>
      </c>
      <c r="F888" s="46">
        <f>IFERROR(__xludf.DUMMYFUNCTION("""COMPUTED_VALUE"""),1.0)</f>
        <v>1</v>
      </c>
      <c r="G888" s="46">
        <f>IFERROR(__xludf.DUMMYFUNCTION("""COMPUTED_VALUE"""),7480.0)</f>
        <v>7480</v>
      </c>
      <c r="H888" s="46">
        <f>IFERROR(__xludf.DUMMYFUNCTION("""COMPUTED_VALUE"""),611340.4)</f>
        <v>611340.4</v>
      </c>
      <c r="I888" s="46">
        <f>IFERROR(__xludf.DUMMYFUNCTION("""COMPUTED_VALUE"""),423891.60000000003)</f>
        <v>423891.6</v>
      </c>
      <c r="J888" s="46">
        <f>IFERROR(__xludf.DUMMYFUNCTION("""COMPUTED_VALUE"""),187448.8)</f>
        <v>187448.8</v>
      </c>
      <c r="K888" s="46" t="str">
        <f t="array" ref="K888">TEXT(D888, "mmmm")</f>
        <v>June</v>
      </c>
      <c r="M888" s="46" t="str">
        <f>IFERROR(__xludf.DUMMYFUNCTION("""COMPUTED_VALUE"""),"Macedonia")</f>
        <v>Macedonia</v>
      </c>
      <c r="N888" s="94">
        <f>IFERROR(__xludf.DUMMYFUNCTION("""COMPUTED_VALUE"""),42339.0)</f>
        <v>42339</v>
      </c>
      <c r="O888" s="46">
        <f>IFERROR(__xludf.DUMMYFUNCTION("""COMPUTED_VALUE"""),2.0)</f>
        <v>2</v>
      </c>
      <c r="P888" s="46">
        <f>IFERROR(__xludf.DUMMYFUNCTION("""COMPUTED_VALUE"""),10458.0)</f>
        <v>10458</v>
      </c>
      <c r="Q888" s="46">
        <f>IFERROR(__xludf.DUMMYFUNCTION("""COMPUTED_VALUE"""),6089464.74)</f>
        <v>6089464.74</v>
      </c>
      <c r="R888" s="46">
        <f>IFERROR(__xludf.DUMMYFUNCTION("""COMPUTED_VALUE"""),4901186.7)</f>
        <v>4901186.7</v>
      </c>
      <c r="S888" s="46">
        <f>IFERROR(__xludf.DUMMYFUNCTION("""COMPUTED_VALUE"""),1188278.04)</f>
        <v>1188278.04</v>
      </c>
    </row>
    <row r="889">
      <c r="A889" s="46" t="str">
        <f>IFERROR(__xludf.DUMMYFUNCTION("""COMPUTED_VALUE"""),"Personal Care")</f>
        <v>Personal Care</v>
      </c>
      <c r="B889" s="46" t="str">
        <f>IFERROR(__xludf.DUMMYFUNCTION("""COMPUTED_VALUE"""),"United Kingdom")</f>
        <v>United Kingdom</v>
      </c>
      <c r="C889" s="46" t="str">
        <f>IFERROR(__xludf.DUMMYFUNCTION("""COMPUTED_VALUE"""),"Europe")</f>
        <v>Europe</v>
      </c>
      <c r="D889" s="90">
        <f>IFERROR(__xludf.DUMMYFUNCTION("""COMPUTED_VALUE"""),41061.0)</f>
        <v>41061</v>
      </c>
      <c r="E889" s="46">
        <f>IFERROR(__xludf.DUMMYFUNCTION("""COMPUTED_VALUE"""),2012.0)</f>
        <v>2012</v>
      </c>
      <c r="F889" s="46">
        <f>IFERROR(__xludf.DUMMYFUNCTION("""COMPUTED_VALUE"""),1.0)</f>
        <v>1</v>
      </c>
      <c r="G889" s="46">
        <f>IFERROR(__xludf.DUMMYFUNCTION("""COMPUTED_VALUE"""),2554.0)</f>
        <v>2554</v>
      </c>
      <c r="H889" s="46">
        <f>IFERROR(__xludf.DUMMYFUNCTION("""COMPUTED_VALUE"""),208738.42)</f>
        <v>208738.42</v>
      </c>
      <c r="I889" s="46">
        <f>IFERROR(__xludf.DUMMYFUNCTION("""COMPUTED_VALUE"""),144735.18)</f>
        <v>144735.18</v>
      </c>
      <c r="J889" s="46">
        <f>IFERROR(__xludf.DUMMYFUNCTION("""COMPUTED_VALUE"""),64003.24000000002)</f>
        <v>64003.24</v>
      </c>
      <c r="K889" s="46" t="str">
        <f t="array" ref="K889">TEXT(D889, "mmmm")</f>
        <v>June</v>
      </c>
      <c r="M889" s="46" t="str">
        <f>IFERROR(__xludf.DUMMYFUNCTION("""COMPUTED_VALUE"""),"San Marino")</f>
        <v>San Marino</v>
      </c>
      <c r="N889" s="94">
        <f>IFERROR(__xludf.DUMMYFUNCTION("""COMPUTED_VALUE"""),42339.0)</f>
        <v>42339</v>
      </c>
      <c r="O889" s="46">
        <f>IFERROR(__xludf.DUMMYFUNCTION("""COMPUTED_VALUE"""),1.0)</f>
        <v>1</v>
      </c>
      <c r="P889" s="46">
        <f>IFERROR(__xludf.DUMMYFUNCTION("""COMPUTED_VALUE"""),9985.0)</f>
        <v>9985</v>
      </c>
      <c r="Q889" s="46">
        <f>IFERROR(__xludf.DUMMYFUNCTION("""COMPUTED_VALUE"""),6672675.95)</f>
        <v>6672675.95</v>
      </c>
      <c r="R889" s="46">
        <f>IFERROR(__xludf.DUMMYFUNCTION("""COMPUTED_VALUE"""),5017861.9)</f>
        <v>5017861.9</v>
      </c>
      <c r="S889" s="46">
        <f>IFERROR(__xludf.DUMMYFUNCTION("""COMPUTED_VALUE"""),1654814.0499999998)</f>
        <v>1654814.05</v>
      </c>
    </row>
    <row r="890">
      <c r="A890" s="46" t="str">
        <f>IFERROR(__xludf.DUMMYFUNCTION("""COMPUTED_VALUE"""),"Vegetables")</f>
        <v>Vegetables</v>
      </c>
      <c r="B890" s="46" t="str">
        <f>IFERROR(__xludf.DUMMYFUNCTION("""COMPUTED_VALUE"""),"Czech Republic")</f>
        <v>Czech Republic</v>
      </c>
      <c r="C890" s="46" t="str">
        <f>IFERROR(__xludf.DUMMYFUNCTION("""COMPUTED_VALUE"""),"Europe")</f>
        <v>Europe</v>
      </c>
      <c r="D890" s="90">
        <f>IFERROR(__xludf.DUMMYFUNCTION("""COMPUTED_VALUE"""),41061.0)</f>
        <v>41061</v>
      </c>
      <c r="E890" s="46">
        <f>IFERROR(__xludf.DUMMYFUNCTION("""COMPUTED_VALUE"""),2012.0)</f>
        <v>2012</v>
      </c>
      <c r="F890" s="46">
        <f>IFERROR(__xludf.DUMMYFUNCTION("""COMPUTED_VALUE"""),1.0)</f>
        <v>1</v>
      </c>
      <c r="G890" s="46">
        <f>IFERROR(__xludf.DUMMYFUNCTION("""COMPUTED_VALUE"""),3314.0)</f>
        <v>3314</v>
      </c>
      <c r="H890" s="46">
        <f>IFERROR(__xludf.DUMMYFUNCTION("""COMPUTED_VALUE"""),510554.84)</f>
        <v>510554.84</v>
      </c>
      <c r="I890" s="46">
        <f>IFERROR(__xludf.DUMMYFUNCTION("""COMPUTED_VALUE"""),301342.02)</f>
        <v>301342.02</v>
      </c>
      <c r="J890" s="46">
        <f>IFERROR(__xludf.DUMMYFUNCTION("""COMPUTED_VALUE"""),209212.82)</f>
        <v>209212.82</v>
      </c>
      <c r="K890" s="46" t="str">
        <f t="array" ref="K890">TEXT(D890, "mmmm")</f>
        <v>June</v>
      </c>
      <c r="M890" s="46" t="str">
        <f>IFERROR(__xludf.DUMMYFUNCTION("""COMPUTED_VALUE"""),"Slovakia")</f>
        <v>Slovakia</v>
      </c>
      <c r="N890" s="94">
        <f>IFERROR(__xludf.DUMMYFUNCTION("""COMPUTED_VALUE"""),42339.0)</f>
        <v>42339</v>
      </c>
      <c r="O890" s="46">
        <f>IFERROR(__xludf.DUMMYFUNCTION("""COMPUTED_VALUE"""),1.0)</f>
        <v>1</v>
      </c>
      <c r="P890" s="46">
        <f>IFERROR(__xludf.DUMMYFUNCTION("""COMPUTED_VALUE"""),479.0)</f>
        <v>479</v>
      </c>
      <c r="Q890" s="46">
        <f>IFERROR(__xludf.DUMMYFUNCTION("""COMPUTED_VALUE"""),73794.74)</f>
        <v>73794.74</v>
      </c>
      <c r="R890" s="46">
        <f>IFERROR(__xludf.DUMMYFUNCTION("""COMPUTED_VALUE"""),43555.47)</f>
        <v>43555.47</v>
      </c>
      <c r="S890" s="46">
        <f>IFERROR(__xludf.DUMMYFUNCTION("""COMPUTED_VALUE"""),30239.270000000004)</f>
        <v>30239.27</v>
      </c>
    </row>
    <row r="891">
      <c r="A891" s="46" t="str">
        <f>IFERROR(__xludf.DUMMYFUNCTION("""COMPUTED_VALUE"""),"Vegetables")</f>
        <v>Vegetables</v>
      </c>
      <c r="B891" s="46" t="str">
        <f>IFERROR(__xludf.DUMMYFUNCTION("""COMPUTED_VALUE"""),"Hungary")</f>
        <v>Hungary</v>
      </c>
      <c r="C891" s="46" t="str">
        <f>IFERROR(__xludf.DUMMYFUNCTION("""COMPUTED_VALUE"""),"Europe")</f>
        <v>Europe</v>
      </c>
      <c r="D891" s="90">
        <f>IFERROR(__xludf.DUMMYFUNCTION("""COMPUTED_VALUE"""),41061.0)</f>
        <v>41061</v>
      </c>
      <c r="E891" s="46">
        <f>IFERROR(__xludf.DUMMYFUNCTION("""COMPUTED_VALUE"""),2012.0)</f>
        <v>2012</v>
      </c>
      <c r="F891" s="46">
        <f>IFERROR(__xludf.DUMMYFUNCTION("""COMPUTED_VALUE"""),1.0)</f>
        <v>1</v>
      </c>
      <c r="G891" s="46">
        <f>IFERROR(__xludf.DUMMYFUNCTION("""COMPUTED_VALUE"""),7171.0)</f>
        <v>7171</v>
      </c>
      <c r="H891" s="46">
        <f>IFERROR(__xludf.DUMMYFUNCTION("""COMPUTED_VALUE"""),1104764.26)</f>
        <v>1104764.26</v>
      </c>
      <c r="I891" s="46">
        <f>IFERROR(__xludf.DUMMYFUNCTION("""COMPUTED_VALUE"""),652059.03)</f>
        <v>652059.03</v>
      </c>
      <c r="J891" s="46">
        <f>IFERROR(__xludf.DUMMYFUNCTION("""COMPUTED_VALUE"""),452705.23)</f>
        <v>452705.23</v>
      </c>
      <c r="K891" s="46" t="str">
        <f t="array" ref="K891">TEXT(D891, "mmmm")</f>
        <v>June</v>
      </c>
      <c r="M891" s="46" t="str">
        <f>IFERROR(__xludf.DUMMYFUNCTION("""COMPUTED_VALUE"""),"Ukraine")</f>
        <v>Ukraine</v>
      </c>
      <c r="N891" s="94">
        <f>IFERROR(__xludf.DUMMYFUNCTION("""COMPUTED_VALUE"""),42339.0)</f>
        <v>42339</v>
      </c>
      <c r="O891" s="46">
        <f>IFERROR(__xludf.DUMMYFUNCTION("""COMPUTED_VALUE"""),2.0)</f>
        <v>2</v>
      </c>
      <c r="P891" s="46">
        <f>IFERROR(__xludf.DUMMYFUNCTION("""COMPUTED_VALUE"""),8335.0)</f>
        <v>8335</v>
      </c>
      <c r="Q891" s="46">
        <f>IFERROR(__xludf.DUMMYFUNCTION("""COMPUTED_VALUE"""),5000591.26)</f>
        <v>5000591.26</v>
      </c>
      <c r="R891" s="46">
        <f>IFERROR(__xludf.DUMMYFUNCTION("""COMPUTED_VALUE"""),3984413.4500000007)</f>
        <v>3984413.45</v>
      </c>
      <c r="S891" s="46">
        <f>IFERROR(__xludf.DUMMYFUNCTION("""COMPUTED_VALUE"""),1016177.8099999995)</f>
        <v>1016177.81</v>
      </c>
    </row>
    <row r="892">
      <c r="A892" s="46" t="str">
        <f>IFERROR(__xludf.DUMMYFUNCTION("""COMPUTED_VALUE"""),"Baby Food")</f>
        <v>Baby Food</v>
      </c>
      <c r="B892" s="46" t="str">
        <f>IFERROR(__xludf.DUMMYFUNCTION("""COMPUTED_VALUE"""),"Albania")</f>
        <v>Albania</v>
      </c>
      <c r="C892" s="46" t="str">
        <f>IFERROR(__xludf.DUMMYFUNCTION("""COMPUTED_VALUE"""),"Europe")</f>
        <v>Europe</v>
      </c>
      <c r="D892" s="90">
        <f>IFERROR(__xludf.DUMMYFUNCTION("""COMPUTED_VALUE"""),41030.0)</f>
        <v>41030</v>
      </c>
      <c r="E892" s="46">
        <f>IFERROR(__xludf.DUMMYFUNCTION("""COMPUTED_VALUE"""),2012.0)</f>
        <v>2012</v>
      </c>
      <c r="F892" s="46">
        <f>IFERROR(__xludf.DUMMYFUNCTION("""COMPUTED_VALUE"""),1.0)</f>
        <v>1</v>
      </c>
      <c r="G892" s="46">
        <f>IFERROR(__xludf.DUMMYFUNCTION("""COMPUTED_VALUE"""),5669.0)</f>
        <v>5669</v>
      </c>
      <c r="H892" s="46">
        <f>IFERROR(__xludf.DUMMYFUNCTION("""COMPUTED_VALUE"""),1447182.32)</f>
        <v>1447182.32</v>
      </c>
      <c r="I892" s="46">
        <f>IFERROR(__xludf.DUMMYFUNCTION("""COMPUTED_VALUE"""),903751.98)</f>
        <v>903751.98</v>
      </c>
      <c r="J892" s="46">
        <f>IFERROR(__xludf.DUMMYFUNCTION("""COMPUTED_VALUE"""),543430.3400000001)</f>
        <v>543430.34</v>
      </c>
      <c r="K892" s="46" t="str">
        <f t="array" ref="K892">TEXT(D892, "mmmm")</f>
        <v>May</v>
      </c>
      <c r="M892" s="46" t="str">
        <f>IFERROR(__xludf.DUMMYFUNCTION("""COMPUTED_VALUE"""),"Undefined")</f>
        <v>Undefined</v>
      </c>
      <c r="N892" s="94">
        <f>IFERROR(__xludf.DUMMYFUNCTION("""COMPUTED_VALUE"""),42339.0)</f>
        <v>42339</v>
      </c>
      <c r="O892" s="46">
        <f>IFERROR(__xludf.DUMMYFUNCTION("""COMPUTED_VALUE"""),1.0)</f>
        <v>1</v>
      </c>
      <c r="P892" s="46">
        <f>IFERROR(__xludf.DUMMYFUNCTION("""COMPUTED_VALUE"""),3348.0)</f>
        <v>3348</v>
      </c>
      <c r="Q892" s="46">
        <f>IFERROR(__xludf.DUMMYFUNCTION("""COMPUTED_VALUE"""),158862.6)</f>
        <v>158862.6</v>
      </c>
      <c r="R892" s="46">
        <f>IFERROR(__xludf.DUMMYFUNCTION("""COMPUTED_VALUE"""),106432.92)</f>
        <v>106432.92</v>
      </c>
      <c r="S892" s="46">
        <f>IFERROR(__xludf.DUMMYFUNCTION("""COMPUTED_VALUE"""),52429.68000000001)</f>
        <v>52429.68</v>
      </c>
    </row>
    <row r="893">
      <c r="A893" s="46" t="str">
        <f>IFERROR(__xludf.DUMMYFUNCTION("""COMPUTED_VALUE"""),"Baby Food")</f>
        <v>Baby Food</v>
      </c>
      <c r="B893" s="46" t="str">
        <f>IFERROR(__xludf.DUMMYFUNCTION("""COMPUTED_VALUE"""),"Luxembourg")</f>
        <v>Luxembourg</v>
      </c>
      <c r="C893" s="46" t="str">
        <f>IFERROR(__xludf.DUMMYFUNCTION("""COMPUTED_VALUE"""),"Europe")</f>
        <v>Europe</v>
      </c>
      <c r="D893" s="90">
        <f>IFERROR(__xludf.DUMMYFUNCTION("""COMPUTED_VALUE"""),41030.0)</f>
        <v>41030</v>
      </c>
      <c r="E893" s="46">
        <f>IFERROR(__xludf.DUMMYFUNCTION("""COMPUTED_VALUE"""),2012.0)</f>
        <v>2012</v>
      </c>
      <c r="F893" s="46">
        <f>IFERROR(__xludf.DUMMYFUNCTION("""COMPUTED_VALUE"""),1.0)</f>
        <v>1</v>
      </c>
      <c r="G893" s="46">
        <f>IFERROR(__xludf.DUMMYFUNCTION("""COMPUTED_VALUE"""),4876.0)</f>
        <v>4876</v>
      </c>
      <c r="H893" s="46">
        <f>IFERROR(__xludf.DUMMYFUNCTION("""COMPUTED_VALUE"""),1244745.28)</f>
        <v>1244745.28</v>
      </c>
      <c r="I893" s="46">
        <f>IFERROR(__xludf.DUMMYFUNCTION("""COMPUTED_VALUE"""),777331.9199999999)</f>
        <v>777331.92</v>
      </c>
      <c r="J893" s="46">
        <f>IFERROR(__xludf.DUMMYFUNCTION("""COMPUTED_VALUE"""),467413.3600000001)</f>
        <v>467413.36</v>
      </c>
      <c r="K893" s="46" t="str">
        <f t="array" ref="K893">TEXT(D893, "mmmm")</f>
        <v>May</v>
      </c>
      <c r="M893" s="46" t="str">
        <f>IFERROR(__xludf.DUMMYFUNCTION("""COMPUTED_VALUE"""),"Albania")</f>
        <v>Albania</v>
      </c>
      <c r="N893" s="94">
        <f>IFERROR(__xludf.DUMMYFUNCTION("""COMPUTED_VALUE"""),42370.0)</f>
        <v>42370</v>
      </c>
      <c r="O893" s="46">
        <f>IFERROR(__xludf.DUMMYFUNCTION("""COMPUTED_VALUE"""),1.0)</f>
        <v>1</v>
      </c>
      <c r="P893" s="46">
        <f>IFERROR(__xludf.DUMMYFUNCTION("""COMPUTED_VALUE"""),8586.0)</f>
        <v>8586</v>
      </c>
      <c r="Q893" s="46">
        <f>IFERROR(__xludf.DUMMYFUNCTION("""COMPUTED_VALUE"""),938278.08)</f>
        <v>938278.08</v>
      </c>
      <c r="R893" s="46">
        <f>IFERROR(__xludf.DUMMYFUNCTION("""COMPUTED_VALUE"""),307722.24000000005)</f>
        <v>307722.24</v>
      </c>
      <c r="S893" s="46">
        <f>IFERROR(__xludf.DUMMYFUNCTION("""COMPUTED_VALUE"""),630555.8399999999)</f>
        <v>630555.84</v>
      </c>
    </row>
    <row r="894">
      <c r="A894" s="46" t="str">
        <f>IFERROR(__xludf.DUMMYFUNCTION("""COMPUTED_VALUE"""),"Baby Food")</f>
        <v>Baby Food</v>
      </c>
      <c r="B894" s="46" t="str">
        <f>IFERROR(__xludf.DUMMYFUNCTION("""COMPUTED_VALUE"""),"Slovakia")</f>
        <v>Slovakia</v>
      </c>
      <c r="C894" s="46" t="str">
        <f>IFERROR(__xludf.DUMMYFUNCTION("""COMPUTED_VALUE"""),"Europe")</f>
        <v>Europe</v>
      </c>
      <c r="D894" s="90">
        <f>IFERROR(__xludf.DUMMYFUNCTION("""COMPUTED_VALUE"""),41030.0)</f>
        <v>41030</v>
      </c>
      <c r="E894" s="46">
        <f>IFERROR(__xludf.DUMMYFUNCTION("""COMPUTED_VALUE"""),2012.0)</f>
        <v>2012</v>
      </c>
      <c r="F894" s="46">
        <f>IFERROR(__xludf.DUMMYFUNCTION("""COMPUTED_VALUE"""),1.0)</f>
        <v>1</v>
      </c>
      <c r="G894" s="46">
        <f>IFERROR(__xludf.DUMMYFUNCTION("""COMPUTED_VALUE"""),4835.0)</f>
        <v>4835</v>
      </c>
      <c r="H894" s="46">
        <f>IFERROR(__xludf.DUMMYFUNCTION("""COMPUTED_VALUE"""),1234278.8)</f>
        <v>1234278.8</v>
      </c>
      <c r="I894" s="46">
        <f>IFERROR(__xludf.DUMMYFUNCTION("""COMPUTED_VALUE"""),770795.7)</f>
        <v>770795.7</v>
      </c>
      <c r="J894" s="46">
        <f>IFERROR(__xludf.DUMMYFUNCTION("""COMPUTED_VALUE"""),463483.1000000001)</f>
        <v>463483.1</v>
      </c>
      <c r="K894" s="46" t="str">
        <f t="array" ref="K894">TEXT(D894, "mmmm")</f>
        <v>May</v>
      </c>
      <c r="M894" s="46" t="str">
        <f>IFERROR(__xludf.DUMMYFUNCTION("""COMPUTED_VALUE"""),"Belarus")</f>
        <v>Belarus</v>
      </c>
      <c r="N894" s="94">
        <f>IFERROR(__xludf.DUMMYFUNCTION("""COMPUTED_VALUE"""),42370.0)</f>
        <v>42370</v>
      </c>
      <c r="O894" s="46">
        <f>IFERROR(__xludf.DUMMYFUNCTION("""COMPUTED_VALUE"""),1.0)</f>
        <v>1</v>
      </c>
      <c r="P894" s="46">
        <f>IFERROR(__xludf.DUMMYFUNCTION("""COMPUTED_VALUE"""),2300.0)</f>
        <v>2300</v>
      </c>
      <c r="Q894" s="46">
        <f>IFERROR(__xludf.DUMMYFUNCTION("""COMPUTED_VALUE"""),350934.0)</f>
        <v>350934</v>
      </c>
      <c r="R894" s="46">
        <f>IFERROR(__xludf.DUMMYFUNCTION("""COMPUTED_VALUE"""),224112.0)</f>
        <v>224112</v>
      </c>
      <c r="S894" s="46">
        <f>IFERROR(__xludf.DUMMYFUNCTION("""COMPUTED_VALUE"""),126822.0)</f>
        <v>126822</v>
      </c>
    </row>
    <row r="895">
      <c r="A895" s="46" t="str">
        <f>IFERROR(__xludf.DUMMYFUNCTION("""COMPUTED_VALUE"""),"Beverages")</f>
        <v>Beverages</v>
      </c>
      <c r="B895" s="46" t="str">
        <f>IFERROR(__xludf.DUMMYFUNCTION("""COMPUTED_VALUE"""),"Latvia")</f>
        <v>Latvia</v>
      </c>
      <c r="C895" s="46" t="str">
        <f>IFERROR(__xludf.DUMMYFUNCTION("""COMPUTED_VALUE"""),"Europe")</f>
        <v>Europe</v>
      </c>
      <c r="D895" s="90">
        <f>IFERROR(__xludf.DUMMYFUNCTION("""COMPUTED_VALUE"""),41030.0)</f>
        <v>41030</v>
      </c>
      <c r="E895" s="46">
        <f>IFERROR(__xludf.DUMMYFUNCTION("""COMPUTED_VALUE"""),2012.0)</f>
        <v>2012</v>
      </c>
      <c r="F895" s="46">
        <f>IFERROR(__xludf.DUMMYFUNCTION("""COMPUTED_VALUE"""),1.0)</f>
        <v>1</v>
      </c>
      <c r="G895" s="46">
        <f>IFERROR(__xludf.DUMMYFUNCTION("""COMPUTED_VALUE"""),461.0)</f>
        <v>461</v>
      </c>
      <c r="H895" s="46">
        <f>IFERROR(__xludf.DUMMYFUNCTION("""COMPUTED_VALUE"""),21874.45)</f>
        <v>21874.45</v>
      </c>
      <c r="I895" s="46">
        <f>IFERROR(__xludf.DUMMYFUNCTION("""COMPUTED_VALUE"""),14655.19)</f>
        <v>14655.19</v>
      </c>
      <c r="J895" s="46">
        <f>IFERROR(__xludf.DUMMYFUNCTION("""COMPUTED_VALUE"""),7219.26)</f>
        <v>7219.26</v>
      </c>
      <c r="K895" s="46" t="str">
        <f t="array" ref="K895">TEXT(D895, "mmmm")</f>
        <v>May</v>
      </c>
      <c r="M895" s="46" t="str">
        <f>IFERROR(__xludf.DUMMYFUNCTION("""COMPUTED_VALUE"""),"Belgium")</f>
        <v>Belgium</v>
      </c>
      <c r="N895" s="94">
        <f>IFERROR(__xludf.DUMMYFUNCTION("""COMPUTED_VALUE"""),42370.0)</f>
        <v>42370</v>
      </c>
      <c r="O895" s="46">
        <f>IFERROR(__xludf.DUMMYFUNCTION("""COMPUTED_VALUE"""),1.0)</f>
        <v>1</v>
      </c>
      <c r="P895" s="46">
        <f>IFERROR(__xludf.DUMMYFUNCTION("""COMPUTED_VALUE"""),9067.0)</f>
        <v>9067</v>
      </c>
      <c r="Q895" s="46">
        <f>IFERROR(__xludf.DUMMYFUNCTION("""COMPUTED_VALUE"""),5904521.07)</f>
        <v>5904521.07</v>
      </c>
      <c r="R895" s="46">
        <f>IFERROR(__xludf.DUMMYFUNCTION("""COMPUTED_VALUE"""),4759812.32)</f>
        <v>4759812.32</v>
      </c>
      <c r="S895" s="46">
        <f>IFERROR(__xludf.DUMMYFUNCTION("""COMPUTED_VALUE"""),1144708.75)</f>
        <v>1144708.75</v>
      </c>
    </row>
    <row r="896">
      <c r="A896" s="46" t="str">
        <f>IFERROR(__xludf.DUMMYFUNCTION("""COMPUTED_VALUE"""),"Cereal")</f>
        <v>Cereal</v>
      </c>
      <c r="B896" s="46" t="str">
        <f>IFERROR(__xludf.DUMMYFUNCTION("""COMPUTED_VALUE"""),"San Marino")</f>
        <v>San Marino</v>
      </c>
      <c r="C896" s="46" t="str">
        <f>IFERROR(__xludf.DUMMYFUNCTION("""COMPUTED_VALUE"""),"Europe")</f>
        <v>Europe</v>
      </c>
      <c r="D896" s="90">
        <f>IFERROR(__xludf.DUMMYFUNCTION("""COMPUTED_VALUE"""),41030.0)</f>
        <v>41030</v>
      </c>
      <c r="E896" s="46">
        <f>IFERROR(__xludf.DUMMYFUNCTION("""COMPUTED_VALUE"""),2012.0)</f>
        <v>2012</v>
      </c>
      <c r="F896" s="46">
        <f>IFERROR(__xludf.DUMMYFUNCTION("""COMPUTED_VALUE"""),1.0)</f>
        <v>1</v>
      </c>
      <c r="G896" s="46">
        <f>IFERROR(__xludf.DUMMYFUNCTION("""COMPUTED_VALUE"""),2447.0)</f>
        <v>2447</v>
      </c>
      <c r="H896" s="46">
        <f>IFERROR(__xludf.DUMMYFUNCTION("""COMPUTED_VALUE"""),503347.89999999997)</f>
        <v>503347.9</v>
      </c>
      <c r="I896" s="46">
        <f>IFERROR(__xludf.DUMMYFUNCTION("""COMPUTED_VALUE"""),286568.17)</f>
        <v>286568.17</v>
      </c>
      <c r="J896" s="46">
        <f>IFERROR(__xludf.DUMMYFUNCTION("""COMPUTED_VALUE"""),216779.72999999998)</f>
        <v>216779.73</v>
      </c>
      <c r="K896" s="46" t="str">
        <f t="array" ref="K896">TEXT(D896, "mmmm")</f>
        <v>May</v>
      </c>
      <c r="M896" s="46" t="str">
        <f>IFERROR(__xludf.DUMMYFUNCTION("""COMPUTED_VALUE"""),"Estonia")</f>
        <v>Estonia</v>
      </c>
      <c r="N896" s="94">
        <f>IFERROR(__xludf.DUMMYFUNCTION("""COMPUTED_VALUE"""),42370.0)</f>
        <v>42370</v>
      </c>
      <c r="O896" s="46">
        <f>IFERROR(__xludf.DUMMYFUNCTION("""COMPUTED_VALUE"""),1.0)</f>
        <v>1</v>
      </c>
      <c r="P896" s="46">
        <f>IFERROR(__xludf.DUMMYFUNCTION("""COMPUTED_VALUE"""),7147.0)</f>
        <v>7147</v>
      </c>
      <c r="Q896" s="46">
        <f>IFERROR(__xludf.DUMMYFUNCTION("""COMPUTED_VALUE"""),781024.16)</f>
        <v>781024.16</v>
      </c>
      <c r="R896" s="46">
        <f>IFERROR(__xludf.DUMMYFUNCTION("""COMPUTED_VALUE"""),256148.48)</f>
        <v>256148.48</v>
      </c>
      <c r="S896" s="46">
        <f>IFERROR(__xludf.DUMMYFUNCTION("""COMPUTED_VALUE"""),524875.68)</f>
        <v>524875.68</v>
      </c>
    </row>
    <row r="897">
      <c r="A897" s="46" t="str">
        <f>IFERROR(__xludf.DUMMYFUNCTION("""COMPUTED_VALUE"""),"Clothes")</f>
        <v>Clothes</v>
      </c>
      <c r="B897" s="46" t="str">
        <f>IFERROR(__xludf.DUMMYFUNCTION("""COMPUTED_VALUE"""),"Cyprus")</f>
        <v>Cyprus</v>
      </c>
      <c r="C897" s="46" t="str">
        <f>IFERROR(__xludf.DUMMYFUNCTION("""COMPUTED_VALUE"""),"Asia")</f>
        <v>Asia</v>
      </c>
      <c r="D897" s="90">
        <f>IFERROR(__xludf.DUMMYFUNCTION("""COMPUTED_VALUE"""),41030.0)</f>
        <v>41030</v>
      </c>
      <c r="E897" s="46">
        <f>IFERROR(__xludf.DUMMYFUNCTION("""COMPUTED_VALUE"""),2012.0)</f>
        <v>2012</v>
      </c>
      <c r="F897" s="46">
        <f>IFERROR(__xludf.DUMMYFUNCTION("""COMPUTED_VALUE"""),1.0)</f>
        <v>1</v>
      </c>
      <c r="G897" s="46">
        <f>IFERROR(__xludf.DUMMYFUNCTION("""COMPUTED_VALUE"""),7656.0)</f>
        <v>7656</v>
      </c>
      <c r="H897" s="46">
        <f>IFERROR(__xludf.DUMMYFUNCTION("""COMPUTED_VALUE"""),836647.68)</f>
        <v>836647.68</v>
      </c>
      <c r="I897" s="46">
        <f>IFERROR(__xludf.DUMMYFUNCTION("""COMPUTED_VALUE"""),274391.04000000004)</f>
        <v>274391.04</v>
      </c>
      <c r="J897" s="46">
        <f>IFERROR(__xludf.DUMMYFUNCTION("""COMPUTED_VALUE"""),562256.64)</f>
        <v>562256.64</v>
      </c>
      <c r="K897" s="46" t="str">
        <f t="array" ref="K897">TEXT(D897, "mmmm")</f>
        <v>May</v>
      </c>
      <c r="M897" s="46" t="str">
        <f>IFERROR(__xludf.DUMMYFUNCTION("""COMPUTED_VALUE"""),"Finland")</f>
        <v>Finland</v>
      </c>
      <c r="N897" s="94">
        <f>IFERROR(__xludf.DUMMYFUNCTION("""COMPUTED_VALUE"""),42370.0)</f>
        <v>42370</v>
      </c>
      <c r="O897" s="46">
        <f>IFERROR(__xludf.DUMMYFUNCTION("""COMPUTED_VALUE"""),1.0)</f>
        <v>1</v>
      </c>
      <c r="P897" s="46">
        <f>IFERROR(__xludf.DUMMYFUNCTION("""COMPUTED_VALUE"""),54.0)</f>
        <v>54</v>
      </c>
      <c r="Q897" s="46">
        <f>IFERROR(__xludf.DUMMYFUNCTION("""COMPUTED_VALUE"""),503.82)</f>
        <v>503.82</v>
      </c>
      <c r="R897" s="46">
        <f>IFERROR(__xludf.DUMMYFUNCTION("""COMPUTED_VALUE"""),373.68)</f>
        <v>373.68</v>
      </c>
      <c r="S897" s="46">
        <f>IFERROR(__xludf.DUMMYFUNCTION("""COMPUTED_VALUE"""),130.14)</f>
        <v>130.14</v>
      </c>
    </row>
    <row r="898">
      <c r="A898" s="46" t="str">
        <f>IFERROR(__xludf.DUMMYFUNCTION("""COMPUTED_VALUE"""),"Clothes")</f>
        <v>Clothes</v>
      </c>
      <c r="B898" s="46" t="str">
        <f>IFERROR(__xludf.DUMMYFUNCTION("""COMPUTED_VALUE"""),"Denmark")</f>
        <v>Denmark</v>
      </c>
      <c r="C898" s="46" t="str">
        <f>IFERROR(__xludf.DUMMYFUNCTION("""COMPUTED_VALUE"""),"Europe")</f>
        <v>Europe</v>
      </c>
      <c r="D898" s="90">
        <f>IFERROR(__xludf.DUMMYFUNCTION("""COMPUTED_VALUE"""),41030.0)</f>
        <v>41030</v>
      </c>
      <c r="E898" s="46">
        <f>IFERROR(__xludf.DUMMYFUNCTION("""COMPUTED_VALUE"""),2012.0)</f>
        <v>2012</v>
      </c>
      <c r="F898" s="46">
        <f>IFERROR(__xludf.DUMMYFUNCTION("""COMPUTED_VALUE"""),1.0)</f>
        <v>1</v>
      </c>
      <c r="G898" s="46">
        <f>IFERROR(__xludf.DUMMYFUNCTION("""COMPUTED_VALUE"""),7088.0)</f>
        <v>7088</v>
      </c>
      <c r="H898" s="46">
        <f>IFERROR(__xludf.DUMMYFUNCTION("""COMPUTED_VALUE"""),774576.64)</f>
        <v>774576.64</v>
      </c>
      <c r="I898" s="46">
        <f>IFERROR(__xludf.DUMMYFUNCTION("""COMPUTED_VALUE"""),254033.92)</f>
        <v>254033.92</v>
      </c>
      <c r="J898" s="46">
        <f>IFERROR(__xludf.DUMMYFUNCTION("""COMPUTED_VALUE"""),520542.72)</f>
        <v>520542.72</v>
      </c>
      <c r="K898" s="46" t="str">
        <f t="array" ref="K898">TEXT(D898, "mmmm")</f>
        <v>May</v>
      </c>
      <c r="M898" s="46" t="str">
        <f>IFERROR(__xludf.DUMMYFUNCTION("""COMPUTED_VALUE"""),"Ireland")</f>
        <v>Ireland</v>
      </c>
      <c r="N898" s="94">
        <f>IFERROR(__xludf.DUMMYFUNCTION("""COMPUTED_VALUE"""),42370.0)</f>
        <v>42370</v>
      </c>
      <c r="O898" s="46">
        <f>IFERROR(__xludf.DUMMYFUNCTION("""COMPUTED_VALUE"""),1.0)</f>
        <v>1</v>
      </c>
      <c r="P898" s="46">
        <f>IFERROR(__xludf.DUMMYFUNCTION("""COMPUTED_VALUE"""),1053.0)</f>
        <v>1053</v>
      </c>
      <c r="Q898" s="46">
        <f>IFERROR(__xludf.DUMMYFUNCTION("""COMPUTED_VALUE"""),86061.69)</f>
        <v>86061.69</v>
      </c>
      <c r="R898" s="46">
        <f>IFERROR(__xludf.DUMMYFUNCTION("""COMPUTED_VALUE"""),59673.51)</f>
        <v>59673.51</v>
      </c>
      <c r="S898" s="46">
        <f>IFERROR(__xludf.DUMMYFUNCTION("""COMPUTED_VALUE"""),26388.18)</f>
        <v>26388.18</v>
      </c>
    </row>
    <row r="899">
      <c r="A899" s="46" t="str">
        <f>IFERROR(__xludf.DUMMYFUNCTION("""COMPUTED_VALUE"""),"Clothes")</f>
        <v>Clothes</v>
      </c>
      <c r="B899" s="46" t="str">
        <f>IFERROR(__xludf.DUMMYFUNCTION("""COMPUTED_VALUE"""),"San Marino")</f>
        <v>San Marino</v>
      </c>
      <c r="C899" s="46" t="str">
        <f>IFERROR(__xludf.DUMMYFUNCTION("""COMPUTED_VALUE"""),"Europe")</f>
        <v>Europe</v>
      </c>
      <c r="D899" s="90">
        <f>IFERROR(__xludf.DUMMYFUNCTION("""COMPUTED_VALUE"""),41030.0)</f>
        <v>41030</v>
      </c>
      <c r="E899" s="46">
        <f>IFERROR(__xludf.DUMMYFUNCTION("""COMPUTED_VALUE"""),2012.0)</f>
        <v>2012</v>
      </c>
      <c r="F899" s="46">
        <f>IFERROR(__xludf.DUMMYFUNCTION("""COMPUTED_VALUE"""),1.0)</f>
        <v>1</v>
      </c>
      <c r="G899" s="46">
        <f>IFERROR(__xludf.DUMMYFUNCTION("""COMPUTED_VALUE"""),8503.0)</f>
        <v>8503</v>
      </c>
      <c r="H899" s="46">
        <f>IFERROR(__xludf.DUMMYFUNCTION("""COMPUTED_VALUE"""),929207.84)</f>
        <v>929207.84</v>
      </c>
      <c r="I899" s="46">
        <f>IFERROR(__xludf.DUMMYFUNCTION("""COMPUTED_VALUE"""),304747.52)</f>
        <v>304747.52</v>
      </c>
      <c r="J899" s="46">
        <f>IFERROR(__xludf.DUMMYFUNCTION("""COMPUTED_VALUE"""),624460.32)</f>
        <v>624460.32</v>
      </c>
      <c r="K899" s="46" t="str">
        <f t="array" ref="K899">TEXT(D899, "mmmm")</f>
        <v>May</v>
      </c>
      <c r="M899" s="46" t="str">
        <f>IFERROR(__xludf.DUMMYFUNCTION("""COMPUTED_VALUE"""),"Montenegro")</f>
        <v>Montenegro</v>
      </c>
      <c r="N899" s="94">
        <f>IFERROR(__xludf.DUMMYFUNCTION("""COMPUTED_VALUE"""),42370.0)</f>
        <v>42370</v>
      </c>
      <c r="O899" s="46">
        <f>IFERROR(__xludf.DUMMYFUNCTION("""COMPUTED_VALUE"""),2.0)</f>
        <v>2</v>
      </c>
      <c r="P899" s="46">
        <f>IFERROR(__xludf.DUMMYFUNCTION("""COMPUTED_VALUE"""),11700.0)</f>
        <v>11700</v>
      </c>
      <c r="Q899" s="46">
        <f>IFERROR(__xludf.DUMMYFUNCTION("""COMPUTED_VALUE"""),1180027.3)</f>
        <v>1180027.3</v>
      </c>
      <c r="R899" s="46">
        <f>IFERROR(__xludf.DUMMYFUNCTION("""COMPUTED_VALUE"""),744948.9999999999)</f>
        <v>744949</v>
      </c>
      <c r="S899" s="46">
        <f>IFERROR(__xludf.DUMMYFUNCTION("""COMPUTED_VALUE"""),435078.30000000016)</f>
        <v>435078.3</v>
      </c>
    </row>
    <row r="900">
      <c r="A900" s="46" t="str">
        <f>IFERROR(__xludf.DUMMYFUNCTION("""COMPUTED_VALUE"""),"Clothes")</f>
        <v>Clothes</v>
      </c>
      <c r="B900" s="46" t="str">
        <f>IFERROR(__xludf.DUMMYFUNCTION("""COMPUTED_VALUE"""),"Slovenia")</f>
        <v>Slovenia</v>
      </c>
      <c r="C900" s="46" t="str">
        <f>IFERROR(__xludf.DUMMYFUNCTION("""COMPUTED_VALUE"""),"Europe")</f>
        <v>Europe</v>
      </c>
      <c r="D900" s="90">
        <f>IFERROR(__xludf.DUMMYFUNCTION("""COMPUTED_VALUE"""),41030.0)</f>
        <v>41030</v>
      </c>
      <c r="E900" s="46">
        <f>IFERROR(__xludf.DUMMYFUNCTION("""COMPUTED_VALUE"""),2012.0)</f>
        <v>2012</v>
      </c>
      <c r="F900" s="46">
        <f>IFERROR(__xludf.DUMMYFUNCTION("""COMPUTED_VALUE"""),1.0)</f>
        <v>1</v>
      </c>
      <c r="G900" s="46">
        <f>IFERROR(__xludf.DUMMYFUNCTION("""COMPUTED_VALUE"""),3231.0)</f>
        <v>3231</v>
      </c>
      <c r="H900" s="46">
        <f>IFERROR(__xludf.DUMMYFUNCTION("""COMPUTED_VALUE"""),353083.68)</f>
        <v>353083.68</v>
      </c>
      <c r="I900" s="46">
        <f>IFERROR(__xludf.DUMMYFUNCTION("""COMPUTED_VALUE"""),115799.04000000001)</f>
        <v>115799.04</v>
      </c>
      <c r="J900" s="46">
        <f>IFERROR(__xludf.DUMMYFUNCTION("""COMPUTED_VALUE"""),237284.63999999998)</f>
        <v>237284.64</v>
      </c>
      <c r="K900" s="46" t="str">
        <f t="array" ref="K900">TEXT(D900, "mmmm")</f>
        <v>May</v>
      </c>
      <c r="M900" s="46" t="str">
        <f>IFERROR(__xludf.DUMMYFUNCTION("""COMPUTED_VALUE"""),"Netherlands")</f>
        <v>Netherlands</v>
      </c>
      <c r="N900" s="94">
        <f>IFERROR(__xludf.DUMMYFUNCTION("""COMPUTED_VALUE"""),42370.0)</f>
        <v>42370</v>
      </c>
      <c r="O900" s="46">
        <f>IFERROR(__xludf.DUMMYFUNCTION("""COMPUTED_VALUE"""),1.0)</f>
        <v>1</v>
      </c>
      <c r="P900" s="46">
        <f>IFERROR(__xludf.DUMMYFUNCTION("""COMPUTED_VALUE"""),6368.0)</f>
        <v>6368</v>
      </c>
      <c r="Q900" s="46">
        <f>IFERROR(__xludf.DUMMYFUNCTION("""COMPUTED_VALUE"""),695895.04)</f>
        <v>695895.04</v>
      </c>
      <c r="R900" s="46">
        <f>IFERROR(__xludf.DUMMYFUNCTION("""COMPUTED_VALUE"""),228229.12000000002)</f>
        <v>228229.12</v>
      </c>
      <c r="S900" s="46">
        <f>IFERROR(__xludf.DUMMYFUNCTION("""COMPUTED_VALUE"""),467665.92000000004)</f>
        <v>467665.92</v>
      </c>
    </row>
    <row r="901">
      <c r="A901" s="46" t="str">
        <f>IFERROR(__xludf.DUMMYFUNCTION("""COMPUTED_VALUE"""),"Cosmetics")</f>
        <v>Cosmetics</v>
      </c>
      <c r="B901" s="46" t="str">
        <f>IFERROR(__xludf.DUMMYFUNCTION("""COMPUTED_VALUE"""),"Bulgaria")</f>
        <v>Bulgaria</v>
      </c>
      <c r="C901" s="46" t="str">
        <f>IFERROR(__xludf.DUMMYFUNCTION("""COMPUTED_VALUE"""),"Europe")</f>
        <v>Europe</v>
      </c>
      <c r="D901" s="90">
        <f>IFERROR(__xludf.DUMMYFUNCTION("""COMPUTED_VALUE"""),41030.0)</f>
        <v>41030</v>
      </c>
      <c r="E901" s="46">
        <f>IFERROR(__xludf.DUMMYFUNCTION("""COMPUTED_VALUE"""),2012.0)</f>
        <v>2012</v>
      </c>
      <c r="F901" s="46">
        <f>IFERROR(__xludf.DUMMYFUNCTION("""COMPUTED_VALUE"""),1.0)</f>
        <v>1</v>
      </c>
      <c r="G901" s="46">
        <f>IFERROR(__xludf.DUMMYFUNCTION("""COMPUTED_VALUE"""),1420.0)</f>
        <v>1420</v>
      </c>
      <c r="H901" s="46">
        <f>IFERROR(__xludf.DUMMYFUNCTION("""COMPUTED_VALUE"""),620824.0)</f>
        <v>620824</v>
      </c>
      <c r="I901" s="46">
        <f>IFERROR(__xludf.DUMMYFUNCTION("""COMPUTED_VALUE"""),373928.6)</f>
        <v>373928.6</v>
      </c>
      <c r="J901" s="46">
        <f>IFERROR(__xludf.DUMMYFUNCTION("""COMPUTED_VALUE"""),246895.40000000002)</f>
        <v>246895.4</v>
      </c>
      <c r="K901" s="46" t="str">
        <f t="array" ref="K901">TEXT(D901, "mmmm")</f>
        <v>May</v>
      </c>
      <c r="M901" s="46" t="str">
        <f>IFERROR(__xludf.DUMMYFUNCTION("""COMPUTED_VALUE"""),"Portugal")</f>
        <v>Portugal</v>
      </c>
      <c r="N901" s="94">
        <f>IFERROR(__xludf.DUMMYFUNCTION("""COMPUTED_VALUE"""),42370.0)</f>
        <v>42370</v>
      </c>
      <c r="O901" s="46">
        <f>IFERROR(__xludf.DUMMYFUNCTION("""COMPUTED_VALUE"""),2.0)</f>
        <v>2</v>
      </c>
      <c r="P901" s="46">
        <f>IFERROR(__xludf.DUMMYFUNCTION("""COMPUTED_VALUE"""),4859.0)</f>
        <v>4859</v>
      </c>
      <c r="Q901" s="46">
        <f>IFERROR(__xludf.DUMMYFUNCTION("""COMPUTED_VALUE"""),230559.55000000002)</f>
        <v>230559.55</v>
      </c>
      <c r="R901" s="46">
        <f>IFERROR(__xludf.DUMMYFUNCTION("""COMPUTED_VALUE"""),154467.61)</f>
        <v>154467.61</v>
      </c>
      <c r="S901" s="46">
        <f>IFERROR(__xludf.DUMMYFUNCTION("""COMPUTED_VALUE"""),76091.94000000003)</f>
        <v>76091.94</v>
      </c>
    </row>
    <row r="902">
      <c r="A902" s="46" t="str">
        <f>IFERROR(__xludf.DUMMYFUNCTION("""COMPUTED_VALUE"""),"Cosmetics")</f>
        <v>Cosmetics</v>
      </c>
      <c r="B902" s="46" t="str">
        <f>IFERROR(__xludf.DUMMYFUNCTION("""COMPUTED_VALUE"""),"Undefined")</f>
        <v>Undefined</v>
      </c>
      <c r="C902" s="46" t="str">
        <f>IFERROR(__xludf.DUMMYFUNCTION("""COMPUTED_VALUE"""),"Undefined")</f>
        <v>Undefined</v>
      </c>
      <c r="D902" s="90">
        <f>IFERROR(__xludf.DUMMYFUNCTION("""COMPUTED_VALUE"""),41030.0)</f>
        <v>41030</v>
      </c>
      <c r="E902" s="46">
        <f>IFERROR(__xludf.DUMMYFUNCTION("""COMPUTED_VALUE"""),2012.0)</f>
        <v>2012</v>
      </c>
      <c r="F902" s="46">
        <f>IFERROR(__xludf.DUMMYFUNCTION("""COMPUTED_VALUE"""),1.0)</f>
        <v>1</v>
      </c>
      <c r="G902" s="46">
        <f>IFERROR(__xludf.DUMMYFUNCTION("""COMPUTED_VALUE"""),3784.0)</f>
        <v>3784</v>
      </c>
      <c r="H902" s="46">
        <f>IFERROR(__xludf.DUMMYFUNCTION("""COMPUTED_VALUE"""),1654364.8)</f>
        <v>1654364.8</v>
      </c>
      <c r="I902" s="46">
        <f>IFERROR(__xludf.DUMMYFUNCTION("""COMPUTED_VALUE"""),996440.72)</f>
        <v>996440.72</v>
      </c>
      <c r="J902" s="46">
        <f>IFERROR(__xludf.DUMMYFUNCTION("""COMPUTED_VALUE"""),657924.0800000001)</f>
        <v>657924.08</v>
      </c>
      <c r="K902" s="46" t="str">
        <f t="array" ref="K902">TEXT(D902, "mmmm")</f>
        <v>May</v>
      </c>
      <c r="M902" s="46" t="str">
        <f>IFERROR(__xludf.DUMMYFUNCTION("""COMPUTED_VALUE"""),"Romania")</f>
        <v>Romania</v>
      </c>
      <c r="N902" s="94">
        <f>IFERROR(__xludf.DUMMYFUNCTION("""COMPUTED_VALUE"""),42370.0)</f>
        <v>42370</v>
      </c>
      <c r="O902" s="46">
        <f>IFERROR(__xludf.DUMMYFUNCTION("""COMPUTED_VALUE"""),1.0)</f>
        <v>1</v>
      </c>
      <c r="P902" s="46">
        <f>IFERROR(__xludf.DUMMYFUNCTION("""COMPUTED_VALUE"""),5873.0)</f>
        <v>5873</v>
      </c>
      <c r="Q902" s="46">
        <f>IFERROR(__xludf.DUMMYFUNCTION("""COMPUTED_VALUE"""),2477759.9699999997)</f>
        <v>2477759.97</v>
      </c>
      <c r="R902" s="46">
        <f>IFERROR(__xludf.DUMMYFUNCTION("""COMPUTED_VALUE"""),2141824.37)</f>
        <v>2141824.37</v>
      </c>
      <c r="S902" s="46">
        <f>IFERROR(__xludf.DUMMYFUNCTION("""COMPUTED_VALUE"""),335935.5999999996)</f>
        <v>335935.6</v>
      </c>
    </row>
    <row r="903">
      <c r="A903" s="46" t="str">
        <f>IFERROR(__xludf.DUMMYFUNCTION("""COMPUTED_VALUE"""),"Household")</f>
        <v>Household</v>
      </c>
      <c r="B903" s="46" t="str">
        <f>IFERROR(__xludf.DUMMYFUNCTION("""COMPUTED_VALUE"""),"Ireland")</f>
        <v>Ireland</v>
      </c>
      <c r="C903" s="46" t="str">
        <f>IFERROR(__xludf.DUMMYFUNCTION("""COMPUTED_VALUE"""),"Europe")</f>
        <v>Europe</v>
      </c>
      <c r="D903" s="90">
        <f>IFERROR(__xludf.DUMMYFUNCTION("""COMPUTED_VALUE"""),41030.0)</f>
        <v>41030</v>
      </c>
      <c r="E903" s="46">
        <f>IFERROR(__xludf.DUMMYFUNCTION("""COMPUTED_VALUE"""),2012.0)</f>
        <v>2012</v>
      </c>
      <c r="F903" s="46">
        <f>IFERROR(__xludf.DUMMYFUNCTION("""COMPUTED_VALUE"""),1.0)</f>
        <v>1</v>
      </c>
      <c r="G903" s="46">
        <f>IFERROR(__xludf.DUMMYFUNCTION("""COMPUTED_VALUE"""),8473.0)</f>
        <v>8473</v>
      </c>
      <c r="H903" s="46">
        <f>IFERROR(__xludf.DUMMYFUNCTION("""COMPUTED_VALUE"""),5662251.71)</f>
        <v>5662251.71</v>
      </c>
      <c r="I903" s="46">
        <f>IFERROR(__xludf.DUMMYFUNCTION("""COMPUTED_VALUE"""),4258021.42)</f>
        <v>4258021.42</v>
      </c>
      <c r="J903" s="46">
        <f>IFERROR(__xludf.DUMMYFUNCTION("""COMPUTED_VALUE"""),1404230.29)</f>
        <v>1404230.29</v>
      </c>
      <c r="K903" s="46" t="str">
        <f t="array" ref="K903">TEXT(D903, "mmmm")</f>
        <v>May</v>
      </c>
      <c r="M903" s="46" t="str">
        <f>IFERROR(__xludf.DUMMYFUNCTION("""COMPUTED_VALUE"""),"San Marino")</f>
        <v>San Marino</v>
      </c>
      <c r="N903" s="94">
        <f>IFERROR(__xludf.DUMMYFUNCTION("""COMPUTED_VALUE"""),42370.0)</f>
        <v>42370</v>
      </c>
      <c r="O903" s="46">
        <f>IFERROR(__xludf.DUMMYFUNCTION("""COMPUTED_VALUE"""),1.0)</f>
        <v>1</v>
      </c>
      <c r="P903" s="46">
        <f>IFERROR(__xludf.DUMMYFUNCTION("""COMPUTED_VALUE"""),492.0)</f>
        <v>492</v>
      </c>
      <c r="Q903" s="46">
        <f>IFERROR(__xludf.DUMMYFUNCTION("""COMPUTED_VALUE"""),75797.52)</f>
        <v>75797.52</v>
      </c>
      <c r="R903" s="46">
        <f>IFERROR(__xludf.DUMMYFUNCTION("""COMPUTED_VALUE"""),44737.560000000005)</f>
        <v>44737.56</v>
      </c>
      <c r="S903" s="46">
        <f>IFERROR(__xludf.DUMMYFUNCTION("""COMPUTED_VALUE"""),31059.96)</f>
        <v>31059.96</v>
      </c>
    </row>
    <row r="904">
      <c r="A904" s="46" t="str">
        <f>IFERROR(__xludf.DUMMYFUNCTION("""COMPUTED_VALUE"""),"Office Supplies")</f>
        <v>Office Supplies</v>
      </c>
      <c r="B904" s="46" t="str">
        <f>IFERROR(__xludf.DUMMYFUNCTION("""COMPUTED_VALUE"""),"Bulgaria")</f>
        <v>Bulgaria</v>
      </c>
      <c r="C904" s="46" t="str">
        <f>IFERROR(__xludf.DUMMYFUNCTION("""COMPUTED_VALUE"""),"Europe")</f>
        <v>Europe</v>
      </c>
      <c r="D904" s="90">
        <f>IFERROR(__xludf.DUMMYFUNCTION("""COMPUTED_VALUE"""),41030.0)</f>
        <v>41030</v>
      </c>
      <c r="E904" s="46">
        <f>IFERROR(__xludf.DUMMYFUNCTION("""COMPUTED_VALUE"""),2012.0)</f>
        <v>2012</v>
      </c>
      <c r="F904" s="46">
        <f>IFERROR(__xludf.DUMMYFUNCTION("""COMPUTED_VALUE"""),1.0)</f>
        <v>1</v>
      </c>
      <c r="G904" s="46">
        <f>IFERROR(__xludf.DUMMYFUNCTION("""COMPUTED_VALUE"""),4701.0)</f>
        <v>4701</v>
      </c>
      <c r="H904" s="46">
        <f>IFERROR(__xludf.DUMMYFUNCTION("""COMPUTED_VALUE"""),3061338.21)</f>
        <v>3061338.21</v>
      </c>
      <c r="I904" s="46">
        <f>IFERROR(__xludf.DUMMYFUNCTION("""COMPUTED_VALUE"""),2467836.96)</f>
        <v>2467836.96</v>
      </c>
      <c r="J904" s="46">
        <f>IFERROR(__xludf.DUMMYFUNCTION("""COMPUTED_VALUE"""),593501.25)</f>
        <v>593501.25</v>
      </c>
      <c r="K904" s="46" t="str">
        <f t="array" ref="K904">TEXT(D904, "mmmm")</f>
        <v>May</v>
      </c>
      <c r="M904" s="46" t="str">
        <f>IFERROR(__xludf.DUMMYFUNCTION("""COMPUTED_VALUE"""),"Slovakia")</f>
        <v>Slovakia</v>
      </c>
      <c r="N904" s="94">
        <f>IFERROR(__xludf.DUMMYFUNCTION("""COMPUTED_VALUE"""),42370.0)</f>
        <v>42370</v>
      </c>
      <c r="O904" s="46">
        <f>IFERROR(__xludf.DUMMYFUNCTION("""COMPUTED_VALUE"""),1.0)</f>
        <v>1</v>
      </c>
      <c r="P904" s="46">
        <f>IFERROR(__xludf.DUMMYFUNCTION("""COMPUTED_VALUE"""),5124.0)</f>
        <v>5124</v>
      </c>
      <c r="Q904" s="46">
        <f>IFERROR(__xludf.DUMMYFUNCTION("""COMPUTED_VALUE"""),3424215.48)</f>
        <v>3424215.48</v>
      </c>
      <c r="R904" s="46">
        <f>IFERROR(__xludf.DUMMYFUNCTION("""COMPUTED_VALUE"""),2575014.96)</f>
        <v>2575014.96</v>
      </c>
      <c r="S904" s="46">
        <f>IFERROR(__xludf.DUMMYFUNCTION("""COMPUTED_VALUE"""),849200.52)</f>
        <v>849200.52</v>
      </c>
    </row>
    <row r="905">
      <c r="A905" s="46" t="str">
        <f>IFERROR(__xludf.DUMMYFUNCTION("""COMPUTED_VALUE"""),"Office Supplies")</f>
        <v>Office Supplies</v>
      </c>
      <c r="B905" s="46" t="str">
        <f>IFERROR(__xludf.DUMMYFUNCTION("""COMPUTED_VALUE"""),"Czech Republic")</f>
        <v>Czech Republic</v>
      </c>
      <c r="C905" s="46" t="str">
        <f>IFERROR(__xludf.DUMMYFUNCTION("""COMPUTED_VALUE"""),"Europe")</f>
        <v>Europe</v>
      </c>
      <c r="D905" s="90">
        <f>IFERROR(__xludf.DUMMYFUNCTION("""COMPUTED_VALUE"""),41030.0)</f>
        <v>41030</v>
      </c>
      <c r="E905" s="46">
        <f>IFERROR(__xludf.DUMMYFUNCTION("""COMPUTED_VALUE"""),2012.0)</f>
        <v>2012</v>
      </c>
      <c r="F905" s="46">
        <f>IFERROR(__xludf.DUMMYFUNCTION("""COMPUTED_VALUE"""),1.0)</f>
        <v>1</v>
      </c>
      <c r="G905" s="46">
        <f>IFERROR(__xludf.DUMMYFUNCTION("""COMPUTED_VALUE"""),249.0)</f>
        <v>249</v>
      </c>
      <c r="H905" s="46">
        <f>IFERROR(__xludf.DUMMYFUNCTION("""COMPUTED_VALUE"""),162151.29)</f>
        <v>162151.29</v>
      </c>
      <c r="I905" s="46">
        <f>IFERROR(__xludf.DUMMYFUNCTION("""COMPUTED_VALUE"""),130715.04000000001)</f>
        <v>130715.04</v>
      </c>
      <c r="J905" s="46">
        <f>IFERROR(__xludf.DUMMYFUNCTION("""COMPUTED_VALUE"""),31436.25)</f>
        <v>31436.25</v>
      </c>
      <c r="K905" s="46" t="str">
        <f t="array" ref="K905">TEXT(D905, "mmmm")</f>
        <v>May</v>
      </c>
      <c r="M905" s="46" t="str">
        <f>IFERROR(__xludf.DUMMYFUNCTION("""COMPUTED_VALUE"""),"Ukraine")</f>
        <v>Ukraine</v>
      </c>
      <c r="N905" s="94">
        <f>IFERROR(__xludf.DUMMYFUNCTION("""COMPUTED_VALUE"""),42370.0)</f>
        <v>42370</v>
      </c>
      <c r="O905" s="46">
        <f>IFERROR(__xludf.DUMMYFUNCTION("""COMPUTED_VALUE"""),1.0)</f>
        <v>1</v>
      </c>
      <c r="P905" s="46">
        <f>IFERROR(__xludf.DUMMYFUNCTION("""COMPUTED_VALUE"""),1443.0)</f>
        <v>1443</v>
      </c>
      <c r="Q905" s="46">
        <f>IFERROR(__xludf.DUMMYFUNCTION("""COMPUTED_VALUE"""),220172.94000000003)</f>
        <v>220172.94</v>
      </c>
      <c r="R905" s="46">
        <f>IFERROR(__xludf.DUMMYFUNCTION("""COMPUTED_VALUE"""),140605.91999999998)</f>
        <v>140605.92</v>
      </c>
      <c r="S905" s="46">
        <f>IFERROR(__xludf.DUMMYFUNCTION("""COMPUTED_VALUE"""),79567.02000000005)</f>
        <v>79567.02</v>
      </c>
    </row>
    <row r="906">
      <c r="A906" s="46" t="str">
        <f>IFERROR(__xludf.DUMMYFUNCTION("""COMPUTED_VALUE"""),"Office Supplies")</f>
        <v>Office Supplies</v>
      </c>
      <c r="B906" s="46" t="str">
        <f>IFERROR(__xludf.DUMMYFUNCTION("""COMPUTED_VALUE"""),"Slovakia")</f>
        <v>Slovakia</v>
      </c>
      <c r="C906" s="46" t="str">
        <f>IFERROR(__xludf.DUMMYFUNCTION("""COMPUTED_VALUE"""),"Europe")</f>
        <v>Europe</v>
      </c>
      <c r="D906" s="90">
        <f>IFERROR(__xludf.DUMMYFUNCTION("""COMPUTED_VALUE"""),41030.0)</f>
        <v>41030</v>
      </c>
      <c r="E906" s="46">
        <f>IFERROR(__xludf.DUMMYFUNCTION("""COMPUTED_VALUE"""),2012.0)</f>
        <v>2012</v>
      </c>
      <c r="F906" s="46">
        <f>IFERROR(__xludf.DUMMYFUNCTION("""COMPUTED_VALUE"""),1.0)</f>
        <v>1</v>
      </c>
      <c r="G906" s="46">
        <f>IFERROR(__xludf.DUMMYFUNCTION("""COMPUTED_VALUE"""),7633.0)</f>
        <v>7633</v>
      </c>
      <c r="H906" s="46">
        <f>IFERROR(__xludf.DUMMYFUNCTION("""COMPUTED_VALUE"""),4970685.930000001)</f>
        <v>4970685.93</v>
      </c>
      <c r="I906" s="46">
        <f>IFERROR(__xludf.DUMMYFUNCTION("""COMPUTED_VALUE"""),4007019.68)</f>
        <v>4007019.68</v>
      </c>
      <c r="J906" s="46">
        <f>IFERROR(__xludf.DUMMYFUNCTION("""COMPUTED_VALUE"""),963666.2500000005)</f>
        <v>963666.25</v>
      </c>
      <c r="K906" s="46" t="str">
        <f t="array" ref="K906">TEXT(D906, "mmmm")</f>
        <v>May</v>
      </c>
      <c r="M906" s="46" t="str">
        <f>IFERROR(__xludf.DUMMYFUNCTION("""COMPUTED_VALUE"""),"Undefined")</f>
        <v>Undefined</v>
      </c>
      <c r="N906" s="94">
        <f>IFERROR(__xludf.DUMMYFUNCTION("""COMPUTED_VALUE"""),42370.0)</f>
        <v>42370</v>
      </c>
      <c r="O906" s="46">
        <f>IFERROR(__xludf.DUMMYFUNCTION("""COMPUTED_VALUE"""),3.0)</f>
        <v>3</v>
      </c>
      <c r="P906" s="46">
        <f>IFERROR(__xludf.DUMMYFUNCTION("""COMPUTED_VALUE"""),18615.0)</f>
        <v>18615</v>
      </c>
      <c r="Q906" s="46">
        <f>IFERROR(__xludf.DUMMYFUNCTION("""COMPUTED_VALUE"""),2258401.16)</f>
        <v>2258401.16</v>
      </c>
      <c r="R906" s="46">
        <f>IFERROR(__xludf.DUMMYFUNCTION("""COMPUTED_VALUE"""),1441929.87)</f>
        <v>1441929.87</v>
      </c>
      <c r="S906" s="46">
        <f>IFERROR(__xludf.DUMMYFUNCTION("""COMPUTED_VALUE"""),816471.29)</f>
        <v>816471.29</v>
      </c>
    </row>
    <row r="907">
      <c r="A907" s="46" t="str">
        <f>IFERROR(__xludf.DUMMYFUNCTION("""COMPUTED_VALUE"""),"Personal Care")</f>
        <v>Personal Care</v>
      </c>
      <c r="B907" s="46" t="str">
        <f>IFERROR(__xludf.DUMMYFUNCTION("""COMPUTED_VALUE"""),"Georgia")</f>
        <v>Georgia</v>
      </c>
      <c r="C907" s="46" t="str">
        <f>IFERROR(__xludf.DUMMYFUNCTION("""COMPUTED_VALUE"""),"Asia")</f>
        <v>Asia</v>
      </c>
      <c r="D907" s="90">
        <f>IFERROR(__xludf.DUMMYFUNCTION("""COMPUTED_VALUE"""),41030.0)</f>
        <v>41030</v>
      </c>
      <c r="E907" s="46">
        <f>IFERROR(__xludf.DUMMYFUNCTION("""COMPUTED_VALUE"""),2012.0)</f>
        <v>2012</v>
      </c>
      <c r="F907" s="46">
        <f>IFERROR(__xludf.DUMMYFUNCTION("""COMPUTED_VALUE"""),1.0)</f>
        <v>1</v>
      </c>
      <c r="G907" s="46">
        <f>IFERROR(__xludf.DUMMYFUNCTION("""COMPUTED_VALUE"""),2129.0)</f>
        <v>2129</v>
      </c>
      <c r="H907" s="46">
        <f>IFERROR(__xludf.DUMMYFUNCTION("""COMPUTED_VALUE"""),174003.17)</f>
        <v>174003.17</v>
      </c>
      <c r="I907" s="46">
        <f>IFERROR(__xludf.DUMMYFUNCTION("""COMPUTED_VALUE"""),120650.43000000001)</f>
        <v>120650.43</v>
      </c>
      <c r="J907" s="46">
        <f>IFERROR(__xludf.DUMMYFUNCTION("""COMPUTED_VALUE"""),53352.740000000005)</f>
        <v>53352.74</v>
      </c>
      <c r="K907" s="46" t="str">
        <f t="array" ref="K907">TEXT(D907, "mmmm")</f>
        <v>May</v>
      </c>
      <c r="M907" s="46" t="str">
        <f>IFERROR(__xludf.DUMMYFUNCTION("""COMPUTED_VALUE"""),"Andorra")</f>
        <v>Andorra</v>
      </c>
      <c r="N907" s="94">
        <f>IFERROR(__xludf.DUMMYFUNCTION("""COMPUTED_VALUE"""),42401.0)</f>
        <v>42401</v>
      </c>
      <c r="O907" s="46">
        <f>IFERROR(__xludf.DUMMYFUNCTION("""COMPUTED_VALUE"""),1.0)</f>
        <v>1</v>
      </c>
      <c r="P907" s="46">
        <f>IFERROR(__xludf.DUMMYFUNCTION("""COMPUTED_VALUE"""),7489.0)</f>
        <v>7489</v>
      </c>
      <c r="Q907" s="46">
        <f>IFERROR(__xludf.DUMMYFUNCTION("""COMPUTED_VALUE"""),3274190.8)</f>
        <v>3274190.8</v>
      </c>
      <c r="R907" s="46">
        <f>IFERROR(__xludf.DUMMYFUNCTION("""COMPUTED_VALUE"""),1972078.3699999999)</f>
        <v>1972078.37</v>
      </c>
      <c r="S907" s="46">
        <f>IFERROR(__xludf.DUMMYFUNCTION("""COMPUTED_VALUE"""),1302112.43)</f>
        <v>1302112.43</v>
      </c>
    </row>
    <row r="908">
      <c r="A908" s="46" t="str">
        <f>IFERROR(__xludf.DUMMYFUNCTION("""COMPUTED_VALUE"""),"Personal Care")</f>
        <v>Personal Care</v>
      </c>
      <c r="B908" s="46" t="str">
        <f>IFERROR(__xludf.DUMMYFUNCTION("""COMPUTED_VALUE"""),"Undefined")</f>
        <v>Undefined</v>
      </c>
      <c r="C908" s="46" t="str">
        <f>IFERROR(__xludf.DUMMYFUNCTION("""COMPUTED_VALUE"""),"Undefined")</f>
        <v>Undefined</v>
      </c>
      <c r="D908" s="90">
        <f>IFERROR(__xludf.DUMMYFUNCTION("""COMPUTED_VALUE"""),41030.0)</f>
        <v>41030</v>
      </c>
      <c r="E908" s="46">
        <f>IFERROR(__xludf.DUMMYFUNCTION("""COMPUTED_VALUE"""),2012.0)</f>
        <v>2012</v>
      </c>
      <c r="F908" s="46">
        <f>IFERROR(__xludf.DUMMYFUNCTION("""COMPUTED_VALUE"""),1.0)</f>
        <v>1</v>
      </c>
      <c r="G908" s="46">
        <f>IFERROR(__xludf.DUMMYFUNCTION("""COMPUTED_VALUE"""),1854.0)</f>
        <v>1854</v>
      </c>
      <c r="H908" s="46">
        <f>IFERROR(__xludf.DUMMYFUNCTION("""COMPUTED_VALUE"""),151527.42)</f>
        <v>151527.42</v>
      </c>
      <c r="I908" s="46">
        <f>IFERROR(__xludf.DUMMYFUNCTION("""COMPUTED_VALUE"""),105066.18000000001)</f>
        <v>105066.18</v>
      </c>
      <c r="J908" s="46">
        <f>IFERROR(__xludf.DUMMYFUNCTION("""COMPUTED_VALUE"""),46461.240000000005)</f>
        <v>46461.24</v>
      </c>
      <c r="K908" s="46" t="str">
        <f t="array" ref="K908">TEXT(D908, "mmmm")</f>
        <v>May</v>
      </c>
      <c r="M908" s="46" t="str">
        <f>IFERROR(__xludf.DUMMYFUNCTION("""COMPUTED_VALUE"""),"Bulgaria")</f>
        <v>Bulgaria</v>
      </c>
      <c r="N908" s="94">
        <f>IFERROR(__xludf.DUMMYFUNCTION("""COMPUTED_VALUE"""),42401.0)</f>
        <v>42401</v>
      </c>
      <c r="O908" s="46">
        <f>IFERROR(__xludf.DUMMYFUNCTION("""COMPUTED_VALUE"""),1.0)</f>
        <v>1</v>
      </c>
      <c r="P908" s="46">
        <f>IFERROR(__xludf.DUMMYFUNCTION("""COMPUTED_VALUE"""),2807.0)</f>
        <v>2807</v>
      </c>
      <c r="Q908" s="46">
        <f>IFERROR(__xludf.DUMMYFUNCTION("""COMPUTED_VALUE"""),133192.15)</f>
        <v>133192.15</v>
      </c>
      <c r="R908" s="46">
        <f>IFERROR(__xludf.DUMMYFUNCTION("""COMPUTED_VALUE"""),89234.53)</f>
        <v>89234.53</v>
      </c>
      <c r="S908" s="46">
        <f>IFERROR(__xludf.DUMMYFUNCTION("""COMPUTED_VALUE"""),43957.619999999995)</f>
        <v>43957.62</v>
      </c>
    </row>
    <row r="909">
      <c r="A909" s="46" t="str">
        <f>IFERROR(__xludf.DUMMYFUNCTION("""COMPUTED_VALUE"""),"Snacks")</f>
        <v>Snacks</v>
      </c>
      <c r="B909" s="46" t="str">
        <f>IFERROR(__xludf.DUMMYFUNCTION("""COMPUTED_VALUE"""),"Sweden")</f>
        <v>Sweden</v>
      </c>
      <c r="C909" s="46" t="str">
        <f>IFERROR(__xludf.DUMMYFUNCTION("""COMPUTED_VALUE"""),"Europe")</f>
        <v>Europe</v>
      </c>
      <c r="D909" s="90">
        <f>IFERROR(__xludf.DUMMYFUNCTION("""COMPUTED_VALUE"""),41030.0)</f>
        <v>41030</v>
      </c>
      <c r="E909" s="46">
        <f>IFERROR(__xludf.DUMMYFUNCTION("""COMPUTED_VALUE"""),2012.0)</f>
        <v>2012</v>
      </c>
      <c r="F909" s="46">
        <f>IFERROR(__xludf.DUMMYFUNCTION("""COMPUTED_VALUE"""),1.0)</f>
        <v>1</v>
      </c>
      <c r="G909" s="46">
        <f>IFERROR(__xludf.DUMMYFUNCTION("""COMPUTED_VALUE"""),4316.0)</f>
        <v>4316</v>
      </c>
      <c r="H909" s="46">
        <f>IFERROR(__xludf.DUMMYFUNCTION("""COMPUTED_VALUE"""),658535.28)</f>
        <v>658535.28</v>
      </c>
      <c r="I909" s="46">
        <f>IFERROR(__xludf.DUMMYFUNCTION("""COMPUTED_VALUE"""),420551.04)</f>
        <v>420551.04</v>
      </c>
      <c r="J909" s="46">
        <f>IFERROR(__xludf.DUMMYFUNCTION("""COMPUTED_VALUE"""),237984.24000000005)</f>
        <v>237984.24</v>
      </c>
      <c r="K909" s="46" t="str">
        <f t="array" ref="K909">TEXT(D909, "mmmm")</f>
        <v>May</v>
      </c>
      <c r="M909" s="46" t="str">
        <f>IFERROR(__xludf.DUMMYFUNCTION("""COMPUTED_VALUE"""),"Denmark")</f>
        <v>Denmark</v>
      </c>
      <c r="N909" s="94">
        <f>IFERROR(__xludf.DUMMYFUNCTION("""COMPUTED_VALUE"""),42401.0)</f>
        <v>42401</v>
      </c>
      <c r="O909" s="46">
        <f>IFERROR(__xludf.DUMMYFUNCTION("""COMPUTED_VALUE"""),1.0)</f>
        <v>1</v>
      </c>
      <c r="P909" s="46">
        <f>IFERROR(__xludf.DUMMYFUNCTION("""COMPUTED_VALUE"""),8451.0)</f>
        <v>8451</v>
      </c>
      <c r="Q909" s="46">
        <f>IFERROR(__xludf.DUMMYFUNCTION("""COMPUTED_VALUE"""),690700.23)</f>
        <v>690700.23</v>
      </c>
      <c r="R909" s="46">
        <f>IFERROR(__xludf.DUMMYFUNCTION("""COMPUTED_VALUE"""),478918.17000000004)</f>
        <v>478918.17</v>
      </c>
      <c r="S909" s="46">
        <f>IFERROR(__xludf.DUMMYFUNCTION("""COMPUTED_VALUE"""),211782.05999999994)</f>
        <v>211782.06</v>
      </c>
    </row>
    <row r="910">
      <c r="A910" s="46" t="str">
        <f>IFERROR(__xludf.DUMMYFUNCTION("""COMPUTED_VALUE"""),"Beverages")</f>
        <v>Beverages</v>
      </c>
      <c r="B910" s="46" t="str">
        <f>IFERROR(__xludf.DUMMYFUNCTION("""COMPUTED_VALUE"""),"Austria")</f>
        <v>Austria</v>
      </c>
      <c r="C910" s="46" t="str">
        <f>IFERROR(__xludf.DUMMYFUNCTION("""COMPUTED_VALUE"""),"Europe")</f>
        <v>Europe</v>
      </c>
      <c r="D910" s="90">
        <f>IFERROR(__xludf.DUMMYFUNCTION("""COMPUTED_VALUE"""),41000.0)</f>
        <v>41000</v>
      </c>
      <c r="E910" s="46">
        <f>IFERROR(__xludf.DUMMYFUNCTION("""COMPUTED_VALUE"""),2012.0)</f>
        <v>2012</v>
      </c>
      <c r="F910" s="46">
        <f>IFERROR(__xludf.DUMMYFUNCTION("""COMPUTED_VALUE"""),1.0)</f>
        <v>1</v>
      </c>
      <c r="G910" s="46">
        <f>IFERROR(__xludf.DUMMYFUNCTION("""COMPUTED_VALUE"""),8863.0)</f>
        <v>8863</v>
      </c>
      <c r="H910" s="46">
        <f>IFERROR(__xludf.DUMMYFUNCTION("""COMPUTED_VALUE"""),420549.35000000003)</f>
        <v>420549.35</v>
      </c>
      <c r="I910" s="46">
        <f>IFERROR(__xludf.DUMMYFUNCTION("""COMPUTED_VALUE"""),281754.77)</f>
        <v>281754.77</v>
      </c>
      <c r="J910" s="46">
        <f>IFERROR(__xludf.DUMMYFUNCTION("""COMPUTED_VALUE"""),138794.58000000002)</f>
        <v>138794.58</v>
      </c>
      <c r="K910" s="46" t="str">
        <f t="array" ref="K910">TEXT(D910, "mmmm")</f>
        <v>April</v>
      </c>
      <c r="M910" s="46" t="str">
        <f>IFERROR(__xludf.DUMMYFUNCTION("""COMPUTED_VALUE"""),"Estonia")</f>
        <v>Estonia</v>
      </c>
      <c r="N910" s="94">
        <f>IFERROR(__xludf.DUMMYFUNCTION("""COMPUTED_VALUE"""),42401.0)</f>
        <v>42401</v>
      </c>
      <c r="O910" s="46">
        <f>IFERROR(__xludf.DUMMYFUNCTION("""COMPUTED_VALUE"""),2.0)</f>
        <v>2</v>
      </c>
      <c r="P910" s="46">
        <f>IFERROR(__xludf.DUMMYFUNCTION("""COMPUTED_VALUE"""),18097.0)</f>
        <v>18097</v>
      </c>
      <c r="Q910" s="46">
        <f>IFERROR(__xludf.DUMMYFUNCTION("""COMPUTED_VALUE"""),858702.65)</f>
        <v>858702.65</v>
      </c>
      <c r="R910" s="46">
        <f>IFERROR(__xludf.DUMMYFUNCTION("""COMPUTED_VALUE"""),575303.63)</f>
        <v>575303.63</v>
      </c>
      <c r="S910" s="46">
        <f>IFERROR(__xludf.DUMMYFUNCTION("""COMPUTED_VALUE"""),283399.02)</f>
        <v>283399.02</v>
      </c>
    </row>
    <row r="911">
      <c r="A911" s="46" t="str">
        <f>IFERROR(__xludf.DUMMYFUNCTION("""COMPUTED_VALUE"""),"Clothes")</f>
        <v>Clothes</v>
      </c>
      <c r="B911" s="46" t="str">
        <f>IFERROR(__xludf.DUMMYFUNCTION("""COMPUTED_VALUE"""),"Italy")</f>
        <v>Italy</v>
      </c>
      <c r="C911" s="46" t="str">
        <f>IFERROR(__xludf.DUMMYFUNCTION("""COMPUTED_VALUE"""),"Europe")</f>
        <v>Europe</v>
      </c>
      <c r="D911" s="90">
        <f>IFERROR(__xludf.DUMMYFUNCTION("""COMPUTED_VALUE"""),41000.0)</f>
        <v>41000</v>
      </c>
      <c r="E911" s="46">
        <f>IFERROR(__xludf.DUMMYFUNCTION("""COMPUTED_VALUE"""),2012.0)</f>
        <v>2012</v>
      </c>
      <c r="F911" s="46">
        <f>IFERROR(__xludf.DUMMYFUNCTION("""COMPUTED_VALUE"""),1.0)</f>
        <v>1</v>
      </c>
      <c r="G911" s="46">
        <f>IFERROR(__xludf.DUMMYFUNCTION("""COMPUTED_VALUE"""),6360.0)</f>
        <v>6360</v>
      </c>
      <c r="H911" s="46">
        <f>IFERROR(__xludf.DUMMYFUNCTION("""COMPUTED_VALUE"""),695020.8)</f>
        <v>695020.8</v>
      </c>
      <c r="I911" s="46">
        <f>IFERROR(__xludf.DUMMYFUNCTION("""COMPUTED_VALUE"""),227942.40000000002)</f>
        <v>227942.4</v>
      </c>
      <c r="J911" s="46">
        <f>IFERROR(__xludf.DUMMYFUNCTION("""COMPUTED_VALUE"""),467078.4)</f>
        <v>467078.4</v>
      </c>
      <c r="K911" s="46" t="str">
        <f t="array" ref="K911">TEXT(D911, "mmmm")</f>
        <v>April</v>
      </c>
      <c r="M911" s="46" t="str">
        <f>IFERROR(__xludf.DUMMYFUNCTION("""COMPUTED_VALUE"""),"France")</f>
        <v>France</v>
      </c>
      <c r="N911" s="94">
        <f>IFERROR(__xludf.DUMMYFUNCTION("""COMPUTED_VALUE"""),42401.0)</f>
        <v>42401</v>
      </c>
      <c r="O911" s="46">
        <f>IFERROR(__xludf.DUMMYFUNCTION("""COMPUTED_VALUE"""),1.0)</f>
        <v>1</v>
      </c>
      <c r="P911" s="46">
        <f>IFERROR(__xludf.DUMMYFUNCTION("""COMPUTED_VALUE"""),8993.0)</f>
        <v>8993</v>
      </c>
      <c r="Q911" s="46">
        <f>IFERROR(__xludf.DUMMYFUNCTION("""COMPUTED_VALUE"""),1849860.0999999999)</f>
        <v>1849860.1</v>
      </c>
      <c r="R911" s="46">
        <f>IFERROR(__xludf.DUMMYFUNCTION("""COMPUTED_VALUE"""),1053170.23)</f>
        <v>1053170.23</v>
      </c>
      <c r="S911" s="46">
        <f>IFERROR(__xludf.DUMMYFUNCTION("""COMPUTED_VALUE"""),796689.8699999999)</f>
        <v>796689.87</v>
      </c>
    </row>
    <row r="912">
      <c r="A912" s="46" t="str">
        <f>IFERROR(__xludf.DUMMYFUNCTION("""COMPUTED_VALUE"""),"Clothes")</f>
        <v>Clothes</v>
      </c>
      <c r="B912" s="46" t="str">
        <f>IFERROR(__xludf.DUMMYFUNCTION("""COMPUTED_VALUE"""),"Lithuania")</f>
        <v>Lithuania</v>
      </c>
      <c r="C912" s="46" t="str">
        <f>IFERROR(__xludf.DUMMYFUNCTION("""COMPUTED_VALUE"""),"Europe")</f>
        <v>Europe</v>
      </c>
      <c r="D912" s="90">
        <f>IFERROR(__xludf.DUMMYFUNCTION("""COMPUTED_VALUE"""),41000.0)</f>
        <v>41000</v>
      </c>
      <c r="E912" s="46">
        <f>IFERROR(__xludf.DUMMYFUNCTION("""COMPUTED_VALUE"""),2012.0)</f>
        <v>2012</v>
      </c>
      <c r="F912" s="46">
        <f>IFERROR(__xludf.DUMMYFUNCTION("""COMPUTED_VALUE"""),1.0)</f>
        <v>1</v>
      </c>
      <c r="G912" s="46">
        <f>IFERROR(__xludf.DUMMYFUNCTION("""COMPUTED_VALUE"""),5370.0)</f>
        <v>5370</v>
      </c>
      <c r="H912" s="46">
        <f>IFERROR(__xludf.DUMMYFUNCTION("""COMPUTED_VALUE"""),586833.6)</f>
        <v>586833.6</v>
      </c>
      <c r="I912" s="46">
        <f>IFERROR(__xludf.DUMMYFUNCTION("""COMPUTED_VALUE"""),192460.80000000002)</f>
        <v>192460.8</v>
      </c>
      <c r="J912" s="46">
        <f>IFERROR(__xludf.DUMMYFUNCTION("""COMPUTED_VALUE"""),394372.79999999993)</f>
        <v>394372.8</v>
      </c>
      <c r="K912" s="46" t="str">
        <f t="array" ref="K912">TEXT(D912, "mmmm")</f>
        <v>April</v>
      </c>
      <c r="M912" s="46" t="str">
        <f>IFERROR(__xludf.DUMMYFUNCTION("""COMPUTED_VALUE"""),"Germany")</f>
        <v>Germany</v>
      </c>
      <c r="N912" s="94">
        <f>IFERROR(__xludf.DUMMYFUNCTION("""COMPUTED_VALUE"""),42401.0)</f>
        <v>42401</v>
      </c>
      <c r="O912" s="46">
        <f>IFERROR(__xludf.DUMMYFUNCTION("""COMPUTED_VALUE"""),1.0)</f>
        <v>1</v>
      </c>
      <c r="P912" s="46">
        <f>IFERROR(__xludf.DUMMYFUNCTION("""COMPUTED_VALUE"""),8702.0)</f>
        <v>8702</v>
      </c>
      <c r="Q912" s="46">
        <f>IFERROR(__xludf.DUMMYFUNCTION("""COMPUTED_VALUE"""),711214.4600000001)</f>
        <v>711214.46</v>
      </c>
      <c r="R912" s="46">
        <f>IFERROR(__xludf.DUMMYFUNCTION("""COMPUTED_VALUE"""),493142.34)</f>
        <v>493142.34</v>
      </c>
      <c r="S912" s="46">
        <f>IFERROR(__xludf.DUMMYFUNCTION("""COMPUTED_VALUE"""),218072.12000000005)</f>
        <v>218072.12</v>
      </c>
    </row>
    <row r="913">
      <c r="A913" s="46" t="str">
        <f>IFERROR(__xludf.DUMMYFUNCTION("""COMPUTED_VALUE"""),"Clothes")</f>
        <v>Clothes</v>
      </c>
      <c r="B913" s="46" t="str">
        <f>IFERROR(__xludf.DUMMYFUNCTION("""COMPUTED_VALUE"""),"Netherlands")</f>
        <v>Netherlands</v>
      </c>
      <c r="C913" s="46" t="str">
        <f>IFERROR(__xludf.DUMMYFUNCTION("""COMPUTED_VALUE"""),"Europe")</f>
        <v>Europe</v>
      </c>
      <c r="D913" s="90">
        <f>IFERROR(__xludf.DUMMYFUNCTION("""COMPUTED_VALUE"""),41000.0)</f>
        <v>41000</v>
      </c>
      <c r="E913" s="46">
        <f>IFERROR(__xludf.DUMMYFUNCTION("""COMPUTED_VALUE"""),2012.0)</f>
        <v>2012</v>
      </c>
      <c r="F913" s="46">
        <f>IFERROR(__xludf.DUMMYFUNCTION("""COMPUTED_VALUE"""),1.0)</f>
        <v>1</v>
      </c>
      <c r="G913" s="46">
        <f>IFERROR(__xludf.DUMMYFUNCTION("""COMPUTED_VALUE"""),2979.0)</f>
        <v>2979</v>
      </c>
      <c r="H913" s="46">
        <f>IFERROR(__xludf.DUMMYFUNCTION("""COMPUTED_VALUE"""),325545.12)</f>
        <v>325545.12</v>
      </c>
      <c r="I913" s="46">
        <f>IFERROR(__xludf.DUMMYFUNCTION("""COMPUTED_VALUE"""),106767.36000000002)</f>
        <v>106767.36</v>
      </c>
      <c r="J913" s="46">
        <f>IFERROR(__xludf.DUMMYFUNCTION("""COMPUTED_VALUE"""),218777.75999999998)</f>
        <v>218777.76</v>
      </c>
      <c r="K913" s="46" t="str">
        <f t="array" ref="K913">TEXT(D913, "mmmm")</f>
        <v>April</v>
      </c>
      <c r="M913" s="46" t="str">
        <f>IFERROR(__xludf.DUMMYFUNCTION("""COMPUTED_VALUE"""),"Italy")</f>
        <v>Italy</v>
      </c>
      <c r="N913" s="94">
        <f>IFERROR(__xludf.DUMMYFUNCTION("""COMPUTED_VALUE"""),42401.0)</f>
        <v>42401</v>
      </c>
      <c r="O913" s="46">
        <f>IFERROR(__xludf.DUMMYFUNCTION("""COMPUTED_VALUE"""),1.0)</f>
        <v>1</v>
      </c>
      <c r="P913" s="46">
        <f>IFERROR(__xludf.DUMMYFUNCTION("""COMPUTED_VALUE"""),233.0)</f>
        <v>233</v>
      </c>
      <c r="Q913" s="46">
        <f>IFERROR(__xludf.DUMMYFUNCTION("""COMPUTED_VALUE"""),98300.37)</f>
        <v>98300.37</v>
      </c>
      <c r="R913" s="46">
        <f>IFERROR(__xludf.DUMMYFUNCTION("""COMPUTED_VALUE"""),84972.77)</f>
        <v>84972.77</v>
      </c>
      <c r="S913" s="46">
        <f>IFERROR(__xludf.DUMMYFUNCTION("""COMPUTED_VALUE"""),13327.599999999991)</f>
        <v>13327.6</v>
      </c>
    </row>
    <row r="914">
      <c r="A914" s="46" t="str">
        <f>IFERROR(__xludf.DUMMYFUNCTION("""COMPUTED_VALUE"""),"Clothes")</f>
        <v>Clothes</v>
      </c>
      <c r="B914" s="46" t="str">
        <f>IFERROR(__xludf.DUMMYFUNCTION("""COMPUTED_VALUE"""),"Norway")</f>
        <v>Norway</v>
      </c>
      <c r="C914" s="46" t="str">
        <f>IFERROR(__xludf.DUMMYFUNCTION("""COMPUTED_VALUE"""),"Europe")</f>
        <v>Europe</v>
      </c>
      <c r="D914" s="90">
        <f>IFERROR(__xludf.DUMMYFUNCTION("""COMPUTED_VALUE"""),41000.0)</f>
        <v>41000</v>
      </c>
      <c r="E914" s="46">
        <f>IFERROR(__xludf.DUMMYFUNCTION("""COMPUTED_VALUE"""),2012.0)</f>
        <v>2012</v>
      </c>
      <c r="F914" s="46">
        <f>IFERROR(__xludf.DUMMYFUNCTION("""COMPUTED_VALUE"""),1.0)</f>
        <v>1</v>
      </c>
      <c r="G914" s="46">
        <f>IFERROR(__xludf.DUMMYFUNCTION("""COMPUTED_VALUE"""),8938.0)</f>
        <v>8938</v>
      </c>
      <c r="H914" s="46">
        <f>IFERROR(__xludf.DUMMYFUNCTION("""COMPUTED_VALUE"""),976744.64)</f>
        <v>976744.64</v>
      </c>
      <c r="I914" s="46">
        <f>IFERROR(__xludf.DUMMYFUNCTION("""COMPUTED_VALUE"""),320337.92000000004)</f>
        <v>320337.92</v>
      </c>
      <c r="J914" s="46">
        <f>IFERROR(__xludf.DUMMYFUNCTION("""COMPUTED_VALUE"""),656406.72)</f>
        <v>656406.72</v>
      </c>
      <c r="K914" s="46" t="str">
        <f t="array" ref="K914">TEXT(D914, "mmmm")</f>
        <v>April</v>
      </c>
      <c r="M914" s="46" t="str">
        <f>IFERROR(__xludf.DUMMYFUNCTION("""COMPUTED_VALUE"""),"Latvia")</f>
        <v>Latvia</v>
      </c>
      <c r="N914" s="94">
        <f>IFERROR(__xludf.DUMMYFUNCTION("""COMPUTED_VALUE"""),42401.0)</f>
        <v>42401</v>
      </c>
      <c r="O914" s="46">
        <f>IFERROR(__xludf.DUMMYFUNCTION("""COMPUTED_VALUE"""),1.0)</f>
        <v>1</v>
      </c>
      <c r="P914" s="46">
        <f>IFERROR(__xludf.DUMMYFUNCTION("""COMPUTED_VALUE"""),9014.0)</f>
        <v>9014</v>
      </c>
      <c r="Q914" s="46">
        <f>IFERROR(__xludf.DUMMYFUNCTION("""COMPUTED_VALUE"""),427714.30000000005)</f>
        <v>427714.3</v>
      </c>
      <c r="R914" s="46">
        <f>IFERROR(__xludf.DUMMYFUNCTION("""COMPUTED_VALUE"""),286555.06)</f>
        <v>286555.06</v>
      </c>
      <c r="S914" s="46">
        <f>IFERROR(__xludf.DUMMYFUNCTION("""COMPUTED_VALUE"""),141159.24000000005)</f>
        <v>141159.24</v>
      </c>
    </row>
    <row r="915">
      <c r="A915" s="46" t="str">
        <f>IFERROR(__xludf.DUMMYFUNCTION("""COMPUTED_VALUE"""),"Cosmetics")</f>
        <v>Cosmetics</v>
      </c>
      <c r="B915" s="46" t="str">
        <f>IFERROR(__xludf.DUMMYFUNCTION("""COMPUTED_VALUE"""),"Andorra")</f>
        <v>Andorra</v>
      </c>
      <c r="C915" s="46" t="str">
        <f>IFERROR(__xludf.DUMMYFUNCTION("""COMPUTED_VALUE"""),"Europe")</f>
        <v>Europe</v>
      </c>
      <c r="D915" s="90">
        <f>IFERROR(__xludf.DUMMYFUNCTION("""COMPUTED_VALUE"""),41000.0)</f>
        <v>41000</v>
      </c>
      <c r="E915" s="46">
        <f>IFERROR(__xludf.DUMMYFUNCTION("""COMPUTED_VALUE"""),2012.0)</f>
        <v>2012</v>
      </c>
      <c r="F915" s="46">
        <f>IFERROR(__xludf.DUMMYFUNCTION("""COMPUTED_VALUE"""),1.0)</f>
        <v>1</v>
      </c>
      <c r="G915" s="46">
        <f>IFERROR(__xludf.DUMMYFUNCTION("""COMPUTED_VALUE"""),9780.0)</f>
        <v>9780</v>
      </c>
      <c r="H915" s="46">
        <f>IFERROR(__xludf.DUMMYFUNCTION("""COMPUTED_VALUE"""),4275816.0)</f>
        <v>4275816</v>
      </c>
      <c r="I915" s="46">
        <f>IFERROR(__xludf.DUMMYFUNCTION("""COMPUTED_VALUE"""),2575367.4)</f>
        <v>2575367.4</v>
      </c>
      <c r="J915" s="46">
        <f>IFERROR(__xludf.DUMMYFUNCTION("""COMPUTED_VALUE"""),1700448.6)</f>
        <v>1700448.6</v>
      </c>
      <c r="K915" s="46" t="str">
        <f t="array" ref="K915">TEXT(D915, "mmmm")</f>
        <v>April</v>
      </c>
      <c r="M915" s="46" t="str">
        <f>IFERROR(__xludf.DUMMYFUNCTION("""COMPUTED_VALUE"""),"Macedonia")</f>
        <v>Macedonia</v>
      </c>
      <c r="N915" s="94">
        <f>IFERROR(__xludf.DUMMYFUNCTION("""COMPUTED_VALUE"""),42401.0)</f>
        <v>42401</v>
      </c>
      <c r="O915" s="46">
        <f>IFERROR(__xludf.DUMMYFUNCTION("""COMPUTED_VALUE"""),1.0)</f>
        <v>1</v>
      </c>
      <c r="P915" s="46">
        <f>IFERROR(__xludf.DUMMYFUNCTION("""COMPUTED_VALUE"""),4695.0)</f>
        <v>4695</v>
      </c>
      <c r="Q915" s="46">
        <f>IFERROR(__xludf.DUMMYFUNCTION("""COMPUTED_VALUE"""),222777.75)</f>
        <v>222777.75</v>
      </c>
      <c r="R915" s="46">
        <f>IFERROR(__xludf.DUMMYFUNCTION("""COMPUTED_VALUE"""),149254.05)</f>
        <v>149254.05</v>
      </c>
      <c r="S915" s="46">
        <f>IFERROR(__xludf.DUMMYFUNCTION("""COMPUTED_VALUE"""),73523.70000000001)</f>
        <v>73523.7</v>
      </c>
    </row>
    <row r="916">
      <c r="A916" s="46" t="str">
        <f>IFERROR(__xludf.DUMMYFUNCTION("""COMPUTED_VALUE"""),"Cosmetics")</f>
        <v>Cosmetics</v>
      </c>
      <c r="B916" s="46" t="str">
        <f>IFERROR(__xludf.DUMMYFUNCTION("""COMPUTED_VALUE"""),"Iceland")</f>
        <v>Iceland</v>
      </c>
      <c r="C916" s="46" t="str">
        <f>IFERROR(__xludf.DUMMYFUNCTION("""COMPUTED_VALUE"""),"Europe")</f>
        <v>Europe</v>
      </c>
      <c r="D916" s="90">
        <f>IFERROR(__xludf.DUMMYFUNCTION("""COMPUTED_VALUE"""),41000.0)</f>
        <v>41000</v>
      </c>
      <c r="E916" s="46">
        <f>IFERROR(__xludf.DUMMYFUNCTION("""COMPUTED_VALUE"""),2012.0)</f>
        <v>2012</v>
      </c>
      <c r="F916" s="46">
        <f>IFERROR(__xludf.DUMMYFUNCTION("""COMPUTED_VALUE"""),1.0)</f>
        <v>1</v>
      </c>
      <c r="G916" s="46">
        <f>IFERROR(__xludf.DUMMYFUNCTION("""COMPUTED_VALUE"""),3743.0)</f>
        <v>3743</v>
      </c>
      <c r="H916" s="46">
        <f>IFERROR(__xludf.DUMMYFUNCTION("""COMPUTED_VALUE"""),1636439.5999999999)</f>
        <v>1636439.6</v>
      </c>
      <c r="I916" s="46">
        <f>IFERROR(__xludf.DUMMYFUNCTION("""COMPUTED_VALUE"""),985644.19)</f>
        <v>985644.19</v>
      </c>
      <c r="J916" s="46">
        <f>IFERROR(__xludf.DUMMYFUNCTION("""COMPUTED_VALUE"""),650795.4099999999)</f>
        <v>650795.41</v>
      </c>
      <c r="K916" s="46" t="str">
        <f t="array" ref="K916">TEXT(D916, "mmmm")</f>
        <v>April</v>
      </c>
      <c r="M916" s="46" t="str">
        <f>IFERROR(__xludf.DUMMYFUNCTION("""COMPUTED_VALUE"""),"Montenegro")</f>
        <v>Montenegro</v>
      </c>
      <c r="N916" s="94">
        <f>IFERROR(__xludf.DUMMYFUNCTION("""COMPUTED_VALUE"""),42401.0)</f>
        <v>42401</v>
      </c>
      <c r="O916" s="46">
        <f>IFERROR(__xludf.DUMMYFUNCTION("""COMPUTED_VALUE"""),1.0)</f>
        <v>1</v>
      </c>
      <c r="P916" s="46">
        <f>IFERROR(__xludf.DUMMYFUNCTION("""COMPUTED_VALUE"""),616.0)</f>
        <v>616</v>
      </c>
      <c r="Q916" s="46">
        <f>IFERROR(__xludf.DUMMYFUNCTION("""COMPUTED_VALUE"""),157252.48)</f>
        <v>157252.48</v>
      </c>
      <c r="R916" s="46">
        <f>IFERROR(__xludf.DUMMYFUNCTION("""COMPUTED_VALUE"""),98202.71999999999)</f>
        <v>98202.72</v>
      </c>
      <c r="S916" s="46">
        <f>IFERROR(__xludf.DUMMYFUNCTION("""COMPUTED_VALUE"""),59049.760000000024)</f>
        <v>59049.76</v>
      </c>
    </row>
    <row r="917">
      <c r="A917" s="46" t="str">
        <f>IFERROR(__xludf.DUMMYFUNCTION("""COMPUTED_VALUE"""),"Fruits")</f>
        <v>Fruits</v>
      </c>
      <c r="B917" s="46" t="str">
        <f>IFERROR(__xludf.DUMMYFUNCTION("""COMPUTED_VALUE"""),"Norway")</f>
        <v>Norway</v>
      </c>
      <c r="C917" s="46" t="str">
        <f>IFERROR(__xludf.DUMMYFUNCTION("""COMPUTED_VALUE"""),"Europe")</f>
        <v>Europe</v>
      </c>
      <c r="D917" s="90">
        <f>IFERROR(__xludf.DUMMYFUNCTION("""COMPUTED_VALUE"""),41000.0)</f>
        <v>41000</v>
      </c>
      <c r="E917" s="46">
        <f>IFERROR(__xludf.DUMMYFUNCTION("""COMPUTED_VALUE"""),2012.0)</f>
        <v>2012</v>
      </c>
      <c r="F917" s="46">
        <f>IFERROR(__xludf.DUMMYFUNCTION("""COMPUTED_VALUE"""),1.0)</f>
        <v>1</v>
      </c>
      <c r="G917" s="46">
        <f>IFERROR(__xludf.DUMMYFUNCTION("""COMPUTED_VALUE"""),7008.0)</f>
        <v>7008</v>
      </c>
      <c r="H917" s="46">
        <f>IFERROR(__xludf.DUMMYFUNCTION("""COMPUTED_VALUE"""),65384.64)</f>
        <v>65384.64</v>
      </c>
      <c r="I917" s="46">
        <f>IFERROR(__xludf.DUMMYFUNCTION("""COMPUTED_VALUE"""),48495.36)</f>
        <v>48495.36</v>
      </c>
      <c r="J917" s="46">
        <f>IFERROR(__xludf.DUMMYFUNCTION("""COMPUTED_VALUE"""),16889.28)</f>
        <v>16889.28</v>
      </c>
      <c r="K917" s="46" t="str">
        <f t="array" ref="K917">TEXT(D917, "mmmm")</f>
        <v>April</v>
      </c>
      <c r="M917" s="46" t="str">
        <f>IFERROR(__xludf.DUMMYFUNCTION("""COMPUTED_VALUE"""),"Norway")</f>
        <v>Norway</v>
      </c>
      <c r="N917" s="94">
        <f>IFERROR(__xludf.DUMMYFUNCTION("""COMPUTED_VALUE"""),42401.0)</f>
        <v>42401</v>
      </c>
      <c r="O917" s="46">
        <f>IFERROR(__xludf.DUMMYFUNCTION("""COMPUTED_VALUE"""),1.0)</f>
        <v>1</v>
      </c>
      <c r="P917" s="46">
        <f>IFERROR(__xludf.DUMMYFUNCTION("""COMPUTED_VALUE"""),3293.0)</f>
        <v>3293</v>
      </c>
      <c r="Q917" s="46">
        <f>IFERROR(__xludf.DUMMYFUNCTION("""COMPUTED_VALUE"""),502445.94000000006)</f>
        <v>502445.94</v>
      </c>
      <c r="R917" s="46">
        <f>IFERROR(__xludf.DUMMYFUNCTION("""COMPUTED_VALUE"""),320869.92)</f>
        <v>320869.92</v>
      </c>
      <c r="S917" s="46">
        <f>IFERROR(__xludf.DUMMYFUNCTION("""COMPUTED_VALUE"""),181576.02000000008)</f>
        <v>181576.02</v>
      </c>
    </row>
    <row r="918">
      <c r="A918" s="46" t="str">
        <f>IFERROR(__xludf.DUMMYFUNCTION("""COMPUTED_VALUE"""),"Household")</f>
        <v>Household</v>
      </c>
      <c r="B918" s="46" t="str">
        <f>IFERROR(__xludf.DUMMYFUNCTION("""COMPUTED_VALUE"""),"Bulgaria")</f>
        <v>Bulgaria</v>
      </c>
      <c r="C918" s="46" t="str">
        <f>IFERROR(__xludf.DUMMYFUNCTION("""COMPUTED_VALUE"""),"Europe")</f>
        <v>Europe</v>
      </c>
      <c r="D918" s="90">
        <f>IFERROR(__xludf.DUMMYFUNCTION("""COMPUTED_VALUE"""),41000.0)</f>
        <v>41000</v>
      </c>
      <c r="E918" s="46">
        <f>IFERROR(__xludf.DUMMYFUNCTION("""COMPUTED_VALUE"""),2012.0)</f>
        <v>2012</v>
      </c>
      <c r="F918" s="46">
        <f>IFERROR(__xludf.DUMMYFUNCTION("""COMPUTED_VALUE"""),1.0)</f>
        <v>1</v>
      </c>
      <c r="G918" s="46">
        <f>IFERROR(__xludf.DUMMYFUNCTION("""COMPUTED_VALUE"""),5871.0)</f>
        <v>5871</v>
      </c>
      <c r="H918" s="46">
        <f>IFERROR(__xludf.DUMMYFUNCTION("""COMPUTED_VALUE"""),3923413.17)</f>
        <v>3923413.17</v>
      </c>
      <c r="I918" s="46">
        <f>IFERROR(__xludf.DUMMYFUNCTION("""COMPUTED_VALUE"""),2950412.3400000003)</f>
        <v>2950412.34</v>
      </c>
      <c r="J918" s="46">
        <f>IFERROR(__xludf.DUMMYFUNCTION("""COMPUTED_VALUE"""),973000.8299999996)</f>
        <v>973000.83</v>
      </c>
      <c r="K918" s="46" t="str">
        <f t="array" ref="K918">TEXT(D918, "mmmm")</f>
        <v>April</v>
      </c>
      <c r="M918" s="46" t="str">
        <f>IFERROR(__xludf.DUMMYFUNCTION("""COMPUTED_VALUE"""),"Poland")</f>
        <v>Poland</v>
      </c>
      <c r="N918" s="94">
        <f>IFERROR(__xludf.DUMMYFUNCTION("""COMPUTED_VALUE"""),42401.0)</f>
        <v>42401</v>
      </c>
      <c r="O918" s="46">
        <f>IFERROR(__xludf.DUMMYFUNCTION("""COMPUTED_VALUE"""),2.0)</f>
        <v>2</v>
      </c>
      <c r="P918" s="46">
        <f>IFERROR(__xludf.DUMMYFUNCTION("""COMPUTED_VALUE"""),7660.0)</f>
        <v>7660</v>
      </c>
      <c r="Q918" s="46">
        <f>IFERROR(__xludf.DUMMYFUNCTION("""COMPUTED_VALUE"""),1354704.1)</f>
        <v>1354704.1</v>
      </c>
      <c r="R918" s="46">
        <f>IFERROR(__xludf.DUMMYFUNCTION("""COMPUTED_VALUE"""),814669.05)</f>
        <v>814669.05</v>
      </c>
      <c r="S918" s="46">
        <f>IFERROR(__xludf.DUMMYFUNCTION("""COMPUTED_VALUE"""),540035.0499999999)</f>
        <v>540035.05</v>
      </c>
    </row>
    <row r="919">
      <c r="A919" s="46" t="str">
        <f>IFERROR(__xludf.DUMMYFUNCTION("""COMPUTED_VALUE"""),"Household")</f>
        <v>Household</v>
      </c>
      <c r="B919" s="46" t="str">
        <f>IFERROR(__xludf.DUMMYFUNCTION("""COMPUTED_VALUE"""),"Spain")</f>
        <v>Spain</v>
      </c>
      <c r="C919" s="46" t="str">
        <f>IFERROR(__xludf.DUMMYFUNCTION("""COMPUTED_VALUE"""),"Europe")</f>
        <v>Europe</v>
      </c>
      <c r="D919" s="90">
        <f>IFERROR(__xludf.DUMMYFUNCTION("""COMPUTED_VALUE"""),41000.0)</f>
        <v>41000</v>
      </c>
      <c r="E919" s="46">
        <f>IFERROR(__xludf.DUMMYFUNCTION("""COMPUTED_VALUE"""),2012.0)</f>
        <v>2012</v>
      </c>
      <c r="F919" s="46">
        <f>IFERROR(__xludf.DUMMYFUNCTION("""COMPUTED_VALUE"""),1.0)</f>
        <v>1</v>
      </c>
      <c r="G919" s="46">
        <f>IFERROR(__xludf.DUMMYFUNCTION("""COMPUTED_VALUE"""),2819.0)</f>
        <v>2819</v>
      </c>
      <c r="H919" s="46">
        <f>IFERROR(__xludf.DUMMYFUNCTION("""COMPUTED_VALUE"""),1883853.13)</f>
        <v>1883853.13</v>
      </c>
      <c r="I919" s="46">
        <f>IFERROR(__xludf.DUMMYFUNCTION("""COMPUTED_VALUE"""),1416660.26)</f>
        <v>1416660.26</v>
      </c>
      <c r="J919" s="46">
        <f>IFERROR(__xludf.DUMMYFUNCTION("""COMPUTED_VALUE"""),467192.8699999999)</f>
        <v>467192.87</v>
      </c>
      <c r="K919" s="46" t="str">
        <f t="array" ref="K919">TEXT(D919, "mmmm")</f>
        <v>April</v>
      </c>
      <c r="M919" s="46" t="str">
        <f>IFERROR(__xludf.DUMMYFUNCTION("""COMPUTED_VALUE"""),"Switzerland")</f>
        <v>Switzerland</v>
      </c>
      <c r="N919" s="94">
        <f>IFERROR(__xludf.DUMMYFUNCTION("""COMPUTED_VALUE"""),42401.0)</f>
        <v>42401</v>
      </c>
      <c r="O919" s="46">
        <f>IFERROR(__xludf.DUMMYFUNCTION("""COMPUTED_VALUE"""),1.0)</f>
        <v>1</v>
      </c>
      <c r="P919" s="46">
        <f>IFERROR(__xludf.DUMMYFUNCTION("""COMPUTED_VALUE"""),2204.0)</f>
        <v>2204</v>
      </c>
      <c r="Q919" s="46">
        <f>IFERROR(__xludf.DUMMYFUNCTION("""COMPUTED_VALUE"""),963588.7999999999)</f>
        <v>963588.8</v>
      </c>
      <c r="R919" s="46">
        <f>IFERROR(__xludf.DUMMYFUNCTION("""COMPUTED_VALUE"""),580379.32)</f>
        <v>580379.32</v>
      </c>
      <c r="S919" s="46">
        <f>IFERROR(__xludf.DUMMYFUNCTION("""COMPUTED_VALUE"""),383209.48)</f>
        <v>383209.48</v>
      </c>
    </row>
    <row r="920">
      <c r="A920" s="46" t="str">
        <f>IFERROR(__xludf.DUMMYFUNCTION("""COMPUTED_VALUE"""),"Meat")</f>
        <v>Meat</v>
      </c>
      <c r="B920" s="46" t="str">
        <f>IFERROR(__xludf.DUMMYFUNCTION("""COMPUTED_VALUE"""),"Bulgaria")</f>
        <v>Bulgaria</v>
      </c>
      <c r="C920" s="46" t="str">
        <f>IFERROR(__xludf.DUMMYFUNCTION("""COMPUTED_VALUE"""),"Europe")</f>
        <v>Europe</v>
      </c>
      <c r="D920" s="90">
        <f>IFERROR(__xludf.DUMMYFUNCTION("""COMPUTED_VALUE"""),41000.0)</f>
        <v>41000</v>
      </c>
      <c r="E920" s="46">
        <f>IFERROR(__xludf.DUMMYFUNCTION("""COMPUTED_VALUE"""),2012.0)</f>
        <v>2012</v>
      </c>
      <c r="F920" s="46">
        <f>IFERROR(__xludf.DUMMYFUNCTION("""COMPUTED_VALUE"""),1.0)</f>
        <v>1</v>
      </c>
      <c r="G920" s="46">
        <f>IFERROR(__xludf.DUMMYFUNCTION("""COMPUTED_VALUE"""),6473.0)</f>
        <v>6473</v>
      </c>
      <c r="H920" s="46">
        <f>IFERROR(__xludf.DUMMYFUNCTION("""COMPUTED_VALUE"""),2730893.9699999997)</f>
        <v>2730893.97</v>
      </c>
      <c r="I920" s="46">
        <f>IFERROR(__xludf.DUMMYFUNCTION("""COMPUTED_VALUE"""),2360638.37)</f>
        <v>2360638.37</v>
      </c>
      <c r="J920" s="46">
        <f>IFERROR(__xludf.DUMMYFUNCTION("""COMPUTED_VALUE"""),370255.5999999996)</f>
        <v>370255.6</v>
      </c>
      <c r="K920" s="46" t="str">
        <f t="array" ref="K920">TEXT(D920, "mmmm")</f>
        <v>April</v>
      </c>
      <c r="M920" s="46" t="str">
        <f>IFERROR(__xludf.DUMMYFUNCTION("""COMPUTED_VALUE"""),"Undefined")</f>
        <v>Undefined</v>
      </c>
      <c r="N920" s="94">
        <f>IFERROR(__xludf.DUMMYFUNCTION("""COMPUTED_VALUE"""),42401.0)</f>
        <v>42401</v>
      </c>
      <c r="O920" s="46">
        <f>IFERROR(__xludf.DUMMYFUNCTION("""COMPUTED_VALUE"""),1.0)</f>
        <v>1</v>
      </c>
      <c r="P920" s="46">
        <f>IFERROR(__xludf.DUMMYFUNCTION("""COMPUTED_VALUE"""),920.0)</f>
        <v>920</v>
      </c>
      <c r="Q920" s="46">
        <f>IFERROR(__xludf.DUMMYFUNCTION("""COMPUTED_VALUE"""),75191.6)</f>
        <v>75191.6</v>
      </c>
      <c r="R920" s="46">
        <f>IFERROR(__xludf.DUMMYFUNCTION("""COMPUTED_VALUE"""),52136.4)</f>
        <v>52136.4</v>
      </c>
      <c r="S920" s="46">
        <f>IFERROR(__xludf.DUMMYFUNCTION("""COMPUTED_VALUE"""),23055.200000000004)</f>
        <v>23055.2</v>
      </c>
    </row>
    <row r="921">
      <c r="A921" s="46" t="str">
        <f>IFERROR(__xludf.DUMMYFUNCTION("""COMPUTED_VALUE"""),"Meat")</f>
        <v>Meat</v>
      </c>
      <c r="B921" s="46" t="str">
        <f>IFERROR(__xludf.DUMMYFUNCTION("""COMPUTED_VALUE"""),"Switzerland")</f>
        <v>Switzerland</v>
      </c>
      <c r="C921" s="46" t="str">
        <f>IFERROR(__xludf.DUMMYFUNCTION("""COMPUTED_VALUE"""),"Europe")</f>
        <v>Europe</v>
      </c>
      <c r="D921" s="90">
        <f>IFERROR(__xludf.DUMMYFUNCTION("""COMPUTED_VALUE"""),41000.0)</f>
        <v>41000</v>
      </c>
      <c r="E921" s="46">
        <f>IFERROR(__xludf.DUMMYFUNCTION("""COMPUTED_VALUE"""),2012.0)</f>
        <v>2012</v>
      </c>
      <c r="F921" s="46">
        <f>IFERROR(__xludf.DUMMYFUNCTION("""COMPUTED_VALUE"""),2.0)</f>
        <v>2</v>
      </c>
      <c r="G921" s="46">
        <f>IFERROR(__xludf.DUMMYFUNCTION("""COMPUTED_VALUE"""),11283.0)</f>
        <v>11283</v>
      </c>
      <c r="H921" s="46">
        <f>IFERROR(__xludf.DUMMYFUNCTION("""COMPUTED_VALUE"""),4760184.87)</f>
        <v>4760184.87</v>
      </c>
      <c r="I921" s="46">
        <f>IFERROR(__xludf.DUMMYFUNCTION("""COMPUTED_VALUE"""),4114797.2699999996)</f>
        <v>4114797.27</v>
      </c>
      <c r="J921" s="46">
        <f>IFERROR(__xludf.DUMMYFUNCTION("""COMPUTED_VALUE"""),645387.6000000001)</f>
        <v>645387.6</v>
      </c>
      <c r="K921" s="46" t="str">
        <f t="array" ref="K921">TEXT(D921, "mmmm")</f>
        <v>April</v>
      </c>
      <c r="M921" s="46" t="str">
        <f>IFERROR(__xludf.DUMMYFUNCTION("""COMPUTED_VALUE"""),"Andorra")</f>
        <v>Andorra</v>
      </c>
      <c r="N921" s="94">
        <f>IFERROR(__xludf.DUMMYFUNCTION("""COMPUTED_VALUE"""),42430.0)</f>
        <v>42430</v>
      </c>
      <c r="O921" s="46">
        <f>IFERROR(__xludf.DUMMYFUNCTION("""COMPUTED_VALUE"""),1.0)</f>
        <v>1</v>
      </c>
      <c r="P921" s="46">
        <f>IFERROR(__xludf.DUMMYFUNCTION("""COMPUTED_VALUE"""),5258.0)</f>
        <v>5258</v>
      </c>
      <c r="Q921" s="46">
        <f>IFERROR(__xludf.DUMMYFUNCTION("""COMPUTED_VALUE"""),49057.14)</f>
        <v>49057.14</v>
      </c>
      <c r="R921" s="46">
        <f>IFERROR(__xludf.DUMMYFUNCTION("""COMPUTED_VALUE"""),36385.36)</f>
        <v>36385.36</v>
      </c>
      <c r="S921" s="46">
        <f>IFERROR(__xludf.DUMMYFUNCTION("""COMPUTED_VALUE"""),12671.779999999999)</f>
        <v>12671.78</v>
      </c>
    </row>
    <row r="922">
      <c r="A922" s="46" t="str">
        <f>IFERROR(__xludf.DUMMYFUNCTION("""COMPUTED_VALUE"""),"Personal Care")</f>
        <v>Personal Care</v>
      </c>
      <c r="B922" s="46" t="str">
        <f>IFERROR(__xludf.DUMMYFUNCTION("""COMPUTED_VALUE"""),"Czech Republic")</f>
        <v>Czech Republic</v>
      </c>
      <c r="C922" s="46" t="str">
        <f>IFERROR(__xludf.DUMMYFUNCTION("""COMPUTED_VALUE"""),"Europe")</f>
        <v>Europe</v>
      </c>
      <c r="D922" s="90">
        <f>IFERROR(__xludf.DUMMYFUNCTION("""COMPUTED_VALUE"""),41000.0)</f>
        <v>41000</v>
      </c>
      <c r="E922" s="46">
        <f>IFERROR(__xludf.DUMMYFUNCTION("""COMPUTED_VALUE"""),2012.0)</f>
        <v>2012</v>
      </c>
      <c r="F922" s="46">
        <f>IFERROR(__xludf.DUMMYFUNCTION("""COMPUTED_VALUE"""),1.0)</f>
        <v>1</v>
      </c>
      <c r="G922" s="46">
        <f>IFERROR(__xludf.DUMMYFUNCTION("""COMPUTED_VALUE"""),3095.0)</f>
        <v>3095</v>
      </c>
      <c r="H922" s="46">
        <f>IFERROR(__xludf.DUMMYFUNCTION("""COMPUTED_VALUE"""),252954.35)</f>
        <v>252954.35</v>
      </c>
      <c r="I922" s="46">
        <f>IFERROR(__xludf.DUMMYFUNCTION("""COMPUTED_VALUE"""),175393.65)</f>
        <v>175393.65</v>
      </c>
      <c r="J922" s="46">
        <f>IFERROR(__xludf.DUMMYFUNCTION("""COMPUTED_VALUE"""),77560.70000000001)</f>
        <v>77560.7</v>
      </c>
      <c r="K922" s="46" t="str">
        <f t="array" ref="K922">TEXT(D922, "mmmm")</f>
        <v>April</v>
      </c>
      <c r="M922" s="46" t="str">
        <f>IFERROR(__xludf.DUMMYFUNCTION("""COMPUTED_VALUE"""),"Bulgaria")</f>
        <v>Bulgaria</v>
      </c>
      <c r="N922" s="94">
        <f>IFERROR(__xludf.DUMMYFUNCTION("""COMPUTED_VALUE"""),42430.0)</f>
        <v>42430</v>
      </c>
      <c r="O922" s="46">
        <f>IFERROR(__xludf.DUMMYFUNCTION("""COMPUTED_VALUE"""),1.0)</f>
        <v>1</v>
      </c>
      <c r="P922" s="46">
        <f>IFERROR(__xludf.DUMMYFUNCTION("""COMPUTED_VALUE"""),9394.0)</f>
        <v>9394</v>
      </c>
      <c r="Q922" s="46">
        <f>IFERROR(__xludf.DUMMYFUNCTION("""COMPUTED_VALUE"""),87646.02)</f>
        <v>87646.02</v>
      </c>
      <c r="R922" s="46">
        <f>IFERROR(__xludf.DUMMYFUNCTION("""COMPUTED_VALUE"""),65006.479999999996)</f>
        <v>65006.48</v>
      </c>
      <c r="S922" s="46">
        <f>IFERROR(__xludf.DUMMYFUNCTION("""COMPUTED_VALUE"""),22639.540000000008)</f>
        <v>22639.54</v>
      </c>
    </row>
    <row r="923">
      <c r="A923" s="46" t="str">
        <f>IFERROR(__xludf.DUMMYFUNCTION("""COMPUTED_VALUE"""),"Personal Care")</f>
        <v>Personal Care</v>
      </c>
      <c r="B923" s="46" t="str">
        <f>IFERROR(__xludf.DUMMYFUNCTION("""COMPUTED_VALUE"""),"Ireland")</f>
        <v>Ireland</v>
      </c>
      <c r="C923" s="46" t="str">
        <f>IFERROR(__xludf.DUMMYFUNCTION("""COMPUTED_VALUE"""),"Europe")</f>
        <v>Europe</v>
      </c>
      <c r="D923" s="90">
        <f>IFERROR(__xludf.DUMMYFUNCTION("""COMPUTED_VALUE"""),41000.0)</f>
        <v>41000</v>
      </c>
      <c r="E923" s="46">
        <f>IFERROR(__xludf.DUMMYFUNCTION("""COMPUTED_VALUE"""),2012.0)</f>
        <v>2012</v>
      </c>
      <c r="F923" s="46">
        <f>IFERROR(__xludf.DUMMYFUNCTION("""COMPUTED_VALUE"""),1.0)</f>
        <v>1</v>
      </c>
      <c r="G923" s="46">
        <f>IFERROR(__xludf.DUMMYFUNCTION("""COMPUTED_VALUE"""),5143.0)</f>
        <v>5143</v>
      </c>
      <c r="H923" s="46">
        <f>IFERROR(__xludf.DUMMYFUNCTION("""COMPUTED_VALUE"""),420337.39)</f>
        <v>420337.39</v>
      </c>
      <c r="I923" s="46">
        <f>IFERROR(__xludf.DUMMYFUNCTION("""COMPUTED_VALUE"""),291453.81)</f>
        <v>291453.81</v>
      </c>
      <c r="J923" s="46">
        <f>IFERROR(__xludf.DUMMYFUNCTION("""COMPUTED_VALUE"""),128883.58000000002)</f>
        <v>128883.58</v>
      </c>
      <c r="K923" s="46" t="str">
        <f t="array" ref="K923">TEXT(D923, "mmmm")</f>
        <v>April</v>
      </c>
      <c r="M923" s="46" t="str">
        <f>IFERROR(__xludf.DUMMYFUNCTION("""COMPUTED_VALUE"""),"Cyprus")</f>
        <v>Cyprus</v>
      </c>
      <c r="N923" s="94">
        <f>IFERROR(__xludf.DUMMYFUNCTION("""COMPUTED_VALUE"""),42430.0)</f>
        <v>42430</v>
      </c>
      <c r="O923" s="46">
        <f>IFERROR(__xludf.DUMMYFUNCTION("""COMPUTED_VALUE"""),2.0)</f>
        <v>2</v>
      </c>
      <c r="P923" s="46">
        <f>IFERROR(__xludf.DUMMYFUNCTION("""COMPUTED_VALUE"""),4757.0)</f>
        <v>4757</v>
      </c>
      <c r="Q923" s="46">
        <f>IFERROR(__xludf.DUMMYFUNCTION("""COMPUTED_VALUE"""),1981439.4)</f>
        <v>1981439.4</v>
      </c>
      <c r="R923" s="46">
        <f>IFERROR(__xludf.DUMMYFUNCTION("""COMPUTED_VALUE"""),1703424.02)</f>
        <v>1703424.02</v>
      </c>
      <c r="S923" s="46">
        <f>IFERROR(__xludf.DUMMYFUNCTION("""COMPUTED_VALUE"""),278015.37999999983)</f>
        <v>278015.38</v>
      </c>
    </row>
    <row r="924">
      <c r="A924" s="46" t="str">
        <f>IFERROR(__xludf.DUMMYFUNCTION("""COMPUTED_VALUE"""),"Personal Care")</f>
        <v>Personal Care</v>
      </c>
      <c r="B924" s="46" t="str">
        <f>IFERROR(__xludf.DUMMYFUNCTION("""COMPUTED_VALUE"""),"Montenegro")</f>
        <v>Montenegro</v>
      </c>
      <c r="C924" s="46" t="str">
        <f>IFERROR(__xludf.DUMMYFUNCTION("""COMPUTED_VALUE"""),"Europe")</f>
        <v>Europe</v>
      </c>
      <c r="D924" s="90">
        <f>IFERROR(__xludf.DUMMYFUNCTION("""COMPUTED_VALUE"""),41000.0)</f>
        <v>41000</v>
      </c>
      <c r="E924" s="46">
        <f>IFERROR(__xludf.DUMMYFUNCTION("""COMPUTED_VALUE"""),2012.0)</f>
        <v>2012</v>
      </c>
      <c r="F924" s="46">
        <f>IFERROR(__xludf.DUMMYFUNCTION("""COMPUTED_VALUE"""),1.0)</f>
        <v>1</v>
      </c>
      <c r="G924" s="46">
        <f>IFERROR(__xludf.DUMMYFUNCTION("""COMPUTED_VALUE"""),4282.0)</f>
        <v>4282</v>
      </c>
      <c r="H924" s="46">
        <f>IFERROR(__xludf.DUMMYFUNCTION("""COMPUTED_VALUE"""),349967.86000000004)</f>
        <v>349967.86</v>
      </c>
      <c r="I924" s="46">
        <f>IFERROR(__xludf.DUMMYFUNCTION("""COMPUTED_VALUE"""),242660.94)</f>
        <v>242660.94</v>
      </c>
      <c r="J924" s="46">
        <f>IFERROR(__xludf.DUMMYFUNCTION("""COMPUTED_VALUE"""),107306.92000000004)</f>
        <v>107306.92</v>
      </c>
      <c r="K924" s="46" t="str">
        <f t="array" ref="K924">TEXT(D924, "mmmm")</f>
        <v>April</v>
      </c>
      <c r="M924" s="46" t="str">
        <f>IFERROR(__xludf.DUMMYFUNCTION("""COMPUTED_VALUE"""),"Czech Republic")</f>
        <v>Czech Republic</v>
      </c>
      <c r="N924" s="94">
        <f>IFERROR(__xludf.DUMMYFUNCTION("""COMPUTED_VALUE"""),42430.0)</f>
        <v>42430</v>
      </c>
      <c r="O924" s="46">
        <f>IFERROR(__xludf.DUMMYFUNCTION("""COMPUTED_VALUE"""),1.0)</f>
        <v>1</v>
      </c>
      <c r="P924" s="46">
        <f>IFERROR(__xludf.DUMMYFUNCTION("""COMPUTED_VALUE"""),6956.0)</f>
        <v>6956</v>
      </c>
      <c r="Q924" s="46">
        <f>IFERROR(__xludf.DUMMYFUNCTION("""COMPUTED_VALUE"""),1775727.68)</f>
        <v>1775727.68</v>
      </c>
      <c r="R924" s="46">
        <f>IFERROR(__xludf.DUMMYFUNCTION("""COMPUTED_VALUE"""),1108925.52)</f>
        <v>1108925.52</v>
      </c>
      <c r="S924" s="46">
        <f>IFERROR(__xludf.DUMMYFUNCTION("""COMPUTED_VALUE"""),666802.1599999999)</f>
        <v>666802.16</v>
      </c>
    </row>
    <row r="925">
      <c r="A925" s="46" t="str">
        <f>IFERROR(__xludf.DUMMYFUNCTION("""COMPUTED_VALUE"""),"Snacks")</f>
        <v>Snacks</v>
      </c>
      <c r="B925" s="46" t="str">
        <f>IFERROR(__xludf.DUMMYFUNCTION("""COMPUTED_VALUE"""),"Denmark")</f>
        <v>Denmark</v>
      </c>
      <c r="C925" s="46" t="str">
        <f>IFERROR(__xludf.DUMMYFUNCTION("""COMPUTED_VALUE"""),"Europe")</f>
        <v>Europe</v>
      </c>
      <c r="D925" s="90">
        <f>IFERROR(__xludf.DUMMYFUNCTION("""COMPUTED_VALUE"""),41000.0)</f>
        <v>41000</v>
      </c>
      <c r="E925" s="46">
        <f>IFERROR(__xludf.DUMMYFUNCTION("""COMPUTED_VALUE"""),2012.0)</f>
        <v>2012</v>
      </c>
      <c r="F925" s="46">
        <f>IFERROR(__xludf.DUMMYFUNCTION("""COMPUTED_VALUE"""),1.0)</f>
        <v>1</v>
      </c>
      <c r="G925" s="46">
        <f>IFERROR(__xludf.DUMMYFUNCTION("""COMPUTED_VALUE"""),3734.0)</f>
        <v>3734</v>
      </c>
      <c r="H925" s="46">
        <f>IFERROR(__xludf.DUMMYFUNCTION("""COMPUTED_VALUE"""),569733.7200000001)</f>
        <v>569733.72</v>
      </c>
      <c r="I925" s="46">
        <f>IFERROR(__xludf.DUMMYFUNCTION("""COMPUTED_VALUE"""),363840.95999999996)</f>
        <v>363840.96</v>
      </c>
      <c r="J925" s="46">
        <f>IFERROR(__xludf.DUMMYFUNCTION("""COMPUTED_VALUE"""),205892.76000000013)</f>
        <v>205892.76</v>
      </c>
      <c r="K925" s="46" t="str">
        <f t="array" ref="K925">TEXT(D925, "mmmm")</f>
        <v>April</v>
      </c>
      <c r="M925" s="46" t="str">
        <f>IFERROR(__xludf.DUMMYFUNCTION("""COMPUTED_VALUE"""),"Greece")</f>
        <v>Greece</v>
      </c>
      <c r="N925" s="94">
        <f>IFERROR(__xludf.DUMMYFUNCTION("""COMPUTED_VALUE"""),42430.0)</f>
        <v>42430</v>
      </c>
      <c r="O925" s="46">
        <f>IFERROR(__xludf.DUMMYFUNCTION("""COMPUTED_VALUE"""),1.0)</f>
        <v>1</v>
      </c>
      <c r="P925" s="46">
        <f>IFERROR(__xludf.DUMMYFUNCTION("""COMPUTED_VALUE"""),1743.0)</f>
        <v>1743</v>
      </c>
      <c r="Q925" s="46">
        <f>IFERROR(__xludf.DUMMYFUNCTION("""COMPUTED_VALUE"""),1164794.6099999999)</f>
        <v>1164794.61</v>
      </c>
      <c r="R925" s="46">
        <f>IFERROR(__xludf.DUMMYFUNCTION("""COMPUTED_VALUE"""),875927.2200000001)</f>
        <v>875927.22</v>
      </c>
      <c r="S925" s="46">
        <f>IFERROR(__xludf.DUMMYFUNCTION("""COMPUTED_VALUE"""),288867.3899999998)</f>
        <v>288867.39</v>
      </c>
    </row>
    <row r="926">
      <c r="A926" s="46" t="str">
        <f>IFERROR(__xludf.DUMMYFUNCTION("""COMPUTED_VALUE"""),"Snacks")</f>
        <v>Snacks</v>
      </c>
      <c r="B926" s="46" t="str">
        <f>IFERROR(__xludf.DUMMYFUNCTION("""COMPUTED_VALUE"""),"Switzerland")</f>
        <v>Switzerland</v>
      </c>
      <c r="C926" s="46" t="str">
        <f>IFERROR(__xludf.DUMMYFUNCTION("""COMPUTED_VALUE"""),"Europe")</f>
        <v>Europe</v>
      </c>
      <c r="D926" s="90">
        <f>IFERROR(__xludf.DUMMYFUNCTION("""COMPUTED_VALUE"""),41000.0)</f>
        <v>41000</v>
      </c>
      <c r="E926" s="46">
        <f>IFERROR(__xludf.DUMMYFUNCTION("""COMPUTED_VALUE"""),2012.0)</f>
        <v>2012</v>
      </c>
      <c r="F926" s="46">
        <f>IFERROR(__xludf.DUMMYFUNCTION("""COMPUTED_VALUE"""),1.0)</f>
        <v>1</v>
      </c>
      <c r="G926" s="46">
        <f>IFERROR(__xludf.DUMMYFUNCTION("""COMPUTED_VALUE"""),8319.0)</f>
        <v>8319</v>
      </c>
      <c r="H926" s="46">
        <f>IFERROR(__xludf.DUMMYFUNCTION("""COMPUTED_VALUE"""),1269313.02)</f>
        <v>1269313.02</v>
      </c>
      <c r="I926" s="46">
        <f>IFERROR(__xludf.DUMMYFUNCTION("""COMPUTED_VALUE"""),810603.36)</f>
        <v>810603.36</v>
      </c>
      <c r="J926" s="46">
        <f>IFERROR(__xludf.DUMMYFUNCTION("""COMPUTED_VALUE"""),458709.66000000003)</f>
        <v>458709.66</v>
      </c>
      <c r="K926" s="46" t="str">
        <f t="array" ref="K926">TEXT(D926, "mmmm")</f>
        <v>April</v>
      </c>
      <c r="M926" s="46" t="str">
        <f>IFERROR(__xludf.DUMMYFUNCTION("""COMPUTED_VALUE"""),"Lithuania")</f>
        <v>Lithuania</v>
      </c>
      <c r="N926" s="94">
        <f>IFERROR(__xludf.DUMMYFUNCTION("""COMPUTED_VALUE"""),42430.0)</f>
        <v>42430</v>
      </c>
      <c r="O926" s="46">
        <f>IFERROR(__xludf.DUMMYFUNCTION("""COMPUTED_VALUE"""),1.0)</f>
        <v>1</v>
      </c>
      <c r="P926" s="46">
        <f>IFERROR(__xludf.DUMMYFUNCTION("""COMPUTED_VALUE"""),884.0)</f>
        <v>884</v>
      </c>
      <c r="Q926" s="46">
        <f>IFERROR(__xludf.DUMMYFUNCTION("""COMPUTED_VALUE"""),386484.8)</f>
        <v>386484.8</v>
      </c>
      <c r="R926" s="46">
        <f>IFERROR(__xludf.DUMMYFUNCTION("""COMPUTED_VALUE"""),232783.71999999997)</f>
        <v>232783.72</v>
      </c>
      <c r="S926" s="46">
        <f>IFERROR(__xludf.DUMMYFUNCTION("""COMPUTED_VALUE"""),153701.08000000002)</f>
        <v>153701.08</v>
      </c>
    </row>
    <row r="927">
      <c r="A927" s="46" t="str">
        <f>IFERROR(__xludf.DUMMYFUNCTION("""COMPUTED_VALUE"""),"Vegetables")</f>
        <v>Vegetables</v>
      </c>
      <c r="B927" s="46" t="str">
        <f>IFERROR(__xludf.DUMMYFUNCTION("""COMPUTED_VALUE"""),"Macedonia")</f>
        <v>Macedonia</v>
      </c>
      <c r="C927" s="46" t="str">
        <f>IFERROR(__xludf.DUMMYFUNCTION("""COMPUTED_VALUE"""),"Europe")</f>
        <v>Europe</v>
      </c>
      <c r="D927" s="90">
        <f>IFERROR(__xludf.DUMMYFUNCTION("""COMPUTED_VALUE"""),41000.0)</f>
        <v>41000</v>
      </c>
      <c r="E927" s="46">
        <f>IFERROR(__xludf.DUMMYFUNCTION("""COMPUTED_VALUE"""),2012.0)</f>
        <v>2012</v>
      </c>
      <c r="F927" s="46">
        <f>IFERROR(__xludf.DUMMYFUNCTION("""COMPUTED_VALUE"""),1.0)</f>
        <v>1</v>
      </c>
      <c r="G927" s="46">
        <f>IFERROR(__xludf.DUMMYFUNCTION("""COMPUTED_VALUE"""),8940.0)</f>
        <v>8940</v>
      </c>
      <c r="H927" s="46">
        <f>IFERROR(__xludf.DUMMYFUNCTION("""COMPUTED_VALUE"""),1377296.4)</f>
        <v>1377296.4</v>
      </c>
      <c r="I927" s="46">
        <f>IFERROR(__xludf.DUMMYFUNCTION("""COMPUTED_VALUE"""),812914.2000000001)</f>
        <v>812914.2</v>
      </c>
      <c r="J927" s="46">
        <f>IFERROR(__xludf.DUMMYFUNCTION("""COMPUTED_VALUE"""),564382.1999999998)</f>
        <v>564382.2</v>
      </c>
      <c r="K927" s="46" t="str">
        <f t="array" ref="K927">TEXT(D927, "mmmm")</f>
        <v>April</v>
      </c>
      <c r="M927" s="46" t="str">
        <f>IFERROR(__xludf.DUMMYFUNCTION("""COMPUTED_VALUE"""),"Macedonia")</f>
        <v>Macedonia</v>
      </c>
      <c r="N927" s="94">
        <f>IFERROR(__xludf.DUMMYFUNCTION("""COMPUTED_VALUE"""),42430.0)</f>
        <v>42430</v>
      </c>
      <c r="O927" s="46">
        <f>IFERROR(__xludf.DUMMYFUNCTION("""COMPUTED_VALUE"""),1.0)</f>
        <v>1</v>
      </c>
      <c r="P927" s="46">
        <f>IFERROR(__xludf.DUMMYFUNCTION("""COMPUTED_VALUE"""),8048.0)</f>
        <v>8048</v>
      </c>
      <c r="Q927" s="46">
        <f>IFERROR(__xludf.DUMMYFUNCTION("""COMPUTED_VALUE"""),1227963.84)</f>
        <v>1227963.84</v>
      </c>
      <c r="R927" s="46">
        <f>IFERROR(__xludf.DUMMYFUNCTION("""COMPUTED_VALUE"""),784197.12)</f>
        <v>784197.12</v>
      </c>
      <c r="S927" s="46">
        <f>IFERROR(__xludf.DUMMYFUNCTION("""COMPUTED_VALUE"""),443766.7200000001)</f>
        <v>443766.72</v>
      </c>
    </row>
    <row r="928">
      <c r="A928" s="46" t="str">
        <f>IFERROR(__xludf.DUMMYFUNCTION("""COMPUTED_VALUE"""),"Baby Food")</f>
        <v>Baby Food</v>
      </c>
      <c r="B928" s="46" t="str">
        <f>IFERROR(__xludf.DUMMYFUNCTION("""COMPUTED_VALUE"""),"Italy")</f>
        <v>Italy</v>
      </c>
      <c r="C928" s="46" t="str">
        <f>IFERROR(__xludf.DUMMYFUNCTION("""COMPUTED_VALUE"""),"Europe")</f>
        <v>Europe</v>
      </c>
      <c r="D928" s="90">
        <f>IFERROR(__xludf.DUMMYFUNCTION("""COMPUTED_VALUE"""),40969.0)</f>
        <v>40969</v>
      </c>
      <c r="E928" s="46">
        <f>IFERROR(__xludf.DUMMYFUNCTION("""COMPUTED_VALUE"""),2012.0)</f>
        <v>2012</v>
      </c>
      <c r="F928" s="46">
        <f>IFERROR(__xludf.DUMMYFUNCTION("""COMPUTED_VALUE"""),1.0)</f>
        <v>1</v>
      </c>
      <c r="G928" s="46">
        <f>IFERROR(__xludf.DUMMYFUNCTION("""COMPUTED_VALUE"""),7529.0)</f>
        <v>7529</v>
      </c>
      <c r="H928" s="46">
        <f>IFERROR(__xludf.DUMMYFUNCTION("""COMPUTED_VALUE"""),1922003.12)</f>
        <v>1922003.12</v>
      </c>
      <c r="I928" s="46">
        <f>IFERROR(__xludf.DUMMYFUNCTION("""COMPUTED_VALUE"""),1200273.18)</f>
        <v>1200273.18</v>
      </c>
      <c r="J928" s="46">
        <f>IFERROR(__xludf.DUMMYFUNCTION("""COMPUTED_VALUE"""),721729.9400000002)</f>
        <v>721729.94</v>
      </c>
      <c r="K928" s="46" t="str">
        <f t="array" ref="K928">TEXT(D928, "mmmm")</f>
        <v>March</v>
      </c>
      <c r="M928" s="46" t="str">
        <f>IFERROR(__xludf.DUMMYFUNCTION("""COMPUTED_VALUE"""),"Monaco")</f>
        <v>Monaco</v>
      </c>
      <c r="N928" s="94">
        <f>IFERROR(__xludf.DUMMYFUNCTION("""COMPUTED_VALUE"""),42430.0)</f>
        <v>42430</v>
      </c>
      <c r="O928" s="46">
        <f>IFERROR(__xludf.DUMMYFUNCTION("""COMPUTED_VALUE"""),1.0)</f>
        <v>1</v>
      </c>
      <c r="P928" s="46">
        <f>IFERROR(__xludf.DUMMYFUNCTION("""COMPUTED_VALUE"""),750.0)</f>
        <v>750</v>
      </c>
      <c r="Q928" s="46">
        <f>IFERROR(__xludf.DUMMYFUNCTION("""COMPUTED_VALUE"""),61297.5)</f>
        <v>61297.5</v>
      </c>
      <c r="R928" s="46">
        <f>IFERROR(__xludf.DUMMYFUNCTION("""COMPUTED_VALUE"""),42502.5)</f>
        <v>42502.5</v>
      </c>
      <c r="S928" s="46">
        <f>IFERROR(__xludf.DUMMYFUNCTION("""COMPUTED_VALUE"""),18795.0)</f>
        <v>18795</v>
      </c>
    </row>
    <row r="929">
      <c r="A929" s="46" t="str">
        <f>IFERROR(__xludf.DUMMYFUNCTION("""COMPUTED_VALUE"""),"Beverages")</f>
        <v>Beverages</v>
      </c>
      <c r="B929" s="46" t="str">
        <f>IFERROR(__xludf.DUMMYFUNCTION("""COMPUTED_VALUE"""),"Finland")</f>
        <v>Finland</v>
      </c>
      <c r="C929" s="46" t="str">
        <f>IFERROR(__xludf.DUMMYFUNCTION("""COMPUTED_VALUE"""),"Europe")</f>
        <v>Europe</v>
      </c>
      <c r="D929" s="90">
        <f>IFERROR(__xludf.DUMMYFUNCTION("""COMPUTED_VALUE"""),40969.0)</f>
        <v>40969</v>
      </c>
      <c r="E929" s="46">
        <f>IFERROR(__xludf.DUMMYFUNCTION("""COMPUTED_VALUE"""),2012.0)</f>
        <v>2012</v>
      </c>
      <c r="F929" s="46">
        <f>IFERROR(__xludf.DUMMYFUNCTION("""COMPUTED_VALUE"""),1.0)</f>
        <v>1</v>
      </c>
      <c r="G929" s="46">
        <f>IFERROR(__xludf.DUMMYFUNCTION("""COMPUTED_VALUE"""),7581.0)</f>
        <v>7581</v>
      </c>
      <c r="H929" s="46">
        <f>IFERROR(__xludf.DUMMYFUNCTION("""COMPUTED_VALUE"""),359718.45)</f>
        <v>359718.45</v>
      </c>
      <c r="I929" s="46">
        <f>IFERROR(__xludf.DUMMYFUNCTION("""COMPUTED_VALUE"""),240999.99)</f>
        <v>240999.99</v>
      </c>
      <c r="J929" s="46">
        <f>IFERROR(__xludf.DUMMYFUNCTION("""COMPUTED_VALUE"""),118718.46000000002)</f>
        <v>118718.46</v>
      </c>
      <c r="K929" s="46" t="str">
        <f t="array" ref="K929">TEXT(D929, "mmmm")</f>
        <v>March</v>
      </c>
      <c r="M929" s="46" t="str">
        <f>IFERROR(__xludf.DUMMYFUNCTION("""COMPUTED_VALUE"""),"Norway")</f>
        <v>Norway</v>
      </c>
      <c r="N929" s="94">
        <f>IFERROR(__xludf.DUMMYFUNCTION("""COMPUTED_VALUE"""),42430.0)</f>
        <v>42430</v>
      </c>
      <c r="O929" s="46">
        <f>IFERROR(__xludf.DUMMYFUNCTION("""COMPUTED_VALUE"""),1.0)</f>
        <v>1</v>
      </c>
      <c r="P929" s="46">
        <f>IFERROR(__xludf.DUMMYFUNCTION("""COMPUTED_VALUE"""),4681.0)</f>
        <v>4681</v>
      </c>
      <c r="Q929" s="46">
        <f>IFERROR(__xludf.DUMMYFUNCTION("""COMPUTED_VALUE"""),714226.9800000001)</f>
        <v>714226.98</v>
      </c>
      <c r="R929" s="46">
        <f>IFERROR(__xludf.DUMMYFUNCTION("""COMPUTED_VALUE"""),456116.64)</f>
        <v>456116.64</v>
      </c>
      <c r="S929" s="46">
        <f>IFERROR(__xludf.DUMMYFUNCTION("""COMPUTED_VALUE"""),258110.34000000008)</f>
        <v>258110.34</v>
      </c>
    </row>
    <row r="930">
      <c r="A930" s="46" t="str">
        <f>IFERROR(__xludf.DUMMYFUNCTION("""COMPUTED_VALUE"""),"Clothes")</f>
        <v>Clothes</v>
      </c>
      <c r="B930" s="46" t="str">
        <f>IFERROR(__xludf.DUMMYFUNCTION("""COMPUTED_VALUE"""),"Montenegro")</f>
        <v>Montenegro</v>
      </c>
      <c r="C930" s="46" t="str">
        <f>IFERROR(__xludf.DUMMYFUNCTION("""COMPUTED_VALUE"""),"Europe")</f>
        <v>Europe</v>
      </c>
      <c r="D930" s="90">
        <f>IFERROR(__xludf.DUMMYFUNCTION("""COMPUTED_VALUE"""),40969.0)</f>
        <v>40969</v>
      </c>
      <c r="E930" s="46">
        <f>IFERROR(__xludf.DUMMYFUNCTION("""COMPUTED_VALUE"""),2012.0)</f>
        <v>2012</v>
      </c>
      <c r="F930" s="46">
        <f>IFERROR(__xludf.DUMMYFUNCTION("""COMPUTED_VALUE"""),1.0)</f>
        <v>1</v>
      </c>
      <c r="G930" s="46">
        <f>IFERROR(__xludf.DUMMYFUNCTION("""COMPUTED_VALUE"""),9914.0)</f>
        <v>9914</v>
      </c>
      <c r="H930" s="46">
        <f>IFERROR(__xludf.DUMMYFUNCTION("""COMPUTED_VALUE"""),1083401.92)</f>
        <v>1083401.92</v>
      </c>
      <c r="I930" s="46">
        <f>IFERROR(__xludf.DUMMYFUNCTION("""COMPUTED_VALUE"""),355317.76)</f>
        <v>355317.76</v>
      </c>
      <c r="J930" s="46">
        <f>IFERROR(__xludf.DUMMYFUNCTION("""COMPUTED_VALUE"""),728084.1599999999)</f>
        <v>728084.16</v>
      </c>
      <c r="K930" s="46" t="str">
        <f t="array" ref="K930">TEXT(D930, "mmmm")</f>
        <v>March</v>
      </c>
      <c r="M930" s="46" t="str">
        <f>IFERROR(__xludf.DUMMYFUNCTION("""COMPUTED_VALUE"""),"Portugal")</f>
        <v>Portugal</v>
      </c>
      <c r="N930" s="94">
        <f>IFERROR(__xludf.DUMMYFUNCTION("""COMPUTED_VALUE"""),42430.0)</f>
        <v>42430</v>
      </c>
      <c r="O930" s="46">
        <f>IFERROR(__xludf.DUMMYFUNCTION("""COMPUTED_VALUE"""),1.0)</f>
        <v>1</v>
      </c>
      <c r="P930" s="46">
        <f>IFERROR(__xludf.DUMMYFUNCTION("""COMPUTED_VALUE"""),1303.0)</f>
        <v>1303</v>
      </c>
      <c r="Q930" s="46">
        <f>IFERROR(__xludf.DUMMYFUNCTION("""COMPUTED_VALUE"""),332629.84)</f>
        <v>332629.84</v>
      </c>
      <c r="R930" s="46">
        <f>IFERROR(__xludf.DUMMYFUNCTION("""COMPUTED_VALUE"""),207724.25999999998)</f>
        <v>207724.26</v>
      </c>
      <c r="S930" s="46">
        <f>IFERROR(__xludf.DUMMYFUNCTION("""COMPUTED_VALUE"""),124905.58000000005)</f>
        <v>124905.58</v>
      </c>
    </row>
    <row r="931">
      <c r="A931" s="46" t="str">
        <f>IFERROR(__xludf.DUMMYFUNCTION("""COMPUTED_VALUE"""),"Clothes")</f>
        <v>Clothes</v>
      </c>
      <c r="B931" s="46" t="str">
        <f>IFERROR(__xludf.DUMMYFUNCTION("""COMPUTED_VALUE"""),"Poland")</f>
        <v>Poland</v>
      </c>
      <c r="C931" s="46" t="str">
        <f>IFERROR(__xludf.DUMMYFUNCTION("""COMPUTED_VALUE"""),"Europe")</f>
        <v>Europe</v>
      </c>
      <c r="D931" s="90">
        <f>IFERROR(__xludf.DUMMYFUNCTION("""COMPUTED_VALUE"""),40969.0)</f>
        <v>40969</v>
      </c>
      <c r="E931" s="46">
        <f>IFERROR(__xludf.DUMMYFUNCTION("""COMPUTED_VALUE"""),2012.0)</f>
        <v>2012</v>
      </c>
      <c r="F931" s="46">
        <f>IFERROR(__xludf.DUMMYFUNCTION("""COMPUTED_VALUE"""),1.0)</f>
        <v>1</v>
      </c>
      <c r="G931" s="46">
        <f>IFERROR(__xludf.DUMMYFUNCTION("""COMPUTED_VALUE"""),4908.0)</f>
        <v>4908</v>
      </c>
      <c r="H931" s="46">
        <f>IFERROR(__xludf.DUMMYFUNCTION("""COMPUTED_VALUE"""),536346.24)</f>
        <v>536346.24</v>
      </c>
      <c r="I931" s="46">
        <f>IFERROR(__xludf.DUMMYFUNCTION("""COMPUTED_VALUE"""),175902.72000000003)</f>
        <v>175902.72</v>
      </c>
      <c r="J931" s="46">
        <f>IFERROR(__xludf.DUMMYFUNCTION("""COMPUTED_VALUE"""),360443.51999999996)</f>
        <v>360443.52</v>
      </c>
      <c r="K931" s="46" t="str">
        <f t="array" ref="K931">TEXT(D931, "mmmm")</f>
        <v>March</v>
      </c>
      <c r="M931" s="46" t="str">
        <f>IFERROR(__xludf.DUMMYFUNCTION("""COMPUTED_VALUE"""),"Romania")</f>
        <v>Romania</v>
      </c>
      <c r="N931" s="94">
        <f>IFERROR(__xludf.DUMMYFUNCTION("""COMPUTED_VALUE"""),42430.0)</f>
        <v>42430</v>
      </c>
      <c r="O931" s="46">
        <f>IFERROR(__xludf.DUMMYFUNCTION("""COMPUTED_VALUE"""),1.0)</f>
        <v>1</v>
      </c>
      <c r="P931" s="46">
        <f>IFERROR(__xludf.DUMMYFUNCTION("""COMPUTED_VALUE"""),4197.0)</f>
        <v>4197</v>
      </c>
      <c r="Q931" s="46">
        <f>IFERROR(__xludf.DUMMYFUNCTION("""COMPUTED_VALUE"""),863322.8999999999)</f>
        <v>863322.9</v>
      </c>
      <c r="R931" s="46">
        <f>IFERROR(__xludf.DUMMYFUNCTION("""COMPUTED_VALUE"""),491510.67)</f>
        <v>491510.67</v>
      </c>
      <c r="S931" s="46">
        <f>IFERROR(__xludf.DUMMYFUNCTION("""COMPUTED_VALUE"""),371812.2299999999)</f>
        <v>371812.23</v>
      </c>
    </row>
    <row r="932">
      <c r="A932" s="46" t="str">
        <f>IFERROR(__xludf.DUMMYFUNCTION("""COMPUTED_VALUE"""),"Clothes")</f>
        <v>Clothes</v>
      </c>
      <c r="B932" s="46" t="str">
        <f>IFERROR(__xludf.DUMMYFUNCTION("""COMPUTED_VALUE"""),"Undefined")</f>
        <v>Undefined</v>
      </c>
      <c r="C932" s="46" t="str">
        <f>IFERROR(__xludf.DUMMYFUNCTION("""COMPUTED_VALUE"""),"Undefined")</f>
        <v>Undefined</v>
      </c>
      <c r="D932" s="90">
        <f>IFERROR(__xludf.DUMMYFUNCTION("""COMPUTED_VALUE"""),40969.0)</f>
        <v>40969</v>
      </c>
      <c r="E932" s="46">
        <f>IFERROR(__xludf.DUMMYFUNCTION("""COMPUTED_VALUE"""),2012.0)</f>
        <v>2012</v>
      </c>
      <c r="F932" s="46">
        <f>IFERROR(__xludf.DUMMYFUNCTION("""COMPUTED_VALUE"""),1.0)</f>
        <v>1</v>
      </c>
      <c r="G932" s="46">
        <f>IFERROR(__xludf.DUMMYFUNCTION("""COMPUTED_VALUE"""),8064.0)</f>
        <v>8064</v>
      </c>
      <c r="H932" s="46">
        <f>IFERROR(__xludf.DUMMYFUNCTION("""COMPUTED_VALUE"""),881233.92)</f>
        <v>881233.92</v>
      </c>
      <c r="I932" s="46">
        <f>IFERROR(__xludf.DUMMYFUNCTION("""COMPUTED_VALUE"""),289013.76)</f>
        <v>289013.76</v>
      </c>
      <c r="J932" s="46">
        <f>IFERROR(__xludf.DUMMYFUNCTION("""COMPUTED_VALUE"""),592220.16)</f>
        <v>592220.16</v>
      </c>
      <c r="K932" s="46" t="str">
        <f t="array" ref="K932">TEXT(D932, "mmmm")</f>
        <v>March</v>
      </c>
      <c r="M932" s="46" t="str">
        <f>IFERROR(__xludf.DUMMYFUNCTION("""COMPUTED_VALUE"""),"Slovakia")</f>
        <v>Slovakia</v>
      </c>
      <c r="N932" s="94">
        <f>IFERROR(__xludf.DUMMYFUNCTION("""COMPUTED_VALUE"""),42430.0)</f>
        <v>42430</v>
      </c>
      <c r="O932" s="46">
        <f>IFERROR(__xludf.DUMMYFUNCTION("""COMPUTED_VALUE"""),1.0)</f>
        <v>1</v>
      </c>
      <c r="P932" s="46">
        <f>IFERROR(__xludf.DUMMYFUNCTION("""COMPUTED_VALUE"""),5342.0)</f>
        <v>5342</v>
      </c>
      <c r="Q932" s="46">
        <f>IFERROR(__xludf.DUMMYFUNCTION("""COMPUTED_VALUE"""),3478763.8200000003)</f>
        <v>3478763.82</v>
      </c>
      <c r="R932" s="46">
        <f>IFERROR(__xludf.DUMMYFUNCTION("""COMPUTED_VALUE"""),2804336.3200000003)</f>
        <v>2804336.32</v>
      </c>
      <c r="S932" s="46">
        <f>IFERROR(__xludf.DUMMYFUNCTION("""COMPUTED_VALUE"""),674427.5)</f>
        <v>674427.5</v>
      </c>
    </row>
    <row r="933">
      <c r="A933" s="46" t="str">
        <f>IFERROR(__xludf.DUMMYFUNCTION("""COMPUTED_VALUE"""),"Cosmetics")</f>
        <v>Cosmetics</v>
      </c>
      <c r="B933" s="46" t="str">
        <f>IFERROR(__xludf.DUMMYFUNCTION("""COMPUTED_VALUE"""),"Latvia")</f>
        <v>Latvia</v>
      </c>
      <c r="C933" s="46" t="str">
        <f>IFERROR(__xludf.DUMMYFUNCTION("""COMPUTED_VALUE"""),"Europe")</f>
        <v>Europe</v>
      </c>
      <c r="D933" s="90">
        <f>IFERROR(__xludf.DUMMYFUNCTION("""COMPUTED_VALUE"""),40969.0)</f>
        <v>40969</v>
      </c>
      <c r="E933" s="46">
        <f>IFERROR(__xludf.DUMMYFUNCTION("""COMPUTED_VALUE"""),2012.0)</f>
        <v>2012</v>
      </c>
      <c r="F933" s="46">
        <f>IFERROR(__xludf.DUMMYFUNCTION("""COMPUTED_VALUE"""),1.0)</f>
        <v>1</v>
      </c>
      <c r="G933" s="46">
        <f>IFERROR(__xludf.DUMMYFUNCTION("""COMPUTED_VALUE"""),4417.0)</f>
        <v>4417</v>
      </c>
      <c r="H933" s="46">
        <f>IFERROR(__xludf.DUMMYFUNCTION("""COMPUTED_VALUE"""),1931112.4)</f>
        <v>1931112.4</v>
      </c>
      <c r="I933" s="46">
        <f>IFERROR(__xludf.DUMMYFUNCTION("""COMPUTED_VALUE"""),1163128.6099999999)</f>
        <v>1163128.61</v>
      </c>
      <c r="J933" s="46">
        <f>IFERROR(__xludf.DUMMYFUNCTION("""COMPUTED_VALUE"""),767983.79)</f>
        <v>767983.79</v>
      </c>
      <c r="K933" s="46" t="str">
        <f t="array" ref="K933">TEXT(D933, "mmmm")</f>
        <v>March</v>
      </c>
      <c r="M933" s="46" t="str">
        <f>IFERROR(__xludf.DUMMYFUNCTION("""COMPUTED_VALUE"""),"Ukraine")</f>
        <v>Ukraine</v>
      </c>
      <c r="N933" s="94">
        <f>IFERROR(__xludf.DUMMYFUNCTION("""COMPUTED_VALUE"""),42430.0)</f>
        <v>42430</v>
      </c>
      <c r="O933" s="46">
        <f>IFERROR(__xludf.DUMMYFUNCTION("""COMPUTED_VALUE"""),1.0)</f>
        <v>1</v>
      </c>
      <c r="P933" s="46">
        <f>IFERROR(__xludf.DUMMYFUNCTION("""COMPUTED_VALUE"""),33.0)</f>
        <v>33</v>
      </c>
      <c r="Q933" s="46">
        <f>IFERROR(__xludf.DUMMYFUNCTION("""COMPUTED_VALUE"""),21489.93)</f>
        <v>21489.93</v>
      </c>
      <c r="R933" s="46">
        <f>IFERROR(__xludf.DUMMYFUNCTION("""COMPUTED_VALUE"""),17323.68)</f>
        <v>17323.68</v>
      </c>
      <c r="S933" s="46">
        <f>IFERROR(__xludf.DUMMYFUNCTION("""COMPUTED_VALUE"""),4166.25)</f>
        <v>4166.25</v>
      </c>
    </row>
    <row r="934">
      <c r="A934" s="46" t="str">
        <f>IFERROR(__xludf.DUMMYFUNCTION("""COMPUTED_VALUE"""),"Cosmetics")</f>
        <v>Cosmetics</v>
      </c>
      <c r="B934" s="46" t="str">
        <f>IFERROR(__xludf.DUMMYFUNCTION("""COMPUTED_VALUE"""),"Serbia")</f>
        <v>Serbia</v>
      </c>
      <c r="C934" s="46" t="str">
        <f>IFERROR(__xludf.DUMMYFUNCTION("""COMPUTED_VALUE"""),"Europe")</f>
        <v>Europe</v>
      </c>
      <c r="D934" s="90">
        <f>IFERROR(__xludf.DUMMYFUNCTION("""COMPUTED_VALUE"""),40969.0)</f>
        <v>40969</v>
      </c>
      <c r="E934" s="46">
        <f>IFERROR(__xludf.DUMMYFUNCTION("""COMPUTED_VALUE"""),2012.0)</f>
        <v>2012</v>
      </c>
      <c r="F934" s="46">
        <f>IFERROR(__xludf.DUMMYFUNCTION("""COMPUTED_VALUE"""),1.0)</f>
        <v>1</v>
      </c>
      <c r="G934" s="46">
        <f>IFERROR(__xludf.DUMMYFUNCTION("""COMPUTED_VALUE"""),4508.0)</f>
        <v>4508</v>
      </c>
      <c r="H934" s="46">
        <f>IFERROR(__xludf.DUMMYFUNCTION("""COMPUTED_VALUE"""),1970897.5999999999)</f>
        <v>1970897.6</v>
      </c>
      <c r="I934" s="46">
        <f>IFERROR(__xludf.DUMMYFUNCTION("""COMPUTED_VALUE"""),1187091.64)</f>
        <v>1187091.64</v>
      </c>
      <c r="J934" s="46">
        <f>IFERROR(__xludf.DUMMYFUNCTION("""COMPUTED_VALUE"""),783805.96)</f>
        <v>783805.96</v>
      </c>
      <c r="K934" s="46" t="str">
        <f t="array" ref="K934">TEXT(D934, "mmmm")</f>
        <v>March</v>
      </c>
      <c r="M934" s="46" t="str">
        <f>IFERROR(__xludf.DUMMYFUNCTION("""COMPUTED_VALUE"""),"Undefined")</f>
        <v>Undefined</v>
      </c>
      <c r="N934" s="94">
        <f>IFERROR(__xludf.DUMMYFUNCTION("""COMPUTED_VALUE"""),42430.0)</f>
        <v>42430</v>
      </c>
      <c r="O934" s="46">
        <f>IFERROR(__xludf.DUMMYFUNCTION("""COMPUTED_VALUE"""),1.0)</f>
        <v>1</v>
      </c>
      <c r="P934" s="46">
        <f>IFERROR(__xludf.DUMMYFUNCTION("""COMPUTED_VALUE"""),8458.0)</f>
        <v>8458</v>
      </c>
      <c r="Q934" s="46">
        <f>IFERROR(__xludf.DUMMYFUNCTION("""COMPUTED_VALUE"""),1303039.48)</f>
        <v>1303039.48</v>
      </c>
      <c r="R934" s="46">
        <f>IFERROR(__xludf.DUMMYFUNCTION("""COMPUTED_VALUE"""),769085.9400000001)</f>
        <v>769085.94</v>
      </c>
      <c r="S934" s="46">
        <f>IFERROR(__xludf.DUMMYFUNCTION("""COMPUTED_VALUE"""),533953.5399999999)</f>
        <v>533953.54</v>
      </c>
    </row>
    <row r="935">
      <c r="A935" s="46" t="str">
        <f>IFERROR(__xludf.DUMMYFUNCTION("""COMPUTED_VALUE"""),"Fruits")</f>
        <v>Fruits</v>
      </c>
      <c r="B935" s="46" t="str">
        <f>IFERROR(__xludf.DUMMYFUNCTION("""COMPUTED_VALUE"""),"Cyprus")</f>
        <v>Cyprus</v>
      </c>
      <c r="C935" s="46" t="str">
        <f>IFERROR(__xludf.DUMMYFUNCTION("""COMPUTED_VALUE"""),"Asia")</f>
        <v>Asia</v>
      </c>
      <c r="D935" s="90">
        <f>IFERROR(__xludf.DUMMYFUNCTION("""COMPUTED_VALUE"""),40969.0)</f>
        <v>40969</v>
      </c>
      <c r="E935" s="46">
        <f>IFERROR(__xludf.DUMMYFUNCTION("""COMPUTED_VALUE"""),2012.0)</f>
        <v>2012</v>
      </c>
      <c r="F935" s="46">
        <f>IFERROR(__xludf.DUMMYFUNCTION("""COMPUTED_VALUE"""),1.0)</f>
        <v>1</v>
      </c>
      <c r="G935" s="46">
        <f>IFERROR(__xludf.DUMMYFUNCTION("""COMPUTED_VALUE"""),5556.0)</f>
        <v>5556</v>
      </c>
      <c r="H935" s="46">
        <f>IFERROR(__xludf.DUMMYFUNCTION("""COMPUTED_VALUE"""),51837.48)</f>
        <v>51837.48</v>
      </c>
      <c r="I935" s="46">
        <f>IFERROR(__xludf.DUMMYFUNCTION("""COMPUTED_VALUE"""),38447.52)</f>
        <v>38447.52</v>
      </c>
      <c r="J935" s="46">
        <f>IFERROR(__xludf.DUMMYFUNCTION("""COMPUTED_VALUE"""),13389.960000000006)</f>
        <v>13389.96</v>
      </c>
      <c r="K935" s="46" t="str">
        <f t="array" ref="K935">TEXT(D935, "mmmm")</f>
        <v>March</v>
      </c>
      <c r="M935" s="46" t="str">
        <f>IFERROR(__xludf.DUMMYFUNCTION("""COMPUTED_VALUE"""),"United Kingdom")</f>
        <v>United Kingdom</v>
      </c>
      <c r="N935" s="94">
        <f>IFERROR(__xludf.DUMMYFUNCTION("""COMPUTED_VALUE"""),42430.0)</f>
        <v>42430</v>
      </c>
      <c r="O935" s="46">
        <f>IFERROR(__xludf.DUMMYFUNCTION("""COMPUTED_VALUE"""),1.0)</f>
        <v>1</v>
      </c>
      <c r="P935" s="46">
        <f>IFERROR(__xludf.DUMMYFUNCTION("""COMPUTED_VALUE"""),2602.0)</f>
        <v>2602</v>
      </c>
      <c r="Q935" s="46">
        <f>IFERROR(__xludf.DUMMYFUNCTION("""COMPUTED_VALUE"""),1137594.4)</f>
        <v>1137594.4</v>
      </c>
      <c r="R935" s="46">
        <f>IFERROR(__xludf.DUMMYFUNCTION("""COMPUTED_VALUE"""),685184.6599999999)</f>
        <v>685184.66</v>
      </c>
      <c r="S935" s="46">
        <f>IFERROR(__xludf.DUMMYFUNCTION("""COMPUTED_VALUE"""),452409.74)</f>
        <v>452409.74</v>
      </c>
    </row>
    <row r="936">
      <c r="A936" s="46" t="str">
        <f>IFERROR(__xludf.DUMMYFUNCTION("""COMPUTED_VALUE"""),"Fruits")</f>
        <v>Fruits</v>
      </c>
      <c r="B936" s="46" t="str">
        <f>IFERROR(__xludf.DUMMYFUNCTION("""COMPUTED_VALUE"""),"Switzerland")</f>
        <v>Switzerland</v>
      </c>
      <c r="C936" s="46" t="str">
        <f>IFERROR(__xludf.DUMMYFUNCTION("""COMPUTED_VALUE"""),"Europe")</f>
        <v>Europe</v>
      </c>
      <c r="D936" s="90">
        <f>IFERROR(__xludf.DUMMYFUNCTION("""COMPUTED_VALUE"""),40969.0)</f>
        <v>40969</v>
      </c>
      <c r="E936" s="46">
        <f>IFERROR(__xludf.DUMMYFUNCTION("""COMPUTED_VALUE"""),2012.0)</f>
        <v>2012</v>
      </c>
      <c r="F936" s="46">
        <f>IFERROR(__xludf.DUMMYFUNCTION("""COMPUTED_VALUE"""),1.0)</f>
        <v>1</v>
      </c>
      <c r="G936" s="46">
        <f>IFERROR(__xludf.DUMMYFUNCTION("""COMPUTED_VALUE"""),8910.0)</f>
        <v>8910</v>
      </c>
      <c r="H936" s="46">
        <f>IFERROR(__xludf.DUMMYFUNCTION("""COMPUTED_VALUE"""),83130.3)</f>
        <v>83130.3</v>
      </c>
      <c r="I936" s="46">
        <f>IFERROR(__xludf.DUMMYFUNCTION("""COMPUTED_VALUE"""),61657.2)</f>
        <v>61657.2</v>
      </c>
      <c r="J936" s="46">
        <f>IFERROR(__xludf.DUMMYFUNCTION("""COMPUTED_VALUE"""),21473.100000000006)</f>
        <v>21473.1</v>
      </c>
      <c r="K936" s="46" t="str">
        <f t="array" ref="K936">TEXT(D936, "mmmm")</f>
        <v>March</v>
      </c>
      <c r="M936" s="46" t="str">
        <f>IFERROR(__xludf.DUMMYFUNCTION("""COMPUTED_VALUE"""),"Andorra")</f>
        <v>Andorra</v>
      </c>
      <c r="N936" s="94">
        <f>IFERROR(__xludf.DUMMYFUNCTION("""COMPUTED_VALUE"""),42461.0)</f>
        <v>42461</v>
      </c>
      <c r="O936" s="46">
        <f>IFERROR(__xludf.DUMMYFUNCTION("""COMPUTED_VALUE"""),1.0)</f>
        <v>1</v>
      </c>
      <c r="P936" s="46">
        <f>IFERROR(__xludf.DUMMYFUNCTION("""COMPUTED_VALUE"""),3534.0)</f>
        <v>3534</v>
      </c>
      <c r="Q936" s="46">
        <f>IFERROR(__xludf.DUMMYFUNCTION("""COMPUTED_VALUE"""),167688.30000000002)</f>
        <v>167688.3</v>
      </c>
      <c r="R936" s="46">
        <f>IFERROR(__xludf.DUMMYFUNCTION("""COMPUTED_VALUE"""),112345.86)</f>
        <v>112345.86</v>
      </c>
      <c r="S936" s="46">
        <f>IFERROR(__xludf.DUMMYFUNCTION("""COMPUTED_VALUE"""),55342.44000000002)</f>
        <v>55342.44</v>
      </c>
    </row>
    <row r="937">
      <c r="A937" s="46" t="str">
        <f>IFERROR(__xludf.DUMMYFUNCTION("""COMPUTED_VALUE"""),"Fruits")</f>
        <v>Fruits</v>
      </c>
      <c r="B937" s="46" t="str">
        <f>IFERROR(__xludf.DUMMYFUNCTION("""COMPUTED_VALUE"""),"Undefined")</f>
        <v>Undefined</v>
      </c>
      <c r="C937" s="46" t="str">
        <f>IFERROR(__xludf.DUMMYFUNCTION("""COMPUTED_VALUE"""),"Undefined")</f>
        <v>Undefined</v>
      </c>
      <c r="D937" s="90">
        <f>IFERROR(__xludf.DUMMYFUNCTION("""COMPUTED_VALUE"""),40969.0)</f>
        <v>40969</v>
      </c>
      <c r="E937" s="46">
        <f>IFERROR(__xludf.DUMMYFUNCTION("""COMPUTED_VALUE"""),2012.0)</f>
        <v>2012</v>
      </c>
      <c r="F937" s="46">
        <f>IFERROR(__xludf.DUMMYFUNCTION("""COMPUTED_VALUE"""),1.0)</f>
        <v>1</v>
      </c>
      <c r="G937" s="46">
        <f>IFERROR(__xludf.DUMMYFUNCTION("""COMPUTED_VALUE"""),9821.0)</f>
        <v>9821</v>
      </c>
      <c r="H937" s="46">
        <f>IFERROR(__xludf.DUMMYFUNCTION("""COMPUTED_VALUE"""),91629.93000000001)</f>
        <v>91629.93</v>
      </c>
      <c r="I937" s="46">
        <f>IFERROR(__xludf.DUMMYFUNCTION("""COMPUTED_VALUE"""),67961.31999999999)</f>
        <v>67961.32</v>
      </c>
      <c r="J937" s="46">
        <f>IFERROR(__xludf.DUMMYFUNCTION("""COMPUTED_VALUE"""),23668.610000000015)</f>
        <v>23668.61</v>
      </c>
      <c r="K937" s="46" t="str">
        <f t="array" ref="K937">TEXT(D937, "mmmm")</f>
        <v>March</v>
      </c>
      <c r="M937" s="46" t="str">
        <f>IFERROR(__xludf.DUMMYFUNCTION("""COMPUTED_VALUE"""),"Estonia")</f>
        <v>Estonia</v>
      </c>
      <c r="N937" s="94">
        <f>IFERROR(__xludf.DUMMYFUNCTION("""COMPUTED_VALUE"""),42461.0)</f>
        <v>42461</v>
      </c>
      <c r="O937" s="46">
        <f>IFERROR(__xludf.DUMMYFUNCTION("""COMPUTED_VALUE"""),1.0)</f>
        <v>1</v>
      </c>
      <c r="P937" s="46">
        <f>IFERROR(__xludf.DUMMYFUNCTION("""COMPUTED_VALUE"""),4339.0)</f>
        <v>4339</v>
      </c>
      <c r="Q937" s="46">
        <f>IFERROR(__xludf.DUMMYFUNCTION("""COMPUTED_VALUE"""),2825600.19)</f>
        <v>2825600.19</v>
      </c>
      <c r="R937" s="46">
        <f>IFERROR(__xludf.DUMMYFUNCTION("""COMPUTED_VALUE"""),2277801.44)</f>
        <v>2277801.44</v>
      </c>
      <c r="S937" s="46">
        <f>IFERROR(__xludf.DUMMYFUNCTION("""COMPUTED_VALUE"""),547798.75)</f>
        <v>547798.75</v>
      </c>
    </row>
    <row r="938">
      <c r="A938" s="46" t="str">
        <f>IFERROR(__xludf.DUMMYFUNCTION("""COMPUTED_VALUE"""),"Household")</f>
        <v>Household</v>
      </c>
      <c r="B938" s="46" t="str">
        <f>IFERROR(__xludf.DUMMYFUNCTION("""COMPUTED_VALUE"""),"Albania")</f>
        <v>Albania</v>
      </c>
      <c r="C938" s="46" t="str">
        <f>IFERROR(__xludf.DUMMYFUNCTION("""COMPUTED_VALUE"""),"Europe")</f>
        <v>Europe</v>
      </c>
      <c r="D938" s="90">
        <f>IFERROR(__xludf.DUMMYFUNCTION("""COMPUTED_VALUE"""),40969.0)</f>
        <v>40969</v>
      </c>
      <c r="E938" s="46">
        <f>IFERROR(__xludf.DUMMYFUNCTION("""COMPUTED_VALUE"""),2012.0)</f>
        <v>2012</v>
      </c>
      <c r="F938" s="46">
        <f>IFERROR(__xludf.DUMMYFUNCTION("""COMPUTED_VALUE"""),1.0)</f>
        <v>1</v>
      </c>
      <c r="G938" s="46">
        <f>IFERROR(__xludf.DUMMYFUNCTION("""COMPUTED_VALUE"""),5486.0)</f>
        <v>5486</v>
      </c>
      <c r="H938" s="46">
        <f>IFERROR(__xludf.DUMMYFUNCTION("""COMPUTED_VALUE"""),3666129.2199999997)</f>
        <v>3666129.22</v>
      </c>
      <c r="I938" s="46">
        <f>IFERROR(__xludf.DUMMYFUNCTION("""COMPUTED_VALUE"""),2756934.44)</f>
        <v>2756934.44</v>
      </c>
      <c r="J938" s="46">
        <f>IFERROR(__xludf.DUMMYFUNCTION("""COMPUTED_VALUE"""),909194.7799999998)</f>
        <v>909194.78</v>
      </c>
      <c r="K938" s="46" t="str">
        <f t="array" ref="K938">TEXT(D938, "mmmm")</f>
        <v>March</v>
      </c>
      <c r="M938" s="46" t="str">
        <f>IFERROR(__xludf.DUMMYFUNCTION("""COMPUTED_VALUE"""),"Germany")</f>
        <v>Germany</v>
      </c>
      <c r="N938" s="94">
        <f>IFERROR(__xludf.DUMMYFUNCTION("""COMPUTED_VALUE"""),42461.0)</f>
        <v>42461</v>
      </c>
      <c r="O938" s="46">
        <f>IFERROR(__xludf.DUMMYFUNCTION("""COMPUTED_VALUE"""),1.0)</f>
        <v>1</v>
      </c>
      <c r="P938" s="46">
        <f>IFERROR(__xludf.DUMMYFUNCTION("""COMPUTED_VALUE"""),3867.0)</f>
        <v>3867</v>
      </c>
      <c r="Q938" s="46">
        <f>IFERROR(__xludf.DUMMYFUNCTION("""COMPUTED_VALUE"""),795441.8999999999)</f>
        <v>795441.9</v>
      </c>
      <c r="R938" s="46">
        <f>IFERROR(__xludf.DUMMYFUNCTION("""COMPUTED_VALUE"""),452864.37)</f>
        <v>452864.37</v>
      </c>
      <c r="S938" s="46">
        <f>IFERROR(__xludf.DUMMYFUNCTION("""COMPUTED_VALUE"""),342577.5299999999)</f>
        <v>342577.53</v>
      </c>
    </row>
    <row r="939">
      <c r="A939" s="46" t="str">
        <f>IFERROR(__xludf.DUMMYFUNCTION("""COMPUTED_VALUE"""),"Household")</f>
        <v>Household</v>
      </c>
      <c r="B939" s="46" t="str">
        <f>IFERROR(__xludf.DUMMYFUNCTION("""COMPUTED_VALUE"""),"Bosnia and Herzegovina")</f>
        <v>Bosnia and Herzegovina</v>
      </c>
      <c r="C939" s="46" t="str">
        <f>IFERROR(__xludf.DUMMYFUNCTION("""COMPUTED_VALUE"""),"Europe")</f>
        <v>Europe</v>
      </c>
      <c r="D939" s="90">
        <f>IFERROR(__xludf.DUMMYFUNCTION("""COMPUTED_VALUE"""),40969.0)</f>
        <v>40969</v>
      </c>
      <c r="E939" s="46">
        <f>IFERROR(__xludf.DUMMYFUNCTION("""COMPUTED_VALUE"""),2012.0)</f>
        <v>2012</v>
      </c>
      <c r="F939" s="46">
        <f>IFERROR(__xludf.DUMMYFUNCTION("""COMPUTED_VALUE"""),1.0)</f>
        <v>1</v>
      </c>
      <c r="G939" s="46">
        <f>IFERROR(__xludf.DUMMYFUNCTION("""COMPUTED_VALUE"""),7245.0)</f>
        <v>7245</v>
      </c>
      <c r="H939" s="46">
        <f>IFERROR(__xludf.DUMMYFUNCTION("""COMPUTED_VALUE"""),4841616.149999999)</f>
        <v>4841616.15</v>
      </c>
      <c r="I939" s="46">
        <f>IFERROR(__xludf.DUMMYFUNCTION("""COMPUTED_VALUE"""),3640902.3000000003)</f>
        <v>3640902.3</v>
      </c>
      <c r="J939" s="46">
        <f>IFERROR(__xludf.DUMMYFUNCTION("""COMPUTED_VALUE"""),1200713.8499999992)</f>
        <v>1200713.85</v>
      </c>
      <c r="K939" s="46" t="str">
        <f t="array" ref="K939">TEXT(D939, "mmmm")</f>
        <v>March</v>
      </c>
      <c r="M939" s="46" t="str">
        <f>IFERROR(__xludf.DUMMYFUNCTION("""COMPUTED_VALUE"""),"Hungary")</f>
        <v>Hungary</v>
      </c>
      <c r="N939" s="94">
        <f>IFERROR(__xludf.DUMMYFUNCTION("""COMPUTED_VALUE"""),42461.0)</f>
        <v>42461</v>
      </c>
      <c r="O939" s="46">
        <f>IFERROR(__xludf.DUMMYFUNCTION("""COMPUTED_VALUE"""),1.0)</f>
        <v>1</v>
      </c>
      <c r="P939" s="46">
        <f>IFERROR(__xludf.DUMMYFUNCTION("""COMPUTED_VALUE"""),5193.0)</f>
        <v>5193</v>
      </c>
      <c r="Q939" s="46">
        <f>IFERROR(__xludf.DUMMYFUNCTION("""COMPUTED_VALUE"""),48450.69)</f>
        <v>48450.69</v>
      </c>
      <c r="R939" s="46">
        <f>IFERROR(__xludf.DUMMYFUNCTION("""COMPUTED_VALUE"""),35935.56)</f>
        <v>35935.56</v>
      </c>
      <c r="S939" s="46">
        <f>IFERROR(__xludf.DUMMYFUNCTION("""COMPUTED_VALUE"""),12515.130000000005)</f>
        <v>12515.13</v>
      </c>
    </row>
    <row r="940">
      <c r="A940" s="46" t="str">
        <f>IFERROR(__xludf.DUMMYFUNCTION("""COMPUTED_VALUE"""),"Household")</f>
        <v>Household</v>
      </c>
      <c r="B940" s="46" t="str">
        <f>IFERROR(__xludf.DUMMYFUNCTION("""COMPUTED_VALUE"""),"United Kingdom")</f>
        <v>United Kingdom</v>
      </c>
      <c r="C940" s="46" t="str">
        <f>IFERROR(__xludf.DUMMYFUNCTION("""COMPUTED_VALUE"""),"Europe")</f>
        <v>Europe</v>
      </c>
      <c r="D940" s="90">
        <f>IFERROR(__xludf.DUMMYFUNCTION("""COMPUTED_VALUE"""),40969.0)</f>
        <v>40969</v>
      </c>
      <c r="E940" s="46">
        <f>IFERROR(__xludf.DUMMYFUNCTION("""COMPUTED_VALUE"""),2012.0)</f>
        <v>2012</v>
      </c>
      <c r="F940" s="46">
        <f>IFERROR(__xludf.DUMMYFUNCTION("""COMPUTED_VALUE"""),1.0)</f>
        <v>1</v>
      </c>
      <c r="G940" s="46">
        <f>IFERROR(__xludf.DUMMYFUNCTION("""COMPUTED_VALUE"""),3493.0)</f>
        <v>3493</v>
      </c>
      <c r="H940" s="46">
        <f>IFERROR(__xludf.DUMMYFUNCTION("""COMPUTED_VALUE"""),2334267.11)</f>
        <v>2334267.11</v>
      </c>
      <c r="I940" s="46">
        <f>IFERROR(__xludf.DUMMYFUNCTION("""COMPUTED_VALUE"""),1755372.22)</f>
        <v>1755372.22</v>
      </c>
      <c r="J940" s="46">
        <f>IFERROR(__xludf.DUMMYFUNCTION("""COMPUTED_VALUE"""),578894.8899999999)</f>
        <v>578894.89</v>
      </c>
      <c r="K940" s="46" t="str">
        <f t="array" ref="K940">TEXT(D940, "mmmm")</f>
        <v>March</v>
      </c>
      <c r="M940" s="46" t="str">
        <f>IFERROR(__xludf.DUMMYFUNCTION("""COMPUTED_VALUE"""),"Ireland")</f>
        <v>Ireland</v>
      </c>
      <c r="N940" s="94">
        <f>IFERROR(__xludf.DUMMYFUNCTION("""COMPUTED_VALUE"""),42461.0)</f>
        <v>42461</v>
      </c>
      <c r="O940" s="46">
        <f>IFERROR(__xludf.DUMMYFUNCTION("""COMPUTED_VALUE"""),1.0)</f>
        <v>1</v>
      </c>
      <c r="P940" s="46">
        <f>IFERROR(__xludf.DUMMYFUNCTION("""COMPUTED_VALUE"""),7533.0)</f>
        <v>7533</v>
      </c>
      <c r="Q940" s="46">
        <f>IFERROR(__xludf.DUMMYFUNCTION("""COMPUTED_VALUE"""),1160533.98)</f>
        <v>1160533.98</v>
      </c>
      <c r="R940" s="46">
        <f>IFERROR(__xludf.DUMMYFUNCTION("""COMPUTED_VALUE"""),684975.6900000001)</f>
        <v>684975.69</v>
      </c>
      <c r="S940" s="46">
        <f>IFERROR(__xludf.DUMMYFUNCTION("""COMPUTED_VALUE"""),475558.2899999999)</f>
        <v>475558.29</v>
      </c>
    </row>
    <row r="941">
      <c r="A941" s="46" t="str">
        <f>IFERROR(__xludf.DUMMYFUNCTION("""COMPUTED_VALUE"""),"Meat")</f>
        <v>Meat</v>
      </c>
      <c r="B941" s="46" t="str">
        <f>IFERROR(__xludf.DUMMYFUNCTION("""COMPUTED_VALUE"""),"Georgia")</f>
        <v>Georgia</v>
      </c>
      <c r="C941" s="46" t="str">
        <f>IFERROR(__xludf.DUMMYFUNCTION("""COMPUTED_VALUE"""),"Asia")</f>
        <v>Asia</v>
      </c>
      <c r="D941" s="90">
        <f>IFERROR(__xludf.DUMMYFUNCTION("""COMPUTED_VALUE"""),40969.0)</f>
        <v>40969</v>
      </c>
      <c r="E941" s="46">
        <f>IFERROR(__xludf.DUMMYFUNCTION("""COMPUTED_VALUE"""),2012.0)</f>
        <v>2012</v>
      </c>
      <c r="F941" s="46">
        <f>IFERROR(__xludf.DUMMYFUNCTION("""COMPUTED_VALUE"""),1.0)</f>
        <v>1</v>
      </c>
      <c r="G941" s="46">
        <f>IFERROR(__xludf.DUMMYFUNCTION("""COMPUTED_VALUE"""),6711.0)</f>
        <v>6711</v>
      </c>
      <c r="H941" s="46">
        <f>IFERROR(__xludf.DUMMYFUNCTION("""COMPUTED_VALUE"""),2831303.79)</f>
        <v>2831303.79</v>
      </c>
      <c r="I941" s="46">
        <f>IFERROR(__xludf.DUMMYFUNCTION("""COMPUTED_VALUE"""),2447434.59)</f>
        <v>2447434.59</v>
      </c>
      <c r="J941" s="46">
        <f>IFERROR(__xludf.DUMMYFUNCTION("""COMPUTED_VALUE"""),383869.2000000002)</f>
        <v>383869.2</v>
      </c>
      <c r="K941" s="46" t="str">
        <f t="array" ref="K941">TEXT(D941, "mmmm")</f>
        <v>March</v>
      </c>
      <c r="M941" s="46" t="str">
        <f>IFERROR(__xludf.DUMMYFUNCTION("""COMPUTED_VALUE"""),"Italy")</f>
        <v>Italy</v>
      </c>
      <c r="N941" s="94">
        <f>IFERROR(__xludf.DUMMYFUNCTION("""COMPUTED_VALUE"""),42461.0)</f>
        <v>42461</v>
      </c>
      <c r="O941" s="46">
        <f>IFERROR(__xludf.DUMMYFUNCTION("""COMPUTED_VALUE"""),1.0)</f>
        <v>1</v>
      </c>
      <c r="P941" s="46">
        <f>IFERROR(__xludf.DUMMYFUNCTION("""COMPUTED_VALUE"""),428.0)</f>
        <v>428</v>
      </c>
      <c r="Q941" s="46">
        <f>IFERROR(__xludf.DUMMYFUNCTION("""COMPUTED_VALUE"""),65937.68000000001)</f>
        <v>65937.68</v>
      </c>
      <c r="R941" s="46">
        <f>IFERROR(__xludf.DUMMYFUNCTION("""COMPUTED_VALUE"""),38918.04)</f>
        <v>38918.04</v>
      </c>
      <c r="S941" s="46">
        <f>IFERROR(__xludf.DUMMYFUNCTION("""COMPUTED_VALUE"""),27019.640000000007)</f>
        <v>27019.64</v>
      </c>
    </row>
    <row r="942">
      <c r="A942" s="46" t="str">
        <f>IFERROR(__xludf.DUMMYFUNCTION("""COMPUTED_VALUE"""),"Meat")</f>
        <v>Meat</v>
      </c>
      <c r="B942" s="46" t="str">
        <f>IFERROR(__xludf.DUMMYFUNCTION("""COMPUTED_VALUE"""),"Romania")</f>
        <v>Romania</v>
      </c>
      <c r="C942" s="46" t="str">
        <f>IFERROR(__xludf.DUMMYFUNCTION("""COMPUTED_VALUE"""),"Europe")</f>
        <v>Europe</v>
      </c>
      <c r="D942" s="90">
        <f>IFERROR(__xludf.DUMMYFUNCTION("""COMPUTED_VALUE"""),40969.0)</f>
        <v>40969</v>
      </c>
      <c r="E942" s="46">
        <f>IFERROR(__xludf.DUMMYFUNCTION("""COMPUTED_VALUE"""),2012.0)</f>
        <v>2012</v>
      </c>
      <c r="F942" s="46">
        <f>IFERROR(__xludf.DUMMYFUNCTION("""COMPUTED_VALUE"""),1.0)</f>
        <v>1</v>
      </c>
      <c r="G942" s="46">
        <f>IFERROR(__xludf.DUMMYFUNCTION("""COMPUTED_VALUE"""),1494.0)</f>
        <v>1494</v>
      </c>
      <c r="H942" s="46">
        <f>IFERROR(__xludf.DUMMYFUNCTION("""COMPUTED_VALUE"""),630303.66)</f>
        <v>630303.66</v>
      </c>
      <c r="I942" s="46">
        <f>IFERROR(__xludf.DUMMYFUNCTION("""COMPUTED_VALUE"""),544846.86)</f>
        <v>544846.86</v>
      </c>
      <c r="J942" s="46">
        <f>IFERROR(__xludf.DUMMYFUNCTION("""COMPUTED_VALUE"""),85456.80000000005)</f>
        <v>85456.8</v>
      </c>
      <c r="K942" s="46" t="str">
        <f t="array" ref="K942">TEXT(D942, "mmmm")</f>
        <v>March</v>
      </c>
      <c r="M942" s="46" t="str">
        <f>IFERROR(__xludf.DUMMYFUNCTION("""COMPUTED_VALUE"""),"Malta")</f>
        <v>Malta</v>
      </c>
      <c r="N942" s="94">
        <f>IFERROR(__xludf.DUMMYFUNCTION("""COMPUTED_VALUE"""),42461.0)</f>
        <v>42461</v>
      </c>
      <c r="O942" s="46">
        <f>IFERROR(__xludf.DUMMYFUNCTION("""COMPUTED_VALUE"""),1.0)</f>
        <v>1</v>
      </c>
      <c r="P942" s="46">
        <f>IFERROR(__xludf.DUMMYFUNCTION("""COMPUTED_VALUE"""),800.0)</f>
        <v>800</v>
      </c>
      <c r="Q942" s="46">
        <f>IFERROR(__xludf.DUMMYFUNCTION("""COMPUTED_VALUE"""),37960.0)</f>
        <v>37960</v>
      </c>
      <c r="R942" s="46">
        <f>IFERROR(__xludf.DUMMYFUNCTION("""COMPUTED_VALUE"""),25432.0)</f>
        <v>25432</v>
      </c>
      <c r="S942" s="46">
        <f>IFERROR(__xludf.DUMMYFUNCTION("""COMPUTED_VALUE"""),12528.0)</f>
        <v>12528</v>
      </c>
    </row>
    <row r="943">
      <c r="A943" s="46" t="str">
        <f>IFERROR(__xludf.DUMMYFUNCTION("""COMPUTED_VALUE"""),"Meat")</f>
        <v>Meat</v>
      </c>
      <c r="B943" s="46" t="str">
        <f>IFERROR(__xludf.DUMMYFUNCTION("""COMPUTED_VALUE"""),"San Marino")</f>
        <v>San Marino</v>
      </c>
      <c r="C943" s="46" t="str">
        <f>IFERROR(__xludf.DUMMYFUNCTION("""COMPUTED_VALUE"""),"Europe")</f>
        <v>Europe</v>
      </c>
      <c r="D943" s="90">
        <f>IFERROR(__xludf.DUMMYFUNCTION("""COMPUTED_VALUE"""),40969.0)</f>
        <v>40969</v>
      </c>
      <c r="E943" s="46">
        <f>IFERROR(__xludf.DUMMYFUNCTION("""COMPUTED_VALUE"""),2012.0)</f>
        <v>2012</v>
      </c>
      <c r="F943" s="46">
        <f>IFERROR(__xludf.DUMMYFUNCTION("""COMPUTED_VALUE"""),1.0)</f>
        <v>1</v>
      </c>
      <c r="G943" s="46">
        <f>IFERROR(__xludf.DUMMYFUNCTION("""COMPUTED_VALUE"""),6065.0)</f>
        <v>6065</v>
      </c>
      <c r="H943" s="46">
        <f>IFERROR(__xludf.DUMMYFUNCTION("""COMPUTED_VALUE"""),2558762.85)</f>
        <v>2558762.85</v>
      </c>
      <c r="I943" s="46">
        <f>IFERROR(__xludf.DUMMYFUNCTION("""COMPUTED_VALUE"""),2211844.85)</f>
        <v>2211844.85</v>
      </c>
      <c r="J943" s="46">
        <f>IFERROR(__xludf.DUMMYFUNCTION("""COMPUTED_VALUE"""),346918.0)</f>
        <v>346918</v>
      </c>
      <c r="K943" s="46" t="str">
        <f t="array" ref="K943">TEXT(D943, "mmmm")</f>
        <v>March</v>
      </c>
      <c r="M943" s="46" t="str">
        <f>IFERROR(__xludf.DUMMYFUNCTION("""COMPUTED_VALUE"""),"Montenegro")</f>
        <v>Montenegro</v>
      </c>
      <c r="N943" s="94">
        <f>IFERROR(__xludf.DUMMYFUNCTION("""COMPUTED_VALUE"""),42461.0)</f>
        <v>42461</v>
      </c>
      <c r="O943" s="46">
        <f>IFERROR(__xludf.DUMMYFUNCTION("""COMPUTED_VALUE"""),1.0)</f>
        <v>1</v>
      </c>
      <c r="P943" s="46">
        <f>IFERROR(__xludf.DUMMYFUNCTION("""COMPUTED_VALUE"""),2222.0)</f>
        <v>2222</v>
      </c>
      <c r="Q943" s="46">
        <f>IFERROR(__xludf.DUMMYFUNCTION("""COMPUTED_VALUE"""),242820.16)</f>
        <v>242820.16</v>
      </c>
      <c r="R943" s="46">
        <f>IFERROR(__xludf.DUMMYFUNCTION("""COMPUTED_VALUE"""),79636.48000000001)</f>
        <v>79636.48</v>
      </c>
      <c r="S943" s="46">
        <f>IFERROR(__xludf.DUMMYFUNCTION("""COMPUTED_VALUE"""),163183.68)</f>
        <v>163183.68</v>
      </c>
    </row>
    <row r="944">
      <c r="A944" s="46" t="str">
        <f>IFERROR(__xludf.DUMMYFUNCTION("""COMPUTED_VALUE"""),"Personal Care")</f>
        <v>Personal Care</v>
      </c>
      <c r="B944" s="46" t="str">
        <f>IFERROR(__xludf.DUMMYFUNCTION("""COMPUTED_VALUE"""),"Netherlands")</f>
        <v>Netherlands</v>
      </c>
      <c r="C944" s="46" t="str">
        <f>IFERROR(__xludf.DUMMYFUNCTION("""COMPUTED_VALUE"""),"Europe")</f>
        <v>Europe</v>
      </c>
      <c r="D944" s="90">
        <f>IFERROR(__xludf.DUMMYFUNCTION("""COMPUTED_VALUE"""),40969.0)</f>
        <v>40969</v>
      </c>
      <c r="E944" s="46">
        <f>IFERROR(__xludf.DUMMYFUNCTION("""COMPUTED_VALUE"""),2012.0)</f>
        <v>2012</v>
      </c>
      <c r="F944" s="46">
        <f>IFERROR(__xludf.DUMMYFUNCTION("""COMPUTED_VALUE"""),1.0)</f>
        <v>1</v>
      </c>
      <c r="G944" s="46">
        <f>IFERROR(__xludf.DUMMYFUNCTION("""COMPUTED_VALUE"""),9963.0)</f>
        <v>9963</v>
      </c>
      <c r="H944" s="46">
        <f>IFERROR(__xludf.DUMMYFUNCTION("""COMPUTED_VALUE"""),814275.99)</f>
        <v>814275.99</v>
      </c>
      <c r="I944" s="46">
        <f>IFERROR(__xludf.DUMMYFUNCTION("""COMPUTED_VALUE"""),564603.21)</f>
        <v>564603.21</v>
      </c>
      <c r="J944" s="46">
        <f>IFERROR(__xludf.DUMMYFUNCTION("""COMPUTED_VALUE"""),249672.78000000003)</f>
        <v>249672.78</v>
      </c>
      <c r="K944" s="46" t="str">
        <f t="array" ref="K944">TEXT(D944, "mmmm")</f>
        <v>March</v>
      </c>
      <c r="M944" s="46" t="str">
        <f>IFERROR(__xludf.DUMMYFUNCTION("""COMPUTED_VALUE"""),"Romania")</f>
        <v>Romania</v>
      </c>
      <c r="N944" s="94">
        <f>IFERROR(__xludf.DUMMYFUNCTION("""COMPUTED_VALUE"""),42461.0)</f>
        <v>42461</v>
      </c>
      <c r="O944" s="46">
        <f>IFERROR(__xludf.DUMMYFUNCTION("""COMPUTED_VALUE"""),1.0)</f>
        <v>1</v>
      </c>
      <c r="P944" s="46">
        <f>IFERROR(__xludf.DUMMYFUNCTION("""COMPUTED_VALUE"""),3293.0)</f>
        <v>3293</v>
      </c>
      <c r="Q944" s="46">
        <f>IFERROR(__xludf.DUMMYFUNCTION("""COMPUTED_VALUE"""),502445.94000000006)</f>
        <v>502445.94</v>
      </c>
      <c r="R944" s="46">
        <f>IFERROR(__xludf.DUMMYFUNCTION("""COMPUTED_VALUE"""),320869.92)</f>
        <v>320869.92</v>
      </c>
      <c r="S944" s="46">
        <f>IFERROR(__xludf.DUMMYFUNCTION("""COMPUTED_VALUE"""),181576.02000000008)</f>
        <v>181576.02</v>
      </c>
    </row>
    <row r="945">
      <c r="A945" s="46" t="str">
        <f>IFERROR(__xludf.DUMMYFUNCTION("""COMPUTED_VALUE"""),"Snacks")</f>
        <v>Snacks</v>
      </c>
      <c r="B945" s="46" t="str">
        <f>IFERROR(__xludf.DUMMYFUNCTION("""COMPUTED_VALUE"""),"Bosnia and Herzegovina")</f>
        <v>Bosnia and Herzegovina</v>
      </c>
      <c r="C945" s="46" t="str">
        <f>IFERROR(__xludf.DUMMYFUNCTION("""COMPUTED_VALUE"""),"Europe")</f>
        <v>Europe</v>
      </c>
      <c r="D945" s="90">
        <f>IFERROR(__xludf.DUMMYFUNCTION("""COMPUTED_VALUE"""),40969.0)</f>
        <v>40969</v>
      </c>
      <c r="E945" s="46">
        <f>IFERROR(__xludf.DUMMYFUNCTION("""COMPUTED_VALUE"""),2012.0)</f>
        <v>2012</v>
      </c>
      <c r="F945" s="46">
        <f>IFERROR(__xludf.DUMMYFUNCTION("""COMPUTED_VALUE"""),1.0)</f>
        <v>1</v>
      </c>
      <c r="G945" s="46">
        <f>IFERROR(__xludf.DUMMYFUNCTION("""COMPUTED_VALUE"""),2203.0)</f>
        <v>2203</v>
      </c>
      <c r="H945" s="46">
        <f>IFERROR(__xludf.DUMMYFUNCTION("""COMPUTED_VALUE"""),336133.74000000005)</f>
        <v>336133.74</v>
      </c>
      <c r="I945" s="46">
        <f>IFERROR(__xludf.DUMMYFUNCTION("""COMPUTED_VALUE"""),214660.32)</f>
        <v>214660.32</v>
      </c>
      <c r="J945" s="46">
        <f>IFERROR(__xludf.DUMMYFUNCTION("""COMPUTED_VALUE"""),121473.42000000004)</f>
        <v>121473.42</v>
      </c>
      <c r="K945" s="46" t="str">
        <f t="array" ref="K945">TEXT(D945, "mmmm")</f>
        <v>March</v>
      </c>
      <c r="M945" s="46" t="str">
        <f>IFERROR(__xludf.DUMMYFUNCTION("""COMPUTED_VALUE"""),"Sweden")</f>
        <v>Sweden</v>
      </c>
      <c r="N945" s="94">
        <f>IFERROR(__xludf.DUMMYFUNCTION("""COMPUTED_VALUE"""),42461.0)</f>
        <v>42461</v>
      </c>
      <c r="O945" s="46">
        <f>IFERROR(__xludf.DUMMYFUNCTION("""COMPUTED_VALUE"""),1.0)</f>
        <v>1</v>
      </c>
      <c r="P945" s="46">
        <f>IFERROR(__xludf.DUMMYFUNCTION("""COMPUTED_VALUE"""),6210.0)</f>
        <v>6210</v>
      </c>
      <c r="Q945" s="46">
        <f>IFERROR(__xludf.DUMMYFUNCTION("""COMPUTED_VALUE"""),57939.3)</f>
        <v>57939.3</v>
      </c>
      <c r="R945" s="46">
        <f>IFERROR(__xludf.DUMMYFUNCTION("""COMPUTED_VALUE"""),42973.2)</f>
        <v>42973.2</v>
      </c>
      <c r="S945" s="46">
        <f>IFERROR(__xludf.DUMMYFUNCTION("""COMPUTED_VALUE"""),14966.100000000006)</f>
        <v>14966.1</v>
      </c>
    </row>
    <row r="946">
      <c r="A946" s="46" t="str">
        <f>IFERROR(__xludf.DUMMYFUNCTION("""COMPUTED_VALUE"""),"Snacks")</f>
        <v>Snacks</v>
      </c>
      <c r="B946" s="46" t="str">
        <f>IFERROR(__xludf.DUMMYFUNCTION("""COMPUTED_VALUE"""),"Switzerland")</f>
        <v>Switzerland</v>
      </c>
      <c r="C946" s="46" t="str">
        <f>IFERROR(__xludf.DUMMYFUNCTION("""COMPUTED_VALUE"""),"Europe")</f>
        <v>Europe</v>
      </c>
      <c r="D946" s="90">
        <f>IFERROR(__xludf.DUMMYFUNCTION("""COMPUTED_VALUE"""),40969.0)</f>
        <v>40969</v>
      </c>
      <c r="E946" s="46">
        <f>IFERROR(__xludf.DUMMYFUNCTION("""COMPUTED_VALUE"""),2012.0)</f>
        <v>2012</v>
      </c>
      <c r="F946" s="46">
        <f>IFERROR(__xludf.DUMMYFUNCTION("""COMPUTED_VALUE"""),1.0)</f>
        <v>1</v>
      </c>
      <c r="G946" s="46">
        <f>IFERROR(__xludf.DUMMYFUNCTION("""COMPUTED_VALUE"""),2758.0)</f>
        <v>2758</v>
      </c>
      <c r="H946" s="46">
        <f>IFERROR(__xludf.DUMMYFUNCTION("""COMPUTED_VALUE"""),420815.64)</f>
        <v>420815.64</v>
      </c>
      <c r="I946" s="46">
        <f>IFERROR(__xludf.DUMMYFUNCTION("""COMPUTED_VALUE"""),268739.52)</f>
        <v>268739.52</v>
      </c>
      <c r="J946" s="46">
        <f>IFERROR(__xludf.DUMMYFUNCTION("""COMPUTED_VALUE"""),152076.12)</f>
        <v>152076.12</v>
      </c>
      <c r="K946" s="46" t="str">
        <f t="array" ref="K946">TEXT(D946, "mmmm")</f>
        <v>March</v>
      </c>
      <c r="M946" s="46" t="str">
        <f>IFERROR(__xludf.DUMMYFUNCTION("""COMPUTED_VALUE"""),"Undefined")</f>
        <v>Undefined</v>
      </c>
      <c r="N946" s="94">
        <f>IFERROR(__xludf.DUMMYFUNCTION("""COMPUTED_VALUE"""),42461.0)</f>
        <v>42461</v>
      </c>
      <c r="O946" s="46">
        <f>IFERROR(__xludf.DUMMYFUNCTION("""COMPUTED_VALUE"""),1.0)</f>
        <v>1</v>
      </c>
      <c r="P946" s="46">
        <f>IFERROR(__xludf.DUMMYFUNCTION("""COMPUTED_VALUE"""),1529.0)</f>
        <v>1529</v>
      </c>
      <c r="Q946" s="46">
        <f>IFERROR(__xludf.DUMMYFUNCTION("""COMPUTED_VALUE"""),124965.17000000001)</f>
        <v>124965.17</v>
      </c>
      <c r="R946" s="46">
        <f>IFERROR(__xludf.DUMMYFUNCTION("""COMPUTED_VALUE"""),86648.43000000001)</f>
        <v>86648.43</v>
      </c>
      <c r="S946" s="46">
        <f>IFERROR(__xludf.DUMMYFUNCTION("""COMPUTED_VALUE"""),38316.740000000005)</f>
        <v>38316.74</v>
      </c>
    </row>
    <row r="947">
      <c r="A947" s="46" t="str">
        <f>IFERROR(__xludf.DUMMYFUNCTION("""COMPUTED_VALUE"""),"Vegetables")</f>
        <v>Vegetables</v>
      </c>
      <c r="B947" s="46" t="str">
        <f>IFERROR(__xludf.DUMMYFUNCTION("""COMPUTED_VALUE"""),"Bosnia and Herzegovina")</f>
        <v>Bosnia and Herzegovina</v>
      </c>
      <c r="C947" s="46" t="str">
        <f>IFERROR(__xludf.DUMMYFUNCTION("""COMPUTED_VALUE"""),"Europe")</f>
        <v>Europe</v>
      </c>
      <c r="D947" s="90">
        <f>IFERROR(__xludf.DUMMYFUNCTION("""COMPUTED_VALUE"""),40969.0)</f>
        <v>40969</v>
      </c>
      <c r="E947" s="46">
        <f>IFERROR(__xludf.DUMMYFUNCTION("""COMPUTED_VALUE"""),2012.0)</f>
        <v>2012</v>
      </c>
      <c r="F947" s="46">
        <f>IFERROR(__xludf.DUMMYFUNCTION("""COMPUTED_VALUE"""),1.0)</f>
        <v>1</v>
      </c>
      <c r="G947" s="46">
        <f>IFERROR(__xludf.DUMMYFUNCTION("""COMPUTED_VALUE"""),3035.0)</f>
        <v>3035</v>
      </c>
      <c r="H947" s="46">
        <f>IFERROR(__xludf.DUMMYFUNCTION("""COMPUTED_VALUE"""),467572.10000000003)</f>
        <v>467572.1</v>
      </c>
      <c r="I947" s="46">
        <f>IFERROR(__xludf.DUMMYFUNCTION("""COMPUTED_VALUE"""),275972.55000000005)</f>
        <v>275972.55</v>
      </c>
      <c r="J947" s="46">
        <f>IFERROR(__xludf.DUMMYFUNCTION("""COMPUTED_VALUE"""),191599.55)</f>
        <v>191599.55</v>
      </c>
      <c r="K947" s="46" t="str">
        <f t="array" ref="K947">TEXT(D947, "mmmm")</f>
        <v>March</v>
      </c>
      <c r="M947" s="46" t="str">
        <f>IFERROR(__xludf.DUMMYFUNCTION("""COMPUTED_VALUE"""),"Armenia")</f>
        <v>Armenia</v>
      </c>
      <c r="N947" s="94">
        <f>IFERROR(__xludf.DUMMYFUNCTION("""COMPUTED_VALUE"""),42491.0)</f>
        <v>42491</v>
      </c>
      <c r="O947" s="46">
        <f>IFERROR(__xludf.DUMMYFUNCTION("""COMPUTED_VALUE"""),1.0)</f>
        <v>1</v>
      </c>
      <c r="P947" s="46">
        <f>IFERROR(__xludf.DUMMYFUNCTION("""COMPUTED_VALUE"""),9132.0)</f>
        <v>9132</v>
      </c>
      <c r="Q947" s="46">
        <f>IFERROR(__xludf.DUMMYFUNCTION("""COMPUTED_VALUE"""),1406875.92)</f>
        <v>1406875.92</v>
      </c>
      <c r="R947" s="46">
        <f>IFERROR(__xludf.DUMMYFUNCTION("""COMPUTED_VALUE"""),830372.76)</f>
        <v>830372.76</v>
      </c>
      <c r="S947" s="46">
        <f>IFERROR(__xludf.DUMMYFUNCTION("""COMPUTED_VALUE"""),576503.1599999999)</f>
        <v>576503.16</v>
      </c>
    </row>
    <row r="948">
      <c r="A948" s="46" t="str">
        <f>IFERROR(__xludf.DUMMYFUNCTION("""COMPUTED_VALUE"""),"Beverages")</f>
        <v>Beverages</v>
      </c>
      <c r="B948" s="46" t="str">
        <f>IFERROR(__xludf.DUMMYFUNCTION("""COMPUTED_VALUE"""),"Undefined")</f>
        <v>Undefined</v>
      </c>
      <c r="C948" s="46" t="str">
        <f>IFERROR(__xludf.DUMMYFUNCTION("""COMPUTED_VALUE"""),"Undefined")</f>
        <v>Undefined</v>
      </c>
      <c r="D948" s="90">
        <f>IFERROR(__xludf.DUMMYFUNCTION("""COMPUTED_VALUE"""),40940.0)</f>
        <v>40940</v>
      </c>
      <c r="E948" s="46">
        <f>IFERROR(__xludf.DUMMYFUNCTION("""COMPUTED_VALUE"""),2012.0)</f>
        <v>2012</v>
      </c>
      <c r="F948" s="46">
        <f>IFERROR(__xludf.DUMMYFUNCTION("""COMPUTED_VALUE"""),1.0)</f>
        <v>1</v>
      </c>
      <c r="G948" s="46">
        <f>IFERROR(__xludf.DUMMYFUNCTION("""COMPUTED_VALUE"""),1465.0)</f>
        <v>1465</v>
      </c>
      <c r="H948" s="46">
        <f>IFERROR(__xludf.DUMMYFUNCTION("""COMPUTED_VALUE"""),69514.25)</f>
        <v>69514.25</v>
      </c>
      <c r="I948" s="46">
        <f>IFERROR(__xludf.DUMMYFUNCTION("""COMPUTED_VALUE"""),46572.35)</f>
        <v>46572.35</v>
      </c>
      <c r="J948" s="46">
        <f>IFERROR(__xludf.DUMMYFUNCTION("""COMPUTED_VALUE"""),22941.9)</f>
        <v>22941.9</v>
      </c>
      <c r="K948" s="46" t="str">
        <f t="array" ref="K948">TEXT(D948, "mmmm")</f>
        <v>February</v>
      </c>
      <c r="M948" s="46" t="str">
        <f>IFERROR(__xludf.DUMMYFUNCTION("""COMPUTED_VALUE"""),"Croatia")</f>
        <v>Croatia</v>
      </c>
      <c r="N948" s="94">
        <f>IFERROR(__xludf.DUMMYFUNCTION("""COMPUTED_VALUE"""),42491.0)</f>
        <v>42491</v>
      </c>
      <c r="O948" s="46">
        <f>IFERROR(__xludf.DUMMYFUNCTION("""COMPUTED_VALUE"""),1.0)</f>
        <v>1</v>
      </c>
      <c r="P948" s="46">
        <f>IFERROR(__xludf.DUMMYFUNCTION("""COMPUTED_VALUE"""),1362.0)</f>
        <v>1362</v>
      </c>
      <c r="Q948" s="46">
        <f>IFERROR(__xludf.DUMMYFUNCTION("""COMPUTED_VALUE"""),910183.74)</f>
        <v>910183.74</v>
      </c>
      <c r="R948" s="46">
        <f>IFERROR(__xludf.DUMMYFUNCTION("""COMPUTED_VALUE"""),684459.48)</f>
        <v>684459.48</v>
      </c>
      <c r="S948" s="46">
        <f>IFERROR(__xludf.DUMMYFUNCTION("""COMPUTED_VALUE"""),225724.26)</f>
        <v>225724.26</v>
      </c>
    </row>
    <row r="949">
      <c r="A949" s="46" t="str">
        <f>IFERROR(__xludf.DUMMYFUNCTION("""COMPUTED_VALUE"""),"Cereal")</f>
        <v>Cereal</v>
      </c>
      <c r="B949" s="46" t="str">
        <f>IFERROR(__xludf.DUMMYFUNCTION("""COMPUTED_VALUE"""),"Slovenia")</f>
        <v>Slovenia</v>
      </c>
      <c r="C949" s="46" t="str">
        <f>IFERROR(__xludf.DUMMYFUNCTION("""COMPUTED_VALUE"""),"Europe")</f>
        <v>Europe</v>
      </c>
      <c r="D949" s="90">
        <f>IFERROR(__xludf.DUMMYFUNCTION("""COMPUTED_VALUE"""),40940.0)</f>
        <v>40940</v>
      </c>
      <c r="E949" s="46">
        <f>IFERROR(__xludf.DUMMYFUNCTION("""COMPUTED_VALUE"""),2012.0)</f>
        <v>2012</v>
      </c>
      <c r="F949" s="46">
        <f>IFERROR(__xludf.DUMMYFUNCTION("""COMPUTED_VALUE"""),1.0)</f>
        <v>1</v>
      </c>
      <c r="G949" s="46">
        <f>IFERROR(__xludf.DUMMYFUNCTION("""COMPUTED_VALUE"""),8668.0)</f>
        <v>8668</v>
      </c>
      <c r="H949" s="46">
        <f>IFERROR(__xludf.DUMMYFUNCTION("""COMPUTED_VALUE"""),1783007.5999999999)</f>
        <v>1783007.6</v>
      </c>
      <c r="I949" s="46">
        <f>IFERROR(__xludf.DUMMYFUNCTION("""COMPUTED_VALUE"""),1015109.48)</f>
        <v>1015109.48</v>
      </c>
      <c r="J949" s="46">
        <f>IFERROR(__xludf.DUMMYFUNCTION("""COMPUTED_VALUE"""),767898.1199999999)</f>
        <v>767898.12</v>
      </c>
      <c r="K949" s="46" t="str">
        <f t="array" ref="K949">TEXT(D949, "mmmm")</f>
        <v>February</v>
      </c>
      <c r="M949" s="46" t="str">
        <f>IFERROR(__xludf.DUMMYFUNCTION("""COMPUTED_VALUE"""),"Iceland")</f>
        <v>Iceland</v>
      </c>
      <c r="N949" s="94">
        <f>IFERROR(__xludf.DUMMYFUNCTION("""COMPUTED_VALUE"""),42491.0)</f>
        <v>42491</v>
      </c>
      <c r="O949" s="46">
        <f>IFERROR(__xludf.DUMMYFUNCTION("""COMPUTED_VALUE"""),1.0)</f>
        <v>1</v>
      </c>
      <c r="P949" s="46">
        <f>IFERROR(__xludf.DUMMYFUNCTION("""COMPUTED_VALUE"""),6918.0)</f>
        <v>6918</v>
      </c>
      <c r="Q949" s="46">
        <f>IFERROR(__xludf.DUMMYFUNCTION("""COMPUTED_VALUE"""),1766027.04)</f>
        <v>1766027.04</v>
      </c>
      <c r="R949" s="46">
        <f>IFERROR(__xludf.DUMMYFUNCTION("""COMPUTED_VALUE"""),1102867.5599999998)</f>
        <v>1102867.56</v>
      </c>
      <c r="S949" s="46">
        <f>IFERROR(__xludf.DUMMYFUNCTION("""COMPUTED_VALUE"""),663159.4800000002)</f>
        <v>663159.48</v>
      </c>
    </row>
    <row r="950">
      <c r="A950" s="46" t="str">
        <f>IFERROR(__xludf.DUMMYFUNCTION("""COMPUTED_VALUE"""),"Clothes")</f>
        <v>Clothes</v>
      </c>
      <c r="B950" s="46" t="str">
        <f>IFERROR(__xludf.DUMMYFUNCTION("""COMPUTED_VALUE"""),"Portugal")</f>
        <v>Portugal</v>
      </c>
      <c r="C950" s="46" t="str">
        <f>IFERROR(__xludf.DUMMYFUNCTION("""COMPUTED_VALUE"""),"Europe")</f>
        <v>Europe</v>
      </c>
      <c r="D950" s="90">
        <f>IFERROR(__xludf.DUMMYFUNCTION("""COMPUTED_VALUE"""),40940.0)</f>
        <v>40940</v>
      </c>
      <c r="E950" s="46">
        <f>IFERROR(__xludf.DUMMYFUNCTION("""COMPUTED_VALUE"""),2012.0)</f>
        <v>2012</v>
      </c>
      <c r="F950" s="46">
        <f>IFERROR(__xludf.DUMMYFUNCTION("""COMPUTED_VALUE"""),1.0)</f>
        <v>1</v>
      </c>
      <c r="G950" s="46">
        <f>IFERROR(__xludf.DUMMYFUNCTION("""COMPUTED_VALUE"""),2265.0)</f>
        <v>2265</v>
      </c>
      <c r="H950" s="46">
        <f>IFERROR(__xludf.DUMMYFUNCTION("""COMPUTED_VALUE"""),247519.2)</f>
        <v>247519.2</v>
      </c>
      <c r="I950" s="46">
        <f>IFERROR(__xludf.DUMMYFUNCTION("""COMPUTED_VALUE"""),81177.6)</f>
        <v>81177.6</v>
      </c>
      <c r="J950" s="46">
        <f>IFERROR(__xludf.DUMMYFUNCTION("""COMPUTED_VALUE"""),166341.6)</f>
        <v>166341.6</v>
      </c>
      <c r="K950" s="46" t="str">
        <f t="array" ref="K950">TEXT(D950, "mmmm")</f>
        <v>February</v>
      </c>
      <c r="M950" s="46" t="str">
        <f>IFERROR(__xludf.DUMMYFUNCTION("""COMPUTED_VALUE"""),"Malta")</f>
        <v>Malta</v>
      </c>
      <c r="N950" s="94">
        <f>IFERROR(__xludf.DUMMYFUNCTION("""COMPUTED_VALUE"""),42491.0)</f>
        <v>42491</v>
      </c>
      <c r="O950" s="46">
        <f>IFERROR(__xludf.DUMMYFUNCTION("""COMPUTED_VALUE"""),3.0)</f>
        <v>3</v>
      </c>
      <c r="P950" s="46">
        <f>IFERROR(__xludf.DUMMYFUNCTION("""COMPUTED_VALUE"""),15813.0)</f>
        <v>15813</v>
      </c>
      <c r="Q950" s="46">
        <f>IFERROR(__xludf.DUMMYFUNCTION("""COMPUTED_VALUE"""),3731069.99)</f>
        <v>3731069.99</v>
      </c>
      <c r="R950" s="46">
        <f>IFERROR(__xludf.DUMMYFUNCTION("""COMPUTED_VALUE"""),2940582.31)</f>
        <v>2940582.31</v>
      </c>
      <c r="S950" s="46">
        <f>IFERROR(__xludf.DUMMYFUNCTION("""COMPUTED_VALUE"""),790487.6799999997)</f>
        <v>790487.68</v>
      </c>
    </row>
    <row r="951">
      <c r="A951" s="46" t="str">
        <f>IFERROR(__xludf.DUMMYFUNCTION("""COMPUTED_VALUE"""),"Cosmetics")</f>
        <v>Cosmetics</v>
      </c>
      <c r="B951" s="46" t="str">
        <f>IFERROR(__xludf.DUMMYFUNCTION("""COMPUTED_VALUE"""),"Bosnia and Herzegovina")</f>
        <v>Bosnia and Herzegovina</v>
      </c>
      <c r="C951" s="46" t="str">
        <f>IFERROR(__xludf.DUMMYFUNCTION("""COMPUTED_VALUE"""),"Europe")</f>
        <v>Europe</v>
      </c>
      <c r="D951" s="90">
        <f>IFERROR(__xludf.DUMMYFUNCTION("""COMPUTED_VALUE"""),40940.0)</f>
        <v>40940</v>
      </c>
      <c r="E951" s="46">
        <f>IFERROR(__xludf.DUMMYFUNCTION("""COMPUTED_VALUE"""),2012.0)</f>
        <v>2012</v>
      </c>
      <c r="F951" s="46">
        <f>IFERROR(__xludf.DUMMYFUNCTION("""COMPUTED_VALUE"""),1.0)</f>
        <v>1</v>
      </c>
      <c r="G951" s="46">
        <f>IFERROR(__xludf.DUMMYFUNCTION("""COMPUTED_VALUE"""),7811.0)</f>
        <v>7811</v>
      </c>
      <c r="H951" s="46">
        <f>IFERROR(__xludf.DUMMYFUNCTION("""COMPUTED_VALUE"""),3414969.1999999997)</f>
        <v>3414969.2</v>
      </c>
      <c r="I951" s="46">
        <f>IFERROR(__xludf.DUMMYFUNCTION("""COMPUTED_VALUE"""),2056870.63)</f>
        <v>2056870.63</v>
      </c>
      <c r="J951" s="46">
        <f>IFERROR(__xludf.DUMMYFUNCTION("""COMPUTED_VALUE"""),1358098.5699999998)</f>
        <v>1358098.57</v>
      </c>
      <c r="K951" s="46" t="str">
        <f t="array" ref="K951">TEXT(D951, "mmmm")</f>
        <v>February</v>
      </c>
      <c r="M951" s="46" t="str">
        <f>IFERROR(__xludf.DUMMYFUNCTION("""COMPUTED_VALUE"""),"Montenegro")</f>
        <v>Montenegro</v>
      </c>
      <c r="N951" s="94">
        <f>IFERROR(__xludf.DUMMYFUNCTION("""COMPUTED_VALUE"""),42491.0)</f>
        <v>42491</v>
      </c>
      <c r="O951" s="46">
        <f>IFERROR(__xludf.DUMMYFUNCTION("""COMPUTED_VALUE"""),1.0)</f>
        <v>1</v>
      </c>
      <c r="P951" s="46">
        <f>IFERROR(__xludf.DUMMYFUNCTION("""COMPUTED_VALUE"""),1390.0)</f>
        <v>1390</v>
      </c>
      <c r="Q951" s="46">
        <f>IFERROR(__xludf.DUMMYFUNCTION("""COMPUTED_VALUE"""),12968.7)</f>
        <v>12968.7</v>
      </c>
      <c r="R951" s="46">
        <f>IFERROR(__xludf.DUMMYFUNCTION("""COMPUTED_VALUE"""),9618.8)</f>
        <v>9618.8</v>
      </c>
      <c r="S951" s="46">
        <f>IFERROR(__xludf.DUMMYFUNCTION("""COMPUTED_VALUE"""),3349.9000000000015)</f>
        <v>3349.9</v>
      </c>
    </row>
    <row r="952">
      <c r="A952" s="46" t="str">
        <f>IFERROR(__xludf.DUMMYFUNCTION("""COMPUTED_VALUE"""),"Cosmetics")</f>
        <v>Cosmetics</v>
      </c>
      <c r="B952" s="46" t="str">
        <f>IFERROR(__xludf.DUMMYFUNCTION("""COMPUTED_VALUE"""),"Croatia")</f>
        <v>Croatia</v>
      </c>
      <c r="C952" s="46" t="str">
        <f>IFERROR(__xludf.DUMMYFUNCTION("""COMPUTED_VALUE"""),"Europe")</f>
        <v>Europe</v>
      </c>
      <c r="D952" s="90">
        <f>IFERROR(__xludf.DUMMYFUNCTION("""COMPUTED_VALUE"""),40940.0)</f>
        <v>40940</v>
      </c>
      <c r="E952" s="46">
        <f>IFERROR(__xludf.DUMMYFUNCTION("""COMPUTED_VALUE"""),2012.0)</f>
        <v>2012</v>
      </c>
      <c r="F952" s="46">
        <f>IFERROR(__xludf.DUMMYFUNCTION("""COMPUTED_VALUE"""),1.0)</f>
        <v>1</v>
      </c>
      <c r="G952" s="46">
        <f>IFERROR(__xludf.DUMMYFUNCTION("""COMPUTED_VALUE"""),6267.0)</f>
        <v>6267</v>
      </c>
      <c r="H952" s="46">
        <f>IFERROR(__xludf.DUMMYFUNCTION("""COMPUTED_VALUE"""),2739932.4)</f>
        <v>2739932.4</v>
      </c>
      <c r="I952" s="46">
        <f>IFERROR(__xludf.DUMMYFUNCTION("""COMPUTED_VALUE"""),1650289.1099999999)</f>
        <v>1650289.11</v>
      </c>
      <c r="J952" s="46">
        <f>IFERROR(__xludf.DUMMYFUNCTION("""COMPUTED_VALUE"""),1089643.29)</f>
        <v>1089643.29</v>
      </c>
      <c r="K952" s="46" t="str">
        <f t="array" ref="K952">TEXT(D952, "mmmm")</f>
        <v>February</v>
      </c>
      <c r="M952" s="46" t="str">
        <f>IFERROR(__xludf.DUMMYFUNCTION("""COMPUTED_VALUE"""),"Romania")</f>
        <v>Romania</v>
      </c>
      <c r="N952" s="94">
        <f>IFERROR(__xludf.DUMMYFUNCTION("""COMPUTED_VALUE"""),42491.0)</f>
        <v>42491</v>
      </c>
      <c r="O952" s="46">
        <f>IFERROR(__xludf.DUMMYFUNCTION("""COMPUTED_VALUE"""),1.0)</f>
        <v>1</v>
      </c>
      <c r="P952" s="46">
        <f>IFERROR(__xludf.DUMMYFUNCTION("""COMPUTED_VALUE"""),3548.0)</f>
        <v>3548</v>
      </c>
      <c r="Q952" s="46">
        <f>IFERROR(__xludf.DUMMYFUNCTION("""COMPUTED_VALUE"""),168352.6)</f>
        <v>168352.6</v>
      </c>
      <c r="R952" s="46">
        <f>IFERROR(__xludf.DUMMYFUNCTION("""COMPUTED_VALUE"""),112790.92)</f>
        <v>112790.92</v>
      </c>
      <c r="S952" s="46">
        <f>IFERROR(__xludf.DUMMYFUNCTION("""COMPUTED_VALUE"""),55561.68000000001)</f>
        <v>55561.68</v>
      </c>
    </row>
    <row r="953">
      <c r="A953" s="46" t="str">
        <f>IFERROR(__xludf.DUMMYFUNCTION("""COMPUTED_VALUE"""),"Cosmetics")</f>
        <v>Cosmetics</v>
      </c>
      <c r="B953" s="46" t="str">
        <f>IFERROR(__xludf.DUMMYFUNCTION("""COMPUTED_VALUE"""),"Germany")</f>
        <v>Germany</v>
      </c>
      <c r="C953" s="46" t="str">
        <f>IFERROR(__xludf.DUMMYFUNCTION("""COMPUTED_VALUE"""),"Europe")</f>
        <v>Europe</v>
      </c>
      <c r="D953" s="90">
        <f>IFERROR(__xludf.DUMMYFUNCTION("""COMPUTED_VALUE"""),40940.0)</f>
        <v>40940</v>
      </c>
      <c r="E953" s="46">
        <f>IFERROR(__xludf.DUMMYFUNCTION("""COMPUTED_VALUE"""),2012.0)</f>
        <v>2012</v>
      </c>
      <c r="F953" s="46">
        <f>IFERROR(__xludf.DUMMYFUNCTION("""COMPUTED_VALUE"""),1.0)</f>
        <v>1</v>
      </c>
      <c r="G953" s="46">
        <f>IFERROR(__xludf.DUMMYFUNCTION("""COMPUTED_VALUE"""),9569.0)</f>
        <v>9569</v>
      </c>
      <c r="H953" s="46">
        <f>IFERROR(__xludf.DUMMYFUNCTION("""COMPUTED_VALUE"""),4183566.8)</f>
        <v>4183566.8</v>
      </c>
      <c r="I953" s="46">
        <f>IFERROR(__xludf.DUMMYFUNCTION("""COMPUTED_VALUE"""),2519804.77)</f>
        <v>2519804.77</v>
      </c>
      <c r="J953" s="46">
        <f>IFERROR(__xludf.DUMMYFUNCTION("""COMPUTED_VALUE"""),1663762.0299999998)</f>
        <v>1663762.03</v>
      </c>
      <c r="K953" s="46" t="str">
        <f t="array" ref="K953">TEXT(D953, "mmmm")</f>
        <v>February</v>
      </c>
      <c r="M953" s="46" t="str">
        <f>IFERROR(__xludf.DUMMYFUNCTION("""COMPUTED_VALUE"""),"San Marino")</f>
        <v>San Marino</v>
      </c>
      <c r="N953" s="94">
        <f>IFERROR(__xludf.DUMMYFUNCTION("""COMPUTED_VALUE"""),42491.0)</f>
        <v>42491</v>
      </c>
      <c r="O953" s="46">
        <f>IFERROR(__xludf.DUMMYFUNCTION("""COMPUTED_VALUE"""),2.0)</f>
        <v>2</v>
      </c>
      <c r="P953" s="46">
        <f>IFERROR(__xludf.DUMMYFUNCTION("""COMPUTED_VALUE"""),7083.0)</f>
        <v>7083</v>
      </c>
      <c r="Q953" s="46">
        <f>IFERROR(__xludf.DUMMYFUNCTION("""COMPUTED_VALUE"""),4534780.95)</f>
        <v>4534780.95</v>
      </c>
      <c r="R953" s="46">
        <f>IFERROR(__xludf.DUMMYFUNCTION("""COMPUTED_VALUE"""),3663960.1500000004)</f>
        <v>3663960.15</v>
      </c>
      <c r="S953" s="46">
        <f>IFERROR(__xludf.DUMMYFUNCTION("""COMPUTED_VALUE"""),870820.8)</f>
        <v>870820.8</v>
      </c>
    </row>
    <row r="954">
      <c r="A954" s="46" t="str">
        <f>IFERROR(__xludf.DUMMYFUNCTION("""COMPUTED_VALUE"""),"Household")</f>
        <v>Household</v>
      </c>
      <c r="B954" s="46" t="str">
        <f>IFERROR(__xludf.DUMMYFUNCTION("""COMPUTED_VALUE"""),"Armenia")</f>
        <v>Armenia</v>
      </c>
      <c r="C954" s="46" t="str">
        <f>IFERROR(__xludf.DUMMYFUNCTION("""COMPUTED_VALUE"""),"Asia")</f>
        <v>Asia</v>
      </c>
      <c r="D954" s="90">
        <f>IFERROR(__xludf.DUMMYFUNCTION("""COMPUTED_VALUE"""),40940.0)</f>
        <v>40940</v>
      </c>
      <c r="E954" s="46">
        <f>IFERROR(__xludf.DUMMYFUNCTION("""COMPUTED_VALUE"""),2012.0)</f>
        <v>2012</v>
      </c>
      <c r="F954" s="46">
        <f>IFERROR(__xludf.DUMMYFUNCTION("""COMPUTED_VALUE"""),1.0)</f>
        <v>1</v>
      </c>
      <c r="G954" s="46">
        <f>IFERROR(__xludf.DUMMYFUNCTION("""COMPUTED_VALUE"""),3796.0)</f>
        <v>3796</v>
      </c>
      <c r="H954" s="46">
        <f>IFERROR(__xludf.DUMMYFUNCTION("""COMPUTED_VALUE"""),2536752.92)</f>
        <v>2536752.92</v>
      </c>
      <c r="I954" s="46">
        <f>IFERROR(__xludf.DUMMYFUNCTION("""COMPUTED_VALUE"""),1907641.84)</f>
        <v>1907641.84</v>
      </c>
      <c r="J954" s="46">
        <f>IFERROR(__xludf.DUMMYFUNCTION("""COMPUTED_VALUE"""),629111.0799999998)</f>
        <v>629111.08</v>
      </c>
      <c r="K954" s="46" t="str">
        <f t="array" ref="K954">TEXT(D954, "mmmm")</f>
        <v>February</v>
      </c>
      <c r="M954" s="46" t="str">
        <f>IFERROR(__xludf.DUMMYFUNCTION("""COMPUTED_VALUE"""),"Slovenia")</f>
        <v>Slovenia</v>
      </c>
      <c r="N954" s="94">
        <f>IFERROR(__xludf.DUMMYFUNCTION("""COMPUTED_VALUE"""),42491.0)</f>
        <v>42491</v>
      </c>
      <c r="O954" s="46">
        <f>IFERROR(__xludf.DUMMYFUNCTION("""COMPUTED_VALUE"""),1.0)</f>
        <v>1</v>
      </c>
      <c r="P954" s="46">
        <f>IFERROR(__xludf.DUMMYFUNCTION("""COMPUTED_VALUE"""),5669.0)</f>
        <v>5669</v>
      </c>
      <c r="Q954" s="46">
        <f>IFERROR(__xludf.DUMMYFUNCTION("""COMPUTED_VALUE"""),52891.77)</f>
        <v>52891.77</v>
      </c>
      <c r="R954" s="46">
        <f>IFERROR(__xludf.DUMMYFUNCTION("""COMPUTED_VALUE"""),39229.48)</f>
        <v>39229.48</v>
      </c>
      <c r="S954" s="46">
        <f>IFERROR(__xludf.DUMMYFUNCTION("""COMPUTED_VALUE"""),13662.289999999994)</f>
        <v>13662.29</v>
      </c>
    </row>
    <row r="955">
      <c r="A955" s="46" t="str">
        <f>IFERROR(__xludf.DUMMYFUNCTION("""COMPUTED_VALUE"""),"Office Supplies")</f>
        <v>Office Supplies</v>
      </c>
      <c r="B955" s="46" t="str">
        <f>IFERROR(__xludf.DUMMYFUNCTION("""COMPUTED_VALUE"""),"Portugal")</f>
        <v>Portugal</v>
      </c>
      <c r="C955" s="46" t="str">
        <f>IFERROR(__xludf.DUMMYFUNCTION("""COMPUTED_VALUE"""),"Europe")</f>
        <v>Europe</v>
      </c>
      <c r="D955" s="90">
        <f>IFERROR(__xludf.DUMMYFUNCTION("""COMPUTED_VALUE"""),40940.0)</f>
        <v>40940</v>
      </c>
      <c r="E955" s="46">
        <f>IFERROR(__xludf.DUMMYFUNCTION("""COMPUTED_VALUE"""),2012.0)</f>
        <v>2012</v>
      </c>
      <c r="F955" s="46">
        <f>IFERROR(__xludf.DUMMYFUNCTION("""COMPUTED_VALUE"""),1.0)</f>
        <v>1</v>
      </c>
      <c r="G955" s="46">
        <f>IFERROR(__xludf.DUMMYFUNCTION("""COMPUTED_VALUE"""),9997.0)</f>
        <v>9997</v>
      </c>
      <c r="H955" s="46">
        <f>IFERROR(__xludf.DUMMYFUNCTION("""COMPUTED_VALUE"""),6510146.37)</f>
        <v>6510146.37</v>
      </c>
      <c r="I955" s="46">
        <f>IFERROR(__xludf.DUMMYFUNCTION("""COMPUTED_VALUE"""),5248025.12)</f>
        <v>5248025.12</v>
      </c>
      <c r="J955" s="46">
        <f>IFERROR(__xludf.DUMMYFUNCTION("""COMPUTED_VALUE"""),1262121.25)</f>
        <v>1262121.25</v>
      </c>
      <c r="K955" s="46" t="str">
        <f t="array" ref="K955">TEXT(D955, "mmmm")</f>
        <v>February</v>
      </c>
      <c r="M955" s="46" t="str">
        <f>IFERROR(__xludf.DUMMYFUNCTION("""COMPUTED_VALUE"""),"Sweden")</f>
        <v>Sweden</v>
      </c>
      <c r="N955" s="94">
        <f>IFERROR(__xludf.DUMMYFUNCTION("""COMPUTED_VALUE"""),42491.0)</f>
        <v>42491</v>
      </c>
      <c r="O955" s="46">
        <f>IFERROR(__xludf.DUMMYFUNCTION("""COMPUTED_VALUE"""),1.0)</f>
        <v>1</v>
      </c>
      <c r="P955" s="46">
        <f>IFERROR(__xludf.DUMMYFUNCTION("""COMPUTED_VALUE"""),4463.0)</f>
        <v>4463</v>
      </c>
      <c r="Q955" s="46">
        <f>IFERROR(__xludf.DUMMYFUNCTION("""COMPUTED_VALUE"""),918039.1)</f>
        <v>918039.1</v>
      </c>
      <c r="R955" s="46">
        <f>IFERROR(__xludf.DUMMYFUNCTION("""COMPUTED_VALUE"""),522661.93)</f>
        <v>522661.93</v>
      </c>
      <c r="S955" s="46">
        <f>IFERROR(__xludf.DUMMYFUNCTION("""COMPUTED_VALUE"""),395377.17)</f>
        <v>395377.17</v>
      </c>
    </row>
    <row r="956">
      <c r="A956" s="46" t="str">
        <f>IFERROR(__xludf.DUMMYFUNCTION("""COMPUTED_VALUE"""),"Office Supplies")</f>
        <v>Office Supplies</v>
      </c>
      <c r="B956" s="46" t="str">
        <f>IFERROR(__xludf.DUMMYFUNCTION("""COMPUTED_VALUE"""),"Slovakia")</f>
        <v>Slovakia</v>
      </c>
      <c r="C956" s="46" t="str">
        <f>IFERROR(__xludf.DUMMYFUNCTION("""COMPUTED_VALUE"""),"Europe")</f>
        <v>Europe</v>
      </c>
      <c r="D956" s="90">
        <f>IFERROR(__xludf.DUMMYFUNCTION("""COMPUTED_VALUE"""),40940.0)</f>
        <v>40940</v>
      </c>
      <c r="E956" s="46">
        <f>IFERROR(__xludf.DUMMYFUNCTION("""COMPUTED_VALUE"""),2012.0)</f>
        <v>2012</v>
      </c>
      <c r="F956" s="46">
        <f>IFERROR(__xludf.DUMMYFUNCTION("""COMPUTED_VALUE"""),1.0)</f>
        <v>1</v>
      </c>
      <c r="G956" s="46">
        <f>IFERROR(__xludf.DUMMYFUNCTION("""COMPUTED_VALUE"""),8307.0)</f>
        <v>8307</v>
      </c>
      <c r="H956" s="46">
        <f>IFERROR(__xludf.DUMMYFUNCTION("""COMPUTED_VALUE"""),5409601.470000001)</f>
        <v>5409601.47</v>
      </c>
      <c r="I956" s="46">
        <f>IFERROR(__xludf.DUMMYFUNCTION("""COMPUTED_VALUE"""),4360842.720000001)</f>
        <v>4360842.72</v>
      </c>
      <c r="J956" s="46">
        <f>IFERROR(__xludf.DUMMYFUNCTION("""COMPUTED_VALUE"""),1048758.75)</f>
        <v>1048758.75</v>
      </c>
      <c r="K956" s="46" t="str">
        <f t="array" ref="K956">TEXT(D956, "mmmm")</f>
        <v>February</v>
      </c>
      <c r="M956" s="46" t="str">
        <f>IFERROR(__xludf.DUMMYFUNCTION("""COMPUTED_VALUE"""),"Undefined")</f>
        <v>Undefined</v>
      </c>
      <c r="N956" s="94">
        <f>IFERROR(__xludf.DUMMYFUNCTION("""COMPUTED_VALUE"""),42491.0)</f>
        <v>42491</v>
      </c>
      <c r="O956" s="46">
        <f>IFERROR(__xludf.DUMMYFUNCTION("""COMPUTED_VALUE"""),1.0)</f>
        <v>1</v>
      </c>
      <c r="P956" s="46">
        <f>IFERROR(__xludf.DUMMYFUNCTION("""COMPUTED_VALUE"""),8978.0)</f>
        <v>8978</v>
      </c>
      <c r="Q956" s="46">
        <f>IFERROR(__xludf.DUMMYFUNCTION("""COMPUTED_VALUE"""),3787728.42)</f>
        <v>3787728.42</v>
      </c>
      <c r="R956" s="46">
        <f>IFERROR(__xludf.DUMMYFUNCTION("""COMPUTED_VALUE"""),3274186.82)</f>
        <v>3274186.82</v>
      </c>
      <c r="S956" s="46">
        <f>IFERROR(__xludf.DUMMYFUNCTION("""COMPUTED_VALUE"""),513541.6000000001)</f>
        <v>513541.6</v>
      </c>
    </row>
    <row r="957">
      <c r="A957" s="46" t="str">
        <f>IFERROR(__xludf.DUMMYFUNCTION("""COMPUTED_VALUE"""),"Personal Care")</f>
        <v>Personal Care</v>
      </c>
      <c r="B957" s="46" t="str">
        <f>IFERROR(__xludf.DUMMYFUNCTION("""COMPUTED_VALUE"""),"Slovenia")</f>
        <v>Slovenia</v>
      </c>
      <c r="C957" s="46" t="str">
        <f>IFERROR(__xludf.DUMMYFUNCTION("""COMPUTED_VALUE"""),"Europe")</f>
        <v>Europe</v>
      </c>
      <c r="D957" s="90">
        <f>IFERROR(__xludf.DUMMYFUNCTION("""COMPUTED_VALUE"""),40940.0)</f>
        <v>40940</v>
      </c>
      <c r="E957" s="46">
        <f>IFERROR(__xludf.DUMMYFUNCTION("""COMPUTED_VALUE"""),2012.0)</f>
        <v>2012</v>
      </c>
      <c r="F957" s="46">
        <f>IFERROR(__xludf.DUMMYFUNCTION("""COMPUTED_VALUE"""),1.0)</f>
        <v>1</v>
      </c>
      <c r="G957" s="46">
        <f>IFERROR(__xludf.DUMMYFUNCTION("""COMPUTED_VALUE"""),3119.0)</f>
        <v>3119</v>
      </c>
      <c r="H957" s="46">
        <f>IFERROR(__xludf.DUMMYFUNCTION("""COMPUTED_VALUE"""),254915.87000000002)</f>
        <v>254915.87</v>
      </c>
      <c r="I957" s="46">
        <f>IFERROR(__xludf.DUMMYFUNCTION("""COMPUTED_VALUE"""),176753.73)</f>
        <v>176753.73</v>
      </c>
      <c r="J957" s="46">
        <f>IFERROR(__xludf.DUMMYFUNCTION("""COMPUTED_VALUE"""),78162.14000000001)</f>
        <v>78162.14</v>
      </c>
      <c r="K957" s="46" t="str">
        <f t="array" ref="K957">TEXT(D957, "mmmm")</f>
        <v>February</v>
      </c>
      <c r="M957" s="46" t="str">
        <f>IFERROR(__xludf.DUMMYFUNCTION("""COMPUTED_VALUE"""),"Andorra")</f>
        <v>Andorra</v>
      </c>
      <c r="N957" s="94">
        <f>IFERROR(__xludf.DUMMYFUNCTION("""COMPUTED_VALUE"""),42522.0)</f>
        <v>42522</v>
      </c>
      <c r="O957" s="46">
        <f>IFERROR(__xludf.DUMMYFUNCTION("""COMPUTED_VALUE"""),1.0)</f>
        <v>1</v>
      </c>
      <c r="P957" s="46">
        <f>IFERROR(__xludf.DUMMYFUNCTION("""COMPUTED_VALUE"""),7360.0)</f>
        <v>7360</v>
      </c>
      <c r="Q957" s="46">
        <f>IFERROR(__xludf.DUMMYFUNCTION("""COMPUTED_VALUE"""),68668.8)</f>
        <v>68668.8</v>
      </c>
      <c r="R957" s="46">
        <f>IFERROR(__xludf.DUMMYFUNCTION("""COMPUTED_VALUE"""),50931.2)</f>
        <v>50931.2</v>
      </c>
      <c r="S957" s="46">
        <f>IFERROR(__xludf.DUMMYFUNCTION("""COMPUTED_VALUE"""),17737.600000000006)</f>
        <v>17737.6</v>
      </c>
    </row>
    <row r="958">
      <c r="A958" s="46" t="str">
        <f>IFERROR(__xludf.DUMMYFUNCTION("""COMPUTED_VALUE"""),"Vegetables")</f>
        <v>Vegetables</v>
      </c>
      <c r="B958" s="46" t="str">
        <f>IFERROR(__xludf.DUMMYFUNCTION("""COMPUTED_VALUE"""),"Bosnia and Herzegovina")</f>
        <v>Bosnia and Herzegovina</v>
      </c>
      <c r="C958" s="46" t="str">
        <f>IFERROR(__xludf.DUMMYFUNCTION("""COMPUTED_VALUE"""),"Europe")</f>
        <v>Europe</v>
      </c>
      <c r="D958" s="90">
        <f>IFERROR(__xludf.DUMMYFUNCTION("""COMPUTED_VALUE"""),40940.0)</f>
        <v>40940</v>
      </c>
      <c r="E958" s="46">
        <f>IFERROR(__xludf.DUMMYFUNCTION("""COMPUTED_VALUE"""),2012.0)</f>
        <v>2012</v>
      </c>
      <c r="F958" s="46">
        <f>IFERROR(__xludf.DUMMYFUNCTION("""COMPUTED_VALUE"""),1.0)</f>
        <v>1</v>
      </c>
      <c r="G958" s="46">
        <f>IFERROR(__xludf.DUMMYFUNCTION("""COMPUTED_VALUE"""),7763.0)</f>
        <v>7763</v>
      </c>
      <c r="H958" s="46">
        <f>IFERROR(__xludf.DUMMYFUNCTION("""COMPUTED_VALUE"""),1195967.78)</f>
        <v>1195967.78</v>
      </c>
      <c r="I958" s="46">
        <f>IFERROR(__xludf.DUMMYFUNCTION("""COMPUTED_VALUE"""),705889.5900000001)</f>
        <v>705889.59</v>
      </c>
      <c r="J958" s="46">
        <f>IFERROR(__xludf.DUMMYFUNCTION("""COMPUTED_VALUE"""),490078.18999999994)</f>
        <v>490078.19</v>
      </c>
      <c r="K958" s="46" t="str">
        <f t="array" ref="K958">TEXT(D958, "mmmm")</f>
        <v>February</v>
      </c>
      <c r="M958" s="46" t="str">
        <f>IFERROR(__xludf.DUMMYFUNCTION("""COMPUTED_VALUE"""),"Croatia")</f>
        <v>Croatia</v>
      </c>
      <c r="N958" s="94">
        <f>IFERROR(__xludf.DUMMYFUNCTION("""COMPUTED_VALUE"""),42522.0)</f>
        <v>42522</v>
      </c>
      <c r="O958" s="46">
        <f>IFERROR(__xludf.DUMMYFUNCTION("""COMPUTED_VALUE"""),1.0)</f>
        <v>1</v>
      </c>
      <c r="P958" s="46">
        <f>IFERROR(__xludf.DUMMYFUNCTION("""COMPUTED_VALUE"""),8841.0)</f>
        <v>8841</v>
      </c>
      <c r="Q958" s="46">
        <f>IFERROR(__xludf.DUMMYFUNCTION("""COMPUTED_VALUE"""),966144.48)</f>
        <v>966144.48</v>
      </c>
      <c r="R958" s="46">
        <f>IFERROR(__xludf.DUMMYFUNCTION("""COMPUTED_VALUE"""),316861.44)</f>
        <v>316861.44</v>
      </c>
      <c r="S958" s="46">
        <f>IFERROR(__xludf.DUMMYFUNCTION("""COMPUTED_VALUE"""),649283.04)</f>
        <v>649283.04</v>
      </c>
    </row>
    <row r="959">
      <c r="A959" s="46" t="str">
        <f>IFERROR(__xludf.DUMMYFUNCTION("""COMPUTED_VALUE"""),"Vegetables")</f>
        <v>Vegetables</v>
      </c>
      <c r="B959" s="46" t="str">
        <f>IFERROR(__xludf.DUMMYFUNCTION("""COMPUTED_VALUE"""),"France")</f>
        <v>France</v>
      </c>
      <c r="C959" s="46" t="str">
        <f>IFERROR(__xludf.DUMMYFUNCTION("""COMPUTED_VALUE"""),"Europe")</f>
        <v>Europe</v>
      </c>
      <c r="D959" s="90">
        <f>IFERROR(__xludf.DUMMYFUNCTION("""COMPUTED_VALUE"""),40940.0)</f>
        <v>40940</v>
      </c>
      <c r="E959" s="46">
        <f>IFERROR(__xludf.DUMMYFUNCTION("""COMPUTED_VALUE"""),2012.0)</f>
        <v>2012</v>
      </c>
      <c r="F959" s="46">
        <f>IFERROR(__xludf.DUMMYFUNCTION("""COMPUTED_VALUE"""),1.0)</f>
        <v>1</v>
      </c>
      <c r="G959" s="46">
        <f>IFERROR(__xludf.DUMMYFUNCTION("""COMPUTED_VALUE"""),5504.0)</f>
        <v>5504</v>
      </c>
      <c r="H959" s="46">
        <f>IFERROR(__xludf.DUMMYFUNCTION("""COMPUTED_VALUE"""),847946.24)</f>
        <v>847946.24</v>
      </c>
      <c r="I959" s="46">
        <f>IFERROR(__xludf.DUMMYFUNCTION("""COMPUTED_VALUE"""),500478.72000000003)</f>
        <v>500478.72</v>
      </c>
      <c r="J959" s="46">
        <f>IFERROR(__xludf.DUMMYFUNCTION("""COMPUTED_VALUE"""),347467.51999999996)</f>
        <v>347467.52</v>
      </c>
      <c r="K959" s="46" t="str">
        <f t="array" ref="K959">TEXT(D959, "mmmm")</f>
        <v>February</v>
      </c>
      <c r="M959" s="46" t="str">
        <f>IFERROR(__xludf.DUMMYFUNCTION("""COMPUTED_VALUE"""),"Denmark")</f>
        <v>Denmark</v>
      </c>
      <c r="N959" s="94">
        <f>IFERROR(__xludf.DUMMYFUNCTION("""COMPUTED_VALUE"""),42522.0)</f>
        <v>42522</v>
      </c>
      <c r="O959" s="46">
        <f>IFERROR(__xludf.DUMMYFUNCTION("""COMPUTED_VALUE"""),1.0)</f>
        <v>1</v>
      </c>
      <c r="P959" s="46">
        <f>IFERROR(__xludf.DUMMYFUNCTION("""COMPUTED_VALUE"""),589.0)</f>
        <v>589</v>
      </c>
      <c r="Q959" s="46">
        <f>IFERROR(__xludf.DUMMYFUNCTION("""COMPUTED_VALUE"""),27948.050000000003)</f>
        <v>27948.05</v>
      </c>
      <c r="R959" s="46">
        <f>IFERROR(__xludf.DUMMYFUNCTION("""COMPUTED_VALUE"""),18724.31)</f>
        <v>18724.31</v>
      </c>
      <c r="S959" s="46">
        <f>IFERROR(__xludf.DUMMYFUNCTION("""COMPUTED_VALUE"""),9223.740000000002)</f>
        <v>9223.74</v>
      </c>
    </row>
    <row r="960">
      <c r="A960" s="46" t="str">
        <f>IFERROR(__xludf.DUMMYFUNCTION("""COMPUTED_VALUE"""),"Vegetables")</f>
        <v>Vegetables</v>
      </c>
      <c r="B960" s="46" t="str">
        <f>IFERROR(__xludf.DUMMYFUNCTION("""COMPUTED_VALUE"""),"San Marino")</f>
        <v>San Marino</v>
      </c>
      <c r="C960" s="46" t="str">
        <f>IFERROR(__xludf.DUMMYFUNCTION("""COMPUTED_VALUE"""),"Europe")</f>
        <v>Europe</v>
      </c>
      <c r="D960" s="90">
        <f>IFERROR(__xludf.DUMMYFUNCTION("""COMPUTED_VALUE"""),40940.0)</f>
        <v>40940</v>
      </c>
      <c r="E960" s="46">
        <f>IFERROR(__xludf.DUMMYFUNCTION("""COMPUTED_VALUE"""),2012.0)</f>
        <v>2012</v>
      </c>
      <c r="F960" s="46">
        <f>IFERROR(__xludf.DUMMYFUNCTION("""COMPUTED_VALUE"""),1.0)</f>
        <v>1</v>
      </c>
      <c r="G960" s="46">
        <f>IFERROR(__xludf.DUMMYFUNCTION("""COMPUTED_VALUE"""),7222.0)</f>
        <v>7222</v>
      </c>
      <c r="H960" s="46">
        <f>IFERROR(__xludf.DUMMYFUNCTION("""COMPUTED_VALUE"""),1112621.32)</f>
        <v>1112621.32</v>
      </c>
      <c r="I960" s="46">
        <f>IFERROR(__xludf.DUMMYFUNCTION("""COMPUTED_VALUE"""),656696.4600000001)</f>
        <v>656696.46</v>
      </c>
      <c r="J960" s="46">
        <f>IFERROR(__xludf.DUMMYFUNCTION("""COMPUTED_VALUE"""),455924.86)</f>
        <v>455924.86</v>
      </c>
      <c r="K960" s="46" t="str">
        <f t="array" ref="K960">TEXT(D960, "mmmm")</f>
        <v>February</v>
      </c>
      <c r="M960" s="46" t="str">
        <f>IFERROR(__xludf.DUMMYFUNCTION("""COMPUTED_VALUE"""),"Italy")</f>
        <v>Italy</v>
      </c>
      <c r="N960" s="94">
        <f>IFERROR(__xludf.DUMMYFUNCTION("""COMPUTED_VALUE"""),42522.0)</f>
        <v>42522</v>
      </c>
      <c r="O960" s="46">
        <f>IFERROR(__xludf.DUMMYFUNCTION("""COMPUTED_VALUE"""),2.0)</f>
        <v>2</v>
      </c>
      <c r="P960" s="46">
        <f>IFERROR(__xludf.DUMMYFUNCTION("""COMPUTED_VALUE"""),15249.0)</f>
        <v>15249</v>
      </c>
      <c r="Q960" s="46">
        <f>IFERROR(__xludf.DUMMYFUNCTION("""COMPUTED_VALUE"""),6237223.49)</f>
        <v>6237223.49</v>
      </c>
      <c r="R960" s="46">
        <f>IFERROR(__xludf.DUMMYFUNCTION("""COMPUTED_VALUE"""),4968254.390000001)</f>
        <v>4968254.39</v>
      </c>
      <c r="S960" s="46">
        <f>IFERROR(__xludf.DUMMYFUNCTION("""COMPUTED_VALUE"""),1268969.1)</f>
        <v>1268969.1</v>
      </c>
    </row>
    <row r="961">
      <c r="A961" s="46" t="str">
        <f>IFERROR(__xludf.DUMMYFUNCTION("""COMPUTED_VALUE"""),"Baby Food")</f>
        <v>Baby Food</v>
      </c>
      <c r="B961" s="46" t="str">
        <f>IFERROR(__xludf.DUMMYFUNCTION("""COMPUTED_VALUE"""),"Andorra")</f>
        <v>Andorra</v>
      </c>
      <c r="C961" s="46" t="str">
        <f>IFERROR(__xludf.DUMMYFUNCTION("""COMPUTED_VALUE"""),"Europe")</f>
        <v>Europe</v>
      </c>
      <c r="D961" s="90">
        <f>IFERROR(__xludf.DUMMYFUNCTION("""COMPUTED_VALUE"""),40909.0)</f>
        <v>40909</v>
      </c>
      <c r="E961" s="46">
        <f>IFERROR(__xludf.DUMMYFUNCTION("""COMPUTED_VALUE"""),2012.0)</f>
        <v>2012</v>
      </c>
      <c r="F961" s="46">
        <f>IFERROR(__xludf.DUMMYFUNCTION("""COMPUTED_VALUE"""),1.0)</f>
        <v>1</v>
      </c>
      <c r="G961" s="46">
        <f>IFERROR(__xludf.DUMMYFUNCTION("""COMPUTED_VALUE"""),4543.0)</f>
        <v>4543</v>
      </c>
      <c r="H961" s="46">
        <f>IFERROR(__xludf.DUMMYFUNCTION("""COMPUTED_VALUE"""),1159737.04)</f>
        <v>1159737.04</v>
      </c>
      <c r="I961" s="46">
        <f>IFERROR(__xludf.DUMMYFUNCTION("""COMPUTED_VALUE"""),724245.0599999999)</f>
        <v>724245.06</v>
      </c>
      <c r="J961" s="46">
        <f>IFERROR(__xludf.DUMMYFUNCTION("""COMPUTED_VALUE"""),435491.9800000001)</f>
        <v>435491.98</v>
      </c>
      <c r="K961" s="46" t="str">
        <f t="array" ref="K961">TEXT(D961, "mmmm")</f>
        <v>January</v>
      </c>
      <c r="M961" s="46" t="str">
        <f>IFERROR(__xludf.DUMMYFUNCTION("""COMPUTED_VALUE"""),"Lithuania")</f>
        <v>Lithuania</v>
      </c>
      <c r="N961" s="94">
        <f>IFERROR(__xludf.DUMMYFUNCTION("""COMPUTED_VALUE"""),42522.0)</f>
        <v>42522</v>
      </c>
      <c r="O961" s="46">
        <f>IFERROR(__xludf.DUMMYFUNCTION("""COMPUTED_VALUE"""),2.0)</f>
        <v>2</v>
      </c>
      <c r="P961" s="46">
        <f>IFERROR(__xludf.DUMMYFUNCTION("""COMPUTED_VALUE"""),11182.0)</f>
        <v>11182</v>
      </c>
      <c r="Q961" s="46">
        <f>IFERROR(__xludf.DUMMYFUNCTION("""COMPUTED_VALUE"""),1221968.9600000002)</f>
        <v>1221968.96</v>
      </c>
      <c r="R961" s="46">
        <f>IFERROR(__xludf.DUMMYFUNCTION("""COMPUTED_VALUE"""),400762.88000000006)</f>
        <v>400762.88</v>
      </c>
      <c r="S961" s="46">
        <f>IFERROR(__xludf.DUMMYFUNCTION("""COMPUTED_VALUE"""),821206.0800000001)</f>
        <v>821206.08</v>
      </c>
    </row>
    <row r="962">
      <c r="A962" s="46" t="str">
        <f>IFERROR(__xludf.DUMMYFUNCTION("""COMPUTED_VALUE"""),"Baby Food")</f>
        <v>Baby Food</v>
      </c>
      <c r="B962" s="46" t="str">
        <f>IFERROR(__xludf.DUMMYFUNCTION("""COMPUTED_VALUE"""),"Armenia")</f>
        <v>Armenia</v>
      </c>
      <c r="C962" s="46" t="str">
        <f>IFERROR(__xludf.DUMMYFUNCTION("""COMPUTED_VALUE"""),"Asia")</f>
        <v>Asia</v>
      </c>
      <c r="D962" s="90">
        <f>IFERROR(__xludf.DUMMYFUNCTION("""COMPUTED_VALUE"""),40909.0)</f>
        <v>40909</v>
      </c>
      <c r="E962" s="46">
        <f>IFERROR(__xludf.DUMMYFUNCTION("""COMPUTED_VALUE"""),2012.0)</f>
        <v>2012</v>
      </c>
      <c r="F962" s="46">
        <f>IFERROR(__xludf.DUMMYFUNCTION("""COMPUTED_VALUE"""),1.0)</f>
        <v>1</v>
      </c>
      <c r="G962" s="46">
        <f>IFERROR(__xludf.DUMMYFUNCTION("""COMPUTED_VALUE"""),791.0)</f>
        <v>791</v>
      </c>
      <c r="H962" s="46">
        <f>IFERROR(__xludf.DUMMYFUNCTION("""COMPUTED_VALUE"""),201926.48)</f>
        <v>201926.48</v>
      </c>
      <c r="I962" s="46">
        <f>IFERROR(__xludf.DUMMYFUNCTION("""COMPUTED_VALUE"""),126101.21999999999)</f>
        <v>126101.22</v>
      </c>
      <c r="J962" s="46">
        <f>IFERROR(__xludf.DUMMYFUNCTION("""COMPUTED_VALUE"""),75825.26000000002)</f>
        <v>75825.26</v>
      </c>
      <c r="K962" s="46" t="str">
        <f t="array" ref="K962">TEXT(D962, "mmmm")</f>
        <v>January</v>
      </c>
      <c r="M962" s="46" t="str">
        <f>IFERROR(__xludf.DUMMYFUNCTION("""COMPUTED_VALUE"""),"Macedonia")</f>
        <v>Macedonia</v>
      </c>
      <c r="N962" s="94">
        <f>IFERROR(__xludf.DUMMYFUNCTION("""COMPUTED_VALUE"""),42522.0)</f>
        <v>42522</v>
      </c>
      <c r="O962" s="46">
        <f>IFERROR(__xludf.DUMMYFUNCTION("""COMPUTED_VALUE"""),1.0)</f>
        <v>1</v>
      </c>
      <c r="P962" s="46">
        <f>IFERROR(__xludf.DUMMYFUNCTION("""COMPUTED_VALUE"""),2900.0)</f>
        <v>2900</v>
      </c>
      <c r="Q962" s="46">
        <f>IFERROR(__xludf.DUMMYFUNCTION("""COMPUTED_VALUE"""),1888509.0)</f>
        <v>1888509</v>
      </c>
      <c r="R962" s="46">
        <f>IFERROR(__xludf.DUMMYFUNCTION("""COMPUTED_VALUE"""),1522384.0)</f>
        <v>1522384</v>
      </c>
      <c r="S962" s="46">
        <f>IFERROR(__xludf.DUMMYFUNCTION("""COMPUTED_VALUE"""),366125.0)</f>
        <v>366125</v>
      </c>
    </row>
    <row r="963">
      <c r="A963" s="46" t="str">
        <f>IFERROR(__xludf.DUMMYFUNCTION("""COMPUTED_VALUE"""),"Beverages")</f>
        <v>Beverages</v>
      </c>
      <c r="B963" s="46" t="str">
        <f>IFERROR(__xludf.DUMMYFUNCTION("""COMPUTED_VALUE"""),"San Marino")</f>
        <v>San Marino</v>
      </c>
      <c r="C963" s="46" t="str">
        <f>IFERROR(__xludf.DUMMYFUNCTION("""COMPUTED_VALUE"""),"Europe")</f>
        <v>Europe</v>
      </c>
      <c r="D963" s="90">
        <f>IFERROR(__xludf.DUMMYFUNCTION("""COMPUTED_VALUE"""),40909.0)</f>
        <v>40909</v>
      </c>
      <c r="E963" s="46">
        <f>IFERROR(__xludf.DUMMYFUNCTION("""COMPUTED_VALUE"""),2012.0)</f>
        <v>2012</v>
      </c>
      <c r="F963" s="46">
        <f>IFERROR(__xludf.DUMMYFUNCTION("""COMPUTED_VALUE"""),1.0)</f>
        <v>1</v>
      </c>
      <c r="G963" s="46">
        <f>IFERROR(__xludf.DUMMYFUNCTION("""COMPUTED_VALUE"""),5122.0)</f>
        <v>5122</v>
      </c>
      <c r="H963" s="46">
        <f>IFERROR(__xludf.DUMMYFUNCTION("""COMPUTED_VALUE"""),243038.90000000002)</f>
        <v>243038.9</v>
      </c>
      <c r="I963" s="46">
        <f>IFERROR(__xludf.DUMMYFUNCTION("""COMPUTED_VALUE"""),162828.38)</f>
        <v>162828.38</v>
      </c>
      <c r="J963" s="46">
        <f>IFERROR(__xludf.DUMMYFUNCTION("""COMPUTED_VALUE"""),80210.52000000002)</f>
        <v>80210.52</v>
      </c>
      <c r="K963" s="46" t="str">
        <f t="array" ref="K963">TEXT(D963, "mmmm")</f>
        <v>January</v>
      </c>
      <c r="M963" s="46" t="str">
        <f>IFERROR(__xludf.DUMMYFUNCTION("""COMPUTED_VALUE"""),"San Marino")</f>
        <v>San Marino</v>
      </c>
      <c r="N963" s="94">
        <f>IFERROR(__xludf.DUMMYFUNCTION("""COMPUTED_VALUE"""),42522.0)</f>
        <v>42522</v>
      </c>
      <c r="O963" s="46">
        <f>IFERROR(__xludf.DUMMYFUNCTION("""COMPUTED_VALUE"""),2.0)</f>
        <v>2</v>
      </c>
      <c r="P963" s="46">
        <f>IFERROR(__xludf.DUMMYFUNCTION("""COMPUTED_VALUE"""),3489.0)</f>
        <v>3489</v>
      </c>
      <c r="Q963" s="46">
        <f>IFERROR(__xludf.DUMMYFUNCTION("""COMPUTED_VALUE"""),740360.22)</f>
        <v>740360.22</v>
      </c>
      <c r="R963" s="46">
        <f>IFERROR(__xludf.DUMMYFUNCTION("""COMPUTED_VALUE"""),454508.73)</f>
        <v>454508.73</v>
      </c>
      <c r="S963" s="46">
        <f>IFERROR(__xludf.DUMMYFUNCTION("""COMPUTED_VALUE"""),285851.49)</f>
        <v>285851.49</v>
      </c>
    </row>
    <row r="964">
      <c r="A964" s="46" t="str">
        <f>IFERROR(__xludf.DUMMYFUNCTION("""COMPUTED_VALUE"""),"Clothes")</f>
        <v>Clothes</v>
      </c>
      <c r="B964" s="46" t="str">
        <f>IFERROR(__xludf.DUMMYFUNCTION("""COMPUTED_VALUE"""),"Cyprus")</f>
        <v>Cyprus</v>
      </c>
      <c r="C964" s="46" t="str">
        <f>IFERROR(__xludf.DUMMYFUNCTION("""COMPUTED_VALUE"""),"Asia")</f>
        <v>Asia</v>
      </c>
      <c r="D964" s="90">
        <f>IFERROR(__xludf.DUMMYFUNCTION("""COMPUTED_VALUE"""),40909.0)</f>
        <v>40909</v>
      </c>
      <c r="E964" s="46">
        <f>IFERROR(__xludf.DUMMYFUNCTION("""COMPUTED_VALUE"""),2012.0)</f>
        <v>2012</v>
      </c>
      <c r="F964" s="46">
        <f>IFERROR(__xludf.DUMMYFUNCTION("""COMPUTED_VALUE"""),1.0)</f>
        <v>1</v>
      </c>
      <c r="G964" s="46">
        <f>IFERROR(__xludf.DUMMYFUNCTION("""COMPUTED_VALUE"""),6506.0)</f>
        <v>6506</v>
      </c>
      <c r="H964" s="46">
        <f>IFERROR(__xludf.DUMMYFUNCTION("""COMPUTED_VALUE"""),710975.68)</f>
        <v>710975.68</v>
      </c>
      <c r="I964" s="46">
        <f>IFERROR(__xludf.DUMMYFUNCTION("""COMPUTED_VALUE"""),233175.04)</f>
        <v>233175.04</v>
      </c>
      <c r="J964" s="46">
        <f>IFERROR(__xludf.DUMMYFUNCTION("""COMPUTED_VALUE"""),477800.64)</f>
        <v>477800.64</v>
      </c>
      <c r="K964" s="46" t="str">
        <f t="array" ref="K964">TEXT(D964, "mmmm")</f>
        <v>January</v>
      </c>
      <c r="M964" s="46" t="str">
        <f>IFERROR(__xludf.DUMMYFUNCTION("""COMPUTED_VALUE"""),"Slovakia")</f>
        <v>Slovakia</v>
      </c>
      <c r="N964" s="94">
        <f>IFERROR(__xludf.DUMMYFUNCTION("""COMPUTED_VALUE"""),42522.0)</f>
        <v>42522</v>
      </c>
      <c r="O964" s="46">
        <f>IFERROR(__xludf.DUMMYFUNCTION("""COMPUTED_VALUE"""),1.0)</f>
        <v>1</v>
      </c>
      <c r="P964" s="46">
        <f>IFERROR(__xludf.DUMMYFUNCTION("""COMPUTED_VALUE"""),8843.0)</f>
        <v>8843</v>
      </c>
      <c r="Q964" s="46">
        <f>IFERROR(__xludf.DUMMYFUNCTION("""COMPUTED_VALUE"""),1362352.58)</f>
        <v>1362352.58</v>
      </c>
      <c r="R964" s="46">
        <f>IFERROR(__xludf.DUMMYFUNCTION("""COMPUTED_VALUE"""),804093.9900000001)</f>
        <v>804093.99</v>
      </c>
      <c r="S964" s="46">
        <f>IFERROR(__xludf.DUMMYFUNCTION("""COMPUTED_VALUE"""),558258.59)</f>
        <v>558258.59</v>
      </c>
    </row>
    <row r="965">
      <c r="A965" s="46" t="str">
        <f>IFERROR(__xludf.DUMMYFUNCTION("""COMPUTED_VALUE"""),"Cosmetics")</f>
        <v>Cosmetics</v>
      </c>
      <c r="B965" s="46" t="str">
        <f>IFERROR(__xludf.DUMMYFUNCTION("""COMPUTED_VALUE"""),"Lithuania")</f>
        <v>Lithuania</v>
      </c>
      <c r="C965" s="46" t="str">
        <f>IFERROR(__xludf.DUMMYFUNCTION("""COMPUTED_VALUE"""),"Europe")</f>
        <v>Europe</v>
      </c>
      <c r="D965" s="90">
        <f>IFERROR(__xludf.DUMMYFUNCTION("""COMPUTED_VALUE"""),40909.0)</f>
        <v>40909</v>
      </c>
      <c r="E965" s="46">
        <f>IFERROR(__xludf.DUMMYFUNCTION("""COMPUTED_VALUE"""),2012.0)</f>
        <v>2012</v>
      </c>
      <c r="F965" s="46">
        <f>IFERROR(__xludf.DUMMYFUNCTION("""COMPUTED_VALUE"""),1.0)</f>
        <v>1</v>
      </c>
      <c r="G965" s="46">
        <f>IFERROR(__xludf.DUMMYFUNCTION("""COMPUTED_VALUE"""),5223.0)</f>
        <v>5223</v>
      </c>
      <c r="H965" s="46">
        <f>IFERROR(__xludf.DUMMYFUNCTION("""COMPUTED_VALUE"""),2283495.6)</f>
        <v>2283495.6</v>
      </c>
      <c r="I965" s="46">
        <f>IFERROR(__xludf.DUMMYFUNCTION("""COMPUTED_VALUE"""),1375372.5899999999)</f>
        <v>1375372.59</v>
      </c>
      <c r="J965" s="46">
        <f>IFERROR(__xludf.DUMMYFUNCTION("""COMPUTED_VALUE"""),908123.0100000002)</f>
        <v>908123.01</v>
      </c>
      <c r="K965" s="46" t="str">
        <f t="array" ref="K965">TEXT(D965, "mmmm")</f>
        <v>January</v>
      </c>
      <c r="M965" s="46" t="str">
        <f>IFERROR(__xludf.DUMMYFUNCTION("""COMPUTED_VALUE"""),"Slovenia")</f>
        <v>Slovenia</v>
      </c>
      <c r="N965" s="94">
        <f>IFERROR(__xludf.DUMMYFUNCTION("""COMPUTED_VALUE"""),42522.0)</f>
        <v>42522</v>
      </c>
      <c r="O965" s="46">
        <f>IFERROR(__xludf.DUMMYFUNCTION("""COMPUTED_VALUE"""),1.0)</f>
        <v>1</v>
      </c>
      <c r="P965" s="46">
        <f>IFERROR(__xludf.DUMMYFUNCTION("""COMPUTED_VALUE"""),9566.0)</f>
        <v>9566</v>
      </c>
      <c r="Q965" s="46">
        <f>IFERROR(__xludf.DUMMYFUNCTION("""COMPUTED_VALUE"""),1045372.48)</f>
        <v>1045372.48</v>
      </c>
      <c r="R965" s="46">
        <f>IFERROR(__xludf.DUMMYFUNCTION("""COMPUTED_VALUE"""),342845.44000000006)</f>
        <v>342845.44</v>
      </c>
      <c r="S965" s="46">
        <f>IFERROR(__xludf.DUMMYFUNCTION("""COMPUTED_VALUE"""),702527.0399999999)</f>
        <v>702527.04</v>
      </c>
    </row>
    <row r="966">
      <c r="A966" s="46" t="str">
        <f>IFERROR(__xludf.DUMMYFUNCTION("""COMPUTED_VALUE"""),"Cosmetics")</f>
        <v>Cosmetics</v>
      </c>
      <c r="B966" s="46" t="str">
        <f>IFERROR(__xludf.DUMMYFUNCTION("""COMPUTED_VALUE"""),"Ukraine")</f>
        <v>Ukraine</v>
      </c>
      <c r="C966" s="46" t="str">
        <f>IFERROR(__xludf.DUMMYFUNCTION("""COMPUTED_VALUE"""),"Europe")</f>
        <v>Europe</v>
      </c>
      <c r="D966" s="90">
        <f>IFERROR(__xludf.DUMMYFUNCTION("""COMPUTED_VALUE"""),40909.0)</f>
        <v>40909</v>
      </c>
      <c r="E966" s="46">
        <f>IFERROR(__xludf.DUMMYFUNCTION("""COMPUTED_VALUE"""),2012.0)</f>
        <v>2012</v>
      </c>
      <c r="F966" s="46">
        <f>IFERROR(__xludf.DUMMYFUNCTION("""COMPUTED_VALUE"""),1.0)</f>
        <v>1</v>
      </c>
      <c r="G966" s="46">
        <f>IFERROR(__xludf.DUMMYFUNCTION("""COMPUTED_VALUE"""),9053.0)</f>
        <v>9053</v>
      </c>
      <c r="H966" s="46">
        <f>IFERROR(__xludf.DUMMYFUNCTION("""COMPUTED_VALUE"""),3957971.6)</f>
        <v>3957971.6</v>
      </c>
      <c r="I966" s="46">
        <f>IFERROR(__xludf.DUMMYFUNCTION("""COMPUTED_VALUE"""),2383926.4899999998)</f>
        <v>2383926.49</v>
      </c>
      <c r="J966" s="46">
        <f>IFERROR(__xludf.DUMMYFUNCTION("""COMPUTED_VALUE"""),1574045.1100000003)</f>
        <v>1574045.11</v>
      </c>
      <c r="K966" s="46" t="str">
        <f t="array" ref="K966">TEXT(D966, "mmmm")</f>
        <v>January</v>
      </c>
      <c r="M966" s="46" t="str">
        <f>IFERROR(__xludf.DUMMYFUNCTION("""COMPUTED_VALUE"""),"Belarus")</f>
        <v>Belarus</v>
      </c>
      <c r="N966" s="94">
        <f>IFERROR(__xludf.DUMMYFUNCTION("""COMPUTED_VALUE"""),42552.0)</f>
        <v>42552</v>
      </c>
      <c r="O966" s="46">
        <f>IFERROR(__xludf.DUMMYFUNCTION("""COMPUTED_VALUE"""),2.0)</f>
        <v>2</v>
      </c>
      <c r="P966" s="46">
        <f>IFERROR(__xludf.DUMMYFUNCTION("""COMPUTED_VALUE"""),16033.0)</f>
        <v>16033</v>
      </c>
      <c r="Q966" s="46">
        <f>IFERROR(__xludf.DUMMYFUNCTION("""COMPUTED_VALUE"""),6158519.07)</f>
        <v>6158519.07</v>
      </c>
      <c r="R966" s="46">
        <f>IFERROR(__xludf.DUMMYFUNCTION("""COMPUTED_VALUE"""),4551657.44)</f>
        <v>4551657.44</v>
      </c>
      <c r="S966" s="46">
        <f>IFERROR(__xludf.DUMMYFUNCTION("""COMPUTED_VALUE"""),1606861.63)</f>
        <v>1606861.63</v>
      </c>
    </row>
    <row r="967">
      <c r="A967" s="46" t="str">
        <f>IFERROR(__xludf.DUMMYFUNCTION("""COMPUTED_VALUE"""),"Household")</f>
        <v>Household</v>
      </c>
      <c r="B967" s="46" t="str">
        <f>IFERROR(__xludf.DUMMYFUNCTION("""COMPUTED_VALUE"""),"Greece")</f>
        <v>Greece</v>
      </c>
      <c r="C967" s="46" t="str">
        <f>IFERROR(__xludf.DUMMYFUNCTION("""COMPUTED_VALUE"""),"Europe")</f>
        <v>Europe</v>
      </c>
      <c r="D967" s="90">
        <f>IFERROR(__xludf.DUMMYFUNCTION("""COMPUTED_VALUE"""),40909.0)</f>
        <v>40909</v>
      </c>
      <c r="E967" s="46">
        <f>IFERROR(__xludf.DUMMYFUNCTION("""COMPUTED_VALUE"""),2012.0)</f>
        <v>2012</v>
      </c>
      <c r="F967" s="46">
        <f>IFERROR(__xludf.DUMMYFUNCTION("""COMPUTED_VALUE"""),1.0)</f>
        <v>1</v>
      </c>
      <c r="G967" s="46">
        <f>IFERROR(__xludf.DUMMYFUNCTION("""COMPUTED_VALUE"""),9146.0)</f>
        <v>9146</v>
      </c>
      <c r="H967" s="46">
        <f>IFERROR(__xludf.DUMMYFUNCTION("""COMPUTED_VALUE"""),6111997.42)</f>
        <v>6111997.42</v>
      </c>
      <c r="I967" s="46">
        <f>IFERROR(__xludf.DUMMYFUNCTION("""COMPUTED_VALUE"""),4596230.84)</f>
        <v>4596230.84</v>
      </c>
      <c r="J967" s="46">
        <f>IFERROR(__xludf.DUMMYFUNCTION("""COMPUTED_VALUE"""),1515766.58)</f>
        <v>1515766.58</v>
      </c>
      <c r="K967" s="46" t="str">
        <f t="array" ref="K967">TEXT(D967, "mmmm")</f>
        <v>January</v>
      </c>
      <c r="M967" s="46" t="str">
        <f>IFERROR(__xludf.DUMMYFUNCTION("""COMPUTED_VALUE"""),"Belgium")</f>
        <v>Belgium</v>
      </c>
      <c r="N967" s="94">
        <f>IFERROR(__xludf.DUMMYFUNCTION("""COMPUTED_VALUE"""),42552.0)</f>
        <v>42552</v>
      </c>
      <c r="O967" s="46">
        <f>IFERROR(__xludf.DUMMYFUNCTION("""COMPUTED_VALUE"""),1.0)</f>
        <v>1</v>
      </c>
      <c r="P967" s="46">
        <f>IFERROR(__xludf.DUMMYFUNCTION("""COMPUTED_VALUE"""),1799.0)</f>
        <v>1799</v>
      </c>
      <c r="Q967" s="46">
        <f>IFERROR(__xludf.DUMMYFUNCTION("""COMPUTED_VALUE"""),786522.7999999999)</f>
        <v>786522.8</v>
      </c>
      <c r="R967" s="46">
        <f>IFERROR(__xludf.DUMMYFUNCTION("""COMPUTED_VALUE"""),473730.67)</f>
        <v>473730.67</v>
      </c>
      <c r="S967" s="46">
        <f>IFERROR(__xludf.DUMMYFUNCTION("""COMPUTED_VALUE"""),312792.12999999995)</f>
        <v>312792.13</v>
      </c>
    </row>
    <row r="968">
      <c r="A968" s="46" t="str">
        <f>IFERROR(__xludf.DUMMYFUNCTION("""COMPUTED_VALUE"""),"Household")</f>
        <v>Household</v>
      </c>
      <c r="B968" s="46" t="str">
        <f>IFERROR(__xludf.DUMMYFUNCTION("""COMPUTED_VALUE"""),"Lithuania")</f>
        <v>Lithuania</v>
      </c>
      <c r="C968" s="46" t="str">
        <f>IFERROR(__xludf.DUMMYFUNCTION("""COMPUTED_VALUE"""),"Europe")</f>
        <v>Europe</v>
      </c>
      <c r="D968" s="90">
        <f>IFERROR(__xludf.DUMMYFUNCTION("""COMPUTED_VALUE"""),40909.0)</f>
        <v>40909</v>
      </c>
      <c r="E968" s="46">
        <f>IFERROR(__xludf.DUMMYFUNCTION("""COMPUTED_VALUE"""),2012.0)</f>
        <v>2012</v>
      </c>
      <c r="F968" s="46">
        <f>IFERROR(__xludf.DUMMYFUNCTION("""COMPUTED_VALUE"""),1.0)</f>
        <v>1</v>
      </c>
      <c r="G968" s="46">
        <f>IFERROR(__xludf.DUMMYFUNCTION("""COMPUTED_VALUE"""),2738.0)</f>
        <v>2738</v>
      </c>
      <c r="H968" s="46">
        <f>IFERROR(__xludf.DUMMYFUNCTION("""COMPUTED_VALUE"""),1829723.26)</f>
        <v>1829723.26</v>
      </c>
      <c r="I968" s="46">
        <f>IFERROR(__xludf.DUMMYFUNCTION("""COMPUTED_VALUE"""),1375954.52)</f>
        <v>1375954.52</v>
      </c>
      <c r="J968" s="46">
        <f>IFERROR(__xludf.DUMMYFUNCTION("""COMPUTED_VALUE"""),453768.74)</f>
        <v>453768.74</v>
      </c>
      <c r="K968" s="46" t="str">
        <f t="array" ref="K968">TEXT(D968, "mmmm")</f>
        <v>January</v>
      </c>
      <c r="M968" s="46" t="str">
        <f>IFERROR(__xludf.DUMMYFUNCTION("""COMPUTED_VALUE"""),"Bosnia and Herzegovina")</f>
        <v>Bosnia and Herzegovina</v>
      </c>
      <c r="N968" s="94">
        <f>IFERROR(__xludf.DUMMYFUNCTION("""COMPUTED_VALUE"""),42552.0)</f>
        <v>42552</v>
      </c>
      <c r="O968" s="46">
        <f>IFERROR(__xludf.DUMMYFUNCTION("""COMPUTED_VALUE"""),1.0)</f>
        <v>1</v>
      </c>
      <c r="P968" s="46">
        <f>IFERROR(__xludf.DUMMYFUNCTION("""COMPUTED_VALUE"""),6997.0)</f>
        <v>6997</v>
      </c>
      <c r="Q968" s="46">
        <f>IFERROR(__xludf.DUMMYFUNCTION("""COMPUTED_VALUE"""),1786194.16)</f>
        <v>1786194.16</v>
      </c>
      <c r="R968" s="46">
        <f>IFERROR(__xludf.DUMMYFUNCTION("""COMPUTED_VALUE"""),1115461.74)</f>
        <v>1115461.74</v>
      </c>
      <c r="S968" s="46">
        <f>IFERROR(__xludf.DUMMYFUNCTION("""COMPUTED_VALUE"""),670732.4199999999)</f>
        <v>670732.42</v>
      </c>
    </row>
    <row r="969">
      <c r="A969" s="46" t="str">
        <f>IFERROR(__xludf.DUMMYFUNCTION("""COMPUTED_VALUE"""),"Household")</f>
        <v>Household</v>
      </c>
      <c r="B969" s="46" t="str">
        <f>IFERROR(__xludf.DUMMYFUNCTION("""COMPUTED_VALUE"""),"Portugal")</f>
        <v>Portugal</v>
      </c>
      <c r="C969" s="46" t="str">
        <f>IFERROR(__xludf.DUMMYFUNCTION("""COMPUTED_VALUE"""),"Europe")</f>
        <v>Europe</v>
      </c>
      <c r="D969" s="90">
        <f>IFERROR(__xludf.DUMMYFUNCTION("""COMPUTED_VALUE"""),40909.0)</f>
        <v>40909</v>
      </c>
      <c r="E969" s="46">
        <f>IFERROR(__xludf.DUMMYFUNCTION("""COMPUTED_VALUE"""),2012.0)</f>
        <v>2012</v>
      </c>
      <c r="F969" s="46">
        <f>IFERROR(__xludf.DUMMYFUNCTION("""COMPUTED_VALUE"""),1.0)</f>
        <v>1</v>
      </c>
      <c r="G969" s="46">
        <f>IFERROR(__xludf.DUMMYFUNCTION("""COMPUTED_VALUE"""),1167.0)</f>
        <v>1167</v>
      </c>
      <c r="H969" s="46">
        <f>IFERROR(__xludf.DUMMYFUNCTION("""COMPUTED_VALUE"""),779871.09)</f>
        <v>779871.09</v>
      </c>
      <c r="I969" s="46">
        <f>IFERROR(__xludf.DUMMYFUNCTION("""COMPUTED_VALUE"""),586464.18)</f>
        <v>586464.18</v>
      </c>
      <c r="J969" s="46">
        <f>IFERROR(__xludf.DUMMYFUNCTION("""COMPUTED_VALUE"""),193406.90999999992)</f>
        <v>193406.91</v>
      </c>
      <c r="K969" s="46" t="str">
        <f t="array" ref="K969">TEXT(D969, "mmmm")</f>
        <v>January</v>
      </c>
      <c r="M969" s="46" t="str">
        <f>IFERROR(__xludf.DUMMYFUNCTION("""COMPUTED_VALUE"""),"Bulgaria")</f>
        <v>Bulgaria</v>
      </c>
      <c r="N969" s="94">
        <f>IFERROR(__xludf.DUMMYFUNCTION("""COMPUTED_VALUE"""),42552.0)</f>
        <v>42552</v>
      </c>
      <c r="O969" s="46">
        <f>IFERROR(__xludf.DUMMYFUNCTION("""COMPUTED_VALUE"""),1.0)</f>
        <v>1</v>
      </c>
      <c r="P969" s="46">
        <f>IFERROR(__xludf.DUMMYFUNCTION("""COMPUTED_VALUE"""),8662.0)</f>
        <v>8662</v>
      </c>
      <c r="Q969" s="46">
        <f>IFERROR(__xludf.DUMMYFUNCTION("""COMPUTED_VALUE"""),3654411.1799999997)</f>
        <v>3654411.18</v>
      </c>
      <c r="R969" s="46">
        <f>IFERROR(__xludf.DUMMYFUNCTION("""COMPUTED_VALUE"""),3158944.78)</f>
        <v>3158944.78</v>
      </c>
      <c r="S969" s="46">
        <f>IFERROR(__xludf.DUMMYFUNCTION("""COMPUTED_VALUE"""),495466.3999999999)</f>
        <v>495466.4</v>
      </c>
    </row>
    <row r="970">
      <c r="A970" s="46" t="str">
        <f>IFERROR(__xludf.DUMMYFUNCTION("""COMPUTED_VALUE"""),"Office Supplies")</f>
        <v>Office Supplies</v>
      </c>
      <c r="B970" s="46" t="str">
        <f>IFERROR(__xludf.DUMMYFUNCTION("""COMPUTED_VALUE"""),"France")</f>
        <v>France</v>
      </c>
      <c r="C970" s="46" t="str">
        <f>IFERROR(__xludf.DUMMYFUNCTION("""COMPUTED_VALUE"""),"Europe")</f>
        <v>Europe</v>
      </c>
      <c r="D970" s="90">
        <f>IFERROR(__xludf.DUMMYFUNCTION("""COMPUTED_VALUE"""),40909.0)</f>
        <v>40909</v>
      </c>
      <c r="E970" s="46">
        <f>IFERROR(__xludf.DUMMYFUNCTION("""COMPUTED_VALUE"""),2012.0)</f>
        <v>2012</v>
      </c>
      <c r="F970" s="46">
        <f>IFERROR(__xludf.DUMMYFUNCTION("""COMPUTED_VALUE"""),1.0)</f>
        <v>1</v>
      </c>
      <c r="G970" s="46">
        <f>IFERROR(__xludf.DUMMYFUNCTION("""COMPUTED_VALUE"""),3827.0)</f>
        <v>3827</v>
      </c>
      <c r="H970" s="46">
        <f>IFERROR(__xludf.DUMMYFUNCTION("""COMPUTED_VALUE"""),2492180.67)</f>
        <v>2492180.67</v>
      </c>
      <c r="I970" s="46">
        <f>IFERROR(__xludf.DUMMYFUNCTION("""COMPUTED_VALUE"""),2009021.9200000002)</f>
        <v>2009021.92</v>
      </c>
      <c r="J970" s="46">
        <f>IFERROR(__xludf.DUMMYFUNCTION("""COMPUTED_VALUE"""),483158.74999999977)</f>
        <v>483158.75</v>
      </c>
      <c r="K970" s="46" t="str">
        <f t="array" ref="K970">TEXT(D970, "mmmm")</f>
        <v>January</v>
      </c>
      <c r="M970" s="46" t="str">
        <f>IFERROR(__xludf.DUMMYFUNCTION("""COMPUTED_VALUE"""),"France")</f>
        <v>France</v>
      </c>
      <c r="N970" s="94">
        <f>IFERROR(__xludf.DUMMYFUNCTION("""COMPUTED_VALUE"""),42552.0)</f>
        <v>42552</v>
      </c>
      <c r="O970" s="46">
        <f>IFERROR(__xludf.DUMMYFUNCTION("""COMPUTED_VALUE"""),2.0)</f>
        <v>2</v>
      </c>
      <c r="P970" s="46">
        <f>IFERROR(__xludf.DUMMYFUNCTION("""COMPUTED_VALUE"""),14616.0)</f>
        <v>14616</v>
      </c>
      <c r="Q970" s="46">
        <f>IFERROR(__xludf.DUMMYFUNCTION("""COMPUTED_VALUE"""),3960029.64)</f>
        <v>3960029.64</v>
      </c>
      <c r="R970" s="46">
        <f>IFERROR(__xludf.DUMMYFUNCTION("""COMPUTED_VALUE"""),2432462.46)</f>
        <v>2432462.46</v>
      </c>
      <c r="S970" s="46">
        <f>IFERROR(__xludf.DUMMYFUNCTION("""COMPUTED_VALUE"""),1527567.1800000002)</f>
        <v>1527567.18</v>
      </c>
    </row>
    <row r="971">
      <c r="A971" s="46" t="str">
        <f>IFERROR(__xludf.DUMMYFUNCTION("""COMPUTED_VALUE"""),"Office Supplies")</f>
        <v>Office Supplies</v>
      </c>
      <c r="B971" s="46" t="str">
        <f>IFERROR(__xludf.DUMMYFUNCTION("""COMPUTED_VALUE"""),"Iceland")</f>
        <v>Iceland</v>
      </c>
      <c r="C971" s="46" t="str">
        <f>IFERROR(__xludf.DUMMYFUNCTION("""COMPUTED_VALUE"""),"Europe")</f>
        <v>Europe</v>
      </c>
      <c r="D971" s="90">
        <f>IFERROR(__xludf.DUMMYFUNCTION("""COMPUTED_VALUE"""),40909.0)</f>
        <v>40909</v>
      </c>
      <c r="E971" s="46">
        <f>IFERROR(__xludf.DUMMYFUNCTION("""COMPUTED_VALUE"""),2012.0)</f>
        <v>2012</v>
      </c>
      <c r="F971" s="46">
        <f>IFERROR(__xludf.DUMMYFUNCTION("""COMPUTED_VALUE"""),1.0)</f>
        <v>1</v>
      </c>
      <c r="G971" s="46">
        <f>IFERROR(__xludf.DUMMYFUNCTION("""COMPUTED_VALUE"""),8253.0)</f>
        <v>8253</v>
      </c>
      <c r="H971" s="46">
        <f>IFERROR(__xludf.DUMMYFUNCTION("""COMPUTED_VALUE"""),5374436.13)</f>
        <v>5374436.13</v>
      </c>
      <c r="I971" s="46">
        <f>IFERROR(__xludf.DUMMYFUNCTION("""COMPUTED_VALUE"""),4332494.88)</f>
        <v>4332494.88</v>
      </c>
      <c r="J971" s="46">
        <f>IFERROR(__xludf.DUMMYFUNCTION("""COMPUTED_VALUE"""),1041941.25)</f>
        <v>1041941.25</v>
      </c>
      <c r="K971" s="46" t="str">
        <f t="array" ref="K971">TEXT(D971, "mmmm")</f>
        <v>January</v>
      </c>
      <c r="M971" s="46" t="str">
        <f>IFERROR(__xludf.DUMMYFUNCTION("""COMPUTED_VALUE"""),"Hungary")</f>
        <v>Hungary</v>
      </c>
      <c r="N971" s="94">
        <f>IFERROR(__xludf.DUMMYFUNCTION("""COMPUTED_VALUE"""),42552.0)</f>
        <v>42552</v>
      </c>
      <c r="O971" s="46">
        <f>IFERROR(__xludf.DUMMYFUNCTION("""COMPUTED_VALUE"""),1.0)</f>
        <v>1</v>
      </c>
      <c r="P971" s="46">
        <f>IFERROR(__xludf.DUMMYFUNCTION("""COMPUTED_VALUE"""),8151.0)</f>
        <v>8151</v>
      </c>
      <c r="Q971" s="46">
        <f>IFERROR(__xludf.DUMMYFUNCTION("""COMPUTED_VALUE"""),5447068.77)</f>
        <v>5447068.77</v>
      </c>
      <c r="R971" s="46">
        <f>IFERROR(__xludf.DUMMYFUNCTION("""COMPUTED_VALUE"""),4096203.54)</f>
        <v>4096203.54</v>
      </c>
      <c r="S971" s="46">
        <f>IFERROR(__xludf.DUMMYFUNCTION("""COMPUTED_VALUE"""),1350865.2299999995)</f>
        <v>1350865.23</v>
      </c>
    </row>
    <row r="972">
      <c r="A972" s="46" t="str">
        <f>IFERROR(__xludf.DUMMYFUNCTION("""COMPUTED_VALUE"""),"Office Supplies")</f>
        <v>Office Supplies</v>
      </c>
      <c r="B972" s="46" t="str">
        <f>IFERROR(__xludf.DUMMYFUNCTION("""COMPUTED_VALUE"""),"Norway")</f>
        <v>Norway</v>
      </c>
      <c r="C972" s="46" t="str">
        <f>IFERROR(__xludf.DUMMYFUNCTION("""COMPUTED_VALUE"""),"Europe")</f>
        <v>Europe</v>
      </c>
      <c r="D972" s="90">
        <f>IFERROR(__xludf.DUMMYFUNCTION("""COMPUTED_VALUE"""),40909.0)</f>
        <v>40909</v>
      </c>
      <c r="E972" s="46">
        <f>IFERROR(__xludf.DUMMYFUNCTION("""COMPUTED_VALUE"""),2012.0)</f>
        <v>2012</v>
      </c>
      <c r="F972" s="46">
        <f>IFERROR(__xludf.DUMMYFUNCTION("""COMPUTED_VALUE"""),1.0)</f>
        <v>1</v>
      </c>
      <c r="G972" s="46">
        <f>IFERROR(__xludf.DUMMYFUNCTION("""COMPUTED_VALUE"""),7923.0)</f>
        <v>7923</v>
      </c>
      <c r="H972" s="46">
        <f>IFERROR(__xludf.DUMMYFUNCTION("""COMPUTED_VALUE"""),5159536.83)</f>
        <v>5159536.83</v>
      </c>
      <c r="I972" s="46">
        <f>IFERROR(__xludf.DUMMYFUNCTION("""COMPUTED_VALUE"""),4159258.08)</f>
        <v>4159258.08</v>
      </c>
      <c r="J972" s="46">
        <f>IFERROR(__xludf.DUMMYFUNCTION("""COMPUTED_VALUE"""),1000278.75)</f>
        <v>1000278.75</v>
      </c>
      <c r="K972" s="46" t="str">
        <f t="array" ref="K972">TEXT(D972, "mmmm")</f>
        <v>January</v>
      </c>
      <c r="M972" s="46" t="str">
        <f>IFERROR(__xludf.DUMMYFUNCTION("""COMPUTED_VALUE"""),"Ireland")</f>
        <v>Ireland</v>
      </c>
      <c r="N972" s="94">
        <f>IFERROR(__xludf.DUMMYFUNCTION("""COMPUTED_VALUE"""),42552.0)</f>
        <v>42552</v>
      </c>
      <c r="O972" s="46">
        <f>IFERROR(__xludf.DUMMYFUNCTION("""COMPUTED_VALUE"""),1.0)</f>
        <v>1</v>
      </c>
      <c r="P972" s="46">
        <f>IFERROR(__xludf.DUMMYFUNCTION("""COMPUTED_VALUE"""),4966.0)</f>
        <v>4966</v>
      </c>
      <c r="Q972" s="46">
        <f>IFERROR(__xludf.DUMMYFUNCTION("""COMPUTED_VALUE"""),1021506.2)</f>
        <v>1021506.2</v>
      </c>
      <c r="R972" s="46">
        <f>IFERROR(__xludf.DUMMYFUNCTION("""COMPUTED_VALUE"""),581568.26)</f>
        <v>581568.26</v>
      </c>
      <c r="S972" s="46">
        <f>IFERROR(__xludf.DUMMYFUNCTION("""COMPUTED_VALUE"""),439937.93999999994)</f>
        <v>439937.94</v>
      </c>
    </row>
    <row r="973">
      <c r="A973" s="46" t="str">
        <f>IFERROR(__xludf.DUMMYFUNCTION("""COMPUTED_VALUE"""),"Personal Care")</f>
        <v>Personal Care</v>
      </c>
      <c r="B973" s="46" t="str">
        <f>IFERROR(__xludf.DUMMYFUNCTION("""COMPUTED_VALUE"""),"Liechtenstein")</f>
        <v>Liechtenstein</v>
      </c>
      <c r="C973" s="46" t="str">
        <f>IFERROR(__xludf.DUMMYFUNCTION("""COMPUTED_VALUE"""),"Europe")</f>
        <v>Europe</v>
      </c>
      <c r="D973" s="90">
        <f>IFERROR(__xludf.DUMMYFUNCTION("""COMPUTED_VALUE"""),40909.0)</f>
        <v>40909</v>
      </c>
      <c r="E973" s="46">
        <f>IFERROR(__xludf.DUMMYFUNCTION("""COMPUTED_VALUE"""),2012.0)</f>
        <v>2012</v>
      </c>
      <c r="F973" s="46">
        <f>IFERROR(__xludf.DUMMYFUNCTION("""COMPUTED_VALUE"""),1.0)</f>
        <v>1</v>
      </c>
      <c r="G973" s="46">
        <f>IFERROR(__xludf.DUMMYFUNCTION("""COMPUTED_VALUE"""),6779.0)</f>
        <v>6779</v>
      </c>
      <c r="H973" s="46">
        <f>IFERROR(__xludf.DUMMYFUNCTION("""COMPUTED_VALUE"""),554047.67)</f>
        <v>554047.67</v>
      </c>
      <c r="I973" s="46">
        <f>IFERROR(__xludf.DUMMYFUNCTION("""COMPUTED_VALUE"""),384165.93)</f>
        <v>384165.93</v>
      </c>
      <c r="J973" s="46">
        <f>IFERROR(__xludf.DUMMYFUNCTION("""COMPUTED_VALUE"""),169881.74000000005)</f>
        <v>169881.74</v>
      </c>
      <c r="K973" s="46" t="str">
        <f t="array" ref="K973">TEXT(D973, "mmmm")</f>
        <v>January</v>
      </c>
      <c r="M973" s="46" t="str">
        <f>IFERROR(__xludf.DUMMYFUNCTION("""COMPUTED_VALUE"""),"Lithuania")</f>
        <v>Lithuania</v>
      </c>
      <c r="N973" s="94">
        <f>IFERROR(__xludf.DUMMYFUNCTION("""COMPUTED_VALUE"""),42552.0)</f>
        <v>42552</v>
      </c>
      <c r="O973" s="46">
        <f>IFERROR(__xludf.DUMMYFUNCTION("""COMPUTED_VALUE"""),1.0)</f>
        <v>1</v>
      </c>
      <c r="P973" s="46">
        <f>IFERROR(__xludf.DUMMYFUNCTION("""COMPUTED_VALUE"""),2938.0)</f>
        <v>2938</v>
      </c>
      <c r="Q973" s="46">
        <f>IFERROR(__xludf.DUMMYFUNCTION("""COMPUTED_VALUE"""),452628.28)</f>
        <v>452628.28</v>
      </c>
      <c r="R973" s="46">
        <f>IFERROR(__xludf.DUMMYFUNCTION("""COMPUTED_VALUE"""),267152.34)</f>
        <v>267152.34</v>
      </c>
      <c r="S973" s="46">
        <f>IFERROR(__xludf.DUMMYFUNCTION("""COMPUTED_VALUE"""),185475.94)</f>
        <v>185475.94</v>
      </c>
    </row>
    <row r="974">
      <c r="A974" s="46" t="str">
        <f>IFERROR(__xludf.DUMMYFUNCTION("""COMPUTED_VALUE"""),"Personal Care")</f>
        <v>Personal Care</v>
      </c>
      <c r="B974" s="46" t="str">
        <f>IFERROR(__xludf.DUMMYFUNCTION("""COMPUTED_VALUE"""),"San Marino")</f>
        <v>San Marino</v>
      </c>
      <c r="C974" s="46" t="str">
        <f>IFERROR(__xludf.DUMMYFUNCTION("""COMPUTED_VALUE"""),"Europe")</f>
        <v>Europe</v>
      </c>
      <c r="D974" s="90">
        <f>IFERROR(__xludf.DUMMYFUNCTION("""COMPUTED_VALUE"""),40909.0)</f>
        <v>40909</v>
      </c>
      <c r="E974" s="46">
        <f>IFERROR(__xludf.DUMMYFUNCTION("""COMPUTED_VALUE"""),2012.0)</f>
        <v>2012</v>
      </c>
      <c r="F974" s="46">
        <f>IFERROR(__xludf.DUMMYFUNCTION("""COMPUTED_VALUE"""),1.0)</f>
        <v>1</v>
      </c>
      <c r="G974" s="46">
        <f>IFERROR(__xludf.DUMMYFUNCTION("""COMPUTED_VALUE"""),4796.0)</f>
        <v>4796</v>
      </c>
      <c r="H974" s="46">
        <f>IFERROR(__xludf.DUMMYFUNCTION("""COMPUTED_VALUE"""),391977.08)</f>
        <v>391977.08</v>
      </c>
      <c r="I974" s="46">
        <f>IFERROR(__xludf.DUMMYFUNCTION("""COMPUTED_VALUE"""),271789.32)</f>
        <v>271789.32</v>
      </c>
      <c r="J974" s="46">
        <f>IFERROR(__xludf.DUMMYFUNCTION("""COMPUTED_VALUE"""),120187.76000000001)</f>
        <v>120187.76</v>
      </c>
      <c r="K974" s="46" t="str">
        <f t="array" ref="K974">TEXT(D974, "mmmm")</f>
        <v>January</v>
      </c>
      <c r="M974" s="46" t="str">
        <f>IFERROR(__xludf.DUMMYFUNCTION("""COMPUTED_VALUE"""),"Netherlands")</f>
        <v>Netherlands</v>
      </c>
      <c r="N974" s="94">
        <f>IFERROR(__xludf.DUMMYFUNCTION("""COMPUTED_VALUE"""),42552.0)</f>
        <v>42552</v>
      </c>
      <c r="O974" s="46">
        <f>IFERROR(__xludf.DUMMYFUNCTION("""COMPUTED_VALUE"""),1.0)</f>
        <v>1</v>
      </c>
      <c r="P974" s="46">
        <f>IFERROR(__xludf.DUMMYFUNCTION("""COMPUTED_VALUE"""),7797.0)</f>
        <v>7797</v>
      </c>
      <c r="Q974" s="46">
        <f>IFERROR(__xludf.DUMMYFUNCTION("""COMPUTED_VALUE"""),852056.16)</f>
        <v>852056.16</v>
      </c>
      <c r="R974" s="46">
        <f>IFERROR(__xludf.DUMMYFUNCTION("""COMPUTED_VALUE"""),279444.48000000004)</f>
        <v>279444.48</v>
      </c>
      <c r="S974" s="46">
        <f>IFERROR(__xludf.DUMMYFUNCTION("""COMPUTED_VALUE"""),572611.6799999999)</f>
        <v>572611.68</v>
      </c>
    </row>
    <row r="975">
      <c r="A975" s="46" t="str">
        <f>IFERROR(__xludf.DUMMYFUNCTION("""COMPUTED_VALUE"""),"Snacks")</f>
        <v>Snacks</v>
      </c>
      <c r="B975" s="46" t="str">
        <f>IFERROR(__xludf.DUMMYFUNCTION("""COMPUTED_VALUE"""),"Austria")</f>
        <v>Austria</v>
      </c>
      <c r="C975" s="46" t="str">
        <f>IFERROR(__xludf.DUMMYFUNCTION("""COMPUTED_VALUE"""),"Europe")</f>
        <v>Europe</v>
      </c>
      <c r="D975" s="90">
        <f>IFERROR(__xludf.DUMMYFUNCTION("""COMPUTED_VALUE"""),40909.0)</f>
        <v>40909</v>
      </c>
      <c r="E975" s="46">
        <f>IFERROR(__xludf.DUMMYFUNCTION("""COMPUTED_VALUE"""),2012.0)</f>
        <v>2012</v>
      </c>
      <c r="F975" s="46">
        <f>IFERROR(__xludf.DUMMYFUNCTION("""COMPUTED_VALUE"""),1.0)</f>
        <v>1</v>
      </c>
      <c r="G975" s="46">
        <f>IFERROR(__xludf.DUMMYFUNCTION("""COMPUTED_VALUE"""),1105.0)</f>
        <v>1105</v>
      </c>
      <c r="H975" s="46">
        <f>IFERROR(__xludf.DUMMYFUNCTION("""COMPUTED_VALUE"""),168600.90000000002)</f>
        <v>168600.9</v>
      </c>
      <c r="I975" s="46">
        <f>IFERROR(__xludf.DUMMYFUNCTION("""COMPUTED_VALUE"""),107671.2)</f>
        <v>107671.2</v>
      </c>
      <c r="J975" s="46">
        <f>IFERROR(__xludf.DUMMYFUNCTION("""COMPUTED_VALUE"""),60929.700000000026)</f>
        <v>60929.7</v>
      </c>
      <c r="K975" s="46" t="str">
        <f t="array" ref="K975">TEXT(D975, "mmmm")</f>
        <v>January</v>
      </c>
      <c r="M975" s="46" t="str">
        <f>IFERROR(__xludf.DUMMYFUNCTION("""COMPUTED_VALUE"""),"Poland")</f>
        <v>Poland</v>
      </c>
      <c r="N975" s="94">
        <f>IFERROR(__xludf.DUMMYFUNCTION("""COMPUTED_VALUE"""),42552.0)</f>
        <v>42552</v>
      </c>
      <c r="O975" s="46">
        <f>IFERROR(__xludf.DUMMYFUNCTION("""COMPUTED_VALUE"""),2.0)</f>
        <v>2</v>
      </c>
      <c r="P975" s="46">
        <f>IFERROR(__xludf.DUMMYFUNCTION("""COMPUTED_VALUE"""),5062.0)</f>
        <v>5062</v>
      </c>
      <c r="Q975" s="46">
        <f>IFERROR(__xludf.DUMMYFUNCTION("""COMPUTED_VALUE"""),2765825.84)</f>
        <v>2765825.84</v>
      </c>
      <c r="R975" s="46">
        <f>IFERROR(__xludf.DUMMYFUNCTION("""COMPUTED_VALUE"""),1905166.7799999998)</f>
        <v>1905166.78</v>
      </c>
      <c r="S975" s="46">
        <f>IFERROR(__xludf.DUMMYFUNCTION("""COMPUTED_VALUE"""),860659.0599999999)</f>
        <v>860659.06</v>
      </c>
    </row>
    <row r="976">
      <c r="A976" s="46" t="str">
        <f>IFERROR(__xludf.DUMMYFUNCTION("""COMPUTED_VALUE"""),"Snacks")</f>
        <v>Snacks</v>
      </c>
      <c r="B976" s="46" t="str">
        <f>IFERROR(__xludf.DUMMYFUNCTION("""COMPUTED_VALUE"""),"Malta")</f>
        <v>Malta</v>
      </c>
      <c r="C976" s="46" t="str">
        <f>IFERROR(__xludf.DUMMYFUNCTION("""COMPUTED_VALUE"""),"Europe")</f>
        <v>Europe</v>
      </c>
      <c r="D976" s="90">
        <f>IFERROR(__xludf.DUMMYFUNCTION("""COMPUTED_VALUE"""),40909.0)</f>
        <v>40909</v>
      </c>
      <c r="E976" s="46">
        <f>IFERROR(__xludf.DUMMYFUNCTION("""COMPUTED_VALUE"""),2012.0)</f>
        <v>2012</v>
      </c>
      <c r="F976" s="46">
        <f>IFERROR(__xludf.DUMMYFUNCTION("""COMPUTED_VALUE"""),1.0)</f>
        <v>1</v>
      </c>
      <c r="G976" s="46">
        <f>IFERROR(__xludf.DUMMYFUNCTION("""COMPUTED_VALUE"""),7683.0)</f>
        <v>7683</v>
      </c>
      <c r="H976" s="46">
        <f>IFERROR(__xludf.DUMMYFUNCTION("""COMPUTED_VALUE"""),1172272.1400000001)</f>
        <v>1172272.14</v>
      </c>
      <c r="I976" s="46">
        <f>IFERROR(__xludf.DUMMYFUNCTION("""COMPUTED_VALUE"""),748631.52)</f>
        <v>748631.52</v>
      </c>
      <c r="J976" s="46">
        <f>IFERROR(__xludf.DUMMYFUNCTION("""COMPUTED_VALUE"""),423640.6200000001)</f>
        <v>423640.62</v>
      </c>
      <c r="K976" s="46" t="str">
        <f t="array" ref="K976">TEXT(D976, "mmmm")</f>
        <v>January</v>
      </c>
      <c r="M976" s="46" t="str">
        <f>IFERROR(__xludf.DUMMYFUNCTION("""COMPUTED_VALUE"""),"San Marino")</f>
        <v>San Marino</v>
      </c>
      <c r="N976" s="94">
        <f>IFERROR(__xludf.DUMMYFUNCTION("""COMPUTED_VALUE"""),42552.0)</f>
        <v>42552</v>
      </c>
      <c r="O976" s="46">
        <f>IFERROR(__xludf.DUMMYFUNCTION("""COMPUTED_VALUE"""),1.0)</f>
        <v>1</v>
      </c>
      <c r="P976" s="46">
        <f>IFERROR(__xludf.DUMMYFUNCTION("""COMPUTED_VALUE"""),8651.0)</f>
        <v>8651</v>
      </c>
      <c r="Q976" s="46">
        <f>IFERROR(__xludf.DUMMYFUNCTION("""COMPUTED_VALUE"""),707046.23)</f>
        <v>707046.23</v>
      </c>
      <c r="R976" s="46">
        <f>IFERROR(__xludf.DUMMYFUNCTION("""COMPUTED_VALUE"""),490252.17000000004)</f>
        <v>490252.17</v>
      </c>
      <c r="S976" s="46">
        <f>IFERROR(__xludf.DUMMYFUNCTION("""COMPUTED_VALUE"""),216794.05999999994)</f>
        <v>216794.06</v>
      </c>
    </row>
    <row r="977">
      <c r="A977" s="46" t="str">
        <f>IFERROR(__xludf.DUMMYFUNCTION("""COMPUTED_VALUE"""),"Vegetables")</f>
        <v>Vegetables</v>
      </c>
      <c r="B977" s="46" t="str">
        <f>IFERROR(__xludf.DUMMYFUNCTION("""COMPUTED_VALUE"""),"Sweden")</f>
        <v>Sweden</v>
      </c>
      <c r="C977" s="46" t="str">
        <f>IFERROR(__xludf.DUMMYFUNCTION("""COMPUTED_VALUE"""),"Europe")</f>
        <v>Europe</v>
      </c>
      <c r="D977" s="90">
        <f>IFERROR(__xludf.DUMMYFUNCTION("""COMPUTED_VALUE"""),40909.0)</f>
        <v>40909</v>
      </c>
      <c r="E977" s="46">
        <f>IFERROR(__xludf.DUMMYFUNCTION("""COMPUTED_VALUE"""),2012.0)</f>
        <v>2012</v>
      </c>
      <c r="F977" s="46">
        <f>IFERROR(__xludf.DUMMYFUNCTION("""COMPUTED_VALUE"""),1.0)</f>
        <v>1</v>
      </c>
      <c r="G977" s="46">
        <f>IFERROR(__xludf.DUMMYFUNCTION("""COMPUTED_VALUE"""),8872.0)</f>
        <v>8872</v>
      </c>
      <c r="H977" s="46">
        <f>IFERROR(__xludf.DUMMYFUNCTION("""COMPUTED_VALUE"""),1366820.32)</f>
        <v>1366820.32</v>
      </c>
      <c r="I977" s="46">
        <f>IFERROR(__xludf.DUMMYFUNCTION("""COMPUTED_VALUE"""),806730.9600000001)</f>
        <v>806730.96</v>
      </c>
      <c r="J977" s="46">
        <f>IFERROR(__xludf.DUMMYFUNCTION("""COMPUTED_VALUE"""),560089.36)</f>
        <v>560089.36</v>
      </c>
      <c r="K977" s="46" t="str">
        <f t="array" ref="K977">TEXT(D977, "mmmm")</f>
        <v>January</v>
      </c>
      <c r="M977" s="46" t="str">
        <f>IFERROR(__xludf.DUMMYFUNCTION("""COMPUTED_VALUE"""),"Undefined")</f>
        <v>Undefined</v>
      </c>
      <c r="N977" s="94">
        <f>IFERROR(__xludf.DUMMYFUNCTION("""COMPUTED_VALUE"""),42552.0)</f>
        <v>42552</v>
      </c>
      <c r="O977" s="46">
        <f>IFERROR(__xludf.DUMMYFUNCTION("""COMPUTED_VALUE"""),1.0)</f>
        <v>1</v>
      </c>
      <c r="P977" s="46">
        <f>IFERROR(__xludf.DUMMYFUNCTION("""COMPUTED_VALUE"""),8431.0)</f>
        <v>8431</v>
      </c>
      <c r="Q977" s="46">
        <f>IFERROR(__xludf.DUMMYFUNCTION("""COMPUTED_VALUE"""),78661.23)</f>
        <v>78661.23</v>
      </c>
      <c r="R977" s="46">
        <f>IFERROR(__xludf.DUMMYFUNCTION("""COMPUTED_VALUE"""),58342.52)</f>
        <v>58342.52</v>
      </c>
      <c r="S977" s="46">
        <f>IFERROR(__xludf.DUMMYFUNCTION("""COMPUTED_VALUE"""),20318.71)</f>
        <v>20318.71</v>
      </c>
    </row>
    <row r="978">
      <c r="A978" s="46" t="str">
        <f>IFERROR(__xludf.DUMMYFUNCTION("""COMPUTED_VALUE"""),"Baby Food")</f>
        <v>Baby Food</v>
      </c>
      <c r="B978" s="46" t="str">
        <f>IFERROR(__xludf.DUMMYFUNCTION("""COMPUTED_VALUE"""),"Russia")</f>
        <v>Russia</v>
      </c>
      <c r="C978" s="46" t="str">
        <f>IFERROR(__xludf.DUMMYFUNCTION("""COMPUTED_VALUE"""),"Europe")</f>
        <v>Europe</v>
      </c>
      <c r="D978" s="90">
        <f>IFERROR(__xludf.DUMMYFUNCTION("""COMPUTED_VALUE"""),40878.0)</f>
        <v>40878</v>
      </c>
      <c r="E978" s="46">
        <f>IFERROR(__xludf.DUMMYFUNCTION("""COMPUTED_VALUE"""),2011.0)</f>
        <v>2011</v>
      </c>
      <c r="F978" s="46">
        <f>IFERROR(__xludf.DUMMYFUNCTION("""COMPUTED_VALUE"""),1.0)</f>
        <v>1</v>
      </c>
      <c r="G978" s="46">
        <f>IFERROR(__xludf.DUMMYFUNCTION("""COMPUTED_VALUE"""),6618.0)</f>
        <v>6618</v>
      </c>
      <c r="H978" s="46">
        <f>IFERROR(__xludf.DUMMYFUNCTION("""COMPUTED_VALUE"""),1689443.04)</f>
        <v>1689443.04</v>
      </c>
      <c r="I978" s="46">
        <f>IFERROR(__xludf.DUMMYFUNCTION("""COMPUTED_VALUE"""),1055041.5599999998)</f>
        <v>1055041.56</v>
      </c>
      <c r="J978" s="46">
        <f>IFERROR(__xludf.DUMMYFUNCTION("""COMPUTED_VALUE"""),634401.4800000002)</f>
        <v>634401.48</v>
      </c>
      <c r="K978" s="46" t="str">
        <f t="array" ref="K978">TEXT(D978, "mmmm")</f>
        <v>December</v>
      </c>
      <c r="M978" s="46" t="str">
        <f>IFERROR(__xludf.DUMMYFUNCTION("""COMPUTED_VALUE"""),"United Kingdom")</f>
        <v>United Kingdom</v>
      </c>
      <c r="N978" s="94">
        <f>IFERROR(__xludf.DUMMYFUNCTION("""COMPUTED_VALUE"""),42552.0)</f>
        <v>42552</v>
      </c>
      <c r="O978" s="46">
        <f>IFERROR(__xludf.DUMMYFUNCTION("""COMPUTED_VALUE"""),1.0)</f>
        <v>1</v>
      </c>
      <c r="P978" s="46">
        <f>IFERROR(__xludf.DUMMYFUNCTION("""COMPUTED_VALUE"""),7756.0)</f>
        <v>7756</v>
      </c>
      <c r="Q978" s="46">
        <f>IFERROR(__xludf.DUMMYFUNCTION("""COMPUTED_VALUE"""),5183102.12)</f>
        <v>5183102.12</v>
      </c>
      <c r="R978" s="46">
        <f>IFERROR(__xludf.DUMMYFUNCTION("""COMPUTED_VALUE"""),3897700.24)</f>
        <v>3897700.24</v>
      </c>
      <c r="S978" s="46">
        <f>IFERROR(__xludf.DUMMYFUNCTION("""COMPUTED_VALUE"""),1285401.88)</f>
        <v>1285401.88</v>
      </c>
    </row>
    <row r="979">
      <c r="A979" s="46" t="str">
        <f>IFERROR(__xludf.DUMMYFUNCTION("""COMPUTED_VALUE"""),"Beverages")</f>
        <v>Beverages</v>
      </c>
      <c r="B979" s="46" t="str">
        <f>IFERROR(__xludf.DUMMYFUNCTION("""COMPUTED_VALUE"""),"Serbia")</f>
        <v>Serbia</v>
      </c>
      <c r="C979" s="46" t="str">
        <f>IFERROR(__xludf.DUMMYFUNCTION("""COMPUTED_VALUE"""),"Europe")</f>
        <v>Europe</v>
      </c>
      <c r="D979" s="90">
        <f>IFERROR(__xludf.DUMMYFUNCTION("""COMPUTED_VALUE"""),40878.0)</f>
        <v>40878</v>
      </c>
      <c r="E979" s="46">
        <f>IFERROR(__xludf.DUMMYFUNCTION("""COMPUTED_VALUE"""),2011.0)</f>
        <v>2011</v>
      </c>
      <c r="F979" s="46">
        <f>IFERROR(__xludf.DUMMYFUNCTION("""COMPUTED_VALUE"""),1.0)</f>
        <v>1</v>
      </c>
      <c r="G979" s="46">
        <f>IFERROR(__xludf.DUMMYFUNCTION("""COMPUTED_VALUE"""),8016.0)</f>
        <v>8016</v>
      </c>
      <c r="H979" s="46">
        <f>IFERROR(__xludf.DUMMYFUNCTION("""COMPUTED_VALUE"""),380359.2)</f>
        <v>380359.2</v>
      </c>
      <c r="I979" s="46">
        <f>IFERROR(__xludf.DUMMYFUNCTION("""COMPUTED_VALUE"""),254828.63999999998)</f>
        <v>254828.64</v>
      </c>
      <c r="J979" s="46">
        <f>IFERROR(__xludf.DUMMYFUNCTION("""COMPUTED_VALUE"""),125530.56000000003)</f>
        <v>125530.56</v>
      </c>
      <c r="K979" s="46" t="str">
        <f t="array" ref="K979">TEXT(D979, "mmmm")</f>
        <v>December</v>
      </c>
      <c r="M979" s="46" t="str">
        <f>IFERROR(__xludf.DUMMYFUNCTION("""COMPUTED_VALUE"""),"Albania")</f>
        <v>Albania</v>
      </c>
      <c r="N979" s="94">
        <f>IFERROR(__xludf.DUMMYFUNCTION("""COMPUTED_VALUE"""),42583.0)</f>
        <v>42583</v>
      </c>
      <c r="O979" s="46">
        <f>IFERROR(__xludf.DUMMYFUNCTION("""COMPUTED_VALUE"""),1.0)</f>
        <v>1</v>
      </c>
      <c r="P979" s="46">
        <f>IFERROR(__xludf.DUMMYFUNCTION("""COMPUTED_VALUE"""),1342.0)</f>
        <v>1342</v>
      </c>
      <c r="Q979" s="46">
        <f>IFERROR(__xludf.DUMMYFUNCTION("""COMPUTED_VALUE"""),873923.8200000001)</f>
        <v>873923.82</v>
      </c>
      <c r="R979" s="46">
        <f>IFERROR(__xludf.DUMMYFUNCTION("""COMPUTED_VALUE"""),704496.3200000001)</f>
        <v>704496.32</v>
      </c>
      <c r="S979" s="46">
        <f>IFERROR(__xludf.DUMMYFUNCTION("""COMPUTED_VALUE"""),169427.5)</f>
        <v>169427.5</v>
      </c>
    </row>
    <row r="980">
      <c r="A980" s="46" t="str">
        <f>IFERROR(__xludf.DUMMYFUNCTION("""COMPUTED_VALUE"""),"Beverages")</f>
        <v>Beverages</v>
      </c>
      <c r="B980" s="46" t="str">
        <f>IFERROR(__xludf.DUMMYFUNCTION("""COMPUTED_VALUE"""),"Spain")</f>
        <v>Spain</v>
      </c>
      <c r="C980" s="46" t="str">
        <f>IFERROR(__xludf.DUMMYFUNCTION("""COMPUTED_VALUE"""),"Europe")</f>
        <v>Europe</v>
      </c>
      <c r="D980" s="90">
        <f>IFERROR(__xludf.DUMMYFUNCTION("""COMPUTED_VALUE"""),40878.0)</f>
        <v>40878</v>
      </c>
      <c r="E980" s="46">
        <f>IFERROR(__xludf.DUMMYFUNCTION("""COMPUTED_VALUE"""),2011.0)</f>
        <v>2011</v>
      </c>
      <c r="F980" s="46">
        <f>IFERROR(__xludf.DUMMYFUNCTION("""COMPUTED_VALUE"""),1.0)</f>
        <v>1</v>
      </c>
      <c r="G980" s="46">
        <f>IFERROR(__xludf.DUMMYFUNCTION("""COMPUTED_VALUE"""),9679.0)</f>
        <v>9679</v>
      </c>
      <c r="H980" s="46">
        <f>IFERROR(__xludf.DUMMYFUNCTION("""COMPUTED_VALUE"""),459268.55000000005)</f>
        <v>459268.55</v>
      </c>
      <c r="I980" s="46">
        <f>IFERROR(__xludf.DUMMYFUNCTION("""COMPUTED_VALUE"""),307695.41)</f>
        <v>307695.41</v>
      </c>
      <c r="J980" s="46">
        <f>IFERROR(__xludf.DUMMYFUNCTION("""COMPUTED_VALUE"""),151573.14000000007)</f>
        <v>151573.14</v>
      </c>
      <c r="K980" s="46" t="str">
        <f t="array" ref="K980">TEXT(D980, "mmmm")</f>
        <v>December</v>
      </c>
      <c r="M980" s="46" t="str">
        <f>IFERROR(__xludf.DUMMYFUNCTION("""COMPUTED_VALUE"""),"Andorra")</f>
        <v>Andorra</v>
      </c>
      <c r="N980" s="94">
        <f>IFERROR(__xludf.DUMMYFUNCTION("""COMPUTED_VALUE"""),42583.0)</f>
        <v>42583</v>
      </c>
      <c r="O980" s="46">
        <f>IFERROR(__xludf.DUMMYFUNCTION("""COMPUTED_VALUE"""),2.0)</f>
        <v>2</v>
      </c>
      <c r="P980" s="46">
        <f>IFERROR(__xludf.DUMMYFUNCTION("""COMPUTED_VALUE"""),11200.0)</f>
        <v>11200</v>
      </c>
      <c r="Q980" s="46">
        <f>IFERROR(__xludf.DUMMYFUNCTION("""COMPUTED_VALUE"""),6577452.84)</f>
        <v>6577452.84</v>
      </c>
      <c r="R980" s="46">
        <f>IFERROR(__xludf.DUMMYFUNCTION("""COMPUTED_VALUE"""),5120884.300000001)</f>
        <v>5120884.3</v>
      </c>
      <c r="S980" s="46">
        <f>IFERROR(__xludf.DUMMYFUNCTION("""COMPUTED_VALUE"""),1456568.539999999)</f>
        <v>1456568.54</v>
      </c>
    </row>
    <row r="981">
      <c r="A981" s="46" t="str">
        <f>IFERROR(__xludf.DUMMYFUNCTION("""COMPUTED_VALUE"""),"Cosmetics")</f>
        <v>Cosmetics</v>
      </c>
      <c r="B981" s="46" t="str">
        <f>IFERROR(__xludf.DUMMYFUNCTION("""COMPUTED_VALUE"""),"Norway")</f>
        <v>Norway</v>
      </c>
      <c r="C981" s="46" t="str">
        <f>IFERROR(__xludf.DUMMYFUNCTION("""COMPUTED_VALUE"""),"Europe")</f>
        <v>Europe</v>
      </c>
      <c r="D981" s="90">
        <f>IFERROR(__xludf.DUMMYFUNCTION("""COMPUTED_VALUE"""),40878.0)</f>
        <v>40878</v>
      </c>
      <c r="E981" s="46">
        <f>IFERROR(__xludf.DUMMYFUNCTION("""COMPUTED_VALUE"""),2011.0)</f>
        <v>2011</v>
      </c>
      <c r="F981" s="46">
        <f>IFERROR(__xludf.DUMMYFUNCTION("""COMPUTED_VALUE"""),1.0)</f>
        <v>1</v>
      </c>
      <c r="G981" s="46">
        <f>IFERROR(__xludf.DUMMYFUNCTION("""COMPUTED_VALUE"""),9634.0)</f>
        <v>9634</v>
      </c>
      <c r="H981" s="46">
        <f>IFERROR(__xludf.DUMMYFUNCTION("""COMPUTED_VALUE"""),4211984.8)</f>
        <v>4211984.8</v>
      </c>
      <c r="I981" s="46">
        <f>IFERROR(__xludf.DUMMYFUNCTION("""COMPUTED_VALUE"""),2536921.2199999997)</f>
        <v>2536921.22</v>
      </c>
      <c r="J981" s="46">
        <f>IFERROR(__xludf.DUMMYFUNCTION("""COMPUTED_VALUE"""),1675063.58)</f>
        <v>1675063.58</v>
      </c>
      <c r="K981" s="46" t="str">
        <f t="array" ref="K981">TEXT(D981, "mmmm")</f>
        <v>December</v>
      </c>
      <c r="M981" s="46" t="str">
        <f>IFERROR(__xludf.DUMMYFUNCTION("""COMPUTED_VALUE"""),"Belarus")</f>
        <v>Belarus</v>
      </c>
      <c r="N981" s="94">
        <f>IFERROR(__xludf.DUMMYFUNCTION("""COMPUTED_VALUE"""),42583.0)</f>
        <v>42583</v>
      </c>
      <c r="O981" s="46">
        <f>IFERROR(__xludf.DUMMYFUNCTION("""COMPUTED_VALUE"""),1.0)</f>
        <v>1</v>
      </c>
      <c r="P981" s="46">
        <f>IFERROR(__xludf.DUMMYFUNCTION("""COMPUTED_VALUE"""),1220.0)</f>
        <v>1220</v>
      </c>
      <c r="Q981" s="46">
        <f>IFERROR(__xludf.DUMMYFUNCTION("""COMPUTED_VALUE"""),187953.2)</f>
        <v>187953.2</v>
      </c>
      <c r="R981" s="46">
        <f>IFERROR(__xludf.DUMMYFUNCTION("""COMPUTED_VALUE"""),110934.6)</f>
        <v>110934.6</v>
      </c>
      <c r="S981" s="46">
        <f>IFERROR(__xludf.DUMMYFUNCTION("""COMPUTED_VALUE"""),77018.6)</f>
        <v>77018.6</v>
      </c>
    </row>
    <row r="982">
      <c r="A982" s="46" t="str">
        <f>IFERROR(__xludf.DUMMYFUNCTION("""COMPUTED_VALUE"""),"Cosmetics")</f>
        <v>Cosmetics</v>
      </c>
      <c r="B982" s="46" t="str">
        <f>IFERROR(__xludf.DUMMYFUNCTION("""COMPUTED_VALUE"""),"Romania")</f>
        <v>Romania</v>
      </c>
      <c r="C982" s="46" t="str">
        <f>IFERROR(__xludf.DUMMYFUNCTION("""COMPUTED_VALUE"""),"Europe")</f>
        <v>Europe</v>
      </c>
      <c r="D982" s="90">
        <f>IFERROR(__xludf.DUMMYFUNCTION("""COMPUTED_VALUE"""),40878.0)</f>
        <v>40878</v>
      </c>
      <c r="E982" s="46">
        <f>IFERROR(__xludf.DUMMYFUNCTION("""COMPUTED_VALUE"""),2011.0)</f>
        <v>2011</v>
      </c>
      <c r="F982" s="46">
        <f>IFERROR(__xludf.DUMMYFUNCTION("""COMPUTED_VALUE"""),1.0)</f>
        <v>1</v>
      </c>
      <c r="G982" s="46">
        <f>IFERROR(__xludf.DUMMYFUNCTION("""COMPUTED_VALUE"""),8801.0)</f>
        <v>8801</v>
      </c>
      <c r="H982" s="46">
        <f>IFERROR(__xludf.DUMMYFUNCTION("""COMPUTED_VALUE"""),3847797.1999999997)</f>
        <v>3847797.2</v>
      </c>
      <c r="I982" s="46">
        <f>IFERROR(__xludf.DUMMYFUNCTION("""COMPUTED_VALUE"""),2317567.33)</f>
        <v>2317567.33</v>
      </c>
      <c r="J982" s="46">
        <f>IFERROR(__xludf.DUMMYFUNCTION("""COMPUTED_VALUE"""),1530229.8699999996)</f>
        <v>1530229.87</v>
      </c>
      <c r="K982" s="46" t="str">
        <f t="array" ref="K982">TEXT(D982, "mmmm")</f>
        <v>December</v>
      </c>
      <c r="M982" s="46" t="str">
        <f>IFERROR(__xludf.DUMMYFUNCTION("""COMPUTED_VALUE"""),"Germany")</f>
        <v>Germany</v>
      </c>
      <c r="N982" s="94">
        <f>IFERROR(__xludf.DUMMYFUNCTION("""COMPUTED_VALUE"""),42583.0)</f>
        <v>42583</v>
      </c>
      <c r="O982" s="46">
        <f>IFERROR(__xludf.DUMMYFUNCTION("""COMPUTED_VALUE"""),1.0)</f>
        <v>1</v>
      </c>
      <c r="P982" s="46">
        <f>IFERROR(__xludf.DUMMYFUNCTION("""COMPUTED_VALUE"""),5933.0)</f>
        <v>5933</v>
      </c>
      <c r="Q982" s="46">
        <f>IFERROR(__xludf.DUMMYFUNCTION("""COMPUTED_VALUE"""),3964845.9099999997)</f>
        <v>3964845.91</v>
      </c>
      <c r="R982" s="46">
        <f>IFERROR(__xludf.DUMMYFUNCTION("""COMPUTED_VALUE"""),2981569.8200000003)</f>
        <v>2981569.82</v>
      </c>
      <c r="S982" s="46">
        <f>IFERROR(__xludf.DUMMYFUNCTION("""COMPUTED_VALUE"""),983276.0899999994)</f>
        <v>983276.09</v>
      </c>
    </row>
    <row r="983">
      <c r="A983" s="46" t="str">
        <f>IFERROR(__xludf.DUMMYFUNCTION("""COMPUTED_VALUE"""),"Fruits")</f>
        <v>Fruits</v>
      </c>
      <c r="B983" s="46" t="str">
        <f>IFERROR(__xludf.DUMMYFUNCTION("""COMPUTED_VALUE"""),"Luxembourg")</f>
        <v>Luxembourg</v>
      </c>
      <c r="C983" s="46" t="str">
        <f>IFERROR(__xludf.DUMMYFUNCTION("""COMPUTED_VALUE"""),"Europe")</f>
        <v>Europe</v>
      </c>
      <c r="D983" s="90">
        <f>IFERROR(__xludf.DUMMYFUNCTION("""COMPUTED_VALUE"""),40878.0)</f>
        <v>40878</v>
      </c>
      <c r="E983" s="46">
        <f>IFERROR(__xludf.DUMMYFUNCTION("""COMPUTED_VALUE"""),2011.0)</f>
        <v>2011</v>
      </c>
      <c r="F983" s="46">
        <f>IFERROR(__xludf.DUMMYFUNCTION("""COMPUTED_VALUE"""),1.0)</f>
        <v>1</v>
      </c>
      <c r="G983" s="46">
        <f>IFERROR(__xludf.DUMMYFUNCTION("""COMPUTED_VALUE"""),614.0)</f>
        <v>614</v>
      </c>
      <c r="H983" s="46">
        <f>IFERROR(__xludf.DUMMYFUNCTION("""COMPUTED_VALUE"""),5728.62)</f>
        <v>5728.62</v>
      </c>
      <c r="I983" s="46">
        <f>IFERROR(__xludf.DUMMYFUNCTION("""COMPUTED_VALUE"""),4248.88)</f>
        <v>4248.88</v>
      </c>
      <c r="J983" s="46">
        <f>IFERROR(__xludf.DUMMYFUNCTION("""COMPUTED_VALUE"""),1479.7399999999998)</f>
        <v>1479.74</v>
      </c>
      <c r="K983" s="46" t="str">
        <f t="array" ref="K983">TEXT(D983, "mmmm")</f>
        <v>December</v>
      </c>
      <c r="M983" s="46" t="str">
        <f>IFERROR(__xludf.DUMMYFUNCTION("""COMPUTED_VALUE"""),"Greece")</f>
        <v>Greece</v>
      </c>
      <c r="N983" s="94">
        <f>IFERROR(__xludf.DUMMYFUNCTION("""COMPUTED_VALUE"""),42583.0)</f>
        <v>42583</v>
      </c>
      <c r="O983" s="46">
        <f>IFERROR(__xludf.DUMMYFUNCTION("""COMPUTED_VALUE"""),1.0)</f>
        <v>1</v>
      </c>
      <c r="P983" s="46">
        <f>IFERROR(__xludf.DUMMYFUNCTION("""COMPUTED_VALUE"""),480.0)</f>
        <v>480</v>
      </c>
      <c r="Q983" s="46">
        <f>IFERROR(__xludf.DUMMYFUNCTION("""COMPUTED_VALUE"""),73238.40000000001)</f>
        <v>73238.4</v>
      </c>
      <c r="R983" s="46">
        <f>IFERROR(__xludf.DUMMYFUNCTION("""COMPUTED_VALUE"""),46771.2)</f>
        <v>46771.2</v>
      </c>
      <c r="S983" s="46">
        <f>IFERROR(__xludf.DUMMYFUNCTION("""COMPUTED_VALUE"""),26467.20000000001)</f>
        <v>26467.2</v>
      </c>
    </row>
    <row r="984">
      <c r="A984" s="46" t="str">
        <f>IFERROR(__xludf.DUMMYFUNCTION("""COMPUTED_VALUE"""),"Fruits")</f>
        <v>Fruits</v>
      </c>
      <c r="B984" s="46" t="str">
        <f>IFERROR(__xludf.DUMMYFUNCTION("""COMPUTED_VALUE"""),"Norway")</f>
        <v>Norway</v>
      </c>
      <c r="C984" s="46" t="str">
        <f>IFERROR(__xludf.DUMMYFUNCTION("""COMPUTED_VALUE"""),"Europe")</f>
        <v>Europe</v>
      </c>
      <c r="D984" s="90">
        <f>IFERROR(__xludf.DUMMYFUNCTION("""COMPUTED_VALUE"""),40878.0)</f>
        <v>40878</v>
      </c>
      <c r="E984" s="46">
        <f>IFERROR(__xludf.DUMMYFUNCTION("""COMPUTED_VALUE"""),2011.0)</f>
        <v>2011</v>
      </c>
      <c r="F984" s="46">
        <f>IFERROR(__xludf.DUMMYFUNCTION("""COMPUTED_VALUE"""),1.0)</f>
        <v>1</v>
      </c>
      <c r="G984" s="46">
        <f>IFERROR(__xludf.DUMMYFUNCTION("""COMPUTED_VALUE"""),3229.0)</f>
        <v>3229</v>
      </c>
      <c r="H984" s="46">
        <f>IFERROR(__xludf.DUMMYFUNCTION("""COMPUTED_VALUE"""),30126.57)</f>
        <v>30126.57</v>
      </c>
      <c r="I984" s="46">
        <f>IFERROR(__xludf.DUMMYFUNCTION("""COMPUTED_VALUE"""),22344.68)</f>
        <v>22344.68</v>
      </c>
      <c r="J984" s="46">
        <f>IFERROR(__xludf.DUMMYFUNCTION("""COMPUTED_VALUE"""),7781.889999999999)</f>
        <v>7781.89</v>
      </c>
      <c r="K984" s="46" t="str">
        <f t="array" ref="K984">TEXT(D984, "mmmm")</f>
        <v>December</v>
      </c>
      <c r="M984" s="46" t="str">
        <f>IFERROR(__xludf.DUMMYFUNCTION("""COMPUTED_VALUE"""),"Ireland")</f>
        <v>Ireland</v>
      </c>
      <c r="N984" s="94">
        <f>IFERROR(__xludf.DUMMYFUNCTION("""COMPUTED_VALUE"""),42583.0)</f>
        <v>42583</v>
      </c>
      <c r="O984" s="46">
        <f>IFERROR(__xludf.DUMMYFUNCTION("""COMPUTED_VALUE"""),1.0)</f>
        <v>1</v>
      </c>
      <c r="P984" s="46">
        <f>IFERROR(__xludf.DUMMYFUNCTION("""COMPUTED_VALUE"""),1625.0)</f>
        <v>1625</v>
      </c>
      <c r="Q984" s="46">
        <f>IFERROR(__xludf.DUMMYFUNCTION("""COMPUTED_VALUE"""),710450.0)</f>
        <v>710450</v>
      </c>
      <c r="R984" s="46">
        <f>IFERROR(__xludf.DUMMYFUNCTION("""COMPUTED_VALUE"""),427911.25)</f>
        <v>427911.25</v>
      </c>
      <c r="S984" s="46">
        <f>IFERROR(__xludf.DUMMYFUNCTION("""COMPUTED_VALUE"""),282538.75)</f>
        <v>282538.75</v>
      </c>
    </row>
    <row r="985">
      <c r="A985" s="46" t="str">
        <f>IFERROR(__xludf.DUMMYFUNCTION("""COMPUTED_VALUE"""),"Household")</f>
        <v>Household</v>
      </c>
      <c r="B985" s="46" t="str">
        <f>IFERROR(__xludf.DUMMYFUNCTION("""COMPUTED_VALUE"""),"Bosnia and Herzegovina")</f>
        <v>Bosnia and Herzegovina</v>
      </c>
      <c r="C985" s="46" t="str">
        <f>IFERROR(__xludf.DUMMYFUNCTION("""COMPUTED_VALUE"""),"Europe")</f>
        <v>Europe</v>
      </c>
      <c r="D985" s="90">
        <f>IFERROR(__xludf.DUMMYFUNCTION("""COMPUTED_VALUE"""),40878.0)</f>
        <v>40878</v>
      </c>
      <c r="E985" s="46">
        <f>IFERROR(__xludf.DUMMYFUNCTION("""COMPUTED_VALUE"""),2011.0)</f>
        <v>2011</v>
      </c>
      <c r="F985" s="46">
        <f>IFERROR(__xludf.DUMMYFUNCTION("""COMPUTED_VALUE"""),1.0)</f>
        <v>1</v>
      </c>
      <c r="G985" s="46">
        <f>IFERROR(__xludf.DUMMYFUNCTION("""COMPUTED_VALUE"""),3082.0)</f>
        <v>3082</v>
      </c>
      <c r="H985" s="46">
        <f>IFERROR(__xludf.DUMMYFUNCTION("""COMPUTED_VALUE"""),2059608.14)</f>
        <v>2059608.14</v>
      </c>
      <c r="I985" s="46">
        <f>IFERROR(__xludf.DUMMYFUNCTION("""COMPUTED_VALUE"""),1548828.28)</f>
        <v>1548828.28</v>
      </c>
      <c r="J985" s="46">
        <f>IFERROR(__xludf.DUMMYFUNCTION("""COMPUTED_VALUE"""),510779.85999999987)</f>
        <v>510779.86</v>
      </c>
      <c r="K985" s="46" t="str">
        <f t="array" ref="K985">TEXT(D985, "mmmm")</f>
        <v>December</v>
      </c>
      <c r="M985" s="46" t="str">
        <f>IFERROR(__xludf.DUMMYFUNCTION("""COMPUTED_VALUE"""),"Latvia")</f>
        <v>Latvia</v>
      </c>
      <c r="N985" s="94">
        <f>IFERROR(__xludf.DUMMYFUNCTION("""COMPUTED_VALUE"""),42583.0)</f>
        <v>42583</v>
      </c>
      <c r="O985" s="46">
        <f>IFERROR(__xludf.DUMMYFUNCTION("""COMPUTED_VALUE"""),1.0)</f>
        <v>1</v>
      </c>
      <c r="P985" s="46">
        <f>IFERROR(__xludf.DUMMYFUNCTION("""COMPUTED_VALUE"""),7426.0)</f>
        <v>7426</v>
      </c>
      <c r="Q985" s="46">
        <f>IFERROR(__xludf.DUMMYFUNCTION("""COMPUTED_VALUE"""),4962573.02)</f>
        <v>4962573.02</v>
      </c>
      <c r="R985" s="46">
        <f>IFERROR(__xludf.DUMMYFUNCTION("""COMPUTED_VALUE"""),3731862.04)</f>
        <v>3731862.04</v>
      </c>
      <c r="S985" s="46">
        <f>IFERROR(__xludf.DUMMYFUNCTION("""COMPUTED_VALUE"""),1230710.9799999995)</f>
        <v>1230710.98</v>
      </c>
    </row>
    <row r="986">
      <c r="A986" s="46" t="str">
        <f>IFERROR(__xludf.DUMMYFUNCTION("""COMPUTED_VALUE"""),"Meat")</f>
        <v>Meat</v>
      </c>
      <c r="B986" s="46" t="str">
        <f>IFERROR(__xludf.DUMMYFUNCTION("""COMPUTED_VALUE"""),"Czech Republic")</f>
        <v>Czech Republic</v>
      </c>
      <c r="C986" s="46" t="str">
        <f>IFERROR(__xludf.DUMMYFUNCTION("""COMPUTED_VALUE"""),"Europe")</f>
        <v>Europe</v>
      </c>
      <c r="D986" s="90">
        <f>IFERROR(__xludf.DUMMYFUNCTION("""COMPUTED_VALUE"""),40878.0)</f>
        <v>40878</v>
      </c>
      <c r="E986" s="46">
        <f>IFERROR(__xludf.DUMMYFUNCTION("""COMPUTED_VALUE"""),2011.0)</f>
        <v>2011</v>
      </c>
      <c r="F986" s="46">
        <f>IFERROR(__xludf.DUMMYFUNCTION("""COMPUTED_VALUE"""),1.0)</f>
        <v>1</v>
      </c>
      <c r="G986" s="46">
        <f>IFERROR(__xludf.DUMMYFUNCTION("""COMPUTED_VALUE"""),5745.0)</f>
        <v>5745</v>
      </c>
      <c r="H986" s="46">
        <f>IFERROR(__xludf.DUMMYFUNCTION("""COMPUTED_VALUE"""),2423758.05)</f>
        <v>2423758.05</v>
      </c>
      <c r="I986" s="46">
        <f>IFERROR(__xludf.DUMMYFUNCTION("""COMPUTED_VALUE"""),2095144.05)</f>
        <v>2095144.05</v>
      </c>
      <c r="J986" s="46">
        <f>IFERROR(__xludf.DUMMYFUNCTION("""COMPUTED_VALUE"""),328613.99999999977)</f>
        <v>328614</v>
      </c>
      <c r="K986" s="46" t="str">
        <f t="array" ref="K986">TEXT(D986, "mmmm")</f>
        <v>December</v>
      </c>
      <c r="M986" s="46" t="str">
        <f>IFERROR(__xludf.DUMMYFUNCTION("""COMPUTED_VALUE"""),"Liechtenstein")</f>
        <v>Liechtenstein</v>
      </c>
      <c r="N986" s="94">
        <f>IFERROR(__xludf.DUMMYFUNCTION("""COMPUTED_VALUE"""),42583.0)</f>
        <v>42583</v>
      </c>
      <c r="O986" s="46">
        <f>IFERROR(__xludf.DUMMYFUNCTION("""COMPUTED_VALUE"""),2.0)</f>
        <v>2</v>
      </c>
      <c r="P986" s="46">
        <f>IFERROR(__xludf.DUMMYFUNCTION("""COMPUTED_VALUE"""),11463.0)</f>
        <v>11463</v>
      </c>
      <c r="Q986" s="46">
        <f>IFERROR(__xludf.DUMMYFUNCTION("""COMPUTED_VALUE"""),1589556.58)</f>
        <v>1589556.58</v>
      </c>
      <c r="R986" s="46">
        <f>IFERROR(__xludf.DUMMYFUNCTION("""COMPUTED_VALUE"""),825275.99)</f>
        <v>825275.99</v>
      </c>
      <c r="S986" s="46">
        <f>IFERROR(__xludf.DUMMYFUNCTION("""COMPUTED_VALUE"""),764280.5900000001)</f>
        <v>764280.59</v>
      </c>
    </row>
    <row r="987">
      <c r="A987" s="46" t="str">
        <f>IFERROR(__xludf.DUMMYFUNCTION("""COMPUTED_VALUE"""),"Meat")</f>
        <v>Meat</v>
      </c>
      <c r="B987" s="46" t="str">
        <f>IFERROR(__xludf.DUMMYFUNCTION("""COMPUTED_VALUE"""),"Latvia")</f>
        <v>Latvia</v>
      </c>
      <c r="C987" s="46" t="str">
        <f>IFERROR(__xludf.DUMMYFUNCTION("""COMPUTED_VALUE"""),"Europe")</f>
        <v>Europe</v>
      </c>
      <c r="D987" s="90">
        <f>IFERROR(__xludf.DUMMYFUNCTION("""COMPUTED_VALUE"""),40878.0)</f>
        <v>40878</v>
      </c>
      <c r="E987" s="46">
        <f>IFERROR(__xludf.DUMMYFUNCTION("""COMPUTED_VALUE"""),2011.0)</f>
        <v>2011</v>
      </c>
      <c r="F987" s="46">
        <f>IFERROR(__xludf.DUMMYFUNCTION("""COMPUTED_VALUE"""),1.0)</f>
        <v>1</v>
      </c>
      <c r="G987" s="46">
        <f>IFERROR(__xludf.DUMMYFUNCTION("""COMPUTED_VALUE"""),8902.0)</f>
        <v>8902</v>
      </c>
      <c r="H987" s="46">
        <f>IFERROR(__xludf.DUMMYFUNCTION("""COMPUTED_VALUE"""),3755664.78)</f>
        <v>3755664.78</v>
      </c>
      <c r="I987" s="46">
        <f>IFERROR(__xludf.DUMMYFUNCTION("""COMPUTED_VALUE"""),3246470.38)</f>
        <v>3246470.38</v>
      </c>
      <c r="J987" s="46">
        <f>IFERROR(__xludf.DUMMYFUNCTION("""COMPUTED_VALUE"""),509194.3999999999)</f>
        <v>509194.4</v>
      </c>
      <c r="K987" s="46" t="str">
        <f t="array" ref="K987">TEXT(D987, "mmmm")</f>
        <v>December</v>
      </c>
      <c r="M987" s="46" t="str">
        <f>IFERROR(__xludf.DUMMYFUNCTION("""COMPUTED_VALUE"""),"Macedonia")</f>
        <v>Macedonia</v>
      </c>
      <c r="N987" s="94">
        <f>IFERROR(__xludf.DUMMYFUNCTION("""COMPUTED_VALUE"""),42583.0)</f>
        <v>42583</v>
      </c>
      <c r="O987" s="46">
        <f>IFERROR(__xludf.DUMMYFUNCTION("""COMPUTED_VALUE"""),1.0)</f>
        <v>1</v>
      </c>
      <c r="P987" s="46">
        <f>IFERROR(__xludf.DUMMYFUNCTION("""COMPUTED_VALUE"""),9198.0)</f>
        <v>9198</v>
      </c>
      <c r="Q987" s="46">
        <f>IFERROR(__xludf.DUMMYFUNCTION("""COMPUTED_VALUE"""),1005157.4400000001)</f>
        <v>1005157.44</v>
      </c>
      <c r="R987" s="46">
        <f>IFERROR(__xludf.DUMMYFUNCTION("""COMPUTED_VALUE"""),329656.32)</f>
        <v>329656.32</v>
      </c>
      <c r="S987" s="46">
        <f>IFERROR(__xludf.DUMMYFUNCTION("""COMPUTED_VALUE"""),675501.1200000001)</f>
        <v>675501.12</v>
      </c>
    </row>
    <row r="988">
      <c r="A988" s="46" t="str">
        <f>IFERROR(__xludf.DUMMYFUNCTION("""COMPUTED_VALUE"""),"Meat")</f>
        <v>Meat</v>
      </c>
      <c r="B988" s="46" t="str">
        <f>IFERROR(__xludf.DUMMYFUNCTION("""COMPUTED_VALUE"""),"Serbia")</f>
        <v>Serbia</v>
      </c>
      <c r="C988" s="46" t="str">
        <f>IFERROR(__xludf.DUMMYFUNCTION("""COMPUTED_VALUE"""),"Europe")</f>
        <v>Europe</v>
      </c>
      <c r="D988" s="90">
        <f>IFERROR(__xludf.DUMMYFUNCTION("""COMPUTED_VALUE"""),40878.0)</f>
        <v>40878</v>
      </c>
      <c r="E988" s="46">
        <f>IFERROR(__xludf.DUMMYFUNCTION("""COMPUTED_VALUE"""),2011.0)</f>
        <v>2011</v>
      </c>
      <c r="F988" s="46">
        <f>IFERROR(__xludf.DUMMYFUNCTION("""COMPUTED_VALUE"""),1.0)</f>
        <v>1</v>
      </c>
      <c r="G988" s="46">
        <f>IFERROR(__xludf.DUMMYFUNCTION("""COMPUTED_VALUE"""),9946.0)</f>
        <v>9946</v>
      </c>
      <c r="H988" s="46">
        <f>IFERROR(__xludf.DUMMYFUNCTION("""COMPUTED_VALUE"""),4196117.9399999995)</f>
        <v>4196117.94</v>
      </c>
      <c r="I988" s="46">
        <f>IFERROR(__xludf.DUMMYFUNCTION("""COMPUTED_VALUE"""),3627206.7399999998)</f>
        <v>3627206.74</v>
      </c>
      <c r="J988" s="46">
        <f>IFERROR(__xludf.DUMMYFUNCTION("""COMPUTED_VALUE"""),568911.1999999997)</f>
        <v>568911.2</v>
      </c>
      <c r="K988" s="46" t="str">
        <f t="array" ref="K988">TEXT(D988, "mmmm")</f>
        <v>December</v>
      </c>
      <c r="M988" s="46" t="str">
        <f>IFERROR(__xludf.DUMMYFUNCTION("""COMPUTED_VALUE"""),"Montenegro")</f>
        <v>Montenegro</v>
      </c>
      <c r="N988" s="94">
        <f>IFERROR(__xludf.DUMMYFUNCTION("""COMPUTED_VALUE"""),42583.0)</f>
        <v>42583</v>
      </c>
      <c r="O988" s="46">
        <f>IFERROR(__xludf.DUMMYFUNCTION("""COMPUTED_VALUE"""),1.0)</f>
        <v>1</v>
      </c>
      <c r="P988" s="46">
        <f>IFERROR(__xludf.DUMMYFUNCTION("""COMPUTED_VALUE"""),8739.0)</f>
        <v>8739</v>
      </c>
      <c r="Q988" s="46">
        <f>IFERROR(__xludf.DUMMYFUNCTION("""COMPUTED_VALUE"""),414665.55000000005)</f>
        <v>414665.55</v>
      </c>
      <c r="R988" s="46">
        <f>IFERROR(__xludf.DUMMYFUNCTION("""COMPUTED_VALUE"""),277812.81)</f>
        <v>277812.81</v>
      </c>
      <c r="S988" s="46">
        <f>IFERROR(__xludf.DUMMYFUNCTION("""COMPUTED_VALUE"""),136852.74000000005)</f>
        <v>136852.74</v>
      </c>
    </row>
    <row r="989">
      <c r="A989" s="46" t="str">
        <f>IFERROR(__xludf.DUMMYFUNCTION("""COMPUTED_VALUE"""),"Office Supplies")</f>
        <v>Office Supplies</v>
      </c>
      <c r="B989" s="46" t="str">
        <f>IFERROR(__xludf.DUMMYFUNCTION("""COMPUTED_VALUE"""),"Finland")</f>
        <v>Finland</v>
      </c>
      <c r="C989" s="46" t="str">
        <f>IFERROR(__xludf.DUMMYFUNCTION("""COMPUTED_VALUE"""),"Europe")</f>
        <v>Europe</v>
      </c>
      <c r="D989" s="90">
        <f>IFERROR(__xludf.DUMMYFUNCTION("""COMPUTED_VALUE"""),40878.0)</f>
        <v>40878</v>
      </c>
      <c r="E989" s="46">
        <f>IFERROR(__xludf.DUMMYFUNCTION("""COMPUTED_VALUE"""),2011.0)</f>
        <v>2011</v>
      </c>
      <c r="F989" s="46">
        <f>IFERROR(__xludf.DUMMYFUNCTION("""COMPUTED_VALUE"""),1.0)</f>
        <v>1</v>
      </c>
      <c r="G989" s="46">
        <f>IFERROR(__xludf.DUMMYFUNCTION("""COMPUTED_VALUE"""),6589.0)</f>
        <v>6589</v>
      </c>
      <c r="H989" s="46">
        <f>IFERROR(__xludf.DUMMYFUNCTION("""COMPUTED_VALUE"""),4290822.69)</f>
        <v>4290822.69</v>
      </c>
      <c r="I989" s="46">
        <f>IFERROR(__xludf.DUMMYFUNCTION("""COMPUTED_VALUE"""),3458961.4400000004)</f>
        <v>3458961.44</v>
      </c>
      <c r="J989" s="46">
        <f>IFERROR(__xludf.DUMMYFUNCTION("""COMPUTED_VALUE"""),831861.25)</f>
        <v>831861.25</v>
      </c>
      <c r="K989" s="46" t="str">
        <f t="array" ref="K989">TEXT(D989, "mmmm")</f>
        <v>December</v>
      </c>
      <c r="M989" s="46" t="str">
        <f>IFERROR(__xludf.DUMMYFUNCTION("""COMPUTED_VALUE"""),"Serbia")</f>
        <v>Serbia</v>
      </c>
      <c r="N989" s="94">
        <f>IFERROR(__xludf.DUMMYFUNCTION("""COMPUTED_VALUE"""),42583.0)</f>
        <v>42583</v>
      </c>
      <c r="O989" s="46">
        <f>IFERROR(__xludf.DUMMYFUNCTION("""COMPUTED_VALUE"""),1.0)</f>
        <v>1</v>
      </c>
      <c r="P989" s="46">
        <f>IFERROR(__xludf.DUMMYFUNCTION("""COMPUTED_VALUE"""),1993.0)</f>
        <v>1993</v>
      </c>
      <c r="Q989" s="46">
        <f>IFERROR(__xludf.DUMMYFUNCTION("""COMPUTED_VALUE"""),409960.1)</f>
        <v>409960.1</v>
      </c>
      <c r="R989" s="46">
        <f>IFERROR(__xludf.DUMMYFUNCTION("""COMPUTED_VALUE"""),233400.23)</f>
        <v>233400.23</v>
      </c>
      <c r="S989" s="46">
        <f>IFERROR(__xludf.DUMMYFUNCTION("""COMPUTED_VALUE"""),176559.86999999997)</f>
        <v>176559.87</v>
      </c>
    </row>
    <row r="990">
      <c r="A990" s="46" t="str">
        <f>IFERROR(__xludf.DUMMYFUNCTION("""COMPUTED_VALUE"""),"Personal Care")</f>
        <v>Personal Care</v>
      </c>
      <c r="B990" s="46" t="str">
        <f>IFERROR(__xludf.DUMMYFUNCTION("""COMPUTED_VALUE"""),"Greece")</f>
        <v>Greece</v>
      </c>
      <c r="C990" s="46" t="str">
        <f>IFERROR(__xludf.DUMMYFUNCTION("""COMPUTED_VALUE"""),"Europe")</f>
        <v>Europe</v>
      </c>
      <c r="D990" s="90">
        <f>IFERROR(__xludf.DUMMYFUNCTION("""COMPUTED_VALUE"""),40878.0)</f>
        <v>40878</v>
      </c>
      <c r="E990" s="46">
        <f>IFERROR(__xludf.DUMMYFUNCTION("""COMPUTED_VALUE"""),2011.0)</f>
        <v>2011</v>
      </c>
      <c r="F990" s="46">
        <f>IFERROR(__xludf.DUMMYFUNCTION("""COMPUTED_VALUE"""),1.0)</f>
        <v>1</v>
      </c>
      <c r="G990" s="46">
        <f>IFERROR(__xludf.DUMMYFUNCTION("""COMPUTED_VALUE"""),8626.0)</f>
        <v>8626</v>
      </c>
      <c r="H990" s="46">
        <f>IFERROR(__xludf.DUMMYFUNCTION("""COMPUTED_VALUE"""),705002.98)</f>
        <v>705002.98</v>
      </c>
      <c r="I990" s="46">
        <f>IFERROR(__xludf.DUMMYFUNCTION("""COMPUTED_VALUE"""),488835.42000000004)</f>
        <v>488835.42</v>
      </c>
      <c r="J990" s="46">
        <f>IFERROR(__xludf.DUMMYFUNCTION("""COMPUTED_VALUE"""),216167.55999999994)</f>
        <v>216167.56</v>
      </c>
      <c r="K990" s="46" t="str">
        <f t="array" ref="K990">TEXT(D990, "mmmm")</f>
        <v>December</v>
      </c>
      <c r="M990" s="46" t="str">
        <f>IFERROR(__xludf.DUMMYFUNCTION("""COMPUTED_VALUE"""),"Albania")</f>
        <v>Albania</v>
      </c>
      <c r="N990" s="94">
        <f>IFERROR(__xludf.DUMMYFUNCTION("""COMPUTED_VALUE"""),42614.0)</f>
        <v>42614</v>
      </c>
      <c r="O990" s="46">
        <f>IFERROR(__xludf.DUMMYFUNCTION("""COMPUTED_VALUE"""),1.0)</f>
        <v>1</v>
      </c>
      <c r="P990" s="46">
        <f>IFERROR(__xludf.DUMMYFUNCTION("""COMPUTED_VALUE"""),9619.0)</f>
        <v>9619</v>
      </c>
      <c r="Q990" s="46">
        <f>IFERROR(__xludf.DUMMYFUNCTION("""COMPUTED_VALUE"""),4205426.8)</f>
        <v>4205426.8</v>
      </c>
      <c r="R990" s="46">
        <f>IFERROR(__xludf.DUMMYFUNCTION("""COMPUTED_VALUE"""),2532971.27)</f>
        <v>2532971.27</v>
      </c>
      <c r="S990" s="46">
        <f>IFERROR(__xludf.DUMMYFUNCTION("""COMPUTED_VALUE"""),1672455.5299999998)</f>
        <v>1672455.53</v>
      </c>
    </row>
    <row r="991">
      <c r="A991" s="46" t="str">
        <f>IFERROR(__xludf.DUMMYFUNCTION("""COMPUTED_VALUE"""),"Personal Care")</f>
        <v>Personal Care</v>
      </c>
      <c r="B991" s="46" t="str">
        <f>IFERROR(__xludf.DUMMYFUNCTION("""COMPUTED_VALUE"""),"Luxembourg")</f>
        <v>Luxembourg</v>
      </c>
      <c r="C991" s="46" t="str">
        <f>IFERROR(__xludf.DUMMYFUNCTION("""COMPUTED_VALUE"""),"Europe")</f>
        <v>Europe</v>
      </c>
      <c r="D991" s="90">
        <f>IFERROR(__xludf.DUMMYFUNCTION("""COMPUTED_VALUE"""),40878.0)</f>
        <v>40878</v>
      </c>
      <c r="E991" s="46">
        <f>IFERROR(__xludf.DUMMYFUNCTION("""COMPUTED_VALUE"""),2011.0)</f>
        <v>2011</v>
      </c>
      <c r="F991" s="46">
        <f>IFERROR(__xludf.DUMMYFUNCTION("""COMPUTED_VALUE"""),1.0)</f>
        <v>1</v>
      </c>
      <c r="G991" s="46">
        <f>IFERROR(__xludf.DUMMYFUNCTION("""COMPUTED_VALUE"""),6765.0)</f>
        <v>6765</v>
      </c>
      <c r="H991" s="46">
        <f>IFERROR(__xludf.DUMMYFUNCTION("""COMPUTED_VALUE"""),552903.4500000001)</f>
        <v>552903.45</v>
      </c>
      <c r="I991" s="46">
        <f>IFERROR(__xludf.DUMMYFUNCTION("""COMPUTED_VALUE"""),383372.55)</f>
        <v>383372.55</v>
      </c>
      <c r="J991" s="46">
        <f>IFERROR(__xludf.DUMMYFUNCTION("""COMPUTED_VALUE"""),169530.90000000008)</f>
        <v>169530.9</v>
      </c>
      <c r="K991" s="46" t="str">
        <f t="array" ref="K991">TEXT(D991, "mmmm")</f>
        <v>December</v>
      </c>
      <c r="M991" s="46" t="str">
        <f>IFERROR(__xludf.DUMMYFUNCTION("""COMPUTED_VALUE"""),"Belgium")</f>
        <v>Belgium</v>
      </c>
      <c r="N991" s="94">
        <f>IFERROR(__xludf.DUMMYFUNCTION("""COMPUTED_VALUE"""),42614.0)</f>
        <v>42614</v>
      </c>
      <c r="O991" s="46">
        <f>IFERROR(__xludf.DUMMYFUNCTION("""COMPUTED_VALUE"""),1.0)</f>
        <v>1</v>
      </c>
      <c r="P991" s="46">
        <f>IFERROR(__xludf.DUMMYFUNCTION("""COMPUTED_VALUE"""),8181.0)</f>
        <v>8181</v>
      </c>
      <c r="Q991" s="46">
        <f>IFERROR(__xludf.DUMMYFUNCTION("""COMPUTED_VALUE"""),894019.68)</f>
        <v>894019.68</v>
      </c>
      <c r="R991" s="46">
        <f>IFERROR(__xludf.DUMMYFUNCTION("""COMPUTED_VALUE"""),293207.04000000004)</f>
        <v>293207.04</v>
      </c>
      <c r="S991" s="46">
        <f>IFERROR(__xludf.DUMMYFUNCTION("""COMPUTED_VALUE"""),600812.64)</f>
        <v>600812.64</v>
      </c>
    </row>
    <row r="992">
      <c r="A992" s="46" t="str">
        <f>IFERROR(__xludf.DUMMYFUNCTION("""COMPUTED_VALUE"""),"Snacks")</f>
        <v>Snacks</v>
      </c>
      <c r="B992" s="46" t="str">
        <f>IFERROR(__xludf.DUMMYFUNCTION("""COMPUTED_VALUE"""),"Ireland")</f>
        <v>Ireland</v>
      </c>
      <c r="C992" s="46" t="str">
        <f>IFERROR(__xludf.DUMMYFUNCTION("""COMPUTED_VALUE"""),"Europe")</f>
        <v>Europe</v>
      </c>
      <c r="D992" s="90">
        <f>IFERROR(__xludf.DUMMYFUNCTION("""COMPUTED_VALUE"""),40878.0)</f>
        <v>40878</v>
      </c>
      <c r="E992" s="46">
        <f>IFERROR(__xludf.DUMMYFUNCTION("""COMPUTED_VALUE"""),2011.0)</f>
        <v>2011</v>
      </c>
      <c r="F992" s="46">
        <f>IFERROR(__xludf.DUMMYFUNCTION("""COMPUTED_VALUE"""),1.0)</f>
        <v>1</v>
      </c>
      <c r="G992" s="46">
        <f>IFERROR(__xludf.DUMMYFUNCTION("""COMPUTED_VALUE"""),1448.0)</f>
        <v>1448</v>
      </c>
      <c r="H992" s="46">
        <f>IFERROR(__xludf.DUMMYFUNCTION("""COMPUTED_VALUE"""),220935.84000000003)</f>
        <v>220935.84</v>
      </c>
      <c r="I992" s="46">
        <f>IFERROR(__xludf.DUMMYFUNCTION("""COMPUTED_VALUE"""),141093.12)</f>
        <v>141093.12</v>
      </c>
      <c r="J992" s="46">
        <f>IFERROR(__xludf.DUMMYFUNCTION("""COMPUTED_VALUE"""),79842.72000000003)</f>
        <v>79842.72</v>
      </c>
      <c r="K992" s="46" t="str">
        <f t="array" ref="K992">TEXT(D992, "mmmm")</f>
        <v>December</v>
      </c>
      <c r="M992" s="46" t="str">
        <f>IFERROR(__xludf.DUMMYFUNCTION("""COMPUTED_VALUE"""),"Denmark")</f>
        <v>Denmark</v>
      </c>
      <c r="N992" s="94">
        <f>IFERROR(__xludf.DUMMYFUNCTION("""COMPUTED_VALUE"""),42614.0)</f>
        <v>42614</v>
      </c>
      <c r="O992" s="46">
        <f>IFERROR(__xludf.DUMMYFUNCTION("""COMPUTED_VALUE"""),1.0)</f>
        <v>1</v>
      </c>
      <c r="P992" s="46">
        <f>IFERROR(__xludf.DUMMYFUNCTION("""COMPUTED_VALUE"""),1279.0)</f>
        <v>1279</v>
      </c>
      <c r="Q992" s="46">
        <f>IFERROR(__xludf.DUMMYFUNCTION("""COMPUTED_VALUE"""),326503.12)</f>
        <v>326503.12</v>
      </c>
      <c r="R992" s="46">
        <f>IFERROR(__xludf.DUMMYFUNCTION("""COMPUTED_VALUE"""),203898.18)</f>
        <v>203898.18</v>
      </c>
      <c r="S992" s="46">
        <f>IFERROR(__xludf.DUMMYFUNCTION("""COMPUTED_VALUE"""),122604.94)</f>
        <v>122604.94</v>
      </c>
    </row>
    <row r="993">
      <c r="A993" s="46" t="str">
        <f>IFERROR(__xludf.DUMMYFUNCTION("""COMPUTED_VALUE"""),"Vegetables")</f>
        <v>Vegetables</v>
      </c>
      <c r="B993" s="46" t="str">
        <f>IFERROR(__xludf.DUMMYFUNCTION("""COMPUTED_VALUE"""),"Belgium")</f>
        <v>Belgium</v>
      </c>
      <c r="C993" s="46" t="str">
        <f>IFERROR(__xludf.DUMMYFUNCTION("""COMPUTED_VALUE"""),"Europe")</f>
        <v>Europe</v>
      </c>
      <c r="D993" s="90">
        <f>IFERROR(__xludf.DUMMYFUNCTION("""COMPUTED_VALUE"""),40878.0)</f>
        <v>40878</v>
      </c>
      <c r="E993" s="46">
        <f>IFERROR(__xludf.DUMMYFUNCTION("""COMPUTED_VALUE"""),2011.0)</f>
        <v>2011</v>
      </c>
      <c r="F993" s="46">
        <f>IFERROR(__xludf.DUMMYFUNCTION("""COMPUTED_VALUE"""),1.0)</f>
        <v>1</v>
      </c>
      <c r="G993" s="46">
        <f>IFERROR(__xludf.DUMMYFUNCTION("""COMPUTED_VALUE"""),4988.0)</f>
        <v>4988</v>
      </c>
      <c r="H993" s="46">
        <f>IFERROR(__xludf.DUMMYFUNCTION("""COMPUTED_VALUE"""),768451.28)</f>
        <v>768451.28</v>
      </c>
      <c r="I993" s="46">
        <f>IFERROR(__xludf.DUMMYFUNCTION("""COMPUTED_VALUE"""),453558.84)</f>
        <v>453558.84</v>
      </c>
      <c r="J993" s="46">
        <f>IFERROR(__xludf.DUMMYFUNCTION("""COMPUTED_VALUE"""),314892.44)</f>
        <v>314892.44</v>
      </c>
      <c r="K993" s="46" t="str">
        <f t="array" ref="K993">TEXT(D993, "mmmm")</f>
        <v>December</v>
      </c>
      <c r="M993" s="46" t="str">
        <f>IFERROR(__xludf.DUMMYFUNCTION("""COMPUTED_VALUE"""),"Estonia")</f>
        <v>Estonia</v>
      </c>
      <c r="N993" s="94">
        <f>IFERROR(__xludf.DUMMYFUNCTION("""COMPUTED_VALUE"""),42614.0)</f>
        <v>42614</v>
      </c>
      <c r="O993" s="46">
        <f>IFERROR(__xludf.DUMMYFUNCTION("""COMPUTED_VALUE"""),1.0)</f>
        <v>1</v>
      </c>
      <c r="P993" s="46">
        <f>IFERROR(__xludf.DUMMYFUNCTION("""COMPUTED_VALUE"""),4958.0)</f>
        <v>4958</v>
      </c>
      <c r="Q993" s="46">
        <f>IFERROR(__xludf.DUMMYFUNCTION("""COMPUTED_VALUE"""),46258.14)</f>
        <v>46258.14</v>
      </c>
      <c r="R993" s="46">
        <f>IFERROR(__xludf.DUMMYFUNCTION("""COMPUTED_VALUE"""),34309.36)</f>
        <v>34309.36</v>
      </c>
      <c r="S993" s="46">
        <f>IFERROR(__xludf.DUMMYFUNCTION("""COMPUTED_VALUE"""),11948.779999999999)</f>
        <v>11948.78</v>
      </c>
    </row>
    <row r="994">
      <c r="A994" s="46" t="str">
        <f>IFERROR(__xludf.DUMMYFUNCTION("""COMPUTED_VALUE"""),"Vegetables")</f>
        <v>Vegetables</v>
      </c>
      <c r="B994" s="46" t="str">
        <f>IFERROR(__xludf.DUMMYFUNCTION("""COMPUTED_VALUE"""),"Estonia")</f>
        <v>Estonia</v>
      </c>
      <c r="C994" s="46" t="str">
        <f>IFERROR(__xludf.DUMMYFUNCTION("""COMPUTED_VALUE"""),"Europe")</f>
        <v>Europe</v>
      </c>
      <c r="D994" s="90">
        <f>IFERROR(__xludf.DUMMYFUNCTION("""COMPUTED_VALUE"""),40878.0)</f>
        <v>40878</v>
      </c>
      <c r="E994" s="46">
        <f>IFERROR(__xludf.DUMMYFUNCTION("""COMPUTED_VALUE"""),2011.0)</f>
        <v>2011</v>
      </c>
      <c r="F994" s="46">
        <f>IFERROR(__xludf.DUMMYFUNCTION("""COMPUTED_VALUE"""),1.0)</f>
        <v>1</v>
      </c>
      <c r="G994" s="46">
        <f>IFERROR(__xludf.DUMMYFUNCTION("""COMPUTED_VALUE"""),6481.0)</f>
        <v>6481</v>
      </c>
      <c r="H994" s="46">
        <f>IFERROR(__xludf.DUMMYFUNCTION("""COMPUTED_VALUE"""),998462.86)</f>
        <v>998462.86</v>
      </c>
      <c r="I994" s="46">
        <f>IFERROR(__xludf.DUMMYFUNCTION("""COMPUTED_VALUE"""),589317.3300000001)</f>
        <v>589317.33</v>
      </c>
      <c r="J994" s="46">
        <f>IFERROR(__xludf.DUMMYFUNCTION("""COMPUTED_VALUE"""),409145.5299999999)</f>
        <v>409145.53</v>
      </c>
      <c r="K994" s="46" t="str">
        <f t="array" ref="K994">TEXT(D994, "mmmm")</f>
        <v>December</v>
      </c>
      <c r="M994" s="46" t="str">
        <f>IFERROR(__xludf.DUMMYFUNCTION("""COMPUTED_VALUE"""),"Greece")</f>
        <v>Greece</v>
      </c>
      <c r="N994" s="94">
        <f>IFERROR(__xludf.DUMMYFUNCTION("""COMPUTED_VALUE"""),42614.0)</f>
        <v>42614</v>
      </c>
      <c r="O994" s="46">
        <f>IFERROR(__xludf.DUMMYFUNCTION("""COMPUTED_VALUE"""),1.0)</f>
        <v>1</v>
      </c>
      <c r="P994" s="46">
        <f>IFERROR(__xludf.DUMMYFUNCTION("""COMPUTED_VALUE"""),1543.0)</f>
        <v>1543</v>
      </c>
      <c r="Q994" s="46">
        <f>IFERROR(__xludf.DUMMYFUNCTION("""COMPUTED_VALUE"""),650976.27)</f>
        <v>650976.27</v>
      </c>
      <c r="R994" s="46">
        <f>IFERROR(__xludf.DUMMYFUNCTION("""COMPUTED_VALUE"""),562716.67)</f>
        <v>562716.67</v>
      </c>
      <c r="S994" s="46">
        <f>IFERROR(__xludf.DUMMYFUNCTION("""COMPUTED_VALUE"""),88259.59999999998)</f>
        <v>88259.6</v>
      </c>
    </row>
    <row r="995">
      <c r="A995" s="46" t="str">
        <f>IFERROR(__xludf.DUMMYFUNCTION("""COMPUTED_VALUE"""),"Beverages")</f>
        <v>Beverages</v>
      </c>
      <c r="B995" s="46" t="str">
        <f>IFERROR(__xludf.DUMMYFUNCTION("""COMPUTED_VALUE"""),"Undefined")</f>
        <v>Undefined</v>
      </c>
      <c r="C995" s="46" t="str">
        <f>IFERROR(__xludf.DUMMYFUNCTION("""COMPUTED_VALUE"""),"Undefined")</f>
        <v>Undefined</v>
      </c>
      <c r="D995" s="90">
        <f>IFERROR(__xludf.DUMMYFUNCTION("""COMPUTED_VALUE"""),40848.0)</f>
        <v>40848</v>
      </c>
      <c r="E995" s="46">
        <f>IFERROR(__xludf.DUMMYFUNCTION("""COMPUTED_VALUE"""),2011.0)</f>
        <v>2011</v>
      </c>
      <c r="F995" s="46">
        <f>IFERROR(__xludf.DUMMYFUNCTION("""COMPUTED_VALUE"""),1.0)</f>
        <v>1</v>
      </c>
      <c r="G995" s="46">
        <f>IFERROR(__xludf.DUMMYFUNCTION("""COMPUTED_VALUE"""),4924.0)</f>
        <v>4924</v>
      </c>
      <c r="H995" s="46">
        <f>IFERROR(__xludf.DUMMYFUNCTION("""COMPUTED_VALUE"""),233643.80000000002)</f>
        <v>233643.8</v>
      </c>
      <c r="I995" s="46">
        <f>IFERROR(__xludf.DUMMYFUNCTION("""COMPUTED_VALUE"""),156533.96)</f>
        <v>156533.96</v>
      </c>
      <c r="J995" s="46">
        <f>IFERROR(__xludf.DUMMYFUNCTION("""COMPUTED_VALUE"""),77109.84000000003)</f>
        <v>77109.84</v>
      </c>
      <c r="K995" s="46" t="str">
        <f t="array" ref="K995">TEXT(D995, "mmmm")</f>
        <v>November</v>
      </c>
      <c r="M995" s="46" t="str">
        <f>IFERROR(__xludf.DUMMYFUNCTION("""COMPUTED_VALUE"""),"Ireland")</f>
        <v>Ireland</v>
      </c>
      <c r="N995" s="94">
        <f>IFERROR(__xludf.DUMMYFUNCTION("""COMPUTED_VALUE"""),42614.0)</f>
        <v>42614</v>
      </c>
      <c r="O995" s="46">
        <f>IFERROR(__xludf.DUMMYFUNCTION("""COMPUTED_VALUE"""),2.0)</f>
        <v>2</v>
      </c>
      <c r="P995" s="46">
        <f>IFERROR(__xludf.DUMMYFUNCTION("""COMPUTED_VALUE"""),13421.0)</f>
        <v>13421</v>
      </c>
      <c r="Q995" s="46">
        <f>IFERROR(__xludf.DUMMYFUNCTION("""COMPUTED_VALUE"""),300798.65)</f>
        <v>300798.65</v>
      </c>
      <c r="R995" s="46">
        <f>IFERROR(__xludf.DUMMYFUNCTION("""COMPUTED_VALUE"""),207424.53999999998)</f>
        <v>207424.54</v>
      </c>
      <c r="S995" s="46">
        <f>IFERROR(__xludf.DUMMYFUNCTION("""COMPUTED_VALUE"""),93374.11000000002)</f>
        <v>93374.11</v>
      </c>
    </row>
    <row r="996">
      <c r="A996" s="46" t="str">
        <f>IFERROR(__xludf.DUMMYFUNCTION("""COMPUTED_VALUE"""),"Clothes")</f>
        <v>Clothes</v>
      </c>
      <c r="B996" s="46" t="str">
        <f>IFERROR(__xludf.DUMMYFUNCTION("""COMPUTED_VALUE"""),"Montenegro")</f>
        <v>Montenegro</v>
      </c>
      <c r="C996" s="46" t="str">
        <f>IFERROR(__xludf.DUMMYFUNCTION("""COMPUTED_VALUE"""),"Europe")</f>
        <v>Europe</v>
      </c>
      <c r="D996" s="90">
        <f>IFERROR(__xludf.DUMMYFUNCTION("""COMPUTED_VALUE"""),40848.0)</f>
        <v>40848</v>
      </c>
      <c r="E996" s="46">
        <f>IFERROR(__xludf.DUMMYFUNCTION("""COMPUTED_VALUE"""),2011.0)</f>
        <v>2011</v>
      </c>
      <c r="F996" s="46">
        <f>IFERROR(__xludf.DUMMYFUNCTION("""COMPUTED_VALUE"""),1.0)</f>
        <v>1</v>
      </c>
      <c r="G996" s="46">
        <f>IFERROR(__xludf.DUMMYFUNCTION("""COMPUTED_VALUE"""),7547.0)</f>
        <v>7547</v>
      </c>
      <c r="H996" s="46">
        <f>IFERROR(__xludf.DUMMYFUNCTION("""COMPUTED_VALUE"""),824736.16)</f>
        <v>824736.16</v>
      </c>
      <c r="I996" s="46">
        <f>IFERROR(__xludf.DUMMYFUNCTION("""COMPUTED_VALUE"""),270484.48000000004)</f>
        <v>270484.48</v>
      </c>
      <c r="J996" s="46">
        <f>IFERROR(__xludf.DUMMYFUNCTION("""COMPUTED_VALUE"""),554251.6799999999)</f>
        <v>554251.68</v>
      </c>
      <c r="K996" s="46" t="str">
        <f t="array" ref="K996">TEXT(D996, "mmmm")</f>
        <v>November</v>
      </c>
      <c r="M996" s="46" t="str">
        <f>IFERROR(__xludf.DUMMYFUNCTION("""COMPUTED_VALUE"""),"Liechtenstein")</f>
        <v>Liechtenstein</v>
      </c>
      <c r="N996" s="94">
        <f>IFERROR(__xludf.DUMMYFUNCTION("""COMPUTED_VALUE"""),42614.0)</f>
        <v>42614</v>
      </c>
      <c r="O996" s="46">
        <f>IFERROR(__xludf.DUMMYFUNCTION("""COMPUTED_VALUE"""),1.0)</f>
        <v>1</v>
      </c>
      <c r="P996" s="46">
        <f>IFERROR(__xludf.DUMMYFUNCTION("""COMPUTED_VALUE"""),840.0)</f>
        <v>840</v>
      </c>
      <c r="Q996" s="46">
        <f>IFERROR(__xludf.DUMMYFUNCTION("""COMPUTED_VALUE"""),39858.0)</f>
        <v>39858</v>
      </c>
      <c r="R996" s="46">
        <f>IFERROR(__xludf.DUMMYFUNCTION("""COMPUTED_VALUE"""),26703.6)</f>
        <v>26703.6</v>
      </c>
      <c r="S996" s="46">
        <f>IFERROR(__xludf.DUMMYFUNCTION("""COMPUTED_VALUE"""),13154.400000000001)</f>
        <v>13154.4</v>
      </c>
    </row>
    <row r="997">
      <c r="A997" s="46" t="str">
        <f>IFERROR(__xludf.DUMMYFUNCTION("""COMPUTED_VALUE"""),"Cosmetics")</f>
        <v>Cosmetics</v>
      </c>
      <c r="B997" s="46" t="str">
        <f>IFERROR(__xludf.DUMMYFUNCTION("""COMPUTED_VALUE"""),"Slovakia")</f>
        <v>Slovakia</v>
      </c>
      <c r="C997" s="46" t="str">
        <f>IFERROR(__xludf.DUMMYFUNCTION("""COMPUTED_VALUE"""),"Europe")</f>
        <v>Europe</v>
      </c>
      <c r="D997" s="90">
        <f>IFERROR(__xludf.DUMMYFUNCTION("""COMPUTED_VALUE"""),40848.0)</f>
        <v>40848</v>
      </c>
      <c r="E997" s="46">
        <f>IFERROR(__xludf.DUMMYFUNCTION("""COMPUTED_VALUE"""),2011.0)</f>
        <v>2011</v>
      </c>
      <c r="F997" s="46">
        <f>IFERROR(__xludf.DUMMYFUNCTION("""COMPUTED_VALUE"""),1.0)</f>
        <v>1</v>
      </c>
      <c r="G997" s="46">
        <f>IFERROR(__xludf.DUMMYFUNCTION("""COMPUTED_VALUE"""),5036.0)</f>
        <v>5036</v>
      </c>
      <c r="H997" s="46">
        <f>IFERROR(__xludf.DUMMYFUNCTION("""COMPUTED_VALUE"""),2201739.1999999997)</f>
        <v>2201739.2</v>
      </c>
      <c r="I997" s="46">
        <f>IFERROR(__xludf.DUMMYFUNCTION("""COMPUTED_VALUE"""),1326129.88)</f>
        <v>1326129.88</v>
      </c>
      <c r="J997" s="46">
        <f>IFERROR(__xludf.DUMMYFUNCTION("""COMPUTED_VALUE"""),875609.3199999998)</f>
        <v>875609.32</v>
      </c>
      <c r="K997" s="46" t="str">
        <f t="array" ref="K997">TEXT(D997, "mmmm")</f>
        <v>November</v>
      </c>
      <c r="M997" s="46" t="str">
        <f>IFERROR(__xludf.DUMMYFUNCTION("""COMPUTED_VALUE"""),"Luxembourg")</f>
        <v>Luxembourg</v>
      </c>
      <c r="N997" s="94">
        <f>IFERROR(__xludf.DUMMYFUNCTION("""COMPUTED_VALUE"""),42614.0)</f>
        <v>42614</v>
      </c>
      <c r="O997" s="46">
        <f>IFERROR(__xludf.DUMMYFUNCTION("""COMPUTED_VALUE"""),2.0)</f>
        <v>2</v>
      </c>
      <c r="P997" s="46">
        <f>IFERROR(__xludf.DUMMYFUNCTION("""COMPUTED_VALUE"""),6782.0)</f>
        <v>6782</v>
      </c>
      <c r="Q997" s="46">
        <f>IFERROR(__xludf.DUMMYFUNCTION("""COMPUTED_VALUE"""),3867336.68)</f>
        <v>3867336.68</v>
      </c>
      <c r="R997" s="46">
        <f>IFERROR(__xludf.DUMMYFUNCTION("""COMPUTED_VALUE"""),2908145.6999999997)</f>
        <v>2908145.7</v>
      </c>
      <c r="S997" s="46">
        <f>IFERROR(__xludf.DUMMYFUNCTION("""COMPUTED_VALUE"""),959190.98)</f>
        <v>959190.98</v>
      </c>
    </row>
    <row r="998">
      <c r="A998" s="46" t="str">
        <f>IFERROR(__xludf.DUMMYFUNCTION("""COMPUTED_VALUE"""),"Fruits")</f>
        <v>Fruits</v>
      </c>
      <c r="B998" s="46" t="str">
        <f>IFERROR(__xludf.DUMMYFUNCTION("""COMPUTED_VALUE"""),"Cyprus")</f>
        <v>Cyprus</v>
      </c>
      <c r="C998" s="46" t="str">
        <f>IFERROR(__xludf.DUMMYFUNCTION("""COMPUTED_VALUE"""),"Asia")</f>
        <v>Asia</v>
      </c>
      <c r="D998" s="90">
        <f>IFERROR(__xludf.DUMMYFUNCTION("""COMPUTED_VALUE"""),40848.0)</f>
        <v>40848</v>
      </c>
      <c r="E998" s="46">
        <f>IFERROR(__xludf.DUMMYFUNCTION("""COMPUTED_VALUE"""),2011.0)</f>
        <v>2011</v>
      </c>
      <c r="F998" s="46">
        <f>IFERROR(__xludf.DUMMYFUNCTION("""COMPUTED_VALUE"""),1.0)</f>
        <v>1</v>
      </c>
      <c r="G998" s="46">
        <f>IFERROR(__xludf.DUMMYFUNCTION("""COMPUTED_VALUE"""),5685.0)</f>
        <v>5685</v>
      </c>
      <c r="H998" s="46">
        <f>IFERROR(__xludf.DUMMYFUNCTION("""COMPUTED_VALUE"""),53041.05)</f>
        <v>53041.05</v>
      </c>
      <c r="I998" s="46">
        <f>IFERROR(__xludf.DUMMYFUNCTION("""COMPUTED_VALUE"""),39340.2)</f>
        <v>39340.2</v>
      </c>
      <c r="J998" s="46">
        <f>IFERROR(__xludf.DUMMYFUNCTION("""COMPUTED_VALUE"""),13700.850000000006)</f>
        <v>13700.85</v>
      </c>
      <c r="K998" s="46" t="str">
        <f t="array" ref="K998">TEXT(D998, "mmmm")</f>
        <v>November</v>
      </c>
      <c r="M998" s="46" t="str">
        <f>IFERROR(__xludf.DUMMYFUNCTION("""COMPUTED_VALUE"""),"Macedonia")</f>
        <v>Macedonia</v>
      </c>
      <c r="N998" s="94">
        <f>IFERROR(__xludf.DUMMYFUNCTION("""COMPUTED_VALUE"""),42614.0)</f>
        <v>42614</v>
      </c>
      <c r="O998" s="46">
        <f>IFERROR(__xludf.DUMMYFUNCTION("""COMPUTED_VALUE"""),1.0)</f>
        <v>1</v>
      </c>
      <c r="P998" s="46">
        <f>IFERROR(__xludf.DUMMYFUNCTION("""COMPUTED_VALUE"""),3578.0)</f>
        <v>3578</v>
      </c>
      <c r="Q998" s="46">
        <f>IFERROR(__xludf.DUMMYFUNCTION("""COMPUTED_VALUE"""),913391.84)</f>
        <v>913391.84</v>
      </c>
      <c r="R998" s="46">
        <f>IFERROR(__xludf.DUMMYFUNCTION("""COMPUTED_VALUE"""),570404.76)</f>
        <v>570404.76</v>
      </c>
      <c r="S998" s="46">
        <f>IFERROR(__xludf.DUMMYFUNCTION("""COMPUTED_VALUE"""),342987.07999999996)</f>
        <v>342987.08</v>
      </c>
    </row>
    <row r="999">
      <c r="A999" s="46" t="str">
        <f>IFERROR(__xludf.DUMMYFUNCTION("""COMPUTED_VALUE"""),"Meat")</f>
        <v>Meat</v>
      </c>
      <c r="B999" s="46" t="str">
        <f>IFERROR(__xludf.DUMMYFUNCTION("""COMPUTED_VALUE"""),"Denmark")</f>
        <v>Denmark</v>
      </c>
      <c r="C999" s="46" t="str">
        <f>IFERROR(__xludf.DUMMYFUNCTION("""COMPUTED_VALUE"""),"Europe")</f>
        <v>Europe</v>
      </c>
      <c r="D999" s="90">
        <f>IFERROR(__xludf.DUMMYFUNCTION("""COMPUTED_VALUE"""),40848.0)</f>
        <v>40848</v>
      </c>
      <c r="E999" s="46">
        <f>IFERROR(__xludf.DUMMYFUNCTION("""COMPUTED_VALUE"""),2011.0)</f>
        <v>2011</v>
      </c>
      <c r="F999" s="46">
        <f>IFERROR(__xludf.DUMMYFUNCTION("""COMPUTED_VALUE"""),1.0)</f>
        <v>1</v>
      </c>
      <c r="G999" s="46">
        <f>IFERROR(__xludf.DUMMYFUNCTION("""COMPUTED_VALUE"""),606.0)</f>
        <v>606</v>
      </c>
      <c r="H999" s="46">
        <f>IFERROR(__xludf.DUMMYFUNCTION("""COMPUTED_VALUE"""),255665.34)</f>
        <v>255665.34</v>
      </c>
      <c r="I999" s="46">
        <f>IFERROR(__xludf.DUMMYFUNCTION("""COMPUTED_VALUE"""),221002.13999999998)</f>
        <v>221002.14</v>
      </c>
      <c r="J999" s="46">
        <f>IFERROR(__xludf.DUMMYFUNCTION("""COMPUTED_VALUE"""),34663.20000000001)</f>
        <v>34663.2</v>
      </c>
      <c r="K999" s="46" t="str">
        <f t="array" ref="K999">TEXT(D999, "mmmm")</f>
        <v>November</v>
      </c>
      <c r="M999" s="46" t="str">
        <f>IFERROR(__xludf.DUMMYFUNCTION("""COMPUTED_VALUE"""),"Russia")</f>
        <v>Russia</v>
      </c>
      <c r="N999" s="94">
        <f>IFERROR(__xludf.DUMMYFUNCTION("""COMPUTED_VALUE"""),42614.0)</f>
        <v>42614</v>
      </c>
      <c r="O999" s="46">
        <f>IFERROR(__xludf.DUMMYFUNCTION("""COMPUTED_VALUE"""),1.0)</f>
        <v>1</v>
      </c>
      <c r="P999" s="46">
        <f>IFERROR(__xludf.DUMMYFUNCTION("""COMPUTED_VALUE"""),4021.0)</f>
        <v>4021</v>
      </c>
      <c r="Q999" s="46">
        <f>IFERROR(__xludf.DUMMYFUNCTION("""COMPUTED_VALUE"""),613524.18)</f>
        <v>613524.18</v>
      </c>
      <c r="R999" s="46">
        <f>IFERROR(__xludf.DUMMYFUNCTION("""COMPUTED_VALUE"""),391806.24)</f>
        <v>391806.24</v>
      </c>
      <c r="S999" s="46">
        <f>IFERROR(__xludf.DUMMYFUNCTION("""COMPUTED_VALUE"""),221717.94000000006)</f>
        <v>221717.94</v>
      </c>
    </row>
    <row r="1000">
      <c r="A1000" s="46" t="str">
        <f>IFERROR(__xludf.DUMMYFUNCTION("""COMPUTED_VALUE"""),"Meat")</f>
        <v>Meat</v>
      </c>
      <c r="B1000" s="46" t="str">
        <f>IFERROR(__xludf.DUMMYFUNCTION("""COMPUTED_VALUE"""),"Portugal")</f>
        <v>Portugal</v>
      </c>
      <c r="C1000" s="46" t="str">
        <f>IFERROR(__xludf.DUMMYFUNCTION("""COMPUTED_VALUE"""),"Europe")</f>
        <v>Europe</v>
      </c>
      <c r="D1000" s="90">
        <f>IFERROR(__xludf.DUMMYFUNCTION("""COMPUTED_VALUE"""),40848.0)</f>
        <v>40848</v>
      </c>
      <c r="E1000" s="46">
        <f>IFERROR(__xludf.DUMMYFUNCTION("""COMPUTED_VALUE"""),2011.0)</f>
        <v>2011</v>
      </c>
      <c r="F1000" s="46">
        <f>IFERROR(__xludf.DUMMYFUNCTION("""COMPUTED_VALUE"""),1.0)</f>
        <v>1</v>
      </c>
      <c r="G1000" s="46">
        <f>IFERROR(__xludf.DUMMYFUNCTION("""COMPUTED_VALUE"""),8994.0)</f>
        <v>8994</v>
      </c>
      <c r="H1000" s="46">
        <f>IFERROR(__xludf.DUMMYFUNCTION("""COMPUTED_VALUE"""),3794478.6599999997)</f>
        <v>3794478.66</v>
      </c>
      <c r="I1000" s="46">
        <f>IFERROR(__xludf.DUMMYFUNCTION("""COMPUTED_VALUE"""),3280021.86)</f>
        <v>3280021.86</v>
      </c>
      <c r="J1000" s="46">
        <f>IFERROR(__xludf.DUMMYFUNCTION("""COMPUTED_VALUE"""),514456.7999999998)</f>
        <v>514456.8</v>
      </c>
      <c r="K1000" s="46" t="str">
        <f t="array" ref="K1000">TEXT(D1000, "mmmm")</f>
        <v>November</v>
      </c>
      <c r="M1000" s="46" t="str">
        <f>IFERROR(__xludf.DUMMYFUNCTION("""COMPUTED_VALUE"""),"San Marino")</f>
        <v>San Marino</v>
      </c>
      <c r="N1000" s="94">
        <f>IFERROR(__xludf.DUMMYFUNCTION("""COMPUTED_VALUE"""),42614.0)</f>
        <v>42614</v>
      </c>
      <c r="O1000" s="46">
        <f>IFERROR(__xludf.DUMMYFUNCTION("""COMPUTED_VALUE"""),1.0)</f>
        <v>1</v>
      </c>
      <c r="P1000" s="46">
        <f>IFERROR(__xludf.DUMMYFUNCTION("""COMPUTED_VALUE"""),6662.0)</f>
        <v>6662</v>
      </c>
      <c r="Q1000" s="46">
        <f>IFERROR(__xludf.DUMMYFUNCTION("""COMPUTED_VALUE"""),62156.46)</f>
        <v>62156.46</v>
      </c>
      <c r="R1000" s="46">
        <f>IFERROR(__xludf.DUMMYFUNCTION("""COMPUTED_VALUE"""),46101.04)</f>
        <v>46101.04</v>
      </c>
      <c r="S1000" s="46">
        <f>IFERROR(__xludf.DUMMYFUNCTION("""COMPUTED_VALUE"""),16055.419999999998)</f>
        <v>16055.42</v>
      </c>
    </row>
    <row r="1001">
      <c r="A1001" s="46" t="str">
        <f>IFERROR(__xludf.DUMMYFUNCTION("""COMPUTED_VALUE"""),"Meat")</f>
        <v>Meat</v>
      </c>
      <c r="B1001" s="46" t="str">
        <f>IFERROR(__xludf.DUMMYFUNCTION("""COMPUTED_VALUE"""),"Spain")</f>
        <v>Spain</v>
      </c>
      <c r="C1001" s="46" t="str">
        <f>IFERROR(__xludf.DUMMYFUNCTION("""COMPUTED_VALUE"""),"Europe")</f>
        <v>Europe</v>
      </c>
      <c r="D1001" s="90">
        <f>IFERROR(__xludf.DUMMYFUNCTION("""COMPUTED_VALUE"""),40848.0)</f>
        <v>40848</v>
      </c>
      <c r="E1001" s="46">
        <f>IFERROR(__xludf.DUMMYFUNCTION("""COMPUTED_VALUE"""),2011.0)</f>
        <v>2011</v>
      </c>
      <c r="F1001" s="46">
        <f>IFERROR(__xludf.DUMMYFUNCTION("""COMPUTED_VALUE"""),1.0)</f>
        <v>1</v>
      </c>
      <c r="G1001" s="46">
        <f>IFERROR(__xludf.DUMMYFUNCTION("""COMPUTED_VALUE"""),7701.0)</f>
        <v>7701</v>
      </c>
      <c r="H1001" s="46">
        <f>IFERROR(__xludf.DUMMYFUNCTION("""COMPUTED_VALUE"""),3248974.8899999997)</f>
        <v>3248974.89</v>
      </c>
      <c r="I1001" s="46">
        <f>IFERROR(__xludf.DUMMYFUNCTION("""COMPUTED_VALUE"""),2808477.69)</f>
        <v>2808477.69</v>
      </c>
      <c r="J1001" s="46">
        <f>IFERROR(__xludf.DUMMYFUNCTION("""COMPUTED_VALUE"""),440497.1999999997)</f>
        <v>440497.2</v>
      </c>
      <c r="K1001" s="46" t="str">
        <f t="array" ref="K1001">TEXT(D1001, "mmmm")</f>
        <v>November</v>
      </c>
      <c r="M1001" s="46" t="str">
        <f>IFERROR(__xludf.DUMMYFUNCTION("""COMPUTED_VALUE"""),"Ukraine")</f>
        <v>Ukraine</v>
      </c>
      <c r="N1001" s="94">
        <f>IFERROR(__xludf.DUMMYFUNCTION("""COMPUTED_VALUE"""),42614.0)</f>
        <v>42614</v>
      </c>
      <c r="O1001" s="46">
        <f>IFERROR(__xludf.DUMMYFUNCTION("""COMPUTED_VALUE"""),2.0)</f>
        <v>2</v>
      </c>
      <c r="P1001" s="46">
        <f>IFERROR(__xludf.DUMMYFUNCTION("""COMPUTED_VALUE"""),12959.0)</f>
        <v>12959</v>
      </c>
      <c r="Q1001" s="46">
        <f>IFERROR(__xludf.DUMMYFUNCTION("""COMPUTED_VALUE"""),5522363.13)</f>
        <v>5522363.13</v>
      </c>
      <c r="R1001" s="46">
        <f>IFERROR(__xludf.DUMMYFUNCTION("""COMPUTED_VALUE"""),4170512.8000000003)</f>
        <v>4170512.8</v>
      </c>
      <c r="S1001" s="46">
        <f>IFERROR(__xludf.DUMMYFUNCTION("""COMPUTED_VALUE"""),1351850.3299999996)</f>
        <v>1351850.33</v>
      </c>
    </row>
    <row r="1002">
      <c r="A1002" s="46" t="str">
        <f>IFERROR(__xludf.DUMMYFUNCTION("""COMPUTED_VALUE"""),"Office Supplies")</f>
        <v>Office Supplies</v>
      </c>
      <c r="B1002" s="46" t="str">
        <f>IFERROR(__xludf.DUMMYFUNCTION("""COMPUTED_VALUE"""),"Finland")</f>
        <v>Finland</v>
      </c>
      <c r="C1002" s="46" t="str">
        <f>IFERROR(__xludf.DUMMYFUNCTION("""COMPUTED_VALUE"""),"Europe")</f>
        <v>Europe</v>
      </c>
      <c r="D1002" s="90">
        <f>IFERROR(__xludf.DUMMYFUNCTION("""COMPUTED_VALUE"""),40848.0)</f>
        <v>40848</v>
      </c>
      <c r="E1002" s="46">
        <f>IFERROR(__xludf.DUMMYFUNCTION("""COMPUTED_VALUE"""),2011.0)</f>
        <v>2011</v>
      </c>
      <c r="F1002" s="46">
        <f>IFERROR(__xludf.DUMMYFUNCTION("""COMPUTED_VALUE"""),1.0)</f>
        <v>1</v>
      </c>
      <c r="G1002" s="46">
        <f>IFERROR(__xludf.DUMMYFUNCTION("""COMPUTED_VALUE"""),5201.0)</f>
        <v>5201</v>
      </c>
      <c r="H1002" s="46">
        <f>IFERROR(__xludf.DUMMYFUNCTION("""COMPUTED_VALUE"""),3386943.21)</f>
        <v>3386943.21</v>
      </c>
      <c r="I1002" s="46">
        <f>IFERROR(__xludf.DUMMYFUNCTION("""COMPUTED_VALUE"""),2730316.96)</f>
        <v>2730316.96</v>
      </c>
      <c r="J1002" s="46">
        <f>IFERROR(__xludf.DUMMYFUNCTION("""COMPUTED_VALUE"""),656626.25)</f>
        <v>656626.25</v>
      </c>
      <c r="K1002" s="46" t="str">
        <f t="array" ref="K1002">TEXT(D1002, "mmmm")</f>
        <v>November</v>
      </c>
      <c r="M1002" s="46" t="str">
        <f>IFERROR(__xludf.DUMMYFUNCTION("""COMPUTED_VALUE"""),"Andorra")</f>
        <v>Andorra</v>
      </c>
      <c r="N1002" s="94">
        <f>IFERROR(__xludf.DUMMYFUNCTION("""COMPUTED_VALUE"""),42644.0)</f>
        <v>42644</v>
      </c>
      <c r="O1002" s="46">
        <f>IFERROR(__xludf.DUMMYFUNCTION("""COMPUTED_VALUE"""),2.0)</f>
        <v>2</v>
      </c>
      <c r="P1002" s="46">
        <f>IFERROR(__xludf.DUMMYFUNCTION("""COMPUTED_VALUE"""),12699.0)</f>
        <v>12699</v>
      </c>
      <c r="Q1002" s="46">
        <f>IFERROR(__xludf.DUMMYFUNCTION("""COMPUTED_VALUE"""),2682155.34)</f>
        <v>2682155.34</v>
      </c>
      <c r="R1002" s="46">
        <f>IFERROR(__xludf.DUMMYFUNCTION("""COMPUTED_VALUE"""),1645793.3699999999)</f>
        <v>1645793.37</v>
      </c>
      <c r="S1002" s="46">
        <f>IFERROR(__xludf.DUMMYFUNCTION("""COMPUTED_VALUE"""),1036361.9700000002)</f>
        <v>1036361.97</v>
      </c>
    </row>
    <row r="1003">
      <c r="A1003" s="46" t="str">
        <f>IFERROR(__xludf.DUMMYFUNCTION("""COMPUTED_VALUE"""),"Office Supplies")</f>
        <v>Office Supplies</v>
      </c>
      <c r="B1003" s="46" t="str">
        <f>IFERROR(__xludf.DUMMYFUNCTION("""COMPUTED_VALUE"""),"Undefined")</f>
        <v>Undefined</v>
      </c>
      <c r="C1003" s="46" t="str">
        <f>IFERROR(__xludf.DUMMYFUNCTION("""COMPUTED_VALUE"""),"Undefined")</f>
        <v>Undefined</v>
      </c>
      <c r="D1003" s="90">
        <f>IFERROR(__xludf.DUMMYFUNCTION("""COMPUTED_VALUE"""),40848.0)</f>
        <v>40848</v>
      </c>
      <c r="E1003" s="46">
        <f>IFERROR(__xludf.DUMMYFUNCTION("""COMPUTED_VALUE"""),2011.0)</f>
        <v>2011</v>
      </c>
      <c r="F1003" s="46">
        <f>IFERROR(__xludf.DUMMYFUNCTION("""COMPUTED_VALUE"""),1.0)</f>
        <v>1</v>
      </c>
      <c r="G1003" s="46">
        <f>IFERROR(__xludf.DUMMYFUNCTION("""COMPUTED_VALUE"""),35.0)</f>
        <v>35</v>
      </c>
      <c r="H1003" s="46">
        <f>IFERROR(__xludf.DUMMYFUNCTION("""COMPUTED_VALUE"""),22792.350000000002)</f>
        <v>22792.35</v>
      </c>
      <c r="I1003" s="46">
        <f>IFERROR(__xludf.DUMMYFUNCTION("""COMPUTED_VALUE"""),18373.600000000002)</f>
        <v>18373.6</v>
      </c>
      <c r="J1003" s="46">
        <f>IFERROR(__xludf.DUMMYFUNCTION("""COMPUTED_VALUE"""),4418.75)</f>
        <v>4418.75</v>
      </c>
      <c r="K1003" s="46" t="str">
        <f t="array" ref="K1003">TEXT(D1003, "mmmm")</f>
        <v>November</v>
      </c>
      <c r="M1003" s="46" t="str">
        <f>IFERROR(__xludf.DUMMYFUNCTION("""COMPUTED_VALUE"""),"Armenia")</f>
        <v>Armenia</v>
      </c>
      <c r="N1003" s="94">
        <f>IFERROR(__xludf.DUMMYFUNCTION("""COMPUTED_VALUE"""),42644.0)</f>
        <v>42644</v>
      </c>
      <c r="O1003" s="46">
        <f>IFERROR(__xludf.DUMMYFUNCTION("""COMPUTED_VALUE"""),1.0)</f>
        <v>1</v>
      </c>
      <c r="P1003" s="46">
        <f>IFERROR(__xludf.DUMMYFUNCTION("""COMPUTED_VALUE"""),342.0)</f>
        <v>342</v>
      </c>
      <c r="Q1003" s="46">
        <f>IFERROR(__xludf.DUMMYFUNCTION("""COMPUTED_VALUE"""),144286.38)</f>
        <v>144286.38</v>
      </c>
      <c r="R1003" s="46">
        <f>IFERROR(__xludf.DUMMYFUNCTION("""COMPUTED_VALUE"""),124723.98)</f>
        <v>124723.98</v>
      </c>
      <c r="S1003" s="46">
        <f>IFERROR(__xludf.DUMMYFUNCTION("""COMPUTED_VALUE"""),19562.40000000001)</f>
        <v>19562.4</v>
      </c>
    </row>
    <row r="1004">
      <c r="A1004" s="46" t="str">
        <f>IFERROR(__xludf.DUMMYFUNCTION("""COMPUTED_VALUE"""),"Personal Care")</f>
        <v>Personal Care</v>
      </c>
      <c r="B1004" s="46" t="str">
        <f>IFERROR(__xludf.DUMMYFUNCTION("""COMPUTED_VALUE"""),"Russia")</f>
        <v>Russia</v>
      </c>
      <c r="C1004" s="46" t="str">
        <f>IFERROR(__xludf.DUMMYFUNCTION("""COMPUTED_VALUE"""),"Europe")</f>
        <v>Europe</v>
      </c>
      <c r="D1004" s="90">
        <f>IFERROR(__xludf.DUMMYFUNCTION("""COMPUTED_VALUE"""),40848.0)</f>
        <v>40848</v>
      </c>
      <c r="E1004" s="46">
        <f>IFERROR(__xludf.DUMMYFUNCTION("""COMPUTED_VALUE"""),2011.0)</f>
        <v>2011</v>
      </c>
      <c r="F1004" s="46">
        <f>IFERROR(__xludf.DUMMYFUNCTION("""COMPUTED_VALUE"""),1.0)</f>
        <v>1</v>
      </c>
      <c r="G1004" s="46">
        <f>IFERROR(__xludf.DUMMYFUNCTION("""COMPUTED_VALUE"""),344.0)</f>
        <v>344</v>
      </c>
      <c r="H1004" s="46">
        <f>IFERROR(__xludf.DUMMYFUNCTION("""COMPUTED_VALUE"""),28115.120000000003)</f>
        <v>28115.12</v>
      </c>
      <c r="I1004" s="46">
        <f>IFERROR(__xludf.DUMMYFUNCTION("""COMPUTED_VALUE"""),19494.48)</f>
        <v>19494.48</v>
      </c>
      <c r="J1004" s="46">
        <f>IFERROR(__xludf.DUMMYFUNCTION("""COMPUTED_VALUE"""),8620.640000000003)</f>
        <v>8620.64</v>
      </c>
      <c r="K1004" s="46" t="str">
        <f t="array" ref="K1004">TEXT(D1004, "mmmm")</f>
        <v>November</v>
      </c>
      <c r="M1004" s="46" t="str">
        <f>IFERROR(__xludf.DUMMYFUNCTION("""COMPUTED_VALUE"""),"Bosnia and Herzegovina")</f>
        <v>Bosnia and Herzegovina</v>
      </c>
      <c r="N1004" s="94">
        <f>IFERROR(__xludf.DUMMYFUNCTION("""COMPUTED_VALUE"""),42644.0)</f>
        <v>42644</v>
      </c>
      <c r="O1004" s="46">
        <f>IFERROR(__xludf.DUMMYFUNCTION("""COMPUTED_VALUE"""),1.0)</f>
        <v>1</v>
      </c>
      <c r="P1004" s="46">
        <f>IFERROR(__xludf.DUMMYFUNCTION("""COMPUTED_VALUE"""),1523.0)</f>
        <v>1523</v>
      </c>
      <c r="Q1004" s="46">
        <f>IFERROR(__xludf.DUMMYFUNCTION("""COMPUTED_VALUE"""),14209.59)</f>
        <v>14209.59</v>
      </c>
      <c r="R1004" s="46">
        <f>IFERROR(__xludf.DUMMYFUNCTION("""COMPUTED_VALUE"""),10539.16)</f>
        <v>10539.16</v>
      </c>
      <c r="S1004" s="46">
        <f>IFERROR(__xludf.DUMMYFUNCTION("""COMPUTED_VALUE"""),3670.4300000000003)</f>
        <v>3670.43</v>
      </c>
    </row>
    <row r="1005">
      <c r="A1005" s="46" t="str">
        <f>IFERROR(__xludf.DUMMYFUNCTION("""COMPUTED_VALUE"""),"Snacks")</f>
        <v>Snacks</v>
      </c>
      <c r="B1005" s="46" t="str">
        <f>IFERROR(__xludf.DUMMYFUNCTION("""COMPUTED_VALUE"""),"Undefined")</f>
        <v>Undefined</v>
      </c>
      <c r="C1005" s="46" t="str">
        <f>IFERROR(__xludf.DUMMYFUNCTION("""COMPUTED_VALUE"""),"Undefined")</f>
        <v>Undefined</v>
      </c>
      <c r="D1005" s="90">
        <f>IFERROR(__xludf.DUMMYFUNCTION("""COMPUTED_VALUE"""),40848.0)</f>
        <v>40848</v>
      </c>
      <c r="E1005" s="46">
        <f>IFERROR(__xludf.DUMMYFUNCTION("""COMPUTED_VALUE"""),2011.0)</f>
        <v>2011</v>
      </c>
      <c r="F1005" s="46">
        <f>IFERROR(__xludf.DUMMYFUNCTION("""COMPUTED_VALUE"""),1.0)</f>
        <v>1</v>
      </c>
      <c r="G1005" s="46">
        <f>IFERROR(__xludf.DUMMYFUNCTION("""COMPUTED_VALUE"""),3006.0)</f>
        <v>3006</v>
      </c>
      <c r="H1005" s="46">
        <f>IFERROR(__xludf.DUMMYFUNCTION("""COMPUTED_VALUE"""),458655.48000000004)</f>
        <v>458655.48</v>
      </c>
      <c r="I1005" s="46">
        <f>IFERROR(__xludf.DUMMYFUNCTION("""COMPUTED_VALUE"""),292904.64)</f>
        <v>292904.64</v>
      </c>
      <c r="J1005" s="46">
        <f>IFERROR(__xludf.DUMMYFUNCTION("""COMPUTED_VALUE"""),165750.84000000003)</f>
        <v>165750.84</v>
      </c>
      <c r="K1005" s="46" t="str">
        <f t="array" ref="K1005">TEXT(D1005, "mmmm")</f>
        <v>November</v>
      </c>
      <c r="M1005" s="46" t="str">
        <f>IFERROR(__xludf.DUMMYFUNCTION("""COMPUTED_VALUE"""),"Latvia")</f>
        <v>Latvia</v>
      </c>
      <c r="N1005" s="94">
        <f>IFERROR(__xludf.DUMMYFUNCTION("""COMPUTED_VALUE"""),42644.0)</f>
        <v>42644</v>
      </c>
      <c r="O1005" s="46">
        <f>IFERROR(__xludf.DUMMYFUNCTION("""COMPUTED_VALUE"""),1.0)</f>
        <v>1</v>
      </c>
      <c r="P1005" s="46">
        <f>IFERROR(__xludf.DUMMYFUNCTION("""COMPUTED_VALUE"""),3519.0)</f>
        <v>3519</v>
      </c>
      <c r="Q1005" s="46">
        <f>IFERROR(__xludf.DUMMYFUNCTION("""COMPUTED_VALUE"""),542137.14)</f>
        <v>542137.14</v>
      </c>
      <c r="R1005" s="46">
        <f>IFERROR(__xludf.DUMMYFUNCTION("""COMPUTED_VALUE"""),319982.67000000004)</f>
        <v>319982.67</v>
      </c>
      <c r="S1005" s="46">
        <f>IFERROR(__xludf.DUMMYFUNCTION("""COMPUTED_VALUE"""),222154.46999999997)</f>
        <v>222154.47</v>
      </c>
    </row>
    <row r="1006">
      <c r="A1006" s="46" t="str">
        <f>IFERROR(__xludf.DUMMYFUNCTION("""COMPUTED_VALUE"""),"Vegetables")</f>
        <v>Vegetables</v>
      </c>
      <c r="B1006" s="46" t="str">
        <f>IFERROR(__xludf.DUMMYFUNCTION("""COMPUTED_VALUE"""),"Liechtenstein")</f>
        <v>Liechtenstein</v>
      </c>
      <c r="C1006" s="46" t="str">
        <f>IFERROR(__xludf.DUMMYFUNCTION("""COMPUTED_VALUE"""),"Europe")</f>
        <v>Europe</v>
      </c>
      <c r="D1006" s="90">
        <f>IFERROR(__xludf.DUMMYFUNCTION("""COMPUTED_VALUE"""),40848.0)</f>
        <v>40848</v>
      </c>
      <c r="E1006" s="46">
        <f>IFERROR(__xludf.DUMMYFUNCTION("""COMPUTED_VALUE"""),2011.0)</f>
        <v>2011</v>
      </c>
      <c r="F1006" s="46">
        <f>IFERROR(__xludf.DUMMYFUNCTION("""COMPUTED_VALUE"""),1.0)</f>
        <v>1</v>
      </c>
      <c r="G1006" s="46">
        <f>IFERROR(__xludf.DUMMYFUNCTION("""COMPUTED_VALUE"""),192.0)</f>
        <v>192</v>
      </c>
      <c r="H1006" s="46">
        <f>IFERROR(__xludf.DUMMYFUNCTION("""COMPUTED_VALUE"""),29579.52)</f>
        <v>29579.52</v>
      </c>
      <c r="I1006" s="46">
        <f>IFERROR(__xludf.DUMMYFUNCTION("""COMPUTED_VALUE"""),17458.56)</f>
        <v>17458.56</v>
      </c>
      <c r="J1006" s="46">
        <f>IFERROR(__xludf.DUMMYFUNCTION("""COMPUTED_VALUE"""),12120.96)</f>
        <v>12120.96</v>
      </c>
      <c r="K1006" s="46" t="str">
        <f t="array" ref="K1006">TEXT(D1006, "mmmm")</f>
        <v>November</v>
      </c>
      <c r="M1006" s="46" t="str">
        <f>IFERROR(__xludf.DUMMYFUNCTION("""COMPUTED_VALUE"""),"Romania")</f>
        <v>Romania</v>
      </c>
      <c r="N1006" s="94">
        <f>IFERROR(__xludf.DUMMYFUNCTION("""COMPUTED_VALUE"""),42644.0)</f>
        <v>42644</v>
      </c>
      <c r="O1006" s="46">
        <f>IFERROR(__xludf.DUMMYFUNCTION("""COMPUTED_VALUE"""),1.0)</f>
        <v>1</v>
      </c>
      <c r="P1006" s="46">
        <f>IFERROR(__xludf.DUMMYFUNCTION("""COMPUTED_VALUE"""),6411.0)</f>
        <v>6411</v>
      </c>
      <c r="Q1006" s="46">
        <f>IFERROR(__xludf.DUMMYFUNCTION("""COMPUTED_VALUE"""),59814.63)</f>
        <v>59814.63</v>
      </c>
      <c r="R1006" s="46">
        <f>IFERROR(__xludf.DUMMYFUNCTION("""COMPUTED_VALUE"""),44364.12)</f>
        <v>44364.12</v>
      </c>
      <c r="S1006" s="46">
        <f>IFERROR(__xludf.DUMMYFUNCTION("""COMPUTED_VALUE"""),15450.509999999995)</f>
        <v>15450.51</v>
      </c>
    </row>
    <row r="1007">
      <c r="A1007" s="46" t="str">
        <f>IFERROR(__xludf.DUMMYFUNCTION("""COMPUTED_VALUE"""),"Vegetables")</f>
        <v>Vegetables</v>
      </c>
      <c r="B1007" s="46" t="str">
        <f>IFERROR(__xludf.DUMMYFUNCTION("""COMPUTED_VALUE"""),"Spain")</f>
        <v>Spain</v>
      </c>
      <c r="C1007" s="46" t="str">
        <f>IFERROR(__xludf.DUMMYFUNCTION("""COMPUTED_VALUE"""),"Europe")</f>
        <v>Europe</v>
      </c>
      <c r="D1007" s="90">
        <f>IFERROR(__xludf.DUMMYFUNCTION("""COMPUTED_VALUE"""),40848.0)</f>
        <v>40848</v>
      </c>
      <c r="E1007" s="46">
        <f>IFERROR(__xludf.DUMMYFUNCTION("""COMPUTED_VALUE"""),2011.0)</f>
        <v>2011</v>
      </c>
      <c r="F1007" s="46">
        <f>IFERROR(__xludf.DUMMYFUNCTION("""COMPUTED_VALUE"""),1.0)</f>
        <v>1</v>
      </c>
      <c r="G1007" s="46">
        <f>IFERROR(__xludf.DUMMYFUNCTION("""COMPUTED_VALUE"""),4419.0)</f>
        <v>4419</v>
      </c>
      <c r="H1007" s="46">
        <f>IFERROR(__xludf.DUMMYFUNCTION("""COMPUTED_VALUE"""),680791.14)</f>
        <v>680791.14</v>
      </c>
      <c r="I1007" s="46">
        <f>IFERROR(__xludf.DUMMYFUNCTION("""COMPUTED_VALUE"""),401819.67000000004)</f>
        <v>401819.67</v>
      </c>
      <c r="J1007" s="46">
        <f>IFERROR(__xludf.DUMMYFUNCTION("""COMPUTED_VALUE"""),278971.47)</f>
        <v>278971.47</v>
      </c>
      <c r="K1007" s="46" t="str">
        <f t="array" ref="K1007">TEXT(D1007, "mmmm")</f>
        <v>November</v>
      </c>
      <c r="M1007" s="46" t="str">
        <f>IFERROR(__xludf.DUMMYFUNCTION("""COMPUTED_VALUE"""),"San Marino")</f>
        <v>San Marino</v>
      </c>
      <c r="N1007" s="94">
        <f>IFERROR(__xludf.DUMMYFUNCTION("""COMPUTED_VALUE"""),42644.0)</f>
        <v>42644</v>
      </c>
      <c r="O1007" s="46">
        <f>IFERROR(__xludf.DUMMYFUNCTION("""COMPUTED_VALUE"""),2.0)</f>
        <v>2</v>
      </c>
      <c r="P1007" s="46">
        <f>IFERROR(__xludf.DUMMYFUNCTION("""COMPUTED_VALUE"""),8418.0)</f>
        <v>8418</v>
      </c>
      <c r="Q1007" s="46">
        <f>IFERROR(__xludf.DUMMYFUNCTION("""COMPUTED_VALUE"""),3380325.6)</f>
        <v>3380325.6</v>
      </c>
      <c r="R1007" s="46">
        <f>IFERROR(__xludf.DUMMYFUNCTION("""COMPUTED_VALUE"""),2027210.8199999998)</f>
        <v>2027210.82</v>
      </c>
      <c r="S1007" s="46">
        <f>IFERROR(__xludf.DUMMYFUNCTION("""COMPUTED_VALUE"""),1353114.7800000003)</f>
        <v>1353114.78</v>
      </c>
    </row>
    <row r="1008">
      <c r="A1008" s="46" t="str">
        <f>IFERROR(__xludf.DUMMYFUNCTION("""COMPUTED_VALUE"""),"Vegetables")</f>
        <v>Vegetables</v>
      </c>
      <c r="B1008" s="46" t="str">
        <f>IFERROR(__xludf.DUMMYFUNCTION("""COMPUTED_VALUE"""),"Ukraine")</f>
        <v>Ukraine</v>
      </c>
      <c r="C1008" s="46" t="str">
        <f>IFERROR(__xludf.DUMMYFUNCTION("""COMPUTED_VALUE"""),"Europe")</f>
        <v>Europe</v>
      </c>
      <c r="D1008" s="90">
        <f>IFERROR(__xludf.DUMMYFUNCTION("""COMPUTED_VALUE"""),40848.0)</f>
        <v>40848</v>
      </c>
      <c r="E1008" s="46">
        <f>IFERROR(__xludf.DUMMYFUNCTION("""COMPUTED_VALUE"""),2011.0)</f>
        <v>2011</v>
      </c>
      <c r="F1008" s="46">
        <f>IFERROR(__xludf.DUMMYFUNCTION("""COMPUTED_VALUE"""),1.0)</f>
        <v>1</v>
      </c>
      <c r="G1008" s="46">
        <f>IFERROR(__xludf.DUMMYFUNCTION("""COMPUTED_VALUE"""),5794.0)</f>
        <v>5794</v>
      </c>
      <c r="H1008" s="46">
        <f>IFERROR(__xludf.DUMMYFUNCTION("""COMPUTED_VALUE"""),892623.64)</f>
        <v>892623.64</v>
      </c>
      <c r="I1008" s="46">
        <f>IFERROR(__xludf.DUMMYFUNCTION("""COMPUTED_VALUE"""),526848.42)</f>
        <v>526848.42</v>
      </c>
      <c r="J1008" s="46">
        <f>IFERROR(__xludf.DUMMYFUNCTION("""COMPUTED_VALUE"""),365775.22)</f>
        <v>365775.22</v>
      </c>
      <c r="K1008" s="46" t="str">
        <f t="array" ref="K1008">TEXT(D1008, "mmmm")</f>
        <v>November</v>
      </c>
      <c r="M1008" s="46" t="str">
        <f>IFERROR(__xludf.DUMMYFUNCTION("""COMPUTED_VALUE"""),"Slovenia")</f>
        <v>Slovenia</v>
      </c>
      <c r="N1008" s="94">
        <f>IFERROR(__xludf.DUMMYFUNCTION("""COMPUTED_VALUE"""),42644.0)</f>
        <v>42644</v>
      </c>
      <c r="O1008" s="46">
        <f>IFERROR(__xludf.DUMMYFUNCTION("""COMPUTED_VALUE"""),1.0)</f>
        <v>1</v>
      </c>
      <c r="P1008" s="46">
        <f>IFERROR(__xludf.DUMMYFUNCTION("""COMPUTED_VALUE"""),486.0)</f>
        <v>486</v>
      </c>
      <c r="Q1008" s="46">
        <f>IFERROR(__xludf.DUMMYFUNCTION("""COMPUTED_VALUE"""),124066.08)</f>
        <v>124066.08</v>
      </c>
      <c r="R1008" s="46">
        <f>IFERROR(__xludf.DUMMYFUNCTION("""COMPUTED_VALUE"""),77478.12)</f>
        <v>77478.12</v>
      </c>
      <c r="S1008" s="46">
        <f>IFERROR(__xludf.DUMMYFUNCTION("""COMPUTED_VALUE"""),46587.96000000001)</f>
        <v>46587.96</v>
      </c>
    </row>
    <row r="1009">
      <c r="A1009" s="46" t="str">
        <f>IFERROR(__xludf.DUMMYFUNCTION("""COMPUTED_VALUE"""),"Cereal")</f>
        <v>Cereal</v>
      </c>
      <c r="B1009" s="46" t="str">
        <f>IFERROR(__xludf.DUMMYFUNCTION("""COMPUTED_VALUE"""),"Greece")</f>
        <v>Greece</v>
      </c>
      <c r="C1009" s="46" t="str">
        <f>IFERROR(__xludf.DUMMYFUNCTION("""COMPUTED_VALUE"""),"Europe")</f>
        <v>Europe</v>
      </c>
      <c r="D1009" s="90">
        <f>IFERROR(__xludf.DUMMYFUNCTION("""COMPUTED_VALUE"""),40817.0)</f>
        <v>40817</v>
      </c>
      <c r="E1009" s="46">
        <f>IFERROR(__xludf.DUMMYFUNCTION("""COMPUTED_VALUE"""),2011.0)</f>
        <v>2011</v>
      </c>
      <c r="F1009" s="46">
        <f>IFERROR(__xludf.DUMMYFUNCTION("""COMPUTED_VALUE"""),1.0)</f>
        <v>1</v>
      </c>
      <c r="G1009" s="46">
        <f>IFERROR(__xludf.DUMMYFUNCTION("""COMPUTED_VALUE"""),8468.0)</f>
        <v>8468</v>
      </c>
      <c r="H1009" s="46">
        <f>IFERROR(__xludf.DUMMYFUNCTION("""COMPUTED_VALUE"""),1741867.5999999999)</f>
        <v>1741867.6</v>
      </c>
      <c r="I1009" s="46">
        <f>IFERROR(__xludf.DUMMYFUNCTION("""COMPUTED_VALUE"""),991687.48)</f>
        <v>991687.48</v>
      </c>
      <c r="J1009" s="46">
        <f>IFERROR(__xludf.DUMMYFUNCTION("""COMPUTED_VALUE"""),750180.1199999999)</f>
        <v>750180.12</v>
      </c>
      <c r="K1009" s="46" t="str">
        <f t="array" ref="K1009">TEXT(D1009, "mmmm")</f>
        <v>October</v>
      </c>
      <c r="M1009" s="46" t="str">
        <f>IFERROR(__xludf.DUMMYFUNCTION("""COMPUTED_VALUE"""),"Switzerland")</f>
        <v>Switzerland</v>
      </c>
      <c r="N1009" s="94">
        <f>IFERROR(__xludf.DUMMYFUNCTION("""COMPUTED_VALUE"""),42644.0)</f>
        <v>42644</v>
      </c>
      <c r="O1009" s="46">
        <f>IFERROR(__xludf.DUMMYFUNCTION("""COMPUTED_VALUE"""),1.0)</f>
        <v>1</v>
      </c>
      <c r="P1009" s="46">
        <f>IFERROR(__xludf.DUMMYFUNCTION("""COMPUTED_VALUE"""),244.0)</f>
        <v>244</v>
      </c>
      <c r="Q1009" s="46">
        <f>IFERROR(__xludf.DUMMYFUNCTION("""COMPUTED_VALUE"""),37590.64)</f>
        <v>37590.64</v>
      </c>
      <c r="R1009" s="46">
        <f>IFERROR(__xludf.DUMMYFUNCTION("""COMPUTED_VALUE"""),22186.920000000002)</f>
        <v>22186.92</v>
      </c>
      <c r="S1009" s="46">
        <f>IFERROR(__xludf.DUMMYFUNCTION("""COMPUTED_VALUE"""),15403.719999999998)</f>
        <v>15403.72</v>
      </c>
    </row>
    <row r="1010">
      <c r="A1010" s="46" t="str">
        <f>IFERROR(__xludf.DUMMYFUNCTION("""COMPUTED_VALUE"""),"Cereal")</f>
        <v>Cereal</v>
      </c>
      <c r="B1010" s="46" t="str">
        <f>IFERROR(__xludf.DUMMYFUNCTION("""COMPUTED_VALUE"""),"Poland")</f>
        <v>Poland</v>
      </c>
      <c r="C1010" s="46" t="str">
        <f>IFERROR(__xludf.DUMMYFUNCTION("""COMPUTED_VALUE"""),"Europe")</f>
        <v>Europe</v>
      </c>
      <c r="D1010" s="90">
        <f>IFERROR(__xludf.DUMMYFUNCTION("""COMPUTED_VALUE"""),40817.0)</f>
        <v>40817</v>
      </c>
      <c r="E1010" s="46">
        <f>IFERROR(__xludf.DUMMYFUNCTION("""COMPUTED_VALUE"""),2011.0)</f>
        <v>2011</v>
      </c>
      <c r="F1010" s="46">
        <f>IFERROR(__xludf.DUMMYFUNCTION("""COMPUTED_VALUE"""),1.0)</f>
        <v>1</v>
      </c>
      <c r="G1010" s="46">
        <f>IFERROR(__xludf.DUMMYFUNCTION("""COMPUTED_VALUE"""),8124.0)</f>
        <v>8124</v>
      </c>
      <c r="H1010" s="46">
        <f>IFERROR(__xludf.DUMMYFUNCTION("""COMPUTED_VALUE"""),1671106.7999999998)</f>
        <v>1671106.8</v>
      </c>
      <c r="I1010" s="46">
        <f>IFERROR(__xludf.DUMMYFUNCTION("""COMPUTED_VALUE"""),951401.64)</f>
        <v>951401.64</v>
      </c>
      <c r="J1010" s="46">
        <f>IFERROR(__xludf.DUMMYFUNCTION("""COMPUTED_VALUE"""),719705.1599999998)</f>
        <v>719705.16</v>
      </c>
      <c r="K1010" s="46" t="str">
        <f t="array" ref="K1010">TEXT(D1010, "mmmm")</f>
        <v>October</v>
      </c>
      <c r="M1010" s="46" t="str">
        <f>IFERROR(__xludf.DUMMYFUNCTION("""COMPUTED_VALUE"""),"Andorra")</f>
        <v>Andorra</v>
      </c>
      <c r="N1010" s="94">
        <f>IFERROR(__xludf.DUMMYFUNCTION("""COMPUTED_VALUE"""),42675.0)</f>
        <v>42675</v>
      </c>
      <c r="O1010" s="46">
        <f>IFERROR(__xludf.DUMMYFUNCTION("""COMPUTED_VALUE"""),1.0)</f>
        <v>1</v>
      </c>
      <c r="P1010" s="46">
        <f>IFERROR(__xludf.DUMMYFUNCTION("""COMPUTED_VALUE"""),4348.0)</f>
        <v>4348</v>
      </c>
      <c r="Q1010" s="46">
        <f>IFERROR(__xludf.DUMMYFUNCTION("""COMPUTED_VALUE"""),2905637.96)</f>
        <v>2905637.96</v>
      </c>
      <c r="R1010" s="46">
        <f>IFERROR(__xludf.DUMMYFUNCTION("""COMPUTED_VALUE"""),2185043.92)</f>
        <v>2185043.92</v>
      </c>
      <c r="S1010" s="46">
        <f>IFERROR(__xludf.DUMMYFUNCTION("""COMPUTED_VALUE"""),720594.04)</f>
        <v>720594.04</v>
      </c>
    </row>
    <row r="1011">
      <c r="A1011" s="46" t="str">
        <f>IFERROR(__xludf.DUMMYFUNCTION("""COMPUTED_VALUE"""),"Cereal")</f>
        <v>Cereal</v>
      </c>
      <c r="B1011" s="46" t="str">
        <f>IFERROR(__xludf.DUMMYFUNCTION("""COMPUTED_VALUE"""),"Ukraine")</f>
        <v>Ukraine</v>
      </c>
      <c r="C1011" s="46" t="str">
        <f>IFERROR(__xludf.DUMMYFUNCTION("""COMPUTED_VALUE"""),"Europe")</f>
        <v>Europe</v>
      </c>
      <c r="D1011" s="90">
        <f>IFERROR(__xludf.DUMMYFUNCTION("""COMPUTED_VALUE"""),40817.0)</f>
        <v>40817</v>
      </c>
      <c r="E1011" s="46">
        <f>IFERROR(__xludf.DUMMYFUNCTION("""COMPUTED_VALUE"""),2011.0)</f>
        <v>2011</v>
      </c>
      <c r="F1011" s="46">
        <f>IFERROR(__xludf.DUMMYFUNCTION("""COMPUTED_VALUE"""),1.0)</f>
        <v>1</v>
      </c>
      <c r="G1011" s="46">
        <f>IFERROR(__xludf.DUMMYFUNCTION("""COMPUTED_VALUE"""),859.0)</f>
        <v>859</v>
      </c>
      <c r="H1011" s="46">
        <f>IFERROR(__xludf.DUMMYFUNCTION("""COMPUTED_VALUE"""),176696.3)</f>
        <v>176696.3</v>
      </c>
      <c r="I1011" s="46">
        <f>IFERROR(__xludf.DUMMYFUNCTION("""COMPUTED_VALUE"""),100597.49)</f>
        <v>100597.49</v>
      </c>
      <c r="J1011" s="46">
        <f>IFERROR(__xludf.DUMMYFUNCTION("""COMPUTED_VALUE"""),76098.80999999998)</f>
        <v>76098.81</v>
      </c>
      <c r="K1011" s="46" t="str">
        <f t="array" ref="K1011">TEXT(D1011, "mmmm")</f>
        <v>October</v>
      </c>
      <c r="M1011" s="46" t="str">
        <f>IFERROR(__xludf.DUMMYFUNCTION("""COMPUTED_VALUE"""),"Austria")</f>
        <v>Austria</v>
      </c>
      <c r="N1011" s="94">
        <f>IFERROR(__xludf.DUMMYFUNCTION("""COMPUTED_VALUE"""),42675.0)</f>
        <v>42675</v>
      </c>
      <c r="O1011" s="46">
        <f>IFERROR(__xludf.DUMMYFUNCTION("""COMPUTED_VALUE"""),2.0)</f>
        <v>2</v>
      </c>
      <c r="P1011" s="46">
        <f>IFERROR(__xludf.DUMMYFUNCTION("""COMPUTED_VALUE"""),14666.0)</f>
        <v>14666</v>
      </c>
      <c r="Q1011" s="46">
        <f>IFERROR(__xludf.DUMMYFUNCTION("""COMPUTED_VALUE"""),1271275.87)</f>
        <v>1271275.87</v>
      </c>
      <c r="R1011" s="46">
        <f>IFERROR(__xludf.DUMMYFUNCTION("""COMPUTED_VALUE"""),785410.72)</f>
        <v>785410.72</v>
      </c>
      <c r="S1011" s="46">
        <f>IFERROR(__xludf.DUMMYFUNCTION("""COMPUTED_VALUE"""),485865.1500000001)</f>
        <v>485865.15</v>
      </c>
    </row>
    <row r="1012">
      <c r="A1012" s="46" t="str">
        <f>IFERROR(__xludf.DUMMYFUNCTION("""COMPUTED_VALUE"""),"Cereal")</f>
        <v>Cereal</v>
      </c>
      <c r="B1012" s="46" t="str">
        <f>IFERROR(__xludf.DUMMYFUNCTION("""COMPUTED_VALUE"""),"United Kingdom")</f>
        <v>United Kingdom</v>
      </c>
      <c r="C1012" s="46" t="str">
        <f>IFERROR(__xludf.DUMMYFUNCTION("""COMPUTED_VALUE"""),"Europe")</f>
        <v>Europe</v>
      </c>
      <c r="D1012" s="90">
        <f>IFERROR(__xludf.DUMMYFUNCTION("""COMPUTED_VALUE"""),40817.0)</f>
        <v>40817</v>
      </c>
      <c r="E1012" s="46">
        <f>IFERROR(__xludf.DUMMYFUNCTION("""COMPUTED_VALUE"""),2011.0)</f>
        <v>2011</v>
      </c>
      <c r="F1012" s="46">
        <f>IFERROR(__xludf.DUMMYFUNCTION("""COMPUTED_VALUE"""),1.0)</f>
        <v>1</v>
      </c>
      <c r="G1012" s="46">
        <f>IFERROR(__xludf.DUMMYFUNCTION("""COMPUTED_VALUE"""),5720.0)</f>
        <v>5720</v>
      </c>
      <c r="H1012" s="46">
        <f>IFERROR(__xludf.DUMMYFUNCTION("""COMPUTED_VALUE"""),1176604.0)</f>
        <v>1176604</v>
      </c>
      <c r="I1012" s="46">
        <f>IFERROR(__xludf.DUMMYFUNCTION("""COMPUTED_VALUE"""),669869.2)</f>
        <v>669869.2</v>
      </c>
      <c r="J1012" s="46">
        <f>IFERROR(__xludf.DUMMYFUNCTION("""COMPUTED_VALUE"""),506734.80000000005)</f>
        <v>506734.8</v>
      </c>
      <c r="K1012" s="46" t="str">
        <f t="array" ref="K1012">TEXT(D1012, "mmmm")</f>
        <v>October</v>
      </c>
      <c r="M1012" s="46" t="str">
        <f>IFERROR(__xludf.DUMMYFUNCTION("""COMPUTED_VALUE"""),"Bosnia and Herzegovina")</f>
        <v>Bosnia and Herzegovina</v>
      </c>
      <c r="N1012" s="94">
        <f>IFERROR(__xludf.DUMMYFUNCTION("""COMPUTED_VALUE"""),42675.0)</f>
        <v>42675</v>
      </c>
      <c r="O1012" s="46">
        <f>IFERROR(__xludf.DUMMYFUNCTION("""COMPUTED_VALUE"""),1.0)</f>
        <v>1</v>
      </c>
      <c r="P1012" s="46">
        <f>IFERROR(__xludf.DUMMYFUNCTION("""COMPUTED_VALUE"""),8159.0)</f>
        <v>8159</v>
      </c>
      <c r="Q1012" s="46">
        <f>IFERROR(__xludf.DUMMYFUNCTION("""COMPUTED_VALUE"""),1256975.54)</f>
        <v>1256975.54</v>
      </c>
      <c r="R1012" s="46">
        <f>IFERROR(__xludf.DUMMYFUNCTION("""COMPUTED_VALUE"""),741897.8700000001)</f>
        <v>741897.87</v>
      </c>
      <c r="S1012" s="46">
        <f>IFERROR(__xludf.DUMMYFUNCTION("""COMPUTED_VALUE"""),515077.6699999999)</f>
        <v>515077.67</v>
      </c>
    </row>
    <row r="1013">
      <c r="A1013" s="46" t="str">
        <f>IFERROR(__xludf.DUMMYFUNCTION("""COMPUTED_VALUE"""),"Clothes")</f>
        <v>Clothes</v>
      </c>
      <c r="B1013" s="46" t="str">
        <f>IFERROR(__xludf.DUMMYFUNCTION("""COMPUTED_VALUE"""),"Bosnia and Herzegovina")</f>
        <v>Bosnia and Herzegovina</v>
      </c>
      <c r="C1013" s="46" t="str">
        <f>IFERROR(__xludf.DUMMYFUNCTION("""COMPUTED_VALUE"""),"Europe")</f>
        <v>Europe</v>
      </c>
      <c r="D1013" s="90">
        <f>IFERROR(__xludf.DUMMYFUNCTION("""COMPUTED_VALUE"""),40817.0)</f>
        <v>40817</v>
      </c>
      <c r="E1013" s="46">
        <f>IFERROR(__xludf.DUMMYFUNCTION("""COMPUTED_VALUE"""),2011.0)</f>
        <v>2011</v>
      </c>
      <c r="F1013" s="46">
        <f>IFERROR(__xludf.DUMMYFUNCTION("""COMPUTED_VALUE"""),1.0)</f>
        <v>1</v>
      </c>
      <c r="G1013" s="46">
        <f>IFERROR(__xludf.DUMMYFUNCTION("""COMPUTED_VALUE"""),1789.0)</f>
        <v>1789</v>
      </c>
      <c r="H1013" s="46">
        <f>IFERROR(__xludf.DUMMYFUNCTION("""COMPUTED_VALUE"""),195501.92)</f>
        <v>195501.92</v>
      </c>
      <c r="I1013" s="46">
        <f>IFERROR(__xludf.DUMMYFUNCTION("""COMPUTED_VALUE"""),64117.76000000001)</f>
        <v>64117.76</v>
      </c>
      <c r="J1013" s="46">
        <f>IFERROR(__xludf.DUMMYFUNCTION("""COMPUTED_VALUE"""),131384.16)</f>
        <v>131384.16</v>
      </c>
      <c r="K1013" s="46" t="str">
        <f t="array" ref="K1013">TEXT(D1013, "mmmm")</f>
        <v>October</v>
      </c>
      <c r="M1013" s="46" t="str">
        <f>IFERROR(__xludf.DUMMYFUNCTION("""COMPUTED_VALUE"""),"Denmark")</f>
        <v>Denmark</v>
      </c>
      <c r="N1013" s="94">
        <f>IFERROR(__xludf.DUMMYFUNCTION("""COMPUTED_VALUE"""),42675.0)</f>
        <v>42675</v>
      </c>
      <c r="O1013" s="46">
        <f>IFERROR(__xludf.DUMMYFUNCTION("""COMPUTED_VALUE"""),1.0)</f>
        <v>1</v>
      </c>
      <c r="P1013" s="46">
        <f>IFERROR(__xludf.DUMMYFUNCTION("""COMPUTED_VALUE"""),8687.0)</f>
        <v>8687</v>
      </c>
      <c r="Q1013" s="46">
        <f>IFERROR(__xludf.DUMMYFUNCTION("""COMPUTED_VALUE"""),412198.15)</f>
        <v>412198.15</v>
      </c>
      <c r="R1013" s="46">
        <f>IFERROR(__xludf.DUMMYFUNCTION("""COMPUTED_VALUE"""),276159.73)</f>
        <v>276159.73</v>
      </c>
      <c r="S1013" s="46">
        <f>IFERROR(__xludf.DUMMYFUNCTION("""COMPUTED_VALUE"""),136038.42000000004)</f>
        <v>136038.42</v>
      </c>
    </row>
    <row r="1014">
      <c r="A1014" s="46" t="str">
        <f>IFERROR(__xludf.DUMMYFUNCTION("""COMPUTED_VALUE"""),"Clothes")</f>
        <v>Clothes</v>
      </c>
      <c r="B1014" s="46" t="str">
        <f>IFERROR(__xludf.DUMMYFUNCTION("""COMPUTED_VALUE"""),"San Marino")</f>
        <v>San Marino</v>
      </c>
      <c r="C1014" s="46" t="str">
        <f>IFERROR(__xludf.DUMMYFUNCTION("""COMPUTED_VALUE"""),"Europe")</f>
        <v>Europe</v>
      </c>
      <c r="D1014" s="90">
        <f>IFERROR(__xludf.DUMMYFUNCTION("""COMPUTED_VALUE"""),40817.0)</f>
        <v>40817</v>
      </c>
      <c r="E1014" s="46">
        <f>IFERROR(__xludf.DUMMYFUNCTION("""COMPUTED_VALUE"""),2011.0)</f>
        <v>2011</v>
      </c>
      <c r="F1014" s="46">
        <f>IFERROR(__xludf.DUMMYFUNCTION("""COMPUTED_VALUE"""),1.0)</f>
        <v>1</v>
      </c>
      <c r="G1014" s="46">
        <f>IFERROR(__xludf.DUMMYFUNCTION("""COMPUTED_VALUE"""),7098.0)</f>
        <v>7098</v>
      </c>
      <c r="H1014" s="46">
        <f>IFERROR(__xludf.DUMMYFUNCTION("""COMPUTED_VALUE"""),775669.4400000001)</f>
        <v>775669.44</v>
      </c>
      <c r="I1014" s="46">
        <f>IFERROR(__xludf.DUMMYFUNCTION("""COMPUTED_VALUE"""),254392.32000000004)</f>
        <v>254392.32</v>
      </c>
      <c r="J1014" s="46">
        <f>IFERROR(__xludf.DUMMYFUNCTION("""COMPUTED_VALUE"""),521277.12)</f>
        <v>521277.12</v>
      </c>
      <c r="K1014" s="46" t="str">
        <f t="array" ref="K1014">TEXT(D1014, "mmmm")</f>
        <v>October</v>
      </c>
      <c r="M1014" s="46" t="str">
        <f>IFERROR(__xludf.DUMMYFUNCTION("""COMPUTED_VALUE"""),"Estonia")</f>
        <v>Estonia</v>
      </c>
      <c r="N1014" s="94">
        <f>IFERROR(__xludf.DUMMYFUNCTION("""COMPUTED_VALUE"""),42675.0)</f>
        <v>42675</v>
      </c>
      <c r="O1014" s="46">
        <f>IFERROR(__xludf.DUMMYFUNCTION("""COMPUTED_VALUE"""),1.0)</f>
        <v>1</v>
      </c>
      <c r="P1014" s="46">
        <f>IFERROR(__xludf.DUMMYFUNCTION("""COMPUTED_VALUE"""),1027.0)</f>
        <v>1027</v>
      </c>
      <c r="Q1014" s="46">
        <f>IFERROR(__xludf.DUMMYFUNCTION("""COMPUTED_VALUE"""),48731.15)</f>
        <v>48731.15</v>
      </c>
      <c r="R1014" s="46">
        <f>IFERROR(__xludf.DUMMYFUNCTION("""COMPUTED_VALUE"""),32648.329999999998)</f>
        <v>32648.33</v>
      </c>
      <c r="S1014" s="46">
        <f>IFERROR(__xludf.DUMMYFUNCTION("""COMPUTED_VALUE"""),16082.820000000003)</f>
        <v>16082.82</v>
      </c>
    </row>
    <row r="1015">
      <c r="A1015" s="46" t="str">
        <f>IFERROR(__xludf.DUMMYFUNCTION("""COMPUTED_VALUE"""),"Cosmetics")</f>
        <v>Cosmetics</v>
      </c>
      <c r="B1015" s="46" t="str">
        <f>IFERROR(__xludf.DUMMYFUNCTION("""COMPUTED_VALUE"""),"Malta")</f>
        <v>Malta</v>
      </c>
      <c r="C1015" s="46" t="str">
        <f>IFERROR(__xludf.DUMMYFUNCTION("""COMPUTED_VALUE"""),"Europe")</f>
        <v>Europe</v>
      </c>
      <c r="D1015" s="90">
        <f>IFERROR(__xludf.DUMMYFUNCTION("""COMPUTED_VALUE"""),40817.0)</f>
        <v>40817</v>
      </c>
      <c r="E1015" s="46">
        <f>IFERROR(__xludf.DUMMYFUNCTION("""COMPUTED_VALUE"""),2011.0)</f>
        <v>2011</v>
      </c>
      <c r="F1015" s="46">
        <f>IFERROR(__xludf.DUMMYFUNCTION("""COMPUTED_VALUE"""),1.0)</f>
        <v>1</v>
      </c>
      <c r="G1015" s="46">
        <f>IFERROR(__xludf.DUMMYFUNCTION("""COMPUTED_VALUE"""),9236.0)</f>
        <v>9236</v>
      </c>
      <c r="H1015" s="46">
        <f>IFERROR(__xludf.DUMMYFUNCTION("""COMPUTED_VALUE"""),4037979.1999999997)</f>
        <v>4037979.2</v>
      </c>
      <c r="I1015" s="46">
        <f>IFERROR(__xludf.DUMMYFUNCTION("""COMPUTED_VALUE"""),2432115.88)</f>
        <v>2432115.88</v>
      </c>
      <c r="J1015" s="46">
        <f>IFERROR(__xludf.DUMMYFUNCTION("""COMPUTED_VALUE"""),1605863.3199999998)</f>
        <v>1605863.32</v>
      </c>
      <c r="K1015" s="46" t="str">
        <f t="array" ref="K1015">TEXT(D1015, "mmmm")</f>
        <v>October</v>
      </c>
      <c r="M1015" s="46" t="str">
        <f>IFERROR(__xludf.DUMMYFUNCTION("""COMPUTED_VALUE"""),"Georgia")</f>
        <v>Georgia</v>
      </c>
      <c r="N1015" s="94">
        <f>IFERROR(__xludf.DUMMYFUNCTION("""COMPUTED_VALUE"""),42675.0)</f>
        <v>42675</v>
      </c>
      <c r="O1015" s="46">
        <f>IFERROR(__xludf.DUMMYFUNCTION("""COMPUTED_VALUE"""),1.0)</f>
        <v>1</v>
      </c>
      <c r="P1015" s="46">
        <f>IFERROR(__xludf.DUMMYFUNCTION("""COMPUTED_VALUE"""),5972.0)</f>
        <v>5972</v>
      </c>
      <c r="Q1015" s="46">
        <f>IFERROR(__xludf.DUMMYFUNCTION("""COMPUTED_VALUE"""),1228440.4)</f>
        <v>1228440.4</v>
      </c>
      <c r="R1015" s="46">
        <f>IFERROR(__xludf.DUMMYFUNCTION("""COMPUTED_VALUE"""),699380.92)</f>
        <v>699380.92</v>
      </c>
      <c r="S1015" s="46">
        <f>IFERROR(__xludf.DUMMYFUNCTION("""COMPUTED_VALUE"""),529059.4799999999)</f>
        <v>529059.48</v>
      </c>
    </row>
    <row r="1016">
      <c r="A1016" s="46" t="str">
        <f>IFERROR(__xludf.DUMMYFUNCTION("""COMPUTED_VALUE"""),"Fruits")</f>
        <v>Fruits</v>
      </c>
      <c r="B1016" s="46" t="str">
        <f>IFERROR(__xludf.DUMMYFUNCTION("""COMPUTED_VALUE"""),"Luxembourg")</f>
        <v>Luxembourg</v>
      </c>
      <c r="C1016" s="46" t="str">
        <f>IFERROR(__xludf.DUMMYFUNCTION("""COMPUTED_VALUE"""),"Europe")</f>
        <v>Europe</v>
      </c>
      <c r="D1016" s="90">
        <f>IFERROR(__xludf.DUMMYFUNCTION("""COMPUTED_VALUE"""),40817.0)</f>
        <v>40817</v>
      </c>
      <c r="E1016" s="46">
        <f>IFERROR(__xludf.DUMMYFUNCTION("""COMPUTED_VALUE"""),2011.0)</f>
        <v>2011</v>
      </c>
      <c r="F1016" s="46">
        <f>IFERROR(__xludf.DUMMYFUNCTION("""COMPUTED_VALUE"""),1.0)</f>
        <v>1</v>
      </c>
      <c r="G1016" s="46">
        <f>IFERROR(__xludf.DUMMYFUNCTION("""COMPUTED_VALUE"""),4906.0)</f>
        <v>4906</v>
      </c>
      <c r="H1016" s="46">
        <f>IFERROR(__xludf.DUMMYFUNCTION("""COMPUTED_VALUE"""),45772.98)</f>
        <v>45772.98</v>
      </c>
      <c r="I1016" s="46">
        <f>IFERROR(__xludf.DUMMYFUNCTION("""COMPUTED_VALUE"""),33949.52)</f>
        <v>33949.52</v>
      </c>
      <c r="J1016" s="46">
        <f>IFERROR(__xludf.DUMMYFUNCTION("""COMPUTED_VALUE"""),11823.460000000006)</f>
        <v>11823.46</v>
      </c>
      <c r="K1016" s="46" t="str">
        <f t="array" ref="K1016">TEXT(D1016, "mmmm")</f>
        <v>October</v>
      </c>
      <c r="M1016" s="46" t="str">
        <f>IFERROR(__xludf.DUMMYFUNCTION("""COMPUTED_VALUE"""),"Italy")</f>
        <v>Italy</v>
      </c>
      <c r="N1016" s="94">
        <f>IFERROR(__xludf.DUMMYFUNCTION("""COMPUTED_VALUE"""),42675.0)</f>
        <v>42675</v>
      </c>
      <c r="O1016" s="46">
        <f>IFERROR(__xludf.DUMMYFUNCTION("""COMPUTED_VALUE"""),1.0)</f>
        <v>1</v>
      </c>
      <c r="P1016" s="46">
        <f>IFERROR(__xludf.DUMMYFUNCTION("""COMPUTED_VALUE"""),7152.0)</f>
        <v>7152</v>
      </c>
      <c r="Q1016" s="46">
        <f>IFERROR(__xludf.DUMMYFUNCTION("""COMPUTED_VALUE"""),66728.16)</f>
        <v>66728.16</v>
      </c>
      <c r="R1016" s="46">
        <f>IFERROR(__xludf.DUMMYFUNCTION("""COMPUTED_VALUE"""),49491.84)</f>
        <v>49491.84</v>
      </c>
      <c r="S1016" s="46">
        <f>IFERROR(__xludf.DUMMYFUNCTION("""COMPUTED_VALUE"""),17236.320000000007)</f>
        <v>17236.32</v>
      </c>
    </row>
    <row r="1017">
      <c r="A1017" s="46" t="str">
        <f>IFERROR(__xludf.DUMMYFUNCTION("""COMPUTED_VALUE"""),"Fruits")</f>
        <v>Fruits</v>
      </c>
      <c r="B1017" s="46" t="str">
        <f>IFERROR(__xludf.DUMMYFUNCTION("""COMPUTED_VALUE"""),"Romania")</f>
        <v>Romania</v>
      </c>
      <c r="C1017" s="46" t="str">
        <f>IFERROR(__xludf.DUMMYFUNCTION("""COMPUTED_VALUE"""),"Europe")</f>
        <v>Europe</v>
      </c>
      <c r="D1017" s="90">
        <f>IFERROR(__xludf.DUMMYFUNCTION("""COMPUTED_VALUE"""),40817.0)</f>
        <v>40817</v>
      </c>
      <c r="E1017" s="46">
        <f>IFERROR(__xludf.DUMMYFUNCTION("""COMPUTED_VALUE"""),2011.0)</f>
        <v>2011</v>
      </c>
      <c r="F1017" s="46">
        <f>IFERROR(__xludf.DUMMYFUNCTION("""COMPUTED_VALUE"""),1.0)</f>
        <v>1</v>
      </c>
      <c r="G1017" s="46">
        <f>IFERROR(__xludf.DUMMYFUNCTION("""COMPUTED_VALUE"""),3069.0)</f>
        <v>3069</v>
      </c>
      <c r="H1017" s="46">
        <f>IFERROR(__xludf.DUMMYFUNCTION("""COMPUTED_VALUE"""),28633.77)</f>
        <v>28633.77</v>
      </c>
      <c r="I1017" s="46">
        <f>IFERROR(__xludf.DUMMYFUNCTION("""COMPUTED_VALUE"""),21237.48)</f>
        <v>21237.48</v>
      </c>
      <c r="J1017" s="46">
        <f>IFERROR(__xludf.DUMMYFUNCTION("""COMPUTED_VALUE"""),7396.290000000001)</f>
        <v>7396.29</v>
      </c>
      <c r="K1017" s="46" t="str">
        <f t="array" ref="K1017">TEXT(D1017, "mmmm")</f>
        <v>October</v>
      </c>
      <c r="M1017" s="46" t="str">
        <f>IFERROR(__xludf.DUMMYFUNCTION("""COMPUTED_VALUE"""),"Malta")</f>
        <v>Malta</v>
      </c>
      <c r="N1017" s="94">
        <f>IFERROR(__xludf.DUMMYFUNCTION("""COMPUTED_VALUE"""),42675.0)</f>
        <v>42675</v>
      </c>
      <c r="O1017" s="46">
        <f>IFERROR(__xludf.DUMMYFUNCTION("""COMPUTED_VALUE"""),1.0)</f>
        <v>1</v>
      </c>
      <c r="P1017" s="46">
        <f>IFERROR(__xludf.DUMMYFUNCTION("""COMPUTED_VALUE"""),8115.0)</f>
        <v>8115</v>
      </c>
      <c r="Q1017" s="46">
        <f>IFERROR(__xludf.DUMMYFUNCTION("""COMPUTED_VALUE"""),75712.95)</f>
        <v>75712.95</v>
      </c>
      <c r="R1017" s="46">
        <f>IFERROR(__xludf.DUMMYFUNCTION("""COMPUTED_VALUE"""),56155.8)</f>
        <v>56155.8</v>
      </c>
      <c r="S1017" s="46">
        <f>IFERROR(__xludf.DUMMYFUNCTION("""COMPUTED_VALUE"""),19557.149999999994)</f>
        <v>19557.15</v>
      </c>
    </row>
    <row r="1018">
      <c r="A1018" s="46" t="str">
        <f>IFERROR(__xludf.DUMMYFUNCTION("""COMPUTED_VALUE"""),"Fruits")</f>
        <v>Fruits</v>
      </c>
      <c r="B1018" s="46" t="str">
        <f>IFERROR(__xludf.DUMMYFUNCTION("""COMPUTED_VALUE"""),"Spain")</f>
        <v>Spain</v>
      </c>
      <c r="C1018" s="46" t="str">
        <f>IFERROR(__xludf.DUMMYFUNCTION("""COMPUTED_VALUE"""),"Europe")</f>
        <v>Europe</v>
      </c>
      <c r="D1018" s="90">
        <f>IFERROR(__xludf.DUMMYFUNCTION("""COMPUTED_VALUE"""),40817.0)</f>
        <v>40817</v>
      </c>
      <c r="E1018" s="46">
        <f>IFERROR(__xludf.DUMMYFUNCTION("""COMPUTED_VALUE"""),2011.0)</f>
        <v>2011</v>
      </c>
      <c r="F1018" s="46">
        <f>IFERROR(__xludf.DUMMYFUNCTION("""COMPUTED_VALUE"""),2.0)</f>
        <v>2</v>
      </c>
      <c r="G1018" s="46">
        <f>IFERROR(__xludf.DUMMYFUNCTION("""COMPUTED_VALUE"""),16667.0)</f>
        <v>16667</v>
      </c>
      <c r="H1018" s="46">
        <f>IFERROR(__xludf.DUMMYFUNCTION("""COMPUTED_VALUE"""),155503.11)</f>
        <v>155503.11</v>
      </c>
      <c r="I1018" s="46">
        <f>IFERROR(__xludf.DUMMYFUNCTION("""COMPUTED_VALUE"""),115335.64)</f>
        <v>115335.64</v>
      </c>
      <c r="J1018" s="46">
        <f>IFERROR(__xludf.DUMMYFUNCTION("""COMPUTED_VALUE"""),40167.47)</f>
        <v>40167.47</v>
      </c>
      <c r="K1018" s="46" t="str">
        <f t="array" ref="K1018">TEXT(D1018, "mmmm")</f>
        <v>October</v>
      </c>
      <c r="M1018" s="46" t="str">
        <f>IFERROR(__xludf.DUMMYFUNCTION("""COMPUTED_VALUE"""),"Monaco")</f>
        <v>Monaco</v>
      </c>
      <c r="N1018" s="94">
        <f>IFERROR(__xludf.DUMMYFUNCTION("""COMPUTED_VALUE"""),42675.0)</f>
        <v>42675</v>
      </c>
      <c r="O1018" s="46">
        <f>IFERROR(__xludf.DUMMYFUNCTION("""COMPUTED_VALUE"""),1.0)</f>
        <v>1</v>
      </c>
      <c r="P1018" s="46">
        <f>IFERROR(__xludf.DUMMYFUNCTION("""COMPUTED_VALUE"""),8790.0)</f>
        <v>8790</v>
      </c>
      <c r="Q1018" s="46">
        <f>IFERROR(__xludf.DUMMYFUNCTION("""COMPUTED_VALUE"""),960571.2)</f>
        <v>960571.2</v>
      </c>
      <c r="R1018" s="46">
        <f>IFERROR(__xludf.DUMMYFUNCTION("""COMPUTED_VALUE"""),315033.60000000003)</f>
        <v>315033.6</v>
      </c>
      <c r="S1018" s="46">
        <f>IFERROR(__xludf.DUMMYFUNCTION("""COMPUTED_VALUE"""),645537.5999999999)</f>
        <v>645537.6</v>
      </c>
    </row>
    <row r="1019">
      <c r="A1019" s="46" t="str">
        <f>IFERROR(__xludf.DUMMYFUNCTION("""COMPUTED_VALUE"""),"Meat")</f>
        <v>Meat</v>
      </c>
      <c r="B1019" s="46" t="str">
        <f>IFERROR(__xludf.DUMMYFUNCTION("""COMPUTED_VALUE"""),"Andorra")</f>
        <v>Andorra</v>
      </c>
      <c r="C1019" s="46" t="str">
        <f>IFERROR(__xludf.DUMMYFUNCTION("""COMPUTED_VALUE"""),"Europe")</f>
        <v>Europe</v>
      </c>
      <c r="D1019" s="90">
        <f>IFERROR(__xludf.DUMMYFUNCTION("""COMPUTED_VALUE"""),40817.0)</f>
        <v>40817</v>
      </c>
      <c r="E1019" s="46">
        <f>IFERROR(__xludf.DUMMYFUNCTION("""COMPUTED_VALUE"""),2011.0)</f>
        <v>2011</v>
      </c>
      <c r="F1019" s="46">
        <f>IFERROR(__xludf.DUMMYFUNCTION("""COMPUTED_VALUE"""),1.0)</f>
        <v>1</v>
      </c>
      <c r="G1019" s="46">
        <f>IFERROR(__xludf.DUMMYFUNCTION("""COMPUTED_VALUE"""),1875.0)</f>
        <v>1875</v>
      </c>
      <c r="H1019" s="46">
        <f>IFERROR(__xludf.DUMMYFUNCTION("""COMPUTED_VALUE"""),791043.75)</f>
        <v>791043.75</v>
      </c>
      <c r="I1019" s="46">
        <f>IFERROR(__xludf.DUMMYFUNCTION("""COMPUTED_VALUE"""),683793.75)</f>
        <v>683793.75</v>
      </c>
      <c r="J1019" s="46">
        <f>IFERROR(__xludf.DUMMYFUNCTION("""COMPUTED_VALUE"""),107250.0)</f>
        <v>107250</v>
      </c>
      <c r="K1019" s="46" t="str">
        <f t="array" ref="K1019">TEXT(D1019, "mmmm")</f>
        <v>October</v>
      </c>
      <c r="M1019" s="46" t="str">
        <f>IFERROR(__xludf.DUMMYFUNCTION("""COMPUTED_VALUE"""),"Montenegro")</f>
        <v>Montenegro</v>
      </c>
      <c r="N1019" s="94">
        <f>IFERROR(__xludf.DUMMYFUNCTION("""COMPUTED_VALUE"""),42675.0)</f>
        <v>42675</v>
      </c>
      <c r="O1019" s="46">
        <f>IFERROR(__xludf.DUMMYFUNCTION("""COMPUTED_VALUE"""),1.0)</f>
        <v>1</v>
      </c>
      <c r="P1019" s="46">
        <f>IFERROR(__xludf.DUMMYFUNCTION("""COMPUTED_VALUE"""),3699.0)</f>
        <v>3699</v>
      </c>
      <c r="Q1019" s="46">
        <f>IFERROR(__xludf.DUMMYFUNCTION("""COMPUTED_VALUE"""),302319.27)</f>
        <v>302319.27</v>
      </c>
      <c r="R1019" s="46">
        <f>IFERROR(__xludf.DUMMYFUNCTION("""COMPUTED_VALUE"""),209622.33000000002)</f>
        <v>209622.33</v>
      </c>
      <c r="S1019" s="46">
        <f>IFERROR(__xludf.DUMMYFUNCTION("""COMPUTED_VALUE"""),92696.94)</f>
        <v>92696.94</v>
      </c>
    </row>
    <row r="1020">
      <c r="A1020" s="46" t="str">
        <f>IFERROR(__xludf.DUMMYFUNCTION("""COMPUTED_VALUE"""),"Office Supplies")</f>
        <v>Office Supplies</v>
      </c>
      <c r="B1020" s="46" t="str">
        <f>IFERROR(__xludf.DUMMYFUNCTION("""COMPUTED_VALUE"""),"Russia")</f>
        <v>Russia</v>
      </c>
      <c r="C1020" s="46" t="str">
        <f>IFERROR(__xludf.DUMMYFUNCTION("""COMPUTED_VALUE"""),"Europe")</f>
        <v>Europe</v>
      </c>
      <c r="D1020" s="90">
        <f>IFERROR(__xludf.DUMMYFUNCTION("""COMPUTED_VALUE"""),40817.0)</f>
        <v>40817</v>
      </c>
      <c r="E1020" s="46">
        <f>IFERROR(__xludf.DUMMYFUNCTION("""COMPUTED_VALUE"""),2011.0)</f>
        <v>2011</v>
      </c>
      <c r="F1020" s="46">
        <f>IFERROR(__xludf.DUMMYFUNCTION("""COMPUTED_VALUE"""),1.0)</f>
        <v>1</v>
      </c>
      <c r="G1020" s="46">
        <f>IFERROR(__xludf.DUMMYFUNCTION("""COMPUTED_VALUE"""),9270.0)</f>
        <v>9270</v>
      </c>
      <c r="H1020" s="46">
        <f>IFERROR(__xludf.DUMMYFUNCTION("""COMPUTED_VALUE"""),6036716.7)</f>
        <v>6036716.7</v>
      </c>
      <c r="I1020" s="46">
        <f>IFERROR(__xludf.DUMMYFUNCTION("""COMPUTED_VALUE"""),4866379.2)</f>
        <v>4866379.2</v>
      </c>
      <c r="J1020" s="46">
        <f>IFERROR(__xludf.DUMMYFUNCTION("""COMPUTED_VALUE"""),1170337.5)</f>
        <v>1170337.5</v>
      </c>
      <c r="K1020" s="46" t="str">
        <f t="array" ref="K1020">TEXT(D1020, "mmmm")</f>
        <v>October</v>
      </c>
      <c r="M1020" s="46" t="str">
        <f>IFERROR(__xludf.DUMMYFUNCTION("""COMPUTED_VALUE"""),"Netherlands")</f>
        <v>Netherlands</v>
      </c>
      <c r="N1020" s="94">
        <f>IFERROR(__xludf.DUMMYFUNCTION("""COMPUTED_VALUE"""),42675.0)</f>
        <v>42675</v>
      </c>
      <c r="O1020" s="46">
        <f>IFERROR(__xludf.DUMMYFUNCTION("""COMPUTED_VALUE"""),1.0)</f>
        <v>1</v>
      </c>
      <c r="P1020" s="46">
        <f>IFERROR(__xludf.DUMMYFUNCTION("""COMPUTED_VALUE"""),477.0)</f>
        <v>477</v>
      </c>
      <c r="Q1020" s="46">
        <f>IFERROR(__xludf.DUMMYFUNCTION("""COMPUTED_VALUE"""),318764.79)</f>
        <v>318764.79</v>
      </c>
      <c r="R1020" s="46">
        <f>IFERROR(__xludf.DUMMYFUNCTION("""COMPUTED_VALUE"""),239711.58000000002)</f>
        <v>239711.58</v>
      </c>
      <c r="S1020" s="46">
        <f>IFERROR(__xludf.DUMMYFUNCTION("""COMPUTED_VALUE"""),79053.20999999996)</f>
        <v>79053.21</v>
      </c>
    </row>
    <row r="1021">
      <c r="A1021" s="46" t="str">
        <f>IFERROR(__xludf.DUMMYFUNCTION("""COMPUTED_VALUE"""),"Personal Care")</f>
        <v>Personal Care</v>
      </c>
      <c r="B1021" s="46" t="str">
        <f>IFERROR(__xludf.DUMMYFUNCTION("""COMPUTED_VALUE"""),"Latvia")</f>
        <v>Latvia</v>
      </c>
      <c r="C1021" s="46" t="str">
        <f>IFERROR(__xludf.DUMMYFUNCTION("""COMPUTED_VALUE"""),"Europe")</f>
        <v>Europe</v>
      </c>
      <c r="D1021" s="90">
        <f>IFERROR(__xludf.DUMMYFUNCTION("""COMPUTED_VALUE"""),40817.0)</f>
        <v>40817</v>
      </c>
      <c r="E1021" s="46">
        <f>IFERROR(__xludf.DUMMYFUNCTION("""COMPUTED_VALUE"""),2011.0)</f>
        <v>2011</v>
      </c>
      <c r="F1021" s="46">
        <f>IFERROR(__xludf.DUMMYFUNCTION("""COMPUTED_VALUE"""),1.0)</f>
        <v>1</v>
      </c>
      <c r="G1021" s="46">
        <f>IFERROR(__xludf.DUMMYFUNCTION("""COMPUTED_VALUE"""),8732.0)</f>
        <v>8732</v>
      </c>
      <c r="H1021" s="46">
        <f>IFERROR(__xludf.DUMMYFUNCTION("""COMPUTED_VALUE"""),713666.36)</f>
        <v>713666.36</v>
      </c>
      <c r="I1021" s="46">
        <f>IFERROR(__xludf.DUMMYFUNCTION("""COMPUTED_VALUE"""),494842.44)</f>
        <v>494842.44</v>
      </c>
      <c r="J1021" s="46">
        <f>IFERROR(__xludf.DUMMYFUNCTION("""COMPUTED_VALUE"""),218823.91999999998)</f>
        <v>218823.92</v>
      </c>
      <c r="K1021" s="46" t="str">
        <f t="array" ref="K1021">TEXT(D1021, "mmmm")</f>
        <v>October</v>
      </c>
      <c r="M1021" s="46" t="str">
        <f>IFERROR(__xludf.DUMMYFUNCTION("""COMPUTED_VALUE"""),"Norway")</f>
        <v>Norway</v>
      </c>
      <c r="N1021" s="94">
        <f>IFERROR(__xludf.DUMMYFUNCTION("""COMPUTED_VALUE"""),42675.0)</f>
        <v>42675</v>
      </c>
      <c r="O1021" s="46">
        <f>IFERROR(__xludf.DUMMYFUNCTION("""COMPUTED_VALUE"""),1.0)</f>
        <v>1</v>
      </c>
      <c r="P1021" s="46">
        <f>IFERROR(__xludf.DUMMYFUNCTION("""COMPUTED_VALUE"""),562.0)</f>
        <v>562</v>
      </c>
      <c r="Q1021" s="46">
        <f>IFERROR(__xludf.DUMMYFUNCTION("""COMPUTED_VALUE"""),85749.96)</f>
        <v>85749.96</v>
      </c>
      <c r="R1021" s="46">
        <f>IFERROR(__xludf.DUMMYFUNCTION("""COMPUTED_VALUE"""),54761.28)</f>
        <v>54761.28</v>
      </c>
      <c r="S1021" s="46">
        <f>IFERROR(__xludf.DUMMYFUNCTION("""COMPUTED_VALUE"""),30988.680000000008)</f>
        <v>30988.68</v>
      </c>
    </row>
    <row r="1022">
      <c r="A1022" s="46" t="str">
        <f>IFERROR(__xludf.DUMMYFUNCTION("""COMPUTED_VALUE"""),"Baby Food")</f>
        <v>Baby Food</v>
      </c>
      <c r="B1022" s="46" t="str">
        <f>IFERROR(__xludf.DUMMYFUNCTION("""COMPUTED_VALUE"""),"Poland")</f>
        <v>Poland</v>
      </c>
      <c r="C1022" s="46" t="str">
        <f>IFERROR(__xludf.DUMMYFUNCTION("""COMPUTED_VALUE"""),"Europe")</f>
        <v>Europe</v>
      </c>
      <c r="D1022" s="90">
        <f>IFERROR(__xludf.DUMMYFUNCTION("""COMPUTED_VALUE"""),40787.0)</f>
        <v>40787</v>
      </c>
      <c r="E1022" s="46">
        <f>IFERROR(__xludf.DUMMYFUNCTION("""COMPUTED_VALUE"""),2011.0)</f>
        <v>2011</v>
      </c>
      <c r="F1022" s="46">
        <f>IFERROR(__xludf.DUMMYFUNCTION("""COMPUTED_VALUE"""),1.0)</f>
        <v>1</v>
      </c>
      <c r="G1022" s="46">
        <f>IFERROR(__xludf.DUMMYFUNCTION("""COMPUTED_VALUE"""),4529.0)</f>
        <v>4529</v>
      </c>
      <c r="H1022" s="46">
        <f>IFERROR(__xludf.DUMMYFUNCTION("""COMPUTED_VALUE"""),1156163.12)</f>
        <v>1156163.12</v>
      </c>
      <c r="I1022" s="46">
        <f>IFERROR(__xludf.DUMMYFUNCTION("""COMPUTED_VALUE"""),722013.1799999999)</f>
        <v>722013.18</v>
      </c>
      <c r="J1022" s="46">
        <f>IFERROR(__xludf.DUMMYFUNCTION("""COMPUTED_VALUE"""),434149.9400000002)</f>
        <v>434149.94</v>
      </c>
      <c r="K1022" s="46" t="str">
        <f t="array" ref="K1022">TEXT(D1022, "mmmm")</f>
        <v>September</v>
      </c>
      <c r="M1022" s="46" t="str">
        <f>IFERROR(__xludf.DUMMYFUNCTION("""COMPUTED_VALUE"""),"Poland")</f>
        <v>Poland</v>
      </c>
      <c r="N1022" s="94">
        <f>IFERROR(__xludf.DUMMYFUNCTION("""COMPUTED_VALUE"""),42675.0)</f>
        <v>42675</v>
      </c>
      <c r="O1022" s="46">
        <f>IFERROR(__xludf.DUMMYFUNCTION("""COMPUTED_VALUE"""),1.0)</f>
        <v>1</v>
      </c>
      <c r="P1022" s="46">
        <f>IFERROR(__xludf.DUMMYFUNCTION("""COMPUTED_VALUE"""),9234.0)</f>
        <v>9234</v>
      </c>
      <c r="Q1022" s="46">
        <f>IFERROR(__xludf.DUMMYFUNCTION("""COMPUTED_VALUE"""),1899433.7999999998)</f>
        <v>1899433.8</v>
      </c>
      <c r="R1022" s="46">
        <f>IFERROR(__xludf.DUMMYFUNCTION("""COMPUTED_VALUE"""),1081393.74)</f>
        <v>1081393.74</v>
      </c>
      <c r="S1022" s="46">
        <f>IFERROR(__xludf.DUMMYFUNCTION("""COMPUTED_VALUE"""),818040.0599999998)</f>
        <v>818040.06</v>
      </c>
    </row>
    <row r="1023">
      <c r="A1023" s="46" t="str">
        <f>IFERROR(__xludf.DUMMYFUNCTION("""COMPUTED_VALUE"""),"Beverages")</f>
        <v>Beverages</v>
      </c>
      <c r="B1023" s="46" t="str">
        <f>IFERROR(__xludf.DUMMYFUNCTION("""COMPUTED_VALUE"""),"Czech Republic")</f>
        <v>Czech Republic</v>
      </c>
      <c r="C1023" s="46" t="str">
        <f>IFERROR(__xludf.DUMMYFUNCTION("""COMPUTED_VALUE"""),"Europe")</f>
        <v>Europe</v>
      </c>
      <c r="D1023" s="90">
        <f>IFERROR(__xludf.DUMMYFUNCTION("""COMPUTED_VALUE"""),40787.0)</f>
        <v>40787</v>
      </c>
      <c r="E1023" s="46">
        <f>IFERROR(__xludf.DUMMYFUNCTION("""COMPUTED_VALUE"""),2011.0)</f>
        <v>2011</v>
      </c>
      <c r="F1023" s="46">
        <f>IFERROR(__xludf.DUMMYFUNCTION("""COMPUTED_VALUE"""),1.0)</f>
        <v>1</v>
      </c>
      <c r="G1023" s="46">
        <f>IFERROR(__xludf.DUMMYFUNCTION("""COMPUTED_VALUE"""),4778.0)</f>
        <v>4778</v>
      </c>
      <c r="H1023" s="46">
        <f>IFERROR(__xludf.DUMMYFUNCTION("""COMPUTED_VALUE"""),226716.1)</f>
        <v>226716.1</v>
      </c>
      <c r="I1023" s="46">
        <f>IFERROR(__xludf.DUMMYFUNCTION("""COMPUTED_VALUE"""),151892.62)</f>
        <v>151892.62</v>
      </c>
      <c r="J1023" s="46">
        <f>IFERROR(__xludf.DUMMYFUNCTION("""COMPUTED_VALUE"""),74823.48000000001)</f>
        <v>74823.48</v>
      </c>
      <c r="K1023" s="46" t="str">
        <f t="array" ref="K1023">TEXT(D1023, "mmmm")</f>
        <v>September</v>
      </c>
      <c r="M1023" s="46" t="str">
        <f>IFERROR(__xludf.DUMMYFUNCTION("""COMPUTED_VALUE"""),"Portugal")</f>
        <v>Portugal</v>
      </c>
      <c r="N1023" s="94">
        <f>IFERROR(__xludf.DUMMYFUNCTION("""COMPUTED_VALUE"""),42675.0)</f>
        <v>42675</v>
      </c>
      <c r="O1023" s="46">
        <f>IFERROR(__xludf.DUMMYFUNCTION("""COMPUTED_VALUE"""),1.0)</f>
        <v>1</v>
      </c>
      <c r="P1023" s="46">
        <f>IFERROR(__xludf.DUMMYFUNCTION("""COMPUTED_VALUE"""),4832.0)</f>
        <v>4832</v>
      </c>
      <c r="Q1023" s="46">
        <f>IFERROR(__xludf.DUMMYFUNCTION("""COMPUTED_VALUE"""),3146646.72)</f>
        <v>3146646.72</v>
      </c>
      <c r="R1023" s="46">
        <f>IFERROR(__xludf.DUMMYFUNCTION("""COMPUTED_VALUE"""),2536606.72)</f>
        <v>2536606.72</v>
      </c>
      <c r="S1023" s="46">
        <f>IFERROR(__xludf.DUMMYFUNCTION("""COMPUTED_VALUE"""),610040.0)</f>
        <v>610040</v>
      </c>
    </row>
    <row r="1024">
      <c r="A1024" s="46" t="str">
        <f>IFERROR(__xludf.DUMMYFUNCTION("""COMPUTED_VALUE"""),"Beverages")</f>
        <v>Beverages</v>
      </c>
      <c r="B1024" s="46" t="str">
        <f>IFERROR(__xludf.DUMMYFUNCTION("""COMPUTED_VALUE"""),"Finland")</f>
        <v>Finland</v>
      </c>
      <c r="C1024" s="46" t="str">
        <f>IFERROR(__xludf.DUMMYFUNCTION("""COMPUTED_VALUE"""),"Europe")</f>
        <v>Europe</v>
      </c>
      <c r="D1024" s="90">
        <f>IFERROR(__xludf.DUMMYFUNCTION("""COMPUTED_VALUE"""),40787.0)</f>
        <v>40787</v>
      </c>
      <c r="E1024" s="46">
        <f>IFERROR(__xludf.DUMMYFUNCTION("""COMPUTED_VALUE"""),2011.0)</f>
        <v>2011</v>
      </c>
      <c r="F1024" s="46">
        <f>IFERROR(__xludf.DUMMYFUNCTION("""COMPUTED_VALUE"""),1.0)</f>
        <v>1</v>
      </c>
      <c r="G1024" s="46">
        <f>IFERROR(__xludf.DUMMYFUNCTION("""COMPUTED_VALUE"""),7829.0)</f>
        <v>7829</v>
      </c>
      <c r="H1024" s="46">
        <f>IFERROR(__xludf.DUMMYFUNCTION("""COMPUTED_VALUE"""),371486.05000000005)</f>
        <v>371486.05</v>
      </c>
      <c r="I1024" s="46">
        <f>IFERROR(__xludf.DUMMYFUNCTION("""COMPUTED_VALUE"""),248883.91)</f>
        <v>248883.91</v>
      </c>
      <c r="J1024" s="46">
        <f>IFERROR(__xludf.DUMMYFUNCTION("""COMPUTED_VALUE"""),122602.14000000004)</f>
        <v>122602.14</v>
      </c>
      <c r="K1024" s="46" t="str">
        <f t="array" ref="K1024">TEXT(D1024, "mmmm")</f>
        <v>September</v>
      </c>
      <c r="M1024" s="46" t="str">
        <f>IFERROR(__xludf.DUMMYFUNCTION("""COMPUTED_VALUE"""),"Serbia")</f>
        <v>Serbia</v>
      </c>
      <c r="N1024" s="94">
        <f>IFERROR(__xludf.DUMMYFUNCTION("""COMPUTED_VALUE"""),42675.0)</f>
        <v>42675</v>
      </c>
      <c r="O1024" s="46">
        <f>IFERROR(__xludf.DUMMYFUNCTION("""COMPUTED_VALUE"""),1.0)</f>
        <v>1</v>
      </c>
      <c r="P1024" s="46">
        <f>IFERROR(__xludf.DUMMYFUNCTION("""COMPUTED_VALUE"""),2466.0)</f>
        <v>2466</v>
      </c>
      <c r="Q1024" s="46">
        <f>IFERROR(__xludf.DUMMYFUNCTION("""COMPUTED_VALUE"""),117011.70000000001)</f>
        <v>117011.7</v>
      </c>
      <c r="R1024" s="46">
        <f>IFERROR(__xludf.DUMMYFUNCTION("""COMPUTED_VALUE"""),78394.14)</f>
        <v>78394.14</v>
      </c>
      <c r="S1024" s="46">
        <f>IFERROR(__xludf.DUMMYFUNCTION("""COMPUTED_VALUE"""),38617.56000000001)</f>
        <v>38617.56</v>
      </c>
    </row>
    <row r="1025">
      <c r="A1025" s="46" t="str">
        <f>IFERROR(__xludf.DUMMYFUNCTION("""COMPUTED_VALUE"""),"Cereal")</f>
        <v>Cereal</v>
      </c>
      <c r="B1025" s="46" t="str">
        <f>IFERROR(__xludf.DUMMYFUNCTION("""COMPUTED_VALUE"""),"Armenia")</f>
        <v>Armenia</v>
      </c>
      <c r="C1025" s="46" t="str">
        <f>IFERROR(__xludf.DUMMYFUNCTION("""COMPUTED_VALUE"""),"Asia")</f>
        <v>Asia</v>
      </c>
      <c r="D1025" s="90">
        <f>IFERROR(__xludf.DUMMYFUNCTION("""COMPUTED_VALUE"""),40787.0)</f>
        <v>40787</v>
      </c>
      <c r="E1025" s="46">
        <f>IFERROR(__xludf.DUMMYFUNCTION("""COMPUTED_VALUE"""),2011.0)</f>
        <v>2011</v>
      </c>
      <c r="F1025" s="46">
        <f>IFERROR(__xludf.DUMMYFUNCTION("""COMPUTED_VALUE"""),1.0)</f>
        <v>1</v>
      </c>
      <c r="G1025" s="46">
        <f>IFERROR(__xludf.DUMMYFUNCTION("""COMPUTED_VALUE"""),5046.0)</f>
        <v>5046</v>
      </c>
      <c r="H1025" s="46">
        <f>IFERROR(__xludf.DUMMYFUNCTION("""COMPUTED_VALUE"""),1037962.2)</f>
        <v>1037962.2</v>
      </c>
      <c r="I1025" s="46">
        <f>IFERROR(__xludf.DUMMYFUNCTION("""COMPUTED_VALUE"""),590937.0599999999)</f>
        <v>590937.06</v>
      </c>
      <c r="J1025" s="46">
        <f>IFERROR(__xludf.DUMMYFUNCTION("""COMPUTED_VALUE"""),447025.14)</f>
        <v>447025.14</v>
      </c>
      <c r="K1025" s="46" t="str">
        <f t="array" ref="K1025">TEXT(D1025, "mmmm")</f>
        <v>September</v>
      </c>
      <c r="M1025" s="46" t="str">
        <f>IFERROR(__xludf.DUMMYFUNCTION("""COMPUTED_VALUE"""),"Slovakia")</f>
        <v>Slovakia</v>
      </c>
      <c r="N1025" s="94">
        <f>IFERROR(__xludf.DUMMYFUNCTION("""COMPUTED_VALUE"""),42675.0)</f>
        <v>42675</v>
      </c>
      <c r="O1025" s="46">
        <f>IFERROR(__xludf.DUMMYFUNCTION("""COMPUTED_VALUE"""),1.0)</f>
        <v>1</v>
      </c>
      <c r="P1025" s="46">
        <f>IFERROR(__xludf.DUMMYFUNCTION("""COMPUTED_VALUE"""),1500.0)</f>
        <v>1500</v>
      </c>
      <c r="Q1025" s="46">
        <f>IFERROR(__xludf.DUMMYFUNCTION("""COMPUTED_VALUE"""),228870.00000000003)</f>
        <v>228870</v>
      </c>
      <c r="R1025" s="46">
        <f>IFERROR(__xludf.DUMMYFUNCTION("""COMPUTED_VALUE"""),146160.0)</f>
        <v>146160</v>
      </c>
      <c r="S1025" s="46">
        <f>IFERROR(__xludf.DUMMYFUNCTION("""COMPUTED_VALUE"""),82710.00000000003)</f>
        <v>82710</v>
      </c>
    </row>
    <row r="1026">
      <c r="A1026" s="46" t="str">
        <f>IFERROR(__xludf.DUMMYFUNCTION("""COMPUTED_VALUE"""),"Cereal")</f>
        <v>Cereal</v>
      </c>
      <c r="B1026" s="46" t="str">
        <f>IFERROR(__xludf.DUMMYFUNCTION("""COMPUTED_VALUE"""),"Romania")</f>
        <v>Romania</v>
      </c>
      <c r="C1026" s="46" t="str">
        <f>IFERROR(__xludf.DUMMYFUNCTION("""COMPUTED_VALUE"""),"Europe")</f>
        <v>Europe</v>
      </c>
      <c r="D1026" s="90">
        <f>IFERROR(__xludf.DUMMYFUNCTION("""COMPUTED_VALUE"""),40787.0)</f>
        <v>40787</v>
      </c>
      <c r="E1026" s="46">
        <f>IFERROR(__xludf.DUMMYFUNCTION("""COMPUTED_VALUE"""),2011.0)</f>
        <v>2011</v>
      </c>
      <c r="F1026" s="46">
        <f>IFERROR(__xludf.DUMMYFUNCTION("""COMPUTED_VALUE"""),1.0)</f>
        <v>1</v>
      </c>
      <c r="G1026" s="46">
        <f>IFERROR(__xludf.DUMMYFUNCTION("""COMPUTED_VALUE"""),3937.0)</f>
        <v>3937</v>
      </c>
      <c r="H1026" s="46">
        <f>IFERROR(__xludf.DUMMYFUNCTION("""COMPUTED_VALUE"""),809840.8999999999)</f>
        <v>809840.9</v>
      </c>
      <c r="I1026" s="46">
        <f>IFERROR(__xludf.DUMMYFUNCTION("""COMPUTED_VALUE"""),461062.07)</f>
        <v>461062.07</v>
      </c>
      <c r="J1026" s="46">
        <f>IFERROR(__xludf.DUMMYFUNCTION("""COMPUTED_VALUE"""),348778.8299999999)</f>
        <v>348778.83</v>
      </c>
      <c r="K1026" s="46" t="str">
        <f t="array" ref="K1026">TEXT(D1026, "mmmm")</f>
        <v>September</v>
      </c>
      <c r="M1026" s="46" t="str">
        <f>IFERROR(__xludf.DUMMYFUNCTION("""COMPUTED_VALUE"""),"Spain")</f>
        <v>Spain</v>
      </c>
      <c r="N1026" s="94">
        <f>IFERROR(__xludf.DUMMYFUNCTION("""COMPUTED_VALUE"""),42675.0)</f>
        <v>42675</v>
      </c>
      <c r="O1026" s="46">
        <f>IFERROR(__xludf.DUMMYFUNCTION("""COMPUTED_VALUE"""),1.0)</f>
        <v>1</v>
      </c>
      <c r="P1026" s="46">
        <f>IFERROR(__xludf.DUMMYFUNCTION("""COMPUTED_VALUE"""),245.0)</f>
        <v>245</v>
      </c>
      <c r="Q1026" s="46">
        <f>IFERROR(__xludf.DUMMYFUNCTION("""COMPUTED_VALUE"""),37382.100000000006)</f>
        <v>37382.1</v>
      </c>
      <c r="R1026" s="46">
        <f>IFERROR(__xludf.DUMMYFUNCTION("""COMPUTED_VALUE"""),23872.8)</f>
        <v>23872.8</v>
      </c>
      <c r="S1026" s="46">
        <f>IFERROR(__xludf.DUMMYFUNCTION("""COMPUTED_VALUE"""),13509.300000000007)</f>
        <v>13509.3</v>
      </c>
    </row>
    <row r="1027">
      <c r="A1027" s="46" t="str">
        <f>IFERROR(__xludf.DUMMYFUNCTION("""COMPUTED_VALUE"""),"Cosmetics")</f>
        <v>Cosmetics</v>
      </c>
      <c r="B1027" s="46" t="str">
        <f>IFERROR(__xludf.DUMMYFUNCTION("""COMPUTED_VALUE"""),"Belarus")</f>
        <v>Belarus</v>
      </c>
      <c r="C1027" s="46" t="str">
        <f>IFERROR(__xludf.DUMMYFUNCTION("""COMPUTED_VALUE"""),"Europe")</f>
        <v>Europe</v>
      </c>
      <c r="D1027" s="90">
        <f>IFERROR(__xludf.DUMMYFUNCTION("""COMPUTED_VALUE"""),40787.0)</f>
        <v>40787</v>
      </c>
      <c r="E1027" s="46">
        <f>IFERROR(__xludf.DUMMYFUNCTION("""COMPUTED_VALUE"""),2011.0)</f>
        <v>2011</v>
      </c>
      <c r="F1027" s="46">
        <f>IFERROR(__xludf.DUMMYFUNCTION("""COMPUTED_VALUE"""),1.0)</f>
        <v>1</v>
      </c>
      <c r="G1027" s="46">
        <f>IFERROR(__xludf.DUMMYFUNCTION("""COMPUTED_VALUE"""),8338.0)</f>
        <v>8338</v>
      </c>
      <c r="H1027" s="46">
        <f>IFERROR(__xludf.DUMMYFUNCTION("""COMPUTED_VALUE"""),3645373.6)</f>
        <v>3645373.6</v>
      </c>
      <c r="I1027" s="46">
        <f>IFERROR(__xludf.DUMMYFUNCTION("""COMPUTED_VALUE"""),2195645.54)</f>
        <v>2195645.54</v>
      </c>
      <c r="J1027" s="46">
        <f>IFERROR(__xludf.DUMMYFUNCTION("""COMPUTED_VALUE"""),1449728.06)</f>
        <v>1449728.06</v>
      </c>
      <c r="K1027" s="46" t="str">
        <f t="array" ref="K1027">TEXT(D1027, "mmmm")</f>
        <v>September</v>
      </c>
      <c r="M1027" s="46" t="str">
        <f>IFERROR(__xludf.DUMMYFUNCTION("""COMPUTED_VALUE"""),"Undefined")</f>
        <v>Undefined</v>
      </c>
      <c r="N1027" s="94">
        <f>IFERROR(__xludf.DUMMYFUNCTION("""COMPUTED_VALUE"""),42675.0)</f>
        <v>42675</v>
      </c>
      <c r="O1027" s="46">
        <f>IFERROR(__xludf.DUMMYFUNCTION("""COMPUTED_VALUE"""),1.0)</f>
        <v>1</v>
      </c>
      <c r="P1027" s="46">
        <f>IFERROR(__xludf.DUMMYFUNCTION("""COMPUTED_VALUE"""),2162.0)</f>
        <v>2162</v>
      </c>
      <c r="Q1027" s="46">
        <f>IFERROR(__xludf.DUMMYFUNCTION("""COMPUTED_VALUE"""),1407916.02)</f>
        <v>1407916.02</v>
      </c>
      <c r="R1027" s="46">
        <f>IFERROR(__xludf.DUMMYFUNCTION("""COMPUTED_VALUE"""),1134963.52)</f>
        <v>1134963.52</v>
      </c>
      <c r="S1027" s="46">
        <f>IFERROR(__xludf.DUMMYFUNCTION("""COMPUTED_VALUE"""),272952.5)</f>
        <v>272952.5</v>
      </c>
    </row>
    <row r="1028">
      <c r="A1028" s="46" t="str">
        <f>IFERROR(__xludf.DUMMYFUNCTION("""COMPUTED_VALUE"""),"Fruits")</f>
        <v>Fruits</v>
      </c>
      <c r="B1028" s="46" t="str">
        <f>IFERROR(__xludf.DUMMYFUNCTION("""COMPUTED_VALUE"""),"Hungary")</f>
        <v>Hungary</v>
      </c>
      <c r="C1028" s="46" t="str">
        <f>IFERROR(__xludf.DUMMYFUNCTION("""COMPUTED_VALUE"""),"Europe")</f>
        <v>Europe</v>
      </c>
      <c r="D1028" s="90">
        <f>IFERROR(__xludf.DUMMYFUNCTION("""COMPUTED_VALUE"""),40787.0)</f>
        <v>40787</v>
      </c>
      <c r="E1028" s="46">
        <f>IFERROR(__xludf.DUMMYFUNCTION("""COMPUTED_VALUE"""),2011.0)</f>
        <v>2011</v>
      </c>
      <c r="F1028" s="46">
        <f>IFERROR(__xludf.DUMMYFUNCTION("""COMPUTED_VALUE"""),1.0)</f>
        <v>1</v>
      </c>
      <c r="G1028" s="46">
        <f>IFERROR(__xludf.DUMMYFUNCTION("""COMPUTED_VALUE"""),4100.0)</f>
        <v>4100</v>
      </c>
      <c r="H1028" s="46">
        <f>IFERROR(__xludf.DUMMYFUNCTION("""COMPUTED_VALUE"""),38253.0)</f>
        <v>38253</v>
      </c>
      <c r="I1028" s="46">
        <f>IFERROR(__xludf.DUMMYFUNCTION("""COMPUTED_VALUE"""),28372.0)</f>
        <v>28372</v>
      </c>
      <c r="J1028" s="46">
        <f>IFERROR(__xludf.DUMMYFUNCTION("""COMPUTED_VALUE"""),9881.0)</f>
        <v>9881</v>
      </c>
      <c r="K1028" s="46" t="str">
        <f t="array" ref="K1028">TEXT(D1028, "mmmm")</f>
        <v>September</v>
      </c>
      <c r="M1028" s="46" t="str">
        <f>IFERROR(__xludf.DUMMYFUNCTION("""COMPUTED_VALUE"""),"United Kingdom")</f>
        <v>United Kingdom</v>
      </c>
      <c r="N1028" s="94">
        <f>IFERROR(__xludf.DUMMYFUNCTION("""COMPUTED_VALUE"""),42675.0)</f>
        <v>42675</v>
      </c>
      <c r="O1028" s="46">
        <f>IFERROR(__xludf.DUMMYFUNCTION("""COMPUTED_VALUE"""),1.0)</f>
        <v>1</v>
      </c>
      <c r="P1028" s="46">
        <f>IFERROR(__xludf.DUMMYFUNCTION("""COMPUTED_VALUE"""),123.0)</f>
        <v>123</v>
      </c>
      <c r="Q1028" s="46">
        <f>IFERROR(__xludf.DUMMYFUNCTION("""COMPUTED_VALUE"""),13441.44)</f>
        <v>13441.44</v>
      </c>
      <c r="R1028" s="46">
        <f>IFERROR(__xludf.DUMMYFUNCTION("""COMPUTED_VALUE"""),4408.320000000001)</f>
        <v>4408.32</v>
      </c>
      <c r="S1028" s="46">
        <f>IFERROR(__xludf.DUMMYFUNCTION("""COMPUTED_VALUE"""),9033.119999999999)</f>
        <v>9033.12</v>
      </c>
    </row>
    <row r="1029">
      <c r="A1029" s="46" t="str">
        <f>IFERROR(__xludf.DUMMYFUNCTION("""COMPUTED_VALUE"""),"Office Supplies")</f>
        <v>Office Supplies</v>
      </c>
      <c r="B1029" s="46" t="str">
        <f>IFERROR(__xludf.DUMMYFUNCTION("""COMPUTED_VALUE"""),"Luxembourg")</f>
        <v>Luxembourg</v>
      </c>
      <c r="C1029" s="46" t="str">
        <f>IFERROR(__xludf.DUMMYFUNCTION("""COMPUTED_VALUE"""),"Europe")</f>
        <v>Europe</v>
      </c>
      <c r="D1029" s="90">
        <f>IFERROR(__xludf.DUMMYFUNCTION("""COMPUTED_VALUE"""),40787.0)</f>
        <v>40787</v>
      </c>
      <c r="E1029" s="46">
        <f>IFERROR(__xludf.DUMMYFUNCTION("""COMPUTED_VALUE"""),2011.0)</f>
        <v>2011</v>
      </c>
      <c r="F1029" s="46">
        <f>IFERROR(__xludf.DUMMYFUNCTION("""COMPUTED_VALUE"""),1.0)</f>
        <v>1</v>
      </c>
      <c r="G1029" s="46">
        <f>IFERROR(__xludf.DUMMYFUNCTION("""COMPUTED_VALUE"""),9321.0)</f>
        <v>9321</v>
      </c>
      <c r="H1029" s="46">
        <f>IFERROR(__xludf.DUMMYFUNCTION("""COMPUTED_VALUE"""),6069928.41)</f>
        <v>6069928.41</v>
      </c>
      <c r="I1029" s="46">
        <f>IFERROR(__xludf.DUMMYFUNCTION("""COMPUTED_VALUE"""),4893152.16)</f>
        <v>4893152.16</v>
      </c>
      <c r="J1029" s="46">
        <f>IFERROR(__xludf.DUMMYFUNCTION("""COMPUTED_VALUE"""),1176776.25)</f>
        <v>1176776.25</v>
      </c>
      <c r="K1029" s="46" t="str">
        <f t="array" ref="K1029">TEXT(D1029, "mmmm")</f>
        <v>September</v>
      </c>
      <c r="M1029" s="46" t="str">
        <f>IFERROR(__xludf.DUMMYFUNCTION("""COMPUTED_VALUE"""),"Armenia")</f>
        <v>Armenia</v>
      </c>
      <c r="N1029" s="94">
        <f>IFERROR(__xludf.DUMMYFUNCTION("""COMPUTED_VALUE"""),42705.0)</f>
        <v>42705</v>
      </c>
      <c r="O1029" s="46">
        <f>IFERROR(__xludf.DUMMYFUNCTION("""COMPUTED_VALUE"""),2.0)</f>
        <v>2</v>
      </c>
      <c r="P1029" s="46">
        <f>IFERROR(__xludf.DUMMYFUNCTION("""COMPUTED_VALUE"""),12544.0)</f>
        <v>12544</v>
      </c>
      <c r="Q1029" s="46">
        <f>IFERROR(__xludf.DUMMYFUNCTION("""COMPUTED_VALUE"""),1466217.1300000001)</f>
        <v>1466217.13</v>
      </c>
      <c r="R1029" s="46">
        <f>IFERROR(__xludf.DUMMYFUNCTION("""COMPUTED_VALUE"""),919751.7000000001)</f>
        <v>919751.7</v>
      </c>
      <c r="S1029" s="46">
        <f>IFERROR(__xludf.DUMMYFUNCTION("""COMPUTED_VALUE"""),546465.43)</f>
        <v>546465.43</v>
      </c>
    </row>
    <row r="1030">
      <c r="A1030" s="46" t="str">
        <f>IFERROR(__xludf.DUMMYFUNCTION("""COMPUTED_VALUE"""),"Personal Care")</f>
        <v>Personal Care</v>
      </c>
      <c r="B1030" s="46" t="str">
        <f>IFERROR(__xludf.DUMMYFUNCTION("""COMPUTED_VALUE"""),"Greece")</f>
        <v>Greece</v>
      </c>
      <c r="C1030" s="46" t="str">
        <f>IFERROR(__xludf.DUMMYFUNCTION("""COMPUTED_VALUE"""),"Europe")</f>
        <v>Europe</v>
      </c>
      <c r="D1030" s="90">
        <f>IFERROR(__xludf.DUMMYFUNCTION("""COMPUTED_VALUE"""),40787.0)</f>
        <v>40787</v>
      </c>
      <c r="E1030" s="46">
        <f>IFERROR(__xludf.DUMMYFUNCTION("""COMPUTED_VALUE"""),2011.0)</f>
        <v>2011</v>
      </c>
      <c r="F1030" s="46">
        <f>IFERROR(__xludf.DUMMYFUNCTION("""COMPUTED_VALUE"""),1.0)</f>
        <v>1</v>
      </c>
      <c r="G1030" s="46">
        <f>IFERROR(__xludf.DUMMYFUNCTION("""COMPUTED_VALUE"""),7623.0)</f>
        <v>7623</v>
      </c>
      <c r="H1030" s="46">
        <f>IFERROR(__xludf.DUMMYFUNCTION("""COMPUTED_VALUE"""),623027.79)</f>
        <v>623027.79</v>
      </c>
      <c r="I1030" s="46">
        <f>IFERROR(__xludf.DUMMYFUNCTION("""COMPUTED_VALUE"""),431995.41000000003)</f>
        <v>431995.41</v>
      </c>
      <c r="J1030" s="46">
        <f>IFERROR(__xludf.DUMMYFUNCTION("""COMPUTED_VALUE"""),191032.38)</f>
        <v>191032.38</v>
      </c>
      <c r="K1030" s="46" t="str">
        <f t="array" ref="K1030">TEXT(D1030, "mmmm")</f>
        <v>September</v>
      </c>
      <c r="M1030" s="46" t="str">
        <f>IFERROR(__xludf.DUMMYFUNCTION("""COMPUTED_VALUE"""),"Belarus")</f>
        <v>Belarus</v>
      </c>
      <c r="N1030" s="94">
        <f>IFERROR(__xludf.DUMMYFUNCTION("""COMPUTED_VALUE"""),42705.0)</f>
        <v>42705</v>
      </c>
      <c r="O1030" s="46">
        <f>IFERROR(__xludf.DUMMYFUNCTION("""COMPUTED_VALUE"""),1.0)</f>
        <v>1</v>
      </c>
      <c r="P1030" s="46">
        <f>IFERROR(__xludf.DUMMYFUNCTION("""COMPUTED_VALUE"""),6266.0)</f>
        <v>6266</v>
      </c>
      <c r="Q1030" s="46">
        <f>IFERROR(__xludf.DUMMYFUNCTION("""COMPUTED_VALUE"""),684748.48)</f>
        <v>684748.48</v>
      </c>
      <c r="R1030" s="46">
        <f>IFERROR(__xludf.DUMMYFUNCTION("""COMPUTED_VALUE"""),224573.44000000003)</f>
        <v>224573.44</v>
      </c>
      <c r="S1030" s="46">
        <f>IFERROR(__xludf.DUMMYFUNCTION("""COMPUTED_VALUE"""),460175.0399999999)</f>
        <v>460175.04</v>
      </c>
    </row>
    <row r="1031">
      <c r="A1031" s="46" t="str">
        <f>IFERROR(__xludf.DUMMYFUNCTION("""COMPUTED_VALUE"""),"Personal Care")</f>
        <v>Personal Care</v>
      </c>
      <c r="B1031" s="46" t="str">
        <f>IFERROR(__xludf.DUMMYFUNCTION("""COMPUTED_VALUE"""),"United Kingdom")</f>
        <v>United Kingdom</v>
      </c>
      <c r="C1031" s="46" t="str">
        <f>IFERROR(__xludf.DUMMYFUNCTION("""COMPUTED_VALUE"""),"Europe")</f>
        <v>Europe</v>
      </c>
      <c r="D1031" s="90">
        <f>IFERROR(__xludf.DUMMYFUNCTION("""COMPUTED_VALUE"""),40787.0)</f>
        <v>40787</v>
      </c>
      <c r="E1031" s="46">
        <f>IFERROR(__xludf.DUMMYFUNCTION("""COMPUTED_VALUE"""),2011.0)</f>
        <v>2011</v>
      </c>
      <c r="F1031" s="46">
        <f>IFERROR(__xludf.DUMMYFUNCTION("""COMPUTED_VALUE"""),1.0)</f>
        <v>1</v>
      </c>
      <c r="G1031" s="46">
        <f>IFERROR(__xludf.DUMMYFUNCTION("""COMPUTED_VALUE"""),5997.0)</f>
        <v>5997</v>
      </c>
      <c r="H1031" s="46">
        <f>IFERROR(__xludf.DUMMYFUNCTION("""COMPUTED_VALUE"""),490134.81)</f>
        <v>490134.81</v>
      </c>
      <c r="I1031" s="46">
        <f>IFERROR(__xludf.DUMMYFUNCTION("""COMPUTED_VALUE"""),339849.99)</f>
        <v>339849.99</v>
      </c>
      <c r="J1031" s="46">
        <f>IFERROR(__xludf.DUMMYFUNCTION("""COMPUTED_VALUE"""),150284.82)</f>
        <v>150284.82</v>
      </c>
      <c r="K1031" s="46" t="str">
        <f t="array" ref="K1031">TEXT(D1031, "mmmm")</f>
        <v>September</v>
      </c>
      <c r="M1031" s="46" t="str">
        <f>IFERROR(__xludf.DUMMYFUNCTION("""COMPUTED_VALUE"""),"Belgium")</f>
        <v>Belgium</v>
      </c>
      <c r="N1031" s="94">
        <f>IFERROR(__xludf.DUMMYFUNCTION("""COMPUTED_VALUE"""),42705.0)</f>
        <v>42705</v>
      </c>
      <c r="O1031" s="46">
        <f>IFERROR(__xludf.DUMMYFUNCTION("""COMPUTED_VALUE"""),1.0)</f>
        <v>1</v>
      </c>
      <c r="P1031" s="46">
        <f>IFERROR(__xludf.DUMMYFUNCTION("""COMPUTED_VALUE"""),789.0)</f>
        <v>789</v>
      </c>
      <c r="Q1031" s="46">
        <f>IFERROR(__xludf.DUMMYFUNCTION("""COMPUTED_VALUE"""),37438.05)</f>
        <v>37438.05</v>
      </c>
      <c r="R1031" s="46">
        <f>IFERROR(__xludf.DUMMYFUNCTION("""COMPUTED_VALUE"""),25082.309999999998)</f>
        <v>25082.31</v>
      </c>
      <c r="S1031" s="46">
        <f>IFERROR(__xludf.DUMMYFUNCTION("""COMPUTED_VALUE"""),12355.740000000005)</f>
        <v>12355.74</v>
      </c>
    </row>
    <row r="1032">
      <c r="A1032" s="46" t="str">
        <f>IFERROR(__xludf.DUMMYFUNCTION("""COMPUTED_VALUE"""),"Baby Food")</f>
        <v>Baby Food</v>
      </c>
      <c r="B1032" s="46" t="str">
        <f>IFERROR(__xludf.DUMMYFUNCTION("""COMPUTED_VALUE"""),"Malta")</f>
        <v>Malta</v>
      </c>
      <c r="C1032" s="46" t="str">
        <f>IFERROR(__xludf.DUMMYFUNCTION("""COMPUTED_VALUE"""),"Europe")</f>
        <v>Europe</v>
      </c>
      <c r="D1032" s="90">
        <f>IFERROR(__xludf.DUMMYFUNCTION("""COMPUTED_VALUE"""),40756.0)</f>
        <v>40756</v>
      </c>
      <c r="E1032" s="46">
        <f>IFERROR(__xludf.DUMMYFUNCTION("""COMPUTED_VALUE"""),2011.0)</f>
        <v>2011</v>
      </c>
      <c r="F1032" s="46">
        <f>IFERROR(__xludf.DUMMYFUNCTION("""COMPUTED_VALUE"""),1.0)</f>
        <v>1</v>
      </c>
      <c r="G1032" s="46">
        <f>IFERROR(__xludf.DUMMYFUNCTION("""COMPUTED_VALUE"""),5097.0)</f>
        <v>5097</v>
      </c>
      <c r="H1032" s="46">
        <f>IFERROR(__xludf.DUMMYFUNCTION("""COMPUTED_VALUE"""),1301162.16)</f>
        <v>1301162.16</v>
      </c>
      <c r="I1032" s="46">
        <f>IFERROR(__xludf.DUMMYFUNCTION("""COMPUTED_VALUE"""),812563.74)</f>
        <v>812563.74</v>
      </c>
      <c r="J1032" s="46">
        <f>IFERROR(__xludf.DUMMYFUNCTION("""COMPUTED_VALUE"""),488598.4199999999)</f>
        <v>488598.42</v>
      </c>
      <c r="K1032" s="46" t="str">
        <f t="array" ref="K1032">TEXT(D1032, "mmmm")</f>
        <v>August</v>
      </c>
      <c r="M1032" s="46" t="str">
        <f>IFERROR(__xludf.DUMMYFUNCTION("""COMPUTED_VALUE"""),"Estonia")</f>
        <v>Estonia</v>
      </c>
      <c r="N1032" s="94">
        <f>IFERROR(__xludf.DUMMYFUNCTION("""COMPUTED_VALUE"""),42705.0)</f>
        <v>42705</v>
      </c>
      <c r="O1032" s="46">
        <f>IFERROR(__xludf.DUMMYFUNCTION("""COMPUTED_VALUE"""),1.0)</f>
        <v>1</v>
      </c>
      <c r="P1032" s="46">
        <f>IFERROR(__xludf.DUMMYFUNCTION("""COMPUTED_VALUE"""),123.0)</f>
        <v>123</v>
      </c>
      <c r="Q1032" s="46">
        <f>IFERROR(__xludf.DUMMYFUNCTION("""COMPUTED_VALUE"""),13441.44)</f>
        <v>13441.44</v>
      </c>
      <c r="R1032" s="46">
        <f>IFERROR(__xludf.DUMMYFUNCTION("""COMPUTED_VALUE"""),4408.320000000001)</f>
        <v>4408.32</v>
      </c>
      <c r="S1032" s="46">
        <f>IFERROR(__xludf.DUMMYFUNCTION("""COMPUTED_VALUE"""),9033.119999999999)</f>
        <v>9033.12</v>
      </c>
    </row>
    <row r="1033">
      <c r="A1033" s="46" t="str">
        <f>IFERROR(__xludf.DUMMYFUNCTION("""COMPUTED_VALUE"""),"Beverages")</f>
        <v>Beverages</v>
      </c>
      <c r="B1033" s="46" t="str">
        <f>IFERROR(__xludf.DUMMYFUNCTION("""COMPUTED_VALUE"""),"Russia")</f>
        <v>Russia</v>
      </c>
      <c r="C1033" s="46" t="str">
        <f>IFERROR(__xludf.DUMMYFUNCTION("""COMPUTED_VALUE"""),"Europe")</f>
        <v>Europe</v>
      </c>
      <c r="D1033" s="90">
        <f>IFERROR(__xludf.DUMMYFUNCTION("""COMPUTED_VALUE"""),40756.0)</f>
        <v>40756</v>
      </c>
      <c r="E1033" s="46">
        <f>IFERROR(__xludf.DUMMYFUNCTION("""COMPUTED_VALUE"""),2011.0)</f>
        <v>2011</v>
      </c>
      <c r="F1033" s="46">
        <f>IFERROR(__xludf.DUMMYFUNCTION("""COMPUTED_VALUE"""),1.0)</f>
        <v>1</v>
      </c>
      <c r="G1033" s="46">
        <f>IFERROR(__xludf.DUMMYFUNCTION("""COMPUTED_VALUE"""),2598.0)</f>
        <v>2598</v>
      </c>
      <c r="H1033" s="46">
        <f>IFERROR(__xludf.DUMMYFUNCTION("""COMPUTED_VALUE"""),123275.1)</f>
        <v>123275.1</v>
      </c>
      <c r="I1033" s="46">
        <f>IFERROR(__xludf.DUMMYFUNCTION("""COMPUTED_VALUE"""),82590.42)</f>
        <v>82590.42</v>
      </c>
      <c r="J1033" s="46">
        <f>IFERROR(__xludf.DUMMYFUNCTION("""COMPUTED_VALUE"""),40684.68000000001)</f>
        <v>40684.68</v>
      </c>
      <c r="K1033" s="46" t="str">
        <f t="array" ref="K1033">TEXT(D1033, "mmmm")</f>
        <v>August</v>
      </c>
      <c r="M1033" s="46" t="str">
        <f>IFERROR(__xludf.DUMMYFUNCTION("""COMPUTED_VALUE"""),"Georgia")</f>
        <v>Georgia</v>
      </c>
      <c r="N1033" s="94">
        <f>IFERROR(__xludf.DUMMYFUNCTION("""COMPUTED_VALUE"""),42705.0)</f>
        <v>42705</v>
      </c>
      <c r="O1033" s="46">
        <f>IFERROR(__xludf.DUMMYFUNCTION("""COMPUTED_VALUE"""),1.0)</f>
        <v>1</v>
      </c>
      <c r="P1033" s="46">
        <f>IFERROR(__xludf.DUMMYFUNCTION("""COMPUTED_VALUE"""),1775.0)</f>
        <v>1775</v>
      </c>
      <c r="Q1033" s="46">
        <f>IFERROR(__xludf.DUMMYFUNCTION("""COMPUTED_VALUE"""),16560.75)</f>
        <v>16560.75</v>
      </c>
      <c r="R1033" s="46">
        <f>IFERROR(__xludf.DUMMYFUNCTION("""COMPUTED_VALUE"""),12283.0)</f>
        <v>12283</v>
      </c>
      <c r="S1033" s="46">
        <f>IFERROR(__xludf.DUMMYFUNCTION("""COMPUTED_VALUE"""),4277.75)</f>
        <v>4277.75</v>
      </c>
    </row>
    <row r="1034">
      <c r="A1034" s="46" t="str">
        <f>IFERROR(__xludf.DUMMYFUNCTION("""COMPUTED_VALUE"""),"Cereal")</f>
        <v>Cereal</v>
      </c>
      <c r="B1034" s="46" t="str">
        <f>IFERROR(__xludf.DUMMYFUNCTION("""COMPUTED_VALUE"""),"Poland")</f>
        <v>Poland</v>
      </c>
      <c r="C1034" s="46" t="str">
        <f>IFERROR(__xludf.DUMMYFUNCTION("""COMPUTED_VALUE"""),"Europe")</f>
        <v>Europe</v>
      </c>
      <c r="D1034" s="90">
        <f>IFERROR(__xludf.DUMMYFUNCTION("""COMPUTED_VALUE"""),40756.0)</f>
        <v>40756</v>
      </c>
      <c r="E1034" s="46">
        <f>IFERROR(__xludf.DUMMYFUNCTION("""COMPUTED_VALUE"""),2011.0)</f>
        <v>2011</v>
      </c>
      <c r="F1034" s="46">
        <f>IFERROR(__xludf.DUMMYFUNCTION("""COMPUTED_VALUE"""),1.0)</f>
        <v>1</v>
      </c>
      <c r="G1034" s="46">
        <f>IFERROR(__xludf.DUMMYFUNCTION("""COMPUTED_VALUE"""),475.0)</f>
        <v>475</v>
      </c>
      <c r="H1034" s="46">
        <f>IFERROR(__xludf.DUMMYFUNCTION("""COMPUTED_VALUE"""),97707.5)</f>
        <v>97707.5</v>
      </c>
      <c r="I1034" s="46">
        <f>IFERROR(__xludf.DUMMYFUNCTION("""COMPUTED_VALUE"""),55627.25)</f>
        <v>55627.25</v>
      </c>
      <c r="J1034" s="46">
        <f>IFERROR(__xludf.DUMMYFUNCTION("""COMPUTED_VALUE"""),42080.25)</f>
        <v>42080.25</v>
      </c>
      <c r="K1034" s="46" t="str">
        <f t="array" ref="K1034">TEXT(D1034, "mmmm")</f>
        <v>August</v>
      </c>
      <c r="M1034" s="46" t="str">
        <f>IFERROR(__xludf.DUMMYFUNCTION("""COMPUTED_VALUE"""),"Iceland")</f>
        <v>Iceland</v>
      </c>
      <c r="N1034" s="94">
        <f>IFERROR(__xludf.DUMMYFUNCTION("""COMPUTED_VALUE"""),42705.0)</f>
        <v>42705</v>
      </c>
      <c r="O1034" s="46">
        <f>IFERROR(__xludf.DUMMYFUNCTION("""COMPUTED_VALUE"""),1.0)</f>
        <v>1</v>
      </c>
      <c r="P1034" s="46">
        <f>IFERROR(__xludf.DUMMYFUNCTION("""COMPUTED_VALUE"""),4922.0)</f>
        <v>4922</v>
      </c>
      <c r="Q1034" s="46">
        <f>IFERROR(__xludf.DUMMYFUNCTION("""COMPUTED_VALUE"""),750998.76)</f>
        <v>750998.76</v>
      </c>
      <c r="R1034" s="46">
        <f>IFERROR(__xludf.DUMMYFUNCTION("""COMPUTED_VALUE"""),479599.68)</f>
        <v>479599.68</v>
      </c>
      <c r="S1034" s="46">
        <f>IFERROR(__xludf.DUMMYFUNCTION("""COMPUTED_VALUE"""),271399.08)</f>
        <v>271399.08</v>
      </c>
    </row>
    <row r="1035">
      <c r="A1035" s="46" t="str">
        <f>IFERROR(__xludf.DUMMYFUNCTION("""COMPUTED_VALUE"""),"Fruits")</f>
        <v>Fruits</v>
      </c>
      <c r="B1035" s="46" t="str">
        <f>IFERROR(__xludf.DUMMYFUNCTION("""COMPUTED_VALUE"""),"Austria")</f>
        <v>Austria</v>
      </c>
      <c r="C1035" s="46" t="str">
        <f>IFERROR(__xludf.DUMMYFUNCTION("""COMPUTED_VALUE"""),"Europe")</f>
        <v>Europe</v>
      </c>
      <c r="D1035" s="90">
        <f>IFERROR(__xludf.DUMMYFUNCTION("""COMPUTED_VALUE"""),40756.0)</f>
        <v>40756</v>
      </c>
      <c r="E1035" s="46">
        <f>IFERROR(__xludf.DUMMYFUNCTION("""COMPUTED_VALUE"""),2011.0)</f>
        <v>2011</v>
      </c>
      <c r="F1035" s="46">
        <f>IFERROR(__xludf.DUMMYFUNCTION("""COMPUTED_VALUE"""),1.0)</f>
        <v>1</v>
      </c>
      <c r="G1035" s="46">
        <f>IFERROR(__xludf.DUMMYFUNCTION("""COMPUTED_VALUE"""),3042.0)</f>
        <v>3042</v>
      </c>
      <c r="H1035" s="46">
        <f>IFERROR(__xludf.DUMMYFUNCTION("""COMPUTED_VALUE"""),28381.86)</f>
        <v>28381.86</v>
      </c>
      <c r="I1035" s="46">
        <f>IFERROR(__xludf.DUMMYFUNCTION("""COMPUTED_VALUE"""),21050.64)</f>
        <v>21050.64</v>
      </c>
      <c r="J1035" s="46">
        <f>IFERROR(__xludf.DUMMYFUNCTION("""COMPUTED_VALUE"""),7331.220000000001)</f>
        <v>7331.22</v>
      </c>
      <c r="K1035" s="46" t="str">
        <f t="array" ref="K1035">TEXT(D1035, "mmmm")</f>
        <v>August</v>
      </c>
      <c r="M1035" s="46" t="str">
        <f>IFERROR(__xludf.DUMMYFUNCTION("""COMPUTED_VALUE"""),"Ireland")</f>
        <v>Ireland</v>
      </c>
      <c r="N1035" s="94">
        <f>IFERROR(__xludf.DUMMYFUNCTION("""COMPUTED_VALUE"""),42705.0)</f>
        <v>42705</v>
      </c>
      <c r="O1035" s="46">
        <f>IFERROR(__xludf.DUMMYFUNCTION("""COMPUTED_VALUE"""),1.0)</f>
        <v>1</v>
      </c>
      <c r="P1035" s="46">
        <f>IFERROR(__xludf.DUMMYFUNCTION("""COMPUTED_VALUE"""),5597.0)</f>
        <v>5597</v>
      </c>
      <c r="Q1035" s="46">
        <f>IFERROR(__xludf.DUMMYFUNCTION("""COMPUTED_VALUE"""),3644822.37)</f>
        <v>3644822.37</v>
      </c>
      <c r="R1035" s="46">
        <f>IFERROR(__xludf.DUMMYFUNCTION("""COMPUTED_VALUE"""),2938201.12)</f>
        <v>2938201.12</v>
      </c>
      <c r="S1035" s="46">
        <f>IFERROR(__xludf.DUMMYFUNCTION("""COMPUTED_VALUE"""),706621.25)</f>
        <v>706621.25</v>
      </c>
    </row>
    <row r="1036">
      <c r="A1036" s="46" t="str">
        <f>IFERROR(__xludf.DUMMYFUNCTION("""COMPUTED_VALUE"""),"Fruits")</f>
        <v>Fruits</v>
      </c>
      <c r="B1036" s="46" t="str">
        <f>IFERROR(__xludf.DUMMYFUNCTION("""COMPUTED_VALUE"""),"Iceland")</f>
        <v>Iceland</v>
      </c>
      <c r="C1036" s="46" t="str">
        <f>IFERROR(__xludf.DUMMYFUNCTION("""COMPUTED_VALUE"""),"Europe")</f>
        <v>Europe</v>
      </c>
      <c r="D1036" s="90">
        <f>IFERROR(__xludf.DUMMYFUNCTION("""COMPUTED_VALUE"""),40756.0)</f>
        <v>40756</v>
      </c>
      <c r="E1036" s="46">
        <f>IFERROR(__xludf.DUMMYFUNCTION("""COMPUTED_VALUE"""),2011.0)</f>
        <v>2011</v>
      </c>
      <c r="F1036" s="46">
        <f>IFERROR(__xludf.DUMMYFUNCTION("""COMPUTED_VALUE"""),1.0)</f>
        <v>1</v>
      </c>
      <c r="G1036" s="46">
        <f>IFERROR(__xludf.DUMMYFUNCTION("""COMPUTED_VALUE"""),1457.0)</f>
        <v>1457</v>
      </c>
      <c r="H1036" s="46">
        <f>IFERROR(__xludf.DUMMYFUNCTION("""COMPUTED_VALUE"""),13593.81)</f>
        <v>13593.81</v>
      </c>
      <c r="I1036" s="46">
        <f>IFERROR(__xludf.DUMMYFUNCTION("""COMPUTED_VALUE"""),10082.44)</f>
        <v>10082.44</v>
      </c>
      <c r="J1036" s="46">
        <f>IFERROR(__xludf.DUMMYFUNCTION("""COMPUTED_VALUE"""),3511.369999999999)</f>
        <v>3511.37</v>
      </c>
      <c r="K1036" s="46" t="str">
        <f t="array" ref="K1036">TEXT(D1036, "mmmm")</f>
        <v>August</v>
      </c>
      <c r="M1036" s="46" t="str">
        <f>IFERROR(__xludf.DUMMYFUNCTION("""COMPUTED_VALUE"""),"Italy")</f>
        <v>Italy</v>
      </c>
      <c r="N1036" s="94">
        <f>IFERROR(__xludf.DUMMYFUNCTION("""COMPUTED_VALUE"""),42705.0)</f>
        <v>42705</v>
      </c>
      <c r="O1036" s="46">
        <f>IFERROR(__xludf.DUMMYFUNCTION("""COMPUTED_VALUE"""),1.0)</f>
        <v>1</v>
      </c>
      <c r="P1036" s="46">
        <f>IFERROR(__xludf.DUMMYFUNCTION("""COMPUTED_VALUE"""),5657.0)</f>
        <v>5657</v>
      </c>
      <c r="Q1036" s="46">
        <f>IFERROR(__xludf.DUMMYFUNCTION("""COMPUTED_VALUE"""),3780403.3899999997)</f>
        <v>3780403.39</v>
      </c>
      <c r="R1036" s="46">
        <f>IFERROR(__xludf.DUMMYFUNCTION("""COMPUTED_VALUE"""),2842868.7800000003)</f>
        <v>2842868.78</v>
      </c>
      <c r="S1036" s="46">
        <f>IFERROR(__xludf.DUMMYFUNCTION("""COMPUTED_VALUE"""),937534.6099999994)</f>
        <v>937534.61</v>
      </c>
    </row>
    <row r="1037">
      <c r="A1037" s="46" t="str">
        <f>IFERROR(__xludf.DUMMYFUNCTION("""COMPUTED_VALUE"""),"Fruits")</f>
        <v>Fruits</v>
      </c>
      <c r="B1037" s="46" t="str">
        <f>IFERROR(__xludf.DUMMYFUNCTION("""COMPUTED_VALUE"""),"Sweden")</f>
        <v>Sweden</v>
      </c>
      <c r="C1037" s="46" t="str">
        <f>IFERROR(__xludf.DUMMYFUNCTION("""COMPUTED_VALUE"""),"Europe")</f>
        <v>Europe</v>
      </c>
      <c r="D1037" s="90">
        <f>IFERROR(__xludf.DUMMYFUNCTION("""COMPUTED_VALUE"""),40756.0)</f>
        <v>40756</v>
      </c>
      <c r="E1037" s="46">
        <f>IFERROR(__xludf.DUMMYFUNCTION("""COMPUTED_VALUE"""),2011.0)</f>
        <v>2011</v>
      </c>
      <c r="F1037" s="46">
        <f>IFERROR(__xludf.DUMMYFUNCTION("""COMPUTED_VALUE"""),1.0)</f>
        <v>1</v>
      </c>
      <c r="G1037" s="46">
        <f>IFERROR(__xludf.DUMMYFUNCTION("""COMPUTED_VALUE"""),3464.0)</f>
        <v>3464</v>
      </c>
      <c r="H1037" s="46">
        <f>IFERROR(__xludf.DUMMYFUNCTION("""COMPUTED_VALUE"""),32319.12)</f>
        <v>32319.12</v>
      </c>
      <c r="I1037" s="46">
        <f>IFERROR(__xludf.DUMMYFUNCTION("""COMPUTED_VALUE"""),23970.88)</f>
        <v>23970.88</v>
      </c>
      <c r="J1037" s="46">
        <f>IFERROR(__xludf.DUMMYFUNCTION("""COMPUTED_VALUE"""),8348.239999999998)</f>
        <v>8348.24</v>
      </c>
      <c r="K1037" s="46" t="str">
        <f t="array" ref="K1037">TEXT(D1037, "mmmm")</f>
        <v>August</v>
      </c>
      <c r="M1037" s="46" t="str">
        <f>IFERROR(__xludf.DUMMYFUNCTION("""COMPUTED_VALUE"""),"Lithuania")</f>
        <v>Lithuania</v>
      </c>
      <c r="N1037" s="94">
        <f>IFERROR(__xludf.DUMMYFUNCTION("""COMPUTED_VALUE"""),42705.0)</f>
        <v>42705</v>
      </c>
      <c r="O1037" s="46">
        <f>IFERROR(__xludf.DUMMYFUNCTION("""COMPUTED_VALUE"""),1.0)</f>
        <v>1</v>
      </c>
      <c r="P1037" s="46">
        <f>IFERROR(__xludf.DUMMYFUNCTION("""COMPUTED_VALUE"""),22.0)</f>
        <v>22</v>
      </c>
      <c r="Q1037" s="46">
        <f>IFERROR(__xludf.DUMMYFUNCTION("""COMPUTED_VALUE"""),14326.62)</f>
        <v>14326.62</v>
      </c>
      <c r="R1037" s="46">
        <f>IFERROR(__xludf.DUMMYFUNCTION("""COMPUTED_VALUE"""),11549.12)</f>
        <v>11549.12</v>
      </c>
      <c r="S1037" s="46">
        <f>IFERROR(__xludf.DUMMYFUNCTION("""COMPUTED_VALUE"""),2777.5)</f>
        <v>2777.5</v>
      </c>
    </row>
    <row r="1038">
      <c r="A1038" s="46" t="str">
        <f>IFERROR(__xludf.DUMMYFUNCTION("""COMPUTED_VALUE"""),"Fruits")</f>
        <v>Fruits</v>
      </c>
      <c r="B1038" s="46" t="str">
        <f>IFERROR(__xludf.DUMMYFUNCTION("""COMPUTED_VALUE"""),"Undefined")</f>
        <v>Undefined</v>
      </c>
      <c r="C1038" s="46" t="str">
        <f>IFERROR(__xludf.DUMMYFUNCTION("""COMPUTED_VALUE"""),"Undefined")</f>
        <v>Undefined</v>
      </c>
      <c r="D1038" s="90">
        <f>IFERROR(__xludf.DUMMYFUNCTION("""COMPUTED_VALUE"""),40756.0)</f>
        <v>40756</v>
      </c>
      <c r="E1038" s="46">
        <f>IFERROR(__xludf.DUMMYFUNCTION("""COMPUTED_VALUE"""),2011.0)</f>
        <v>2011</v>
      </c>
      <c r="F1038" s="46">
        <f>IFERROR(__xludf.DUMMYFUNCTION("""COMPUTED_VALUE"""),1.0)</f>
        <v>1</v>
      </c>
      <c r="G1038" s="46">
        <f>IFERROR(__xludf.DUMMYFUNCTION("""COMPUTED_VALUE"""),4219.0)</f>
        <v>4219</v>
      </c>
      <c r="H1038" s="46">
        <f>IFERROR(__xludf.DUMMYFUNCTION("""COMPUTED_VALUE"""),39363.27)</f>
        <v>39363.27</v>
      </c>
      <c r="I1038" s="46">
        <f>IFERROR(__xludf.DUMMYFUNCTION("""COMPUTED_VALUE"""),29195.48)</f>
        <v>29195.48</v>
      </c>
      <c r="J1038" s="46">
        <f>IFERROR(__xludf.DUMMYFUNCTION("""COMPUTED_VALUE"""),10167.789999999997)</f>
        <v>10167.79</v>
      </c>
      <c r="K1038" s="46" t="str">
        <f t="array" ref="K1038">TEXT(D1038, "mmmm")</f>
        <v>August</v>
      </c>
      <c r="M1038" s="46" t="str">
        <f>IFERROR(__xludf.DUMMYFUNCTION("""COMPUTED_VALUE"""),"Luxembourg")</f>
        <v>Luxembourg</v>
      </c>
      <c r="N1038" s="94">
        <f>IFERROR(__xludf.DUMMYFUNCTION("""COMPUTED_VALUE"""),42705.0)</f>
        <v>42705</v>
      </c>
      <c r="O1038" s="46">
        <f>IFERROR(__xludf.DUMMYFUNCTION("""COMPUTED_VALUE"""),1.0)</f>
        <v>1</v>
      </c>
      <c r="P1038" s="46">
        <f>IFERROR(__xludf.DUMMYFUNCTION("""COMPUTED_VALUE"""),1723.0)</f>
        <v>1723</v>
      </c>
      <c r="Q1038" s="46">
        <f>IFERROR(__xludf.DUMMYFUNCTION("""COMPUTED_VALUE"""),16075.59)</f>
        <v>16075.59</v>
      </c>
      <c r="R1038" s="46">
        <f>IFERROR(__xludf.DUMMYFUNCTION("""COMPUTED_VALUE"""),11923.16)</f>
        <v>11923.16</v>
      </c>
      <c r="S1038" s="46">
        <f>IFERROR(__xludf.DUMMYFUNCTION("""COMPUTED_VALUE"""),4152.43)</f>
        <v>4152.43</v>
      </c>
    </row>
    <row r="1039">
      <c r="A1039" s="46" t="str">
        <f>IFERROR(__xludf.DUMMYFUNCTION("""COMPUTED_VALUE"""),"Meat")</f>
        <v>Meat</v>
      </c>
      <c r="B1039" s="46" t="str">
        <f>IFERROR(__xludf.DUMMYFUNCTION("""COMPUTED_VALUE"""),"Czech Republic")</f>
        <v>Czech Republic</v>
      </c>
      <c r="C1039" s="46" t="str">
        <f>IFERROR(__xludf.DUMMYFUNCTION("""COMPUTED_VALUE"""),"Europe")</f>
        <v>Europe</v>
      </c>
      <c r="D1039" s="90">
        <f>IFERROR(__xludf.DUMMYFUNCTION("""COMPUTED_VALUE"""),40756.0)</f>
        <v>40756</v>
      </c>
      <c r="E1039" s="46">
        <f>IFERROR(__xludf.DUMMYFUNCTION("""COMPUTED_VALUE"""),2011.0)</f>
        <v>2011</v>
      </c>
      <c r="F1039" s="46">
        <f>IFERROR(__xludf.DUMMYFUNCTION("""COMPUTED_VALUE"""),1.0)</f>
        <v>1</v>
      </c>
      <c r="G1039" s="46">
        <f>IFERROR(__xludf.DUMMYFUNCTION("""COMPUTED_VALUE"""),9759.0)</f>
        <v>9759</v>
      </c>
      <c r="H1039" s="46">
        <f>IFERROR(__xludf.DUMMYFUNCTION("""COMPUTED_VALUE"""),4117224.51)</f>
        <v>4117224.51</v>
      </c>
      <c r="I1039" s="46">
        <f>IFERROR(__xludf.DUMMYFUNCTION("""COMPUTED_VALUE"""),3559009.71)</f>
        <v>3559009.71</v>
      </c>
      <c r="J1039" s="46">
        <f>IFERROR(__xludf.DUMMYFUNCTION("""COMPUTED_VALUE"""),558214.7999999998)</f>
        <v>558214.8</v>
      </c>
      <c r="K1039" s="46" t="str">
        <f t="array" ref="K1039">TEXT(D1039, "mmmm")</f>
        <v>August</v>
      </c>
      <c r="M1039" s="46" t="str">
        <f>IFERROR(__xludf.DUMMYFUNCTION("""COMPUTED_VALUE"""),"Slovakia")</f>
        <v>Slovakia</v>
      </c>
      <c r="N1039" s="94">
        <f>IFERROR(__xludf.DUMMYFUNCTION("""COMPUTED_VALUE"""),42705.0)</f>
        <v>42705</v>
      </c>
      <c r="O1039" s="46">
        <f>IFERROR(__xludf.DUMMYFUNCTION("""COMPUTED_VALUE"""),1.0)</f>
        <v>1</v>
      </c>
      <c r="P1039" s="46">
        <f>IFERROR(__xludf.DUMMYFUNCTION("""COMPUTED_VALUE"""),6158.0)</f>
        <v>6158</v>
      </c>
      <c r="Q1039" s="46">
        <f>IFERROR(__xludf.DUMMYFUNCTION("""COMPUTED_VALUE"""),503293.34)</f>
        <v>503293.34</v>
      </c>
      <c r="R1039" s="46">
        <f>IFERROR(__xludf.DUMMYFUNCTION("""COMPUTED_VALUE"""),348973.86)</f>
        <v>348973.86</v>
      </c>
      <c r="S1039" s="46">
        <f>IFERROR(__xludf.DUMMYFUNCTION("""COMPUTED_VALUE"""),154319.48000000004)</f>
        <v>154319.48</v>
      </c>
    </row>
    <row r="1040">
      <c r="A1040" s="46" t="str">
        <f>IFERROR(__xludf.DUMMYFUNCTION("""COMPUTED_VALUE"""),"Office Supplies")</f>
        <v>Office Supplies</v>
      </c>
      <c r="B1040" s="46" t="str">
        <f>IFERROR(__xludf.DUMMYFUNCTION("""COMPUTED_VALUE"""),"Hungary")</f>
        <v>Hungary</v>
      </c>
      <c r="C1040" s="46" t="str">
        <f>IFERROR(__xludf.DUMMYFUNCTION("""COMPUTED_VALUE"""),"Europe")</f>
        <v>Europe</v>
      </c>
      <c r="D1040" s="90">
        <f>IFERROR(__xludf.DUMMYFUNCTION("""COMPUTED_VALUE"""),40756.0)</f>
        <v>40756</v>
      </c>
      <c r="E1040" s="46">
        <f>IFERROR(__xludf.DUMMYFUNCTION("""COMPUTED_VALUE"""),2011.0)</f>
        <v>2011</v>
      </c>
      <c r="F1040" s="46">
        <f>IFERROR(__xludf.DUMMYFUNCTION("""COMPUTED_VALUE"""),1.0)</f>
        <v>1</v>
      </c>
      <c r="G1040" s="46">
        <f>IFERROR(__xludf.DUMMYFUNCTION("""COMPUTED_VALUE"""),3086.0)</f>
        <v>3086</v>
      </c>
      <c r="H1040" s="46">
        <f>IFERROR(__xludf.DUMMYFUNCTION("""COMPUTED_VALUE"""),2009634.06)</f>
        <v>2009634.06</v>
      </c>
      <c r="I1040" s="46">
        <f>IFERROR(__xludf.DUMMYFUNCTION("""COMPUTED_VALUE"""),1620026.56)</f>
        <v>1620026.56</v>
      </c>
      <c r="J1040" s="46">
        <f>IFERROR(__xludf.DUMMYFUNCTION("""COMPUTED_VALUE"""),389607.5)</f>
        <v>389607.5</v>
      </c>
      <c r="K1040" s="46" t="str">
        <f t="array" ref="K1040">TEXT(D1040, "mmmm")</f>
        <v>August</v>
      </c>
      <c r="M1040" s="46" t="str">
        <f>IFERROR(__xludf.DUMMYFUNCTION("""COMPUTED_VALUE"""),"Sweden")</f>
        <v>Sweden</v>
      </c>
      <c r="N1040" s="94">
        <f>IFERROR(__xludf.DUMMYFUNCTION("""COMPUTED_VALUE"""),42705.0)</f>
        <v>42705</v>
      </c>
      <c r="O1040" s="46">
        <f>IFERROR(__xludf.DUMMYFUNCTION("""COMPUTED_VALUE"""),2.0)</f>
        <v>2</v>
      </c>
      <c r="P1040" s="46">
        <f>IFERROR(__xludf.DUMMYFUNCTION("""COMPUTED_VALUE"""),9888.0)</f>
        <v>9888</v>
      </c>
      <c r="Q1040" s="46">
        <f>IFERROR(__xludf.DUMMYFUNCTION("""COMPUTED_VALUE"""),4144597.4899999998)</f>
        <v>4144597.49</v>
      </c>
      <c r="R1040" s="46">
        <f>IFERROR(__xludf.DUMMYFUNCTION("""COMPUTED_VALUE"""),3578404.96)</f>
        <v>3578404.96</v>
      </c>
      <c r="S1040" s="46">
        <f>IFERROR(__xludf.DUMMYFUNCTION("""COMPUTED_VALUE"""),566192.5299999999)</f>
        <v>566192.53</v>
      </c>
    </row>
    <row r="1041">
      <c r="A1041" s="46" t="str">
        <f>IFERROR(__xludf.DUMMYFUNCTION("""COMPUTED_VALUE"""),"Office Supplies")</f>
        <v>Office Supplies</v>
      </c>
      <c r="B1041" s="46" t="str">
        <f>IFERROR(__xludf.DUMMYFUNCTION("""COMPUTED_VALUE"""),"Lithuania")</f>
        <v>Lithuania</v>
      </c>
      <c r="C1041" s="46" t="str">
        <f>IFERROR(__xludf.DUMMYFUNCTION("""COMPUTED_VALUE"""),"Europe")</f>
        <v>Europe</v>
      </c>
      <c r="D1041" s="90">
        <f>IFERROR(__xludf.DUMMYFUNCTION("""COMPUTED_VALUE"""),40756.0)</f>
        <v>40756</v>
      </c>
      <c r="E1041" s="46">
        <f>IFERROR(__xludf.DUMMYFUNCTION("""COMPUTED_VALUE"""),2011.0)</f>
        <v>2011</v>
      </c>
      <c r="F1041" s="46">
        <f>IFERROR(__xludf.DUMMYFUNCTION("""COMPUTED_VALUE"""),1.0)</f>
        <v>1</v>
      </c>
      <c r="G1041" s="46">
        <f>IFERROR(__xludf.DUMMYFUNCTION("""COMPUTED_VALUE"""),5967.0)</f>
        <v>5967</v>
      </c>
      <c r="H1041" s="46">
        <f>IFERROR(__xludf.DUMMYFUNCTION("""COMPUTED_VALUE"""),3885770.0700000003)</f>
        <v>3885770.07</v>
      </c>
      <c r="I1041" s="46">
        <f>IFERROR(__xludf.DUMMYFUNCTION("""COMPUTED_VALUE"""),3132436.3200000003)</f>
        <v>3132436.32</v>
      </c>
      <c r="J1041" s="46">
        <f>IFERROR(__xludf.DUMMYFUNCTION("""COMPUTED_VALUE"""),753333.75)</f>
        <v>753333.75</v>
      </c>
      <c r="K1041" s="46" t="str">
        <f t="array" ref="K1041">TEXT(D1041, "mmmm")</f>
        <v>August</v>
      </c>
      <c r="M1041" s="46" t="str">
        <f>IFERROR(__xludf.DUMMYFUNCTION("""COMPUTED_VALUE"""),"Undefined")</f>
        <v>Undefined</v>
      </c>
      <c r="N1041" s="94">
        <f>IFERROR(__xludf.DUMMYFUNCTION("""COMPUTED_VALUE"""),42705.0)</f>
        <v>42705</v>
      </c>
      <c r="O1041" s="46">
        <f>IFERROR(__xludf.DUMMYFUNCTION("""COMPUTED_VALUE"""),1.0)</f>
        <v>1</v>
      </c>
      <c r="P1041" s="46">
        <f>IFERROR(__xludf.DUMMYFUNCTION("""COMPUTED_VALUE"""),4728.0)</f>
        <v>4728</v>
      </c>
      <c r="Q1041" s="46">
        <f>IFERROR(__xludf.DUMMYFUNCTION("""COMPUTED_VALUE"""),1206963.84)</f>
        <v>1206963.84</v>
      </c>
      <c r="R1041" s="46">
        <f>IFERROR(__xludf.DUMMYFUNCTION("""COMPUTED_VALUE"""),753737.7599999999)</f>
        <v>753737.76</v>
      </c>
      <c r="S1041" s="46">
        <f>IFERROR(__xludf.DUMMYFUNCTION("""COMPUTED_VALUE"""),453226.0800000002)</f>
        <v>453226.08</v>
      </c>
    </row>
    <row r="1042">
      <c r="A1042" s="46" t="str">
        <f>IFERROR(__xludf.DUMMYFUNCTION("""COMPUTED_VALUE"""),"Personal Care")</f>
        <v>Personal Care</v>
      </c>
      <c r="B1042" s="46" t="str">
        <f>IFERROR(__xludf.DUMMYFUNCTION("""COMPUTED_VALUE"""),"Malta")</f>
        <v>Malta</v>
      </c>
      <c r="C1042" s="46" t="str">
        <f>IFERROR(__xludf.DUMMYFUNCTION("""COMPUTED_VALUE"""),"Europe")</f>
        <v>Europe</v>
      </c>
      <c r="D1042" s="90">
        <f>IFERROR(__xludf.DUMMYFUNCTION("""COMPUTED_VALUE"""),40756.0)</f>
        <v>40756</v>
      </c>
      <c r="E1042" s="46">
        <f>IFERROR(__xludf.DUMMYFUNCTION("""COMPUTED_VALUE"""),2011.0)</f>
        <v>2011</v>
      </c>
      <c r="F1042" s="46">
        <f>IFERROR(__xludf.DUMMYFUNCTION("""COMPUTED_VALUE"""),1.0)</f>
        <v>1</v>
      </c>
      <c r="G1042" s="46">
        <f>IFERROR(__xludf.DUMMYFUNCTION("""COMPUTED_VALUE"""),1201.0)</f>
        <v>1201</v>
      </c>
      <c r="H1042" s="46">
        <f>IFERROR(__xludf.DUMMYFUNCTION("""COMPUTED_VALUE"""),98157.73000000001)</f>
        <v>98157.73</v>
      </c>
      <c r="I1042" s="46">
        <f>IFERROR(__xludf.DUMMYFUNCTION("""COMPUTED_VALUE"""),68060.67)</f>
        <v>68060.67</v>
      </c>
      <c r="J1042" s="46">
        <f>IFERROR(__xludf.DUMMYFUNCTION("""COMPUTED_VALUE"""),30097.060000000012)</f>
        <v>30097.06</v>
      </c>
      <c r="K1042" s="46" t="str">
        <f t="array" ref="K1042">TEXT(D1042, "mmmm")</f>
        <v>August</v>
      </c>
      <c r="M1042" s="46" t="str">
        <f>IFERROR(__xludf.DUMMYFUNCTION("""COMPUTED_VALUE"""),"Estonia")</f>
        <v>Estonia</v>
      </c>
      <c r="N1042" s="94">
        <f>IFERROR(__xludf.DUMMYFUNCTION("""COMPUTED_VALUE"""),42736.0)</f>
        <v>42736</v>
      </c>
      <c r="O1042" s="46">
        <f>IFERROR(__xludf.DUMMYFUNCTION("""COMPUTED_VALUE"""),1.0)</f>
        <v>1</v>
      </c>
      <c r="P1042" s="46">
        <f>IFERROR(__xludf.DUMMYFUNCTION("""COMPUTED_VALUE"""),3755.0)</f>
        <v>3755</v>
      </c>
      <c r="Q1042" s="46">
        <f>IFERROR(__xludf.DUMMYFUNCTION("""COMPUTED_VALUE"""),1641686.0)</f>
        <v>1641686</v>
      </c>
      <c r="R1042" s="46">
        <f>IFERROR(__xludf.DUMMYFUNCTION("""COMPUTED_VALUE"""),988804.1499999999)</f>
        <v>988804.15</v>
      </c>
      <c r="S1042" s="46">
        <f>IFERROR(__xludf.DUMMYFUNCTION("""COMPUTED_VALUE"""),652881.8500000001)</f>
        <v>652881.85</v>
      </c>
    </row>
    <row r="1043">
      <c r="A1043" s="46" t="str">
        <f>IFERROR(__xludf.DUMMYFUNCTION("""COMPUTED_VALUE"""),"Vegetables")</f>
        <v>Vegetables</v>
      </c>
      <c r="B1043" s="46" t="str">
        <f>IFERROR(__xludf.DUMMYFUNCTION("""COMPUTED_VALUE"""),"Austria")</f>
        <v>Austria</v>
      </c>
      <c r="C1043" s="46" t="str">
        <f>IFERROR(__xludf.DUMMYFUNCTION("""COMPUTED_VALUE"""),"Europe")</f>
        <v>Europe</v>
      </c>
      <c r="D1043" s="90">
        <f>IFERROR(__xludf.DUMMYFUNCTION("""COMPUTED_VALUE"""),40756.0)</f>
        <v>40756</v>
      </c>
      <c r="E1043" s="46">
        <f>IFERROR(__xludf.DUMMYFUNCTION("""COMPUTED_VALUE"""),2011.0)</f>
        <v>2011</v>
      </c>
      <c r="F1043" s="46">
        <f>IFERROR(__xludf.DUMMYFUNCTION("""COMPUTED_VALUE"""),1.0)</f>
        <v>1</v>
      </c>
      <c r="G1043" s="46">
        <f>IFERROR(__xludf.DUMMYFUNCTION("""COMPUTED_VALUE"""),6637.0)</f>
        <v>6637</v>
      </c>
      <c r="H1043" s="46">
        <f>IFERROR(__xludf.DUMMYFUNCTION("""COMPUTED_VALUE"""),1022496.22)</f>
        <v>1022496.22</v>
      </c>
      <c r="I1043" s="46">
        <f>IFERROR(__xludf.DUMMYFUNCTION("""COMPUTED_VALUE"""),603502.41)</f>
        <v>603502.41</v>
      </c>
      <c r="J1043" s="46">
        <f>IFERROR(__xludf.DUMMYFUNCTION("""COMPUTED_VALUE"""),418993.80999999994)</f>
        <v>418993.81</v>
      </c>
      <c r="K1043" s="46" t="str">
        <f t="array" ref="K1043">TEXT(D1043, "mmmm")</f>
        <v>August</v>
      </c>
      <c r="M1043" s="46" t="str">
        <f>IFERROR(__xludf.DUMMYFUNCTION("""COMPUTED_VALUE"""),"Georgia")</f>
        <v>Georgia</v>
      </c>
      <c r="N1043" s="94">
        <f>IFERROR(__xludf.DUMMYFUNCTION("""COMPUTED_VALUE"""),42736.0)</f>
        <v>42736</v>
      </c>
      <c r="O1043" s="46">
        <f>IFERROR(__xludf.DUMMYFUNCTION("""COMPUTED_VALUE"""),2.0)</f>
        <v>2</v>
      </c>
      <c r="P1043" s="46">
        <f>IFERROR(__xludf.DUMMYFUNCTION("""COMPUTED_VALUE"""),14360.0)</f>
        <v>14360</v>
      </c>
      <c r="Q1043" s="46">
        <f>IFERROR(__xludf.DUMMYFUNCTION("""COMPUTED_VALUE"""),1020839.55)</f>
        <v>1020839.55</v>
      </c>
      <c r="R1043" s="46">
        <f>IFERROR(__xludf.DUMMYFUNCTION("""COMPUTED_VALUE"""),659780.52)</f>
        <v>659780.52</v>
      </c>
      <c r="S1043" s="46">
        <f>IFERROR(__xludf.DUMMYFUNCTION("""COMPUTED_VALUE"""),361059.03)</f>
        <v>361059.03</v>
      </c>
    </row>
    <row r="1044">
      <c r="A1044" s="46" t="str">
        <f>IFERROR(__xludf.DUMMYFUNCTION("""COMPUTED_VALUE"""),"Beverages")</f>
        <v>Beverages</v>
      </c>
      <c r="B1044" s="46" t="str">
        <f>IFERROR(__xludf.DUMMYFUNCTION("""COMPUTED_VALUE"""),"Poland")</f>
        <v>Poland</v>
      </c>
      <c r="C1044" s="46" t="str">
        <f>IFERROR(__xludf.DUMMYFUNCTION("""COMPUTED_VALUE"""),"Europe")</f>
        <v>Europe</v>
      </c>
      <c r="D1044" s="90">
        <f>IFERROR(__xludf.DUMMYFUNCTION("""COMPUTED_VALUE"""),40725.0)</f>
        <v>40725</v>
      </c>
      <c r="E1044" s="46">
        <f>IFERROR(__xludf.DUMMYFUNCTION("""COMPUTED_VALUE"""),2011.0)</f>
        <v>2011</v>
      </c>
      <c r="F1044" s="46">
        <f>IFERROR(__xludf.DUMMYFUNCTION("""COMPUTED_VALUE"""),1.0)</f>
        <v>1</v>
      </c>
      <c r="G1044" s="46">
        <f>IFERROR(__xludf.DUMMYFUNCTION("""COMPUTED_VALUE"""),3574.0)</f>
        <v>3574</v>
      </c>
      <c r="H1044" s="46">
        <f>IFERROR(__xludf.DUMMYFUNCTION("""COMPUTED_VALUE"""),169586.30000000002)</f>
        <v>169586.3</v>
      </c>
      <c r="I1044" s="46">
        <f>IFERROR(__xludf.DUMMYFUNCTION("""COMPUTED_VALUE"""),113617.45999999999)</f>
        <v>113617.46</v>
      </c>
      <c r="J1044" s="46">
        <f>IFERROR(__xludf.DUMMYFUNCTION("""COMPUTED_VALUE"""),55968.840000000026)</f>
        <v>55968.84</v>
      </c>
      <c r="K1044" s="46" t="str">
        <f t="array" ref="K1044">TEXT(D1044, "mmmm")</f>
        <v>July</v>
      </c>
      <c r="M1044" s="46" t="str">
        <f>IFERROR(__xludf.DUMMYFUNCTION("""COMPUTED_VALUE"""),"Germany")</f>
        <v>Germany</v>
      </c>
      <c r="N1044" s="94">
        <f>IFERROR(__xludf.DUMMYFUNCTION("""COMPUTED_VALUE"""),42736.0)</f>
        <v>42736</v>
      </c>
      <c r="O1044" s="46">
        <f>IFERROR(__xludf.DUMMYFUNCTION("""COMPUTED_VALUE"""),2.0)</f>
        <v>2</v>
      </c>
      <c r="P1044" s="46">
        <f>IFERROR(__xludf.DUMMYFUNCTION("""COMPUTED_VALUE"""),15903.0)</f>
        <v>15903</v>
      </c>
      <c r="Q1044" s="46">
        <f>IFERROR(__xludf.DUMMYFUNCTION("""COMPUTED_VALUE"""),5199663.46)</f>
        <v>5199663.46</v>
      </c>
      <c r="R1044" s="46">
        <f>IFERROR(__xludf.DUMMYFUNCTION("""COMPUTED_VALUE"""),3939713.5999999996)</f>
        <v>3939713.6</v>
      </c>
      <c r="S1044" s="46">
        <f>IFERROR(__xludf.DUMMYFUNCTION("""COMPUTED_VALUE"""),1259949.86)</f>
        <v>1259949.86</v>
      </c>
    </row>
    <row r="1045">
      <c r="A1045" s="46" t="str">
        <f>IFERROR(__xludf.DUMMYFUNCTION("""COMPUTED_VALUE"""),"Cereal")</f>
        <v>Cereal</v>
      </c>
      <c r="B1045" s="46" t="str">
        <f>IFERROR(__xludf.DUMMYFUNCTION("""COMPUTED_VALUE"""),"Cyprus")</f>
        <v>Cyprus</v>
      </c>
      <c r="C1045" s="46" t="str">
        <f>IFERROR(__xludf.DUMMYFUNCTION("""COMPUTED_VALUE"""),"Asia")</f>
        <v>Asia</v>
      </c>
      <c r="D1045" s="90">
        <f>IFERROR(__xludf.DUMMYFUNCTION("""COMPUTED_VALUE"""),40725.0)</f>
        <v>40725</v>
      </c>
      <c r="E1045" s="46">
        <f>IFERROR(__xludf.DUMMYFUNCTION("""COMPUTED_VALUE"""),2011.0)</f>
        <v>2011</v>
      </c>
      <c r="F1045" s="46">
        <f>IFERROR(__xludf.DUMMYFUNCTION("""COMPUTED_VALUE"""),1.0)</f>
        <v>1</v>
      </c>
      <c r="G1045" s="46">
        <f>IFERROR(__xludf.DUMMYFUNCTION("""COMPUTED_VALUE"""),567.0)</f>
        <v>567</v>
      </c>
      <c r="H1045" s="46">
        <f>IFERROR(__xludf.DUMMYFUNCTION("""COMPUTED_VALUE"""),116631.9)</f>
        <v>116631.9</v>
      </c>
      <c r="I1045" s="46">
        <f>IFERROR(__xludf.DUMMYFUNCTION("""COMPUTED_VALUE"""),66401.37)</f>
        <v>66401.37</v>
      </c>
      <c r="J1045" s="46">
        <f>IFERROR(__xludf.DUMMYFUNCTION("""COMPUTED_VALUE"""),50230.53)</f>
        <v>50230.53</v>
      </c>
      <c r="K1045" s="46" t="str">
        <f t="array" ref="K1045">TEXT(D1045, "mmmm")</f>
        <v>July</v>
      </c>
      <c r="M1045" s="46" t="str">
        <f>IFERROR(__xludf.DUMMYFUNCTION("""COMPUTED_VALUE"""),"Luxembourg")</f>
        <v>Luxembourg</v>
      </c>
      <c r="N1045" s="94">
        <f>IFERROR(__xludf.DUMMYFUNCTION("""COMPUTED_VALUE"""),42736.0)</f>
        <v>42736</v>
      </c>
      <c r="O1045" s="46">
        <f>IFERROR(__xludf.DUMMYFUNCTION("""COMPUTED_VALUE"""),1.0)</f>
        <v>1</v>
      </c>
      <c r="P1045" s="46">
        <f>IFERROR(__xludf.DUMMYFUNCTION("""COMPUTED_VALUE"""),5077.0)</f>
        <v>5077</v>
      </c>
      <c r="Q1045" s="46">
        <f>IFERROR(__xludf.DUMMYFUNCTION("""COMPUTED_VALUE"""),2219664.4)</f>
        <v>2219664.4</v>
      </c>
      <c r="R1045" s="46">
        <f>IFERROR(__xludf.DUMMYFUNCTION("""COMPUTED_VALUE"""),1336926.41)</f>
        <v>1336926.41</v>
      </c>
      <c r="S1045" s="46">
        <f>IFERROR(__xludf.DUMMYFUNCTION("""COMPUTED_VALUE"""),882737.99)</f>
        <v>882737.99</v>
      </c>
    </row>
    <row r="1046">
      <c r="A1046" s="46" t="str">
        <f>IFERROR(__xludf.DUMMYFUNCTION("""COMPUTED_VALUE"""),"Cereal")</f>
        <v>Cereal</v>
      </c>
      <c r="B1046" s="46" t="str">
        <f>IFERROR(__xludf.DUMMYFUNCTION("""COMPUTED_VALUE"""),"Czech Republic")</f>
        <v>Czech Republic</v>
      </c>
      <c r="C1046" s="46" t="str">
        <f>IFERROR(__xludf.DUMMYFUNCTION("""COMPUTED_VALUE"""),"Europe")</f>
        <v>Europe</v>
      </c>
      <c r="D1046" s="90">
        <f>IFERROR(__xludf.DUMMYFUNCTION("""COMPUTED_VALUE"""),40725.0)</f>
        <v>40725</v>
      </c>
      <c r="E1046" s="46">
        <f>IFERROR(__xludf.DUMMYFUNCTION("""COMPUTED_VALUE"""),2011.0)</f>
        <v>2011</v>
      </c>
      <c r="F1046" s="46">
        <f>IFERROR(__xludf.DUMMYFUNCTION("""COMPUTED_VALUE"""),1.0)</f>
        <v>1</v>
      </c>
      <c r="G1046" s="46">
        <f>IFERROR(__xludf.DUMMYFUNCTION("""COMPUTED_VALUE"""),9022.0)</f>
        <v>9022</v>
      </c>
      <c r="H1046" s="46">
        <f>IFERROR(__xludf.DUMMYFUNCTION("""COMPUTED_VALUE"""),1855825.4)</f>
        <v>1855825.4</v>
      </c>
      <c r="I1046" s="46">
        <f>IFERROR(__xludf.DUMMYFUNCTION("""COMPUTED_VALUE"""),1056566.42)</f>
        <v>1056566.42</v>
      </c>
      <c r="J1046" s="46">
        <f>IFERROR(__xludf.DUMMYFUNCTION("""COMPUTED_VALUE"""),799258.98)</f>
        <v>799258.98</v>
      </c>
      <c r="K1046" s="46" t="str">
        <f t="array" ref="K1046">TEXT(D1046, "mmmm")</f>
        <v>July</v>
      </c>
      <c r="M1046" s="46" t="str">
        <f>IFERROR(__xludf.DUMMYFUNCTION("""COMPUTED_VALUE"""),"Romania")</f>
        <v>Romania</v>
      </c>
      <c r="N1046" s="94">
        <f>IFERROR(__xludf.DUMMYFUNCTION("""COMPUTED_VALUE"""),42736.0)</f>
        <v>42736</v>
      </c>
      <c r="O1046" s="46">
        <f>IFERROR(__xludf.DUMMYFUNCTION("""COMPUTED_VALUE"""),1.0)</f>
        <v>1</v>
      </c>
      <c r="P1046" s="46">
        <f>IFERROR(__xludf.DUMMYFUNCTION("""COMPUTED_VALUE"""),9610.0)</f>
        <v>9610</v>
      </c>
      <c r="Q1046" s="46">
        <f>IFERROR(__xludf.DUMMYFUNCTION("""COMPUTED_VALUE"""),1050180.8)</f>
        <v>1050180.8</v>
      </c>
      <c r="R1046" s="46">
        <f>IFERROR(__xludf.DUMMYFUNCTION("""COMPUTED_VALUE"""),344422.4)</f>
        <v>344422.4</v>
      </c>
      <c r="S1046" s="46">
        <f>IFERROR(__xludf.DUMMYFUNCTION("""COMPUTED_VALUE"""),705758.4)</f>
        <v>705758.4</v>
      </c>
    </row>
    <row r="1047">
      <c r="A1047" s="46" t="str">
        <f>IFERROR(__xludf.DUMMYFUNCTION("""COMPUTED_VALUE"""),"Cereal")</f>
        <v>Cereal</v>
      </c>
      <c r="B1047" s="46" t="str">
        <f>IFERROR(__xludf.DUMMYFUNCTION("""COMPUTED_VALUE"""),"Finland")</f>
        <v>Finland</v>
      </c>
      <c r="C1047" s="46" t="str">
        <f>IFERROR(__xludf.DUMMYFUNCTION("""COMPUTED_VALUE"""),"Europe")</f>
        <v>Europe</v>
      </c>
      <c r="D1047" s="90">
        <f>IFERROR(__xludf.DUMMYFUNCTION("""COMPUTED_VALUE"""),40725.0)</f>
        <v>40725</v>
      </c>
      <c r="E1047" s="46">
        <f>IFERROR(__xludf.DUMMYFUNCTION("""COMPUTED_VALUE"""),2011.0)</f>
        <v>2011</v>
      </c>
      <c r="F1047" s="46">
        <f>IFERROR(__xludf.DUMMYFUNCTION("""COMPUTED_VALUE"""),1.0)</f>
        <v>1</v>
      </c>
      <c r="G1047" s="46">
        <f>IFERROR(__xludf.DUMMYFUNCTION("""COMPUTED_VALUE"""),4016.0)</f>
        <v>4016</v>
      </c>
      <c r="H1047" s="46">
        <f>IFERROR(__xludf.DUMMYFUNCTION("""COMPUTED_VALUE"""),826091.2)</f>
        <v>826091.2</v>
      </c>
      <c r="I1047" s="46">
        <f>IFERROR(__xludf.DUMMYFUNCTION("""COMPUTED_VALUE"""),470313.76)</f>
        <v>470313.76</v>
      </c>
      <c r="J1047" s="46">
        <f>IFERROR(__xludf.DUMMYFUNCTION("""COMPUTED_VALUE"""),355777.43999999994)</f>
        <v>355777.44</v>
      </c>
      <c r="K1047" s="46" t="str">
        <f t="array" ref="K1047">TEXT(D1047, "mmmm")</f>
        <v>July</v>
      </c>
      <c r="M1047" s="46" t="str">
        <f>IFERROR(__xludf.DUMMYFUNCTION("""COMPUTED_VALUE"""),"San Marino")</f>
        <v>San Marino</v>
      </c>
      <c r="N1047" s="94">
        <f>IFERROR(__xludf.DUMMYFUNCTION("""COMPUTED_VALUE"""),42736.0)</f>
        <v>42736</v>
      </c>
      <c r="O1047" s="46">
        <f>IFERROR(__xludf.DUMMYFUNCTION("""COMPUTED_VALUE"""),1.0)</f>
        <v>1</v>
      </c>
      <c r="P1047" s="46">
        <f>IFERROR(__xludf.DUMMYFUNCTION("""COMPUTED_VALUE"""),2902.0)</f>
        <v>2902</v>
      </c>
      <c r="Q1047" s="46">
        <f>IFERROR(__xludf.DUMMYFUNCTION("""COMPUTED_VALUE"""),442787.16000000003)</f>
        <v>442787.16</v>
      </c>
      <c r="R1047" s="46">
        <f>IFERROR(__xludf.DUMMYFUNCTION("""COMPUTED_VALUE"""),282770.88)</f>
        <v>282770.88</v>
      </c>
      <c r="S1047" s="46">
        <f>IFERROR(__xludf.DUMMYFUNCTION("""COMPUTED_VALUE"""),160016.28000000003)</f>
        <v>160016.28</v>
      </c>
    </row>
    <row r="1048">
      <c r="A1048" s="46" t="str">
        <f>IFERROR(__xludf.DUMMYFUNCTION("""COMPUTED_VALUE"""),"Clothes")</f>
        <v>Clothes</v>
      </c>
      <c r="B1048" s="46" t="str">
        <f>IFERROR(__xludf.DUMMYFUNCTION("""COMPUTED_VALUE"""),"Russia")</f>
        <v>Russia</v>
      </c>
      <c r="C1048" s="46" t="str">
        <f>IFERROR(__xludf.DUMMYFUNCTION("""COMPUTED_VALUE"""),"Europe")</f>
        <v>Europe</v>
      </c>
      <c r="D1048" s="90">
        <f>IFERROR(__xludf.DUMMYFUNCTION("""COMPUTED_VALUE"""),40725.0)</f>
        <v>40725</v>
      </c>
      <c r="E1048" s="46">
        <f>IFERROR(__xludf.DUMMYFUNCTION("""COMPUTED_VALUE"""),2011.0)</f>
        <v>2011</v>
      </c>
      <c r="F1048" s="46">
        <f>IFERROR(__xludf.DUMMYFUNCTION("""COMPUTED_VALUE"""),1.0)</f>
        <v>1</v>
      </c>
      <c r="G1048" s="46">
        <f>IFERROR(__xludf.DUMMYFUNCTION("""COMPUTED_VALUE"""),3755.0)</f>
        <v>3755</v>
      </c>
      <c r="H1048" s="46">
        <f>IFERROR(__xludf.DUMMYFUNCTION("""COMPUTED_VALUE"""),410346.4)</f>
        <v>410346.4</v>
      </c>
      <c r="I1048" s="46">
        <f>IFERROR(__xludf.DUMMYFUNCTION("""COMPUTED_VALUE"""),134579.2)</f>
        <v>134579.2</v>
      </c>
      <c r="J1048" s="46">
        <f>IFERROR(__xludf.DUMMYFUNCTION("""COMPUTED_VALUE"""),275767.2)</f>
        <v>275767.2</v>
      </c>
      <c r="K1048" s="46" t="str">
        <f t="array" ref="K1048">TEXT(D1048, "mmmm")</f>
        <v>July</v>
      </c>
      <c r="M1048" s="46" t="str">
        <f>IFERROR(__xludf.DUMMYFUNCTION("""COMPUTED_VALUE"""),"Slovenia")</f>
        <v>Slovenia</v>
      </c>
      <c r="N1048" s="94">
        <f>IFERROR(__xludf.DUMMYFUNCTION("""COMPUTED_VALUE"""),42736.0)</f>
        <v>42736</v>
      </c>
      <c r="O1048" s="46">
        <f>IFERROR(__xludf.DUMMYFUNCTION("""COMPUTED_VALUE"""),1.0)</f>
        <v>1</v>
      </c>
      <c r="P1048" s="46">
        <f>IFERROR(__xludf.DUMMYFUNCTION("""COMPUTED_VALUE"""),9210.0)</f>
        <v>9210</v>
      </c>
      <c r="Q1048" s="46">
        <f>IFERROR(__xludf.DUMMYFUNCTION("""COMPUTED_VALUE"""),4026612.0)</f>
        <v>4026612</v>
      </c>
      <c r="R1048" s="46">
        <f>IFERROR(__xludf.DUMMYFUNCTION("""COMPUTED_VALUE"""),2425269.3)</f>
        <v>2425269.3</v>
      </c>
      <c r="S1048" s="46">
        <f>IFERROR(__xludf.DUMMYFUNCTION("""COMPUTED_VALUE"""),1601342.7000000002)</f>
        <v>1601342.7</v>
      </c>
    </row>
    <row r="1049">
      <c r="A1049" s="46" t="str">
        <f>IFERROR(__xludf.DUMMYFUNCTION("""COMPUTED_VALUE"""),"Cosmetics")</f>
        <v>Cosmetics</v>
      </c>
      <c r="B1049" s="46" t="str">
        <f>IFERROR(__xludf.DUMMYFUNCTION("""COMPUTED_VALUE"""),"Norway")</f>
        <v>Norway</v>
      </c>
      <c r="C1049" s="46" t="str">
        <f>IFERROR(__xludf.DUMMYFUNCTION("""COMPUTED_VALUE"""),"Europe")</f>
        <v>Europe</v>
      </c>
      <c r="D1049" s="90">
        <f>IFERROR(__xludf.DUMMYFUNCTION("""COMPUTED_VALUE"""),40725.0)</f>
        <v>40725</v>
      </c>
      <c r="E1049" s="46">
        <f>IFERROR(__xludf.DUMMYFUNCTION("""COMPUTED_VALUE"""),2011.0)</f>
        <v>2011</v>
      </c>
      <c r="F1049" s="46">
        <f>IFERROR(__xludf.DUMMYFUNCTION("""COMPUTED_VALUE"""),1.0)</f>
        <v>1</v>
      </c>
      <c r="G1049" s="46">
        <f>IFERROR(__xludf.DUMMYFUNCTION("""COMPUTED_VALUE"""),2260.0)</f>
        <v>2260</v>
      </c>
      <c r="H1049" s="46">
        <f>IFERROR(__xludf.DUMMYFUNCTION("""COMPUTED_VALUE"""),988072.0)</f>
        <v>988072</v>
      </c>
      <c r="I1049" s="46">
        <f>IFERROR(__xludf.DUMMYFUNCTION("""COMPUTED_VALUE"""),595125.7999999999)</f>
        <v>595125.8</v>
      </c>
      <c r="J1049" s="46">
        <f>IFERROR(__xludf.DUMMYFUNCTION("""COMPUTED_VALUE"""),392946.20000000007)</f>
        <v>392946.2</v>
      </c>
      <c r="K1049" s="46" t="str">
        <f t="array" ref="K1049">TEXT(D1049, "mmmm")</f>
        <v>July</v>
      </c>
      <c r="M1049" s="46" t="str">
        <f>IFERROR(__xludf.DUMMYFUNCTION("""COMPUTED_VALUE"""),"Spain")</f>
        <v>Spain</v>
      </c>
      <c r="N1049" s="94">
        <f>IFERROR(__xludf.DUMMYFUNCTION("""COMPUTED_VALUE"""),42736.0)</f>
        <v>42736</v>
      </c>
      <c r="O1049" s="46">
        <f>IFERROR(__xludf.DUMMYFUNCTION("""COMPUTED_VALUE"""),1.0)</f>
        <v>1</v>
      </c>
      <c r="P1049" s="46">
        <f>IFERROR(__xludf.DUMMYFUNCTION("""COMPUTED_VALUE"""),2394.0)</f>
        <v>2394</v>
      </c>
      <c r="Q1049" s="46">
        <f>IFERROR(__xludf.DUMMYFUNCTION("""COMPUTED_VALUE"""),1046656.7999999999)</f>
        <v>1046656.8</v>
      </c>
      <c r="R1049" s="46">
        <f>IFERROR(__xludf.DUMMYFUNCTION("""COMPUTED_VALUE"""),630412.02)</f>
        <v>630412.02</v>
      </c>
      <c r="S1049" s="46">
        <f>IFERROR(__xludf.DUMMYFUNCTION("""COMPUTED_VALUE"""),416244.7799999999)</f>
        <v>416244.78</v>
      </c>
    </row>
    <row r="1050">
      <c r="A1050" s="46" t="str">
        <f>IFERROR(__xludf.DUMMYFUNCTION("""COMPUTED_VALUE"""),"Meat")</f>
        <v>Meat</v>
      </c>
      <c r="B1050" s="46" t="str">
        <f>IFERROR(__xludf.DUMMYFUNCTION("""COMPUTED_VALUE"""),"France")</f>
        <v>France</v>
      </c>
      <c r="C1050" s="46" t="str">
        <f>IFERROR(__xludf.DUMMYFUNCTION("""COMPUTED_VALUE"""),"Europe")</f>
        <v>Europe</v>
      </c>
      <c r="D1050" s="90">
        <f>IFERROR(__xludf.DUMMYFUNCTION("""COMPUTED_VALUE"""),40725.0)</f>
        <v>40725</v>
      </c>
      <c r="E1050" s="46">
        <f>IFERROR(__xludf.DUMMYFUNCTION("""COMPUTED_VALUE"""),2011.0)</f>
        <v>2011</v>
      </c>
      <c r="F1050" s="46">
        <f>IFERROR(__xludf.DUMMYFUNCTION("""COMPUTED_VALUE"""),1.0)</f>
        <v>1</v>
      </c>
      <c r="G1050" s="46">
        <f>IFERROR(__xludf.DUMMYFUNCTION("""COMPUTED_VALUE"""),167.0)</f>
        <v>167</v>
      </c>
      <c r="H1050" s="46">
        <f>IFERROR(__xludf.DUMMYFUNCTION("""COMPUTED_VALUE"""),70455.63)</f>
        <v>70455.63</v>
      </c>
      <c r="I1050" s="46">
        <f>IFERROR(__xludf.DUMMYFUNCTION("""COMPUTED_VALUE"""),60903.23)</f>
        <v>60903.23</v>
      </c>
      <c r="J1050" s="46">
        <f>IFERROR(__xludf.DUMMYFUNCTION("""COMPUTED_VALUE"""),9552.400000000001)</f>
        <v>9552.4</v>
      </c>
      <c r="K1050" s="46" t="str">
        <f t="array" ref="K1050">TEXT(D1050, "mmmm")</f>
        <v>July</v>
      </c>
      <c r="M1050" s="46" t="str">
        <f>IFERROR(__xludf.DUMMYFUNCTION("""COMPUTED_VALUE"""),"Sweden")</f>
        <v>Sweden</v>
      </c>
      <c r="N1050" s="94">
        <f>IFERROR(__xludf.DUMMYFUNCTION("""COMPUTED_VALUE"""),42736.0)</f>
        <v>42736</v>
      </c>
      <c r="O1050" s="46">
        <f>IFERROR(__xludf.DUMMYFUNCTION("""COMPUTED_VALUE"""),1.0)</f>
        <v>1</v>
      </c>
      <c r="P1050" s="46">
        <f>IFERROR(__xludf.DUMMYFUNCTION("""COMPUTED_VALUE"""),4734.0)</f>
        <v>4734</v>
      </c>
      <c r="Q1050" s="46">
        <f>IFERROR(__xludf.DUMMYFUNCTION("""COMPUTED_VALUE"""),44168.22)</f>
        <v>44168.22</v>
      </c>
      <c r="R1050" s="46">
        <f>IFERROR(__xludf.DUMMYFUNCTION("""COMPUTED_VALUE"""),32759.28)</f>
        <v>32759.28</v>
      </c>
      <c r="S1050" s="46">
        <f>IFERROR(__xludf.DUMMYFUNCTION("""COMPUTED_VALUE"""),11408.940000000002)</f>
        <v>11408.94</v>
      </c>
    </row>
    <row r="1051">
      <c r="A1051" s="46" t="str">
        <f>IFERROR(__xludf.DUMMYFUNCTION("""COMPUTED_VALUE"""),"Meat")</f>
        <v>Meat</v>
      </c>
      <c r="B1051" s="46" t="str">
        <f>IFERROR(__xludf.DUMMYFUNCTION("""COMPUTED_VALUE"""),"Latvia")</f>
        <v>Latvia</v>
      </c>
      <c r="C1051" s="46" t="str">
        <f>IFERROR(__xludf.DUMMYFUNCTION("""COMPUTED_VALUE"""),"Europe")</f>
        <v>Europe</v>
      </c>
      <c r="D1051" s="90">
        <f>IFERROR(__xludf.DUMMYFUNCTION("""COMPUTED_VALUE"""),40725.0)</f>
        <v>40725</v>
      </c>
      <c r="E1051" s="46">
        <f>IFERROR(__xludf.DUMMYFUNCTION("""COMPUTED_VALUE"""),2011.0)</f>
        <v>2011</v>
      </c>
      <c r="F1051" s="46">
        <f>IFERROR(__xludf.DUMMYFUNCTION("""COMPUTED_VALUE"""),1.0)</f>
        <v>1</v>
      </c>
      <c r="G1051" s="46">
        <f>IFERROR(__xludf.DUMMYFUNCTION("""COMPUTED_VALUE"""),4157.0)</f>
        <v>4157</v>
      </c>
      <c r="H1051" s="46">
        <f>IFERROR(__xludf.DUMMYFUNCTION("""COMPUTED_VALUE"""),1753796.73)</f>
        <v>1753796.73</v>
      </c>
      <c r="I1051" s="46">
        <f>IFERROR(__xludf.DUMMYFUNCTION("""COMPUTED_VALUE"""),1516016.33)</f>
        <v>1516016.33</v>
      </c>
      <c r="J1051" s="46">
        <f>IFERROR(__xludf.DUMMYFUNCTION("""COMPUTED_VALUE"""),237780.3999999999)</f>
        <v>237780.4</v>
      </c>
      <c r="K1051" s="46" t="str">
        <f t="array" ref="K1051">TEXT(D1051, "mmmm")</f>
        <v>July</v>
      </c>
      <c r="M1051" s="46" t="str">
        <f>IFERROR(__xludf.DUMMYFUNCTION("""COMPUTED_VALUE"""),"Armenia")</f>
        <v>Armenia</v>
      </c>
      <c r="N1051" s="94">
        <f>IFERROR(__xludf.DUMMYFUNCTION("""COMPUTED_VALUE"""),42767.0)</f>
        <v>42767</v>
      </c>
      <c r="O1051" s="46">
        <f>IFERROR(__xludf.DUMMYFUNCTION("""COMPUTED_VALUE"""),1.0)</f>
        <v>1</v>
      </c>
      <c r="P1051" s="46">
        <f>IFERROR(__xludf.DUMMYFUNCTION("""COMPUTED_VALUE"""),5436.0)</f>
        <v>5436</v>
      </c>
      <c r="Q1051" s="46">
        <f>IFERROR(__xludf.DUMMYFUNCTION("""COMPUTED_VALUE"""),594046.08)</f>
        <v>594046.08</v>
      </c>
      <c r="R1051" s="46">
        <f>IFERROR(__xludf.DUMMYFUNCTION("""COMPUTED_VALUE"""),194826.24000000002)</f>
        <v>194826.24</v>
      </c>
      <c r="S1051" s="46">
        <f>IFERROR(__xludf.DUMMYFUNCTION("""COMPUTED_VALUE"""),399219.83999999997)</f>
        <v>399219.84</v>
      </c>
    </row>
    <row r="1052">
      <c r="A1052" s="46" t="str">
        <f>IFERROR(__xludf.DUMMYFUNCTION("""COMPUTED_VALUE"""),"Office Supplies")</f>
        <v>Office Supplies</v>
      </c>
      <c r="B1052" s="46" t="str">
        <f>IFERROR(__xludf.DUMMYFUNCTION("""COMPUTED_VALUE"""),"France")</f>
        <v>France</v>
      </c>
      <c r="C1052" s="46" t="str">
        <f>IFERROR(__xludf.DUMMYFUNCTION("""COMPUTED_VALUE"""),"Europe")</f>
        <v>Europe</v>
      </c>
      <c r="D1052" s="90">
        <f>IFERROR(__xludf.DUMMYFUNCTION("""COMPUTED_VALUE"""),40725.0)</f>
        <v>40725</v>
      </c>
      <c r="E1052" s="46">
        <f>IFERROR(__xludf.DUMMYFUNCTION("""COMPUTED_VALUE"""),2011.0)</f>
        <v>2011</v>
      </c>
      <c r="F1052" s="46">
        <f>IFERROR(__xludf.DUMMYFUNCTION("""COMPUTED_VALUE"""),1.0)</f>
        <v>1</v>
      </c>
      <c r="G1052" s="46">
        <f>IFERROR(__xludf.DUMMYFUNCTION("""COMPUTED_VALUE"""),4341.0)</f>
        <v>4341</v>
      </c>
      <c r="H1052" s="46">
        <f>IFERROR(__xludf.DUMMYFUNCTION("""COMPUTED_VALUE"""),2826902.6100000003)</f>
        <v>2826902.61</v>
      </c>
      <c r="I1052" s="46">
        <f>IFERROR(__xludf.DUMMYFUNCTION("""COMPUTED_VALUE"""),2278851.3600000003)</f>
        <v>2278851.36</v>
      </c>
      <c r="J1052" s="46">
        <f>IFERROR(__xludf.DUMMYFUNCTION("""COMPUTED_VALUE"""),548051.25)</f>
        <v>548051.25</v>
      </c>
      <c r="K1052" s="46" t="str">
        <f t="array" ref="K1052">TEXT(D1052, "mmmm")</f>
        <v>July</v>
      </c>
      <c r="M1052" s="46" t="str">
        <f>IFERROR(__xludf.DUMMYFUNCTION("""COMPUTED_VALUE"""),"Austria")</f>
        <v>Austria</v>
      </c>
      <c r="N1052" s="94">
        <f>IFERROR(__xludf.DUMMYFUNCTION("""COMPUTED_VALUE"""),42767.0)</f>
        <v>42767</v>
      </c>
      <c r="O1052" s="46">
        <f>IFERROR(__xludf.DUMMYFUNCTION("""COMPUTED_VALUE"""),1.0)</f>
        <v>1</v>
      </c>
      <c r="P1052" s="46">
        <f>IFERROR(__xludf.DUMMYFUNCTION("""COMPUTED_VALUE"""),1913.0)</f>
        <v>1913</v>
      </c>
      <c r="Q1052" s="46">
        <f>IFERROR(__xludf.DUMMYFUNCTION("""COMPUTED_VALUE"""),1245764.73)</f>
        <v>1245764.73</v>
      </c>
      <c r="R1052" s="46">
        <f>IFERROR(__xludf.DUMMYFUNCTION("""COMPUTED_VALUE"""),1004248.4800000001)</f>
        <v>1004248.48</v>
      </c>
      <c r="S1052" s="46">
        <f>IFERROR(__xludf.DUMMYFUNCTION("""COMPUTED_VALUE"""),241516.24999999988)</f>
        <v>241516.25</v>
      </c>
    </row>
    <row r="1053">
      <c r="A1053" s="46" t="str">
        <f>IFERROR(__xludf.DUMMYFUNCTION("""COMPUTED_VALUE"""),"Office Supplies")</f>
        <v>Office Supplies</v>
      </c>
      <c r="B1053" s="46" t="str">
        <f>IFERROR(__xludf.DUMMYFUNCTION("""COMPUTED_VALUE"""),"Italy")</f>
        <v>Italy</v>
      </c>
      <c r="C1053" s="46" t="str">
        <f>IFERROR(__xludf.DUMMYFUNCTION("""COMPUTED_VALUE"""),"Europe")</f>
        <v>Europe</v>
      </c>
      <c r="D1053" s="90">
        <f>IFERROR(__xludf.DUMMYFUNCTION("""COMPUTED_VALUE"""),40725.0)</f>
        <v>40725</v>
      </c>
      <c r="E1053" s="46">
        <f>IFERROR(__xludf.DUMMYFUNCTION("""COMPUTED_VALUE"""),2011.0)</f>
        <v>2011</v>
      </c>
      <c r="F1053" s="46">
        <f>IFERROR(__xludf.DUMMYFUNCTION("""COMPUTED_VALUE"""),1.0)</f>
        <v>1</v>
      </c>
      <c r="G1053" s="46">
        <f>IFERROR(__xludf.DUMMYFUNCTION("""COMPUTED_VALUE"""),9453.0)</f>
        <v>9453</v>
      </c>
      <c r="H1053" s="46">
        <f>IFERROR(__xludf.DUMMYFUNCTION("""COMPUTED_VALUE"""),6155888.13)</f>
        <v>6155888.13</v>
      </c>
      <c r="I1053" s="46">
        <f>IFERROR(__xludf.DUMMYFUNCTION("""COMPUTED_VALUE"""),4962446.88)</f>
        <v>4962446.88</v>
      </c>
      <c r="J1053" s="46">
        <f>IFERROR(__xludf.DUMMYFUNCTION("""COMPUTED_VALUE"""),1193441.25)</f>
        <v>1193441.25</v>
      </c>
      <c r="K1053" s="46" t="str">
        <f t="array" ref="K1053">TEXT(D1053, "mmmm")</f>
        <v>July</v>
      </c>
      <c r="M1053" s="46" t="str">
        <f>IFERROR(__xludf.DUMMYFUNCTION("""COMPUTED_VALUE"""),"Croatia")</f>
        <v>Croatia</v>
      </c>
      <c r="N1053" s="94">
        <f>IFERROR(__xludf.DUMMYFUNCTION("""COMPUTED_VALUE"""),42767.0)</f>
        <v>42767</v>
      </c>
      <c r="O1053" s="46">
        <f>IFERROR(__xludf.DUMMYFUNCTION("""COMPUTED_VALUE"""),1.0)</f>
        <v>1</v>
      </c>
      <c r="P1053" s="46">
        <f>IFERROR(__xludf.DUMMYFUNCTION("""COMPUTED_VALUE"""),4674.0)</f>
        <v>4674</v>
      </c>
      <c r="Q1053" s="46">
        <f>IFERROR(__xludf.DUMMYFUNCTION("""COMPUTED_VALUE"""),221781.30000000002)</f>
        <v>221781.3</v>
      </c>
      <c r="R1053" s="46">
        <f>IFERROR(__xludf.DUMMYFUNCTION("""COMPUTED_VALUE"""),148586.46)</f>
        <v>148586.46</v>
      </c>
      <c r="S1053" s="46">
        <f>IFERROR(__xludf.DUMMYFUNCTION("""COMPUTED_VALUE"""),73194.84000000003)</f>
        <v>73194.84</v>
      </c>
    </row>
    <row r="1054">
      <c r="A1054" s="46" t="str">
        <f>IFERROR(__xludf.DUMMYFUNCTION("""COMPUTED_VALUE"""),"Office Supplies")</f>
        <v>Office Supplies</v>
      </c>
      <c r="B1054" s="46" t="str">
        <f>IFERROR(__xludf.DUMMYFUNCTION("""COMPUTED_VALUE"""),"Netherlands")</f>
        <v>Netherlands</v>
      </c>
      <c r="C1054" s="46" t="str">
        <f>IFERROR(__xludf.DUMMYFUNCTION("""COMPUTED_VALUE"""),"Europe")</f>
        <v>Europe</v>
      </c>
      <c r="D1054" s="90">
        <f>IFERROR(__xludf.DUMMYFUNCTION("""COMPUTED_VALUE"""),40725.0)</f>
        <v>40725</v>
      </c>
      <c r="E1054" s="46">
        <f>IFERROR(__xludf.DUMMYFUNCTION("""COMPUTED_VALUE"""),2011.0)</f>
        <v>2011</v>
      </c>
      <c r="F1054" s="46">
        <f>IFERROR(__xludf.DUMMYFUNCTION("""COMPUTED_VALUE"""),1.0)</f>
        <v>1</v>
      </c>
      <c r="G1054" s="46">
        <f>IFERROR(__xludf.DUMMYFUNCTION("""COMPUTED_VALUE"""),9691.0)</f>
        <v>9691</v>
      </c>
      <c r="H1054" s="46">
        <f>IFERROR(__xludf.DUMMYFUNCTION("""COMPUTED_VALUE"""),6310876.11)</f>
        <v>6310876.11</v>
      </c>
      <c r="I1054" s="46">
        <f>IFERROR(__xludf.DUMMYFUNCTION("""COMPUTED_VALUE"""),5087387.36)</f>
        <v>5087387.36</v>
      </c>
      <c r="J1054" s="46">
        <f>IFERROR(__xludf.DUMMYFUNCTION("""COMPUTED_VALUE"""),1223488.75)</f>
        <v>1223488.75</v>
      </c>
      <c r="K1054" s="46" t="str">
        <f t="array" ref="K1054">TEXT(D1054, "mmmm")</f>
        <v>July</v>
      </c>
      <c r="M1054" s="46" t="str">
        <f>IFERROR(__xludf.DUMMYFUNCTION("""COMPUTED_VALUE"""),"Estonia")</f>
        <v>Estonia</v>
      </c>
      <c r="N1054" s="94">
        <f>IFERROR(__xludf.DUMMYFUNCTION("""COMPUTED_VALUE"""),42767.0)</f>
        <v>42767</v>
      </c>
      <c r="O1054" s="46">
        <f>IFERROR(__xludf.DUMMYFUNCTION("""COMPUTED_VALUE"""),1.0)</f>
        <v>1</v>
      </c>
      <c r="P1054" s="46">
        <f>IFERROR(__xludf.DUMMYFUNCTION("""COMPUTED_VALUE"""),8412.0)</f>
        <v>8412</v>
      </c>
      <c r="Q1054" s="46">
        <f>IFERROR(__xludf.DUMMYFUNCTION("""COMPUTED_VALUE"""),399149.4)</f>
        <v>399149.4</v>
      </c>
      <c r="R1054" s="46">
        <f>IFERROR(__xludf.DUMMYFUNCTION("""COMPUTED_VALUE"""),267417.48)</f>
        <v>267417.48</v>
      </c>
      <c r="S1054" s="46">
        <f>IFERROR(__xludf.DUMMYFUNCTION("""COMPUTED_VALUE"""),131731.92000000004)</f>
        <v>131731.92</v>
      </c>
    </row>
    <row r="1055">
      <c r="A1055" s="46" t="str">
        <f>IFERROR(__xludf.DUMMYFUNCTION("""COMPUTED_VALUE"""),"Snacks")</f>
        <v>Snacks</v>
      </c>
      <c r="B1055" s="46" t="str">
        <f>IFERROR(__xludf.DUMMYFUNCTION("""COMPUTED_VALUE"""),"Bosnia and Herzegovina")</f>
        <v>Bosnia and Herzegovina</v>
      </c>
      <c r="C1055" s="46" t="str">
        <f>IFERROR(__xludf.DUMMYFUNCTION("""COMPUTED_VALUE"""),"Europe")</f>
        <v>Europe</v>
      </c>
      <c r="D1055" s="90">
        <f>IFERROR(__xludf.DUMMYFUNCTION("""COMPUTED_VALUE"""),40725.0)</f>
        <v>40725</v>
      </c>
      <c r="E1055" s="46">
        <f>IFERROR(__xludf.DUMMYFUNCTION("""COMPUTED_VALUE"""),2011.0)</f>
        <v>2011</v>
      </c>
      <c r="F1055" s="46">
        <f>IFERROR(__xludf.DUMMYFUNCTION("""COMPUTED_VALUE"""),1.0)</f>
        <v>1</v>
      </c>
      <c r="G1055" s="46">
        <f>IFERROR(__xludf.DUMMYFUNCTION("""COMPUTED_VALUE"""),785.0)</f>
        <v>785</v>
      </c>
      <c r="H1055" s="46">
        <f>IFERROR(__xludf.DUMMYFUNCTION("""COMPUTED_VALUE"""),119775.3)</f>
        <v>119775.3</v>
      </c>
      <c r="I1055" s="46">
        <f>IFERROR(__xludf.DUMMYFUNCTION("""COMPUTED_VALUE"""),76490.4)</f>
        <v>76490.4</v>
      </c>
      <c r="J1055" s="46">
        <f>IFERROR(__xludf.DUMMYFUNCTION("""COMPUTED_VALUE"""),43284.90000000001)</f>
        <v>43284.9</v>
      </c>
      <c r="K1055" s="46" t="str">
        <f t="array" ref="K1055">TEXT(D1055, "mmmm")</f>
        <v>July</v>
      </c>
      <c r="M1055" s="46" t="str">
        <f>IFERROR(__xludf.DUMMYFUNCTION("""COMPUTED_VALUE"""),"Georgia")</f>
        <v>Georgia</v>
      </c>
      <c r="N1055" s="94">
        <f>IFERROR(__xludf.DUMMYFUNCTION("""COMPUTED_VALUE"""),42767.0)</f>
        <v>42767</v>
      </c>
      <c r="O1055" s="46">
        <f>IFERROR(__xludf.DUMMYFUNCTION("""COMPUTED_VALUE"""),1.0)</f>
        <v>1</v>
      </c>
      <c r="P1055" s="46">
        <f>IFERROR(__xludf.DUMMYFUNCTION("""COMPUTED_VALUE"""),1162.0)</f>
        <v>1162</v>
      </c>
      <c r="Q1055" s="46">
        <f>IFERROR(__xludf.DUMMYFUNCTION("""COMPUTED_VALUE"""),490236.18)</f>
        <v>490236.18</v>
      </c>
      <c r="R1055" s="46">
        <f>IFERROR(__xludf.DUMMYFUNCTION("""COMPUTED_VALUE"""),423769.77999999997)</f>
        <v>423769.78</v>
      </c>
      <c r="S1055" s="46">
        <f>IFERROR(__xludf.DUMMYFUNCTION("""COMPUTED_VALUE"""),66466.40000000002)</f>
        <v>66466.4</v>
      </c>
    </row>
    <row r="1056">
      <c r="A1056" s="46" t="str">
        <f>IFERROR(__xludf.DUMMYFUNCTION("""COMPUTED_VALUE"""),"Snacks")</f>
        <v>Snacks</v>
      </c>
      <c r="B1056" s="46" t="str">
        <f>IFERROR(__xludf.DUMMYFUNCTION("""COMPUTED_VALUE"""),"Czech Republic")</f>
        <v>Czech Republic</v>
      </c>
      <c r="C1056" s="46" t="str">
        <f>IFERROR(__xludf.DUMMYFUNCTION("""COMPUTED_VALUE"""),"Europe")</f>
        <v>Europe</v>
      </c>
      <c r="D1056" s="90">
        <f>IFERROR(__xludf.DUMMYFUNCTION("""COMPUTED_VALUE"""),40725.0)</f>
        <v>40725</v>
      </c>
      <c r="E1056" s="46">
        <f>IFERROR(__xludf.DUMMYFUNCTION("""COMPUTED_VALUE"""),2011.0)</f>
        <v>2011</v>
      </c>
      <c r="F1056" s="46">
        <f>IFERROR(__xludf.DUMMYFUNCTION("""COMPUTED_VALUE"""),1.0)</f>
        <v>1</v>
      </c>
      <c r="G1056" s="46">
        <f>IFERROR(__xludf.DUMMYFUNCTION("""COMPUTED_VALUE"""),4789.0)</f>
        <v>4789</v>
      </c>
      <c r="H1056" s="46">
        <f>IFERROR(__xludf.DUMMYFUNCTION("""COMPUTED_VALUE"""),730705.6200000001)</f>
        <v>730705.62</v>
      </c>
      <c r="I1056" s="46">
        <f>IFERROR(__xludf.DUMMYFUNCTION("""COMPUTED_VALUE"""),466640.16)</f>
        <v>466640.16</v>
      </c>
      <c r="J1056" s="46">
        <f>IFERROR(__xludf.DUMMYFUNCTION("""COMPUTED_VALUE"""),264065.46000000014)</f>
        <v>264065.46</v>
      </c>
      <c r="K1056" s="46" t="str">
        <f t="array" ref="K1056">TEXT(D1056, "mmmm")</f>
        <v>July</v>
      </c>
      <c r="M1056" s="46" t="str">
        <f>IFERROR(__xludf.DUMMYFUNCTION("""COMPUTED_VALUE"""),"Hungary")</f>
        <v>Hungary</v>
      </c>
      <c r="N1056" s="94">
        <f>IFERROR(__xludf.DUMMYFUNCTION("""COMPUTED_VALUE"""),42767.0)</f>
        <v>42767</v>
      </c>
      <c r="O1056" s="46">
        <f>IFERROR(__xludf.DUMMYFUNCTION("""COMPUTED_VALUE"""),1.0)</f>
        <v>1</v>
      </c>
      <c r="P1056" s="46">
        <f>IFERROR(__xludf.DUMMYFUNCTION("""COMPUTED_VALUE"""),3126.0)</f>
        <v>3126</v>
      </c>
      <c r="Q1056" s="46">
        <f>IFERROR(__xludf.DUMMYFUNCTION("""COMPUTED_VALUE"""),476965.08)</f>
        <v>476965.08</v>
      </c>
      <c r="R1056" s="46">
        <f>IFERROR(__xludf.DUMMYFUNCTION("""COMPUTED_VALUE"""),304597.44)</f>
        <v>304597.44</v>
      </c>
      <c r="S1056" s="46">
        <f>IFERROR(__xludf.DUMMYFUNCTION("""COMPUTED_VALUE"""),172367.64)</f>
        <v>172367.64</v>
      </c>
    </row>
    <row r="1057">
      <c r="A1057" s="46" t="str">
        <f>IFERROR(__xludf.DUMMYFUNCTION("""COMPUTED_VALUE"""),"Snacks")</f>
        <v>Snacks</v>
      </c>
      <c r="B1057" s="46" t="str">
        <f>IFERROR(__xludf.DUMMYFUNCTION("""COMPUTED_VALUE"""),"Norway")</f>
        <v>Norway</v>
      </c>
      <c r="C1057" s="46" t="str">
        <f>IFERROR(__xludf.DUMMYFUNCTION("""COMPUTED_VALUE"""),"Europe")</f>
        <v>Europe</v>
      </c>
      <c r="D1057" s="90">
        <f>IFERROR(__xludf.DUMMYFUNCTION("""COMPUTED_VALUE"""),40725.0)</f>
        <v>40725</v>
      </c>
      <c r="E1057" s="46">
        <f>IFERROR(__xludf.DUMMYFUNCTION("""COMPUTED_VALUE"""),2011.0)</f>
        <v>2011</v>
      </c>
      <c r="F1057" s="46">
        <f>IFERROR(__xludf.DUMMYFUNCTION("""COMPUTED_VALUE"""),1.0)</f>
        <v>1</v>
      </c>
      <c r="G1057" s="46">
        <f>IFERROR(__xludf.DUMMYFUNCTION("""COMPUTED_VALUE"""),8738.0)</f>
        <v>8738</v>
      </c>
      <c r="H1057" s="46">
        <f>IFERROR(__xludf.DUMMYFUNCTION("""COMPUTED_VALUE"""),1333244.04)</f>
        <v>1333244.04</v>
      </c>
      <c r="I1057" s="46">
        <f>IFERROR(__xludf.DUMMYFUNCTION("""COMPUTED_VALUE"""),851430.72)</f>
        <v>851430.72</v>
      </c>
      <c r="J1057" s="46">
        <f>IFERROR(__xludf.DUMMYFUNCTION("""COMPUTED_VALUE"""),481813.32000000007)</f>
        <v>481813.32</v>
      </c>
      <c r="K1057" s="46" t="str">
        <f t="array" ref="K1057">TEXT(D1057, "mmmm")</f>
        <v>July</v>
      </c>
      <c r="M1057" s="46" t="str">
        <f>IFERROR(__xludf.DUMMYFUNCTION("""COMPUTED_VALUE"""),"Iceland")</f>
        <v>Iceland</v>
      </c>
      <c r="N1057" s="94">
        <f>IFERROR(__xludf.DUMMYFUNCTION("""COMPUTED_VALUE"""),42767.0)</f>
        <v>42767</v>
      </c>
      <c r="O1057" s="46">
        <f>IFERROR(__xludf.DUMMYFUNCTION("""COMPUTED_VALUE"""),1.0)</f>
        <v>1</v>
      </c>
      <c r="P1057" s="46">
        <f>IFERROR(__xludf.DUMMYFUNCTION("""COMPUTED_VALUE"""),9350.0)</f>
        <v>9350</v>
      </c>
      <c r="Q1057" s="46">
        <f>IFERROR(__xludf.DUMMYFUNCTION("""COMPUTED_VALUE"""),443657.5)</f>
        <v>443657.5</v>
      </c>
      <c r="R1057" s="46">
        <f>IFERROR(__xludf.DUMMYFUNCTION("""COMPUTED_VALUE"""),297236.5)</f>
        <v>297236.5</v>
      </c>
      <c r="S1057" s="46">
        <f>IFERROR(__xludf.DUMMYFUNCTION("""COMPUTED_VALUE"""),146421.0)</f>
        <v>146421</v>
      </c>
    </row>
    <row r="1058">
      <c r="A1058" s="46" t="str">
        <f>IFERROR(__xludf.DUMMYFUNCTION("""COMPUTED_VALUE"""),"Snacks")</f>
        <v>Snacks</v>
      </c>
      <c r="B1058" s="46" t="str">
        <f>IFERROR(__xludf.DUMMYFUNCTION("""COMPUTED_VALUE"""),"Undefined")</f>
        <v>Undefined</v>
      </c>
      <c r="C1058" s="46" t="str">
        <f>IFERROR(__xludf.DUMMYFUNCTION("""COMPUTED_VALUE"""),"Undefined")</f>
        <v>Undefined</v>
      </c>
      <c r="D1058" s="90">
        <f>IFERROR(__xludf.DUMMYFUNCTION("""COMPUTED_VALUE"""),40725.0)</f>
        <v>40725</v>
      </c>
      <c r="E1058" s="46">
        <f>IFERROR(__xludf.DUMMYFUNCTION("""COMPUTED_VALUE"""),2011.0)</f>
        <v>2011</v>
      </c>
      <c r="F1058" s="46">
        <f>IFERROR(__xludf.DUMMYFUNCTION("""COMPUTED_VALUE"""),1.0)</f>
        <v>1</v>
      </c>
      <c r="G1058" s="46">
        <f>IFERROR(__xludf.DUMMYFUNCTION("""COMPUTED_VALUE"""),4061.0)</f>
        <v>4061</v>
      </c>
      <c r="H1058" s="46">
        <f>IFERROR(__xludf.DUMMYFUNCTION("""COMPUTED_VALUE"""),619627.38)</f>
        <v>619627.38</v>
      </c>
      <c r="I1058" s="46">
        <f>IFERROR(__xludf.DUMMYFUNCTION("""COMPUTED_VALUE"""),395703.83999999997)</f>
        <v>395703.84</v>
      </c>
      <c r="J1058" s="46">
        <f>IFERROR(__xludf.DUMMYFUNCTION("""COMPUTED_VALUE"""),223923.54000000004)</f>
        <v>223923.54</v>
      </c>
      <c r="K1058" s="46" t="str">
        <f t="array" ref="K1058">TEXT(D1058, "mmmm")</f>
        <v>July</v>
      </c>
      <c r="M1058" s="46" t="str">
        <f>IFERROR(__xludf.DUMMYFUNCTION("""COMPUTED_VALUE"""),"Ireland")</f>
        <v>Ireland</v>
      </c>
      <c r="N1058" s="94">
        <f>IFERROR(__xludf.DUMMYFUNCTION("""COMPUTED_VALUE"""),42767.0)</f>
        <v>42767</v>
      </c>
      <c r="O1058" s="46">
        <f>IFERROR(__xludf.DUMMYFUNCTION("""COMPUTED_VALUE"""),1.0)</f>
        <v>1</v>
      </c>
      <c r="P1058" s="46">
        <f>IFERROR(__xludf.DUMMYFUNCTION("""COMPUTED_VALUE"""),3331.0)</f>
        <v>3331</v>
      </c>
      <c r="Q1058" s="46">
        <f>IFERROR(__xludf.DUMMYFUNCTION("""COMPUTED_VALUE"""),272242.63)</f>
        <v>272242.63</v>
      </c>
      <c r="R1058" s="46">
        <f>IFERROR(__xludf.DUMMYFUNCTION("""COMPUTED_VALUE"""),188767.77000000002)</f>
        <v>188767.77</v>
      </c>
      <c r="S1058" s="46">
        <f>IFERROR(__xludf.DUMMYFUNCTION("""COMPUTED_VALUE"""),83474.85999999999)</f>
        <v>83474.86</v>
      </c>
    </row>
    <row r="1059">
      <c r="A1059" s="46" t="str">
        <f>IFERROR(__xludf.DUMMYFUNCTION("""COMPUTED_VALUE"""),"Vegetables")</f>
        <v>Vegetables</v>
      </c>
      <c r="B1059" s="46" t="str">
        <f>IFERROR(__xludf.DUMMYFUNCTION("""COMPUTED_VALUE"""),"Italy")</f>
        <v>Italy</v>
      </c>
      <c r="C1059" s="46" t="str">
        <f>IFERROR(__xludf.DUMMYFUNCTION("""COMPUTED_VALUE"""),"Europe")</f>
        <v>Europe</v>
      </c>
      <c r="D1059" s="90">
        <f>IFERROR(__xludf.DUMMYFUNCTION("""COMPUTED_VALUE"""),40725.0)</f>
        <v>40725</v>
      </c>
      <c r="E1059" s="46">
        <f>IFERROR(__xludf.DUMMYFUNCTION("""COMPUTED_VALUE"""),2011.0)</f>
        <v>2011</v>
      </c>
      <c r="F1059" s="46">
        <f>IFERROR(__xludf.DUMMYFUNCTION("""COMPUTED_VALUE"""),1.0)</f>
        <v>1</v>
      </c>
      <c r="G1059" s="46">
        <f>IFERROR(__xludf.DUMMYFUNCTION("""COMPUTED_VALUE"""),9212.0)</f>
        <v>9212</v>
      </c>
      <c r="H1059" s="46">
        <f>IFERROR(__xludf.DUMMYFUNCTION("""COMPUTED_VALUE"""),1419200.72)</f>
        <v>1419200.72</v>
      </c>
      <c r="I1059" s="46">
        <f>IFERROR(__xludf.DUMMYFUNCTION("""COMPUTED_VALUE"""),837647.16)</f>
        <v>837647.16</v>
      </c>
      <c r="J1059" s="46">
        <f>IFERROR(__xludf.DUMMYFUNCTION("""COMPUTED_VALUE"""),581553.5599999999)</f>
        <v>581553.56</v>
      </c>
      <c r="K1059" s="46" t="str">
        <f t="array" ref="K1059">TEXT(D1059, "mmmm")</f>
        <v>July</v>
      </c>
      <c r="M1059" s="46" t="str">
        <f>IFERROR(__xludf.DUMMYFUNCTION("""COMPUTED_VALUE"""),"Liechtenstein")</f>
        <v>Liechtenstein</v>
      </c>
      <c r="N1059" s="94">
        <f>IFERROR(__xludf.DUMMYFUNCTION("""COMPUTED_VALUE"""),42767.0)</f>
        <v>42767</v>
      </c>
      <c r="O1059" s="46">
        <f>IFERROR(__xludf.DUMMYFUNCTION("""COMPUTED_VALUE"""),1.0)</f>
        <v>1</v>
      </c>
      <c r="P1059" s="46">
        <f>IFERROR(__xludf.DUMMYFUNCTION("""COMPUTED_VALUE"""),5368.0)</f>
        <v>5368</v>
      </c>
      <c r="Q1059" s="46">
        <f>IFERROR(__xludf.DUMMYFUNCTION("""COMPUTED_VALUE"""),3587273.36)</f>
        <v>3587273.36</v>
      </c>
      <c r="R1059" s="46">
        <f>IFERROR(__xludf.DUMMYFUNCTION("""COMPUTED_VALUE"""),2697634.72)</f>
        <v>2697634.72</v>
      </c>
      <c r="S1059" s="46">
        <f>IFERROR(__xludf.DUMMYFUNCTION("""COMPUTED_VALUE"""),889638.6399999997)</f>
        <v>889638.64</v>
      </c>
    </row>
    <row r="1060">
      <c r="A1060" s="46" t="str">
        <f>IFERROR(__xludf.DUMMYFUNCTION("""COMPUTED_VALUE"""),"Beverages")</f>
        <v>Beverages</v>
      </c>
      <c r="B1060" s="46" t="str">
        <f>IFERROR(__xludf.DUMMYFUNCTION("""COMPUTED_VALUE"""),"Armenia")</f>
        <v>Armenia</v>
      </c>
      <c r="C1060" s="46" t="str">
        <f>IFERROR(__xludf.DUMMYFUNCTION("""COMPUTED_VALUE"""),"Asia")</f>
        <v>Asia</v>
      </c>
      <c r="D1060" s="90">
        <f>IFERROR(__xludf.DUMMYFUNCTION("""COMPUTED_VALUE"""),40695.0)</f>
        <v>40695</v>
      </c>
      <c r="E1060" s="46">
        <f>IFERROR(__xludf.DUMMYFUNCTION("""COMPUTED_VALUE"""),2011.0)</f>
        <v>2011</v>
      </c>
      <c r="F1060" s="46">
        <f>IFERROR(__xludf.DUMMYFUNCTION("""COMPUTED_VALUE"""),1.0)</f>
        <v>1</v>
      </c>
      <c r="G1060" s="46">
        <f>IFERROR(__xludf.DUMMYFUNCTION("""COMPUTED_VALUE"""),6612.0)</f>
        <v>6612</v>
      </c>
      <c r="H1060" s="46">
        <f>IFERROR(__xludf.DUMMYFUNCTION("""COMPUTED_VALUE"""),313739.4)</f>
        <v>313739.4</v>
      </c>
      <c r="I1060" s="46">
        <f>IFERROR(__xludf.DUMMYFUNCTION("""COMPUTED_VALUE"""),210195.47999999998)</f>
        <v>210195.48</v>
      </c>
      <c r="J1060" s="46">
        <f>IFERROR(__xludf.DUMMYFUNCTION("""COMPUTED_VALUE"""),103543.92000000004)</f>
        <v>103543.92</v>
      </c>
      <c r="K1060" s="46" t="str">
        <f t="array" ref="K1060">TEXT(D1060, "mmmm")</f>
        <v>June</v>
      </c>
      <c r="M1060" s="46" t="str">
        <f>IFERROR(__xludf.DUMMYFUNCTION("""COMPUTED_VALUE"""),"Macedonia")</f>
        <v>Macedonia</v>
      </c>
      <c r="N1060" s="94">
        <f>IFERROR(__xludf.DUMMYFUNCTION("""COMPUTED_VALUE"""),42767.0)</f>
        <v>42767</v>
      </c>
      <c r="O1060" s="46">
        <f>IFERROR(__xludf.DUMMYFUNCTION("""COMPUTED_VALUE"""),2.0)</f>
        <v>2</v>
      </c>
      <c r="P1060" s="46">
        <f>IFERROR(__xludf.DUMMYFUNCTION("""COMPUTED_VALUE"""),9095.0)</f>
        <v>9095</v>
      </c>
      <c r="Q1060" s="46">
        <f>IFERROR(__xludf.DUMMYFUNCTION("""COMPUTED_VALUE"""),4404749.07)</f>
        <v>4404749.07</v>
      </c>
      <c r="R1060" s="46">
        <f>IFERROR(__xludf.DUMMYFUNCTION("""COMPUTED_VALUE"""),3634461.95)</f>
        <v>3634461.95</v>
      </c>
      <c r="S1060" s="46">
        <f>IFERROR(__xludf.DUMMYFUNCTION("""COMPUTED_VALUE"""),770287.1199999996)</f>
        <v>770287.12</v>
      </c>
    </row>
    <row r="1061">
      <c r="A1061" s="46" t="str">
        <f>IFERROR(__xludf.DUMMYFUNCTION("""COMPUTED_VALUE"""),"Beverages")</f>
        <v>Beverages</v>
      </c>
      <c r="B1061" s="46" t="str">
        <f>IFERROR(__xludf.DUMMYFUNCTION("""COMPUTED_VALUE"""),"Ireland")</f>
        <v>Ireland</v>
      </c>
      <c r="C1061" s="46" t="str">
        <f>IFERROR(__xludf.DUMMYFUNCTION("""COMPUTED_VALUE"""),"Europe")</f>
        <v>Europe</v>
      </c>
      <c r="D1061" s="90">
        <f>IFERROR(__xludf.DUMMYFUNCTION("""COMPUTED_VALUE"""),40695.0)</f>
        <v>40695</v>
      </c>
      <c r="E1061" s="46">
        <f>IFERROR(__xludf.DUMMYFUNCTION("""COMPUTED_VALUE"""),2011.0)</f>
        <v>2011</v>
      </c>
      <c r="F1061" s="46">
        <f>IFERROR(__xludf.DUMMYFUNCTION("""COMPUTED_VALUE"""),1.0)</f>
        <v>1</v>
      </c>
      <c r="G1061" s="46">
        <f>IFERROR(__xludf.DUMMYFUNCTION("""COMPUTED_VALUE"""),2227.0)</f>
        <v>2227</v>
      </c>
      <c r="H1061" s="46">
        <f>IFERROR(__xludf.DUMMYFUNCTION("""COMPUTED_VALUE"""),105671.15000000001)</f>
        <v>105671.15</v>
      </c>
      <c r="I1061" s="46">
        <f>IFERROR(__xludf.DUMMYFUNCTION("""COMPUTED_VALUE"""),70796.33)</f>
        <v>70796.33</v>
      </c>
      <c r="J1061" s="46">
        <f>IFERROR(__xludf.DUMMYFUNCTION("""COMPUTED_VALUE"""),34874.82000000001)</f>
        <v>34874.82</v>
      </c>
      <c r="K1061" s="46" t="str">
        <f t="array" ref="K1061">TEXT(D1061, "mmmm")</f>
        <v>June</v>
      </c>
      <c r="M1061" s="46" t="str">
        <f>IFERROR(__xludf.DUMMYFUNCTION("""COMPUTED_VALUE"""),"Norway")</f>
        <v>Norway</v>
      </c>
      <c r="N1061" s="94">
        <f>IFERROR(__xludf.DUMMYFUNCTION("""COMPUTED_VALUE"""),42767.0)</f>
        <v>42767</v>
      </c>
      <c r="O1061" s="46">
        <f>IFERROR(__xludf.DUMMYFUNCTION("""COMPUTED_VALUE"""),1.0)</f>
        <v>1</v>
      </c>
      <c r="P1061" s="46">
        <f>IFERROR(__xludf.DUMMYFUNCTION("""COMPUTED_VALUE"""),4835.0)</f>
        <v>4835</v>
      </c>
      <c r="Q1061" s="46">
        <f>IFERROR(__xludf.DUMMYFUNCTION("""COMPUTED_VALUE"""),2039838.15)</f>
        <v>2039838.15</v>
      </c>
      <c r="R1061" s="46">
        <f>IFERROR(__xludf.DUMMYFUNCTION("""COMPUTED_VALUE"""),1763276.15)</f>
        <v>1763276.15</v>
      </c>
      <c r="S1061" s="46">
        <f>IFERROR(__xludf.DUMMYFUNCTION("""COMPUTED_VALUE"""),276562.0)</f>
        <v>276562</v>
      </c>
    </row>
    <row r="1062">
      <c r="A1062" s="46" t="str">
        <f>IFERROR(__xludf.DUMMYFUNCTION("""COMPUTED_VALUE"""),"Cereal")</f>
        <v>Cereal</v>
      </c>
      <c r="B1062" s="46" t="str">
        <f>IFERROR(__xludf.DUMMYFUNCTION("""COMPUTED_VALUE"""),"Poland")</f>
        <v>Poland</v>
      </c>
      <c r="C1062" s="46" t="str">
        <f>IFERROR(__xludf.DUMMYFUNCTION("""COMPUTED_VALUE"""),"Europe")</f>
        <v>Europe</v>
      </c>
      <c r="D1062" s="90">
        <f>IFERROR(__xludf.DUMMYFUNCTION("""COMPUTED_VALUE"""),40695.0)</f>
        <v>40695</v>
      </c>
      <c r="E1062" s="46">
        <f>IFERROR(__xludf.DUMMYFUNCTION("""COMPUTED_VALUE"""),2011.0)</f>
        <v>2011</v>
      </c>
      <c r="F1062" s="46">
        <f>IFERROR(__xludf.DUMMYFUNCTION("""COMPUTED_VALUE"""),1.0)</f>
        <v>1</v>
      </c>
      <c r="G1062" s="46">
        <f>IFERROR(__xludf.DUMMYFUNCTION("""COMPUTED_VALUE"""),4080.0)</f>
        <v>4080</v>
      </c>
      <c r="H1062" s="46">
        <f>IFERROR(__xludf.DUMMYFUNCTION("""COMPUTED_VALUE"""),839256.0)</f>
        <v>839256</v>
      </c>
      <c r="I1062" s="46">
        <f>IFERROR(__xludf.DUMMYFUNCTION("""COMPUTED_VALUE"""),477808.8)</f>
        <v>477808.8</v>
      </c>
      <c r="J1062" s="46">
        <f>IFERROR(__xludf.DUMMYFUNCTION("""COMPUTED_VALUE"""),361447.2)</f>
        <v>361447.2</v>
      </c>
      <c r="K1062" s="46" t="str">
        <f t="array" ref="K1062">TEXT(D1062, "mmmm")</f>
        <v>June</v>
      </c>
      <c r="M1062" s="46" t="str">
        <f>IFERROR(__xludf.DUMMYFUNCTION("""COMPUTED_VALUE"""),"Slovenia")</f>
        <v>Slovenia</v>
      </c>
      <c r="N1062" s="94">
        <f>IFERROR(__xludf.DUMMYFUNCTION("""COMPUTED_VALUE"""),42767.0)</f>
        <v>42767</v>
      </c>
      <c r="O1062" s="46">
        <f>IFERROR(__xludf.DUMMYFUNCTION("""COMPUTED_VALUE"""),1.0)</f>
        <v>1</v>
      </c>
      <c r="P1062" s="46">
        <f>IFERROR(__xludf.DUMMYFUNCTION("""COMPUTED_VALUE"""),8644.0)</f>
        <v>8644</v>
      </c>
      <c r="Q1062" s="46">
        <f>IFERROR(__xludf.DUMMYFUNCTION("""COMPUTED_VALUE"""),5776525.88)</f>
        <v>5776525.88</v>
      </c>
      <c r="R1062" s="46">
        <f>IFERROR(__xludf.DUMMYFUNCTION("""COMPUTED_VALUE"""),4343955.76)</f>
        <v>4343955.76</v>
      </c>
      <c r="S1062" s="46">
        <f>IFERROR(__xludf.DUMMYFUNCTION("""COMPUTED_VALUE"""),1432570.12)</f>
        <v>1432570.12</v>
      </c>
    </row>
    <row r="1063">
      <c r="A1063" s="46" t="str">
        <f>IFERROR(__xludf.DUMMYFUNCTION("""COMPUTED_VALUE"""),"Cereal")</f>
        <v>Cereal</v>
      </c>
      <c r="B1063" s="46" t="str">
        <f>IFERROR(__xludf.DUMMYFUNCTION("""COMPUTED_VALUE"""),"Undefined")</f>
        <v>Undefined</v>
      </c>
      <c r="C1063" s="46" t="str">
        <f>IFERROR(__xludf.DUMMYFUNCTION("""COMPUTED_VALUE"""),"Undefined")</f>
        <v>Undefined</v>
      </c>
      <c r="D1063" s="90">
        <f>IFERROR(__xludf.DUMMYFUNCTION("""COMPUTED_VALUE"""),40695.0)</f>
        <v>40695</v>
      </c>
      <c r="E1063" s="46">
        <f>IFERROR(__xludf.DUMMYFUNCTION("""COMPUTED_VALUE"""),2011.0)</f>
        <v>2011</v>
      </c>
      <c r="F1063" s="46">
        <f>IFERROR(__xludf.DUMMYFUNCTION("""COMPUTED_VALUE"""),1.0)</f>
        <v>1</v>
      </c>
      <c r="G1063" s="46">
        <f>IFERROR(__xludf.DUMMYFUNCTION("""COMPUTED_VALUE"""),2073.0)</f>
        <v>2073</v>
      </c>
      <c r="H1063" s="46">
        <f>IFERROR(__xludf.DUMMYFUNCTION("""COMPUTED_VALUE"""),426416.1)</f>
        <v>426416.1</v>
      </c>
      <c r="I1063" s="46">
        <f>IFERROR(__xludf.DUMMYFUNCTION("""COMPUTED_VALUE"""),242769.03)</f>
        <v>242769.03</v>
      </c>
      <c r="J1063" s="46">
        <f>IFERROR(__xludf.DUMMYFUNCTION("""COMPUTED_VALUE"""),183647.06999999998)</f>
        <v>183647.07</v>
      </c>
      <c r="K1063" s="46" t="str">
        <f t="array" ref="K1063">TEXT(D1063, "mmmm")</f>
        <v>June</v>
      </c>
      <c r="M1063" s="46" t="str">
        <f>IFERROR(__xludf.DUMMYFUNCTION("""COMPUTED_VALUE"""),"Spain")</f>
        <v>Spain</v>
      </c>
      <c r="N1063" s="94">
        <f>IFERROR(__xludf.DUMMYFUNCTION("""COMPUTED_VALUE"""),42767.0)</f>
        <v>42767</v>
      </c>
      <c r="O1063" s="46">
        <f>IFERROR(__xludf.DUMMYFUNCTION("""COMPUTED_VALUE"""),1.0)</f>
        <v>1</v>
      </c>
      <c r="P1063" s="46">
        <f>IFERROR(__xludf.DUMMYFUNCTION("""COMPUTED_VALUE"""),4844.0)</f>
        <v>4844</v>
      </c>
      <c r="Q1063" s="46">
        <f>IFERROR(__xludf.DUMMYFUNCTION("""COMPUTED_VALUE"""),739097.52)</f>
        <v>739097.52</v>
      </c>
      <c r="R1063" s="46">
        <f>IFERROR(__xludf.DUMMYFUNCTION("""COMPUTED_VALUE"""),471999.36)</f>
        <v>471999.36</v>
      </c>
      <c r="S1063" s="46">
        <f>IFERROR(__xludf.DUMMYFUNCTION("""COMPUTED_VALUE"""),267098.16000000003)</f>
        <v>267098.16</v>
      </c>
    </row>
    <row r="1064">
      <c r="A1064" s="46" t="str">
        <f>IFERROR(__xludf.DUMMYFUNCTION("""COMPUTED_VALUE"""),"Clothes")</f>
        <v>Clothes</v>
      </c>
      <c r="B1064" s="46" t="str">
        <f>IFERROR(__xludf.DUMMYFUNCTION("""COMPUTED_VALUE"""),"Italy")</f>
        <v>Italy</v>
      </c>
      <c r="C1064" s="46" t="str">
        <f>IFERROR(__xludf.DUMMYFUNCTION("""COMPUTED_VALUE"""),"Europe")</f>
        <v>Europe</v>
      </c>
      <c r="D1064" s="90">
        <f>IFERROR(__xludf.DUMMYFUNCTION("""COMPUTED_VALUE"""),40695.0)</f>
        <v>40695</v>
      </c>
      <c r="E1064" s="46">
        <f>IFERROR(__xludf.DUMMYFUNCTION("""COMPUTED_VALUE"""),2011.0)</f>
        <v>2011</v>
      </c>
      <c r="F1064" s="46">
        <f>IFERROR(__xludf.DUMMYFUNCTION("""COMPUTED_VALUE"""),1.0)</f>
        <v>1</v>
      </c>
      <c r="G1064" s="46">
        <f>IFERROR(__xludf.DUMMYFUNCTION("""COMPUTED_VALUE"""),4507.0)</f>
        <v>4507</v>
      </c>
      <c r="H1064" s="46">
        <f>IFERROR(__xludf.DUMMYFUNCTION("""COMPUTED_VALUE"""),492524.96)</f>
        <v>492524.96</v>
      </c>
      <c r="I1064" s="46">
        <f>IFERROR(__xludf.DUMMYFUNCTION("""COMPUTED_VALUE"""),161530.88)</f>
        <v>161530.88</v>
      </c>
      <c r="J1064" s="46">
        <f>IFERROR(__xludf.DUMMYFUNCTION("""COMPUTED_VALUE"""),330994.08)</f>
        <v>330994.08</v>
      </c>
      <c r="K1064" s="46" t="str">
        <f t="array" ref="K1064">TEXT(D1064, "mmmm")</f>
        <v>June</v>
      </c>
      <c r="M1064" s="46" t="str">
        <f>IFERROR(__xludf.DUMMYFUNCTION("""COMPUTED_VALUE"""),"United Kingdom")</f>
        <v>United Kingdom</v>
      </c>
      <c r="N1064" s="94">
        <f>IFERROR(__xludf.DUMMYFUNCTION("""COMPUTED_VALUE"""),42767.0)</f>
        <v>42767</v>
      </c>
      <c r="O1064" s="46">
        <f>IFERROR(__xludf.DUMMYFUNCTION("""COMPUTED_VALUE"""),1.0)</f>
        <v>1</v>
      </c>
      <c r="P1064" s="46">
        <f>IFERROR(__xludf.DUMMYFUNCTION("""COMPUTED_VALUE"""),548.0)</f>
        <v>548</v>
      </c>
      <c r="Q1064" s="46">
        <f>IFERROR(__xludf.DUMMYFUNCTION("""COMPUTED_VALUE"""),59885.44)</f>
        <v>59885.44</v>
      </c>
      <c r="R1064" s="46">
        <f>IFERROR(__xludf.DUMMYFUNCTION("""COMPUTED_VALUE"""),19640.320000000003)</f>
        <v>19640.32</v>
      </c>
      <c r="S1064" s="46">
        <f>IFERROR(__xludf.DUMMYFUNCTION("""COMPUTED_VALUE"""),40245.119999999995)</f>
        <v>40245.12</v>
      </c>
    </row>
    <row r="1065">
      <c r="A1065" s="46" t="str">
        <f>IFERROR(__xludf.DUMMYFUNCTION("""COMPUTED_VALUE"""),"Clothes")</f>
        <v>Clothes</v>
      </c>
      <c r="B1065" s="46" t="str">
        <f>IFERROR(__xludf.DUMMYFUNCTION("""COMPUTED_VALUE"""),"Serbia")</f>
        <v>Serbia</v>
      </c>
      <c r="C1065" s="46" t="str">
        <f>IFERROR(__xludf.DUMMYFUNCTION("""COMPUTED_VALUE"""),"Europe")</f>
        <v>Europe</v>
      </c>
      <c r="D1065" s="90">
        <f>IFERROR(__xludf.DUMMYFUNCTION("""COMPUTED_VALUE"""),40695.0)</f>
        <v>40695</v>
      </c>
      <c r="E1065" s="46">
        <f>IFERROR(__xludf.DUMMYFUNCTION("""COMPUTED_VALUE"""),2011.0)</f>
        <v>2011</v>
      </c>
      <c r="F1065" s="46">
        <f>IFERROR(__xludf.DUMMYFUNCTION("""COMPUTED_VALUE"""),1.0)</f>
        <v>1</v>
      </c>
      <c r="G1065" s="46">
        <f>IFERROR(__xludf.DUMMYFUNCTION("""COMPUTED_VALUE"""),7915.0)</f>
        <v>7915</v>
      </c>
      <c r="H1065" s="46">
        <f>IFERROR(__xludf.DUMMYFUNCTION("""COMPUTED_VALUE"""),864951.2)</f>
        <v>864951.2</v>
      </c>
      <c r="I1065" s="46">
        <f>IFERROR(__xludf.DUMMYFUNCTION("""COMPUTED_VALUE"""),283673.60000000003)</f>
        <v>283673.6</v>
      </c>
      <c r="J1065" s="46">
        <f>IFERROR(__xludf.DUMMYFUNCTION("""COMPUTED_VALUE"""),581277.5999999999)</f>
        <v>581277.6</v>
      </c>
      <c r="K1065" s="46" t="str">
        <f t="array" ref="K1065">TEXT(D1065, "mmmm")</f>
        <v>June</v>
      </c>
      <c r="M1065" s="46" t="str">
        <f>IFERROR(__xludf.DUMMYFUNCTION("""COMPUTED_VALUE"""),"Belarus")</f>
        <v>Belarus</v>
      </c>
      <c r="N1065" s="94">
        <f>IFERROR(__xludf.DUMMYFUNCTION("""COMPUTED_VALUE"""),42795.0)</f>
        <v>42795</v>
      </c>
      <c r="O1065" s="46">
        <f>IFERROR(__xludf.DUMMYFUNCTION("""COMPUTED_VALUE"""),1.0)</f>
        <v>1</v>
      </c>
      <c r="P1065" s="46">
        <f>IFERROR(__xludf.DUMMYFUNCTION("""COMPUTED_VALUE"""),7619.0)</f>
        <v>7619</v>
      </c>
      <c r="Q1065" s="46">
        <f>IFERROR(__xludf.DUMMYFUNCTION("""COMPUTED_VALUE"""),361521.55000000005)</f>
        <v>361521.55</v>
      </c>
      <c r="R1065" s="46">
        <f>IFERROR(__xludf.DUMMYFUNCTION("""COMPUTED_VALUE"""),242208.00999999998)</f>
        <v>242208.01</v>
      </c>
      <c r="S1065" s="46">
        <f>IFERROR(__xludf.DUMMYFUNCTION("""COMPUTED_VALUE"""),119313.54000000007)</f>
        <v>119313.54</v>
      </c>
    </row>
    <row r="1066">
      <c r="A1066" s="46" t="str">
        <f>IFERROR(__xludf.DUMMYFUNCTION("""COMPUTED_VALUE"""),"Cosmetics")</f>
        <v>Cosmetics</v>
      </c>
      <c r="B1066" s="46" t="str">
        <f>IFERROR(__xludf.DUMMYFUNCTION("""COMPUTED_VALUE"""),"Albania")</f>
        <v>Albania</v>
      </c>
      <c r="C1066" s="46" t="str">
        <f>IFERROR(__xludf.DUMMYFUNCTION("""COMPUTED_VALUE"""),"Europe")</f>
        <v>Europe</v>
      </c>
      <c r="D1066" s="90">
        <f>IFERROR(__xludf.DUMMYFUNCTION("""COMPUTED_VALUE"""),40695.0)</f>
        <v>40695</v>
      </c>
      <c r="E1066" s="46">
        <f>IFERROR(__xludf.DUMMYFUNCTION("""COMPUTED_VALUE"""),2011.0)</f>
        <v>2011</v>
      </c>
      <c r="F1066" s="46">
        <f>IFERROR(__xludf.DUMMYFUNCTION("""COMPUTED_VALUE"""),1.0)</f>
        <v>1</v>
      </c>
      <c r="G1066" s="46">
        <f>IFERROR(__xludf.DUMMYFUNCTION("""COMPUTED_VALUE"""),5009.0)</f>
        <v>5009</v>
      </c>
      <c r="H1066" s="46">
        <f>IFERROR(__xludf.DUMMYFUNCTION("""COMPUTED_VALUE"""),2189934.8)</f>
        <v>2189934.8</v>
      </c>
      <c r="I1066" s="46">
        <f>IFERROR(__xludf.DUMMYFUNCTION("""COMPUTED_VALUE"""),1319019.97)</f>
        <v>1319019.97</v>
      </c>
      <c r="J1066" s="46">
        <f>IFERROR(__xludf.DUMMYFUNCTION("""COMPUTED_VALUE"""),870914.8299999998)</f>
        <v>870914.83</v>
      </c>
      <c r="K1066" s="46" t="str">
        <f t="array" ref="K1066">TEXT(D1066, "mmmm")</f>
        <v>June</v>
      </c>
      <c r="M1066" s="46" t="str">
        <f>IFERROR(__xludf.DUMMYFUNCTION("""COMPUTED_VALUE"""),"Bulgaria")</f>
        <v>Bulgaria</v>
      </c>
      <c r="N1066" s="94">
        <f>IFERROR(__xludf.DUMMYFUNCTION("""COMPUTED_VALUE"""),42795.0)</f>
        <v>42795</v>
      </c>
      <c r="O1066" s="46">
        <f>IFERROR(__xludf.DUMMYFUNCTION("""COMPUTED_VALUE"""),1.0)</f>
        <v>1</v>
      </c>
      <c r="P1066" s="46">
        <f>IFERROR(__xludf.DUMMYFUNCTION("""COMPUTED_VALUE"""),1225.0)</f>
        <v>1225</v>
      </c>
      <c r="Q1066" s="46">
        <f>IFERROR(__xludf.DUMMYFUNCTION("""COMPUTED_VALUE"""),186910.50000000003)</f>
        <v>186910.5</v>
      </c>
      <c r="R1066" s="46">
        <f>IFERROR(__xludf.DUMMYFUNCTION("""COMPUTED_VALUE"""),119364.0)</f>
        <v>119364</v>
      </c>
      <c r="S1066" s="46">
        <f>IFERROR(__xludf.DUMMYFUNCTION("""COMPUTED_VALUE"""),67546.50000000003)</f>
        <v>67546.5</v>
      </c>
    </row>
    <row r="1067">
      <c r="A1067" s="46" t="str">
        <f>IFERROR(__xludf.DUMMYFUNCTION("""COMPUTED_VALUE"""),"Cosmetics")</f>
        <v>Cosmetics</v>
      </c>
      <c r="B1067" s="46" t="str">
        <f>IFERROR(__xludf.DUMMYFUNCTION("""COMPUTED_VALUE"""),"Undefined")</f>
        <v>Undefined</v>
      </c>
      <c r="C1067" s="46" t="str">
        <f>IFERROR(__xludf.DUMMYFUNCTION("""COMPUTED_VALUE"""),"Undefined")</f>
        <v>Undefined</v>
      </c>
      <c r="D1067" s="90">
        <f>IFERROR(__xludf.DUMMYFUNCTION("""COMPUTED_VALUE"""),40695.0)</f>
        <v>40695</v>
      </c>
      <c r="E1067" s="46">
        <f>IFERROR(__xludf.DUMMYFUNCTION("""COMPUTED_VALUE"""),2011.0)</f>
        <v>2011</v>
      </c>
      <c r="F1067" s="46">
        <f>IFERROR(__xludf.DUMMYFUNCTION("""COMPUTED_VALUE"""),1.0)</f>
        <v>1</v>
      </c>
      <c r="G1067" s="46">
        <f>IFERROR(__xludf.DUMMYFUNCTION("""COMPUTED_VALUE"""),9379.0)</f>
        <v>9379</v>
      </c>
      <c r="H1067" s="46">
        <f>IFERROR(__xludf.DUMMYFUNCTION("""COMPUTED_VALUE"""),4100498.8)</f>
        <v>4100498.8</v>
      </c>
      <c r="I1067" s="46">
        <f>IFERROR(__xludf.DUMMYFUNCTION("""COMPUTED_VALUE"""),2469772.07)</f>
        <v>2469772.07</v>
      </c>
      <c r="J1067" s="46">
        <f>IFERROR(__xludf.DUMMYFUNCTION("""COMPUTED_VALUE"""),1630726.73)</f>
        <v>1630726.73</v>
      </c>
      <c r="K1067" s="46" t="str">
        <f t="array" ref="K1067">TEXT(D1067, "mmmm")</f>
        <v>June</v>
      </c>
      <c r="M1067" s="46" t="str">
        <f>IFERROR(__xludf.DUMMYFUNCTION("""COMPUTED_VALUE"""),"Croatia")</f>
        <v>Croatia</v>
      </c>
      <c r="N1067" s="94">
        <f>IFERROR(__xludf.DUMMYFUNCTION("""COMPUTED_VALUE"""),42795.0)</f>
        <v>42795</v>
      </c>
      <c r="O1067" s="46">
        <f>IFERROR(__xludf.DUMMYFUNCTION("""COMPUTED_VALUE"""),1.0)</f>
        <v>1</v>
      </c>
      <c r="P1067" s="46">
        <f>IFERROR(__xludf.DUMMYFUNCTION("""COMPUTED_VALUE"""),5796.0)</f>
        <v>5796</v>
      </c>
      <c r="Q1067" s="46">
        <f>IFERROR(__xludf.DUMMYFUNCTION("""COMPUTED_VALUE"""),275020.2)</f>
        <v>275020.2</v>
      </c>
      <c r="R1067" s="46">
        <f>IFERROR(__xludf.DUMMYFUNCTION("""COMPUTED_VALUE"""),184254.84)</f>
        <v>184254.84</v>
      </c>
      <c r="S1067" s="46">
        <f>IFERROR(__xludf.DUMMYFUNCTION("""COMPUTED_VALUE"""),90765.36000000002)</f>
        <v>90765.36</v>
      </c>
    </row>
    <row r="1068">
      <c r="A1068" s="46" t="str">
        <f>IFERROR(__xludf.DUMMYFUNCTION("""COMPUTED_VALUE"""),"Household")</f>
        <v>Household</v>
      </c>
      <c r="B1068" s="46" t="str">
        <f>IFERROR(__xludf.DUMMYFUNCTION("""COMPUTED_VALUE"""),"France")</f>
        <v>France</v>
      </c>
      <c r="C1068" s="46" t="str">
        <f>IFERROR(__xludf.DUMMYFUNCTION("""COMPUTED_VALUE"""),"Europe")</f>
        <v>Europe</v>
      </c>
      <c r="D1068" s="90">
        <f>IFERROR(__xludf.DUMMYFUNCTION("""COMPUTED_VALUE"""),40695.0)</f>
        <v>40695</v>
      </c>
      <c r="E1068" s="46">
        <f>IFERROR(__xludf.DUMMYFUNCTION("""COMPUTED_VALUE"""),2011.0)</f>
        <v>2011</v>
      </c>
      <c r="F1068" s="46">
        <f>IFERROR(__xludf.DUMMYFUNCTION("""COMPUTED_VALUE"""),1.0)</f>
        <v>1</v>
      </c>
      <c r="G1068" s="46">
        <f>IFERROR(__xludf.DUMMYFUNCTION("""COMPUTED_VALUE"""),9419.0)</f>
        <v>9419</v>
      </c>
      <c r="H1068" s="46">
        <f>IFERROR(__xludf.DUMMYFUNCTION("""COMPUTED_VALUE"""),6294435.13)</f>
        <v>6294435.13</v>
      </c>
      <c r="I1068" s="46">
        <f>IFERROR(__xludf.DUMMYFUNCTION("""COMPUTED_VALUE"""),4733424.26)</f>
        <v>4733424.26</v>
      </c>
      <c r="J1068" s="46">
        <f>IFERROR(__xludf.DUMMYFUNCTION("""COMPUTED_VALUE"""),1561010.87)</f>
        <v>1561010.87</v>
      </c>
      <c r="K1068" s="46" t="str">
        <f t="array" ref="K1068">TEXT(D1068, "mmmm")</f>
        <v>June</v>
      </c>
      <c r="M1068" s="46" t="str">
        <f>IFERROR(__xludf.DUMMYFUNCTION("""COMPUTED_VALUE"""),"France")</f>
        <v>France</v>
      </c>
      <c r="N1068" s="94">
        <f>IFERROR(__xludf.DUMMYFUNCTION("""COMPUTED_VALUE"""),42795.0)</f>
        <v>42795</v>
      </c>
      <c r="O1068" s="46">
        <f>IFERROR(__xludf.DUMMYFUNCTION("""COMPUTED_VALUE"""),2.0)</f>
        <v>2</v>
      </c>
      <c r="P1068" s="46">
        <f>IFERROR(__xludf.DUMMYFUNCTION("""COMPUTED_VALUE"""),14327.0)</f>
        <v>14327</v>
      </c>
      <c r="Q1068" s="46">
        <f>IFERROR(__xludf.DUMMYFUNCTION("""COMPUTED_VALUE"""),709540.51)</f>
        <v>709540.51</v>
      </c>
      <c r="R1068" s="46">
        <f>IFERROR(__xludf.DUMMYFUNCTION("""COMPUTED_VALUE"""),494854.33999999997)</f>
        <v>494854.34</v>
      </c>
      <c r="S1068" s="46">
        <f>IFERROR(__xludf.DUMMYFUNCTION("""COMPUTED_VALUE"""),214686.17000000004)</f>
        <v>214686.17</v>
      </c>
    </row>
    <row r="1069">
      <c r="A1069" s="46" t="str">
        <f>IFERROR(__xludf.DUMMYFUNCTION("""COMPUTED_VALUE"""),"Household")</f>
        <v>Household</v>
      </c>
      <c r="B1069" s="46" t="str">
        <f>IFERROR(__xludf.DUMMYFUNCTION("""COMPUTED_VALUE"""),"Sweden")</f>
        <v>Sweden</v>
      </c>
      <c r="C1069" s="46" t="str">
        <f>IFERROR(__xludf.DUMMYFUNCTION("""COMPUTED_VALUE"""),"Europe")</f>
        <v>Europe</v>
      </c>
      <c r="D1069" s="90">
        <f>IFERROR(__xludf.DUMMYFUNCTION("""COMPUTED_VALUE"""),40695.0)</f>
        <v>40695</v>
      </c>
      <c r="E1069" s="46">
        <f>IFERROR(__xludf.DUMMYFUNCTION("""COMPUTED_VALUE"""),2011.0)</f>
        <v>2011</v>
      </c>
      <c r="F1069" s="46">
        <f>IFERROR(__xludf.DUMMYFUNCTION("""COMPUTED_VALUE"""),1.0)</f>
        <v>1</v>
      </c>
      <c r="G1069" s="46">
        <f>IFERROR(__xludf.DUMMYFUNCTION("""COMPUTED_VALUE"""),7769.0)</f>
        <v>7769</v>
      </c>
      <c r="H1069" s="46">
        <f>IFERROR(__xludf.DUMMYFUNCTION("""COMPUTED_VALUE"""),5191789.63)</f>
        <v>5191789.63</v>
      </c>
      <c r="I1069" s="46">
        <f>IFERROR(__xludf.DUMMYFUNCTION("""COMPUTED_VALUE"""),3904233.2600000002)</f>
        <v>3904233.26</v>
      </c>
      <c r="J1069" s="46">
        <f>IFERROR(__xludf.DUMMYFUNCTION("""COMPUTED_VALUE"""),1287556.3699999996)</f>
        <v>1287556.37</v>
      </c>
      <c r="K1069" s="46" t="str">
        <f t="array" ref="K1069">TEXT(D1069, "mmmm")</f>
        <v>June</v>
      </c>
      <c r="M1069" s="46" t="str">
        <f>IFERROR(__xludf.DUMMYFUNCTION("""COMPUTED_VALUE"""),"Italy")</f>
        <v>Italy</v>
      </c>
      <c r="N1069" s="94">
        <f>IFERROR(__xludf.DUMMYFUNCTION("""COMPUTED_VALUE"""),42795.0)</f>
        <v>42795</v>
      </c>
      <c r="O1069" s="46">
        <f>IFERROR(__xludf.DUMMYFUNCTION("""COMPUTED_VALUE"""),1.0)</f>
        <v>1</v>
      </c>
      <c r="P1069" s="46">
        <f>IFERROR(__xludf.DUMMYFUNCTION("""COMPUTED_VALUE"""),4755.0)</f>
        <v>4755</v>
      </c>
      <c r="Q1069" s="46">
        <f>IFERROR(__xludf.DUMMYFUNCTION("""COMPUTED_VALUE"""),1213856.4)</f>
        <v>1213856.4</v>
      </c>
      <c r="R1069" s="46">
        <f>IFERROR(__xludf.DUMMYFUNCTION("""COMPUTED_VALUE"""),758042.1)</f>
        <v>758042.1</v>
      </c>
      <c r="S1069" s="46">
        <f>IFERROR(__xludf.DUMMYFUNCTION("""COMPUTED_VALUE"""),455814.29999999993)</f>
        <v>455814.3</v>
      </c>
    </row>
    <row r="1070">
      <c r="A1070" s="46" t="str">
        <f>IFERROR(__xludf.DUMMYFUNCTION("""COMPUTED_VALUE"""),"Personal Care")</f>
        <v>Personal Care</v>
      </c>
      <c r="B1070" s="46" t="str">
        <f>IFERROR(__xludf.DUMMYFUNCTION("""COMPUTED_VALUE"""),"Romania")</f>
        <v>Romania</v>
      </c>
      <c r="C1070" s="46" t="str">
        <f>IFERROR(__xludf.DUMMYFUNCTION("""COMPUTED_VALUE"""),"Europe")</f>
        <v>Europe</v>
      </c>
      <c r="D1070" s="90">
        <f>IFERROR(__xludf.DUMMYFUNCTION("""COMPUTED_VALUE"""),40695.0)</f>
        <v>40695</v>
      </c>
      <c r="E1070" s="46">
        <f>IFERROR(__xludf.DUMMYFUNCTION("""COMPUTED_VALUE"""),2011.0)</f>
        <v>2011</v>
      </c>
      <c r="F1070" s="46">
        <f>IFERROR(__xludf.DUMMYFUNCTION("""COMPUTED_VALUE"""),1.0)</f>
        <v>1</v>
      </c>
      <c r="G1070" s="46">
        <f>IFERROR(__xludf.DUMMYFUNCTION("""COMPUTED_VALUE"""),5177.0)</f>
        <v>5177</v>
      </c>
      <c r="H1070" s="46">
        <f>IFERROR(__xludf.DUMMYFUNCTION("""COMPUTED_VALUE"""),423116.21)</f>
        <v>423116.21</v>
      </c>
      <c r="I1070" s="46">
        <f>IFERROR(__xludf.DUMMYFUNCTION("""COMPUTED_VALUE"""),293380.59)</f>
        <v>293380.59</v>
      </c>
      <c r="J1070" s="46">
        <f>IFERROR(__xludf.DUMMYFUNCTION("""COMPUTED_VALUE"""),129735.62)</f>
        <v>129735.62</v>
      </c>
      <c r="K1070" s="46" t="str">
        <f t="array" ref="K1070">TEXT(D1070, "mmmm")</f>
        <v>June</v>
      </c>
      <c r="M1070" s="46" t="str">
        <f>IFERROR(__xludf.DUMMYFUNCTION("""COMPUTED_VALUE"""),"Latvia")</f>
        <v>Latvia</v>
      </c>
      <c r="N1070" s="94">
        <f>IFERROR(__xludf.DUMMYFUNCTION("""COMPUTED_VALUE"""),42795.0)</f>
        <v>42795</v>
      </c>
      <c r="O1070" s="46">
        <f>IFERROR(__xludf.DUMMYFUNCTION("""COMPUTED_VALUE"""),3.0)</f>
        <v>3</v>
      </c>
      <c r="P1070" s="46">
        <f>IFERROR(__xludf.DUMMYFUNCTION("""COMPUTED_VALUE"""),21187.0)</f>
        <v>21187</v>
      </c>
      <c r="Q1070" s="46">
        <f>IFERROR(__xludf.DUMMYFUNCTION("""COMPUTED_VALUE"""),2403008.46)</f>
        <v>2403008.46</v>
      </c>
      <c r="R1070" s="46">
        <f>IFERROR(__xludf.DUMMYFUNCTION("""COMPUTED_VALUE"""),1540169.4399999997)</f>
        <v>1540169.44</v>
      </c>
      <c r="S1070" s="46">
        <f>IFERROR(__xludf.DUMMYFUNCTION("""COMPUTED_VALUE"""),862839.0200000003)</f>
        <v>862839.02</v>
      </c>
    </row>
    <row r="1071">
      <c r="A1071" s="46" t="str">
        <f>IFERROR(__xludf.DUMMYFUNCTION("""COMPUTED_VALUE"""),"Snacks")</f>
        <v>Snacks</v>
      </c>
      <c r="B1071" s="46" t="str">
        <f>IFERROR(__xludf.DUMMYFUNCTION("""COMPUTED_VALUE"""),"Slovakia")</f>
        <v>Slovakia</v>
      </c>
      <c r="C1071" s="46" t="str">
        <f>IFERROR(__xludf.DUMMYFUNCTION("""COMPUTED_VALUE"""),"Europe")</f>
        <v>Europe</v>
      </c>
      <c r="D1071" s="90">
        <f>IFERROR(__xludf.DUMMYFUNCTION("""COMPUTED_VALUE"""),40695.0)</f>
        <v>40695</v>
      </c>
      <c r="E1071" s="46">
        <f>IFERROR(__xludf.DUMMYFUNCTION("""COMPUTED_VALUE"""),2011.0)</f>
        <v>2011</v>
      </c>
      <c r="F1071" s="46">
        <f>IFERROR(__xludf.DUMMYFUNCTION("""COMPUTED_VALUE"""),1.0)</f>
        <v>1</v>
      </c>
      <c r="G1071" s="46">
        <f>IFERROR(__xludf.DUMMYFUNCTION("""COMPUTED_VALUE"""),2727.0)</f>
        <v>2727</v>
      </c>
      <c r="H1071" s="46">
        <f>IFERROR(__xludf.DUMMYFUNCTION("""COMPUTED_VALUE"""),416085.66000000003)</f>
        <v>416085.66</v>
      </c>
      <c r="I1071" s="46">
        <f>IFERROR(__xludf.DUMMYFUNCTION("""COMPUTED_VALUE"""),265718.88)</f>
        <v>265718.88</v>
      </c>
      <c r="J1071" s="46">
        <f>IFERROR(__xludf.DUMMYFUNCTION("""COMPUTED_VALUE"""),150366.78000000003)</f>
        <v>150366.78</v>
      </c>
      <c r="K1071" s="46" t="str">
        <f t="array" ref="K1071">TEXT(D1071, "mmmm")</f>
        <v>June</v>
      </c>
      <c r="M1071" s="46" t="str">
        <f>IFERROR(__xludf.DUMMYFUNCTION("""COMPUTED_VALUE"""),"Netherlands")</f>
        <v>Netherlands</v>
      </c>
      <c r="N1071" s="94">
        <f>IFERROR(__xludf.DUMMYFUNCTION("""COMPUTED_VALUE"""),42795.0)</f>
        <v>42795</v>
      </c>
      <c r="O1071" s="46">
        <f>IFERROR(__xludf.DUMMYFUNCTION("""COMPUTED_VALUE"""),2.0)</f>
        <v>2</v>
      </c>
      <c r="P1071" s="46">
        <f>IFERROR(__xludf.DUMMYFUNCTION("""COMPUTED_VALUE"""),1938.0)</f>
        <v>1938</v>
      </c>
      <c r="Q1071" s="46">
        <f>IFERROR(__xludf.DUMMYFUNCTION("""COMPUTED_VALUE"""),811730.5599999999)</f>
        <v>811730.56</v>
      </c>
      <c r="R1071" s="46">
        <f>IFERROR(__xludf.DUMMYFUNCTION("""COMPUTED_VALUE"""),700746.5)</f>
        <v>700746.5</v>
      </c>
      <c r="S1071" s="46">
        <f>IFERROR(__xludf.DUMMYFUNCTION("""COMPUTED_VALUE"""),110984.05999999995)</f>
        <v>110984.06</v>
      </c>
    </row>
    <row r="1072">
      <c r="A1072" s="46" t="str">
        <f>IFERROR(__xludf.DUMMYFUNCTION("""COMPUTED_VALUE"""),"Snacks")</f>
        <v>Snacks</v>
      </c>
      <c r="B1072" s="46" t="str">
        <f>IFERROR(__xludf.DUMMYFUNCTION("""COMPUTED_VALUE"""),"Undefined")</f>
        <v>Undefined</v>
      </c>
      <c r="C1072" s="46" t="str">
        <f>IFERROR(__xludf.DUMMYFUNCTION("""COMPUTED_VALUE"""),"Undefined")</f>
        <v>Undefined</v>
      </c>
      <c r="D1072" s="90">
        <f>IFERROR(__xludf.DUMMYFUNCTION("""COMPUTED_VALUE"""),40695.0)</f>
        <v>40695</v>
      </c>
      <c r="E1072" s="46">
        <f>IFERROR(__xludf.DUMMYFUNCTION("""COMPUTED_VALUE"""),2011.0)</f>
        <v>2011</v>
      </c>
      <c r="F1072" s="46">
        <f>IFERROR(__xludf.DUMMYFUNCTION("""COMPUTED_VALUE"""),1.0)</f>
        <v>1</v>
      </c>
      <c r="G1072" s="46">
        <f>IFERROR(__xludf.DUMMYFUNCTION("""COMPUTED_VALUE"""),2013.0)</f>
        <v>2013</v>
      </c>
      <c r="H1072" s="46">
        <f>IFERROR(__xludf.DUMMYFUNCTION("""COMPUTED_VALUE"""),307143.54000000004)</f>
        <v>307143.54</v>
      </c>
      <c r="I1072" s="46">
        <f>IFERROR(__xludf.DUMMYFUNCTION("""COMPUTED_VALUE"""),196146.72)</f>
        <v>196146.72</v>
      </c>
      <c r="J1072" s="46">
        <f>IFERROR(__xludf.DUMMYFUNCTION("""COMPUTED_VALUE"""),110996.82000000004)</f>
        <v>110996.82</v>
      </c>
      <c r="K1072" s="46" t="str">
        <f t="array" ref="K1072">TEXT(D1072, "mmmm")</f>
        <v>June</v>
      </c>
      <c r="M1072" s="46" t="str">
        <f>IFERROR(__xludf.DUMMYFUNCTION("""COMPUTED_VALUE"""),"Norway")</f>
        <v>Norway</v>
      </c>
      <c r="N1072" s="94">
        <f>IFERROR(__xludf.DUMMYFUNCTION("""COMPUTED_VALUE"""),42795.0)</f>
        <v>42795</v>
      </c>
      <c r="O1072" s="46">
        <f>IFERROR(__xludf.DUMMYFUNCTION("""COMPUTED_VALUE"""),1.0)</f>
        <v>1</v>
      </c>
      <c r="P1072" s="46">
        <f>IFERROR(__xludf.DUMMYFUNCTION("""COMPUTED_VALUE"""),661.0)</f>
        <v>661</v>
      </c>
      <c r="Q1072" s="46">
        <f>IFERROR(__xludf.DUMMYFUNCTION("""COMPUTED_VALUE"""),278869.29)</f>
        <v>278869.29</v>
      </c>
      <c r="R1072" s="46">
        <f>IFERROR(__xludf.DUMMYFUNCTION("""COMPUTED_VALUE"""),241060.09)</f>
        <v>241060.09</v>
      </c>
      <c r="S1072" s="46">
        <f>IFERROR(__xludf.DUMMYFUNCTION("""COMPUTED_VALUE"""),37809.19999999998)</f>
        <v>37809.2</v>
      </c>
    </row>
    <row r="1073">
      <c r="A1073" s="46" t="str">
        <f>IFERROR(__xludf.DUMMYFUNCTION("""COMPUTED_VALUE"""),"Vegetables")</f>
        <v>Vegetables</v>
      </c>
      <c r="B1073" s="46" t="str">
        <f>IFERROR(__xludf.DUMMYFUNCTION("""COMPUTED_VALUE"""),"Serbia")</f>
        <v>Serbia</v>
      </c>
      <c r="C1073" s="46" t="str">
        <f>IFERROR(__xludf.DUMMYFUNCTION("""COMPUTED_VALUE"""),"Europe")</f>
        <v>Europe</v>
      </c>
      <c r="D1073" s="90">
        <f>IFERROR(__xludf.DUMMYFUNCTION("""COMPUTED_VALUE"""),40695.0)</f>
        <v>40695</v>
      </c>
      <c r="E1073" s="46">
        <f>IFERROR(__xludf.DUMMYFUNCTION("""COMPUTED_VALUE"""),2011.0)</f>
        <v>2011</v>
      </c>
      <c r="F1073" s="46">
        <f>IFERROR(__xludf.DUMMYFUNCTION("""COMPUTED_VALUE"""),1.0)</f>
        <v>1</v>
      </c>
      <c r="G1073" s="46">
        <f>IFERROR(__xludf.DUMMYFUNCTION("""COMPUTED_VALUE"""),3705.0)</f>
        <v>3705</v>
      </c>
      <c r="H1073" s="46">
        <f>IFERROR(__xludf.DUMMYFUNCTION("""COMPUTED_VALUE"""),570792.3)</f>
        <v>570792.3</v>
      </c>
      <c r="I1073" s="46">
        <f>IFERROR(__xludf.DUMMYFUNCTION("""COMPUTED_VALUE"""),336895.65)</f>
        <v>336895.65</v>
      </c>
      <c r="J1073" s="46">
        <f>IFERROR(__xludf.DUMMYFUNCTION("""COMPUTED_VALUE"""),233896.65000000002)</f>
        <v>233896.65</v>
      </c>
      <c r="K1073" s="46" t="str">
        <f t="array" ref="K1073">TEXT(D1073, "mmmm")</f>
        <v>June</v>
      </c>
      <c r="M1073" s="46" t="str">
        <f>IFERROR(__xludf.DUMMYFUNCTION("""COMPUTED_VALUE"""),"San Marino")</f>
        <v>San Marino</v>
      </c>
      <c r="N1073" s="94">
        <f>IFERROR(__xludf.DUMMYFUNCTION("""COMPUTED_VALUE"""),42795.0)</f>
        <v>42795</v>
      </c>
      <c r="O1073" s="46">
        <f>IFERROR(__xludf.DUMMYFUNCTION("""COMPUTED_VALUE"""),1.0)</f>
        <v>1</v>
      </c>
      <c r="P1073" s="46">
        <f>IFERROR(__xludf.DUMMYFUNCTION("""COMPUTED_VALUE"""),8597.0)</f>
        <v>8597</v>
      </c>
      <c r="Q1073" s="46">
        <f>IFERROR(__xludf.DUMMYFUNCTION("""COMPUTED_VALUE"""),5598452.37)</f>
        <v>5598452.37</v>
      </c>
      <c r="R1073" s="46">
        <f>IFERROR(__xludf.DUMMYFUNCTION("""COMPUTED_VALUE"""),4513081.12)</f>
        <v>4513081.12</v>
      </c>
      <c r="S1073" s="46">
        <f>IFERROR(__xludf.DUMMYFUNCTION("""COMPUTED_VALUE"""),1085371.25)</f>
        <v>1085371.25</v>
      </c>
    </row>
    <row r="1074">
      <c r="A1074" s="46" t="str">
        <f>IFERROR(__xludf.DUMMYFUNCTION("""COMPUTED_VALUE"""),"Baby Food")</f>
        <v>Baby Food</v>
      </c>
      <c r="B1074" s="46" t="str">
        <f>IFERROR(__xludf.DUMMYFUNCTION("""COMPUTED_VALUE"""),"Hungary")</f>
        <v>Hungary</v>
      </c>
      <c r="C1074" s="46" t="str">
        <f>IFERROR(__xludf.DUMMYFUNCTION("""COMPUTED_VALUE"""),"Europe")</f>
        <v>Europe</v>
      </c>
      <c r="D1074" s="90">
        <f>IFERROR(__xludf.DUMMYFUNCTION("""COMPUTED_VALUE"""),40664.0)</f>
        <v>40664</v>
      </c>
      <c r="E1074" s="46">
        <f>IFERROR(__xludf.DUMMYFUNCTION("""COMPUTED_VALUE"""),2011.0)</f>
        <v>2011</v>
      </c>
      <c r="F1074" s="46">
        <f>IFERROR(__xludf.DUMMYFUNCTION("""COMPUTED_VALUE"""),1.0)</f>
        <v>1</v>
      </c>
      <c r="G1074" s="46">
        <f>IFERROR(__xludf.DUMMYFUNCTION("""COMPUTED_VALUE"""),6509.0)</f>
        <v>6509</v>
      </c>
      <c r="H1074" s="46">
        <f>IFERROR(__xludf.DUMMYFUNCTION("""COMPUTED_VALUE"""),1661617.52)</f>
        <v>1661617.52</v>
      </c>
      <c r="I1074" s="46">
        <f>IFERROR(__xludf.DUMMYFUNCTION("""COMPUTED_VALUE"""),1037664.7799999999)</f>
        <v>1037664.78</v>
      </c>
      <c r="J1074" s="46">
        <f>IFERROR(__xludf.DUMMYFUNCTION("""COMPUTED_VALUE"""),623952.7400000001)</f>
        <v>623952.74</v>
      </c>
      <c r="K1074" s="46" t="str">
        <f t="array" ref="K1074">TEXT(D1074, "mmmm")</f>
        <v>May</v>
      </c>
      <c r="M1074" s="46" t="str">
        <f>IFERROR(__xludf.DUMMYFUNCTION("""COMPUTED_VALUE"""),"Serbia")</f>
        <v>Serbia</v>
      </c>
      <c r="N1074" s="94">
        <f>IFERROR(__xludf.DUMMYFUNCTION("""COMPUTED_VALUE"""),42795.0)</f>
        <v>42795</v>
      </c>
      <c r="O1074" s="46">
        <f>IFERROR(__xludf.DUMMYFUNCTION("""COMPUTED_VALUE"""),1.0)</f>
        <v>1</v>
      </c>
      <c r="P1074" s="46">
        <f>IFERROR(__xludf.DUMMYFUNCTION("""COMPUTED_VALUE"""),9284.0)</f>
        <v>9284</v>
      </c>
      <c r="Q1074" s="46">
        <f>IFERROR(__xludf.DUMMYFUNCTION("""COMPUTED_VALUE"""),6045833.640000001)</f>
        <v>6045833.64</v>
      </c>
      <c r="R1074" s="46">
        <f>IFERROR(__xludf.DUMMYFUNCTION("""COMPUTED_VALUE"""),4873728.640000001)</f>
        <v>4873728.64</v>
      </c>
      <c r="S1074" s="46">
        <f>IFERROR(__xludf.DUMMYFUNCTION("""COMPUTED_VALUE"""),1172105.0)</f>
        <v>1172105</v>
      </c>
    </row>
    <row r="1075">
      <c r="A1075" s="46" t="str">
        <f>IFERROR(__xludf.DUMMYFUNCTION("""COMPUTED_VALUE"""),"Baby Food")</f>
        <v>Baby Food</v>
      </c>
      <c r="B1075" s="46" t="str">
        <f>IFERROR(__xludf.DUMMYFUNCTION("""COMPUTED_VALUE"""),"Spain")</f>
        <v>Spain</v>
      </c>
      <c r="C1075" s="46" t="str">
        <f>IFERROR(__xludf.DUMMYFUNCTION("""COMPUTED_VALUE"""),"Europe")</f>
        <v>Europe</v>
      </c>
      <c r="D1075" s="90">
        <f>IFERROR(__xludf.DUMMYFUNCTION("""COMPUTED_VALUE"""),40664.0)</f>
        <v>40664</v>
      </c>
      <c r="E1075" s="46">
        <f>IFERROR(__xludf.DUMMYFUNCTION("""COMPUTED_VALUE"""),2011.0)</f>
        <v>2011</v>
      </c>
      <c r="F1075" s="46">
        <f>IFERROR(__xludf.DUMMYFUNCTION("""COMPUTED_VALUE"""),1.0)</f>
        <v>1</v>
      </c>
      <c r="G1075" s="46">
        <f>IFERROR(__xludf.DUMMYFUNCTION("""COMPUTED_VALUE"""),6285.0)</f>
        <v>6285</v>
      </c>
      <c r="H1075" s="46">
        <f>IFERROR(__xludf.DUMMYFUNCTION("""COMPUTED_VALUE"""),1604434.8)</f>
        <v>1604434.8</v>
      </c>
      <c r="I1075" s="46">
        <f>IFERROR(__xludf.DUMMYFUNCTION("""COMPUTED_VALUE"""),1001954.7)</f>
        <v>1001954.7</v>
      </c>
      <c r="J1075" s="46">
        <f>IFERROR(__xludf.DUMMYFUNCTION("""COMPUTED_VALUE"""),602480.1000000001)</f>
        <v>602480.1</v>
      </c>
      <c r="K1075" s="46" t="str">
        <f t="array" ref="K1075">TEXT(D1075, "mmmm")</f>
        <v>May</v>
      </c>
      <c r="M1075" s="46" t="str">
        <f>IFERROR(__xludf.DUMMYFUNCTION("""COMPUTED_VALUE"""),"Spain")</f>
        <v>Spain</v>
      </c>
      <c r="N1075" s="94">
        <f>IFERROR(__xludf.DUMMYFUNCTION("""COMPUTED_VALUE"""),42795.0)</f>
        <v>42795</v>
      </c>
      <c r="O1075" s="46">
        <f>IFERROR(__xludf.DUMMYFUNCTION("""COMPUTED_VALUE"""),1.0)</f>
        <v>1</v>
      </c>
      <c r="P1075" s="46">
        <f>IFERROR(__xludf.DUMMYFUNCTION("""COMPUTED_VALUE"""),3747.0)</f>
        <v>3747</v>
      </c>
      <c r="Q1075" s="46">
        <f>IFERROR(__xludf.DUMMYFUNCTION("""COMPUTED_VALUE"""),577262.8200000001)</f>
        <v>577262.82</v>
      </c>
      <c r="R1075" s="46">
        <f>IFERROR(__xludf.DUMMYFUNCTION("""COMPUTED_VALUE"""),340714.71)</f>
        <v>340714.71</v>
      </c>
      <c r="S1075" s="46">
        <f>IFERROR(__xludf.DUMMYFUNCTION("""COMPUTED_VALUE"""),236548.11000000004)</f>
        <v>236548.11</v>
      </c>
    </row>
    <row r="1076">
      <c r="A1076" s="46" t="str">
        <f>IFERROR(__xludf.DUMMYFUNCTION("""COMPUTED_VALUE"""),"Beverages")</f>
        <v>Beverages</v>
      </c>
      <c r="B1076" s="46" t="str">
        <f>IFERROR(__xludf.DUMMYFUNCTION("""COMPUTED_VALUE"""),"Greece")</f>
        <v>Greece</v>
      </c>
      <c r="C1076" s="46" t="str">
        <f>IFERROR(__xludf.DUMMYFUNCTION("""COMPUTED_VALUE"""),"Europe")</f>
        <v>Europe</v>
      </c>
      <c r="D1076" s="90">
        <f>IFERROR(__xludf.DUMMYFUNCTION("""COMPUTED_VALUE"""),40664.0)</f>
        <v>40664</v>
      </c>
      <c r="E1076" s="46">
        <f>IFERROR(__xludf.DUMMYFUNCTION("""COMPUTED_VALUE"""),2011.0)</f>
        <v>2011</v>
      </c>
      <c r="F1076" s="46">
        <f>IFERROR(__xludf.DUMMYFUNCTION("""COMPUTED_VALUE"""),1.0)</f>
        <v>1</v>
      </c>
      <c r="G1076" s="46">
        <f>IFERROR(__xludf.DUMMYFUNCTION("""COMPUTED_VALUE"""),7523.0)</f>
        <v>7523</v>
      </c>
      <c r="H1076" s="46">
        <f>IFERROR(__xludf.DUMMYFUNCTION("""COMPUTED_VALUE"""),356966.35000000003)</f>
        <v>356966.35</v>
      </c>
      <c r="I1076" s="46">
        <f>IFERROR(__xludf.DUMMYFUNCTION("""COMPUTED_VALUE"""),239156.16999999998)</f>
        <v>239156.17</v>
      </c>
      <c r="J1076" s="46">
        <f>IFERROR(__xludf.DUMMYFUNCTION("""COMPUTED_VALUE"""),117810.18000000005)</f>
        <v>117810.18</v>
      </c>
      <c r="K1076" s="46" t="str">
        <f t="array" ref="K1076">TEXT(D1076, "mmmm")</f>
        <v>May</v>
      </c>
      <c r="M1076" s="46" t="str">
        <f>IFERROR(__xludf.DUMMYFUNCTION("""COMPUTED_VALUE"""),"Undefined")</f>
        <v>Undefined</v>
      </c>
      <c r="N1076" s="94">
        <f>IFERROR(__xludf.DUMMYFUNCTION("""COMPUTED_VALUE"""),42795.0)</f>
        <v>42795</v>
      </c>
      <c r="O1076" s="46">
        <f>IFERROR(__xludf.DUMMYFUNCTION("""COMPUTED_VALUE"""),2.0)</f>
        <v>2</v>
      </c>
      <c r="P1076" s="46">
        <f>IFERROR(__xludf.DUMMYFUNCTION("""COMPUTED_VALUE"""),16051.0)</f>
        <v>16051</v>
      </c>
      <c r="Q1076" s="46">
        <f>IFERROR(__xludf.DUMMYFUNCTION("""COMPUTED_VALUE"""),5626981.199999999)</f>
        <v>5626981.2</v>
      </c>
      <c r="R1076" s="46">
        <f>IFERROR(__xludf.DUMMYFUNCTION("""COMPUTED_VALUE"""),3984333.1700000004)</f>
        <v>3984333.17</v>
      </c>
      <c r="S1076" s="46">
        <f>IFERROR(__xludf.DUMMYFUNCTION("""COMPUTED_VALUE"""),1642648.0299999993)</f>
        <v>1642648.03</v>
      </c>
    </row>
    <row r="1077">
      <c r="A1077" s="46" t="str">
        <f>IFERROR(__xludf.DUMMYFUNCTION("""COMPUTED_VALUE"""),"Clothes")</f>
        <v>Clothes</v>
      </c>
      <c r="B1077" s="46" t="str">
        <f>IFERROR(__xludf.DUMMYFUNCTION("""COMPUTED_VALUE"""),"Andorra")</f>
        <v>Andorra</v>
      </c>
      <c r="C1077" s="46" t="str">
        <f>IFERROR(__xludf.DUMMYFUNCTION("""COMPUTED_VALUE"""),"Europe")</f>
        <v>Europe</v>
      </c>
      <c r="D1077" s="90">
        <f>IFERROR(__xludf.DUMMYFUNCTION("""COMPUTED_VALUE"""),40664.0)</f>
        <v>40664</v>
      </c>
      <c r="E1077" s="46">
        <f>IFERROR(__xludf.DUMMYFUNCTION("""COMPUTED_VALUE"""),2011.0)</f>
        <v>2011</v>
      </c>
      <c r="F1077" s="46">
        <f>IFERROR(__xludf.DUMMYFUNCTION("""COMPUTED_VALUE"""),1.0)</f>
        <v>1</v>
      </c>
      <c r="G1077" s="46">
        <f>IFERROR(__xludf.DUMMYFUNCTION("""COMPUTED_VALUE"""),677.0)</f>
        <v>677</v>
      </c>
      <c r="H1077" s="46">
        <f>IFERROR(__xludf.DUMMYFUNCTION("""COMPUTED_VALUE"""),73982.56)</f>
        <v>73982.56</v>
      </c>
      <c r="I1077" s="46">
        <f>IFERROR(__xludf.DUMMYFUNCTION("""COMPUTED_VALUE"""),24263.680000000004)</f>
        <v>24263.68</v>
      </c>
      <c r="J1077" s="46">
        <f>IFERROR(__xludf.DUMMYFUNCTION("""COMPUTED_VALUE"""),49718.87999999999)</f>
        <v>49718.88</v>
      </c>
      <c r="K1077" s="46" t="str">
        <f t="array" ref="K1077">TEXT(D1077, "mmmm")</f>
        <v>May</v>
      </c>
      <c r="M1077" s="46" t="str">
        <f>IFERROR(__xludf.DUMMYFUNCTION("""COMPUTED_VALUE"""),"Finland")</f>
        <v>Finland</v>
      </c>
      <c r="N1077" s="94">
        <f>IFERROR(__xludf.DUMMYFUNCTION("""COMPUTED_VALUE"""),42826.0)</f>
        <v>42826</v>
      </c>
      <c r="O1077" s="46">
        <f>IFERROR(__xludf.DUMMYFUNCTION("""COMPUTED_VALUE"""),2.0)</f>
        <v>2</v>
      </c>
      <c r="P1077" s="46">
        <f>IFERROR(__xludf.DUMMYFUNCTION("""COMPUTED_VALUE"""),4872.0)</f>
        <v>4872</v>
      </c>
      <c r="Q1077" s="46">
        <f>IFERROR(__xludf.DUMMYFUNCTION("""COMPUTED_VALUE"""),3036891.1300000004)</f>
        <v>3036891.13</v>
      </c>
      <c r="R1077" s="46">
        <f>IFERROR(__xludf.DUMMYFUNCTION("""COMPUTED_VALUE"""),2432224.9000000004)</f>
        <v>2432224.9</v>
      </c>
      <c r="S1077" s="46">
        <f>IFERROR(__xludf.DUMMYFUNCTION("""COMPUTED_VALUE"""),604666.23)</f>
        <v>604666.23</v>
      </c>
    </row>
    <row r="1078">
      <c r="A1078" s="46" t="str">
        <f>IFERROR(__xludf.DUMMYFUNCTION("""COMPUTED_VALUE"""),"Clothes")</f>
        <v>Clothes</v>
      </c>
      <c r="B1078" s="46" t="str">
        <f>IFERROR(__xludf.DUMMYFUNCTION("""COMPUTED_VALUE"""),"Luxembourg")</f>
        <v>Luxembourg</v>
      </c>
      <c r="C1078" s="46" t="str">
        <f>IFERROR(__xludf.DUMMYFUNCTION("""COMPUTED_VALUE"""),"Europe")</f>
        <v>Europe</v>
      </c>
      <c r="D1078" s="90">
        <f>IFERROR(__xludf.DUMMYFUNCTION("""COMPUTED_VALUE"""),40664.0)</f>
        <v>40664</v>
      </c>
      <c r="E1078" s="46">
        <f>IFERROR(__xludf.DUMMYFUNCTION("""COMPUTED_VALUE"""),2011.0)</f>
        <v>2011</v>
      </c>
      <c r="F1078" s="46">
        <f>IFERROR(__xludf.DUMMYFUNCTION("""COMPUTED_VALUE"""),1.0)</f>
        <v>1</v>
      </c>
      <c r="G1078" s="46">
        <f>IFERROR(__xludf.DUMMYFUNCTION("""COMPUTED_VALUE"""),5578.0)</f>
        <v>5578</v>
      </c>
      <c r="H1078" s="46">
        <f>IFERROR(__xludf.DUMMYFUNCTION("""COMPUTED_VALUE"""),609563.84)</f>
        <v>609563.84</v>
      </c>
      <c r="I1078" s="46">
        <f>IFERROR(__xludf.DUMMYFUNCTION("""COMPUTED_VALUE"""),199915.52000000002)</f>
        <v>199915.52</v>
      </c>
      <c r="J1078" s="46">
        <f>IFERROR(__xludf.DUMMYFUNCTION("""COMPUTED_VALUE"""),409648.31999999995)</f>
        <v>409648.32</v>
      </c>
      <c r="K1078" s="46" t="str">
        <f t="array" ref="K1078">TEXT(D1078, "mmmm")</f>
        <v>May</v>
      </c>
      <c r="M1078" s="46" t="str">
        <f>IFERROR(__xludf.DUMMYFUNCTION("""COMPUTED_VALUE"""),"Greece")</f>
        <v>Greece</v>
      </c>
      <c r="N1078" s="94">
        <f>IFERROR(__xludf.DUMMYFUNCTION("""COMPUTED_VALUE"""),42826.0)</f>
        <v>42826</v>
      </c>
      <c r="O1078" s="46">
        <f>IFERROR(__xludf.DUMMYFUNCTION("""COMPUTED_VALUE"""),2.0)</f>
        <v>2</v>
      </c>
      <c r="P1078" s="46">
        <f>IFERROR(__xludf.DUMMYFUNCTION("""COMPUTED_VALUE"""),8151.0)</f>
        <v>8151</v>
      </c>
      <c r="Q1078" s="46">
        <f>IFERROR(__xludf.DUMMYFUNCTION("""COMPUTED_VALUE"""),392284.03)</f>
        <v>392284.03</v>
      </c>
      <c r="R1078" s="46">
        <f>IFERROR(__xludf.DUMMYFUNCTION("""COMPUTED_VALUE"""),263125.97000000003)</f>
        <v>263125.97</v>
      </c>
      <c r="S1078" s="46">
        <f>IFERROR(__xludf.DUMMYFUNCTION("""COMPUTED_VALUE"""),129158.06)</f>
        <v>129158.06</v>
      </c>
    </row>
    <row r="1079">
      <c r="A1079" s="46" t="str">
        <f>IFERROR(__xludf.DUMMYFUNCTION("""COMPUTED_VALUE"""),"Clothes")</f>
        <v>Clothes</v>
      </c>
      <c r="B1079" s="46" t="str">
        <f>IFERROR(__xludf.DUMMYFUNCTION("""COMPUTED_VALUE"""),"Switzerland")</f>
        <v>Switzerland</v>
      </c>
      <c r="C1079" s="46" t="str">
        <f>IFERROR(__xludf.DUMMYFUNCTION("""COMPUTED_VALUE"""),"Europe")</f>
        <v>Europe</v>
      </c>
      <c r="D1079" s="90">
        <f>IFERROR(__xludf.DUMMYFUNCTION("""COMPUTED_VALUE"""),40664.0)</f>
        <v>40664</v>
      </c>
      <c r="E1079" s="46">
        <f>IFERROR(__xludf.DUMMYFUNCTION("""COMPUTED_VALUE"""),2011.0)</f>
        <v>2011</v>
      </c>
      <c r="F1079" s="46">
        <f>IFERROR(__xludf.DUMMYFUNCTION("""COMPUTED_VALUE"""),1.0)</f>
        <v>1</v>
      </c>
      <c r="G1079" s="46">
        <f>IFERROR(__xludf.DUMMYFUNCTION("""COMPUTED_VALUE"""),9275.0)</f>
        <v>9275</v>
      </c>
      <c r="H1079" s="46">
        <f>IFERROR(__xludf.DUMMYFUNCTION("""COMPUTED_VALUE"""),1013572.0)</f>
        <v>1013572</v>
      </c>
      <c r="I1079" s="46">
        <f>IFERROR(__xludf.DUMMYFUNCTION("""COMPUTED_VALUE"""),332416.00000000006)</f>
        <v>332416</v>
      </c>
      <c r="J1079" s="46">
        <f>IFERROR(__xludf.DUMMYFUNCTION("""COMPUTED_VALUE"""),681156.0)</f>
        <v>681156</v>
      </c>
      <c r="K1079" s="46" t="str">
        <f t="array" ref="K1079">TEXT(D1079, "mmmm")</f>
        <v>May</v>
      </c>
      <c r="M1079" s="46" t="str">
        <f>IFERROR(__xludf.DUMMYFUNCTION("""COMPUTED_VALUE"""),"Iceland")</f>
        <v>Iceland</v>
      </c>
      <c r="N1079" s="94">
        <f>IFERROR(__xludf.DUMMYFUNCTION("""COMPUTED_VALUE"""),42826.0)</f>
        <v>42826</v>
      </c>
      <c r="O1079" s="46">
        <f>IFERROR(__xludf.DUMMYFUNCTION("""COMPUTED_VALUE"""),1.0)</f>
        <v>1</v>
      </c>
      <c r="P1079" s="46">
        <f>IFERROR(__xludf.DUMMYFUNCTION("""COMPUTED_VALUE"""),1234.0)</f>
        <v>1234</v>
      </c>
      <c r="Q1079" s="46">
        <f>IFERROR(__xludf.DUMMYFUNCTION("""COMPUTED_VALUE"""),539504.7999999999)</f>
        <v>539504.8</v>
      </c>
      <c r="R1079" s="46">
        <f>IFERROR(__xludf.DUMMYFUNCTION("""COMPUTED_VALUE"""),324949.22)</f>
        <v>324949.22</v>
      </c>
      <c r="S1079" s="46">
        <f>IFERROR(__xludf.DUMMYFUNCTION("""COMPUTED_VALUE"""),214555.57999999996)</f>
        <v>214555.58</v>
      </c>
    </row>
    <row r="1080">
      <c r="A1080" s="46" t="str">
        <f>IFERROR(__xludf.DUMMYFUNCTION("""COMPUTED_VALUE"""),"Cosmetics")</f>
        <v>Cosmetics</v>
      </c>
      <c r="B1080" s="46" t="str">
        <f>IFERROR(__xludf.DUMMYFUNCTION("""COMPUTED_VALUE"""),"Belgium")</f>
        <v>Belgium</v>
      </c>
      <c r="C1080" s="46" t="str">
        <f>IFERROR(__xludf.DUMMYFUNCTION("""COMPUTED_VALUE"""),"Europe")</f>
        <v>Europe</v>
      </c>
      <c r="D1080" s="90">
        <f>IFERROR(__xludf.DUMMYFUNCTION("""COMPUTED_VALUE"""),40664.0)</f>
        <v>40664</v>
      </c>
      <c r="E1080" s="46">
        <f>IFERROR(__xludf.DUMMYFUNCTION("""COMPUTED_VALUE"""),2011.0)</f>
        <v>2011</v>
      </c>
      <c r="F1080" s="46">
        <f>IFERROR(__xludf.DUMMYFUNCTION("""COMPUTED_VALUE"""),1.0)</f>
        <v>1</v>
      </c>
      <c r="G1080" s="46">
        <f>IFERROR(__xludf.DUMMYFUNCTION("""COMPUTED_VALUE"""),2485.0)</f>
        <v>2485</v>
      </c>
      <c r="H1080" s="46">
        <f>IFERROR(__xludf.DUMMYFUNCTION("""COMPUTED_VALUE"""),1086442.0)</f>
        <v>1086442</v>
      </c>
      <c r="I1080" s="46">
        <f>IFERROR(__xludf.DUMMYFUNCTION("""COMPUTED_VALUE"""),654375.0499999999)</f>
        <v>654375.05</v>
      </c>
      <c r="J1080" s="46">
        <f>IFERROR(__xludf.DUMMYFUNCTION("""COMPUTED_VALUE"""),432066.95000000007)</f>
        <v>432066.95</v>
      </c>
      <c r="K1080" s="46" t="str">
        <f t="array" ref="K1080">TEXT(D1080, "mmmm")</f>
        <v>May</v>
      </c>
      <c r="M1080" s="46" t="str">
        <f>IFERROR(__xludf.DUMMYFUNCTION("""COMPUTED_VALUE"""),"Latvia")</f>
        <v>Latvia</v>
      </c>
      <c r="N1080" s="94">
        <f>IFERROR(__xludf.DUMMYFUNCTION("""COMPUTED_VALUE"""),42826.0)</f>
        <v>42826</v>
      </c>
      <c r="O1080" s="46">
        <f>IFERROR(__xludf.DUMMYFUNCTION("""COMPUTED_VALUE"""),1.0)</f>
        <v>1</v>
      </c>
      <c r="P1080" s="46">
        <f>IFERROR(__xludf.DUMMYFUNCTION("""COMPUTED_VALUE"""),9085.0)</f>
        <v>9085</v>
      </c>
      <c r="Q1080" s="46">
        <f>IFERROR(__xludf.DUMMYFUNCTION("""COMPUTED_VALUE"""),1386189.3)</f>
        <v>1386189.3</v>
      </c>
      <c r="R1080" s="46">
        <f>IFERROR(__xludf.DUMMYFUNCTION("""COMPUTED_VALUE"""),885242.4)</f>
        <v>885242.4</v>
      </c>
      <c r="S1080" s="46">
        <f>IFERROR(__xludf.DUMMYFUNCTION("""COMPUTED_VALUE"""),500946.9)</f>
        <v>500946.9</v>
      </c>
    </row>
    <row r="1081">
      <c r="A1081" s="46" t="str">
        <f>IFERROR(__xludf.DUMMYFUNCTION("""COMPUTED_VALUE"""),"Cosmetics")</f>
        <v>Cosmetics</v>
      </c>
      <c r="B1081" s="46" t="str">
        <f>IFERROR(__xludf.DUMMYFUNCTION("""COMPUTED_VALUE"""),"Estonia")</f>
        <v>Estonia</v>
      </c>
      <c r="C1081" s="46" t="str">
        <f>IFERROR(__xludf.DUMMYFUNCTION("""COMPUTED_VALUE"""),"Europe")</f>
        <v>Europe</v>
      </c>
      <c r="D1081" s="90">
        <f>IFERROR(__xludf.DUMMYFUNCTION("""COMPUTED_VALUE"""),40664.0)</f>
        <v>40664</v>
      </c>
      <c r="E1081" s="46">
        <f>IFERROR(__xludf.DUMMYFUNCTION("""COMPUTED_VALUE"""),2011.0)</f>
        <v>2011</v>
      </c>
      <c r="F1081" s="46">
        <f>IFERROR(__xludf.DUMMYFUNCTION("""COMPUTED_VALUE"""),1.0)</f>
        <v>1</v>
      </c>
      <c r="G1081" s="46">
        <f>IFERROR(__xludf.DUMMYFUNCTION("""COMPUTED_VALUE"""),1505.0)</f>
        <v>1505</v>
      </c>
      <c r="H1081" s="46">
        <f>IFERROR(__xludf.DUMMYFUNCTION("""COMPUTED_VALUE"""),657986.0)</f>
        <v>657986</v>
      </c>
      <c r="I1081" s="46">
        <f>IFERROR(__xludf.DUMMYFUNCTION("""COMPUTED_VALUE"""),396311.64999999997)</f>
        <v>396311.65</v>
      </c>
      <c r="J1081" s="46">
        <f>IFERROR(__xludf.DUMMYFUNCTION("""COMPUTED_VALUE"""),261674.35000000003)</f>
        <v>261674.35</v>
      </c>
      <c r="K1081" s="46" t="str">
        <f t="array" ref="K1081">TEXT(D1081, "mmmm")</f>
        <v>May</v>
      </c>
      <c r="M1081" s="46" t="str">
        <f>IFERROR(__xludf.DUMMYFUNCTION("""COMPUTED_VALUE"""),"Luxembourg")</f>
        <v>Luxembourg</v>
      </c>
      <c r="N1081" s="94">
        <f>IFERROR(__xludf.DUMMYFUNCTION("""COMPUTED_VALUE"""),42826.0)</f>
        <v>42826</v>
      </c>
      <c r="O1081" s="46">
        <f>IFERROR(__xludf.DUMMYFUNCTION("""COMPUTED_VALUE"""),1.0)</f>
        <v>1</v>
      </c>
      <c r="P1081" s="46">
        <f>IFERROR(__xludf.DUMMYFUNCTION("""COMPUTED_VALUE"""),9929.0)</f>
        <v>9929</v>
      </c>
      <c r="Q1081" s="46">
        <f>IFERROR(__xludf.DUMMYFUNCTION("""COMPUTED_VALUE"""),1514966.82)</f>
        <v>1514966.82</v>
      </c>
      <c r="R1081" s="46">
        <f>IFERROR(__xludf.DUMMYFUNCTION("""COMPUTED_VALUE"""),967481.76)</f>
        <v>967481.76</v>
      </c>
      <c r="S1081" s="46">
        <f>IFERROR(__xludf.DUMMYFUNCTION("""COMPUTED_VALUE"""),547485.06)</f>
        <v>547485.06</v>
      </c>
    </row>
    <row r="1082">
      <c r="A1082" s="46" t="str">
        <f>IFERROR(__xludf.DUMMYFUNCTION("""COMPUTED_VALUE"""),"Fruits")</f>
        <v>Fruits</v>
      </c>
      <c r="B1082" s="46" t="str">
        <f>IFERROR(__xludf.DUMMYFUNCTION("""COMPUTED_VALUE"""),"Belgium")</f>
        <v>Belgium</v>
      </c>
      <c r="C1082" s="46" t="str">
        <f>IFERROR(__xludf.DUMMYFUNCTION("""COMPUTED_VALUE"""),"Europe")</f>
        <v>Europe</v>
      </c>
      <c r="D1082" s="90">
        <f>IFERROR(__xludf.DUMMYFUNCTION("""COMPUTED_VALUE"""),40664.0)</f>
        <v>40664</v>
      </c>
      <c r="E1082" s="46">
        <f>IFERROR(__xludf.DUMMYFUNCTION("""COMPUTED_VALUE"""),2011.0)</f>
        <v>2011</v>
      </c>
      <c r="F1082" s="46">
        <f>IFERROR(__xludf.DUMMYFUNCTION("""COMPUTED_VALUE"""),1.0)</f>
        <v>1</v>
      </c>
      <c r="G1082" s="46">
        <f>IFERROR(__xludf.DUMMYFUNCTION("""COMPUTED_VALUE"""),6924.0)</f>
        <v>6924</v>
      </c>
      <c r="H1082" s="46">
        <f>IFERROR(__xludf.DUMMYFUNCTION("""COMPUTED_VALUE"""),64600.92)</f>
        <v>64600.92</v>
      </c>
      <c r="I1082" s="46">
        <f>IFERROR(__xludf.DUMMYFUNCTION("""COMPUTED_VALUE"""),47914.08)</f>
        <v>47914.08</v>
      </c>
      <c r="J1082" s="46">
        <f>IFERROR(__xludf.DUMMYFUNCTION("""COMPUTED_VALUE"""),16686.839999999997)</f>
        <v>16686.84</v>
      </c>
      <c r="K1082" s="46" t="str">
        <f t="array" ref="K1082">TEXT(D1082, "mmmm")</f>
        <v>May</v>
      </c>
      <c r="M1082" s="46" t="str">
        <f>IFERROR(__xludf.DUMMYFUNCTION("""COMPUTED_VALUE"""),"Malta")</f>
        <v>Malta</v>
      </c>
      <c r="N1082" s="94">
        <f>IFERROR(__xludf.DUMMYFUNCTION("""COMPUTED_VALUE"""),42826.0)</f>
        <v>42826</v>
      </c>
      <c r="O1082" s="46">
        <f>IFERROR(__xludf.DUMMYFUNCTION("""COMPUTED_VALUE"""),1.0)</f>
        <v>1</v>
      </c>
      <c r="P1082" s="46">
        <f>IFERROR(__xludf.DUMMYFUNCTION("""COMPUTED_VALUE"""),7069.0)</f>
        <v>7069</v>
      </c>
      <c r="Q1082" s="46">
        <f>IFERROR(__xludf.DUMMYFUNCTION("""COMPUTED_VALUE"""),577749.37)</f>
        <v>577749.37</v>
      </c>
      <c r="R1082" s="46">
        <f>IFERROR(__xludf.DUMMYFUNCTION("""COMPUTED_VALUE"""),400600.23000000004)</f>
        <v>400600.23</v>
      </c>
      <c r="S1082" s="46">
        <f>IFERROR(__xludf.DUMMYFUNCTION("""COMPUTED_VALUE"""),177149.13999999996)</f>
        <v>177149.14</v>
      </c>
    </row>
    <row r="1083">
      <c r="A1083" s="46" t="str">
        <f>IFERROR(__xludf.DUMMYFUNCTION("""COMPUTED_VALUE"""),"Meat")</f>
        <v>Meat</v>
      </c>
      <c r="B1083" s="46" t="str">
        <f>IFERROR(__xludf.DUMMYFUNCTION("""COMPUTED_VALUE"""),"Iceland")</f>
        <v>Iceland</v>
      </c>
      <c r="C1083" s="46" t="str">
        <f>IFERROR(__xludf.DUMMYFUNCTION("""COMPUTED_VALUE"""),"Europe")</f>
        <v>Europe</v>
      </c>
      <c r="D1083" s="90">
        <f>IFERROR(__xludf.DUMMYFUNCTION("""COMPUTED_VALUE"""),40664.0)</f>
        <v>40664</v>
      </c>
      <c r="E1083" s="46">
        <f>IFERROR(__xludf.DUMMYFUNCTION("""COMPUTED_VALUE"""),2011.0)</f>
        <v>2011</v>
      </c>
      <c r="F1083" s="46">
        <f>IFERROR(__xludf.DUMMYFUNCTION("""COMPUTED_VALUE"""),1.0)</f>
        <v>1</v>
      </c>
      <c r="G1083" s="46">
        <f>IFERROR(__xludf.DUMMYFUNCTION("""COMPUTED_VALUE"""),4977.0)</f>
        <v>4977</v>
      </c>
      <c r="H1083" s="46">
        <f>IFERROR(__xludf.DUMMYFUNCTION("""COMPUTED_VALUE"""),2099746.53)</f>
        <v>2099746.53</v>
      </c>
      <c r="I1083" s="46">
        <f>IFERROR(__xludf.DUMMYFUNCTION("""COMPUTED_VALUE"""),1815062.13)</f>
        <v>1815062.13</v>
      </c>
      <c r="J1083" s="46">
        <f>IFERROR(__xludf.DUMMYFUNCTION("""COMPUTED_VALUE"""),284684.3999999999)</f>
        <v>284684.4</v>
      </c>
      <c r="K1083" s="46" t="str">
        <f t="array" ref="K1083">TEXT(D1083, "mmmm")</f>
        <v>May</v>
      </c>
      <c r="M1083" s="46" t="str">
        <f>IFERROR(__xludf.DUMMYFUNCTION("""COMPUTED_VALUE"""),"Montenegro")</f>
        <v>Montenegro</v>
      </c>
      <c r="N1083" s="94">
        <f>IFERROR(__xludf.DUMMYFUNCTION("""COMPUTED_VALUE"""),42826.0)</f>
        <v>42826</v>
      </c>
      <c r="O1083" s="46">
        <f>IFERROR(__xludf.DUMMYFUNCTION("""COMPUTED_VALUE"""),1.0)</f>
        <v>1</v>
      </c>
      <c r="P1083" s="46">
        <f>IFERROR(__xludf.DUMMYFUNCTION("""COMPUTED_VALUE"""),4041.0)</f>
        <v>4041</v>
      </c>
      <c r="Q1083" s="46">
        <f>IFERROR(__xludf.DUMMYFUNCTION("""COMPUTED_VALUE"""),191745.45)</f>
        <v>191745.45</v>
      </c>
      <c r="R1083" s="46">
        <f>IFERROR(__xludf.DUMMYFUNCTION("""COMPUTED_VALUE"""),128463.39)</f>
        <v>128463.39</v>
      </c>
      <c r="S1083" s="46">
        <f>IFERROR(__xludf.DUMMYFUNCTION("""COMPUTED_VALUE"""),63282.06000000001)</f>
        <v>63282.06</v>
      </c>
    </row>
    <row r="1084">
      <c r="A1084" s="46" t="str">
        <f>IFERROR(__xludf.DUMMYFUNCTION("""COMPUTED_VALUE"""),"Office Supplies")</f>
        <v>Office Supplies</v>
      </c>
      <c r="B1084" s="46" t="str">
        <f>IFERROR(__xludf.DUMMYFUNCTION("""COMPUTED_VALUE"""),"Malta")</f>
        <v>Malta</v>
      </c>
      <c r="C1084" s="46" t="str">
        <f>IFERROR(__xludf.DUMMYFUNCTION("""COMPUTED_VALUE"""),"Europe")</f>
        <v>Europe</v>
      </c>
      <c r="D1084" s="90">
        <f>IFERROR(__xludf.DUMMYFUNCTION("""COMPUTED_VALUE"""),40664.0)</f>
        <v>40664</v>
      </c>
      <c r="E1084" s="46">
        <f>IFERROR(__xludf.DUMMYFUNCTION("""COMPUTED_VALUE"""),2011.0)</f>
        <v>2011</v>
      </c>
      <c r="F1084" s="46">
        <f>IFERROR(__xludf.DUMMYFUNCTION("""COMPUTED_VALUE"""),1.0)</f>
        <v>1</v>
      </c>
      <c r="G1084" s="46">
        <f>IFERROR(__xludf.DUMMYFUNCTION("""COMPUTED_VALUE"""),8858.0)</f>
        <v>8858</v>
      </c>
      <c r="H1084" s="46">
        <f>IFERROR(__xludf.DUMMYFUNCTION("""COMPUTED_VALUE"""),5768418.180000001)</f>
        <v>5768418.18</v>
      </c>
      <c r="I1084" s="46">
        <f>IFERROR(__xludf.DUMMYFUNCTION("""COMPUTED_VALUE"""),4650095.680000001)</f>
        <v>4650095.68</v>
      </c>
      <c r="J1084" s="46">
        <f>IFERROR(__xludf.DUMMYFUNCTION("""COMPUTED_VALUE"""),1118322.5)</f>
        <v>1118322.5</v>
      </c>
      <c r="K1084" s="46" t="str">
        <f t="array" ref="K1084">TEXT(D1084, "mmmm")</f>
        <v>May</v>
      </c>
      <c r="M1084" s="46" t="str">
        <f>IFERROR(__xludf.DUMMYFUNCTION("""COMPUTED_VALUE"""),"Russia")</f>
        <v>Russia</v>
      </c>
      <c r="N1084" s="94">
        <f>IFERROR(__xludf.DUMMYFUNCTION("""COMPUTED_VALUE"""),42826.0)</f>
        <v>42826</v>
      </c>
      <c r="O1084" s="46">
        <f>IFERROR(__xludf.DUMMYFUNCTION("""COMPUTED_VALUE"""),1.0)</f>
        <v>1</v>
      </c>
      <c r="P1084" s="46">
        <f>IFERROR(__xludf.DUMMYFUNCTION("""COMPUTED_VALUE"""),7416.0)</f>
        <v>7416</v>
      </c>
      <c r="Q1084" s="46">
        <f>IFERROR(__xludf.DUMMYFUNCTION("""COMPUTED_VALUE"""),4955890.32)</f>
        <v>4955890.32</v>
      </c>
      <c r="R1084" s="46">
        <f>IFERROR(__xludf.DUMMYFUNCTION("""COMPUTED_VALUE"""),3726836.64)</f>
        <v>3726836.64</v>
      </c>
      <c r="S1084" s="46">
        <f>IFERROR(__xludf.DUMMYFUNCTION("""COMPUTED_VALUE"""),1229053.6800000002)</f>
        <v>1229053.68</v>
      </c>
    </row>
    <row r="1085">
      <c r="A1085" s="46" t="str">
        <f>IFERROR(__xludf.DUMMYFUNCTION("""COMPUTED_VALUE"""),"Office Supplies")</f>
        <v>Office Supplies</v>
      </c>
      <c r="B1085" s="46" t="str">
        <f>IFERROR(__xludf.DUMMYFUNCTION("""COMPUTED_VALUE"""),"Undefined")</f>
        <v>Undefined</v>
      </c>
      <c r="C1085" s="46" t="str">
        <f>IFERROR(__xludf.DUMMYFUNCTION("""COMPUTED_VALUE"""),"Undefined")</f>
        <v>Undefined</v>
      </c>
      <c r="D1085" s="90">
        <f>IFERROR(__xludf.DUMMYFUNCTION("""COMPUTED_VALUE"""),40664.0)</f>
        <v>40664</v>
      </c>
      <c r="E1085" s="46">
        <f>IFERROR(__xludf.DUMMYFUNCTION("""COMPUTED_VALUE"""),2011.0)</f>
        <v>2011</v>
      </c>
      <c r="F1085" s="46">
        <f>IFERROR(__xludf.DUMMYFUNCTION("""COMPUTED_VALUE"""),1.0)</f>
        <v>1</v>
      </c>
      <c r="G1085" s="46">
        <f>IFERROR(__xludf.DUMMYFUNCTION("""COMPUTED_VALUE"""),6375.0)</f>
        <v>6375</v>
      </c>
      <c r="H1085" s="46">
        <f>IFERROR(__xludf.DUMMYFUNCTION("""COMPUTED_VALUE"""),4151463.75)</f>
        <v>4151463.75</v>
      </c>
      <c r="I1085" s="46">
        <f>IFERROR(__xludf.DUMMYFUNCTION("""COMPUTED_VALUE"""),3346620.0)</f>
        <v>3346620</v>
      </c>
      <c r="J1085" s="46">
        <f>IFERROR(__xludf.DUMMYFUNCTION("""COMPUTED_VALUE"""),804843.75)</f>
        <v>804843.75</v>
      </c>
      <c r="K1085" s="46" t="str">
        <f t="array" ref="K1085">TEXT(D1085, "mmmm")</f>
        <v>May</v>
      </c>
      <c r="M1085" s="46" t="str">
        <f>IFERROR(__xludf.DUMMYFUNCTION("""COMPUTED_VALUE"""),"Switzerland")</f>
        <v>Switzerland</v>
      </c>
      <c r="N1085" s="94">
        <f>IFERROR(__xludf.DUMMYFUNCTION("""COMPUTED_VALUE"""),42826.0)</f>
        <v>42826</v>
      </c>
      <c r="O1085" s="46">
        <f>IFERROR(__xludf.DUMMYFUNCTION("""COMPUTED_VALUE"""),1.0)</f>
        <v>1</v>
      </c>
      <c r="P1085" s="46">
        <f>IFERROR(__xludf.DUMMYFUNCTION("""COMPUTED_VALUE"""),4133.0)</f>
        <v>4133</v>
      </c>
      <c r="Q1085" s="46">
        <f>IFERROR(__xludf.DUMMYFUNCTION("""COMPUTED_VALUE"""),196110.85)</f>
        <v>196110.85</v>
      </c>
      <c r="R1085" s="46">
        <f>IFERROR(__xludf.DUMMYFUNCTION("""COMPUTED_VALUE"""),131388.07)</f>
        <v>131388.07</v>
      </c>
      <c r="S1085" s="46">
        <f>IFERROR(__xludf.DUMMYFUNCTION("""COMPUTED_VALUE"""),64722.78)</f>
        <v>64722.78</v>
      </c>
    </row>
    <row r="1086">
      <c r="A1086" s="46" t="str">
        <f>IFERROR(__xludf.DUMMYFUNCTION("""COMPUTED_VALUE"""),"Personal Care")</f>
        <v>Personal Care</v>
      </c>
      <c r="B1086" s="46" t="str">
        <f>IFERROR(__xludf.DUMMYFUNCTION("""COMPUTED_VALUE"""),"Luxembourg")</f>
        <v>Luxembourg</v>
      </c>
      <c r="C1086" s="46" t="str">
        <f>IFERROR(__xludf.DUMMYFUNCTION("""COMPUTED_VALUE"""),"Europe")</f>
        <v>Europe</v>
      </c>
      <c r="D1086" s="90">
        <f>IFERROR(__xludf.DUMMYFUNCTION("""COMPUTED_VALUE"""),40664.0)</f>
        <v>40664</v>
      </c>
      <c r="E1086" s="46">
        <f>IFERROR(__xludf.DUMMYFUNCTION("""COMPUTED_VALUE"""),2011.0)</f>
        <v>2011</v>
      </c>
      <c r="F1086" s="46">
        <f>IFERROR(__xludf.DUMMYFUNCTION("""COMPUTED_VALUE"""),1.0)</f>
        <v>1</v>
      </c>
      <c r="G1086" s="46">
        <f>IFERROR(__xludf.DUMMYFUNCTION("""COMPUTED_VALUE"""),1742.0)</f>
        <v>1742</v>
      </c>
      <c r="H1086" s="46">
        <f>IFERROR(__xludf.DUMMYFUNCTION("""COMPUTED_VALUE"""),142373.66)</f>
        <v>142373.66</v>
      </c>
      <c r="I1086" s="46">
        <f>IFERROR(__xludf.DUMMYFUNCTION("""COMPUTED_VALUE"""),98719.14)</f>
        <v>98719.14</v>
      </c>
      <c r="J1086" s="46">
        <f>IFERROR(__xludf.DUMMYFUNCTION("""COMPUTED_VALUE"""),43654.520000000004)</f>
        <v>43654.52</v>
      </c>
      <c r="K1086" s="46" t="str">
        <f t="array" ref="K1086">TEXT(D1086, "mmmm")</f>
        <v>May</v>
      </c>
      <c r="M1086" s="46" t="str">
        <f>IFERROR(__xludf.DUMMYFUNCTION("""COMPUTED_VALUE"""),"Ukraine")</f>
        <v>Ukraine</v>
      </c>
      <c r="N1086" s="94">
        <f>IFERROR(__xludf.DUMMYFUNCTION("""COMPUTED_VALUE"""),42826.0)</f>
        <v>42826</v>
      </c>
      <c r="O1086" s="46">
        <f>IFERROR(__xludf.DUMMYFUNCTION("""COMPUTED_VALUE"""),2.0)</f>
        <v>2</v>
      </c>
      <c r="P1086" s="46">
        <f>IFERROR(__xludf.DUMMYFUNCTION("""COMPUTED_VALUE"""),8193.0)</f>
        <v>8193</v>
      </c>
      <c r="Q1086" s="46">
        <f>IFERROR(__xludf.DUMMYFUNCTION("""COMPUTED_VALUE"""),1357417.41)</f>
        <v>1357417.41</v>
      </c>
      <c r="R1086" s="46">
        <f>IFERROR(__xludf.DUMMYFUNCTION("""COMPUTED_VALUE"""),1087113.75)</f>
        <v>1087113.75</v>
      </c>
      <c r="S1086" s="46">
        <f>IFERROR(__xludf.DUMMYFUNCTION("""COMPUTED_VALUE"""),270303.6599999999)</f>
        <v>270303.66</v>
      </c>
    </row>
    <row r="1087">
      <c r="A1087" s="46" t="str">
        <f>IFERROR(__xludf.DUMMYFUNCTION("""COMPUTED_VALUE"""),"Personal Care")</f>
        <v>Personal Care</v>
      </c>
      <c r="B1087" s="46" t="str">
        <f>IFERROR(__xludf.DUMMYFUNCTION("""COMPUTED_VALUE"""),"Sweden")</f>
        <v>Sweden</v>
      </c>
      <c r="C1087" s="46" t="str">
        <f>IFERROR(__xludf.DUMMYFUNCTION("""COMPUTED_VALUE"""),"Europe")</f>
        <v>Europe</v>
      </c>
      <c r="D1087" s="90">
        <f>IFERROR(__xludf.DUMMYFUNCTION("""COMPUTED_VALUE"""),40664.0)</f>
        <v>40664</v>
      </c>
      <c r="E1087" s="46">
        <f>IFERROR(__xludf.DUMMYFUNCTION("""COMPUTED_VALUE"""),2011.0)</f>
        <v>2011</v>
      </c>
      <c r="F1087" s="46">
        <f>IFERROR(__xludf.DUMMYFUNCTION("""COMPUTED_VALUE"""),1.0)</f>
        <v>1</v>
      </c>
      <c r="G1087" s="46">
        <f>IFERROR(__xludf.DUMMYFUNCTION("""COMPUTED_VALUE"""),6960.0)</f>
        <v>6960</v>
      </c>
      <c r="H1087" s="46">
        <f>IFERROR(__xludf.DUMMYFUNCTION("""COMPUTED_VALUE"""),568840.8)</f>
        <v>568840.8</v>
      </c>
      <c r="I1087" s="46">
        <f>IFERROR(__xludf.DUMMYFUNCTION("""COMPUTED_VALUE"""),394423.2)</f>
        <v>394423.2</v>
      </c>
      <c r="J1087" s="46">
        <f>IFERROR(__xludf.DUMMYFUNCTION("""COMPUTED_VALUE"""),174417.60000000003)</f>
        <v>174417.6</v>
      </c>
      <c r="K1087" s="46" t="str">
        <f t="array" ref="K1087">TEXT(D1087, "mmmm")</f>
        <v>May</v>
      </c>
      <c r="M1087" s="46" t="str">
        <f>IFERROR(__xludf.DUMMYFUNCTION("""COMPUTED_VALUE"""),"United Kingdom")</f>
        <v>United Kingdom</v>
      </c>
      <c r="N1087" s="94">
        <f>IFERROR(__xludf.DUMMYFUNCTION("""COMPUTED_VALUE"""),42826.0)</f>
        <v>42826</v>
      </c>
      <c r="O1087" s="46">
        <f>IFERROR(__xludf.DUMMYFUNCTION("""COMPUTED_VALUE"""),1.0)</f>
        <v>1</v>
      </c>
      <c r="P1087" s="46">
        <f>IFERROR(__xludf.DUMMYFUNCTION("""COMPUTED_VALUE"""),5242.0)</f>
        <v>5242</v>
      </c>
      <c r="Q1087" s="46">
        <f>IFERROR(__xludf.DUMMYFUNCTION("""COMPUTED_VALUE"""),248732.90000000002)</f>
        <v>248732.9</v>
      </c>
      <c r="R1087" s="46">
        <f>IFERROR(__xludf.DUMMYFUNCTION("""COMPUTED_VALUE"""),166643.18)</f>
        <v>166643.18</v>
      </c>
      <c r="S1087" s="46">
        <f>IFERROR(__xludf.DUMMYFUNCTION("""COMPUTED_VALUE"""),82089.72000000003)</f>
        <v>82089.72</v>
      </c>
    </row>
    <row r="1088">
      <c r="A1088" s="46" t="str">
        <f>IFERROR(__xludf.DUMMYFUNCTION("""COMPUTED_VALUE"""),"Vegetables")</f>
        <v>Vegetables</v>
      </c>
      <c r="B1088" s="46" t="str">
        <f>IFERROR(__xludf.DUMMYFUNCTION("""COMPUTED_VALUE"""),"Austria")</f>
        <v>Austria</v>
      </c>
      <c r="C1088" s="46" t="str">
        <f>IFERROR(__xludf.DUMMYFUNCTION("""COMPUTED_VALUE"""),"Europe")</f>
        <v>Europe</v>
      </c>
      <c r="D1088" s="90">
        <f>IFERROR(__xludf.DUMMYFUNCTION("""COMPUTED_VALUE"""),40664.0)</f>
        <v>40664</v>
      </c>
      <c r="E1088" s="46">
        <f>IFERROR(__xludf.DUMMYFUNCTION("""COMPUTED_VALUE"""),2011.0)</f>
        <v>2011</v>
      </c>
      <c r="F1088" s="46">
        <f>IFERROR(__xludf.DUMMYFUNCTION("""COMPUTED_VALUE"""),1.0)</f>
        <v>1</v>
      </c>
      <c r="G1088" s="46">
        <f>IFERROR(__xludf.DUMMYFUNCTION("""COMPUTED_VALUE"""),6212.0)</f>
        <v>6212</v>
      </c>
      <c r="H1088" s="46">
        <f>IFERROR(__xludf.DUMMYFUNCTION("""COMPUTED_VALUE"""),957020.72)</f>
        <v>957020.72</v>
      </c>
      <c r="I1088" s="46">
        <f>IFERROR(__xludf.DUMMYFUNCTION("""COMPUTED_VALUE"""),564857.16)</f>
        <v>564857.16</v>
      </c>
      <c r="J1088" s="46">
        <f>IFERROR(__xludf.DUMMYFUNCTION("""COMPUTED_VALUE"""),392163.55999999994)</f>
        <v>392163.56</v>
      </c>
      <c r="K1088" s="46" t="str">
        <f t="array" ref="K1088">TEXT(D1088, "mmmm")</f>
        <v>May</v>
      </c>
      <c r="M1088" s="46" t="str">
        <f>IFERROR(__xludf.DUMMYFUNCTION("""COMPUTED_VALUE"""),"Andorra")</f>
        <v>Andorra</v>
      </c>
      <c r="N1088" s="94">
        <f>IFERROR(__xludf.DUMMYFUNCTION("""COMPUTED_VALUE"""),42856.0)</f>
        <v>42856</v>
      </c>
      <c r="O1088" s="46">
        <f>IFERROR(__xludf.DUMMYFUNCTION("""COMPUTED_VALUE"""),1.0)</f>
        <v>1</v>
      </c>
      <c r="P1088" s="46">
        <f>IFERROR(__xludf.DUMMYFUNCTION("""COMPUTED_VALUE"""),2531.0)</f>
        <v>2531</v>
      </c>
      <c r="Q1088" s="46">
        <f>IFERROR(__xludf.DUMMYFUNCTION("""COMPUTED_VALUE"""),276587.68)</f>
        <v>276587.68</v>
      </c>
      <c r="R1088" s="46">
        <f>IFERROR(__xludf.DUMMYFUNCTION("""COMPUTED_VALUE"""),90711.04000000001)</f>
        <v>90711.04</v>
      </c>
      <c r="S1088" s="46">
        <f>IFERROR(__xludf.DUMMYFUNCTION("""COMPUTED_VALUE"""),185876.63999999998)</f>
        <v>185876.64</v>
      </c>
    </row>
    <row r="1089">
      <c r="A1089" s="46" t="str">
        <f>IFERROR(__xludf.DUMMYFUNCTION("""COMPUTED_VALUE"""),"Vegetables")</f>
        <v>Vegetables</v>
      </c>
      <c r="B1089" s="46" t="str">
        <f>IFERROR(__xludf.DUMMYFUNCTION("""COMPUTED_VALUE"""),"Liechtenstein")</f>
        <v>Liechtenstein</v>
      </c>
      <c r="C1089" s="46" t="str">
        <f>IFERROR(__xludf.DUMMYFUNCTION("""COMPUTED_VALUE"""),"Europe")</f>
        <v>Europe</v>
      </c>
      <c r="D1089" s="90">
        <f>IFERROR(__xludf.DUMMYFUNCTION("""COMPUTED_VALUE"""),40664.0)</f>
        <v>40664</v>
      </c>
      <c r="E1089" s="46">
        <f>IFERROR(__xludf.DUMMYFUNCTION("""COMPUTED_VALUE"""),2011.0)</f>
        <v>2011</v>
      </c>
      <c r="F1089" s="46">
        <f>IFERROR(__xludf.DUMMYFUNCTION("""COMPUTED_VALUE"""),1.0)</f>
        <v>1</v>
      </c>
      <c r="G1089" s="46">
        <f>IFERROR(__xludf.DUMMYFUNCTION("""COMPUTED_VALUE"""),2647.0)</f>
        <v>2647</v>
      </c>
      <c r="H1089" s="46">
        <f>IFERROR(__xludf.DUMMYFUNCTION("""COMPUTED_VALUE"""),407796.82)</f>
        <v>407796.82</v>
      </c>
      <c r="I1089" s="46">
        <f>IFERROR(__xludf.DUMMYFUNCTION("""COMPUTED_VALUE"""),240691.71000000002)</f>
        <v>240691.71</v>
      </c>
      <c r="J1089" s="46">
        <f>IFERROR(__xludf.DUMMYFUNCTION("""COMPUTED_VALUE"""),167105.11)</f>
        <v>167105.11</v>
      </c>
      <c r="K1089" s="46" t="str">
        <f t="array" ref="K1089">TEXT(D1089, "mmmm")</f>
        <v>May</v>
      </c>
      <c r="M1089" s="46" t="str">
        <f>IFERROR(__xludf.DUMMYFUNCTION("""COMPUTED_VALUE"""),"Belgium")</f>
        <v>Belgium</v>
      </c>
      <c r="N1089" s="94">
        <f>IFERROR(__xludf.DUMMYFUNCTION("""COMPUTED_VALUE"""),42856.0)</f>
        <v>42856</v>
      </c>
      <c r="O1089" s="46">
        <f>IFERROR(__xludf.DUMMYFUNCTION("""COMPUTED_VALUE"""),1.0)</f>
        <v>1</v>
      </c>
      <c r="P1089" s="46">
        <f>IFERROR(__xludf.DUMMYFUNCTION("""COMPUTED_VALUE"""),2349.0)</f>
        <v>2349</v>
      </c>
      <c r="Q1089" s="46">
        <f>IFERROR(__xludf.DUMMYFUNCTION("""COMPUTED_VALUE"""),361886.94)</f>
        <v>361886.94</v>
      </c>
      <c r="R1089" s="46">
        <f>IFERROR(__xludf.DUMMYFUNCTION("""COMPUTED_VALUE"""),213594.57)</f>
        <v>213594.57</v>
      </c>
      <c r="S1089" s="46">
        <f>IFERROR(__xludf.DUMMYFUNCTION("""COMPUTED_VALUE"""),148292.37)</f>
        <v>148292.37</v>
      </c>
    </row>
    <row r="1090">
      <c r="A1090" s="46" t="str">
        <f>IFERROR(__xludf.DUMMYFUNCTION("""COMPUTED_VALUE"""),"Cereal")</f>
        <v>Cereal</v>
      </c>
      <c r="B1090" s="46" t="str">
        <f>IFERROR(__xludf.DUMMYFUNCTION("""COMPUTED_VALUE"""),"Andorra")</f>
        <v>Andorra</v>
      </c>
      <c r="C1090" s="46" t="str">
        <f>IFERROR(__xludf.DUMMYFUNCTION("""COMPUTED_VALUE"""),"Europe")</f>
        <v>Europe</v>
      </c>
      <c r="D1090" s="90">
        <f>IFERROR(__xludf.DUMMYFUNCTION("""COMPUTED_VALUE"""),40634.0)</f>
        <v>40634</v>
      </c>
      <c r="E1090" s="46">
        <f>IFERROR(__xludf.DUMMYFUNCTION("""COMPUTED_VALUE"""),2011.0)</f>
        <v>2011</v>
      </c>
      <c r="F1090" s="46">
        <f>IFERROR(__xludf.DUMMYFUNCTION("""COMPUTED_VALUE"""),1.0)</f>
        <v>1</v>
      </c>
      <c r="G1090" s="46">
        <f>IFERROR(__xludf.DUMMYFUNCTION("""COMPUTED_VALUE"""),2111.0)</f>
        <v>2111</v>
      </c>
      <c r="H1090" s="46">
        <f>IFERROR(__xludf.DUMMYFUNCTION("""COMPUTED_VALUE"""),434232.69999999995)</f>
        <v>434232.7</v>
      </c>
      <c r="I1090" s="46">
        <f>IFERROR(__xludf.DUMMYFUNCTION("""COMPUTED_VALUE"""),247219.21)</f>
        <v>247219.21</v>
      </c>
      <c r="J1090" s="46">
        <f>IFERROR(__xludf.DUMMYFUNCTION("""COMPUTED_VALUE"""),187013.48999999996)</f>
        <v>187013.49</v>
      </c>
      <c r="K1090" s="46" t="str">
        <f t="array" ref="K1090">TEXT(D1090, "mmmm")</f>
        <v>April</v>
      </c>
      <c r="M1090" s="46" t="str">
        <f>IFERROR(__xludf.DUMMYFUNCTION("""COMPUTED_VALUE"""),"Bulgaria")</f>
        <v>Bulgaria</v>
      </c>
      <c r="N1090" s="94">
        <f>IFERROR(__xludf.DUMMYFUNCTION("""COMPUTED_VALUE"""),42856.0)</f>
        <v>42856</v>
      </c>
      <c r="O1090" s="46">
        <f>IFERROR(__xludf.DUMMYFUNCTION("""COMPUTED_VALUE"""),2.0)</f>
        <v>2</v>
      </c>
      <c r="P1090" s="46">
        <f>IFERROR(__xludf.DUMMYFUNCTION("""COMPUTED_VALUE"""),7858.0)</f>
        <v>7858</v>
      </c>
      <c r="Q1090" s="46">
        <f>IFERROR(__xludf.DUMMYFUNCTION("""COMPUTED_VALUE"""),3574159.6)</f>
        <v>3574159.6</v>
      </c>
      <c r="R1090" s="46">
        <f>IFERROR(__xludf.DUMMYFUNCTION("""COMPUTED_VALUE"""),2212773.1399999997)</f>
        <v>2212773.14</v>
      </c>
      <c r="S1090" s="46">
        <f>IFERROR(__xludf.DUMMYFUNCTION("""COMPUTED_VALUE"""),1361386.4600000002)</f>
        <v>1361386.46</v>
      </c>
    </row>
    <row r="1091">
      <c r="A1091" s="46" t="str">
        <f>IFERROR(__xludf.DUMMYFUNCTION("""COMPUTED_VALUE"""),"Clothes")</f>
        <v>Clothes</v>
      </c>
      <c r="B1091" s="46" t="str">
        <f>IFERROR(__xludf.DUMMYFUNCTION("""COMPUTED_VALUE"""),"Albania")</f>
        <v>Albania</v>
      </c>
      <c r="C1091" s="46" t="str">
        <f>IFERROR(__xludf.DUMMYFUNCTION("""COMPUTED_VALUE"""),"Europe")</f>
        <v>Europe</v>
      </c>
      <c r="D1091" s="90">
        <f>IFERROR(__xludf.DUMMYFUNCTION("""COMPUTED_VALUE"""),40634.0)</f>
        <v>40634</v>
      </c>
      <c r="E1091" s="46">
        <f>IFERROR(__xludf.DUMMYFUNCTION("""COMPUTED_VALUE"""),2011.0)</f>
        <v>2011</v>
      </c>
      <c r="F1091" s="46">
        <f>IFERROR(__xludf.DUMMYFUNCTION("""COMPUTED_VALUE"""),1.0)</f>
        <v>1</v>
      </c>
      <c r="G1091" s="46">
        <f>IFERROR(__xludf.DUMMYFUNCTION("""COMPUTED_VALUE"""),9843.0)</f>
        <v>9843</v>
      </c>
      <c r="H1091" s="46">
        <f>IFERROR(__xludf.DUMMYFUNCTION("""COMPUTED_VALUE"""),1075643.04)</f>
        <v>1075643.04</v>
      </c>
      <c r="I1091" s="46">
        <f>IFERROR(__xludf.DUMMYFUNCTION("""COMPUTED_VALUE"""),352773.12000000005)</f>
        <v>352773.12</v>
      </c>
      <c r="J1091" s="46">
        <f>IFERROR(__xludf.DUMMYFUNCTION("""COMPUTED_VALUE"""),722869.9199999999)</f>
        <v>722869.92</v>
      </c>
      <c r="K1091" s="46" t="str">
        <f t="array" ref="K1091">TEXT(D1091, "mmmm")</f>
        <v>April</v>
      </c>
      <c r="M1091" s="46" t="str">
        <f>IFERROR(__xludf.DUMMYFUNCTION("""COMPUTED_VALUE"""),"Czech Republic")</f>
        <v>Czech Republic</v>
      </c>
      <c r="N1091" s="94">
        <f>IFERROR(__xludf.DUMMYFUNCTION("""COMPUTED_VALUE"""),42856.0)</f>
        <v>42856</v>
      </c>
      <c r="O1091" s="46">
        <f>IFERROR(__xludf.DUMMYFUNCTION("""COMPUTED_VALUE"""),1.0)</f>
        <v>1</v>
      </c>
      <c r="P1091" s="46">
        <f>IFERROR(__xludf.DUMMYFUNCTION("""COMPUTED_VALUE"""),634.0)</f>
        <v>634</v>
      </c>
      <c r="Q1091" s="46">
        <f>IFERROR(__xludf.DUMMYFUNCTION("""COMPUTED_VALUE"""),267478.26)</f>
        <v>267478.26</v>
      </c>
      <c r="R1091" s="46">
        <f>IFERROR(__xludf.DUMMYFUNCTION("""COMPUTED_VALUE"""),231213.46)</f>
        <v>231213.46</v>
      </c>
      <c r="S1091" s="46">
        <f>IFERROR(__xludf.DUMMYFUNCTION("""COMPUTED_VALUE"""),36264.80000000002)</f>
        <v>36264.8</v>
      </c>
    </row>
    <row r="1092">
      <c r="A1092" s="46" t="str">
        <f>IFERROR(__xludf.DUMMYFUNCTION("""COMPUTED_VALUE"""),"Cosmetics")</f>
        <v>Cosmetics</v>
      </c>
      <c r="B1092" s="46" t="str">
        <f>IFERROR(__xludf.DUMMYFUNCTION("""COMPUTED_VALUE"""),"Poland")</f>
        <v>Poland</v>
      </c>
      <c r="C1092" s="46" t="str">
        <f>IFERROR(__xludf.DUMMYFUNCTION("""COMPUTED_VALUE"""),"Europe")</f>
        <v>Europe</v>
      </c>
      <c r="D1092" s="90">
        <f>IFERROR(__xludf.DUMMYFUNCTION("""COMPUTED_VALUE"""),40634.0)</f>
        <v>40634</v>
      </c>
      <c r="E1092" s="46">
        <f>IFERROR(__xludf.DUMMYFUNCTION("""COMPUTED_VALUE"""),2011.0)</f>
        <v>2011</v>
      </c>
      <c r="F1092" s="46">
        <f>IFERROR(__xludf.DUMMYFUNCTION("""COMPUTED_VALUE"""),1.0)</f>
        <v>1</v>
      </c>
      <c r="G1092" s="46">
        <f>IFERROR(__xludf.DUMMYFUNCTION("""COMPUTED_VALUE"""),4175.0)</f>
        <v>4175</v>
      </c>
      <c r="H1092" s="46">
        <f>IFERROR(__xludf.DUMMYFUNCTION("""COMPUTED_VALUE"""),1825310.0)</f>
        <v>1825310</v>
      </c>
      <c r="I1092" s="46">
        <f>IFERROR(__xludf.DUMMYFUNCTION("""COMPUTED_VALUE"""),1099402.75)</f>
        <v>1099402.75</v>
      </c>
      <c r="J1092" s="46">
        <f>IFERROR(__xludf.DUMMYFUNCTION("""COMPUTED_VALUE"""),725907.25)</f>
        <v>725907.25</v>
      </c>
      <c r="K1092" s="46" t="str">
        <f t="array" ref="K1092">TEXT(D1092, "mmmm")</f>
        <v>April</v>
      </c>
      <c r="M1092" s="46" t="str">
        <f>IFERROR(__xludf.DUMMYFUNCTION("""COMPUTED_VALUE"""),"Germany")</f>
        <v>Germany</v>
      </c>
      <c r="N1092" s="94">
        <f>IFERROR(__xludf.DUMMYFUNCTION("""COMPUTED_VALUE"""),42856.0)</f>
        <v>42856</v>
      </c>
      <c r="O1092" s="46">
        <f>IFERROR(__xludf.DUMMYFUNCTION("""COMPUTED_VALUE"""),2.0)</f>
        <v>2</v>
      </c>
      <c r="P1092" s="46">
        <f>IFERROR(__xludf.DUMMYFUNCTION("""COMPUTED_VALUE"""),5656.0)</f>
        <v>5656</v>
      </c>
      <c r="Q1092" s="46">
        <f>IFERROR(__xludf.DUMMYFUNCTION("""COMPUTED_VALUE"""),2386209.84)</f>
        <v>2386209.84</v>
      </c>
      <c r="R1092" s="46">
        <f>IFERROR(__xludf.DUMMYFUNCTION("""COMPUTED_VALUE"""),2062686.64)</f>
        <v>2062686.64</v>
      </c>
      <c r="S1092" s="46">
        <f>IFERROR(__xludf.DUMMYFUNCTION("""COMPUTED_VALUE"""),323523.19999999995)</f>
        <v>323523.2</v>
      </c>
    </row>
    <row r="1093">
      <c r="A1093" s="46" t="str">
        <f>IFERROR(__xludf.DUMMYFUNCTION("""COMPUTED_VALUE"""),"Fruits")</f>
        <v>Fruits</v>
      </c>
      <c r="B1093" s="46" t="str">
        <f>IFERROR(__xludf.DUMMYFUNCTION("""COMPUTED_VALUE"""),"Austria")</f>
        <v>Austria</v>
      </c>
      <c r="C1093" s="46" t="str">
        <f>IFERROR(__xludf.DUMMYFUNCTION("""COMPUTED_VALUE"""),"Europe")</f>
        <v>Europe</v>
      </c>
      <c r="D1093" s="90">
        <f>IFERROR(__xludf.DUMMYFUNCTION("""COMPUTED_VALUE"""),40634.0)</f>
        <v>40634</v>
      </c>
      <c r="E1093" s="46">
        <f>IFERROR(__xludf.DUMMYFUNCTION("""COMPUTED_VALUE"""),2011.0)</f>
        <v>2011</v>
      </c>
      <c r="F1093" s="46">
        <f>IFERROR(__xludf.DUMMYFUNCTION("""COMPUTED_VALUE"""),1.0)</f>
        <v>1</v>
      </c>
      <c r="G1093" s="46">
        <f>IFERROR(__xludf.DUMMYFUNCTION("""COMPUTED_VALUE"""),8733.0)</f>
        <v>8733</v>
      </c>
      <c r="H1093" s="46">
        <f>IFERROR(__xludf.DUMMYFUNCTION("""COMPUTED_VALUE"""),81478.89)</f>
        <v>81478.89</v>
      </c>
      <c r="I1093" s="46">
        <f>IFERROR(__xludf.DUMMYFUNCTION("""COMPUTED_VALUE"""),60432.36)</f>
        <v>60432.36</v>
      </c>
      <c r="J1093" s="46">
        <f>IFERROR(__xludf.DUMMYFUNCTION("""COMPUTED_VALUE"""),21046.53)</f>
        <v>21046.53</v>
      </c>
      <c r="K1093" s="46" t="str">
        <f t="array" ref="K1093">TEXT(D1093, "mmmm")</f>
        <v>April</v>
      </c>
      <c r="M1093" s="46" t="str">
        <f>IFERROR(__xludf.DUMMYFUNCTION("""COMPUTED_VALUE"""),"Ireland")</f>
        <v>Ireland</v>
      </c>
      <c r="N1093" s="94">
        <f>IFERROR(__xludf.DUMMYFUNCTION("""COMPUTED_VALUE"""),42856.0)</f>
        <v>42856</v>
      </c>
      <c r="O1093" s="46">
        <f>IFERROR(__xludf.DUMMYFUNCTION("""COMPUTED_VALUE"""),1.0)</f>
        <v>1</v>
      </c>
      <c r="P1093" s="46">
        <f>IFERROR(__xludf.DUMMYFUNCTION("""COMPUTED_VALUE"""),462.0)</f>
        <v>462</v>
      </c>
      <c r="Q1093" s="46">
        <f>IFERROR(__xludf.DUMMYFUNCTION("""COMPUTED_VALUE"""),117939.36)</f>
        <v>117939.36</v>
      </c>
      <c r="R1093" s="46">
        <f>IFERROR(__xludf.DUMMYFUNCTION("""COMPUTED_VALUE"""),73652.04)</f>
        <v>73652.04</v>
      </c>
      <c r="S1093" s="46">
        <f>IFERROR(__xludf.DUMMYFUNCTION("""COMPUTED_VALUE"""),44287.32000000001)</f>
        <v>44287.32</v>
      </c>
    </row>
    <row r="1094">
      <c r="A1094" s="46" t="str">
        <f>IFERROR(__xludf.DUMMYFUNCTION("""COMPUTED_VALUE"""),"Fruits")</f>
        <v>Fruits</v>
      </c>
      <c r="B1094" s="46" t="str">
        <f>IFERROR(__xludf.DUMMYFUNCTION("""COMPUTED_VALUE"""),"Belgium")</f>
        <v>Belgium</v>
      </c>
      <c r="C1094" s="46" t="str">
        <f>IFERROR(__xludf.DUMMYFUNCTION("""COMPUTED_VALUE"""),"Europe")</f>
        <v>Europe</v>
      </c>
      <c r="D1094" s="90">
        <f>IFERROR(__xludf.DUMMYFUNCTION("""COMPUTED_VALUE"""),40634.0)</f>
        <v>40634</v>
      </c>
      <c r="E1094" s="46">
        <f>IFERROR(__xludf.DUMMYFUNCTION("""COMPUTED_VALUE"""),2011.0)</f>
        <v>2011</v>
      </c>
      <c r="F1094" s="46">
        <f>IFERROR(__xludf.DUMMYFUNCTION("""COMPUTED_VALUE"""),1.0)</f>
        <v>1</v>
      </c>
      <c r="G1094" s="46">
        <f>IFERROR(__xludf.DUMMYFUNCTION("""COMPUTED_VALUE"""),3015.0)</f>
        <v>3015</v>
      </c>
      <c r="H1094" s="46">
        <f>IFERROR(__xludf.DUMMYFUNCTION("""COMPUTED_VALUE"""),28129.95)</f>
        <v>28129.95</v>
      </c>
      <c r="I1094" s="46">
        <f>IFERROR(__xludf.DUMMYFUNCTION("""COMPUTED_VALUE"""),20863.8)</f>
        <v>20863.8</v>
      </c>
      <c r="J1094" s="46">
        <f>IFERROR(__xludf.DUMMYFUNCTION("""COMPUTED_VALUE"""),7266.1500000000015)</f>
        <v>7266.15</v>
      </c>
      <c r="K1094" s="46" t="str">
        <f t="array" ref="K1094">TEXT(D1094, "mmmm")</f>
        <v>April</v>
      </c>
      <c r="M1094" s="46" t="str">
        <f>IFERROR(__xludf.DUMMYFUNCTION("""COMPUTED_VALUE"""),"Latvia")</f>
        <v>Latvia</v>
      </c>
      <c r="N1094" s="94">
        <f>IFERROR(__xludf.DUMMYFUNCTION("""COMPUTED_VALUE"""),42856.0)</f>
        <v>42856</v>
      </c>
      <c r="O1094" s="46">
        <f>IFERROR(__xludf.DUMMYFUNCTION("""COMPUTED_VALUE"""),1.0)</f>
        <v>1</v>
      </c>
      <c r="P1094" s="46">
        <f>IFERROR(__xludf.DUMMYFUNCTION("""COMPUTED_VALUE"""),6287.0)</f>
        <v>6287</v>
      </c>
      <c r="Q1094" s="46">
        <f>IFERROR(__xludf.DUMMYFUNCTION("""COMPUTED_VALUE"""),4094157.27)</f>
        <v>4094157.27</v>
      </c>
      <c r="R1094" s="46">
        <f>IFERROR(__xludf.DUMMYFUNCTION("""COMPUTED_VALUE"""),3300423.52)</f>
        <v>3300423.52</v>
      </c>
      <c r="S1094" s="46">
        <f>IFERROR(__xludf.DUMMYFUNCTION("""COMPUTED_VALUE"""),793733.75)</f>
        <v>793733.75</v>
      </c>
    </row>
    <row r="1095">
      <c r="A1095" s="46" t="str">
        <f>IFERROR(__xludf.DUMMYFUNCTION("""COMPUTED_VALUE"""),"Fruits")</f>
        <v>Fruits</v>
      </c>
      <c r="B1095" s="46" t="str">
        <f>IFERROR(__xludf.DUMMYFUNCTION("""COMPUTED_VALUE"""),"Liechtenstein")</f>
        <v>Liechtenstein</v>
      </c>
      <c r="C1095" s="46" t="str">
        <f>IFERROR(__xludf.DUMMYFUNCTION("""COMPUTED_VALUE"""),"Europe")</f>
        <v>Europe</v>
      </c>
      <c r="D1095" s="90">
        <f>IFERROR(__xludf.DUMMYFUNCTION("""COMPUTED_VALUE"""),40634.0)</f>
        <v>40634</v>
      </c>
      <c r="E1095" s="46">
        <f>IFERROR(__xludf.DUMMYFUNCTION("""COMPUTED_VALUE"""),2011.0)</f>
        <v>2011</v>
      </c>
      <c r="F1095" s="46">
        <f>IFERROR(__xludf.DUMMYFUNCTION("""COMPUTED_VALUE"""),1.0)</f>
        <v>1</v>
      </c>
      <c r="G1095" s="46">
        <f>IFERROR(__xludf.DUMMYFUNCTION("""COMPUTED_VALUE"""),1573.0)</f>
        <v>1573</v>
      </c>
      <c r="H1095" s="46">
        <f>IFERROR(__xludf.DUMMYFUNCTION("""COMPUTED_VALUE"""),14676.09)</f>
        <v>14676.09</v>
      </c>
      <c r="I1095" s="46">
        <f>IFERROR(__xludf.DUMMYFUNCTION("""COMPUTED_VALUE"""),10885.16)</f>
        <v>10885.16</v>
      </c>
      <c r="J1095" s="46">
        <f>IFERROR(__xludf.DUMMYFUNCTION("""COMPUTED_VALUE"""),3790.9300000000003)</f>
        <v>3790.93</v>
      </c>
      <c r="K1095" s="46" t="str">
        <f t="array" ref="K1095">TEXT(D1095, "mmmm")</f>
        <v>April</v>
      </c>
      <c r="M1095" s="46" t="str">
        <f>IFERROR(__xludf.DUMMYFUNCTION("""COMPUTED_VALUE"""),"Liechtenstein")</f>
        <v>Liechtenstein</v>
      </c>
      <c r="N1095" s="94">
        <f>IFERROR(__xludf.DUMMYFUNCTION("""COMPUTED_VALUE"""),42856.0)</f>
        <v>42856</v>
      </c>
      <c r="O1095" s="46">
        <f>IFERROR(__xludf.DUMMYFUNCTION("""COMPUTED_VALUE"""),1.0)</f>
        <v>1</v>
      </c>
      <c r="P1095" s="46">
        <f>IFERROR(__xludf.DUMMYFUNCTION("""COMPUTED_VALUE"""),1957.0)</f>
        <v>1957</v>
      </c>
      <c r="Q1095" s="46">
        <f>IFERROR(__xludf.DUMMYFUNCTION("""COMPUTED_VALUE"""),825638.73)</f>
        <v>825638.73</v>
      </c>
      <c r="R1095" s="46">
        <f>IFERROR(__xludf.DUMMYFUNCTION("""COMPUTED_VALUE"""),713698.33)</f>
        <v>713698.33</v>
      </c>
      <c r="S1095" s="46">
        <f>IFERROR(__xludf.DUMMYFUNCTION("""COMPUTED_VALUE"""),111940.40000000002)</f>
        <v>111940.4</v>
      </c>
    </row>
    <row r="1096">
      <c r="A1096" s="46" t="str">
        <f>IFERROR(__xludf.DUMMYFUNCTION("""COMPUTED_VALUE"""),"Household")</f>
        <v>Household</v>
      </c>
      <c r="B1096" s="46" t="str">
        <f>IFERROR(__xludf.DUMMYFUNCTION("""COMPUTED_VALUE"""),"Poland")</f>
        <v>Poland</v>
      </c>
      <c r="C1096" s="46" t="str">
        <f>IFERROR(__xludf.DUMMYFUNCTION("""COMPUTED_VALUE"""),"Europe")</f>
        <v>Europe</v>
      </c>
      <c r="D1096" s="90">
        <f>IFERROR(__xludf.DUMMYFUNCTION("""COMPUTED_VALUE"""),40634.0)</f>
        <v>40634</v>
      </c>
      <c r="E1096" s="46">
        <f>IFERROR(__xludf.DUMMYFUNCTION("""COMPUTED_VALUE"""),2011.0)</f>
        <v>2011</v>
      </c>
      <c r="F1096" s="46">
        <f>IFERROR(__xludf.DUMMYFUNCTION("""COMPUTED_VALUE"""),1.0)</f>
        <v>1</v>
      </c>
      <c r="G1096" s="46">
        <f>IFERROR(__xludf.DUMMYFUNCTION("""COMPUTED_VALUE"""),5864.0)</f>
        <v>5864</v>
      </c>
      <c r="H1096" s="46">
        <f>IFERROR(__xludf.DUMMYFUNCTION("""COMPUTED_VALUE"""),3918735.28)</f>
        <v>3918735.28</v>
      </c>
      <c r="I1096" s="46">
        <f>IFERROR(__xludf.DUMMYFUNCTION("""COMPUTED_VALUE"""),2946894.56)</f>
        <v>2946894.56</v>
      </c>
      <c r="J1096" s="46">
        <f>IFERROR(__xludf.DUMMYFUNCTION("""COMPUTED_VALUE"""),971840.7199999997)</f>
        <v>971840.72</v>
      </c>
      <c r="K1096" s="46" t="str">
        <f t="array" ref="K1096">TEXT(D1096, "mmmm")</f>
        <v>April</v>
      </c>
      <c r="M1096" s="46" t="str">
        <f>IFERROR(__xludf.DUMMYFUNCTION("""COMPUTED_VALUE"""),"Lithuania")</f>
        <v>Lithuania</v>
      </c>
      <c r="N1096" s="94">
        <f>IFERROR(__xludf.DUMMYFUNCTION("""COMPUTED_VALUE"""),42856.0)</f>
        <v>42856</v>
      </c>
      <c r="O1096" s="46">
        <f>IFERROR(__xludf.DUMMYFUNCTION("""COMPUTED_VALUE"""),1.0)</f>
        <v>1</v>
      </c>
      <c r="P1096" s="46">
        <f>IFERROR(__xludf.DUMMYFUNCTION("""COMPUTED_VALUE"""),6999.0)</f>
        <v>6999</v>
      </c>
      <c r="Q1096" s="46">
        <f>IFERROR(__xludf.DUMMYFUNCTION("""COMPUTED_VALUE"""),1078265.94)</f>
        <v>1078265.94</v>
      </c>
      <c r="R1096" s="46">
        <f>IFERROR(__xludf.DUMMYFUNCTION("""COMPUTED_VALUE"""),636419.0700000001)</f>
        <v>636419.07</v>
      </c>
      <c r="S1096" s="46">
        <f>IFERROR(__xludf.DUMMYFUNCTION("""COMPUTED_VALUE"""),441846.8699999999)</f>
        <v>441846.87</v>
      </c>
    </row>
    <row r="1097">
      <c r="A1097" s="46" t="str">
        <f>IFERROR(__xludf.DUMMYFUNCTION("""COMPUTED_VALUE"""),"Meat")</f>
        <v>Meat</v>
      </c>
      <c r="B1097" s="46" t="str">
        <f>IFERROR(__xludf.DUMMYFUNCTION("""COMPUTED_VALUE"""),"Georgia")</f>
        <v>Georgia</v>
      </c>
      <c r="C1097" s="46" t="str">
        <f>IFERROR(__xludf.DUMMYFUNCTION("""COMPUTED_VALUE"""),"Asia")</f>
        <v>Asia</v>
      </c>
      <c r="D1097" s="90">
        <f>IFERROR(__xludf.DUMMYFUNCTION("""COMPUTED_VALUE"""),40634.0)</f>
        <v>40634</v>
      </c>
      <c r="E1097" s="46">
        <f>IFERROR(__xludf.DUMMYFUNCTION("""COMPUTED_VALUE"""),2011.0)</f>
        <v>2011</v>
      </c>
      <c r="F1097" s="46">
        <f>IFERROR(__xludf.DUMMYFUNCTION("""COMPUTED_VALUE"""),1.0)</f>
        <v>1</v>
      </c>
      <c r="G1097" s="46">
        <f>IFERROR(__xludf.DUMMYFUNCTION("""COMPUTED_VALUE"""),1793.0)</f>
        <v>1793</v>
      </c>
      <c r="H1097" s="46">
        <f>IFERROR(__xludf.DUMMYFUNCTION("""COMPUTED_VALUE"""),756448.77)</f>
        <v>756448.77</v>
      </c>
      <c r="I1097" s="46">
        <f>IFERROR(__xludf.DUMMYFUNCTION("""COMPUTED_VALUE"""),653889.17)</f>
        <v>653889.17</v>
      </c>
      <c r="J1097" s="46">
        <f>IFERROR(__xludf.DUMMYFUNCTION("""COMPUTED_VALUE"""),102559.59999999998)</f>
        <v>102559.6</v>
      </c>
      <c r="K1097" s="46" t="str">
        <f t="array" ref="K1097">TEXT(D1097, "mmmm")</f>
        <v>April</v>
      </c>
      <c r="M1097" s="46" t="str">
        <f>IFERROR(__xludf.DUMMYFUNCTION("""COMPUTED_VALUE"""),"Montenegro")</f>
        <v>Montenegro</v>
      </c>
      <c r="N1097" s="94">
        <f>IFERROR(__xludf.DUMMYFUNCTION("""COMPUTED_VALUE"""),42856.0)</f>
        <v>42856</v>
      </c>
      <c r="O1097" s="46">
        <f>IFERROR(__xludf.DUMMYFUNCTION("""COMPUTED_VALUE"""),1.0)</f>
        <v>1</v>
      </c>
      <c r="P1097" s="46">
        <f>IFERROR(__xludf.DUMMYFUNCTION("""COMPUTED_VALUE"""),1171.0)</f>
        <v>1171</v>
      </c>
      <c r="Q1097" s="46">
        <f>IFERROR(__xludf.DUMMYFUNCTION("""COMPUTED_VALUE"""),127966.88)</f>
        <v>127966.88</v>
      </c>
      <c r="R1097" s="46">
        <f>IFERROR(__xludf.DUMMYFUNCTION("""COMPUTED_VALUE"""),41968.64000000001)</f>
        <v>41968.64</v>
      </c>
      <c r="S1097" s="46">
        <f>IFERROR(__xludf.DUMMYFUNCTION("""COMPUTED_VALUE"""),85998.23999999999)</f>
        <v>85998.24</v>
      </c>
    </row>
    <row r="1098">
      <c r="A1098" s="46" t="str">
        <f>IFERROR(__xludf.DUMMYFUNCTION("""COMPUTED_VALUE"""),"Office Supplies")</f>
        <v>Office Supplies</v>
      </c>
      <c r="B1098" s="46" t="str">
        <f>IFERROR(__xludf.DUMMYFUNCTION("""COMPUTED_VALUE"""),"Lithuania")</f>
        <v>Lithuania</v>
      </c>
      <c r="C1098" s="46" t="str">
        <f>IFERROR(__xludf.DUMMYFUNCTION("""COMPUTED_VALUE"""),"Europe")</f>
        <v>Europe</v>
      </c>
      <c r="D1098" s="90">
        <f>IFERROR(__xludf.DUMMYFUNCTION("""COMPUTED_VALUE"""),40634.0)</f>
        <v>40634</v>
      </c>
      <c r="E1098" s="46">
        <f>IFERROR(__xludf.DUMMYFUNCTION("""COMPUTED_VALUE"""),2011.0)</f>
        <v>2011</v>
      </c>
      <c r="F1098" s="46">
        <f>IFERROR(__xludf.DUMMYFUNCTION("""COMPUTED_VALUE"""),1.0)</f>
        <v>1</v>
      </c>
      <c r="G1098" s="46">
        <f>IFERROR(__xludf.DUMMYFUNCTION("""COMPUTED_VALUE"""),2212.0)</f>
        <v>2212</v>
      </c>
      <c r="H1098" s="46">
        <f>IFERROR(__xludf.DUMMYFUNCTION("""COMPUTED_VALUE"""),1440476.52)</f>
        <v>1440476.52</v>
      </c>
      <c r="I1098" s="46">
        <f>IFERROR(__xludf.DUMMYFUNCTION("""COMPUTED_VALUE"""),1161211.52)</f>
        <v>1161211.52</v>
      </c>
      <c r="J1098" s="46">
        <f>IFERROR(__xludf.DUMMYFUNCTION("""COMPUTED_VALUE"""),279265.0)</f>
        <v>279265</v>
      </c>
      <c r="K1098" s="46" t="str">
        <f t="array" ref="K1098">TEXT(D1098, "mmmm")</f>
        <v>April</v>
      </c>
      <c r="M1098" s="46" t="str">
        <f>IFERROR(__xludf.DUMMYFUNCTION("""COMPUTED_VALUE"""),"Romania")</f>
        <v>Romania</v>
      </c>
      <c r="N1098" s="94">
        <f>IFERROR(__xludf.DUMMYFUNCTION("""COMPUTED_VALUE"""),42856.0)</f>
        <v>42856</v>
      </c>
      <c r="O1098" s="46">
        <f>IFERROR(__xludf.DUMMYFUNCTION("""COMPUTED_VALUE"""),1.0)</f>
        <v>1</v>
      </c>
      <c r="P1098" s="46">
        <f>IFERROR(__xludf.DUMMYFUNCTION("""COMPUTED_VALUE"""),1097.0)</f>
        <v>1097</v>
      </c>
      <c r="Q1098" s="46">
        <f>IFERROR(__xludf.DUMMYFUNCTION("""COMPUTED_VALUE"""),462813.32999999996)</f>
        <v>462813.33</v>
      </c>
      <c r="R1098" s="46">
        <f>IFERROR(__xludf.DUMMYFUNCTION("""COMPUTED_VALUE"""),400064.93)</f>
        <v>400064.93</v>
      </c>
      <c r="S1098" s="46">
        <f>IFERROR(__xludf.DUMMYFUNCTION("""COMPUTED_VALUE"""),62748.399999999965)</f>
        <v>62748.4</v>
      </c>
    </row>
    <row r="1099">
      <c r="A1099" s="46" t="str">
        <f>IFERROR(__xludf.DUMMYFUNCTION("""COMPUTED_VALUE"""),"Office Supplies")</f>
        <v>Office Supplies</v>
      </c>
      <c r="B1099" s="46" t="str">
        <f>IFERROR(__xludf.DUMMYFUNCTION("""COMPUTED_VALUE"""),"Montenegro")</f>
        <v>Montenegro</v>
      </c>
      <c r="C1099" s="46" t="str">
        <f>IFERROR(__xludf.DUMMYFUNCTION("""COMPUTED_VALUE"""),"Europe")</f>
        <v>Europe</v>
      </c>
      <c r="D1099" s="90">
        <f>IFERROR(__xludf.DUMMYFUNCTION("""COMPUTED_VALUE"""),40634.0)</f>
        <v>40634</v>
      </c>
      <c r="E1099" s="46">
        <f>IFERROR(__xludf.DUMMYFUNCTION("""COMPUTED_VALUE"""),2011.0)</f>
        <v>2011</v>
      </c>
      <c r="F1099" s="46">
        <f>IFERROR(__xludf.DUMMYFUNCTION("""COMPUTED_VALUE"""),1.0)</f>
        <v>1</v>
      </c>
      <c r="G1099" s="46">
        <f>IFERROR(__xludf.DUMMYFUNCTION("""COMPUTED_VALUE"""),4406.0)</f>
        <v>4406</v>
      </c>
      <c r="H1099" s="46">
        <f>IFERROR(__xludf.DUMMYFUNCTION("""COMPUTED_VALUE"""),2869231.2600000002)</f>
        <v>2869231.26</v>
      </c>
      <c r="I1099" s="46">
        <f>IFERROR(__xludf.DUMMYFUNCTION("""COMPUTED_VALUE"""),2312973.7600000002)</f>
        <v>2312973.76</v>
      </c>
      <c r="J1099" s="46">
        <f>IFERROR(__xludf.DUMMYFUNCTION("""COMPUTED_VALUE"""),556257.5)</f>
        <v>556257.5</v>
      </c>
      <c r="K1099" s="46" t="str">
        <f t="array" ref="K1099">TEXT(D1099, "mmmm")</f>
        <v>April</v>
      </c>
      <c r="M1099" s="46" t="str">
        <f>IFERROR(__xludf.DUMMYFUNCTION("""COMPUTED_VALUE"""),"Slovakia")</f>
        <v>Slovakia</v>
      </c>
      <c r="N1099" s="94">
        <f>IFERROR(__xludf.DUMMYFUNCTION("""COMPUTED_VALUE"""),42856.0)</f>
        <v>42856</v>
      </c>
      <c r="O1099" s="46">
        <f>IFERROR(__xludf.DUMMYFUNCTION("""COMPUTED_VALUE"""),1.0)</f>
        <v>1</v>
      </c>
      <c r="P1099" s="46">
        <f>IFERROR(__xludf.DUMMYFUNCTION("""COMPUTED_VALUE"""),673.0)</f>
        <v>673</v>
      </c>
      <c r="Q1099" s="46">
        <f>IFERROR(__xludf.DUMMYFUNCTION("""COMPUTED_VALUE"""),31933.850000000002)</f>
        <v>31933.85</v>
      </c>
      <c r="R1099" s="46">
        <f>IFERROR(__xludf.DUMMYFUNCTION("""COMPUTED_VALUE"""),21394.67)</f>
        <v>21394.67</v>
      </c>
      <c r="S1099" s="46">
        <f>IFERROR(__xludf.DUMMYFUNCTION("""COMPUTED_VALUE"""),10539.180000000004)</f>
        <v>10539.18</v>
      </c>
    </row>
    <row r="1100">
      <c r="A1100" s="46" t="str">
        <f>IFERROR(__xludf.DUMMYFUNCTION("""COMPUTED_VALUE"""),"Personal Care")</f>
        <v>Personal Care</v>
      </c>
      <c r="B1100" s="46" t="str">
        <f>IFERROR(__xludf.DUMMYFUNCTION("""COMPUTED_VALUE"""),"Lithuania")</f>
        <v>Lithuania</v>
      </c>
      <c r="C1100" s="46" t="str">
        <f>IFERROR(__xludf.DUMMYFUNCTION("""COMPUTED_VALUE"""),"Europe")</f>
        <v>Europe</v>
      </c>
      <c r="D1100" s="90">
        <f>IFERROR(__xludf.DUMMYFUNCTION("""COMPUTED_VALUE"""),40634.0)</f>
        <v>40634</v>
      </c>
      <c r="E1100" s="46">
        <f>IFERROR(__xludf.DUMMYFUNCTION("""COMPUTED_VALUE"""),2011.0)</f>
        <v>2011</v>
      </c>
      <c r="F1100" s="46">
        <f>IFERROR(__xludf.DUMMYFUNCTION("""COMPUTED_VALUE"""),1.0)</f>
        <v>1</v>
      </c>
      <c r="G1100" s="46">
        <f>IFERROR(__xludf.DUMMYFUNCTION("""COMPUTED_VALUE"""),1875.0)</f>
        <v>1875</v>
      </c>
      <c r="H1100" s="46">
        <f>IFERROR(__xludf.DUMMYFUNCTION("""COMPUTED_VALUE"""),153243.75)</f>
        <v>153243.75</v>
      </c>
      <c r="I1100" s="46">
        <f>IFERROR(__xludf.DUMMYFUNCTION("""COMPUTED_VALUE"""),106256.25)</f>
        <v>106256.25</v>
      </c>
      <c r="J1100" s="46">
        <f>IFERROR(__xludf.DUMMYFUNCTION("""COMPUTED_VALUE"""),46987.5)</f>
        <v>46987.5</v>
      </c>
      <c r="K1100" s="46" t="str">
        <f t="array" ref="K1100">TEXT(D1100, "mmmm")</f>
        <v>April</v>
      </c>
      <c r="M1100" s="46" t="str">
        <f>IFERROR(__xludf.DUMMYFUNCTION("""COMPUTED_VALUE"""),"Ukraine")</f>
        <v>Ukraine</v>
      </c>
      <c r="N1100" s="94">
        <f>IFERROR(__xludf.DUMMYFUNCTION("""COMPUTED_VALUE"""),42856.0)</f>
        <v>42856</v>
      </c>
      <c r="O1100" s="46">
        <f>IFERROR(__xludf.DUMMYFUNCTION("""COMPUTED_VALUE"""),1.0)</f>
        <v>1</v>
      </c>
      <c r="P1100" s="46">
        <f>IFERROR(__xludf.DUMMYFUNCTION("""COMPUTED_VALUE"""),7872.0)</f>
        <v>7872</v>
      </c>
      <c r="Q1100" s="46">
        <f>IFERROR(__xludf.DUMMYFUNCTION("""COMPUTED_VALUE"""),5126325.12)</f>
        <v>5126325.12</v>
      </c>
      <c r="R1100" s="46">
        <f>IFERROR(__xludf.DUMMYFUNCTION("""COMPUTED_VALUE"""),4132485.12)</f>
        <v>4132485.12</v>
      </c>
      <c r="S1100" s="46">
        <f>IFERROR(__xludf.DUMMYFUNCTION("""COMPUTED_VALUE"""),993840.0)</f>
        <v>993840</v>
      </c>
    </row>
    <row r="1101">
      <c r="A1101" s="46" t="str">
        <f>IFERROR(__xludf.DUMMYFUNCTION("""COMPUTED_VALUE"""),"Personal Care")</f>
        <v>Personal Care</v>
      </c>
      <c r="B1101" s="46" t="str">
        <f>IFERROR(__xludf.DUMMYFUNCTION("""COMPUTED_VALUE"""),"Sweden")</f>
        <v>Sweden</v>
      </c>
      <c r="C1101" s="46" t="str">
        <f>IFERROR(__xludf.DUMMYFUNCTION("""COMPUTED_VALUE"""),"Europe")</f>
        <v>Europe</v>
      </c>
      <c r="D1101" s="90">
        <f>IFERROR(__xludf.DUMMYFUNCTION("""COMPUTED_VALUE"""),40634.0)</f>
        <v>40634</v>
      </c>
      <c r="E1101" s="46">
        <f>IFERROR(__xludf.DUMMYFUNCTION("""COMPUTED_VALUE"""),2011.0)</f>
        <v>2011</v>
      </c>
      <c r="F1101" s="46">
        <f>IFERROR(__xludf.DUMMYFUNCTION("""COMPUTED_VALUE"""),1.0)</f>
        <v>1</v>
      </c>
      <c r="G1101" s="46">
        <f>IFERROR(__xludf.DUMMYFUNCTION("""COMPUTED_VALUE"""),5572.0)</f>
        <v>5572</v>
      </c>
      <c r="H1101" s="46">
        <f>IFERROR(__xludf.DUMMYFUNCTION("""COMPUTED_VALUE"""),455399.56)</f>
        <v>455399.56</v>
      </c>
      <c r="I1101" s="46">
        <f>IFERROR(__xludf.DUMMYFUNCTION("""COMPUTED_VALUE"""),315765.24)</f>
        <v>315765.24</v>
      </c>
      <c r="J1101" s="46">
        <f>IFERROR(__xludf.DUMMYFUNCTION("""COMPUTED_VALUE"""),139634.32)</f>
        <v>139634.32</v>
      </c>
      <c r="K1101" s="46" t="str">
        <f t="array" ref="K1101">TEXT(D1101, "mmmm")</f>
        <v>April</v>
      </c>
      <c r="M1101" s="46" t="str">
        <f>IFERROR(__xludf.DUMMYFUNCTION("""COMPUTED_VALUE"""),"Undefined")</f>
        <v>Undefined</v>
      </c>
      <c r="N1101" s="94">
        <f>IFERROR(__xludf.DUMMYFUNCTION("""COMPUTED_VALUE"""),42856.0)</f>
        <v>42856</v>
      </c>
      <c r="O1101" s="46">
        <f>IFERROR(__xludf.DUMMYFUNCTION("""COMPUTED_VALUE"""),1.0)</f>
        <v>1</v>
      </c>
      <c r="P1101" s="46">
        <f>IFERROR(__xludf.DUMMYFUNCTION("""COMPUTED_VALUE"""),5762.0)</f>
        <v>5762</v>
      </c>
      <c r="Q1101" s="46">
        <f>IFERROR(__xludf.DUMMYFUNCTION("""COMPUTED_VALUE"""),1470923.36)</f>
        <v>1470923.36</v>
      </c>
      <c r="R1101" s="46">
        <f>IFERROR(__xludf.DUMMYFUNCTION("""COMPUTED_VALUE"""),918578.0399999999)</f>
        <v>918578.04</v>
      </c>
      <c r="S1101" s="46">
        <f>IFERROR(__xludf.DUMMYFUNCTION("""COMPUTED_VALUE"""),552345.3200000002)</f>
        <v>552345.32</v>
      </c>
    </row>
    <row r="1102">
      <c r="A1102" s="46" t="str">
        <f>IFERROR(__xludf.DUMMYFUNCTION("""COMPUTED_VALUE"""),"Snacks")</f>
        <v>Snacks</v>
      </c>
      <c r="B1102" s="46" t="str">
        <f>IFERROR(__xludf.DUMMYFUNCTION("""COMPUTED_VALUE"""),"Cyprus")</f>
        <v>Cyprus</v>
      </c>
      <c r="C1102" s="46" t="str">
        <f>IFERROR(__xludf.DUMMYFUNCTION("""COMPUTED_VALUE"""),"Asia")</f>
        <v>Asia</v>
      </c>
      <c r="D1102" s="90">
        <f>IFERROR(__xludf.DUMMYFUNCTION("""COMPUTED_VALUE"""),40634.0)</f>
        <v>40634</v>
      </c>
      <c r="E1102" s="46">
        <f>IFERROR(__xludf.DUMMYFUNCTION("""COMPUTED_VALUE"""),2011.0)</f>
        <v>2011</v>
      </c>
      <c r="F1102" s="46">
        <f>IFERROR(__xludf.DUMMYFUNCTION("""COMPUTED_VALUE"""),1.0)</f>
        <v>1</v>
      </c>
      <c r="G1102" s="46">
        <f>IFERROR(__xludf.DUMMYFUNCTION("""COMPUTED_VALUE"""),7006.0)</f>
        <v>7006</v>
      </c>
      <c r="H1102" s="46">
        <f>IFERROR(__xludf.DUMMYFUNCTION("""COMPUTED_VALUE"""),1068975.48)</f>
        <v>1068975.48</v>
      </c>
      <c r="I1102" s="46">
        <f>IFERROR(__xludf.DUMMYFUNCTION("""COMPUTED_VALUE"""),682664.64)</f>
        <v>682664.64</v>
      </c>
      <c r="J1102" s="46">
        <f>IFERROR(__xludf.DUMMYFUNCTION("""COMPUTED_VALUE"""),386310.83999999997)</f>
        <v>386310.84</v>
      </c>
      <c r="K1102" s="46" t="str">
        <f t="array" ref="K1102">TEXT(D1102, "mmmm")</f>
        <v>April</v>
      </c>
      <c r="M1102" s="46" t="str">
        <f>IFERROR(__xludf.DUMMYFUNCTION("""COMPUTED_VALUE"""),"United Kingdom")</f>
        <v>United Kingdom</v>
      </c>
      <c r="N1102" s="94">
        <f>IFERROR(__xludf.DUMMYFUNCTION("""COMPUTED_VALUE"""),42856.0)</f>
        <v>42856</v>
      </c>
      <c r="O1102" s="46">
        <f>IFERROR(__xludf.DUMMYFUNCTION("""COMPUTED_VALUE"""),1.0)</f>
        <v>1</v>
      </c>
      <c r="P1102" s="46">
        <f>IFERROR(__xludf.DUMMYFUNCTION("""COMPUTED_VALUE"""),176.0)</f>
        <v>176</v>
      </c>
      <c r="Q1102" s="46">
        <f>IFERROR(__xludf.DUMMYFUNCTION("""COMPUTED_VALUE"""),76947.2)</f>
        <v>76947.2</v>
      </c>
      <c r="R1102" s="46">
        <f>IFERROR(__xludf.DUMMYFUNCTION("""COMPUTED_VALUE"""),46346.079999999994)</f>
        <v>46346.08</v>
      </c>
      <c r="S1102" s="46">
        <f>IFERROR(__xludf.DUMMYFUNCTION("""COMPUTED_VALUE"""),30601.120000000003)</f>
        <v>30601.12</v>
      </c>
    </row>
    <row r="1103">
      <c r="A1103" s="46" t="str">
        <f>IFERROR(__xludf.DUMMYFUNCTION("""COMPUTED_VALUE"""),"Vegetables")</f>
        <v>Vegetables</v>
      </c>
      <c r="B1103" s="46" t="str">
        <f>IFERROR(__xludf.DUMMYFUNCTION("""COMPUTED_VALUE"""),"Ireland")</f>
        <v>Ireland</v>
      </c>
      <c r="C1103" s="46" t="str">
        <f>IFERROR(__xludf.DUMMYFUNCTION("""COMPUTED_VALUE"""),"Europe")</f>
        <v>Europe</v>
      </c>
      <c r="D1103" s="90">
        <f>IFERROR(__xludf.DUMMYFUNCTION("""COMPUTED_VALUE"""),40634.0)</f>
        <v>40634</v>
      </c>
      <c r="E1103" s="46">
        <f>IFERROR(__xludf.DUMMYFUNCTION("""COMPUTED_VALUE"""),2011.0)</f>
        <v>2011</v>
      </c>
      <c r="F1103" s="46">
        <f>IFERROR(__xludf.DUMMYFUNCTION("""COMPUTED_VALUE"""),1.0)</f>
        <v>1</v>
      </c>
      <c r="G1103" s="46">
        <f>IFERROR(__xludf.DUMMYFUNCTION("""COMPUTED_VALUE"""),8076.0)</f>
        <v>8076</v>
      </c>
      <c r="H1103" s="46">
        <f>IFERROR(__xludf.DUMMYFUNCTION("""COMPUTED_VALUE"""),1244188.56)</f>
        <v>1244188.56</v>
      </c>
      <c r="I1103" s="46">
        <f>IFERROR(__xludf.DUMMYFUNCTION("""COMPUTED_VALUE"""),734350.68)</f>
        <v>734350.68</v>
      </c>
      <c r="J1103" s="46">
        <f>IFERROR(__xludf.DUMMYFUNCTION("""COMPUTED_VALUE"""),509837.88)</f>
        <v>509837.88</v>
      </c>
      <c r="K1103" s="46" t="str">
        <f t="array" ref="K1103">TEXT(D1103, "mmmm")</f>
        <v>April</v>
      </c>
      <c r="M1103" s="46" t="str">
        <f>IFERROR(__xludf.DUMMYFUNCTION("""COMPUTED_VALUE"""),"Andorra")</f>
        <v>Andorra</v>
      </c>
      <c r="N1103" s="94">
        <f>IFERROR(__xludf.DUMMYFUNCTION("""COMPUTED_VALUE"""),42887.0)</f>
        <v>42887</v>
      </c>
      <c r="O1103" s="46">
        <f>IFERROR(__xludf.DUMMYFUNCTION("""COMPUTED_VALUE"""),2.0)</f>
        <v>2</v>
      </c>
      <c r="P1103" s="46">
        <f>IFERROR(__xludf.DUMMYFUNCTION("""COMPUTED_VALUE"""),5994.0)</f>
        <v>5994</v>
      </c>
      <c r="Q1103" s="46">
        <f>IFERROR(__xludf.DUMMYFUNCTION("""COMPUTED_VALUE"""),813434.3200000001)</f>
        <v>813434.32</v>
      </c>
      <c r="R1103" s="46">
        <f>IFERROR(__xludf.DUMMYFUNCTION("""COMPUTED_VALUE"""),348909.26)</f>
        <v>348909.26</v>
      </c>
      <c r="S1103" s="46">
        <f>IFERROR(__xludf.DUMMYFUNCTION("""COMPUTED_VALUE"""),464525.05999999994)</f>
        <v>464525.06</v>
      </c>
    </row>
    <row r="1104">
      <c r="A1104" s="46" t="str">
        <f>IFERROR(__xludf.DUMMYFUNCTION("""COMPUTED_VALUE"""),"Vegetables")</f>
        <v>Vegetables</v>
      </c>
      <c r="B1104" s="46" t="str">
        <f>IFERROR(__xludf.DUMMYFUNCTION("""COMPUTED_VALUE"""),"Montenegro")</f>
        <v>Montenegro</v>
      </c>
      <c r="C1104" s="46" t="str">
        <f>IFERROR(__xludf.DUMMYFUNCTION("""COMPUTED_VALUE"""),"Europe")</f>
        <v>Europe</v>
      </c>
      <c r="D1104" s="90">
        <f>IFERROR(__xludf.DUMMYFUNCTION("""COMPUTED_VALUE"""),40634.0)</f>
        <v>40634</v>
      </c>
      <c r="E1104" s="46">
        <f>IFERROR(__xludf.DUMMYFUNCTION("""COMPUTED_VALUE"""),2011.0)</f>
        <v>2011</v>
      </c>
      <c r="F1104" s="46">
        <f>IFERROR(__xludf.DUMMYFUNCTION("""COMPUTED_VALUE"""),1.0)</f>
        <v>1</v>
      </c>
      <c r="G1104" s="46">
        <f>IFERROR(__xludf.DUMMYFUNCTION("""COMPUTED_VALUE"""),8869.0)</f>
        <v>8869</v>
      </c>
      <c r="H1104" s="46">
        <f>IFERROR(__xludf.DUMMYFUNCTION("""COMPUTED_VALUE"""),1366358.1400000001)</f>
        <v>1366358.14</v>
      </c>
      <c r="I1104" s="46">
        <f>IFERROR(__xludf.DUMMYFUNCTION("""COMPUTED_VALUE"""),806458.17)</f>
        <v>806458.17</v>
      </c>
      <c r="J1104" s="46">
        <f>IFERROR(__xludf.DUMMYFUNCTION("""COMPUTED_VALUE"""),559899.9700000001)</f>
        <v>559899.97</v>
      </c>
      <c r="K1104" s="46" t="str">
        <f t="array" ref="K1104">TEXT(D1104, "mmmm")</f>
        <v>April</v>
      </c>
      <c r="M1104" s="46" t="str">
        <f>IFERROR(__xludf.DUMMYFUNCTION("""COMPUTED_VALUE"""),"Armenia")</f>
        <v>Armenia</v>
      </c>
      <c r="N1104" s="94">
        <f>IFERROR(__xludf.DUMMYFUNCTION("""COMPUTED_VALUE"""),42887.0)</f>
        <v>42887</v>
      </c>
      <c r="O1104" s="46">
        <f>IFERROR(__xludf.DUMMYFUNCTION("""COMPUTED_VALUE"""),1.0)</f>
        <v>1</v>
      </c>
      <c r="P1104" s="46">
        <f>IFERROR(__xludf.DUMMYFUNCTION("""COMPUTED_VALUE"""),7514.0)</f>
        <v>7514</v>
      </c>
      <c r="Q1104" s="46">
        <f>IFERROR(__xludf.DUMMYFUNCTION("""COMPUTED_VALUE"""),1146486.12)</f>
        <v>1146486.12</v>
      </c>
      <c r="R1104" s="46">
        <f>IFERROR(__xludf.DUMMYFUNCTION("""COMPUTED_VALUE"""),732164.16)</f>
        <v>732164.16</v>
      </c>
      <c r="S1104" s="46">
        <f>IFERROR(__xludf.DUMMYFUNCTION("""COMPUTED_VALUE"""),414321.9600000001)</f>
        <v>414321.96</v>
      </c>
    </row>
    <row r="1105">
      <c r="A1105" s="46" t="str">
        <f>IFERROR(__xludf.DUMMYFUNCTION("""COMPUTED_VALUE"""),"Vegetables")</f>
        <v>Vegetables</v>
      </c>
      <c r="B1105" s="46" t="str">
        <f>IFERROR(__xludf.DUMMYFUNCTION("""COMPUTED_VALUE"""),"Spain")</f>
        <v>Spain</v>
      </c>
      <c r="C1105" s="46" t="str">
        <f>IFERROR(__xludf.DUMMYFUNCTION("""COMPUTED_VALUE"""),"Europe")</f>
        <v>Europe</v>
      </c>
      <c r="D1105" s="90">
        <f>IFERROR(__xludf.DUMMYFUNCTION("""COMPUTED_VALUE"""),40634.0)</f>
        <v>40634</v>
      </c>
      <c r="E1105" s="46">
        <f>IFERROR(__xludf.DUMMYFUNCTION("""COMPUTED_VALUE"""),2011.0)</f>
        <v>2011</v>
      </c>
      <c r="F1105" s="46">
        <f>IFERROR(__xludf.DUMMYFUNCTION("""COMPUTED_VALUE"""),1.0)</f>
        <v>1</v>
      </c>
      <c r="G1105" s="46">
        <f>IFERROR(__xludf.DUMMYFUNCTION("""COMPUTED_VALUE"""),3545.0)</f>
        <v>3545</v>
      </c>
      <c r="H1105" s="46">
        <f>IFERROR(__xludf.DUMMYFUNCTION("""COMPUTED_VALUE"""),546142.7)</f>
        <v>546142.7</v>
      </c>
      <c r="I1105" s="46">
        <f>IFERROR(__xludf.DUMMYFUNCTION("""COMPUTED_VALUE"""),322346.85000000003)</f>
        <v>322346.85</v>
      </c>
      <c r="J1105" s="46">
        <f>IFERROR(__xludf.DUMMYFUNCTION("""COMPUTED_VALUE"""),223795.84999999992)</f>
        <v>223795.85</v>
      </c>
      <c r="K1105" s="46" t="str">
        <f t="array" ref="K1105">TEXT(D1105, "mmmm")</f>
        <v>April</v>
      </c>
      <c r="M1105" s="46" t="str">
        <f>IFERROR(__xludf.DUMMYFUNCTION("""COMPUTED_VALUE"""),"Belarus")</f>
        <v>Belarus</v>
      </c>
      <c r="N1105" s="94">
        <f>IFERROR(__xludf.DUMMYFUNCTION("""COMPUTED_VALUE"""),42887.0)</f>
        <v>42887</v>
      </c>
      <c r="O1105" s="46">
        <f>IFERROR(__xludf.DUMMYFUNCTION("""COMPUTED_VALUE"""),2.0)</f>
        <v>2</v>
      </c>
      <c r="P1105" s="46">
        <f>IFERROR(__xludf.DUMMYFUNCTION("""COMPUTED_VALUE"""),7222.0)</f>
        <v>7222</v>
      </c>
      <c r="Q1105" s="46">
        <f>IFERROR(__xludf.DUMMYFUNCTION("""COMPUTED_VALUE"""),2209334.2199999997)</f>
        <v>2209334.22</v>
      </c>
      <c r="R1105" s="46">
        <f>IFERROR(__xludf.DUMMYFUNCTION("""COMPUTED_VALUE"""),1614166.6400000001)</f>
        <v>1614166.64</v>
      </c>
      <c r="S1105" s="46">
        <f>IFERROR(__xludf.DUMMYFUNCTION("""COMPUTED_VALUE"""),595167.5799999998)</f>
        <v>595167.58</v>
      </c>
    </row>
    <row r="1106">
      <c r="A1106" s="46" t="str">
        <f>IFERROR(__xludf.DUMMYFUNCTION("""COMPUTED_VALUE"""),"Baby Food")</f>
        <v>Baby Food</v>
      </c>
      <c r="B1106" s="46" t="str">
        <f>IFERROR(__xludf.DUMMYFUNCTION("""COMPUTED_VALUE"""),"Sweden")</f>
        <v>Sweden</v>
      </c>
      <c r="C1106" s="46" t="str">
        <f>IFERROR(__xludf.DUMMYFUNCTION("""COMPUTED_VALUE"""),"Europe")</f>
        <v>Europe</v>
      </c>
      <c r="D1106" s="90">
        <f>IFERROR(__xludf.DUMMYFUNCTION("""COMPUTED_VALUE"""),40603.0)</f>
        <v>40603</v>
      </c>
      <c r="E1106" s="46">
        <f>IFERROR(__xludf.DUMMYFUNCTION("""COMPUTED_VALUE"""),2011.0)</f>
        <v>2011</v>
      </c>
      <c r="F1106" s="46">
        <f>IFERROR(__xludf.DUMMYFUNCTION("""COMPUTED_VALUE"""),1.0)</f>
        <v>1</v>
      </c>
      <c r="G1106" s="46">
        <f>IFERROR(__xludf.DUMMYFUNCTION("""COMPUTED_VALUE"""),4486.0)</f>
        <v>4486</v>
      </c>
      <c r="H1106" s="46">
        <f>IFERROR(__xludf.DUMMYFUNCTION("""COMPUTED_VALUE"""),1145186.08)</f>
        <v>1145186.08</v>
      </c>
      <c r="I1106" s="46">
        <f>IFERROR(__xludf.DUMMYFUNCTION("""COMPUTED_VALUE"""),715158.12)</f>
        <v>715158.12</v>
      </c>
      <c r="J1106" s="46">
        <f>IFERROR(__xludf.DUMMYFUNCTION("""COMPUTED_VALUE"""),430027.9600000001)</f>
        <v>430027.96</v>
      </c>
      <c r="K1106" s="46" t="str">
        <f t="array" ref="K1106">TEXT(D1106, "mmmm")</f>
        <v>March</v>
      </c>
      <c r="M1106" s="46" t="str">
        <f>IFERROR(__xludf.DUMMYFUNCTION("""COMPUTED_VALUE"""),"Cyprus")</f>
        <v>Cyprus</v>
      </c>
      <c r="N1106" s="94">
        <f>IFERROR(__xludf.DUMMYFUNCTION("""COMPUTED_VALUE"""),42887.0)</f>
        <v>42887</v>
      </c>
      <c r="O1106" s="46">
        <f>IFERROR(__xludf.DUMMYFUNCTION("""COMPUTED_VALUE"""),2.0)</f>
        <v>2</v>
      </c>
      <c r="P1106" s="46">
        <f>IFERROR(__xludf.DUMMYFUNCTION("""COMPUTED_VALUE"""),10149.0)</f>
        <v>10149</v>
      </c>
      <c r="Q1106" s="46">
        <f>IFERROR(__xludf.DUMMYFUNCTION("""COMPUTED_VALUE"""),4281761.61)</f>
        <v>4281761.61</v>
      </c>
      <c r="R1106" s="46">
        <f>IFERROR(__xludf.DUMMYFUNCTION("""COMPUTED_VALUE"""),3701238.8099999996)</f>
        <v>3701238.81</v>
      </c>
      <c r="S1106" s="46">
        <f>IFERROR(__xludf.DUMMYFUNCTION("""COMPUTED_VALUE"""),580522.8)</f>
        <v>580522.8</v>
      </c>
    </row>
    <row r="1107">
      <c r="A1107" s="46" t="str">
        <f>IFERROR(__xludf.DUMMYFUNCTION("""COMPUTED_VALUE"""),"Cereal")</f>
        <v>Cereal</v>
      </c>
      <c r="B1107" s="46" t="str">
        <f>IFERROR(__xludf.DUMMYFUNCTION("""COMPUTED_VALUE"""),"Bosnia and Herzegovina")</f>
        <v>Bosnia and Herzegovina</v>
      </c>
      <c r="C1107" s="46" t="str">
        <f>IFERROR(__xludf.DUMMYFUNCTION("""COMPUTED_VALUE"""),"Europe")</f>
        <v>Europe</v>
      </c>
      <c r="D1107" s="90">
        <f>IFERROR(__xludf.DUMMYFUNCTION("""COMPUTED_VALUE"""),40603.0)</f>
        <v>40603</v>
      </c>
      <c r="E1107" s="46">
        <f>IFERROR(__xludf.DUMMYFUNCTION("""COMPUTED_VALUE"""),2011.0)</f>
        <v>2011</v>
      </c>
      <c r="F1107" s="46">
        <f>IFERROR(__xludf.DUMMYFUNCTION("""COMPUTED_VALUE"""),1.0)</f>
        <v>1</v>
      </c>
      <c r="G1107" s="46">
        <f>IFERROR(__xludf.DUMMYFUNCTION("""COMPUTED_VALUE"""),710.0)</f>
        <v>710</v>
      </c>
      <c r="H1107" s="46">
        <f>IFERROR(__xludf.DUMMYFUNCTION("""COMPUTED_VALUE"""),146047.0)</f>
        <v>146047</v>
      </c>
      <c r="I1107" s="46">
        <f>IFERROR(__xludf.DUMMYFUNCTION("""COMPUTED_VALUE"""),83148.1)</f>
        <v>83148.1</v>
      </c>
      <c r="J1107" s="46">
        <f>IFERROR(__xludf.DUMMYFUNCTION("""COMPUTED_VALUE"""),62898.899999999994)</f>
        <v>62898.9</v>
      </c>
      <c r="K1107" s="46" t="str">
        <f t="array" ref="K1107">TEXT(D1107, "mmmm")</f>
        <v>March</v>
      </c>
      <c r="M1107" s="46" t="str">
        <f>IFERROR(__xludf.DUMMYFUNCTION("""COMPUTED_VALUE"""),"Czech Republic")</f>
        <v>Czech Republic</v>
      </c>
      <c r="N1107" s="94">
        <f>IFERROR(__xludf.DUMMYFUNCTION("""COMPUTED_VALUE"""),42887.0)</f>
        <v>42887</v>
      </c>
      <c r="O1107" s="46">
        <f>IFERROR(__xludf.DUMMYFUNCTION("""COMPUTED_VALUE"""),1.0)</f>
        <v>1</v>
      </c>
      <c r="P1107" s="46">
        <f>IFERROR(__xludf.DUMMYFUNCTION("""COMPUTED_VALUE"""),5581.0)</f>
        <v>5581</v>
      </c>
      <c r="Q1107" s="46">
        <f>IFERROR(__xludf.DUMMYFUNCTION("""COMPUTED_VALUE"""),2440013.1999999997)</f>
        <v>2440013.2</v>
      </c>
      <c r="R1107" s="46">
        <f>IFERROR(__xludf.DUMMYFUNCTION("""COMPUTED_VALUE"""),1469644.73)</f>
        <v>1469644.73</v>
      </c>
      <c r="S1107" s="46">
        <f>IFERROR(__xludf.DUMMYFUNCTION("""COMPUTED_VALUE"""),970368.4699999997)</f>
        <v>970368.47</v>
      </c>
    </row>
    <row r="1108">
      <c r="A1108" s="46" t="str">
        <f>IFERROR(__xludf.DUMMYFUNCTION("""COMPUTED_VALUE"""),"Cereal")</f>
        <v>Cereal</v>
      </c>
      <c r="B1108" s="46" t="str">
        <f>IFERROR(__xludf.DUMMYFUNCTION("""COMPUTED_VALUE"""),"Ukraine")</f>
        <v>Ukraine</v>
      </c>
      <c r="C1108" s="46" t="str">
        <f>IFERROR(__xludf.DUMMYFUNCTION("""COMPUTED_VALUE"""),"Europe")</f>
        <v>Europe</v>
      </c>
      <c r="D1108" s="90">
        <f>IFERROR(__xludf.DUMMYFUNCTION("""COMPUTED_VALUE"""),40603.0)</f>
        <v>40603</v>
      </c>
      <c r="E1108" s="46">
        <f>IFERROR(__xludf.DUMMYFUNCTION("""COMPUTED_VALUE"""),2011.0)</f>
        <v>2011</v>
      </c>
      <c r="F1108" s="46">
        <f>IFERROR(__xludf.DUMMYFUNCTION("""COMPUTED_VALUE"""),1.0)</f>
        <v>1</v>
      </c>
      <c r="G1108" s="46">
        <f>IFERROR(__xludf.DUMMYFUNCTION("""COMPUTED_VALUE"""),7778.0)</f>
        <v>7778</v>
      </c>
      <c r="H1108" s="46">
        <f>IFERROR(__xludf.DUMMYFUNCTION("""COMPUTED_VALUE"""),1599934.5999999999)</f>
        <v>1599934.6</v>
      </c>
      <c r="I1108" s="46">
        <f>IFERROR(__xludf.DUMMYFUNCTION("""COMPUTED_VALUE"""),910881.58)</f>
        <v>910881.58</v>
      </c>
      <c r="J1108" s="46">
        <f>IFERROR(__xludf.DUMMYFUNCTION("""COMPUTED_VALUE"""),689053.0199999999)</f>
        <v>689053.02</v>
      </c>
      <c r="K1108" s="46" t="str">
        <f t="array" ref="K1108">TEXT(D1108, "mmmm")</f>
        <v>March</v>
      </c>
      <c r="M1108" s="46" t="str">
        <f>IFERROR(__xludf.DUMMYFUNCTION("""COMPUTED_VALUE"""),"Finland")</f>
        <v>Finland</v>
      </c>
      <c r="N1108" s="94">
        <f>IFERROR(__xludf.DUMMYFUNCTION("""COMPUTED_VALUE"""),42887.0)</f>
        <v>42887</v>
      </c>
      <c r="O1108" s="46">
        <f>IFERROR(__xludf.DUMMYFUNCTION("""COMPUTED_VALUE"""),2.0)</f>
        <v>2</v>
      </c>
      <c r="P1108" s="46">
        <f>IFERROR(__xludf.DUMMYFUNCTION("""COMPUTED_VALUE"""),4394.0)</f>
        <v>4394</v>
      </c>
      <c r="Q1108" s="46">
        <f>IFERROR(__xludf.DUMMYFUNCTION("""COMPUTED_VALUE"""),673696.96)</f>
        <v>673696.96</v>
      </c>
      <c r="R1108" s="46">
        <f>IFERROR(__xludf.DUMMYFUNCTION("""COMPUTED_VALUE"""),413809.83)</f>
        <v>413809.83</v>
      </c>
      <c r="S1108" s="46">
        <f>IFERROR(__xludf.DUMMYFUNCTION("""COMPUTED_VALUE"""),259887.13)</f>
        <v>259887.13</v>
      </c>
    </row>
    <row r="1109">
      <c r="A1109" s="46" t="str">
        <f>IFERROR(__xludf.DUMMYFUNCTION("""COMPUTED_VALUE"""),"Cosmetics")</f>
        <v>Cosmetics</v>
      </c>
      <c r="B1109" s="46" t="str">
        <f>IFERROR(__xludf.DUMMYFUNCTION("""COMPUTED_VALUE"""),"Spain")</f>
        <v>Spain</v>
      </c>
      <c r="C1109" s="46" t="str">
        <f>IFERROR(__xludf.DUMMYFUNCTION("""COMPUTED_VALUE"""),"Europe")</f>
        <v>Europe</v>
      </c>
      <c r="D1109" s="90">
        <f>IFERROR(__xludf.DUMMYFUNCTION("""COMPUTED_VALUE"""),40603.0)</f>
        <v>40603</v>
      </c>
      <c r="E1109" s="46">
        <f>IFERROR(__xludf.DUMMYFUNCTION("""COMPUTED_VALUE"""),2011.0)</f>
        <v>2011</v>
      </c>
      <c r="F1109" s="46">
        <f>IFERROR(__xludf.DUMMYFUNCTION("""COMPUTED_VALUE"""),1.0)</f>
        <v>1</v>
      </c>
      <c r="G1109" s="46">
        <f>IFERROR(__xludf.DUMMYFUNCTION("""COMPUTED_VALUE"""),3050.0)</f>
        <v>3050</v>
      </c>
      <c r="H1109" s="46">
        <f>IFERROR(__xludf.DUMMYFUNCTION("""COMPUTED_VALUE"""),1333460.0)</f>
        <v>1333460</v>
      </c>
      <c r="I1109" s="46">
        <f>IFERROR(__xludf.DUMMYFUNCTION("""COMPUTED_VALUE"""),803156.5)</f>
        <v>803156.5</v>
      </c>
      <c r="J1109" s="46">
        <f>IFERROR(__xludf.DUMMYFUNCTION("""COMPUTED_VALUE"""),530303.5)</f>
        <v>530303.5</v>
      </c>
      <c r="K1109" s="46" t="str">
        <f t="array" ref="K1109">TEXT(D1109, "mmmm")</f>
        <v>March</v>
      </c>
      <c r="M1109" s="46" t="str">
        <f>IFERROR(__xludf.DUMMYFUNCTION("""COMPUTED_VALUE"""),"Greece")</f>
        <v>Greece</v>
      </c>
      <c r="N1109" s="94">
        <f>IFERROR(__xludf.DUMMYFUNCTION("""COMPUTED_VALUE"""),42887.0)</f>
        <v>42887</v>
      </c>
      <c r="O1109" s="46">
        <f>IFERROR(__xludf.DUMMYFUNCTION("""COMPUTED_VALUE"""),1.0)</f>
        <v>1</v>
      </c>
      <c r="P1109" s="46">
        <f>IFERROR(__xludf.DUMMYFUNCTION("""COMPUTED_VALUE"""),8196.0)</f>
        <v>8196</v>
      </c>
      <c r="Q1109" s="46">
        <f>IFERROR(__xludf.DUMMYFUNCTION("""COMPUTED_VALUE"""),3583291.1999999997)</f>
        <v>3583291.2</v>
      </c>
      <c r="R1109" s="46">
        <f>IFERROR(__xludf.DUMMYFUNCTION("""COMPUTED_VALUE"""),2158252.6799999997)</f>
        <v>2158252.68</v>
      </c>
      <c r="S1109" s="46">
        <f>IFERROR(__xludf.DUMMYFUNCTION("""COMPUTED_VALUE"""),1425038.52)</f>
        <v>1425038.52</v>
      </c>
    </row>
    <row r="1110">
      <c r="A1110" s="46" t="str">
        <f>IFERROR(__xludf.DUMMYFUNCTION("""COMPUTED_VALUE"""),"Fruits")</f>
        <v>Fruits</v>
      </c>
      <c r="B1110" s="46" t="str">
        <f>IFERROR(__xludf.DUMMYFUNCTION("""COMPUTED_VALUE"""),"Armenia")</f>
        <v>Armenia</v>
      </c>
      <c r="C1110" s="46" t="str">
        <f>IFERROR(__xludf.DUMMYFUNCTION("""COMPUTED_VALUE"""),"Asia")</f>
        <v>Asia</v>
      </c>
      <c r="D1110" s="90">
        <f>IFERROR(__xludf.DUMMYFUNCTION("""COMPUTED_VALUE"""),40603.0)</f>
        <v>40603</v>
      </c>
      <c r="E1110" s="46">
        <f>IFERROR(__xludf.DUMMYFUNCTION("""COMPUTED_VALUE"""),2011.0)</f>
        <v>2011</v>
      </c>
      <c r="F1110" s="46">
        <f>IFERROR(__xludf.DUMMYFUNCTION("""COMPUTED_VALUE"""),1.0)</f>
        <v>1</v>
      </c>
      <c r="G1110" s="46">
        <f>IFERROR(__xludf.DUMMYFUNCTION("""COMPUTED_VALUE"""),8866.0)</f>
        <v>8866</v>
      </c>
      <c r="H1110" s="46">
        <f>IFERROR(__xludf.DUMMYFUNCTION("""COMPUTED_VALUE"""),82719.78)</f>
        <v>82719.78</v>
      </c>
      <c r="I1110" s="46">
        <f>IFERROR(__xludf.DUMMYFUNCTION("""COMPUTED_VALUE"""),61352.72)</f>
        <v>61352.72</v>
      </c>
      <c r="J1110" s="46">
        <f>IFERROR(__xludf.DUMMYFUNCTION("""COMPUTED_VALUE"""),21367.059999999998)</f>
        <v>21367.06</v>
      </c>
      <c r="K1110" s="46" t="str">
        <f t="array" ref="K1110">TEXT(D1110, "mmmm")</f>
        <v>March</v>
      </c>
      <c r="M1110" s="46" t="str">
        <f>IFERROR(__xludf.DUMMYFUNCTION("""COMPUTED_VALUE"""),"Monaco")</f>
        <v>Monaco</v>
      </c>
      <c r="N1110" s="94">
        <f>IFERROR(__xludf.DUMMYFUNCTION("""COMPUTED_VALUE"""),42887.0)</f>
        <v>42887</v>
      </c>
      <c r="O1110" s="46">
        <f>IFERROR(__xludf.DUMMYFUNCTION("""COMPUTED_VALUE"""),1.0)</f>
        <v>1</v>
      </c>
      <c r="P1110" s="46">
        <f>IFERROR(__xludf.DUMMYFUNCTION("""COMPUTED_VALUE"""),2197.0)</f>
        <v>2197</v>
      </c>
      <c r="Q1110" s="46">
        <f>IFERROR(__xludf.DUMMYFUNCTION("""COMPUTED_VALUE"""),451922.89999999997)</f>
        <v>451922.9</v>
      </c>
      <c r="R1110" s="46">
        <f>IFERROR(__xludf.DUMMYFUNCTION("""COMPUTED_VALUE"""),257290.67)</f>
        <v>257290.67</v>
      </c>
      <c r="S1110" s="46">
        <f>IFERROR(__xludf.DUMMYFUNCTION("""COMPUTED_VALUE"""),194632.22999999995)</f>
        <v>194632.23</v>
      </c>
    </row>
    <row r="1111">
      <c r="A1111" s="46" t="str">
        <f>IFERROR(__xludf.DUMMYFUNCTION("""COMPUTED_VALUE"""),"Fruits")</f>
        <v>Fruits</v>
      </c>
      <c r="B1111" s="46" t="str">
        <f>IFERROR(__xludf.DUMMYFUNCTION("""COMPUTED_VALUE"""),"Denmark")</f>
        <v>Denmark</v>
      </c>
      <c r="C1111" s="46" t="str">
        <f>IFERROR(__xludf.DUMMYFUNCTION("""COMPUTED_VALUE"""),"Europe")</f>
        <v>Europe</v>
      </c>
      <c r="D1111" s="90">
        <f>IFERROR(__xludf.DUMMYFUNCTION("""COMPUTED_VALUE"""),40603.0)</f>
        <v>40603</v>
      </c>
      <c r="E1111" s="46">
        <f>IFERROR(__xludf.DUMMYFUNCTION("""COMPUTED_VALUE"""),2011.0)</f>
        <v>2011</v>
      </c>
      <c r="F1111" s="46">
        <f>IFERROR(__xludf.DUMMYFUNCTION("""COMPUTED_VALUE"""),1.0)</f>
        <v>1</v>
      </c>
      <c r="G1111" s="46">
        <f>IFERROR(__xludf.DUMMYFUNCTION("""COMPUTED_VALUE"""),5641.0)</f>
        <v>5641</v>
      </c>
      <c r="H1111" s="46">
        <f>IFERROR(__xludf.DUMMYFUNCTION("""COMPUTED_VALUE"""),52630.53)</f>
        <v>52630.53</v>
      </c>
      <c r="I1111" s="46">
        <f>IFERROR(__xludf.DUMMYFUNCTION("""COMPUTED_VALUE"""),39035.72)</f>
        <v>39035.72</v>
      </c>
      <c r="J1111" s="46">
        <f>IFERROR(__xludf.DUMMYFUNCTION("""COMPUTED_VALUE"""),13594.809999999998)</f>
        <v>13594.81</v>
      </c>
      <c r="K1111" s="46" t="str">
        <f t="array" ref="K1111">TEXT(D1111, "mmmm")</f>
        <v>March</v>
      </c>
      <c r="M1111" s="46" t="str">
        <f>IFERROR(__xludf.DUMMYFUNCTION("""COMPUTED_VALUE"""),"Ukraine")</f>
        <v>Ukraine</v>
      </c>
      <c r="N1111" s="94">
        <f>IFERROR(__xludf.DUMMYFUNCTION("""COMPUTED_VALUE"""),42887.0)</f>
        <v>42887</v>
      </c>
      <c r="O1111" s="46">
        <f>IFERROR(__xludf.DUMMYFUNCTION("""COMPUTED_VALUE"""),1.0)</f>
        <v>1</v>
      </c>
      <c r="P1111" s="46">
        <f>IFERROR(__xludf.DUMMYFUNCTION("""COMPUTED_VALUE"""),1975.0)</f>
        <v>1975</v>
      </c>
      <c r="Q1111" s="46">
        <f>IFERROR(__xludf.DUMMYFUNCTION("""COMPUTED_VALUE"""),863470.0)</f>
        <v>863470</v>
      </c>
      <c r="R1111" s="46">
        <f>IFERROR(__xludf.DUMMYFUNCTION("""COMPUTED_VALUE"""),520076.74999999994)</f>
        <v>520076.75</v>
      </c>
      <c r="S1111" s="46">
        <f>IFERROR(__xludf.DUMMYFUNCTION("""COMPUTED_VALUE"""),343393.25000000006)</f>
        <v>343393.25</v>
      </c>
    </row>
    <row r="1112">
      <c r="A1112" s="46" t="str">
        <f>IFERROR(__xludf.DUMMYFUNCTION("""COMPUTED_VALUE"""),"Fruits")</f>
        <v>Fruits</v>
      </c>
      <c r="B1112" s="46" t="str">
        <f>IFERROR(__xludf.DUMMYFUNCTION("""COMPUTED_VALUE"""),"Lithuania")</f>
        <v>Lithuania</v>
      </c>
      <c r="C1112" s="46" t="str">
        <f>IFERROR(__xludf.DUMMYFUNCTION("""COMPUTED_VALUE"""),"Europe")</f>
        <v>Europe</v>
      </c>
      <c r="D1112" s="90">
        <f>IFERROR(__xludf.DUMMYFUNCTION("""COMPUTED_VALUE"""),40603.0)</f>
        <v>40603</v>
      </c>
      <c r="E1112" s="46">
        <f>IFERROR(__xludf.DUMMYFUNCTION("""COMPUTED_VALUE"""),2011.0)</f>
        <v>2011</v>
      </c>
      <c r="F1112" s="46">
        <f>IFERROR(__xludf.DUMMYFUNCTION("""COMPUTED_VALUE"""),1.0)</f>
        <v>1</v>
      </c>
      <c r="G1112" s="46">
        <f>IFERROR(__xludf.DUMMYFUNCTION("""COMPUTED_VALUE"""),9461.0)</f>
        <v>9461</v>
      </c>
      <c r="H1112" s="46">
        <f>IFERROR(__xludf.DUMMYFUNCTION("""COMPUTED_VALUE"""),88271.13)</f>
        <v>88271.13</v>
      </c>
      <c r="I1112" s="46">
        <f>IFERROR(__xludf.DUMMYFUNCTION("""COMPUTED_VALUE"""),65470.12)</f>
        <v>65470.12</v>
      </c>
      <c r="J1112" s="46">
        <f>IFERROR(__xludf.DUMMYFUNCTION("""COMPUTED_VALUE"""),22801.010000000002)</f>
        <v>22801.01</v>
      </c>
      <c r="K1112" s="46" t="str">
        <f t="array" ref="K1112">TEXT(D1112, "mmmm")</f>
        <v>March</v>
      </c>
      <c r="M1112" s="46" t="str">
        <f>IFERROR(__xludf.DUMMYFUNCTION("""COMPUTED_VALUE"""),"Undefined")</f>
        <v>Undefined</v>
      </c>
      <c r="N1112" s="94">
        <f>IFERROR(__xludf.DUMMYFUNCTION("""COMPUTED_VALUE"""),42887.0)</f>
        <v>42887</v>
      </c>
      <c r="O1112" s="46">
        <f>IFERROR(__xludf.DUMMYFUNCTION("""COMPUTED_VALUE"""),1.0)</f>
        <v>1</v>
      </c>
      <c r="P1112" s="46">
        <f>IFERROR(__xludf.DUMMYFUNCTION("""COMPUTED_VALUE"""),1534.0)</f>
        <v>1534</v>
      </c>
      <c r="Q1112" s="46">
        <f>IFERROR(__xludf.DUMMYFUNCTION("""COMPUTED_VALUE"""),391599.52)</f>
        <v>391599.52</v>
      </c>
      <c r="R1112" s="46">
        <f>IFERROR(__xludf.DUMMYFUNCTION("""COMPUTED_VALUE"""),244550.27999999997)</f>
        <v>244550.28</v>
      </c>
      <c r="S1112" s="46">
        <f>IFERROR(__xludf.DUMMYFUNCTION("""COMPUTED_VALUE"""),147049.24000000005)</f>
        <v>147049.24</v>
      </c>
    </row>
    <row r="1113">
      <c r="A1113" s="46" t="str">
        <f>IFERROR(__xludf.DUMMYFUNCTION("""COMPUTED_VALUE"""),"Household")</f>
        <v>Household</v>
      </c>
      <c r="B1113" s="46" t="str">
        <f>IFERROR(__xludf.DUMMYFUNCTION("""COMPUTED_VALUE"""),"Poland")</f>
        <v>Poland</v>
      </c>
      <c r="C1113" s="46" t="str">
        <f>IFERROR(__xludf.DUMMYFUNCTION("""COMPUTED_VALUE"""),"Europe")</f>
        <v>Europe</v>
      </c>
      <c r="D1113" s="90">
        <f>IFERROR(__xludf.DUMMYFUNCTION("""COMPUTED_VALUE"""),40603.0)</f>
        <v>40603</v>
      </c>
      <c r="E1113" s="46">
        <f>IFERROR(__xludf.DUMMYFUNCTION("""COMPUTED_VALUE"""),2011.0)</f>
        <v>2011</v>
      </c>
      <c r="F1113" s="46">
        <f>IFERROR(__xludf.DUMMYFUNCTION("""COMPUTED_VALUE"""),1.0)</f>
        <v>1</v>
      </c>
      <c r="G1113" s="46">
        <f>IFERROR(__xludf.DUMMYFUNCTION("""COMPUTED_VALUE"""),3065.0)</f>
        <v>3065</v>
      </c>
      <c r="H1113" s="46">
        <f>IFERROR(__xludf.DUMMYFUNCTION("""COMPUTED_VALUE"""),2048247.55)</f>
        <v>2048247.55</v>
      </c>
      <c r="I1113" s="46">
        <f>IFERROR(__xludf.DUMMYFUNCTION("""COMPUTED_VALUE"""),1540285.1)</f>
        <v>1540285.1</v>
      </c>
      <c r="J1113" s="46">
        <f>IFERROR(__xludf.DUMMYFUNCTION("""COMPUTED_VALUE"""),507962.44999999995)</f>
        <v>507962.45</v>
      </c>
      <c r="K1113" s="46" t="str">
        <f t="array" ref="K1113">TEXT(D1113, "mmmm")</f>
        <v>March</v>
      </c>
      <c r="M1113" s="46" t="str">
        <f>IFERROR(__xludf.DUMMYFUNCTION("""COMPUTED_VALUE"""),"Albania")</f>
        <v>Albania</v>
      </c>
      <c r="N1113" s="94">
        <f>IFERROR(__xludf.DUMMYFUNCTION("""COMPUTED_VALUE"""),42917.0)</f>
        <v>42917</v>
      </c>
      <c r="O1113" s="46">
        <f>IFERROR(__xludf.DUMMYFUNCTION("""COMPUTED_VALUE"""),1.0)</f>
        <v>1</v>
      </c>
      <c r="P1113" s="46">
        <f>IFERROR(__xludf.DUMMYFUNCTION("""COMPUTED_VALUE"""),1749.0)</f>
        <v>1749</v>
      </c>
      <c r="Q1113" s="46">
        <f>IFERROR(__xludf.DUMMYFUNCTION("""COMPUTED_VALUE"""),1168804.23)</f>
        <v>1168804.23</v>
      </c>
      <c r="R1113" s="46">
        <f>IFERROR(__xludf.DUMMYFUNCTION("""COMPUTED_VALUE"""),878942.4600000001)</f>
        <v>878942.46</v>
      </c>
      <c r="S1113" s="46">
        <f>IFERROR(__xludf.DUMMYFUNCTION("""COMPUTED_VALUE"""),289861.7699999999)</f>
        <v>289861.77</v>
      </c>
    </row>
    <row r="1114">
      <c r="A1114" s="46" t="str">
        <f>IFERROR(__xludf.DUMMYFUNCTION("""COMPUTED_VALUE"""),"Personal Care")</f>
        <v>Personal Care</v>
      </c>
      <c r="B1114" s="46" t="str">
        <f>IFERROR(__xludf.DUMMYFUNCTION("""COMPUTED_VALUE"""),"France")</f>
        <v>France</v>
      </c>
      <c r="C1114" s="46" t="str">
        <f>IFERROR(__xludf.DUMMYFUNCTION("""COMPUTED_VALUE"""),"Europe")</f>
        <v>Europe</v>
      </c>
      <c r="D1114" s="90">
        <f>IFERROR(__xludf.DUMMYFUNCTION("""COMPUTED_VALUE"""),40603.0)</f>
        <v>40603</v>
      </c>
      <c r="E1114" s="46">
        <f>IFERROR(__xludf.DUMMYFUNCTION("""COMPUTED_VALUE"""),2011.0)</f>
        <v>2011</v>
      </c>
      <c r="F1114" s="46">
        <f>IFERROR(__xludf.DUMMYFUNCTION("""COMPUTED_VALUE"""),1.0)</f>
        <v>1</v>
      </c>
      <c r="G1114" s="46">
        <f>IFERROR(__xludf.DUMMYFUNCTION("""COMPUTED_VALUE"""),8729.0)</f>
        <v>8729</v>
      </c>
      <c r="H1114" s="46">
        <f>IFERROR(__xludf.DUMMYFUNCTION("""COMPUTED_VALUE"""),713421.17)</f>
        <v>713421.17</v>
      </c>
      <c r="I1114" s="46">
        <f>IFERROR(__xludf.DUMMYFUNCTION("""COMPUTED_VALUE"""),494672.43)</f>
        <v>494672.43</v>
      </c>
      <c r="J1114" s="46">
        <f>IFERROR(__xludf.DUMMYFUNCTION("""COMPUTED_VALUE"""),218748.74000000005)</f>
        <v>218748.74</v>
      </c>
      <c r="K1114" s="46" t="str">
        <f t="array" ref="K1114">TEXT(D1114, "mmmm")</f>
        <v>March</v>
      </c>
      <c r="M1114" s="46" t="str">
        <f>IFERROR(__xludf.DUMMYFUNCTION("""COMPUTED_VALUE"""),"Austria")</f>
        <v>Austria</v>
      </c>
      <c r="N1114" s="94">
        <f>IFERROR(__xludf.DUMMYFUNCTION("""COMPUTED_VALUE"""),42917.0)</f>
        <v>42917</v>
      </c>
      <c r="O1114" s="46">
        <f>IFERROR(__xludf.DUMMYFUNCTION("""COMPUTED_VALUE"""),1.0)</f>
        <v>1</v>
      </c>
      <c r="P1114" s="46">
        <f>IFERROR(__xludf.DUMMYFUNCTION("""COMPUTED_VALUE"""),1205.0)</f>
        <v>1205</v>
      </c>
      <c r="Q1114" s="46">
        <f>IFERROR(__xludf.DUMMYFUNCTION("""COMPUTED_VALUE"""),98484.65000000001)</f>
        <v>98484.65</v>
      </c>
      <c r="R1114" s="46">
        <f>IFERROR(__xludf.DUMMYFUNCTION("""COMPUTED_VALUE"""),68287.35)</f>
        <v>68287.35</v>
      </c>
      <c r="S1114" s="46">
        <f>IFERROR(__xludf.DUMMYFUNCTION("""COMPUTED_VALUE"""),30197.300000000003)</f>
        <v>30197.3</v>
      </c>
    </row>
    <row r="1115">
      <c r="A1115" s="46" t="str">
        <f>IFERROR(__xludf.DUMMYFUNCTION("""COMPUTED_VALUE"""),"Personal Care")</f>
        <v>Personal Care</v>
      </c>
      <c r="B1115" s="46" t="str">
        <f>IFERROR(__xludf.DUMMYFUNCTION("""COMPUTED_VALUE"""),"Latvia")</f>
        <v>Latvia</v>
      </c>
      <c r="C1115" s="46" t="str">
        <f>IFERROR(__xludf.DUMMYFUNCTION("""COMPUTED_VALUE"""),"Europe")</f>
        <v>Europe</v>
      </c>
      <c r="D1115" s="90">
        <f>IFERROR(__xludf.DUMMYFUNCTION("""COMPUTED_VALUE"""),40603.0)</f>
        <v>40603</v>
      </c>
      <c r="E1115" s="46">
        <f>IFERROR(__xludf.DUMMYFUNCTION("""COMPUTED_VALUE"""),2011.0)</f>
        <v>2011</v>
      </c>
      <c r="F1115" s="46">
        <f>IFERROR(__xludf.DUMMYFUNCTION("""COMPUTED_VALUE"""),1.0)</f>
        <v>1</v>
      </c>
      <c r="G1115" s="46">
        <f>IFERROR(__xludf.DUMMYFUNCTION("""COMPUTED_VALUE"""),5915.0)</f>
        <v>5915</v>
      </c>
      <c r="H1115" s="46">
        <f>IFERROR(__xludf.DUMMYFUNCTION("""COMPUTED_VALUE"""),483432.95)</f>
        <v>483432.95</v>
      </c>
      <c r="I1115" s="46">
        <f>IFERROR(__xludf.DUMMYFUNCTION("""COMPUTED_VALUE"""),335203.05)</f>
        <v>335203.05</v>
      </c>
      <c r="J1115" s="46">
        <f>IFERROR(__xludf.DUMMYFUNCTION("""COMPUTED_VALUE"""),148229.90000000002)</f>
        <v>148229.9</v>
      </c>
      <c r="K1115" s="46" t="str">
        <f t="array" ref="K1115">TEXT(D1115, "mmmm")</f>
        <v>March</v>
      </c>
      <c r="M1115" s="46" t="str">
        <f>IFERROR(__xludf.DUMMYFUNCTION("""COMPUTED_VALUE"""),"Greece")</f>
        <v>Greece</v>
      </c>
      <c r="N1115" s="94">
        <f>IFERROR(__xludf.DUMMYFUNCTION("""COMPUTED_VALUE"""),42917.0)</f>
        <v>42917</v>
      </c>
      <c r="O1115" s="46">
        <f>IFERROR(__xludf.DUMMYFUNCTION("""COMPUTED_VALUE"""),1.0)</f>
        <v>1</v>
      </c>
      <c r="P1115" s="46">
        <f>IFERROR(__xludf.DUMMYFUNCTION("""COMPUTED_VALUE"""),9560.0)</f>
        <v>9560</v>
      </c>
      <c r="Q1115" s="46">
        <f>IFERROR(__xludf.DUMMYFUNCTION("""COMPUTED_VALUE"""),89194.8)</f>
        <v>89194.8</v>
      </c>
      <c r="R1115" s="46">
        <f>IFERROR(__xludf.DUMMYFUNCTION("""COMPUTED_VALUE"""),66155.2)</f>
        <v>66155.2</v>
      </c>
      <c r="S1115" s="46">
        <f>IFERROR(__xludf.DUMMYFUNCTION("""COMPUTED_VALUE"""),23039.600000000006)</f>
        <v>23039.6</v>
      </c>
    </row>
    <row r="1116">
      <c r="A1116" s="46" t="str">
        <f>IFERROR(__xludf.DUMMYFUNCTION("""COMPUTED_VALUE"""),"Snacks")</f>
        <v>Snacks</v>
      </c>
      <c r="B1116" s="46" t="str">
        <f>IFERROR(__xludf.DUMMYFUNCTION("""COMPUTED_VALUE"""),"Armenia")</f>
        <v>Armenia</v>
      </c>
      <c r="C1116" s="46" t="str">
        <f>IFERROR(__xludf.DUMMYFUNCTION("""COMPUTED_VALUE"""),"Asia")</f>
        <v>Asia</v>
      </c>
      <c r="D1116" s="90">
        <f>IFERROR(__xludf.DUMMYFUNCTION("""COMPUTED_VALUE"""),40603.0)</f>
        <v>40603</v>
      </c>
      <c r="E1116" s="46">
        <f>IFERROR(__xludf.DUMMYFUNCTION("""COMPUTED_VALUE"""),2011.0)</f>
        <v>2011</v>
      </c>
      <c r="F1116" s="46">
        <f>IFERROR(__xludf.DUMMYFUNCTION("""COMPUTED_VALUE"""),1.0)</f>
        <v>1</v>
      </c>
      <c r="G1116" s="46">
        <f>IFERROR(__xludf.DUMMYFUNCTION("""COMPUTED_VALUE"""),3979.0)</f>
        <v>3979</v>
      </c>
      <c r="H1116" s="46">
        <f>IFERROR(__xludf.DUMMYFUNCTION("""COMPUTED_VALUE"""),607115.8200000001)</f>
        <v>607115.82</v>
      </c>
      <c r="I1116" s="46">
        <f>IFERROR(__xludf.DUMMYFUNCTION("""COMPUTED_VALUE"""),387713.76)</f>
        <v>387713.76</v>
      </c>
      <c r="J1116" s="46">
        <f>IFERROR(__xludf.DUMMYFUNCTION("""COMPUTED_VALUE"""),219402.06000000006)</f>
        <v>219402.06</v>
      </c>
      <c r="K1116" s="46" t="str">
        <f t="array" ref="K1116">TEXT(D1116, "mmmm")</f>
        <v>March</v>
      </c>
      <c r="M1116" s="46" t="str">
        <f>IFERROR(__xludf.DUMMYFUNCTION("""COMPUTED_VALUE"""),"Macedonia")</f>
        <v>Macedonia</v>
      </c>
      <c r="N1116" s="94">
        <f>IFERROR(__xludf.DUMMYFUNCTION("""COMPUTED_VALUE"""),42917.0)</f>
        <v>42917</v>
      </c>
      <c r="O1116" s="46">
        <f>IFERROR(__xludf.DUMMYFUNCTION("""COMPUTED_VALUE"""),5.0)</f>
        <v>5</v>
      </c>
      <c r="P1116" s="46">
        <f>IFERROR(__xludf.DUMMYFUNCTION("""COMPUTED_VALUE"""),41789.0)</f>
        <v>41789</v>
      </c>
      <c r="Q1116" s="46">
        <f>IFERROR(__xludf.DUMMYFUNCTION("""COMPUTED_VALUE"""),8499396.55)</f>
        <v>8499396.55</v>
      </c>
      <c r="R1116" s="46">
        <f>IFERROR(__xludf.DUMMYFUNCTION("""COMPUTED_VALUE"""),6186750.2)</f>
        <v>6186750.2</v>
      </c>
      <c r="S1116" s="46">
        <f>IFERROR(__xludf.DUMMYFUNCTION("""COMPUTED_VALUE"""),2312646.3500000006)</f>
        <v>2312646.35</v>
      </c>
    </row>
    <row r="1117">
      <c r="A1117" s="46" t="str">
        <f>IFERROR(__xludf.DUMMYFUNCTION("""COMPUTED_VALUE"""),"Snacks")</f>
        <v>Snacks</v>
      </c>
      <c r="B1117" s="46" t="str">
        <f>IFERROR(__xludf.DUMMYFUNCTION("""COMPUTED_VALUE"""),"Croatia")</f>
        <v>Croatia</v>
      </c>
      <c r="C1117" s="46" t="str">
        <f>IFERROR(__xludf.DUMMYFUNCTION("""COMPUTED_VALUE"""),"Europe")</f>
        <v>Europe</v>
      </c>
      <c r="D1117" s="90">
        <f>IFERROR(__xludf.DUMMYFUNCTION("""COMPUTED_VALUE"""),40603.0)</f>
        <v>40603</v>
      </c>
      <c r="E1117" s="46">
        <f>IFERROR(__xludf.DUMMYFUNCTION("""COMPUTED_VALUE"""),2011.0)</f>
        <v>2011</v>
      </c>
      <c r="F1117" s="46">
        <f>IFERROR(__xludf.DUMMYFUNCTION("""COMPUTED_VALUE"""),1.0)</f>
        <v>1</v>
      </c>
      <c r="G1117" s="46">
        <f>IFERROR(__xludf.DUMMYFUNCTION("""COMPUTED_VALUE"""),347.0)</f>
        <v>347</v>
      </c>
      <c r="H1117" s="46">
        <f>IFERROR(__xludf.DUMMYFUNCTION("""COMPUTED_VALUE"""),52945.26)</f>
        <v>52945.26</v>
      </c>
      <c r="I1117" s="46">
        <f>IFERROR(__xludf.DUMMYFUNCTION("""COMPUTED_VALUE"""),33811.68)</f>
        <v>33811.68</v>
      </c>
      <c r="J1117" s="46">
        <f>IFERROR(__xludf.DUMMYFUNCTION("""COMPUTED_VALUE"""),19133.58)</f>
        <v>19133.58</v>
      </c>
      <c r="K1117" s="46" t="str">
        <f t="array" ref="K1117">TEXT(D1117, "mmmm")</f>
        <v>March</v>
      </c>
      <c r="M1117" s="46" t="str">
        <f>IFERROR(__xludf.DUMMYFUNCTION("""COMPUTED_VALUE"""),"Netherlands")</f>
        <v>Netherlands</v>
      </c>
      <c r="N1117" s="94">
        <f>IFERROR(__xludf.DUMMYFUNCTION("""COMPUTED_VALUE"""),42917.0)</f>
        <v>42917</v>
      </c>
      <c r="O1117" s="46">
        <f>IFERROR(__xludf.DUMMYFUNCTION("""COMPUTED_VALUE"""),1.0)</f>
        <v>1</v>
      </c>
      <c r="P1117" s="46">
        <f>IFERROR(__xludf.DUMMYFUNCTION("""COMPUTED_VALUE"""),7939.0)</f>
        <v>7939</v>
      </c>
      <c r="Q1117" s="46">
        <f>IFERROR(__xludf.DUMMYFUNCTION("""COMPUTED_VALUE"""),376705.55000000005)</f>
        <v>376705.55</v>
      </c>
      <c r="R1117" s="46">
        <f>IFERROR(__xludf.DUMMYFUNCTION("""COMPUTED_VALUE"""),252380.81)</f>
        <v>252380.81</v>
      </c>
      <c r="S1117" s="46">
        <f>IFERROR(__xludf.DUMMYFUNCTION("""COMPUTED_VALUE"""),124324.74000000005)</f>
        <v>124324.74</v>
      </c>
    </row>
    <row r="1118">
      <c r="A1118" s="46" t="str">
        <f>IFERROR(__xludf.DUMMYFUNCTION("""COMPUTED_VALUE"""),"Vegetables")</f>
        <v>Vegetables</v>
      </c>
      <c r="B1118" s="46" t="str">
        <f>IFERROR(__xludf.DUMMYFUNCTION("""COMPUTED_VALUE"""),"Germany")</f>
        <v>Germany</v>
      </c>
      <c r="C1118" s="46" t="str">
        <f>IFERROR(__xludf.DUMMYFUNCTION("""COMPUTED_VALUE"""),"Europe")</f>
        <v>Europe</v>
      </c>
      <c r="D1118" s="90">
        <f>IFERROR(__xludf.DUMMYFUNCTION("""COMPUTED_VALUE"""),40603.0)</f>
        <v>40603</v>
      </c>
      <c r="E1118" s="46">
        <f>IFERROR(__xludf.DUMMYFUNCTION("""COMPUTED_VALUE"""),2011.0)</f>
        <v>2011</v>
      </c>
      <c r="F1118" s="46">
        <f>IFERROR(__xludf.DUMMYFUNCTION("""COMPUTED_VALUE"""),1.0)</f>
        <v>1</v>
      </c>
      <c r="G1118" s="46">
        <f>IFERROR(__xludf.DUMMYFUNCTION("""COMPUTED_VALUE"""),5579.0)</f>
        <v>5579</v>
      </c>
      <c r="H1118" s="46">
        <f>IFERROR(__xludf.DUMMYFUNCTION("""COMPUTED_VALUE"""),859500.74)</f>
        <v>859500.74</v>
      </c>
      <c r="I1118" s="46">
        <f>IFERROR(__xludf.DUMMYFUNCTION("""COMPUTED_VALUE"""),507298.47000000003)</f>
        <v>507298.47</v>
      </c>
      <c r="J1118" s="46">
        <f>IFERROR(__xludf.DUMMYFUNCTION("""COMPUTED_VALUE"""),352202.26999999996)</f>
        <v>352202.27</v>
      </c>
      <c r="K1118" s="46" t="str">
        <f t="array" ref="K1118">TEXT(D1118, "mmmm")</f>
        <v>March</v>
      </c>
      <c r="M1118" s="46" t="str">
        <f>IFERROR(__xludf.DUMMYFUNCTION("""COMPUTED_VALUE"""),"Poland")</f>
        <v>Poland</v>
      </c>
      <c r="N1118" s="94">
        <f>IFERROR(__xludf.DUMMYFUNCTION("""COMPUTED_VALUE"""),42917.0)</f>
        <v>42917</v>
      </c>
      <c r="O1118" s="46">
        <f>IFERROR(__xludf.DUMMYFUNCTION("""COMPUTED_VALUE"""),1.0)</f>
        <v>1</v>
      </c>
      <c r="P1118" s="46">
        <f>IFERROR(__xludf.DUMMYFUNCTION("""COMPUTED_VALUE"""),905.0)</f>
        <v>905</v>
      </c>
      <c r="Q1118" s="46">
        <f>IFERROR(__xludf.DUMMYFUNCTION("""COMPUTED_VALUE"""),604784.35)</f>
        <v>604784.35</v>
      </c>
      <c r="R1118" s="46">
        <f>IFERROR(__xludf.DUMMYFUNCTION("""COMPUTED_VALUE"""),454798.7)</f>
        <v>454798.7</v>
      </c>
      <c r="S1118" s="46">
        <f>IFERROR(__xludf.DUMMYFUNCTION("""COMPUTED_VALUE"""),149985.64999999997)</f>
        <v>149985.65</v>
      </c>
    </row>
    <row r="1119">
      <c r="A1119" s="46" t="str">
        <f>IFERROR(__xludf.DUMMYFUNCTION("""COMPUTED_VALUE"""),"Vegetables")</f>
        <v>Vegetables</v>
      </c>
      <c r="B1119" s="46" t="str">
        <f>IFERROR(__xludf.DUMMYFUNCTION("""COMPUTED_VALUE"""),"Monaco")</f>
        <v>Monaco</v>
      </c>
      <c r="C1119" s="46" t="str">
        <f>IFERROR(__xludf.DUMMYFUNCTION("""COMPUTED_VALUE"""),"Europe")</f>
        <v>Europe</v>
      </c>
      <c r="D1119" s="90">
        <f>IFERROR(__xludf.DUMMYFUNCTION("""COMPUTED_VALUE"""),40603.0)</f>
        <v>40603</v>
      </c>
      <c r="E1119" s="46">
        <f>IFERROR(__xludf.DUMMYFUNCTION("""COMPUTED_VALUE"""),2011.0)</f>
        <v>2011</v>
      </c>
      <c r="F1119" s="46">
        <f>IFERROR(__xludf.DUMMYFUNCTION("""COMPUTED_VALUE"""),1.0)</f>
        <v>1</v>
      </c>
      <c r="G1119" s="46">
        <f>IFERROR(__xludf.DUMMYFUNCTION("""COMPUTED_VALUE"""),5539.0)</f>
        <v>5539</v>
      </c>
      <c r="H1119" s="46">
        <f>IFERROR(__xludf.DUMMYFUNCTION("""COMPUTED_VALUE"""),853338.34)</f>
        <v>853338.34</v>
      </c>
      <c r="I1119" s="46">
        <f>IFERROR(__xludf.DUMMYFUNCTION("""COMPUTED_VALUE"""),503661.27)</f>
        <v>503661.27</v>
      </c>
      <c r="J1119" s="46">
        <f>IFERROR(__xludf.DUMMYFUNCTION("""COMPUTED_VALUE"""),349677.06999999995)</f>
        <v>349677.07</v>
      </c>
      <c r="K1119" s="46" t="str">
        <f t="array" ref="K1119">TEXT(D1119, "mmmm")</f>
        <v>March</v>
      </c>
      <c r="M1119" s="46" t="str">
        <f>IFERROR(__xludf.DUMMYFUNCTION("""COMPUTED_VALUE"""),"Russia")</f>
        <v>Russia</v>
      </c>
      <c r="N1119" s="94">
        <f>IFERROR(__xludf.DUMMYFUNCTION("""COMPUTED_VALUE"""),42917.0)</f>
        <v>42917</v>
      </c>
      <c r="O1119" s="46">
        <f>IFERROR(__xludf.DUMMYFUNCTION("""COMPUTED_VALUE"""),1.0)</f>
        <v>1</v>
      </c>
      <c r="P1119" s="46">
        <f>IFERROR(__xludf.DUMMYFUNCTION("""COMPUTED_VALUE"""),72.0)</f>
        <v>72</v>
      </c>
      <c r="Q1119" s="46">
        <f>IFERROR(__xludf.DUMMYFUNCTION("""COMPUTED_VALUE"""),48115.44)</f>
        <v>48115.44</v>
      </c>
      <c r="R1119" s="46">
        <f>IFERROR(__xludf.DUMMYFUNCTION("""COMPUTED_VALUE"""),36182.880000000005)</f>
        <v>36182.88</v>
      </c>
      <c r="S1119" s="46">
        <f>IFERROR(__xludf.DUMMYFUNCTION("""COMPUTED_VALUE"""),11932.559999999998)</f>
        <v>11932.56</v>
      </c>
    </row>
    <row r="1120">
      <c r="A1120" s="46" t="str">
        <f>IFERROR(__xludf.DUMMYFUNCTION("""COMPUTED_VALUE"""),"Vegetables")</f>
        <v>Vegetables</v>
      </c>
      <c r="B1120" s="46" t="str">
        <f>IFERROR(__xludf.DUMMYFUNCTION("""COMPUTED_VALUE"""),"Serbia")</f>
        <v>Serbia</v>
      </c>
      <c r="C1120" s="46" t="str">
        <f>IFERROR(__xludf.DUMMYFUNCTION("""COMPUTED_VALUE"""),"Europe")</f>
        <v>Europe</v>
      </c>
      <c r="D1120" s="90">
        <f>IFERROR(__xludf.DUMMYFUNCTION("""COMPUTED_VALUE"""),40603.0)</f>
        <v>40603</v>
      </c>
      <c r="E1120" s="46">
        <f>IFERROR(__xludf.DUMMYFUNCTION("""COMPUTED_VALUE"""),2011.0)</f>
        <v>2011</v>
      </c>
      <c r="F1120" s="46">
        <f>IFERROR(__xludf.DUMMYFUNCTION("""COMPUTED_VALUE"""),1.0)</f>
        <v>1</v>
      </c>
      <c r="G1120" s="46">
        <f>IFERROR(__xludf.DUMMYFUNCTION("""COMPUTED_VALUE"""),7454.0)</f>
        <v>7454</v>
      </c>
      <c r="H1120" s="46">
        <f>IFERROR(__xludf.DUMMYFUNCTION("""COMPUTED_VALUE"""),1148363.24)</f>
        <v>1148363.24</v>
      </c>
      <c r="I1120" s="46">
        <f>IFERROR(__xludf.DUMMYFUNCTION("""COMPUTED_VALUE"""),677792.2200000001)</f>
        <v>677792.22</v>
      </c>
      <c r="J1120" s="46">
        <f>IFERROR(__xludf.DUMMYFUNCTION("""COMPUTED_VALUE"""),470571.0199999999)</f>
        <v>470571.02</v>
      </c>
      <c r="K1120" s="46" t="str">
        <f t="array" ref="K1120">TEXT(D1120, "mmmm")</f>
        <v>March</v>
      </c>
      <c r="M1120" s="46" t="str">
        <f>IFERROR(__xludf.DUMMYFUNCTION("""COMPUTED_VALUE"""),"San Marino")</f>
        <v>San Marino</v>
      </c>
      <c r="N1120" s="94">
        <f>IFERROR(__xludf.DUMMYFUNCTION("""COMPUTED_VALUE"""),42917.0)</f>
        <v>42917</v>
      </c>
      <c r="O1120" s="46">
        <f>IFERROR(__xludf.DUMMYFUNCTION("""COMPUTED_VALUE"""),2.0)</f>
        <v>2</v>
      </c>
      <c r="P1120" s="46">
        <f>IFERROR(__xludf.DUMMYFUNCTION("""COMPUTED_VALUE"""),8673.0)</f>
        <v>8673</v>
      </c>
      <c r="Q1120" s="46">
        <f>IFERROR(__xludf.DUMMYFUNCTION("""COMPUTED_VALUE"""),381600.84)</f>
        <v>381600.84</v>
      </c>
      <c r="R1120" s="46">
        <f>IFERROR(__xludf.DUMMYFUNCTION("""COMPUTED_VALUE"""),250018.64)</f>
        <v>250018.64</v>
      </c>
      <c r="S1120" s="46">
        <f>IFERROR(__xludf.DUMMYFUNCTION("""COMPUTED_VALUE"""),131582.20000000004)</f>
        <v>131582.2</v>
      </c>
    </row>
    <row r="1121">
      <c r="A1121" s="46" t="str">
        <f>IFERROR(__xludf.DUMMYFUNCTION("""COMPUTED_VALUE"""),"Baby Food")</f>
        <v>Baby Food</v>
      </c>
      <c r="B1121" s="46" t="str">
        <f>IFERROR(__xludf.DUMMYFUNCTION("""COMPUTED_VALUE"""),"San Marino")</f>
        <v>San Marino</v>
      </c>
      <c r="C1121" s="46" t="str">
        <f>IFERROR(__xludf.DUMMYFUNCTION("""COMPUTED_VALUE"""),"Europe")</f>
        <v>Europe</v>
      </c>
      <c r="D1121" s="90">
        <f>IFERROR(__xludf.DUMMYFUNCTION("""COMPUTED_VALUE"""),40575.0)</f>
        <v>40575</v>
      </c>
      <c r="E1121" s="46">
        <f>IFERROR(__xludf.DUMMYFUNCTION("""COMPUTED_VALUE"""),2011.0)</f>
        <v>2011</v>
      </c>
      <c r="F1121" s="46">
        <f>IFERROR(__xludf.DUMMYFUNCTION("""COMPUTED_VALUE"""),1.0)</f>
        <v>1</v>
      </c>
      <c r="G1121" s="46">
        <f>IFERROR(__xludf.DUMMYFUNCTION("""COMPUTED_VALUE"""),1856.0)</f>
        <v>1856</v>
      </c>
      <c r="H1121" s="46">
        <f>IFERROR(__xludf.DUMMYFUNCTION("""COMPUTED_VALUE"""),473799.68)</f>
        <v>473799.68</v>
      </c>
      <c r="I1121" s="46">
        <f>IFERROR(__xludf.DUMMYFUNCTION("""COMPUTED_VALUE"""),295883.51999999996)</f>
        <v>295883.52</v>
      </c>
      <c r="J1121" s="46">
        <f>IFERROR(__xludf.DUMMYFUNCTION("""COMPUTED_VALUE"""),177916.16000000003)</f>
        <v>177916.16</v>
      </c>
      <c r="K1121" s="46" t="str">
        <f t="array" ref="K1121">TEXT(D1121, "mmmm")</f>
        <v>February</v>
      </c>
      <c r="M1121" s="46" t="str">
        <f>IFERROR(__xludf.DUMMYFUNCTION("""COMPUTED_VALUE"""),"Spain")</f>
        <v>Spain</v>
      </c>
      <c r="N1121" s="94">
        <f>IFERROR(__xludf.DUMMYFUNCTION("""COMPUTED_VALUE"""),42917.0)</f>
        <v>42917</v>
      </c>
      <c r="O1121" s="46">
        <f>IFERROR(__xludf.DUMMYFUNCTION("""COMPUTED_VALUE"""),1.0)</f>
        <v>1</v>
      </c>
      <c r="P1121" s="46">
        <f>IFERROR(__xludf.DUMMYFUNCTION("""COMPUTED_VALUE"""),4437.0)</f>
        <v>4437</v>
      </c>
      <c r="Q1121" s="46">
        <f>IFERROR(__xludf.DUMMYFUNCTION("""COMPUTED_VALUE"""),2889418.77)</f>
        <v>2889418.77</v>
      </c>
      <c r="R1121" s="46">
        <f>IFERROR(__xludf.DUMMYFUNCTION("""COMPUTED_VALUE"""),2329247.52)</f>
        <v>2329247.52</v>
      </c>
      <c r="S1121" s="46">
        <f>IFERROR(__xludf.DUMMYFUNCTION("""COMPUTED_VALUE"""),560171.25)</f>
        <v>560171.25</v>
      </c>
    </row>
    <row r="1122">
      <c r="A1122" s="46" t="str">
        <f>IFERROR(__xludf.DUMMYFUNCTION("""COMPUTED_VALUE"""),"Beverages")</f>
        <v>Beverages</v>
      </c>
      <c r="B1122" s="46" t="str">
        <f>IFERROR(__xludf.DUMMYFUNCTION("""COMPUTED_VALUE"""),"Netherlands")</f>
        <v>Netherlands</v>
      </c>
      <c r="C1122" s="46" t="str">
        <f>IFERROR(__xludf.DUMMYFUNCTION("""COMPUTED_VALUE"""),"Europe")</f>
        <v>Europe</v>
      </c>
      <c r="D1122" s="90">
        <f>IFERROR(__xludf.DUMMYFUNCTION("""COMPUTED_VALUE"""),40575.0)</f>
        <v>40575</v>
      </c>
      <c r="E1122" s="46">
        <f>IFERROR(__xludf.DUMMYFUNCTION("""COMPUTED_VALUE"""),2011.0)</f>
        <v>2011</v>
      </c>
      <c r="F1122" s="46">
        <f>IFERROR(__xludf.DUMMYFUNCTION("""COMPUTED_VALUE"""),1.0)</f>
        <v>1</v>
      </c>
      <c r="G1122" s="46">
        <f>IFERROR(__xludf.DUMMYFUNCTION("""COMPUTED_VALUE"""),3836.0)</f>
        <v>3836</v>
      </c>
      <c r="H1122" s="46">
        <f>IFERROR(__xludf.DUMMYFUNCTION("""COMPUTED_VALUE"""),182018.2)</f>
        <v>182018.2</v>
      </c>
      <c r="I1122" s="46">
        <f>IFERROR(__xludf.DUMMYFUNCTION("""COMPUTED_VALUE"""),121946.44)</f>
        <v>121946.44</v>
      </c>
      <c r="J1122" s="46">
        <f>IFERROR(__xludf.DUMMYFUNCTION("""COMPUTED_VALUE"""),60071.76000000001)</f>
        <v>60071.76</v>
      </c>
      <c r="K1122" s="46" t="str">
        <f t="array" ref="K1122">TEXT(D1122, "mmmm")</f>
        <v>February</v>
      </c>
      <c r="M1122" s="46" t="str">
        <f>IFERROR(__xludf.DUMMYFUNCTION("""COMPUTED_VALUE"""),"Sweden")</f>
        <v>Sweden</v>
      </c>
      <c r="N1122" s="94">
        <f>IFERROR(__xludf.DUMMYFUNCTION("""COMPUTED_VALUE"""),42917.0)</f>
        <v>42917</v>
      </c>
      <c r="O1122" s="46">
        <f>IFERROR(__xludf.DUMMYFUNCTION("""COMPUTED_VALUE"""),1.0)</f>
        <v>1</v>
      </c>
      <c r="P1122" s="46">
        <f>IFERROR(__xludf.DUMMYFUNCTION("""COMPUTED_VALUE"""),8659.0)</f>
        <v>8659</v>
      </c>
      <c r="Q1122" s="46">
        <f>IFERROR(__xludf.DUMMYFUNCTION("""COMPUTED_VALUE"""),3785714.8)</f>
        <v>3785714.8</v>
      </c>
      <c r="R1122" s="46">
        <f>IFERROR(__xludf.DUMMYFUNCTION("""COMPUTED_VALUE"""),2280174.4699999997)</f>
        <v>2280174.47</v>
      </c>
      <c r="S1122" s="46">
        <f>IFERROR(__xludf.DUMMYFUNCTION("""COMPUTED_VALUE"""),1505540.33)</f>
        <v>1505540.33</v>
      </c>
    </row>
    <row r="1123">
      <c r="A1123" s="46" t="str">
        <f>IFERROR(__xludf.DUMMYFUNCTION("""COMPUTED_VALUE"""),"Beverages")</f>
        <v>Beverages</v>
      </c>
      <c r="B1123" s="46" t="str">
        <f>IFERROR(__xludf.DUMMYFUNCTION("""COMPUTED_VALUE"""),"Slovenia")</f>
        <v>Slovenia</v>
      </c>
      <c r="C1123" s="46" t="str">
        <f>IFERROR(__xludf.DUMMYFUNCTION("""COMPUTED_VALUE"""),"Europe")</f>
        <v>Europe</v>
      </c>
      <c r="D1123" s="90">
        <f>IFERROR(__xludf.DUMMYFUNCTION("""COMPUTED_VALUE"""),40575.0)</f>
        <v>40575</v>
      </c>
      <c r="E1123" s="46">
        <f>IFERROR(__xludf.DUMMYFUNCTION("""COMPUTED_VALUE"""),2011.0)</f>
        <v>2011</v>
      </c>
      <c r="F1123" s="46">
        <f>IFERROR(__xludf.DUMMYFUNCTION("""COMPUTED_VALUE"""),1.0)</f>
        <v>1</v>
      </c>
      <c r="G1123" s="46">
        <f>IFERROR(__xludf.DUMMYFUNCTION("""COMPUTED_VALUE"""),7404.0)</f>
        <v>7404</v>
      </c>
      <c r="H1123" s="46">
        <f>IFERROR(__xludf.DUMMYFUNCTION("""COMPUTED_VALUE"""),351319.80000000005)</f>
        <v>351319.8</v>
      </c>
      <c r="I1123" s="46">
        <f>IFERROR(__xludf.DUMMYFUNCTION("""COMPUTED_VALUE"""),235373.16)</f>
        <v>235373.16</v>
      </c>
      <c r="J1123" s="46">
        <f>IFERROR(__xludf.DUMMYFUNCTION("""COMPUTED_VALUE"""),115946.64000000004)</f>
        <v>115946.64</v>
      </c>
      <c r="K1123" s="46" t="str">
        <f t="array" ref="K1123">TEXT(D1123, "mmmm")</f>
        <v>February</v>
      </c>
      <c r="M1123" s="46" t="str">
        <f>IFERROR(__xludf.DUMMYFUNCTION("""COMPUTED_VALUE"""),"Switzerland")</f>
        <v>Switzerland</v>
      </c>
      <c r="N1123" s="94">
        <f>IFERROR(__xludf.DUMMYFUNCTION("""COMPUTED_VALUE"""),42917.0)</f>
        <v>42917</v>
      </c>
      <c r="O1123" s="46">
        <f>IFERROR(__xludf.DUMMYFUNCTION("""COMPUTED_VALUE"""),1.0)</f>
        <v>1</v>
      </c>
      <c r="P1123" s="46">
        <f>IFERROR(__xludf.DUMMYFUNCTION("""COMPUTED_VALUE"""),8792.0)</f>
        <v>8792</v>
      </c>
      <c r="Q1123" s="46">
        <f>IFERROR(__xludf.DUMMYFUNCTION("""COMPUTED_VALUE"""),3843862.4)</f>
        <v>3843862.4</v>
      </c>
      <c r="R1123" s="46">
        <f>IFERROR(__xludf.DUMMYFUNCTION("""COMPUTED_VALUE"""),2315197.36)</f>
        <v>2315197.36</v>
      </c>
      <c r="S1123" s="46">
        <f>IFERROR(__xludf.DUMMYFUNCTION("""COMPUTED_VALUE"""),1528665.04)</f>
        <v>1528665.04</v>
      </c>
    </row>
    <row r="1124">
      <c r="A1124" s="46" t="str">
        <f>IFERROR(__xludf.DUMMYFUNCTION("""COMPUTED_VALUE"""),"Cereal")</f>
        <v>Cereal</v>
      </c>
      <c r="B1124" s="46" t="str">
        <f>IFERROR(__xludf.DUMMYFUNCTION("""COMPUTED_VALUE"""),"Bulgaria")</f>
        <v>Bulgaria</v>
      </c>
      <c r="C1124" s="46" t="str">
        <f>IFERROR(__xludf.DUMMYFUNCTION("""COMPUTED_VALUE"""),"Europe")</f>
        <v>Europe</v>
      </c>
      <c r="D1124" s="90">
        <f>IFERROR(__xludf.DUMMYFUNCTION("""COMPUTED_VALUE"""),40575.0)</f>
        <v>40575</v>
      </c>
      <c r="E1124" s="46">
        <f>IFERROR(__xludf.DUMMYFUNCTION("""COMPUTED_VALUE"""),2011.0)</f>
        <v>2011</v>
      </c>
      <c r="F1124" s="46">
        <f>IFERROR(__xludf.DUMMYFUNCTION("""COMPUTED_VALUE"""),1.0)</f>
        <v>1</v>
      </c>
      <c r="G1124" s="46">
        <f>IFERROR(__xludf.DUMMYFUNCTION("""COMPUTED_VALUE"""),4448.0)</f>
        <v>4448</v>
      </c>
      <c r="H1124" s="46">
        <f>IFERROR(__xludf.DUMMYFUNCTION("""COMPUTED_VALUE"""),914953.6)</f>
        <v>914953.6</v>
      </c>
      <c r="I1124" s="46">
        <f>IFERROR(__xludf.DUMMYFUNCTION("""COMPUTED_VALUE"""),520905.27999999997)</f>
        <v>520905.28</v>
      </c>
      <c r="J1124" s="46">
        <f>IFERROR(__xludf.DUMMYFUNCTION("""COMPUTED_VALUE"""),394048.32)</f>
        <v>394048.32</v>
      </c>
      <c r="K1124" s="46" t="str">
        <f t="array" ref="K1124">TEXT(D1124, "mmmm")</f>
        <v>February</v>
      </c>
      <c r="M1124" s="46" t="str">
        <f>IFERROR(__xludf.DUMMYFUNCTION("""COMPUTED_VALUE"""),"Undefined")</f>
        <v>Undefined</v>
      </c>
      <c r="N1124" s="94">
        <f>IFERROR(__xludf.DUMMYFUNCTION("""COMPUTED_VALUE"""),42917.0)</f>
        <v>42917</v>
      </c>
      <c r="O1124" s="46">
        <f>IFERROR(__xludf.DUMMYFUNCTION("""COMPUTED_VALUE"""),2.0)</f>
        <v>2</v>
      </c>
      <c r="P1124" s="46">
        <f>IFERROR(__xludf.DUMMYFUNCTION("""COMPUTED_VALUE"""),10239.0)</f>
        <v>10239</v>
      </c>
      <c r="Q1124" s="46">
        <f>IFERROR(__xludf.DUMMYFUNCTION("""COMPUTED_VALUE"""),1750207.78)</f>
        <v>1750207.78</v>
      </c>
      <c r="R1124" s="46">
        <f>IFERROR(__xludf.DUMMYFUNCTION("""COMPUTED_VALUE"""),1018630.55)</f>
        <v>1018630.55</v>
      </c>
      <c r="S1124" s="46">
        <f>IFERROR(__xludf.DUMMYFUNCTION("""COMPUTED_VALUE"""),731577.23)</f>
        <v>731577.23</v>
      </c>
    </row>
    <row r="1125">
      <c r="A1125" s="46" t="str">
        <f>IFERROR(__xludf.DUMMYFUNCTION("""COMPUTED_VALUE"""),"Cereal")</f>
        <v>Cereal</v>
      </c>
      <c r="B1125" s="46" t="str">
        <f>IFERROR(__xludf.DUMMYFUNCTION("""COMPUTED_VALUE"""),"Ukraine")</f>
        <v>Ukraine</v>
      </c>
      <c r="C1125" s="46" t="str">
        <f>IFERROR(__xludf.DUMMYFUNCTION("""COMPUTED_VALUE"""),"Europe")</f>
        <v>Europe</v>
      </c>
      <c r="D1125" s="90">
        <f>IFERROR(__xludf.DUMMYFUNCTION("""COMPUTED_VALUE"""),40575.0)</f>
        <v>40575</v>
      </c>
      <c r="E1125" s="46">
        <f>IFERROR(__xludf.DUMMYFUNCTION("""COMPUTED_VALUE"""),2011.0)</f>
        <v>2011</v>
      </c>
      <c r="F1125" s="46">
        <f>IFERROR(__xludf.DUMMYFUNCTION("""COMPUTED_VALUE"""),1.0)</f>
        <v>1</v>
      </c>
      <c r="G1125" s="46">
        <f>IFERROR(__xludf.DUMMYFUNCTION("""COMPUTED_VALUE"""),2771.0)</f>
        <v>2771</v>
      </c>
      <c r="H1125" s="46">
        <f>IFERROR(__xludf.DUMMYFUNCTION("""COMPUTED_VALUE"""),569994.7)</f>
        <v>569994.7</v>
      </c>
      <c r="I1125" s="46">
        <f>IFERROR(__xludf.DUMMYFUNCTION("""COMPUTED_VALUE"""),324511.81)</f>
        <v>324511.81</v>
      </c>
      <c r="J1125" s="46">
        <f>IFERROR(__xludf.DUMMYFUNCTION("""COMPUTED_VALUE"""),245482.88999999996)</f>
        <v>245482.89</v>
      </c>
      <c r="K1125" s="46" t="str">
        <f t="array" ref="K1125">TEXT(D1125, "mmmm")</f>
        <v>February</v>
      </c>
    </row>
    <row r="1126">
      <c r="A1126" s="46" t="str">
        <f>IFERROR(__xludf.DUMMYFUNCTION("""COMPUTED_VALUE"""),"Cosmetics")</f>
        <v>Cosmetics</v>
      </c>
      <c r="B1126" s="46" t="str">
        <f>IFERROR(__xludf.DUMMYFUNCTION("""COMPUTED_VALUE"""),"Iceland")</f>
        <v>Iceland</v>
      </c>
      <c r="C1126" s="46" t="str">
        <f>IFERROR(__xludf.DUMMYFUNCTION("""COMPUTED_VALUE"""),"Europe")</f>
        <v>Europe</v>
      </c>
      <c r="D1126" s="90">
        <f>IFERROR(__xludf.DUMMYFUNCTION("""COMPUTED_VALUE"""),40575.0)</f>
        <v>40575</v>
      </c>
      <c r="E1126" s="46">
        <f>IFERROR(__xludf.DUMMYFUNCTION("""COMPUTED_VALUE"""),2011.0)</f>
        <v>2011</v>
      </c>
      <c r="F1126" s="46">
        <f>IFERROR(__xludf.DUMMYFUNCTION("""COMPUTED_VALUE"""),1.0)</f>
        <v>1</v>
      </c>
      <c r="G1126" s="46">
        <f>IFERROR(__xludf.DUMMYFUNCTION("""COMPUTED_VALUE"""),2019.0)</f>
        <v>2019</v>
      </c>
      <c r="H1126" s="46">
        <f>IFERROR(__xludf.DUMMYFUNCTION("""COMPUTED_VALUE"""),882706.7999999999)</f>
        <v>882706.8</v>
      </c>
      <c r="I1126" s="46">
        <f>IFERROR(__xludf.DUMMYFUNCTION("""COMPUTED_VALUE"""),531663.27)</f>
        <v>531663.27</v>
      </c>
      <c r="J1126" s="46">
        <f>IFERROR(__xludf.DUMMYFUNCTION("""COMPUTED_VALUE"""),351043.5299999999)</f>
        <v>351043.53</v>
      </c>
      <c r="K1126" s="46" t="str">
        <f t="array" ref="K1126">TEXT(D1126, "mmmm")</f>
        <v>February</v>
      </c>
    </row>
    <row r="1127">
      <c r="A1127" s="46" t="str">
        <f>IFERROR(__xludf.DUMMYFUNCTION("""COMPUTED_VALUE"""),"Household")</f>
        <v>Household</v>
      </c>
      <c r="B1127" s="46" t="str">
        <f>IFERROR(__xludf.DUMMYFUNCTION("""COMPUTED_VALUE"""),"Czech Republic")</f>
        <v>Czech Republic</v>
      </c>
      <c r="C1127" s="46" t="str">
        <f>IFERROR(__xludf.DUMMYFUNCTION("""COMPUTED_VALUE"""),"Europe")</f>
        <v>Europe</v>
      </c>
      <c r="D1127" s="90">
        <f>IFERROR(__xludf.DUMMYFUNCTION("""COMPUTED_VALUE"""),40575.0)</f>
        <v>40575</v>
      </c>
      <c r="E1127" s="46">
        <f>IFERROR(__xludf.DUMMYFUNCTION("""COMPUTED_VALUE"""),2011.0)</f>
        <v>2011</v>
      </c>
      <c r="F1127" s="46">
        <f>IFERROR(__xludf.DUMMYFUNCTION("""COMPUTED_VALUE"""),1.0)</f>
        <v>1</v>
      </c>
      <c r="G1127" s="46">
        <f>IFERROR(__xludf.DUMMYFUNCTION("""COMPUTED_VALUE"""),9405.0)</f>
        <v>9405</v>
      </c>
      <c r="H1127" s="46">
        <f>IFERROR(__xludf.DUMMYFUNCTION("""COMPUTED_VALUE"""),6285079.35)</f>
        <v>6285079.35</v>
      </c>
      <c r="I1127" s="46">
        <f>IFERROR(__xludf.DUMMYFUNCTION("""COMPUTED_VALUE"""),4726388.7)</f>
        <v>4726388.7</v>
      </c>
      <c r="J1127" s="46">
        <f>IFERROR(__xludf.DUMMYFUNCTION("""COMPUTED_VALUE"""),1558690.6499999994)</f>
        <v>1558690.65</v>
      </c>
      <c r="K1127" s="46" t="str">
        <f t="array" ref="K1127">TEXT(D1127, "mmmm")</f>
        <v>February</v>
      </c>
    </row>
    <row r="1128">
      <c r="A1128" s="46" t="str">
        <f>IFERROR(__xludf.DUMMYFUNCTION("""COMPUTED_VALUE"""),"Household")</f>
        <v>Household</v>
      </c>
      <c r="B1128" s="46" t="str">
        <f>IFERROR(__xludf.DUMMYFUNCTION("""COMPUTED_VALUE"""),"Italy")</f>
        <v>Italy</v>
      </c>
      <c r="C1128" s="46" t="str">
        <f>IFERROR(__xludf.DUMMYFUNCTION("""COMPUTED_VALUE"""),"Europe")</f>
        <v>Europe</v>
      </c>
      <c r="D1128" s="90">
        <f>IFERROR(__xludf.DUMMYFUNCTION("""COMPUTED_VALUE"""),40575.0)</f>
        <v>40575</v>
      </c>
      <c r="E1128" s="46">
        <f>IFERROR(__xludf.DUMMYFUNCTION("""COMPUTED_VALUE"""),2011.0)</f>
        <v>2011</v>
      </c>
      <c r="F1128" s="46">
        <f>IFERROR(__xludf.DUMMYFUNCTION("""COMPUTED_VALUE"""),1.0)</f>
        <v>1</v>
      </c>
      <c r="G1128" s="46">
        <f>IFERROR(__xludf.DUMMYFUNCTION("""COMPUTED_VALUE"""),198.0)</f>
        <v>198</v>
      </c>
      <c r="H1128" s="46">
        <f>IFERROR(__xludf.DUMMYFUNCTION("""COMPUTED_VALUE"""),132317.46)</f>
        <v>132317.46</v>
      </c>
      <c r="I1128" s="46">
        <f>IFERROR(__xludf.DUMMYFUNCTION("""COMPUTED_VALUE"""),99502.92)</f>
        <v>99502.92</v>
      </c>
      <c r="J1128" s="46">
        <f>IFERROR(__xludf.DUMMYFUNCTION("""COMPUTED_VALUE"""),32814.53999999999)</f>
        <v>32814.54</v>
      </c>
      <c r="K1128" s="46" t="str">
        <f t="array" ref="K1128">TEXT(D1128, "mmmm")</f>
        <v>February</v>
      </c>
    </row>
    <row r="1129">
      <c r="A1129" s="46" t="str">
        <f>IFERROR(__xludf.DUMMYFUNCTION("""COMPUTED_VALUE"""),"Household")</f>
        <v>Household</v>
      </c>
      <c r="B1129" s="46" t="str">
        <f>IFERROR(__xludf.DUMMYFUNCTION("""COMPUTED_VALUE"""),"Undefined")</f>
        <v>Undefined</v>
      </c>
      <c r="C1129" s="46" t="str">
        <f>IFERROR(__xludf.DUMMYFUNCTION("""COMPUTED_VALUE"""),"Undefined")</f>
        <v>Undefined</v>
      </c>
      <c r="D1129" s="90">
        <f>IFERROR(__xludf.DUMMYFUNCTION("""COMPUTED_VALUE"""),40575.0)</f>
        <v>40575</v>
      </c>
      <c r="E1129" s="46">
        <f>IFERROR(__xludf.DUMMYFUNCTION("""COMPUTED_VALUE"""),2011.0)</f>
        <v>2011</v>
      </c>
      <c r="F1129" s="46">
        <f>IFERROR(__xludf.DUMMYFUNCTION("""COMPUTED_VALUE"""),1.0)</f>
        <v>1</v>
      </c>
      <c r="G1129" s="46">
        <f>IFERROR(__xludf.DUMMYFUNCTION("""COMPUTED_VALUE"""),3844.0)</f>
        <v>3844</v>
      </c>
      <c r="H1129" s="46">
        <f>IFERROR(__xludf.DUMMYFUNCTION("""COMPUTED_VALUE"""),2568829.88)</f>
        <v>2568829.88</v>
      </c>
      <c r="I1129" s="46">
        <f>IFERROR(__xludf.DUMMYFUNCTION("""COMPUTED_VALUE"""),1931763.76)</f>
        <v>1931763.76</v>
      </c>
      <c r="J1129" s="46">
        <f>IFERROR(__xludf.DUMMYFUNCTION("""COMPUTED_VALUE"""),637066.1199999999)</f>
        <v>637066.12</v>
      </c>
      <c r="K1129" s="46" t="str">
        <f t="array" ref="K1129">TEXT(D1129, "mmmm")</f>
        <v>February</v>
      </c>
    </row>
    <row r="1130">
      <c r="A1130" s="46" t="str">
        <f>IFERROR(__xludf.DUMMYFUNCTION("""COMPUTED_VALUE"""),"Meat")</f>
        <v>Meat</v>
      </c>
      <c r="B1130" s="46" t="str">
        <f>IFERROR(__xludf.DUMMYFUNCTION("""COMPUTED_VALUE"""),"Undefined")</f>
        <v>Undefined</v>
      </c>
      <c r="C1130" s="46" t="str">
        <f>IFERROR(__xludf.DUMMYFUNCTION("""COMPUTED_VALUE"""),"Undefined")</f>
        <v>Undefined</v>
      </c>
      <c r="D1130" s="90">
        <f>IFERROR(__xludf.DUMMYFUNCTION("""COMPUTED_VALUE"""),40575.0)</f>
        <v>40575</v>
      </c>
      <c r="E1130" s="46">
        <f>IFERROR(__xludf.DUMMYFUNCTION("""COMPUTED_VALUE"""),2011.0)</f>
        <v>2011</v>
      </c>
      <c r="F1130" s="46">
        <f>IFERROR(__xludf.DUMMYFUNCTION("""COMPUTED_VALUE"""),1.0)</f>
        <v>1</v>
      </c>
      <c r="G1130" s="46">
        <f>IFERROR(__xludf.DUMMYFUNCTION("""COMPUTED_VALUE"""),7603.0)</f>
        <v>7603</v>
      </c>
      <c r="H1130" s="46">
        <f>IFERROR(__xludf.DUMMYFUNCTION("""COMPUTED_VALUE"""),3207629.67)</f>
        <v>3207629.67</v>
      </c>
      <c r="I1130" s="46">
        <f>IFERROR(__xludf.DUMMYFUNCTION("""COMPUTED_VALUE"""),2772738.07)</f>
        <v>2772738.07</v>
      </c>
      <c r="J1130" s="46">
        <f>IFERROR(__xludf.DUMMYFUNCTION("""COMPUTED_VALUE"""),434891.6000000001)</f>
        <v>434891.6</v>
      </c>
      <c r="K1130" s="46" t="str">
        <f t="array" ref="K1130">TEXT(D1130, "mmmm")</f>
        <v>February</v>
      </c>
    </row>
    <row r="1131">
      <c r="A1131" s="46" t="str">
        <f>IFERROR(__xludf.DUMMYFUNCTION("""COMPUTED_VALUE"""),"Office Supplies")</f>
        <v>Office Supplies</v>
      </c>
      <c r="B1131" s="46" t="str">
        <f>IFERROR(__xludf.DUMMYFUNCTION("""COMPUTED_VALUE"""),"Netherlands")</f>
        <v>Netherlands</v>
      </c>
      <c r="C1131" s="46" t="str">
        <f>IFERROR(__xludf.DUMMYFUNCTION("""COMPUTED_VALUE"""),"Europe")</f>
        <v>Europe</v>
      </c>
      <c r="D1131" s="90">
        <f>IFERROR(__xludf.DUMMYFUNCTION("""COMPUTED_VALUE"""),40575.0)</f>
        <v>40575</v>
      </c>
      <c r="E1131" s="46">
        <f>IFERROR(__xludf.DUMMYFUNCTION("""COMPUTED_VALUE"""),2011.0)</f>
        <v>2011</v>
      </c>
      <c r="F1131" s="46">
        <f>IFERROR(__xludf.DUMMYFUNCTION("""COMPUTED_VALUE"""),1.0)</f>
        <v>1</v>
      </c>
      <c r="G1131" s="46">
        <f>IFERROR(__xludf.DUMMYFUNCTION("""COMPUTED_VALUE"""),3824.0)</f>
        <v>3824</v>
      </c>
      <c r="H1131" s="46">
        <f>IFERROR(__xludf.DUMMYFUNCTION("""COMPUTED_VALUE"""),2490227.04)</f>
        <v>2490227.04</v>
      </c>
      <c r="I1131" s="46">
        <f>IFERROR(__xludf.DUMMYFUNCTION("""COMPUTED_VALUE"""),2007447.04)</f>
        <v>2007447.04</v>
      </c>
      <c r="J1131" s="46">
        <f>IFERROR(__xludf.DUMMYFUNCTION("""COMPUTED_VALUE"""),482780.0)</f>
        <v>482780</v>
      </c>
      <c r="K1131" s="46" t="str">
        <f t="array" ref="K1131">TEXT(D1131, "mmmm")</f>
        <v>February</v>
      </c>
    </row>
    <row r="1132">
      <c r="A1132" s="46" t="str">
        <f>IFERROR(__xludf.DUMMYFUNCTION("""COMPUTED_VALUE"""),"Personal Care")</f>
        <v>Personal Care</v>
      </c>
      <c r="B1132" s="46" t="str">
        <f>IFERROR(__xludf.DUMMYFUNCTION("""COMPUTED_VALUE"""),"Italy")</f>
        <v>Italy</v>
      </c>
      <c r="C1132" s="46" t="str">
        <f>IFERROR(__xludf.DUMMYFUNCTION("""COMPUTED_VALUE"""),"Europe")</f>
        <v>Europe</v>
      </c>
      <c r="D1132" s="90">
        <f>IFERROR(__xludf.DUMMYFUNCTION("""COMPUTED_VALUE"""),40575.0)</f>
        <v>40575</v>
      </c>
      <c r="E1132" s="46">
        <f>IFERROR(__xludf.DUMMYFUNCTION("""COMPUTED_VALUE"""),2011.0)</f>
        <v>2011</v>
      </c>
      <c r="F1132" s="46">
        <f>IFERROR(__xludf.DUMMYFUNCTION("""COMPUTED_VALUE"""),1.0)</f>
        <v>1</v>
      </c>
      <c r="G1132" s="46">
        <f>IFERROR(__xludf.DUMMYFUNCTION("""COMPUTED_VALUE"""),222.0)</f>
        <v>222</v>
      </c>
      <c r="H1132" s="46">
        <f>IFERROR(__xludf.DUMMYFUNCTION("""COMPUTED_VALUE"""),18144.06)</f>
        <v>18144.06</v>
      </c>
      <c r="I1132" s="46">
        <f>IFERROR(__xludf.DUMMYFUNCTION("""COMPUTED_VALUE"""),12580.74)</f>
        <v>12580.74</v>
      </c>
      <c r="J1132" s="46">
        <f>IFERROR(__xludf.DUMMYFUNCTION("""COMPUTED_VALUE"""),5563.3200000000015)</f>
        <v>5563.32</v>
      </c>
      <c r="K1132" s="46" t="str">
        <f t="array" ref="K1132">TEXT(D1132, "mmmm")</f>
        <v>February</v>
      </c>
    </row>
    <row r="1133">
      <c r="A1133" s="46" t="str">
        <f>IFERROR(__xludf.DUMMYFUNCTION("""COMPUTED_VALUE"""),"Personal Care")</f>
        <v>Personal Care</v>
      </c>
      <c r="B1133" s="46" t="str">
        <f>IFERROR(__xludf.DUMMYFUNCTION("""COMPUTED_VALUE"""),"Ukraine")</f>
        <v>Ukraine</v>
      </c>
      <c r="C1133" s="46" t="str">
        <f>IFERROR(__xludf.DUMMYFUNCTION("""COMPUTED_VALUE"""),"Europe")</f>
        <v>Europe</v>
      </c>
      <c r="D1133" s="90">
        <f>IFERROR(__xludf.DUMMYFUNCTION("""COMPUTED_VALUE"""),40575.0)</f>
        <v>40575</v>
      </c>
      <c r="E1133" s="46">
        <f>IFERROR(__xludf.DUMMYFUNCTION("""COMPUTED_VALUE"""),2011.0)</f>
        <v>2011</v>
      </c>
      <c r="F1133" s="46">
        <f>IFERROR(__xludf.DUMMYFUNCTION("""COMPUTED_VALUE"""),1.0)</f>
        <v>1</v>
      </c>
      <c r="G1133" s="46">
        <f>IFERROR(__xludf.DUMMYFUNCTION("""COMPUTED_VALUE"""),6378.0)</f>
        <v>6378</v>
      </c>
      <c r="H1133" s="46">
        <f>IFERROR(__xludf.DUMMYFUNCTION("""COMPUTED_VALUE"""),521273.94)</f>
        <v>521273.94</v>
      </c>
      <c r="I1133" s="46">
        <f>IFERROR(__xludf.DUMMYFUNCTION("""COMPUTED_VALUE"""),361441.26)</f>
        <v>361441.26</v>
      </c>
      <c r="J1133" s="46">
        <f>IFERROR(__xludf.DUMMYFUNCTION("""COMPUTED_VALUE"""),159832.68)</f>
        <v>159832.68</v>
      </c>
      <c r="K1133" s="46" t="str">
        <f t="array" ref="K1133">TEXT(D1133, "mmmm")</f>
        <v>February</v>
      </c>
    </row>
    <row r="1134">
      <c r="A1134" s="46" t="str">
        <f>IFERROR(__xludf.DUMMYFUNCTION("""COMPUTED_VALUE"""),"Snacks")</f>
        <v>Snacks</v>
      </c>
      <c r="B1134" s="46" t="str">
        <f>IFERROR(__xludf.DUMMYFUNCTION("""COMPUTED_VALUE"""),"Andorra")</f>
        <v>Andorra</v>
      </c>
      <c r="C1134" s="46" t="str">
        <f>IFERROR(__xludf.DUMMYFUNCTION("""COMPUTED_VALUE"""),"Europe")</f>
        <v>Europe</v>
      </c>
      <c r="D1134" s="90">
        <f>IFERROR(__xludf.DUMMYFUNCTION("""COMPUTED_VALUE"""),40575.0)</f>
        <v>40575</v>
      </c>
      <c r="E1134" s="46">
        <f>IFERROR(__xludf.DUMMYFUNCTION("""COMPUTED_VALUE"""),2011.0)</f>
        <v>2011</v>
      </c>
      <c r="F1134" s="46">
        <f>IFERROR(__xludf.DUMMYFUNCTION("""COMPUTED_VALUE"""),1.0)</f>
        <v>1</v>
      </c>
      <c r="G1134" s="46">
        <f>IFERROR(__xludf.DUMMYFUNCTION("""COMPUTED_VALUE"""),6054.0)</f>
        <v>6054</v>
      </c>
      <c r="H1134" s="46">
        <f>IFERROR(__xludf.DUMMYFUNCTION("""COMPUTED_VALUE"""),923719.3200000001)</f>
        <v>923719.32</v>
      </c>
      <c r="I1134" s="46">
        <f>IFERROR(__xludf.DUMMYFUNCTION("""COMPUTED_VALUE"""),589901.76)</f>
        <v>589901.76</v>
      </c>
      <c r="J1134" s="46">
        <f>IFERROR(__xludf.DUMMYFUNCTION("""COMPUTED_VALUE"""),333817.56000000006)</f>
        <v>333817.56</v>
      </c>
      <c r="K1134" s="46" t="str">
        <f t="array" ref="K1134">TEXT(D1134, "mmmm")</f>
        <v>February</v>
      </c>
    </row>
    <row r="1135">
      <c r="A1135" s="46" t="str">
        <f>IFERROR(__xludf.DUMMYFUNCTION("""COMPUTED_VALUE"""),"Snacks")</f>
        <v>Snacks</v>
      </c>
      <c r="B1135" s="46" t="str">
        <f>IFERROR(__xludf.DUMMYFUNCTION("""COMPUTED_VALUE"""),"Armenia")</f>
        <v>Armenia</v>
      </c>
      <c r="C1135" s="46" t="str">
        <f>IFERROR(__xludf.DUMMYFUNCTION("""COMPUTED_VALUE"""),"Asia")</f>
        <v>Asia</v>
      </c>
      <c r="D1135" s="90">
        <f>IFERROR(__xludf.DUMMYFUNCTION("""COMPUTED_VALUE"""),40575.0)</f>
        <v>40575</v>
      </c>
      <c r="E1135" s="46">
        <f>IFERROR(__xludf.DUMMYFUNCTION("""COMPUTED_VALUE"""),2011.0)</f>
        <v>2011</v>
      </c>
      <c r="F1135" s="46">
        <f>IFERROR(__xludf.DUMMYFUNCTION("""COMPUTED_VALUE"""),1.0)</f>
        <v>1</v>
      </c>
      <c r="G1135" s="46">
        <f>IFERROR(__xludf.DUMMYFUNCTION("""COMPUTED_VALUE"""),2037.0)</f>
        <v>2037</v>
      </c>
      <c r="H1135" s="46">
        <f>IFERROR(__xludf.DUMMYFUNCTION("""COMPUTED_VALUE"""),310805.46)</f>
        <v>310805.46</v>
      </c>
      <c r="I1135" s="46">
        <f>IFERROR(__xludf.DUMMYFUNCTION("""COMPUTED_VALUE"""),198485.28)</f>
        <v>198485.28</v>
      </c>
      <c r="J1135" s="46">
        <f>IFERROR(__xludf.DUMMYFUNCTION("""COMPUTED_VALUE"""),112320.18000000002)</f>
        <v>112320.18</v>
      </c>
      <c r="K1135" s="46" t="str">
        <f t="array" ref="K1135">TEXT(D1135, "mmmm")</f>
        <v>February</v>
      </c>
    </row>
    <row r="1136">
      <c r="A1136" s="46" t="str">
        <f>IFERROR(__xludf.DUMMYFUNCTION("""COMPUTED_VALUE"""),"Snacks")</f>
        <v>Snacks</v>
      </c>
      <c r="B1136" s="46" t="str">
        <f>IFERROR(__xludf.DUMMYFUNCTION("""COMPUTED_VALUE"""),"Luxembourg")</f>
        <v>Luxembourg</v>
      </c>
      <c r="C1136" s="46" t="str">
        <f>IFERROR(__xludf.DUMMYFUNCTION("""COMPUTED_VALUE"""),"Europe")</f>
        <v>Europe</v>
      </c>
      <c r="D1136" s="90">
        <f>IFERROR(__xludf.DUMMYFUNCTION("""COMPUTED_VALUE"""),40575.0)</f>
        <v>40575</v>
      </c>
      <c r="E1136" s="46">
        <f>IFERROR(__xludf.DUMMYFUNCTION("""COMPUTED_VALUE"""),2011.0)</f>
        <v>2011</v>
      </c>
      <c r="F1136" s="46">
        <f>IFERROR(__xludf.DUMMYFUNCTION("""COMPUTED_VALUE"""),1.0)</f>
        <v>1</v>
      </c>
      <c r="G1136" s="46">
        <f>IFERROR(__xludf.DUMMYFUNCTION("""COMPUTED_VALUE"""),955.0)</f>
        <v>955</v>
      </c>
      <c r="H1136" s="46">
        <f>IFERROR(__xludf.DUMMYFUNCTION("""COMPUTED_VALUE"""),145713.90000000002)</f>
        <v>145713.9</v>
      </c>
      <c r="I1136" s="46">
        <f>IFERROR(__xludf.DUMMYFUNCTION("""COMPUTED_VALUE"""),93055.2)</f>
        <v>93055.2</v>
      </c>
      <c r="J1136" s="46">
        <f>IFERROR(__xludf.DUMMYFUNCTION("""COMPUTED_VALUE"""),52658.700000000026)</f>
        <v>52658.7</v>
      </c>
      <c r="K1136" s="46" t="str">
        <f t="array" ref="K1136">TEXT(D1136, "mmmm")</f>
        <v>February</v>
      </c>
    </row>
    <row r="1137">
      <c r="A1137" s="46" t="str">
        <f>IFERROR(__xludf.DUMMYFUNCTION("""COMPUTED_VALUE"""),"Vegetables")</f>
        <v>Vegetables</v>
      </c>
      <c r="B1137" s="46" t="str">
        <f>IFERROR(__xludf.DUMMYFUNCTION("""COMPUTED_VALUE"""),"Estonia")</f>
        <v>Estonia</v>
      </c>
      <c r="C1137" s="46" t="str">
        <f>IFERROR(__xludf.DUMMYFUNCTION("""COMPUTED_VALUE"""),"Europe")</f>
        <v>Europe</v>
      </c>
      <c r="D1137" s="90">
        <f>IFERROR(__xludf.DUMMYFUNCTION("""COMPUTED_VALUE"""),40575.0)</f>
        <v>40575</v>
      </c>
      <c r="E1137" s="46">
        <f>IFERROR(__xludf.DUMMYFUNCTION("""COMPUTED_VALUE"""),2011.0)</f>
        <v>2011</v>
      </c>
      <c r="F1137" s="46">
        <f>IFERROR(__xludf.DUMMYFUNCTION("""COMPUTED_VALUE"""),1.0)</f>
        <v>1</v>
      </c>
      <c r="G1137" s="46">
        <f>IFERROR(__xludf.DUMMYFUNCTION("""COMPUTED_VALUE"""),8246.0)</f>
        <v>8246</v>
      </c>
      <c r="H1137" s="46">
        <f>IFERROR(__xludf.DUMMYFUNCTION("""COMPUTED_VALUE"""),1270378.76)</f>
        <v>1270378.76</v>
      </c>
      <c r="I1137" s="46">
        <f>IFERROR(__xludf.DUMMYFUNCTION("""COMPUTED_VALUE"""),749808.78)</f>
        <v>749808.78</v>
      </c>
      <c r="J1137" s="46">
        <f>IFERROR(__xludf.DUMMYFUNCTION("""COMPUTED_VALUE"""),520569.98)</f>
        <v>520569.98</v>
      </c>
      <c r="K1137" s="46" t="str">
        <f t="array" ref="K1137">TEXT(D1137, "mmmm")</f>
        <v>February</v>
      </c>
    </row>
    <row r="1138">
      <c r="A1138" s="46" t="str">
        <f>IFERROR(__xludf.DUMMYFUNCTION("""COMPUTED_VALUE"""),"Baby Food")</f>
        <v>Baby Food</v>
      </c>
      <c r="B1138" s="46" t="str">
        <f>IFERROR(__xludf.DUMMYFUNCTION("""COMPUTED_VALUE"""),"Hungary")</f>
        <v>Hungary</v>
      </c>
      <c r="C1138" s="46" t="str">
        <f>IFERROR(__xludf.DUMMYFUNCTION("""COMPUTED_VALUE"""),"Europe")</f>
        <v>Europe</v>
      </c>
      <c r="D1138" s="90">
        <f>IFERROR(__xludf.DUMMYFUNCTION("""COMPUTED_VALUE"""),40544.0)</f>
        <v>40544</v>
      </c>
      <c r="E1138" s="46">
        <f>IFERROR(__xludf.DUMMYFUNCTION("""COMPUTED_VALUE"""),2011.0)</f>
        <v>2011</v>
      </c>
      <c r="F1138" s="46">
        <f>IFERROR(__xludf.DUMMYFUNCTION("""COMPUTED_VALUE"""),1.0)</f>
        <v>1</v>
      </c>
      <c r="G1138" s="46">
        <f>IFERROR(__xludf.DUMMYFUNCTION("""COMPUTED_VALUE"""),9968.0)</f>
        <v>9968</v>
      </c>
      <c r="H1138" s="46">
        <f>IFERROR(__xludf.DUMMYFUNCTION("""COMPUTED_VALUE"""),2544631.04)</f>
        <v>2544631.04</v>
      </c>
      <c r="I1138" s="46">
        <f>IFERROR(__xludf.DUMMYFUNCTION("""COMPUTED_VALUE"""),1589098.5599999998)</f>
        <v>1589098.56</v>
      </c>
      <c r="J1138" s="46">
        <f>IFERROR(__xludf.DUMMYFUNCTION("""COMPUTED_VALUE"""),955532.4800000002)</f>
        <v>955532.48</v>
      </c>
      <c r="K1138" s="46" t="str">
        <f t="array" ref="K1138">TEXT(D1138, "mmmm")</f>
        <v>January</v>
      </c>
    </row>
    <row r="1139">
      <c r="A1139" s="46" t="str">
        <f>IFERROR(__xludf.DUMMYFUNCTION("""COMPUTED_VALUE"""),"Baby Food")</f>
        <v>Baby Food</v>
      </c>
      <c r="B1139" s="46" t="str">
        <f>IFERROR(__xludf.DUMMYFUNCTION("""COMPUTED_VALUE"""),"Italy")</f>
        <v>Italy</v>
      </c>
      <c r="C1139" s="46" t="str">
        <f>IFERROR(__xludf.DUMMYFUNCTION("""COMPUTED_VALUE"""),"Europe")</f>
        <v>Europe</v>
      </c>
      <c r="D1139" s="90">
        <f>IFERROR(__xludf.DUMMYFUNCTION("""COMPUTED_VALUE"""),40544.0)</f>
        <v>40544</v>
      </c>
      <c r="E1139" s="46">
        <f>IFERROR(__xludf.DUMMYFUNCTION("""COMPUTED_VALUE"""),2011.0)</f>
        <v>2011</v>
      </c>
      <c r="F1139" s="46">
        <f>IFERROR(__xludf.DUMMYFUNCTION("""COMPUTED_VALUE"""),1.0)</f>
        <v>1</v>
      </c>
      <c r="G1139" s="46">
        <f>IFERROR(__xludf.DUMMYFUNCTION("""COMPUTED_VALUE"""),7458.0)</f>
        <v>7458</v>
      </c>
      <c r="H1139" s="46">
        <f>IFERROR(__xludf.DUMMYFUNCTION("""COMPUTED_VALUE"""),1903878.24)</f>
        <v>1903878.24</v>
      </c>
      <c r="I1139" s="46">
        <f>IFERROR(__xludf.DUMMYFUNCTION("""COMPUTED_VALUE"""),1188954.3599999999)</f>
        <v>1188954.36</v>
      </c>
      <c r="J1139" s="46">
        <f>IFERROR(__xludf.DUMMYFUNCTION("""COMPUTED_VALUE"""),714923.8800000001)</f>
        <v>714923.88</v>
      </c>
      <c r="K1139" s="46" t="str">
        <f t="array" ref="K1139">TEXT(D1139, "mmmm")</f>
        <v>January</v>
      </c>
    </row>
    <row r="1140">
      <c r="A1140" s="46" t="str">
        <f>IFERROR(__xludf.DUMMYFUNCTION("""COMPUTED_VALUE"""),"Baby Food")</f>
        <v>Baby Food</v>
      </c>
      <c r="B1140" s="46" t="str">
        <f>IFERROR(__xludf.DUMMYFUNCTION("""COMPUTED_VALUE"""),"Netherlands")</f>
        <v>Netherlands</v>
      </c>
      <c r="C1140" s="46" t="str">
        <f>IFERROR(__xludf.DUMMYFUNCTION("""COMPUTED_VALUE"""),"Europe")</f>
        <v>Europe</v>
      </c>
      <c r="D1140" s="90">
        <f>IFERROR(__xludf.DUMMYFUNCTION("""COMPUTED_VALUE"""),40544.0)</f>
        <v>40544</v>
      </c>
      <c r="E1140" s="46">
        <f>IFERROR(__xludf.DUMMYFUNCTION("""COMPUTED_VALUE"""),2011.0)</f>
        <v>2011</v>
      </c>
      <c r="F1140" s="46">
        <f>IFERROR(__xludf.DUMMYFUNCTION("""COMPUTED_VALUE"""),1.0)</f>
        <v>1</v>
      </c>
      <c r="G1140" s="46">
        <f>IFERROR(__xludf.DUMMYFUNCTION("""COMPUTED_VALUE"""),4077.0)</f>
        <v>4077</v>
      </c>
      <c r="H1140" s="46">
        <f>IFERROR(__xludf.DUMMYFUNCTION("""COMPUTED_VALUE"""),1040776.56)</f>
        <v>1040776.56</v>
      </c>
      <c r="I1140" s="46">
        <f>IFERROR(__xludf.DUMMYFUNCTION("""COMPUTED_VALUE"""),649955.34)</f>
        <v>649955.34</v>
      </c>
      <c r="J1140" s="46">
        <f>IFERROR(__xludf.DUMMYFUNCTION("""COMPUTED_VALUE"""),390821.2200000001)</f>
        <v>390821.22</v>
      </c>
      <c r="K1140" s="46" t="str">
        <f t="array" ref="K1140">TEXT(D1140, "mmmm")</f>
        <v>January</v>
      </c>
    </row>
    <row r="1141">
      <c r="A1141" s="46" t="str">
        <f>IFERROR(__xludf.DUMMYFUNCTION("""COMPUTED_VALUE"""),"Cereal")</f>
        <v>Cereal</v>
      </c>
      <c r="B1141" s="46" t="str">
        <f>IFERROR(__xludf.DUMMYFUNCTION("""COMPUTED_VALUE"""),"Germany")</f>
        <v>Germany</v>
      </c>
      <c r="C1141" s="46" t="str">
        <f>IFERROR(__xludf.DUMMYFUNCTION("""COMPUTED_VALUE"""),"Europe")</f>
        <v>Europe</v>
      </c>
      <c r="D1141" s="90">
        <f>IFERROR(__xludf.DUMMYFUNCTION("""COMPUTED_VALUE"""),40544.0)</f>
        <v>40544</v>
      </c>
      <c r="E1141" s="46">
        <f>IFERROR(__xludf.DUMMYFUNCTION("""COMPUTED_VALUE"""),2011.0)</f>
        <v>2011</v>
      </c>
      <c r="F1141" s="46">
        <f>IFERROR(__xludf.DUMMYFUNCTION("""COMPUTED_VALUE"""),1.0)</f>
        <v>1</v>
      </c>
      <c r="G1141" s="46">
        <f>IFERROR(__xludf.DUMMYFUNCTION("""COMPUTED_VALUE"""),7315.0)</f>
        <v>7315</v>
      </c>
      <c r="H1141" s="46">
        <f>IFERROR(__xludf.DUMMYFUNCTION("""COMPUTED_VALUE"""),1504695.5)</f>
        <v>1504695.5</v>
      </c>
      <c r="I1141" s="46">
        <f>IFERROR(__xludf.DUMMYFUNCTION("""COMPUTED_VALUE"""),856659.65)</f>
        <v>856659.65</v>
      </c>
      <c r="J1141" s="46">
        <f>IFERROR(__xludf.DUMMYFUNCTION("""COMPUTED_VALUE"""),648035.85)</f>
        <v>648035.85</v>
      </c>
      <c r="K1141" s="46" t="str">
        <f t="array" ref="K1141">TEXT(D1141, "mmmm")</f>
        <v>January</v>
      </c>
    </row>
    <row r="1142">
      <c r="A1142" s="46" t="str">
        <f>IFERROR(__xludf.DUMMYFUNCTION("""COMPUTED_VALUE"""),"Clothes")</f>
        <v>Clothes</v>
      </c>
      <c r="B1142" s="46" t="str">
        <f>IFERROR(__xludf.DUMMYFUNCTION("""COMPUTED_VALUE"""),"Monaco")</f>
        <v>Monaco</v>
      </c>
      <c r="C1142" s="46" t="str">
        <f>IFERROR(__xludf.DUMMYFUNCTION("""COMPUTED_VALUE"""),"Europe")</f>
        <v>Europe</v>
      </c>
      <c r="D1142" s="90">
        <f>IFERROR(__xludf.DUMMYFUNCTION("""COMPUTED_VALUE"""),40544.0)</f>
        <v>40544</v>
      </c>
      <c r="E1142" s="46">
        <f>IFERROR(__xludf.DUMMYFUNCTION("""COMPUTED_VALUE"""),2011.0)</f>
        <v>2011</v>
      </c>
      <c r="F1142" s="46">
        <f>IFERROR(__xludf.DUMMYFUNCTION("""COMPUTED_VALUE"""),1.0)</f>
        <v>1</v>
      </c>
      <c r="G1142" s="46">
        <f>IFERROR(__xludf.DUMMYFUNCTION("""COMPUTED_VALUE"""),9711.0)</f>
        <v>9711</v>
      </c>
      <c r="H1142" s="46">
        <f>IFERROR(__xludf.DUMMYFUNCTION("""COMPUTED_VALUE"""),1061218.08)</f>
        <v>1061218.08</v>
      </c>
      <c r="I1142" s="46">
        <f>IFERROR(__xludf.DUMMYFUNCTION("""COMPUTED_VALUE"""),348042.24000000005)</f>
        <v>348042.24</v>
      </c>
      <c r="J1142" s="46">
        <f>IFERROR(__xludf.DUMMYFUNCTION("""COMPUTED_VALUE"""),713175.8400000001)</f>
        <v>713175.84</v>
      </c>
      <c r="K1142" s="46" t="str">
        <f t="array" ref="K1142">TEXT(D1142, "mmmm")</f>
        <v>January</v>
      </c>
    </row>
    <row r="1143">
      <c r="A1143" s="46" t="str">
        <f>IFERROR(__xludf.DUMMYFUNCTION("""COMPUTED_VALUE"""),"Cosmetics")</f>
        <v>Cosmetics</v>
      </c>
      <c r="B1143" s="46" t="str">
        <f>IFERROR(__xludf.DUMMYFUNCTION("""COMPUTED_VALUE"""),"Iceland")</f>
        <v>Iceland</v>
      </c>
      <c r="C1143" s="46" t="str">
        <f>IFERROR(__xludf.DUMMYFUNCTION("""COMPUTED_VALUE"""),"Europe")</f>
        <v>Europe</v>
      </c>
      <c r="D1143" s="90">
        <f>IFERROR(__xludf.DUMMYFUNCTION("""COMPUTED_VALUE"""),40544.0)</f>
        <v>40544</v>
      </c>
      <c r="E1143" s="46">
        <f>IFERROR(__xludf.DUMMYFUNCTION("""COMPUTED_VALUE"""),2011.0)</f>
        <v>2011</v>
      </c>
      <c r="F1143" s="46">
        <f>IFERROR(__xludf.DUMMYFUNCTION("""COMPUTED_VALUE"""),1.0)</f>
        <v>1</v>
      </c>
      <c r="G1143" s="46">
        <f>IFERROR(__xludf.DUMMYFUNCTION("""COMPUTED_VALUE"""),342.0)</f>
        <v>342</v>
      </c>
      <c r="H1143" s="46">
        <f>IFERROR(__xludf.DUMMYFUNCTION("""COMPUTED_VALUE"""),149522.4)</f>
        <v>149522.4</v>
      </c>
      <c r="I1143" s="46">
        <f>IFERROR(__xludf.DUMMYFUNCTION("""COMPUTED_VALUE"""),90058.86)</f>
        <v>90058.86</v>
      </c>
      <c r="J1143" s="46">
        <f>IFERROR(__xludf.DUMMYFUNCTION("""COMPUTED_VALUE"""),59463.53999999999)</f>
        <v>59463.54</v>
      </c>
      <c r="K1143" s="46" t="str">
        <f t="array" ref="K1143">TEXT(D1143, "mmmm")</f>
        <v>January</v>
      </c>
    </row>
    <row r="1144">
      <c r="A1144" s="46" t="str">
        <f>IFERROR(__xludf.DUMMYFUNCTION("""COMPUTED_VALUE"""),"Cosmetics")</f>
        <v>Cosmetics</v>
      </c>
      <c r="B1144" s="46" t="str">
        <f>IFERROR(__xludf.DUMMYFUNCTION("""COMPUTED_VALUE"""),"Ireland")</f>
        <v>Ireland</v>
      </c>
      <c r="C1144" s="46" t="str">
        <f>IFERROR(__xludf.DUMMYFUNCTION("""COMPUTED_VALUE"""),"Europe")</f>
        <v>Europe</v>
      </c>
      <c r="D1144" s="90">
        <f>IFERROR(__xludf.DUMMYFUNCTION("""COMPUTED_VALUE"""),40544.0)</f>
        <v>40544</v>
      </c>
      <c r="E1144" s="46">
        <f>IFERROR(__xludf.DUMMYFUNCTION("""COMPUTED_VALUE"""),2011.0)</f>
        <v>2011</v>
      </c>
      <c r="F1144" s="46">
        <f>IFERROR(__xludf.DUMMYFUNCTION("""COMPUTED_VALUE"""),1.0)</f>
        <v>1</v>
      </c>
      <c r="G1144" s="46">
        <f>IFERROR(__xludf.DUMMYFUNCTION("""COMPUTED_VALUE"""),6856.0)</f>
        <v>6856</v>
      </c>
      <c r="H1144" s="46">
        <f>IFERROR(__xludf.DUMMYFUNCTION("""COMPUTED_VALUE"""),2997443.1999999997)</f>
        <v>2997443.2</v>
      </c>
      <c r="I1144" s="46">
        <f>IFERROR(__xludf.DUMMYFUNCTION("""COMPUTED_VALUE"""),1805390.48)</f>
        <v>1805390.48</v>
      </c>
      <c r="J1144" s="46">
        <f>IFERROR(__xludf.DUMMYFUNCTION("""COMPUTED_VALUE"""),1192052.7199999997)</f>
        <v>1192052.72</v>
      </c>
      <c r="K1144" s="46" t="str">
        <f t="array" ref="K1144">TEXT(D1144, "mmmm")</f>
        <v>January</v>
      </c>
    </row>
    <row r="1145">
      <c r="A1145" s="46" t="str">
        <f>IFERROR(__xludf.DUMMYFUNCTION("""COMPUTED_VALUE"""),"Cosmetics")</f>
        <v>Cosmetics</v>
      </c>
      <c r="B1145" s="46" t="str">
        <f>IFERROR(__xludf.DUMMYFUNCTION("""COMPUTED_VALUE"""),"Ukraine")</f>
        <v>Ukraine</v>
      </c>
      <c r="C1145" s="46" t="str">
        <f>IFERROR(__xludf.DUMMYFUNCTION("""COMPUTED_VALUE"""),"Europe")</f>
        <v>Europe</v>
      </c>
      <c r="D1145" s="90">
        <f>IFERROR(__xludf.DUMMYFUNCTION("""COMPUTED_VALUE"""),40544.0)</f>
        <v>40544</v>
      </c>
      <c r="E1145" s="46">
        <f>IFERROR(__xludf.DUMMYFUNCTION("""COMPUTED_VALUE"""),2011.0)</f>
        <v>2011</v>
      </c>
      <c r="F1145" s="46">
        <f>IFERROR(__xludf.DUMMYFUNCTION("""COMPUTED_VALUE"""),2.0)</f>
        <v>2</v>
      </c>
      <c r="G1145" s="46">
        <f>IFERROR(__xludf.DUMMYFUNCTION("""COMPUTED_VALUE"""),11861.0)</f>
        <v>11861</v>
      </c>
      <c r="H1145" s="46">
        <f>IFERROR(__xludf.DUMMYFUNCTION("""COMPUTED_VALUE"""),5185629.2)</f>
        <v>5185629.2</v>
      </c>
      <c r="I1145" s="46">
        <f>IFERROR(__xludf.DUMMYFUNCTION("""COMPUTED_VALUE"""),3123357.13)</f>
        <v>3123357.13</v>
      </c>
      <c r="J1145" s="46">
        <f>IFERROR(__xludf.DUMMYFUNCTION("""COMPUTED_VALUE"""),2062272.07)</f>
        <v>2062272.07</v>
      </c>
      <c r="K1145" s="46" t="str">
        <f t="array" ref="K1145">TEXT(D1145, "mmmm")</f>
        <v>January</v>
      </c>
    </row>
    <row r="1146">
      <c r="A1146" s="46" t="str">
        <f>IFERROR(__xludf.DUMMYFUNCTION("""COMPUTED_VALUE"""),"Household")</f>
        <v>Household</v>
      </c>
      <c r="B1146" s="46" t="str">
        <f>IFERROR(__xludf.DUMMYFUNCTION("""COMPUTED_VALUE"""),"Undefined")</f>
        <v>Undefined</v>
      </c>
      <c r="C1146" s="46" t="str">
        <f>IFERROR(__xludf.DUMMYFUNCTION("""COMPUTED_VALUE"""),"Undefined")</f>
        <v>Undefined</v>
      </c>
      <c r="D1146" s="90">
        <f>IFERROR(__xludf.DUMMYFUNCTION("""COMPUTED_VALUE"""),40544.0)</f>
        <v>40544</v>
      </c>
      <c r="E1146" s="46">
        <f>IFERROR(__xludf.DUMMYFUNCTION("""COMPUTED_VALUE"""),2011.0)</f>
        <v>2011</v>
      </c>
      <c r="F1146" s="46">
        <f>IFERROR(__xludf.DUMMYFUNCTION("""COMPUTED_VALUE"""),1.0)</f>
        <v>1</v>
      </c>
      <c r="G1146" s="46">
        <f>IFERROR(__xludf.DUMMYFUNCTION("""COMPUTED_VALUE"""),2378.0)</f>
        <v>2378</v>
      </c>
      <c r="H1146" s="46">
        <f>IFERROR(__xludf.DUMMYFUNCTION("""COMPUTED_VALUE"""),1589146.06)</f>
        <v>1589146.06</v>
      </c>
      <c r="I1146" s="46">
        <f>IFERROR(__xludf.DUMMYFUNCTION("""COMPUTED_VALUE"""),1195040.12)</f>
        <v>1195040.12</v>
      </c>
      <c r="J1146" s="46">
        <f>IFERROR(__xludf.DUMMYFUNCTION("""COMPUTED_VALUE"""),394105.93999999994)</f>
        <v>394105.94</v>
      </c>
      <c r="K1146" s="46" t="str">
        <f t="array" ref="K1146">TEXT(D1146, "mmmm")</f>
        <v>January</v>
      </c>
    </row>
    <row r="1147">
      <c r="A1147" s="46" t="str">
        <f>IFERROR(__xludf.DUMMYFUNCTION("""COMPUTED_VALUE"""),"Office Supplies")</f>
        <v>Office Supplies</v>
      </c>
      <c r="B1147" s="46" t="str">
        <f>IFERROR(__xludf.DUMMYFUNCTION("""COMPUTED_VALUE"""),"Ireland")</f>
        <v>Ireland</v>
      </c>
      <c r="C1147" s="46" t="str">
        <f>IFERROR(__xludf.DUMMYFUNCTION("""COMPUTED_VALUE"""),"Europe")</f>
        <v>Europe</v>
      </c>
      <c r="D1147" s="90">
        <f>IFERROR(__xludf.DUMMYFUNCTION("""COMPUTED_VALUE"""),40544.0)</f>
        <v>40544</v>
      </c>
      <c r="E1147" s="46">
        <f>IFERROR(__xludf.DUMMYFUNCTION("""COMPUTED_VALUE"""),2011.0)</f>
        <v>2011</v>
      </c>
      <c r="F1147" s="46">
        <f>IFERROR(__xludf.DUMMYFUNCTION("""COMPUTED_VALUE"""),1.0)</f>
        <v>1</v>
      </c>
      <c r="G1147" s="46">
        <f>IFERROR(__xludf.DUMMYFUNCTION("""COMPUTED_VALUE"""),1246.0)</f>
        <v>1246</v>
      </c>
      <c r="H1147" s="46">
        <f>IFERROR(__xludf.DUMMYFUNCTION("""COMPUTED_VALUE"""),811407.66)</f>
        <v>811407.66</v>
      </c>
      <c r="I1147" s="46">
        <f>IFERROR(__xludf.DUMMYFUNCTION("""COMPUTED_VALUE"""),654100.16)</f>
        <v>654100.16</v>
      </c>
      <c r="J1147" s="46">
        <f>IFERROR(__xludf.DUMMYFUNCTION("""COMPUTED_VALUE"""),157307.5)</f>
        <v>157307.5</v>
      </c>
      <c r="K1147" s="46" t="str">
        <f t="array" ref="K1147">TEXT(D1147, "mmmm")</f>
        <v>January</v>
      </c>
    </row>
    <row r="1148">
      <c r="A1148" s="46" t="str">
        <f>IFERROR(__xludf.DUMMYFUNCTION("""COMPUTED_VALUE"""),"Vegetables")</f>
        <v>Vegetables</v>
      </c>
      <c r="B1148" s="46" t="str">
        <f>IFERROR(__xludf.DUMMYFUNCTION("""COMPUTED_VALUE"""),"Belarus")</f>
        <v>Belarus</v>
      </c>
      <c r="C1148" s="46" t="str">
        <f>IFERROR(__xludf.DUMMYFUNCTION("""COMPUTED_VALUE"""),"Europe")</f>
        <v>Europe</v>
      </c>
      <c r="D1148" s="90">
        <f>IFERROR(__xludf.DUMMYFUNCTION("""COMPUTED_VALUE"""),40544.0)</f>
        <v>40544</v>
      </c>
      <c r="E1148" s="46">
        <f>IFERROR(__xludf.DUMMYFUNCTION("""COMPUTED_VALUE"""),2011.0)</f>
        <v>2011</v>
      </c>
      <c r="F1148" s="46">
        <f>IFERROR(__xludf.DUMMYFUNCTION("""COMPUTED_VALUE"""),1.0)</f>
        <v>1</v>
      </c>
      <c r="G1148" s="46">
        <f>IFERROR(__xludf.DUMMYFUNCTION("""COMPUTED_VALUE"""),6740.0)</f>
        <v>6740</v>
      </c>
      <c r="H1148" s="46">
        <f>IFERROR(__xludf.DUMMYFUNCTION("""COMPUTED_VALUE"""),1038364.4)</f>
        <v>1038364.4</v>
      </c>
      <c r="I1148" s="46">
        <f>IFERROR(__xludf.DUMMYFUNCTION("""COMPUTED_VALUE"""),612868.2000000001)</f>
        <v>612868.2</v>
      </c>
      <c r="J1148" s="46">
        <f>IFERROR(__xludf.DUMMYFUNCTION("""COMPUTED_VALUE"""),425496.19999999995)</f>
        <v>425496.2</v>
      </c>
      <c r="K1148" s="46" t="str">
        <f t="array" ref="K1148">TEXT(D1148, "mmmm")</f>
        <v>January</v>
      </c>
    </row>
    <row r="1149">
      <c r="A1149" s="46" t="str">
        <f>IFERROR(__xludf.DUMMYFUNCTION("""COMPUTED_VALUE"""),"Vegetables")</f>
        <v>Vegetables</v>
      </c>
      <c r="B1149" s="46" t="str">
        <f>IFERROR(__xludf.DUMMYFUNCTION("""COMPUTED_VALUE"""),"Greece")</f>
        <v>Greece</v>
      </c>
      <c r="C1149" s="46" t="str">
        <f>IFERROR(__xludf.DUMMYFUNCTION("""COMPUTED_VALUE"""),"Europe")</f>
        <v>Europe</v>
      </c>
      <c r="D1149" s="90">
        <f>IFERROR(__xludf.DUMMYFUNCTION("""COMPUTED_VALUE"""),40544.0)</f>
        <v>40544</v>
      </c>
      <c r="E1149" s="46">
        <f>IFERROR(__xludf.DUMMYFUNCTION("""COMPUTED_VALUE"""),2011.0)</f>
        <v>2011</v>
      </c>
      <c r="F1149" s="46">
        <f>IFERROR(__xludf.DUMMYFUNCTION("""COMPUTED_VALUE"""),1.0)</f>
        <v>1</v>
      </c>
      <c r="G1149" s="46">
        <f>IFERROR(__xludf.DUMMYFUNCTION("""COMPUTED_VALUE"""),4046.0)</f>
        <v>4046</v>
      </c>
      <c r="H1149" s="46">
        <f>IFERROR(__xludf.DUMMYFUNCTION("""COMPUTED_VALUE"""),623326.76)</f>
        <v>623326.76</v>
      </c>
      <c r="I1149" s="46">
        <f>IFERROR(__xludf.DUMMYFUNCTION("""COMPUTED_VALUE"""),367902.78)</f>
        <v>367902.78</v>
      </c>
      <c r="J1149" s="46">
        <f>IFERROR(__xludf.DUMMYFUNCTION("""COMPUTED_VALUE"""),255423.97999999998)</f>
        <v>255423.98</v>
      </c>
      <c r="K1149" s="46" t="str">
        <f t="array" ref="K1149">TEXT(D1149, "mmmm")</f>
        <v>January</v>
      </c>
    </row>
    <row r="1150">
      <c r="A1150" s="46" t="str">
        <f>IFERROR(__xludf.DUMMYFUNCTION("""COMPUTED_VALUE"""),"Vegetables")</f>
        <v>Vegetables</v>
      </c>
      <c r="B1150" s="46" t="str">
        <f>IFERROR(__xludf.DUMMYFUNCTION("""COMPUTED_VALUE"""),"Poland")</f>
        <v>Poland</v>
      </c>
      <c r="C1150" s="46" t="str">
        <f>IFERROR(__xludf.DUMMYFUNCTION("""COMPUTED_VALUE"""),"Europe")</f>
        <v>Europe</v>
      </c>
      <c r="D1150" s="90">
        <f>IFERROR(__xludf.DUMMYFUNCTION("""COMPUTED_VALUE"""),40544.0)</f>
        <v>40544</v>
      </c>
      <c r="E1150" s="46">
        <f>IFERROR(__xludf.DUMMYFUNCTION("""COMPUTED_VALUE"""),2011.0)</f>
        <v>2011</v>
      </c>
      <c r="F1150" s="46">
        <f>IFERROR(__xludf.DUMMYFUNCTION("""COMPUTED_VALUE"""),1.0)</f>
        <v>1</v>
      </c>
      <c r="G1150" s="46">
        <f>IFERROR(__xludf.DUMMYFUNCTION("""COMPUTED_VALUE"""),5090.0)</f>
        <v>5090</v>
      </c>
      <c r="H1150" s="46">
        <f>IFERROR(__xludf.DUMMYFUNCTION("""COMPUTED_VALUE"""),784165.4)</f>
        <v>784165.4</v>
      </c>
      <c r="I1150" s="46">
        <f>IFERROR(__xludf.DUMMYFUNCTION("""COMPUTED_VALUE"""),462833.7)</f>
        <v>462833.7</v>
      </c>
      <c r="J1150" s="46">
        <f>IFERROR(__xludf.DUMMYFUNCTION("""COMPUTED_VALUE"""),321331.7)</f>
        <v>321331.7</v>
      </c>
      <c r="K1150" s="46" t="str">
        <f t="array" ref="K1150">TEXT(D1150, "mmmm")</f>
        <v>January</v>
      </c>
    </row>
    <row r="1151">
      <c r="A1151" s="46" t="str">
        <f>IFERROR(__xludf.DUMMYFUNCTION("""COMPUTED_VALUE"""),"Beverages")</f>
        <v>Beverages</v>
      </c>
      <c r="B1151" s="46" t="str">
        <f>IFERROR(__xludf.DUMMYFUNCTION("""COMPUTED_VALUE"""),"Hungary")</f>
        <v>Hungary</v>
      </c>
      <c r="C1151" s="46" t="str">
        <f>IFERROR(__xludf.DUMMYFUNCTION("""COMPUTED_VALUE"""),"Europe")</f>
        <v>Europe</v>
      </c>
      <c r="D1151" s="90">
        <f>IFERROR(__xludf.DUMMYFUNCTION("""COMPUTED_VALUE"""),40513.0)</f>
        <v>40513</v>
      </c>
      <c r="E1151" s="46">
        <f>IFERROR(__xludf.DUMMYFUNCTION("""COMPUTED_VALUE"""),2010.0)</f>
        <v>2010</v>
      </c>
      <c r="F1151" s="46">
        <f>IFERROR(__xludf.DUMMYFUNCTION("""COMPUTED_VALUE"""),1.0)</f>
        <v>1</v>
      </c>
      <c r="G1151" s="46">
        <f>IFERROR(__xludf.DUMMYFUNCTION("""COMPUTED_VALUE"""),5540.0)</f>
        <v>5540</v>
      </c>
      <c r="H1151" s="46">
        <f>IFERROR(__xludf.DUMMYFUNCTION("""COMPUTED_VALUE"""),262873.0)</f>
        <v>262873</v>
      </c>
      <c r="I1151" s="46">
        <f>IFERROR(__xludf.DUMMYFUNCTION("""COMPUTED_VALUE"""),176116.6)</f>
        <v>176116.6</v>
      </c>
      <c r="J1151" s="46">
        <f>IFERROR(__xludf.DUMMYFUNCTION("""COMPUTED_VALUE"""),86756.4)</f>
        <v>86756.4</v>
      </c>
      <c r="K1151" s="46" t="str">
        <f t="array" ref="K1151">TEXT(D1151, "mmmm")</f>
        <v>December</v>
      </c>
    </row>
    <row r="1152">
      <c r="A1152" s="46" t="str">
        <f>IFERROR(__xludf.DUMMYFUNCTION("""COMPUTED_VALUE"""),"Cereal")</f>
        <v>Cereal</v>
      </c>
      <c r="B1152" s="46" t="str">
        <f>IFERROR(__xludf.DUMMYFUNCTION("""COMPUTED_VALUE"""),"Georgia")</f>
        <v>Georgia</v>
      </c>
      <c r="C1152" s="46" t="str">
        <f>IFERROR(__xludf.DUMMYFUNCTION("""COMPUTED_VALUE"""),"Asia")</f>
        <v>Asia</v>
      </c>
      <c r="D1152" s="90">
        <f>IFERROR(__xludf.DUMMYFUNCTION("""COMPUTED_VALUE"""),40513.0)</f>
        <v>40513</v>
      </c>
      <c r="E1152" s="46">
        <f>IFERROR(__xludf.DUMMYFUNCTION("""COMPUTED_VALUE"""),2010.0)</f>
        <v>2010</v>
      </c>
      <c r="F1152" s="46">
        <f>IFERROR(__xludf.DUMMYFUNCTION("""COMPUTED_VALUE"""),1.0)</f>
        <v>1</v>
      </c>
      <c r="G1152" s="46">
        <f>IFERROR(__xludf.DUMMYFUNCTION("""COMPUTED_VALUE"""),1911.0)</f>
        <v>1911</v>
      </c>
      <c r="H1152" s="46">
        <f>IFERROR(__xludf.DUMMYFUNCTION("""COMPUTED_VALUE"""),393092.69999999995)</f>
        <v>393092.7</v>
      </c>
      <c r="I1152" s="46">
        <f>IFERROR(__xludf.DUMMYFUNCTION("""COMPUTED_VALUE"""),223797.21)</f>
        <v>223797.21</v>
      </c>
      <c r="J1152" s="46">
        <f>IFERROR(__xludf.DUMMYFUNCTION("""COMPUTED_VALUE"""),169295.48999999996)</f>
        <v>169295.49</v>
      </c>
      <c r="K1152" s="46" t="str">
        <f t="array" ref="K1152">TEXT(D1152, "mmmm")</f>
        <v>December</v>
      </c>
    </row>
    <row r="1153">
      <c r="A1153" s="46" t="str">
        <f>IFERROR(__xludf.DUMMYFUNCTION("""COMPUTED_VALUE"""),"Cereal")</f>
        <v>Cereal</v>
      </c>
      <c r="B1153" s="46" t="str">
        <f>IFERROR(__xludf.DUMMYFUNCTION("""COMPUTED_VALUE"""),"Liechtenstein")</f>
        <v>Liechtenstein</v>
      </c>
      <c r="C1153" s="46" t="str">
        <f>IFERROR(__xludf.DUMMYFUNCTION("""COMPUTED_VALUE"""),"Europe")</f>
        <v>Europe</v>
      </c>
      <c r="D1153" s="90">
        <f>IFERROR(__xludf.DUMMYFUNCTION("""COMPUTED_VALUE"""),40513.0)</f>
        <v>40513</v>
      </c>
      <c r="E1153" s="46">
        <f>IFERROR(__xludf.DUMMYFUNCTION("""COMPUTED_VALUE"""),2010.0)</f>
        <v>2010</v>
      </c>
      <c r="F1153" s="46">
        <f>IFERROR(__xludf.DUMMYFUNCTION("""COMPUTED_VALUE"""),1.0)</f>
        <v>1</v>
      </c>
      <c r="G1153" s="46">
        <f>IFERROR(__xludf.DUMMYFUNCTION("""COMPUTED_VALUE"""),50.0)</f>
        <v>50</v>
      </c>
      <c r="H1153" s="46">
        <f>IFERROR(__xludf.DUMMYFUNCTION("""COMPUTED_VALUE"""),10285.0)</f>
        <v>10285</v>
      </c>
      <c r="I1153" s="46">
        <f>IFERROR(__xludf.DUMMYFUNCTION("""COMPUTED_VALUE"""),5855.5)</f>
        <v>5855.5</v>
      </c>
      <c r="J1153" s="46">
        <f>IFERROR(__xludf.DUMMYFUNCTION("""COMPUTED_VALUE"""),4429.5)</f>
        <v>4429.5</v>
      </c>
      <c r="K1153" s="46" t="str">
        <f t="array" ref="K1153">TEXT(D1153, "mmmm")</f>
        <v>December</v>
      </c>
    </row>
    <row r="1154">
      <c r="A1154" s="46" t="str">
        <f>IFERROR(__xludf.DUMMYFUNCTION("""COMPUTED_VALUE"""),"Cereal")</f>
        <v>Cereal</v>
      </c>
      <c r="B1154" s="46" t="str">
        <f>IFERROR(__xludf.DUMMYFUNCTION("""COMPUTED_VALUE"""),"Spain")</f>
        <v>Spain</v>
      </c>
      <c r="C1154" s="46" t="str">
        <f>IFERROR(__xludf.DUMMYFUNCTION("""COMPUTED_VALUE"""),"Europe")</f>
        <v>Europe</v>
      </c>
      <c r="D1154" s="90">
        <f>IFERROR(__xludf.DUMMYFUNCTION("""COMPUTED_VALUE"""),40513.0)</f>
        <v>40513</v>
      </c>
      <c r="E1154" s="46">
        <f>IFERROR(__xludf.DUMMYFUNCTION("""COMPUTED_VALUE"""),2010.0)</f>
        <v>2010</v>
      </c>
      <c r="F1154" s="46">
        <f>IFERROR(__xludf.DUMMYFUNCTION("""COMPUTED_VALUE"""),1.0)</f>
        <v>1</v>
      </c>
      <c r="G1154" s="46">
        <f>IFERROR(__xludf.DUMMYFUNCTION("""COMPUTED_VALUE"""),8186.0)</f>
        <v>8186</v>
      </c>
      <c r="H1154" s="46">
        <f>IFERROR(__xludf.DUMMYFUNCTION("""COMPUTED_VALUE"""),1683860.2)</f>
        <v>1683860.2</v>
      </c>
      <c r="I1154" s="46">
        <f>IFERROR(__xludf.DUMMYFUNCTION("""COMPUTED_VALUE"""),958662.46)</f>
        <v>958662.46</v>
      </c>
      <c r="J1154" s="46">
        <f>IFERROR(__xludf.DUMMYFUNCTION("""COMPUTED_VALUE"""),725197.74)</f>
        <v>725197.74</v>
      </c>
      <c r="K1154" s="46" t="str">
        <f t="array" ref="K1154">TEXT(D1154, "mmmm")</f>
        <v>December</v>
      </c>
    </row>
    <row r="1155">
      <c r="A1155" s="46" t="str">
        <f>IFERROR(__xludf.DUMMYFUNCTION("""COMPUTED_VALUE"""),"Cosmetics")</f>
        <v>Cosmetics</v>
      </c>
      <c r="B1155" s="46" t="str">
        <f>IFERROR(__xludf.DUMMYFUNCTION("""COMPUTED_VALUE"""),"Macedonia")</f>
        <v>Macedonia</v>
      </c>
      <c r="C1155" s="46" t="str">
        <f>IFERROR(__xludf.DUMMYFUNCTION("""COMPUTED_VALUE"""),"Europe")</f>
        <v>Europe</v>
      </c>
      <c r="D1155" s="90">
        <f>IFERROR(__xludf.DUMMYFUNCTION("""COMPUTED_VALUE"""),40513.0)</f>
        <v>40513</v>
      </c>
      <c r="E1155" s="46">
        <f>IFERROR(__xludf.DUMMYFUNCTION("""COMPUTED_VALUE"""),2010.0)</f>
        <v>2010</v>
      </c>
      <c r="F1155" s="46">
        <f>IFERROR(__xludf.DUMMYFUNCTION("""COMPUTED_VALUE"""),1.0)</f>
        <v>1</v>
      </c>
      <c r="G1155" s="46">
        <f>IFERROR(__xludf.DUMMYFUNCTION("""COMPUTED_VALUE"""),869.0)</f>
        <v>869</v>
      </c>
      <c r="H1155" s="46">
        <f>IFERROR(__xludf.DUMMYFUNCTION("""COMPUTED_VALUE"""),379926.8)</f>
        <v>379926.8</v>
      </c>
      <c r="I1155" s="46">
        <f>IFERROR(__xludf.DUMMYFUNCTION("""COMPUTED_VALUE"""),228833.77)</f>
        <v>228833.77</v>
      </c>
      <c r="J1155" s="46">
        <f>IFERROR(__xludf.DUMMYFUNCTION("""COMPUTED_VALUE"""),151093.03)</f>
        <v>151093.03</v>
      </c>
      <c r="K1155" s="46" t="str">
        <f t="array" ref="K1155">TEXT(D1155, "mmmm")</f>
        <v>December</v>
      </c>
    </row>
    <row r="1156">
      <c r="A1156" s="46" t="str">
        <f>IFERROR(__xludf.DUMMYFUNCTION("""COMPUTED_VALUE"""),"Fruits")</f>
        <v>Fruits</v>
      </c>
      <c r="B1156" s="46" t="str">
        <f>IFERROR(__xludf.DUMMYFUNCTION("""COMPUTED_VALUE"""),"Macedonia")</f>
        <v>Macedonia</v>
      </c>
      <c r="C1156" s="46" t="str">
        <f>IFERROR(__xludf.DUMMYFUNCTION("""COMPUTED_VALUE"""),"Europe")</f>
        <v>Europe</v>
      </c>
      <c r="D1156" s="90">
        <f>IFERROR(__xludf.DUMMYFUNCTION("""COMPUTED_VALUE"""),40513.0)</f>
        <v>40513</v>
      </c>
      <c r="E1156" s="46">
        <f>IFERROR(__xludf.DUMMYFUNCTION("""COMPUTED_VALUE"""),2010.0)</f>
        <v>2010</v>
      </c>
      <c r="F1156" s="46">
        <f>IFERROR(__xludf.DUMMYFUNCTION("""COMPUTED_VALUE"""),1.0)</f>
        <v>1</v>
      </c>
      <c r="G1156" s="46">
        <f>IFERROR(__xludf.DUMMYFUNCTION("""COMPUTED_VALUE"""),8614.0)</f>
        <v>8614</v>
      </c>
      <c r="H1156" s="46">
        <f>IFERROR(__xludf.DUMMYFUNCTION("""COMPUTED_VALUE"""),80368.62)</f>
        <v>80368.62</v>
      </c>
      <c r="I1156" s="46">
        <f>IFERROR(__xludf.DUMMYFUNCTION("""COMPUTED_VALUE"""),59608.88)</f>
        <v>59608.88</v>
      </c>
      <c r="J1156" s="46">
        <f>IFERROR(__xludf.DUMMYFUNCTION("""COMPUTED_VALUE"""),20759.739999999998)</f>
        <v>20759.74</v>
      </c>
      <c r="K1156" s="46" t="str">
        <f t="array" ref="K1156">TEXT(D1156, "mmmm")</f>
        <v>December</v>
      </c>
    </row>
    <row r="1157">
      <c r="A1157" s="46" t="str">
        <f>IFERROR(__xludf.DUMMYFUNCTION("""COMPUTED_VALUE"""),"Household")</f>
        <v>Household</v>
      </c>
      <c r="B1157" s="46" t="str">
        <f>IFERROR(__xludf.DUMMYFUNCTION("""COMPUTED_VALUE"""),"Albania")</f>
        <v>Albania</v>
      </c>
      <c r="C1157" s="46" t="str">
        <f>IFERROR(__xludf.DUMMYFUNCTION("""COMPUTED_VALUE"""),"Europe")</f>
        <v>Europe</v>
      </c>
      <c r="D1157" s="90">
        <f>IFERROR(__xludf.DUMMYFUNCTION("""COMPUTED_VALUE"""),40513.0)</f>
        <v>40513</v>
      </c>
      <c r="E1157" s="46">
        <f>IFERROR(__xludf.DUMMYFUNCTION("""COMPUTED_VALUE"""),2010.0)</f>
        <v>2010</v>
      </c>
      <c r="F1157" s="46">
        <f>IFERROR(__xludf.DUMMYFUNCTION("""COMPUTED_VALUE"""),1.0)</f>
        <v>1</v>
      </c>
      <c r="G1157" s="46">
        <f>IFERROR(__xludf.DUMMYFUNCTION("""COMPUTED_VALUE"""),5534.0)</f>
        <v>5534</v>
      </c>
      <c r="H1157" s="46">
        <f>IFERROR(__xludf.DUMMYFUNCTION("""COMPUTED_VALUE"""),3698206.1799999997)</f>
        <v>3698206.18</v>
      </c>
      <c r="I1157" s="46">
        <f>IFERROR(__xludf.DUMMYFUNCTION("""COMPUTED_VALUE"""),2781056.3600000003)</f>
        <v>2781056.36</v>
      </c>
      <c r="J1157" s="46">
        <f>IFERROR(__xludf.DUMMYFUNCTION("""COMPUTED_VALUE"""),917149.8199999994)</f>
        <v>917149.82</v>
      </c>
      <c r="K1157" s="46" t="str">
        <f t="array" ref="K1157">TEXT(D1157, "mmmm")</f>
        <v>December</v>
      </c>
    </row>
    <row r="1158">
      <c r="A1158" s="46" t="str">
        <f>IFERROR(__xludf.DUMMYFUNCTION("""COMPUTED_VALUE"""),"Household")</f>
        <v>Household</v>
      </c>
      <c r="B1158" s="46" t="str">
        <f>IFERROR(__xludf.DUMMYFUNCTION("""COMPUTED_VALUE"""),"Latvia")</f>
        <v>Latvia</v>
      </c>
      <c r="C1158" s="46" t="str">
        <f>IFERROR(__xludf.DUMMYFUNCTION("""COMPUTED_VALUE"""),"Europe")</f>
        <v>Europe</v>
      </c>
      <c r="D1158" s="90">
        <f>IFERROR(__xludf.DUMMYFUNCTION("""COMPUTED_VALUE"""),40513.0)</f>
        <v>40513</v>
      </c>
      <c r="E1158" s="46">
        <f>IFERROR(__xludf.DUMMYFUNCTION("""COMPUTED_VALUE"""),2010.0)</f>
        <v>2010</v>
      </c>
      <c r="F1158" s="46">
        <f>IFERROR(__xludf.DUMMYFUNCTION("""COMPUTED_VALUE"""),1.0)</f>
        <v>1</v>
      </c>
      <c r="G1158" s="46">
        <f>IFERROR(__xludf.DUMMYFUNCTION("""COMPUTED_VALUE"""),3235.0)</f>
        <v>3235</v>
      </c>
      <c r="H1158" s="46">
        <f>IFERROR(__xludf.DUMMYFUNCTION("""COMPUTED_VALUE"""),2161853.4499999997)</f>
        <v>2161853.45</v>
      </c>
      <c r="I1158" s="46">
        <f>IFERROR(__xludf.DUMMYFUNCTION("""COMPUTED_VALUE"""),1625716.9000000001)</f>
        <v>1625716.9</v>
      </c>
      <c r="J1158" s="46">
        <f>IFERROR(__xludf.DUMMYFUNCTION("""COMPUTED_VALUE"""),536136.5499999996)</f>
        <v>536136.55</v>
      </c>
      <c r="K1158" s="46" t="str">
        <f t="array" ref="K1158">TEXT(D1158, "mmmm")</f>
        <v>December</v>
      </c>
    </row>
    <row r="1159">
      <c r="A1159" s="46" t="str">
        <f>IFERROR(__xludf.DUMMYFUNCTION("""COMPUTED_VALUE"""),"Meat")</f>
        <v>Meat</v>
      </c>
      <c r="B1159" s="46" t="str">
        <f>IFERROR(__xludf.DUMMYFUNCTION("""COMPUTED_VALUE"""),"Croatia")</f>
        <v>Croatia</v>
      </c>
      <c r="C1159" s="46" t="str">
        <f>IFERROR(__xludf.DUMMYFUNCTION("""COMPUTED_VALUE"""),"Europe")</f>
        <v>Europe</v>
      </c>
      <c r="D1159" s="90">
        <f>IFERROR(__xludf.DUMMYFUNCTION("""COMPUTED_VALUE"""),40513.0)</f>
        <v>40513</v>
      </c>
      <c r="E1159" s="46">
        <f>IFERROR(__xludf.DUMMYFUNCTION("""COMPUTED_VALUE"""),2010.0)</f>
        <v>2010</v>
      </c>
      <c r="F1159" s="46">
        <f>IFERROR(__xludf.DUMMYFUNCTION("""COMPUTED_VALUE"""),1.0)</f>
        <v>1</v>
      </c>
      <c r="G1159" s="46">
        <f>IFERROR(__xludf.DUMMYFUNCTION("""COMPUTED_VALUE"""),8753.0)</f>
        <v>8753</v>
      </c>
      <c r="H1159" s="46">
        <f>IFERROR(__xludf.DUMMYFUNCTION("""COMPUTED_VALUE"""),3692803.17)</f>
        <v>3692803.17</v>
      </c>
      <c r="I1159" s="46">
        <f>IFERROR(__xludf.DUMMYFUNCTION("""COMPUTED_VALUE"""),3192131.57)</f>
        <v>3192131.57</v>
      </c>
      <c r="J1159" s="46">
        <f>IFERROR(__xludf.DUMMYFUNCTION("""COMPUTED_VALUE"""),500671.6000000001)</f>
        <v>500671.6</v>
      </c>
      <c r="K1159" s="46" t="str">
        <f t="array" ref="K1159">TEXT(D1159, "mmmm")</f>
        <v>December</v>
      </c>
    </row>
    <row r="1160">
      <c r="A1160" s="46" t="str">
        <f>IFERROR(__xludf.DUMMYFUNCTION("""COMPUTED_VALUE"""),"Meat")</f>
        <v>Meat</v>
      </c>
      <c r="B1160" s="46" t="str">
        <f>IFERROR(__xludf.DUMMYFUNCTION("""COMPUTED_VALUE"""),"Luxembourg")</f>
        <v>Luxembourg</v>
      </c>
      <c r="C1160" s="46" t="str">
        <f>IFERROR(__xludf.DUMMYFUNCTION("""COMPUTED_VALUE"""),"Europe")</f>
        <v>Europe</v>
      </c>
      <c r="D1160" s="90">
        <f>IFERROR(__xludf.DUMMYFUNCTION("""COMPUTED_VALUE"""),40513.0)</f>
        <v>40513</v>
      </c>
      <c r="E1160" s="46">
        <f>IFERROR(__xludf.DUMMYFUNCTION("""COMPUTED_VALUE"""),2010.0)</f>
        <v>2010</v>
      </c>
      <c r="F1160" s="46">
        <f>IFERROR(__xludf.DUMMYFUNCTION("""COMPUTED_VALUE"""),1.0)</f>
        <v>1</v>
      </c>
      <c r="G1160" s="46">
        <f>IFERROR(__xludf.DUMMYFUNCTION("""COMPUTED_VALUE"""),4657.0)</f>
        <v>4657</v>
      </c>
      <c r="H1160" s="46">
        <f>IFERROR(__xludf.DUMMYFUNCTION("""COMPUTED_VALUE"""),1964741.73)</f>
        <v>1964741.73</v>
      </c>
      <c r="I1160" s="46">
        <f>IFERROR(__xludf.DUMMYFUNCTION("""COMPUTED_VALUE"""),1698361.33)</f>
        <v>1698361.33</v>
      </c>
      <c r="J1160" s="46">
        <f>IFERROR(__xludf.DUMMYFUNCTION("""COMPUTED_VALUE"""),266380.3999999999)</f>
        <v>266380.4</v>
      </c>
      <c r="K1160" s="46" t="str">
        <f t="array" ref="K1160">TEXT(D1160, "mmmm")</f>
        <v>December</v>
      </c>
    </row>
    <row r="1161">
      <c r="A1161" s="46" t="str">
        <f>IFERROR(__xludf.DUMMYFUNCTION("""COMPUTED_VALUE"""),"Meat")</f>
        <v>Meat</v>
      </c>
      <c r="B1161" s="46" t="str">
        <f>IFERROR(__xludf.DUMMYFUNCTION("""COMPUTED_VALUE"""),"Russia")</f>
        <v>Russia</v>
      </c>
      <c r="C1161" s="46" t="str">
        <f>IFERROR(__xludf.DUMMYFUNCTION("""COMPUTED_VALUE"""),"Europe")</f>
        <v>Europe</v>
      </c>
      <c r="D1161" s="90">
        <f>IFERROR(__xludf.DUMMYFUNCTION("""COMPUTED_VALUE"""),40513.0)</f>
        <v>40513</v>
      </c>
      <c r="E1161" s="46">
        <f>IFERROR(__xludf.DUMMYFUNCTION("""COMPUTED_VALUE"""),2010.0)</f>
        <v>2010</v>
      </c>
      <c r="F1161" s="46">
        <f>IFERROR(__xludf.DUMMYFUNCTION("""COMPUTED_VALUE"""),1.0)</f>
        <v>1</v>
      </c>
      <c r="G1161" s="46">
        <f>IFERROR(__xludf.DUMMYFUNCTION("""COMPUTED_VALUE"""),7392.0)</f>
        <v>7392</v>
      </c>
      <c r="H1161" s="46">
        <f>IFERROR(__xludf.DUMMYFUNCTION("""COMPUTED_VALUE"""),3118610.88)</f>
        <v>3118610.88</v>
      </c>
      <c r="I1161" s="46">
        <f>IFERROR(__xludf.DUMMYFUNCTION("""COMPUTED_VALUE"""),2695788.48)</f>
        <v>2695788.48</v>
      </c>
      <c r="J1161" s="46">
        <f>IFERROR(__xludf.DUMMYFUNCTION("""COMPUTED_VALUE"""),422822.3999999999)</f>
        <v>422822.4</v>
      </c>
      <c r="K1161" s="46" t="str">
        <f t="array" ref="K1161">TEXT(D1161, "mmmm")</f>
        <v>December</v>
      </c>
    </row>
    <row r="1162">
      <c r="A1162" s="46" t="str">
        <f>IFERROR(__xludf.DUMMYFUNCTION("""COMPUTED_VALUE"""),"Office Supplies")</f>
        <v>Office Supplies</v>
      </c>
      <c r="B1162" s="46" t="str">
        <f>IFERROR(__xludf.DUMMYFUNCTION("""COMPUTED_VALUE"""),"Hungary")</f>
        <v>Hungary</v>
      </c>
      <c r="C1162" s="46" t="str">
        <f>IFERROR(__xludf.DUMMYFUNCTION("""COMPUTED_VALUE"""),"Europe")</f>
        <v>Europe</v>
      </c>
      <c r="D1162" s="90">
        <f>IFERROR(__xludf.DUMMYFUNCTION("""COMPUTED_VALUE"""),40513.0)</f>
        <v>40513</v>
      </c>
      <c r="E1162" s="46">
        <f>IFERROR(__xludf.DUMMYFUNCTION("""COMPUTED_VALUE"""),2010.0)</f>
        <v>2010</v>
      </c>
      <c r="F1162" s="46">
        <f>IFERROR(__xludf.DUMMYFUNCTION("""COMPUTED_VALUE"""),1.0)</f>
        <v>1</v>
      </c>
      <c r="G1162" s="46">
        <f>IFERROR(__xludf.DUMMYFUNCTION("""COMPUTED_VALUE"""),5552.0)</f>
        <v>5552</v>
      </c>
      <c r="H1162" s="46">
        <f>IFERROR(__xludf.DUMMYFUNCTION("""COMPUTED_VALUE"""),3615517.9200000004)</f>
        <v>3615517.92</v>
      </c>
      <c r="I1162" s="46">
        <f>IFERROR(__xludf.DUMMYFUNCTION("""COMPUTED_VALUE"""),2914577.9200000004)</f>
        <v>2914577.92</v>
      </c>
      <c r="J1162" s="46">
        <f>IFERROR(__xludf.DUMMYFUNCTION("""COMPUTED_VALUE"""),700940.0)</f>
        <v>700940</v>
      </c>
      <c r="K1162" s="46" t="str">
        <f t="array" ref="K1162">TEXT(D1162, "mmmm")</f>
        <v>December</v>
      </c>
    </row>
    <row r="1163">
      <c r="A1163" s="46" t="str">
        <f>IFERROR(__xludf.DUMMYFUNCTION("""COMPUTED_VALUE"""),"Office Supplies")</f>
        <v>Office Supplies</v>
      </c>
      <c r="B1163" s="46" t="str">
        <f>IFERROR(__xludf.DUMMYFUNCTION("""COMPUTED_VALUE"""),"Russia")</f>
        <v>Russia</v>
      </c>
      <c r="C1163" s="46" t="str">
        <f>IFERROR(__xludf.DUMMYFUNCTION("""COMPUTED_VALUE"""),"Europe")</f>
        <v>Europe</v>
      </c>
      <c r="D1163" s="90">
        <f>IFERROR(__xludf.DUMMYFUNCTION("""COMPUTED_VALUE"""),40513.0)</f>
        <v>40513</v>
      </c>
      <c r="E1163" s="46">
        <f>IFERROR(__xludf.DUMMYFUNCTION("""COMPUTED_VALUE"""),2010.0)</f>
        <v>2010</v>
      </c>
      <c r="F1163" s="46">
        <f>IFERROR(__xludf.DUMMYFUNCTION("""COMPUTED_VALUE"""),1.0)</f>
        <v>1</v>
      </c>
      <c r="G1163" s="46">
        <f>IFERROR(__xludf.DUMMYFUNCTION("""COMPUTED_VALUE"""),9648.0)</f>
        <v>9648</v>
      </c>
      <c r="H1163" s="46">
        <f>IFERROR(__xludf.DUMMYFUNCTION("""COMPUTED_VALUE"""),6282874.08)</f>
        <v>6282874.08</v>
      </c>
      <c r="I1163" s="46">
        <f>IFERROR(__xludf.DUMMYFUNCTION("""COMPUTED_VALUE"""),5064814.08)</f>
        <v>5064814.08</v>
      </c>
      <c r="J1163" s="46">
        <f>IFERROR(__xludf.DUMMYFUNCTION("""COMPUTED_VALUE"""),1218060.0)</f>
        <v>1218060</v>
      </c>
      <c r="K1163" s="46" t="str">
        <f t="array" ref="K1163">TEXT(D1163, "mmmm")</f>
        <v>December</v>
      </c>
    </row>
    <row r="1164">
      <c r="A1164" s="46" t="str">
        <f>IFERROR(__xludf.DUMMYFUNCTION("""COMPUTED_VALUE"""),"Personal Care")</f>
        <v>Personal Care</v>
      </c>
      <c r="B1164" s="46" t="str">
        <f>IFERROR(__xludf.DUMMYFUNCTION("""COMPUTED_VALUE"""),"Armenia")</f>
        <v>Armenia</v>
      </c>
      <c r="C1164" s="46" t="str">
        <f>IFERROR(__xludf.DUMMYFUNCTION("""COMPUTED_VALUE"""),"Asia")</f>
        <v>Asia</v>
      </c>
      <c r="D1164" s="90">
        <f>IFERROR(__xludf.DUMMYFUNCTION("""COMPUTED_VALUE"""),40513.0)</f>
        <v>40513</v>
      </c>
      <c r="E1164" s="46">
        <f>IFERROR(__xludf.DUMMYFUNCTION("""COMPUTED_VALUE"""),2010.0)</f>
        <v>2010</v>
      </c>
      <c r="F1164" s="46">
        <f>IFERROR(__xludf.DUMMYFUNCTION("""COMPUTED_VALUE"""),1.0)</f>
        <v>1</v>
      </c>
      <c r="G1164" s="46">
        <f>IFERROR(__xludf.DUMMYFUNCTION("""COMPUTED_VALUE"""),4593.0)</f>
        <v>4593</v>
      </c>
      <c r="H1164" s="46">
        <f>IFERROR(__xludf.DUMMYFUNCTION("""COMPUTED_VALUE"""),375385.89)</f>
        <v>375385.89</v>
      </c>
      <c r="I1164" s="46">
        <f>IFERROR(__xludf.DUMMYFUNCTION("""COMPUTED_VALUE"""),260285.31)</f>
        <v>260285.31</v>
      </c>
      <c r="J1164" s="46">
        <f>IFERROR(__xludf.DUMMYFUNCTION("""COMPUTED_VALUE"""),115100.58000000002)</f>
        <v>115100.58</v>
      </c>
      <c r="K1164" s="46" t="str">
        <f t="array" ref="K1164">TEXT(D1164, "mmmm")</f>
        <v>December</v>
      </c>
    </row>
    <row r="1165">
      <c r="A1165" s="46" t="str">
        <f>IFERROR(__xludf.DUMMYFUNCTION("""COMPUTED_VALUE"""),"Personal Care")</f>
        <v>Personal Care</v>
      </c>
      <c r="B1165" s="46" t="str">
        <f>IFERROR(__xludf.DUMMYFUNCTION("""COMPUTED_VALUE"""),"Czech Republic")</f>
        <v>Czech Republic</v>
      </c>
      <c r="C1165" s="46" t="str">
        <f>IFERROR(__xludf.DUMMYFUNCTION("""COMPUTED_VALUE"""),"Europe")</f>
        <v>Europe</v>
      </c>
      <c r="D1165" s="90">
        <f>IFERROR(__xludf.DUMMYFUNCTION("""COMPUTED_VALUE"""),40513.0)</f>
        <v>40513</v>
      </c>
      <c r="E1165" s="46">
        <f>IFERROR(__xludf.DUMMYFUNCTION("""COMPUTED_VALUE"""),2010.0)</f>
        <v>2010</v>
      </c>
      <c r="F1165" s="46">
        <f>IFERROR(__xludf.DUMMYFUNCTION("""COMPUTED_VALUE"""),1.0)</f>
        <v>1</v>
      </c>
      <c r="G1165" s="46">
        <f>IFERROR(__xludf.DUMMYFUNCTION("""COMPUTED_VALUE"""),2334.0)</f>
        <v>2334</v>
      </c>
      <c r="H1165" s="46">
        <f>IFERROR(__xludf.DUMMYFUNCTION("""COMPUTED_VALUE"""),190757.82)</f>
        <v>190757.82</v>
      </c>
      <c r="I1165" s="46">
        <f>IFERROR(__xludf.DUMMYFUNCTION("""COMPUTED_VALUE"""),132267.78)</f>
        <v>132267.78</v>
      </c>
      <c r="J1165" s="46">
        <f>IFERROR(__xludf.DUMMYFUNCTION("""COMPUTED_VALUE"""),58490.04000000001)</f>
        <v>58490.04</v>
      </c>
      <c r="K1165" s="46" t="str">
        <f t="array" ref="K1165">TEXT(D1165, "mmmm")</f>
        <v>December</v>
      </c>
    </row>
    <row r="1166">
      <c r="A1166" s="46" t="str">
        <f>IFERROR(__xludf.DUMMYFUNCTION("""COMPUTED_VALUE"""),"Snacks")</f>
        <v>Snacks</v>
      </c>
      <c r="B1166" s="46" t="str">
        <f>IFERROR(__xludf.DUMMYFUNCTION("""COMPUTED_VALUE"""),"Albania")</f>
        <v>Albania</v>
      </c>
      <c r="C1166" s="46" t="str">
        <f>IFERROR(__xludf.DUMMYFUNCTION("""COMPUTED_VALUE"""),"Europe")</f>
        <v>Europe</v>
      </c>
      <c r="D1166" s="90">
        <f>IFERROR(__xludf.DUMMYFUNCTION("""COMPUTED_VALUE"""),40513.0)</f>
        <v>40513</v>
      </c>
      <c r="E1166" s="46">
        <f>IFERROR(__xludf.DUMMYFUNCTION("""COMPUTED_VALUE"""),2010.0)</f>
        <v>2010</v>
      </c>
      <c r="F1166" s="46">
        <f>IFERROR(__xludf.DUMMYFUNCTION("""COMPUTED_VALUE"""),1.0)</f>
        <v>1</v>
      </c>
      <c r="G1166" s="46">
        <f>IFERROR(__xludf.DUMMYFUNCTION("""COMPUTED_VALUE"""),1891.0)</f>
        <v>1891</v>
      </c>
      <c r="H1166" s="46">
        <f>IFERROR(__xludf.DUMMYFUNCTION("""COMPUTED_VALUE"""),288528.78)</f>
        <v>288528.78</v>
      </c>
      <c r="I1166" s="46">
        <f>IFERROR(__xludf.DUMMYFUNCTION("""COMPUTED_VALUE"""),184259.04)</f>
        <v>184259.04</v>
      </c>
      <c r="J1166" s="46">
        <f>IFERROR(__xludf.DUMMYFUNCTION("""COMPUTED_VALUE"""),104269.74000000002)</f>
        <v>104269.74</v>
      </c>
      <c r="K1166" s="46" t="str">
        <f t="array" ref="K1166">TEXT(D1166, "mmmm")</f>
        <v>December</v>
      </c>
    </row>
    <row r="1167">
      <c r="A1167" s="46" t="str">
        <f>IFERROR(__xludf.DUMMYFUNCTION("""COMPUTED_VALUE"""),"Snacks")</f>
        <v>Snacks</v>
      </c>
      <c r="B1167" s="46" t="str">
        <f>IFERROR(__xludf.DUMMYFUNCTION("""COMPUTED_VALUE"""),"Italy")</f>
        <v>Italy</v>
      </c>
      <c r="C1167" s="46" t="str">
        <f>IFERROR(__xludf.DUMMYFUNCTION("""COMPUTED_VALUE"""),"Europe")</f>
        <v>Europe</v>
      </c>
      <c r="D1167" s="90">
        <f>IFERROR(__xludf.DUMMYFUNCTION("""COMPUTED_VALUE"""),40513.0)</f>
        <v>40513</v>
      </c>
      <c r="E1167" s="46">
        <f>IFERROR(__xludf.DUMMYFUNCTION("""COMPUTED_VALUE"""),2010.0)</f>
        <v>2010</v>
      </c>
      <c r="F1167" s="46">
        <f>IFERROR(__xludf.DUMMYFUNCTION("""COMPUTED_VALUE"""),1.0)</f>
        <v>1</v>
      </c>
      <c r="G1167" s="46">
        <f>IFERROR(__xludf.DUMMYFUNCTION("""COMPUTED_VALUE"""),558.0)</f>
        <v>558</v>
      </c>
      <c r="H1167" s="46">
        <f>IFERROR(__xludf.DUMMYFUNCTION("""COMPUTED_VALUE"""),85139.64000000001)</f>
        <v>85139.64</v>
      </c>
      <c r="I1167" s="46">
        <f>IFERROR(__xludf.DUMMYFUNCTION("""COMPUTED_VALUE"""),54371.52)</f>
        <v>54371.52</v>
      </c>
      <c r="J1167" s="46">
        <f>IFERROR(__xludf.DUMMYFUNCTION("""COMPUTED_VALUE"""),30768.120000000017)</f>
        <v>30768.12</v>
      </c>
      <c r="K1167" s="46" t="str">
        <f t="array" ref="K1167">TEXT(D1167, "mmmm")</f>
        <v>December</v>
      </c>
    </row>
    <row r="1168">
      <c r="A1168" s="46" t="str">
        <f>IFERROR(__xludf.DUMMYFUNCTION("""COMPUTED_VALUE"""),"Vegetables")</f>
        <v>Vegetables</v>
      </c>
      <c r="B1168" s="46" t="str">
        <f>IFERROR(__xludf.DUMMYFUNCTION("""COMPUTED_VALUE"""),"Cyprus")</f>
        <v>Cyprus</v>
      </c>
      <c r="C1168" s="46" t="str">
        <f>IFERROR(__xludf.DUMMYFUNCTION("""COMPUTED_VALUE"""),"Asia")</f>
        <v>Asia</v>
      </c>
      <c r="D1168" s="90">
        <f>IFERROR(__xludf.DUMMYFUNCTION("""COMPUTED_VALUE"""),40513.0)</f>
        <v>40513</v>
      </c>
      <c r="E1168" s="46">
        <f>IFERROR(__xludf.DUMMYFUNCTION("""COMPUTED_VALUE"""),2010.0)</f>
        <v>2010</v>
      </c>
      <c r="F1168" s="46">
        <f>IFERROR(__xludf.DUMMYFUNCTION("""COMPUTED_VALUE"""),1.0)</f>
        <v>1</v>
      </c>
      <c r="G1168" s="46">
        <f>IFERROR(__xludf.DUMMYFUNCTION("""COMPUTED_VALUE"""),5869.0)</f>
        <v>5869</v>
      </c>
      <c r="H1168" s="46">
        <f>IFERROR(__xludf.DUMMYFUNCTION("""COMPUTED_VALUE"""),904178.14)</f>
        <v>904178.14</v>
      </c>
      <c r="I1168" s="46">
        <f>IFERROR(__xludf.DUMMYFUNCTION("""COMPUTED_VALUE"""),533668.17)</f>
        <v>533668.17</v>
      </c>
      <c r="J1168" s="46">
        <f>IFERROR(__xludf.DUMMYFUNCTION("""COMPUTED_VALUE"""),370509.97)</f>
        <v>370509.97</v>
      </c>
      <c r="K1168" s="46" t="str">
        <f t="array" ref="K1168">TEXT(D1168, "mmmm")</f>
        <v>December</v>
      </c>
    </row>
    <row r="1169">
      <c r="A1169" s="46" t="str">
        <f>IFERROR(__xludf.DUMMYFUNCTION("""COMPUTED_VALUE"""),"Vegetables")</f>
        <v>Vegetables</v>
      </c>
      <c r="B1169" s="46" t="str">
        <f>IFERROR(__xludf.DUMMYFUNCTION("""COMPUTED_VALUE"""),"Spain")</f>
        <v>Spain</v>
      </c>
      <c r="C1169" s="46" t="str">
        <f>IFERROR(__xludf.DUMMYFUNCTION("""COMPUTED_VALUE"""),"Europe")</f>
        <v>Europe</v>
      </c>
      <c r="D1169" s="90">
        <f>IFERROR(__xludf.DUMMYFUNCTION("""COMPUTED_VALUE"""),40513.0)</f>
        <v>40513</v>
      </c>
      <c r="E1169" s="46">
        <f>IFERROR(__xludf.DUMMYFUNCTION("""COMPUTED_VALUE"""),2010.0)</f>
        <v>2010</v>
      </c>
      <c r="F1169" s="46">
        <f>IFERROR(__xludf.DUMMYFUNCTION("""COMPUTED_VALUE"""),1.0)</f>
        <v>1</v>
      </c>
      <c r="G1169" s="46">
        <f>IFERROR(__xludf.DUMMYFUNCTION("""COMPUTED_VALUE"""),9501.0)</f>
        <v>9501</v>
      </c>
      <c r="H1169" s="46">
        <f>IFERROR(__xludf.DUMMYFUNCTION("""COMPUTED_VALUE"""),1463724.06)</f>
        <v>1463724.06</v>
      </c>
      <c r="I1169" s="46">
        <f>IFERROR(__xludf.DUMMYFUNCTION("""COMPUTED_VALUE"""),863925.93)</f>
        <v>863925.93</v>
      </c>
      <c r="J1169" s="46">
        <f>IFERROR(__xludf.DUMMYFUNCTION("""COMPUTED_VALUE"""),599798.13)</f>
        <v>599798.13</v>
      </c>
      <c r="K1169" s="46" t="str">
        <f t="array" ref="K1169">TEXT(D1169, "mmmm")</f>
        <v>December</v>
      </c>
    </row>
    <row r="1170">
      <c r="A1170" s="46" t="str">
        <f>IFERROR(__xludf.DUMMYFUNCTION("""COMPUTED_VALUE"""),"Cereal")</f>
        <v>Cereal</v>
      </c>
      <c r="B1170" s="46" t="str">
        <f>IFERROR(__xludf.DUMMYFUNCTION("""COMPUTED_VALUE"""),"Macedonia")</f>
        <v>Macedonia</v>
      </c>
      <c r="C1170" s="46" t="str">
        <f>IFERROR(__xludf.DUMMYFUNCTION("""COMPUTED_VALUE"""),"Europe")</f>
        <v>Europe</v>
      </c>
      <c r="D1170" s="90">
        <f>IFERROR(__xludf.DUMMYFUNCTION("""COMPUTED_VALUE"""),40483.0)</f>
        <v>40483</v>
      </c>
      <c r="E1170" s="46">
        <f>IFERROR(__xludf.DUMMYFUNCTION("""COMPUTED_VALUE"""),2010.0)</f>
        <v>2010</v>
      </c>
      <c r="F1170" s="46">
        <f>IFERROR(__xludf.DUMMYFUNCTION("""COMPUTED_VALUE"""),1.0)</f>
        <v>1</v>
      </c>
      <c r="G1170" s="46">
        <f>IFERROR(__xludf.DUMMYFUNCTION("""COMPUTED_VALUE"""),1713.0)</f>
        <v>1713</v>
      </c>
      <c r="H1170" s="46">
        <f>IFERROR(__xludf.DUMMYFUNCTION("""COMPUTED_VALUE"""),352364.1)</f>
        <v>352364.1</v>
      </c>
      <c r="I1170" s="46">
        <f>IFERROR(__xludf.DUMMYFUNCTION("""COMPUTED_VALUE"""),200609.43)</f>
        <v>200609.43</v>
      </c>
      <c r="J1170" s="46">
        <f>IFERROR(__xludf.DUMMYFUNCTION("""COMPUTED_VALUE"""),151754.66999999998)</f>
        <v>151754.67</v>
      </c>
      <c r="K1170" s="46" t="str">
        <f t="array" ref="K1170">TEXT(D1170, "mmmm")</f>
        <v>November</v>
      </c>
    </row>
    <row r="1171">
      <c r="A1171" s="46" t="str">
        <f>IFERROR(__xludf.DUMMYFUNCTION("""COMPUTED_VALUE"""),"Clothes")</f>
        <v>Clothes</v>
      </c>
      <c r="B1171" s="46" t="str">
        <f>IFERROR(__xludf.DUMMYFUNCTION("""COMPUTED_VALUE"""),"Germany")</f>
        <v>Germany</v>
      </c>
      <c r="C1171" s="46" t="str">
        <f>IFERROR(__xludf.DUMMYFUNCTION("""COMPUTED_VALUE"""),"Europe")</f>
        <v>Europe</v>
      </c>
      <c r="D1171" s="90">
        <f>IFERROR(__xludf.DUMMYFUNCTION("""COMPUTED_VALUE"""),40483.0)</f>
        <v>40483</v>
      </c>
      <c r="E1171" s="46">
        <f>IFERROR(__xludf.DUMMYFUNCTION("""COMPUTED_VALUE"""),2010.0)</f>
        <v>2010</v>
      </c>
      <c r="F1171" s="46">
        <f>IFERROR(__xludf.DUMMYFUNCTION("""COMPUTED_VALUE"""),1.0)</f>
        <v>1</v>
      </c>
      <c r="G1171" s="46">
        <f>IFERROR(__xludf.DUMMYFUNCTION("""COMPUTED_VALUE"""),9895.0)</f>
        <v>9895</v>
      </c>
      <c r="H1171" s="46">
        <f>IFERROR(__xludf.DUMMYFUNCTION("""COMPUTED_VALUE"""),1081325.6)</f>
        <v>1081325.6</v>
      </c>
      <c r="I1171" s="46">
        <f>IFERROR(__xludf.DUMMYFUNCTION("""COMPUTED_VALUE"""),354636.80000000005)</f>
        <v>354636.8</v>
      </c>
      <c r="J1171" s="46">
        <f>IFERROR(__xludf.DUMMYFUNCTION("""COMPUTED_VALUE"""),726688.8)</f>
        <v>726688.8</v>
      </c>
      <c r="K1171" s="46" t="str">
        <f t="array" ref="K1171">TEXT(D1171, "mmmm")</f>
        <v>November</v>
      </c>
    </row>
    <row r="1172">
      <c r="A1172" s="46" t="str">
        <f>IFERROR(__xludf.DUMMYFUNCTION("""COMPUTED_VALUE"""),"Clothes")</f>
        <v>Clothes</v>
      </c>
      <c r="B1172" s="46" t="str">
        <f>IFERROR(__xludf.DUMMYFUNCTION("""COMPUTED_VALUE"""),"Iceland")</f>
        <v>Iceland</v>
      </c>
      <c r="C1172" s="46" t="str">
        <f>IFERROR(__xludf.DUMMYFUNCTION("""COMPUTED_VALUE"""),"Europe")</f>
        <v>Europe</v>
      </c>
      <c r="D1172" s="90">
        <f>IFERROR(__xludf.DUMMYFUNCTION("""COMPUTED_VALUE"""),40483.0)</f>
        <v>40483</v>
      </c>
      <c r="E1172" s="46">
        <f>IFERROR(__xludf.DUMMYFUNCTION("""COMPUTED_VALUE"""),2010.0)</f>
        <v>2010</v>
      </c>
      <c r="F1172" s="46">
        <f>IFERROR(__xludf.DUMMYFUNCTION("""COMPUTED_VALUE"""),1.0)</f>
        <v>1</v>
      </c>
      <c r="G1172" s="46">
        <f>IFERROR(__xludf.DUMMYFUNCTION("""COMPUTED_VALUE"""),1004.0)</f>
        <v>1004</v>
      </c>
      <c r="H1172" s="46">
        <f>IFERROR(__xludf.DUMMYFUNCTION("""COMPUTED_VALUE"""),109717.12)</f>
        <v>109717.12</v>
      </c>
      <c r="I1172" s="46">
        <f>IFERROR(__xludf.DUMMYFUNCTION("""COMPUTED_VALUE"""),35983.36)</f>
        <v>35983.36</v>
      </c>
      <c r="J1172" s="46">
        <f>IFERROR(__xludf.DUMMYFUNCTION("""COMPUTED_VALUE"""),73733.76)</f>
        <v>73733.76</v>
      </c>
      <c r="K1172" s="46" t="str">
        <f t="array" ref="K1172">TEXT(D1172, "mmmm")</f>
        <v>November</v>
      </c>
    </row>
    <row r="1173">
      <c r="A1173" s="46" t="str">
        <f>IFERROR(__xludf.DUMMYFUNCTION("""COMPUTED_VALUE"""),"Household")</f>
        <v>Household</v>
      </c>
      <c r="B1173" s="46" t="str">
        <f>IFERROR(__xludf.DUMMYFUNCTION("""COMPUTED_VALUE"""),"Montenegro")</f>
        <v>Montenegro</v>
      </c>
      <c r="C1173" s="46" t="str">
        <f>IFERROR(__xludf.DUMMYFUNCTION("""COMPUTED_VALUE"""),"Europe")</f>
        <v>Europe</v>
      </c>
      <c r="D1173" s="90">
        <f>IFERROR(__xludf.DUMMYFUNCTION("""COMPUTED_VALUE"""),40483.0)</f>
        <v>40483</v>
      </c>
      <c r="E1173" s="46">
        <f>IFERROR(__xludf.DUMMYFUNCTION("""COMPUTED_VALUE"""),2010.0)</f>
        <v>2010</v>
      </c>
      <c r="F1173" s="46">
        <f>IFERROR(__xludf.DUMMYFUNCTION("""COMPUTED_VALUE"""),1.0)</f>
        <v>1</v>
      </c>
      <c r="G1173" s="46">
        <f>IFERROR(__xludf.DUMMYFUNCTION("""COMPUTED_VALUE"""),3473.0)</f>
        <v>3473</v>
      </c>
      <c r="H1173" s="46">
        <f>IFERROR(__xludf.DUMMYFUNCTION("""COMPUTED_VALUE"""),2320901.71)</f>
        <v>2320901.71</v>
      </c>
      <c r="I1173" s="46">
        <f>IFERROR(__xludf.DUMMYFUNCTION("""COMPUTED_VALUE"""),1745321.4200000002)</f>
        <v>1745321.42</v>
      </c>
      <c r="J1173" s="46">
        <f>IFERROR(__xludf.DUMMYFUNCTION("""COMPUTED_VALUE"""),575580.2899999998)</f>
        <v>575580.29</v>
      </c>
      <c r="K1173" s="46" t="str">
        <f t="array" ref="K1173">TEXT(D1173, "mmmm")</f>
        <v>November</v>
      </c>
    </row>
    <row r="1174">
      <c r="A1174" s="46" t="str">
        <f>IFERROR(__xludf.DUMMYFUNCTION("""COMPUTED_VALUE"""),"Meat")</f>
        <v>Meat</v>
      </c>
      <c r="B1174" s="46" t="str">
        <f>IFERROR(__xludf.DUMMYFUNCTION("""COMPUTED_VALUE"""),"Albania")</f>
        <v>Albania</v>
      </c>
      <c r="C1174" s="46" t="str">
        <f>IFERROR(__xludf.DUMMYFUNCTION("""COMPUTED_VALUE"""),"Europe")</f>
        <v>Europe</v>
      </c>
      <c r="D1174" s="90">
        <f>IFERROR(__xludf.DUMMYFUNCTION("""COMPUTED_VALUE"""),40483.0)</f>
        <v>40483</v>
      </c>
      <c r="E1174" s="46">
        <f>IFERROR(__xludf.DUMMYFUNCTION("""COMPUTED_VALUE"""),2010.0)</f>
        <v>2010</v>
      </c>
      <c r="F1174" s="46">
        <f>IFERROR(__xludf.DUMMYFUNCTION("""COMPUTED_VALUE"""),1.0)</f>
        <v>1</v>
      </c>
      <c r="G1174" s="46">
        <f>IFERROR(__xludf.DUMMYFUNCTION("""COMPUTED_VALUE"""),865.0)</f>
        <v>865</v>
      </c>
      <c r="H1174" s="46">
        <f>IFERROR(__xludf.DUMMYFUNCTION("""COMPUTED_VALUE"""),364934.85)</f>
        <v>364934.85</v>
      </c>
      <c r="I1174" s="46">
        <f>IFERROR(__xludf.DUMMYFUNCTION("""COMPUTED_VALUE"""),315456.85)</f>
        <v>315456.85</v>
      </c>
      <c r="J1174" s="46">
        <f>IFERROR(__xludf.DUMMYFUNCTION("""COMPUTED_VALUE"""),49478.0)</f>
        <v>49478</v>
      </c>
      <c r="K1174" s="46" t="str">
        <f t="array" ref="K1174">TEXT(D1174, "mmmm")</f>
        <v>November</v>
      </c>
    </row>
    <row r="1175">
      <c r="A1175" s="46" t="str">
        <f>IFERROR(__xludf.DUMMYFUNCTION("""COMPUTED_VALUE"""),"Snacks")</f>
        <v>Snacks</v>
      </c>
      <c r="B1175" s="46" t="str">
        <f>IFERROR(__xludf.DUMMYFUNCTION("""COMPUTED_VALUE"""),"Belgium")</f>
        <v>Belgium</v>
      </c>
      <c r="C1175" s="46" t="str">
        <f>IFERROR(__xludf.DUMMYFUNCTION("""COMPUTED_VALUE"""),"Europe")</f>
        <v>Europe</v>
      </c>
      <c r="D1175" s="90">
        <f>IFERROR(__xludf.DUMMYFUNCTION("""COMPUTED_VALUE"""),40483.0)</f>
        <v>40483</v>
      </c>
      <c r="E1175" s="46">
        <f>IFERROR(__xludf.DUMMYFUNCTION("""COMPUTED_VALUE"""),2010.0)</f>
        <v>2010</v>
      </c>
      <c r="F1175" s="46">
        <f>IFERROR(__xludf.DUMMYFUNCTION("""COMPUTED_VALUE"""),1.0)</f>
        <v>1</v>
      </c>
      <c r="G1175" s="46">
        <f>IFERROR(__xludf.DUMMYFUNCTION("""COMPUTED_VALUE"""),8524.0)</f>
        <v>8524</v>
      </c>
      <c r="H1175" s="46">
        <f>IFERROR(__xludf.DUMMYFUNCTION("""COMPUTED_VALUE"""),1300591.9200000002)</f>
        <v>1300591.92</v>
      </c>
      <c r="I1175" s="46">
        <f>IFERROR(__xludf.DUMMYFUNCTION("""COMPUTED_VALUE"""),830578.5599999999)</f>
        <v>830578.56</v>
      </c>
      <c r="J1175" s="46">
        <f>IFERROR(__xludf.DUMMYFUNCTION("""COMPUTED_VALUE"""),470013.3600000002)</f>
        <v>470013.36</v>
      </c>
      <c r="K1175" s="46" t="str">
        <f t="array" ref="K1175">TEXT(D1175, "mmmm")</f>
        <v>November</v>
      </c>
    </row>
    <row r="1176">
      <c r="A1176" s="46" t="str">
        <f>IFERROR(__xludf.DUMMYFUNCTION("""COMPUTED_VALUE"""),"Vegetables")</f>
        <v>Vegetables</v>
      </c>
      <c r="B1176" s="46" t="str">
        <f>IFERROR(__xludf.DUMMYFUNCTION("""COMPUTED_VALUE"""),"Ireland")</f>
        <v>Ireland</v>
      </c>
      <c r="C1176" s="46" t="str">
        <f>IFERROR(__xludf.DUMMYFUNCTION("""COMPUTED_VALUE"""),"Europe")</f>
        <v>Europe</v>
      </c>
      <c r="D1176" s="90">
        <f>IFERROR(__xludf.DUMMYFUNCTION("""COMPUTED_VALUE"""),40483.0)</f>
        <v>40483</v>
      </c>
      <c r="E1176" s="46">
        <f>IFERROR(__xludf.DUMMYFUNCTION("""COMPUTED_VALUE"""),2010.0)</f>
        <v>2010</v>
      </c>
      <c r="F1176" s="46">
        <f>IFERROR(__xludf.DUMMYFUNCTION("""COMPUTED_VALUE"""),1.0)</f>
        <v>1</v>
      </c>
      <c r="G1176" s="46">
        <f>IFERROR(__xludf.DUMMYFUNCTION("""COMPUTED_VALUE"""),3331.0)</f>
        <v>3331</v>
      </c>
      <c r="H1176" s="46">
        <f>IFERROR(__xludf.DUMMYFUNCTION("""COMPUTED_VALUE"""),513173.86)</f>
        <v>513173.86</v>
      </c>
      <c r="I1176" s="46">
        <f>IFERROR(__xludf.DUMMYFUNCTION("""COMPUTED_VALUE"""),302887.83)</f>
        <v>302887.83</v>
      </c>
      <c r="J1176" s="46">
        <f>IFERROR(__xludf.DUMMYFUNCTION("""COMPUTED_VALUE"""),210286.02999999997)</f>
        <v>210286.03</v>
      </c>
      <c r="K1176" s="46" t="str">
        <f t="array" ref="K1176">TEXT(D1176, "mmmm")</f>
        <v>November</v>
      </c>
    </row>
    <row r="1177">
      <c r="A1177" s="46" t="str">
        <f>IFERROR(__xludf.DUMMYFUNCTION("""COMPUTED_VALUE"""),"Baby Food")</f>
        <v>Baby Food</v>
      </c>
      <c r="B1177" s="46" t="str">
        <f>IFERROR(__xludf.DUMMYFUNCTION("""COMPUTED_VALUE"""),"Finland")</f>
        <v>Finland</v>
      </c>
      <c r="C1177" s="46" t="str">
        <f>IFERROR(__xludf.DUMMYFUNCTION("""COMPUTED_VALUE"""),"Europe")</f>
        <v>Europe</v>
      </c>
      <c r="D1177" s="90">
        <f>IFERROR(__xludf.DUMMYFUNCTION("""COMPUTED_VALUE"""),40452.0)</f>
        <v>40452</v>
      </c>
      <c r="E1177" s="46">
        <f>IFERROR(__xludf.DUMMYFUNCTION("""COMPUTED_VALUE"""),2010.0)</f>
        <v>2010</v>
      </c>
      <c r="F1177" s="46">
        <f>IFERROR(__xludf.DUMMYFUNCTION("""COMPUTED_VALUE"""),1.0)</f>
        <v>1</v>
      </c>
      <c r="G1177" s="46">
        <f>IFERROR(__xludf.DUMMYFUNCTION("""COMPUTED_VALUE"""),5118.0)</f>
        <v>5118</v>
      </c>
      <c r="H1177" s="46">
        <f>IFERROR(__xludf.DUMMYFUNCTION("""COMPUTED_VALUE"""),1306523.04)</f>
        <v>1306523.04</v>
      </c>
      <c r="I1177" s="46">
        <f>IFERROR(__xludf.DUMMYFUNCTION("""COMPUTED_VALUE"""),815911.5599999999)</f>
        <v>815911.56</v>
      </c>
      <c r="J1177" s="46">
        <f>IFERROR(__xludf.DUMMYFUNCTION("""COMPUTED_VALUE"""),490611.4800000001)</f>
        <v>490611.48</v>
      </c>
      <c r="K1177" s="46" t="str">
        <f t="array" ref="K1177">TEXT(D1177, "mmmm")</f>
        <v>October</v>
      </c>
    </row>
    <row r="1178">
      <c r="A1178" s="46" t="str">
        <f>IFERROR(__xludf.DUMMYFUNCTION("""COMPUTED_VALUE"""),"Beverages")</f>
        <v>Beverages</v>
      </c>
      <c r="B1178" s="46" t="str">
        <f>IFERROR(__xludf.DUMMYFUNCTION("""COMPUTED_VALUE"""),"Belarus")</f>
        <v>Belarus</v>
      </c>
      <c r="C1178" s="46" t="str">
        <f>IFERROR(__xludf.DUMMYFUNCTION("""COMPUTED_VALUE"""),"Europe")</f>
        <v>Europe</v>
      </c>
      <c r="D1178" s="90">
        <f>IFERROR(__xludf.DUMMYFUNCTION("""COMPUTED_VALUE"""),40452.0)</f>
        <v>40452</v>
      </c>
      <c r="E1178" s="46">
        <f>IFERROR(__xludf.DUMMYFUNCTION("""COMPUTED_VALUE"""),2010.0)</f>
        <v>2010</v>
      </c>
      <c r="F1178" s="46">
        <f>IFERROR(__xludf.DUMMYFUNCTION("""COMPUTED_VALUE"""),1.0)</f>
        <v>1</v>
      </c>
      <c r="G1178" s="46">
        <f>IFERROR(__xludf.DUMMYFUNCTION("""COMPUTED_VALUE"""),9898.0)</f>
        <v>9898</v>
      </c>
      <c r="H1178" s="46">
        <f>IFERROR(__xludf.DUMMYFUNCTION("""COMPUTED_VALUE"""),469660.10000000003)</f>
        <v>469660.1</v>
      </c>
      <c r="I1178" s="46">
        <f>IFERROR(__xludf.DUMMYFUNCTION("""COMPUTED_VALUE"""),314657.42)</f>
        <v>314657.42</v>
      </c>
      <c r="J1178" s="46">
        <f>IFERROR(__xludf.DUMMYFUNCTION("""COMPUTED_VALUE"""),155002.68000000005)</f>
        <v>155002.68</v>
      </c>
      <c r="K1178" s="46" t="str">
        <f t="array" ref="K1178">TEXT(D1178, "mmmm")</f>
        <v>October</v>
      </c>
    </row>
    <row r="1179">
      <c r="A1179" s="46" t="str">
        <f>IFERROR(__xludf.DUMMYFUNCTION("""COMPUTED_VALUE"""),"Beverages")</f>
        <v>Beverages</v>
      </c>
      <c r="B1179" s="46" t="str">
        <f>IFERROR(__xludf.DUMMYFUNCTION("""COMPUTED_VALUE"""),"Serbia")</f>
        <v>Serbia</v>
      </c>
      <c r="C1179" s="46" t="str">
        <f>IFERROR(__xludf.DUMMYFUNCTION("""COMPUTED_VALUE"""),"Europe")</f>
        <v>Europe</v>
      </c>
      <c r="D1179" s="90">
        <f>IFERROR(__xludf.DUMMYFUNCTION("""COMPUTED_VALUE"""),40452.0)</f>
        <v>40452</v>
      </c>
      <c r="E1179" s="46">
        <f>IFERROR(__xludf.DUMMYFUNCTION("""COMPUTED_VALUE"""),2010.0)</f>
        <v>2010</v>
      </c>
      <c r="F1179" s="46">
        <f>IFERROR(__xludf.DUMMYFUNCTION("""COMPUTED_VALUE"""),1.0)</f>
        <v>1</v>
      </c>
      <c r="G1179" s="46">
        <f>IFERROR(__xludf.DUMMYFUNCTION("""COMPUTED_VALUE"""),4615.0)</f>
        <v>4615</v>
      </c>
      <c r="H1179" s="46">
        <f>IFERROR(__xludf.DUMMYFUNCTION("""COMPUTED_VALUE"""),218981.75)</f>
        <v>218981.75</v>
      </c>
      <c r="I1179" s="46">
        <f>IFERROR(__xludf.DUMMYFUNCTION("""COMPUTED_VALUE"""),146710.85)</f>
        <v>146710.85</v>
      </c>
      <c r="J1179" s="46">
        <f>IFERROR(__xludf.DUMMYFUNCTION("""COMPUTED_VALUE"""),72270.9)</f>
        <v>72270.9</v>
      </c>
      <c r="K1179" s="46" t="str">
        <f t="array" ref="K1179">TEXT(D1179, "mmmm")</f>
        <v>October</v>
      </c>
    </row>
    <row r="1180">
      <c r="A1180" s="46" t="str">
        <f>IFERROR(__xludf.DUMMYFUNCTION("""COMPUTED_VALUE"""),"Clothes")</f>
        <v>Clothes</v>
      </c>
      <c r="B1180" s="46" t="str">
        <f>IFERROR(__xludf.DUMMYFUNCTION("""COMPUTED_VALUE"""),"Poland")</f>
        <v>Poland</v>
      </c>
      <c r="C1180" s="46" t="str">
        <f>IFERROR(__xludf.DUMMYFUNCTION("""COMPUTED_VALUE"""),"Europe")</f>
        <v>Europe</v>
      </c>
      <c r="D1180" s="90">
        <f>IFERROR(__xludf.DUMMYFUNCTION("""COMPUTED_VALUE"""),40452.0)</f>
        <v>40452</v>
      </c>
      <c r="E1180" s="46">
        <f>IFERROR(__xludf.DUMMYFUNCTION("""COMPUTED_VALUE"""),2010.0)</f>
        <v>2010</v>
      </c>
      <c r="F1180" s="46">
        <f>IFERROR(__xludf.DUMMYFUNCTION("""COMPUTED_VALUE"""),1.0)</f>
        <v>1</v>
      </c>
      <c r="G1180" s="46">
        <f>IFERROR(__xludf.DUMMYFUNCTION("""COMPUTED_VALUE"""),2735.0)</f>
        <v>2735</v>
      </c>
      <c r="H1180" s="46">
        <f>IFERROR(__xludf.DUMMYFUNCTION("""COMPUTED_VALUE"""),298880.8)</f>
        <v>298880.8</v>
      </c>
      <c r="I1180" s="46">
        <f>IFERROR(__xludf.DUMMYFUNCTION("""COMPUTED_VALUE"""),98022.40000000001)</f>
        <v>98022.4</v>
      </c>
      <c r="J1180" s="46">
        <f>IFERROR(__xludf.DUMMYFUNCTION("""COMPUTED_VALUE"""),200858.39999999997)</f>
        <v>200858.4</v>
      </c>
      <c r="K1180" s="46" t="str">
        <f t="array" ref="K1180">TEXT(D1180, "mmmm")</f>
        <v>October</v>
      </c>
    </row>
    <row r="1181">
      <c r="A1181" s="46" t="str">
        <f>IFERROR(__xludf.DUMMYFUNCTION("""COMPUTED_VALUE"""),"Cosmetics")</f>
        <v>Cosmetics</v>
      </c>
      <c r="B1181" s="46" t="str">
        <f>IFERROR(__xludf.DUMMYFUNCTION("""COMPUTED_VALUE"""),"Hungary")</f>
        <v>Hungary</v>
      </c>
      <c r="C1181" s="46" t="str">
        <f>IFERROR(__xludf.DUMMYFUNCTION("""COMPUTED_VALUE"""),"Europe")</f>
        <v>Europe</v>
      </c>
      <c r="D1181" s="90">
        <f>IFERROR(__xludf.DUMMYFUNCTION("""COMPUTED_VALUE"""),40452.0)</f>
        <v>40452</v>
      </c>
      <c r="E1181" s="46">
        <f>IFERROR(__xludf.DUMMYFUNCTION("""COMPUTED_VALUE"""),2010.0)</f>
        <v>2010</v>
      </c>
      <c r="F1181" s="46">
        <f>IFERROR(__xludf.DUMMYFUNCTION("""COMPUTED_VALUE"""),1.0)</f>
        <v>1</v>
      </c>
      <c r="G1181" s="46">
        <f>IFERROR(__xludf.DUMMYFUNCTION("""COMPUTED_VALUE"""),9495.0)</f>
        <v>9495</v>
      </c>
      <c r="H1181" s="46">
        <f>IFERROR(__xludf.DUMMYFUNCTION("""COMPUTED_VALUE"""),4151214.0)</f>
        <v>4151214</v>
      </c>
      <c r="I1181" s="46">
        <f>IFERROR(__xludf.DUMMYFUNCTION("""COMPUTED_VALUE"""),2500318.3499999996)</f>
        <v>2500318.35</v>
      </c>
      <c r="J1181" s="46">
        <f>IFERROR(__xludf.DUMMYFUNCTION("""COMPUTED_VALUE"""),1650895.6500000004)</f>
        <v>1650895.65</v>
      </c>
      <c r="K1181" s="46" t="str">
        <f t="array" ref="K1181">TEXT(D1181, "mmmm")</f>
        <v>October</v>
      </c>
    </row>
    <row r="1182">
      <c r="A1182" s="46" t="str">
        <f>IFERROR(__xludf.DUMMYFUNCTION("""COMPUTED_VALUE"""),"Cosmetics")</f>
        <v>Cosmetics</v>
      </c>
      <c r="B1182" s="46" t="str">
        <f>IFERROR(__xludf.DUMMYFUNCTION("""COMPUTED_VALUE"""),"Russia")</f>
        <v>Russia</v>
      </c>
      <c r="C1182" s="46" t="str">
        <f>IFERROR(__xludf.DUMMYFUNCTION("""COMPUTED_VALUE"""),"Europe")</f>
        <v>Europe</v>
      </c>
      <c r="D1182" s="90">
        <f>IFERROR(__xludf.DUMMYFUNCTION("""COMPUTED_VALUE"""),40452.0)</f>
        <v>40452</v>
      </c>
      <c r="E1182" s="46">
        <f>IFERROR(__xludf.DUMMYFUNCTION("""COMPUTED_VALUE"""),2010.0)</f>
        <v>2010</v>
      </c>
      <c r="F1182" s="46">
        <f>IFERROR(__xludf.DUMMYFUNCTION("""COMPUTED_VALUE"""),1.0)</f>
        <v>1</v>
      </c>
      <c r="G1182" s="46">
        <f>IFERROR(__xludf.DUMMYFUNCTION("""COMPUTED_VALUE"""),3325.0)</f>
        <v>3325</v>
      </c>
      <c r="H1182" s="46">
        <f>IFERROR(__xludf.DUMMYFUNCTION("""COMPUTED_VALUE"""),1453690.0)</f>
        <v>1453690</v>
      </c>
      <c r="I1182" s="46">
        <f>IFERROR(__xludf.DUMMYFUNCTION("""COMPUTED_VALUE"""),875572.25)</f>
        <v>875572.25</v>
      </c>
      <c r="J1182" s="46">
        <f>IFERROR(__xludf.DUMMYFUNCTION("""COMPUTED_VALUE"""),578117.75)</f>
        <v>578117.75</v>
      </c>
      <c r="K1182" s="46" t="str">
        <f t="array" ref="K1182">TEXT(D1182, "mmmm")</f>
        <v>October</v>
      </c>
    </row>
    <row r="1183">
      <c r="A1183" s="46" t="str">
        <f>IFERROR(__xludf.DUMMYFUNCTION("""COMPUTED_VALUE"""),"Fruits")</f>
        <v>Fruits</v>
      </c>
      <c r="B1183" s="46" t="str">
        <f>IFERROR(__xludf.DUMMYFUNCTION("""COMPUTED_VALUE"""),"Macedonia")</f>
        <v>Macedonia</v>
      </c>
      <c r="C1183" s="46" t="str">
        <f>IFERROR(__xludf.DUMMYFUNCTION("""COMPUTED_VALUE"""),"Europe")</f>
        <v>Europe</v>
      </c>
      <c r="D1183" s="90">
        <f>IFERROR(__xludf.DUMMYFUNCTION("""COMPUTED_VALUE"""),40452.0)</f>
        <v>40452</v>
      </c>
      <c r="E1183" s="46">
        <f>IFERROR(__xludf.DUMMYFUNCTION("""COMPUTED_VALUE"""),2010.0)</f>
        <v>2010</v>
      </c>
      <c r="F1183" s="46">
        <f>IFERROR(__xludf.DUMMYFUNCTION("""COMPUTED_VALUE"""),1.0)</f>
        <v>1</v>
      </c>
      <c r="G1183" s="46">
        <f>IFERROR(__xludf.DUMMYFUNCTION("""COMPUTED_VALUE"""),7080.0)</f>
        <v>7080</v>
      </c>
      <c r="H1183" s="46">
        <f>IFERROR(__xludf.DUMMYFUNCTION("""COMPUTED_VALUE"""),66056.4)</f>
        <v>66056.4</v>
      </c>
      <c r="I1183" s="46">
        <f>IFERROR(__xludf.DUMMYFUNCTION("""COMPUTED_VALUE"""),48993.6)</f>
        <v>48993.6</v>
      </c>
      <c r="J1183" s="46">
        <f>IFERROR(__xludf.DUMMYFUNCTION("""COMPUTED_VALUE"""),17062.799999999996)</f>
        <v>17062.8</v>
      </c>
      <c r="K1183" s="46" t="str">
        <f t="array" ref="K1183">TEXT(D1183, "mmmm")</f>
        <v>October</v>
      </c>
    </row>
    <row r="1184">
      <c r="A1184" s="46" t="str">
        <f>IFERROR(__xludf.DUMMYFUNCTION("""COMPUTED_VALUE"""),"Fruits")</f>
        <v>Fruits</v>
      </c>
      <c r="B1184" s="46" t="str">
        <f>IFERROR(__xludf.DUMMYFUNCTION("""COMPUTED_VALUE"""),"San Marino")</f>
        <v>San Marino</v>
      </c>
      <c r="C1184" s="46" t="str">
        <f>IFERROR(__xludf.DUMMYFUNCTION("""COMPUTED_VALUE"""),"Europe")</f>
        <v>Europe</v>
      </c>
      <c r="D1184" s="90">
        <f>IFERROR(__xludf.DUMMYFUNCTION("""COMPUTED_VALUE"""),40452.0)</f>
        <v>40452</v>
      </c>
      <c r="E1184" s="46">
        <f>IFERROR(__xludf.DUMMYFUNCTION("""COMPUTED_VALUE"""),2010.0)</f>
        <v>2010</v>
      </c>
      <c r="F1184" s="46">
        <f>IFERROR(__xludf.DUMMYFUNCTION("""COMPUTED_VALUE"""),1.0)</f>
        <v>1</v>
      </c>
      <c r="G1184" s="46">
        <f>IFERROR(__xludf.DUMMYFUNCTION("""COMPUTED_VALUE"""),5930.0)</f>
        <v>5930</v>
      </c>
      <c r="H1184" s="46">
        <f>IFERROR(__xludf.DUMMYFUNCTION("""COMPUTED_VALUE"""),55326.9)</f>
        <v>55326.9</v>
      </c>
      <c r="I1184" s="46">
        <f>IFERROR(__xludf.DUMMYFUNCTION("""COMPUTED_VALUE"""),41035.6)</f>
        <v>41035.6</v>
      </c>
      <c r="J1184" s="46">
        <f>IFERROR(__xludf.DUMMYFUNCTION("""COMPUTED_VALUE"""),14291.300000000003)</f>
        <v>14291.3</v>
      </c>
      <c r="K1184" s="46" t="str">
        <f t="array" ref="K1184">TEXT(D1184, "mmmm")</f>
        <v>October</v>
      </c>
    </row>
    <row r="1185">
      <c r="A1185" s="46" t="str">
        <f>IFERROR(__xludf.DUMMYFUNCTION("""COMPUTED_VALUE"""),"Household")</f>
        <v>Household</v>
      </c>
      <c r="B1185" s="46" t="str">
        <f>IFERROR(__xludf.DUMMYFUNCTION("""COMPUTED_VALUE"""),"Luxembourg")</f>
        <v>Luxembourg</v>
      </c>
      <c r="C1185" s="46" t="str">
        <f>IFERROR(__xludf.DUMMYFUNCTION("""COMPUTED_VALUE"""),"Europe")</f>
        <v>Europe</v>
      </c>
      <c r="D1185" s="90">
        <f>IFERROR(__xludf.DUMMYFUNCTION("""COMPUTED_VALUE"""),40452.0)</f>
        <v>40452</v>
      </c>
      <c r="E1185" s="46">
        <f>IFERROR(__xludf.DUMMYFUNCTION("""COMPUTED_VALUE"""),2010.0)</f>
        <v>2010</v>
      </c>
      <c r="F1185" s="46">
        <f>IFERROR(__xludf.DUMMYFUNCTION("""COMPUTED_VALUE"""),1.0)</f>
        <v>1</v>
      </c>
      <c r="G1185" s="46">
        <f>IFERROR(__xludf.DUMMYFUNCTION("""COMPUTED_VALUE"""),4752.0)</f>
        <v>4752</v>
      </c>
      <c r="H1185" s="46">
        <f>IFERROR(__xludf.DUMMYFUNCTION("""COMPUTED_VALUE"""),3175619.04)</f>
        <v>3175619.04</v>
      </c>
      <c r="I1185" s="46">
        <f>IFERROR(__xludf.DUMMYFUNCTION("""COMPUTED_VALUE"""),2388070.08)</f>
        <v>2388070.08</v>
      </c>
      <c r="J1185" s="46">
        <f>IFERROR(__xludf.DUMMYFUNCTION("""COMPUTED_VALUE"""),787548.96)</f>
        <v>787548.96</v>
      </c>
      <c r="K1185" s="46" t="str">
        <f t="array" ref="K1185">TEXT(D1185, "mmmm")</f>
        <v>October</v>
      </c>
    </row>
    <row r="1186">
      <c r="A1186" s="46" t="str">
        <f>IFERROR(__xludf.DUMMYFUNCTION("""COMPUTED_VALUE"""),"Household")</f>
        <v>Household</v>
      </c>
      <c r="B1186" s="46" t="str">
        <f>IFERROR(__xludf.DUMMYFUNCTION("""COMPUTED_VALUE"""),"Sweden")</f>
        <v>Sweden</v>
      </c>
      <c r="C1186" s="46" t="str">
        <f>IFERROR(__xludf.DUMMYFUNCTION("""COMPUTED_VALUE"""),"Europe")</f>
        <v>Europe</v>
      </c>
      <c r="D1186" s="90">
        <f>IFERROR(__xludf.DUMMYFUNCTION("""COMPUTED_VALUE"""),40452.0)</f>
        <v>40452</v>
      </c>
      <c r="E1186" s="46">
        <f>IFERROR(__xludf.DUMMYFUNCTION("""COMPUTED_VALUE"""),2010.0)</f>
        <v>2010</v>
      </c>
      <c r="F1186" s="46">
        <f>IFERROR(__xludf.DUMMYFUNCTION("""COMPUTED_VALUE"""),1.0)</f>
        <v>1</v>
      </c>
      <c r="G1186" s="46">
        <f>IFERROR(__xludf.DUMMYFUNCTION("""COMPUTED_VALUE"""),235.0)</f>
        <v>235</v>
      </c>
      <c r="H1186" s="46">
        <f>IFERROR(__xludf.DUMMYFUNCTION("""COMPUTED_VALUE"""),157043.44999999998)</f>
        <v>157043.45</v>
      </c>
      <c r="I1186" s="46">
        <f>IFERROR(__xludf.DUMMYFUNCTION("""COMPUTED_VALUE"""),118096.90000000001)</f>
        <v>118096.9</v>
      </c>
      <c r="J1186" s="46">
        <f>IFERROR(__xludf.DUMMYFUNCTION("""COMPUTED_VALUE"""),38946.549999999974)</f>
        <v>38946.55</v>
      </c>
      <c r="K1186" s="46" t="str">
        <f t="array" ref="K1186">TEXT(D1186, "mmmm")</f>
        <v>October</v>
      </c>
    </row>
    <row r="1187">
      <c r="A1187" s="46" t="str">
        <f>IFERROR(__xludf.DUMMYFUNCTION("""COMPUTED_VALUE"""),"Meat")</f>
        <v>Meat</v>
      </c>
      <c r="B1187" s="46" t="str">
        <f>IFERROR(__xludf.DUMMYFUNCTION("""COMPUTED_VALUE"""),"Armenia")</f>
        <v>Armenia</v>
      </c>
      <c r="C1187" s="46" t="str">
        <f>IFERROR(__xludf.DUMMYFUNCTION("""COMPUTED_VALUE"""),"Asia")</f>
        <v>Asia</v>
      </c>
      <c r="D1187" s="90">
        <f>IFERROR(__xludf.DUMMYFUNCTION("""COMPUTED_VALUE"""),40452.0)</f>
        <v>40452</v>
      </c>
      <c r="E1187" s="46">
        <f>IFERROR(__xludf.DUMMYFUNCTION("""COMPUTED_VALUE"""),2010.0)</f>
        <v>2010</v>
      </c>
      <c r="F1187" s="46">
        <f>IFERROR(__xludf.DUMMYFUNCTION("""COMPUTED_VALUE"""),1.0)</f>
        <v>1</v>
      </c>
      <c r="G1187" s="46">
        <f>IFERROR(__xludf.DUMMYFUNCTION("""COMPUTED_VALUE"""),9875.0)</f>
        <v>9875</v>
      </c>
      <c r="H1187" s="46">
        <f>IFERROR(__xludf.DUMMYFUNCTION("""COMPUTED_VALUE"""),4166163.75)</f>
        <v>4166163.75</v>
      </c>
      <c r="I1187" s="46">
        <f>IFERROR(__xludf.DUMMYFUNCTION("""COMPUTED_VALUE"""),3601313.75)</f>
        <v>3601313.75</v>
      </c>
      <c r="J1187" s="46">
        <f>IFERROR(__xludf.DUMMYFUNCTION("""COMPUTED_VALUE"""),564850.0)</f>
        <v>564850</v>
      </c>
      <c r="K1187" s="46" t="str">
        <f t="array" ref="K1187">TEXT(D1187, "mmmm")</f>
        <v>October</v>
      </c>
    </row>
    <row r="1188">
      <c r="A1188" s="46" t="str">
        <f>IFERROR(__xludf.DUMMYFUNCTION("""COMPUTED_VALUE"""),"Meat")</f>
        <v>Meat</v>
      </c>
      <c r="B1188" s="46" t="str">
        <f>IFERROR(__xludf.DUMMYFUNCTION("""COMPUTED_VALUE"""),"Netherlands")</f>
        <v>Netherlands</v>
      </c>
      <c r="C1188" s="46" t="str">
        <f>IFERROR(__xludf.DUMMYFUNCTION("""COMPUTED_VALUE"""),"Europe")</f>
        <v>Europe</v>
      </c>
      <c r="D1188" s="90">
        <f>IFERROR(__xludf.DUMMYFUNCTION("""COMPUTED_VALUE"""),40452.0)</f>
        <v>40452</v>
      </c>
      <c r="E1188" s="46">
        <f>IFERROR(__xludf.DUMMYFUNCTION("""COMPUTED_VALUE"""),2010.0)</f>
        <v>2010</v>
      </c>
      <c r="F1188" s="46">
        <f>IFERROR(__xludf.DUMMYFUNCTION("""COMPUTED_VALUE"""),1.0)</f>
        <v>1</v>
      </c>
      <c r="G1188" s="46">
        <f>IFERROR(__xludf.DUMMYFUNCTION("""COMPUTED_VALUE"""),3664.0)</f>
        <v>3664</v>
      </c>
      <c r="H1188" s="46">
        <f>IFERROR(__xludf.DUMMYFUNCTION("""COMPUTED_VALUE"""),1545804.96)</f>
        <v>1545804.96</v>
      </c>
      <c r="I1188" s="46">
        <f>IFERROR(__xludf.DUMMYFUNCTION("""COMPUTED_VALUE"""),1336224.16)</f>
        <v>1336224.16</v>
      </c>
      <c r="J1188" s="46">
        <f>IFERROR(__xludf.DUMMYFUNCTION("""COMPUTED_VALUE"""),209580.80000000005)</f>
        <v>209580.8</v>
      </c>
      <c r="K1188" s="46" t="str">
        <f t="array" ref="K1188">TEXT(D1188, "mmmm")</f>
        <v>October</v>
      </c>
    </row>
    <row r="1189">
      <c r="A1189" s="46" t="str">
        <f>IFERROR(__xludf.DUMMYFUNCTION("""COMPUTED_VALUE"""),"Meat")</f>
        <v>Meat</v>
      </c>
      <c r="B1189" s="46" t="str">
        <f>IFERROR(__xludf.DUMMYFUNCTION("""COMPUTED_VALUE"""),"San Marino")</f>
        <v>San Marino</v>
      </c>
      <c r="C1189" s="46" t="str">
        <f>IFERROR(__xludf.DUMMYFUNCTION("""COMPUTED_VALUE"""),"Europe")</f>
        <v>Europe</v>
      </c>
      <c r="D1189" s="90">
        <f>IFERROR(__xludf.DUMMYFUNCTION("""COMPUTED_VALUE"""),40452.0)</f>
        <v>40452</v>
      </c>
      <c r="E1189" s="46">
        <f>IFERROR(__xludf.DUMMYFUNCTION("""COMPUTED_VALUE"""),2010.0)</f>
        <v>2010</v>
      </c>
      <c r="F1189" s="46">
        <f>IFERROR(__xludf.DUMMYFUNCTION("""COMPUTED_VALUE"""),1.0)</f>
        <v>1</v>
      </c>
      <c r="G1189" s="46">
        <f>IFERROR(__xludf.DUMMYFUNCTION("""COMPUTED_VALUE"""),3627.0)</f>
        <v>3627</v>
      </c>
      <c r="H1189" s="46">
        <f>IFERROR(__xludf.DUMMYFUNCTION("""COMPUTED_VALUE"""),1530195.03)</f>
        <v>1530195.03</v>
      </c>
      <c r="I1189" s="46">
        <f>IFERROR(__xludf.DUMMYFUNCTION("""COMPUTED_VALUE"""),1322730.63)</f>
        <v>1322730.63</v>
      </c>
      <c r="J1189" s="46">
        <f>IFERROR(__xludf.DUMMYFUNCTION("""COMPUTED_VALUE"""),207464.40000000014)</f>
        <v>207464.4</v>
      </c>
      <c r="K1189" s="46" t="str">
        <f t="array" ref="K1189">TEXT(D1189, "mmmm")</f>
        <v>October</v>
      </c>
    </row>
    <row r="1190">
      <c r="A1190" s="46" t="str">
        <f>IFERROR(__xludf.DUMMYFUNCTION("""COMPUTED_VALUE"""),"Office Supplies")</f>
        <v>Office Supplies</v>
      </c>
      <c r="B1190" s="46" t="str">
        <f>IFERROR(__xludf.DUMMYFUNCTION("""COMPUTED_VALUE"""),"Bulgaria")</f>
        <v>Bulgaria</v>
      </c>
      <c r="C1190" s="46" t="str">
        <f>IFERROR(__xludf.DUMMYFUNCTION("""COMPUTED_VALUE"""),"Europe")</f>
        <v>Europe</v>
      </c>
      <c r="D1190" s="90">
        <f>IFERROR(__xludf.DUMMYFUNCTION("""COMPUTED_VALUE"""),40452.0)</f>
        <v>40452</v>
      </c>
      <c r="E1190" s="46">
        <f>IFERROR(__xludf.DUMMYFUNCTION("""COMPUTED_VALUE"""),2010.0)</f>
        <v>2010</v>
      </c>
      <c r="F1190" s="46">
        <f>IFERROR(__xludf.DUMMYFUNCTION("""COMPUTED_VALUE"""),1.0)</f>
        <v>1</v>
      </c>
      <c r="G1190" s="46">
        <f>IFERROR(__xludf.DUMMYFUNCTION("""COMPUTED_VALUE"""),6266.0)</f>
        <v>6266</v>
      </c>
      <c r="H1190" s="46">
        <f>IFERROR(__xludf.DUMMYFUNCTION("""COMPUTED_VALUE"""),4080481.8600000003)</f>
        <v>4080481.86</v>
      </c>
      <c r="I1190" s="46">
        <f>IFERROR(__xludf.DUMMYFUNCTION("""COMPUTED_VALUE"""),3289399.3600000003)</f>
        <v>3289399.36</v>
      </c>
      <c r="J1190" s="46">
        <f>IFERROR(__xludf.DUMMYFUNCTION("""COMPUTED_VALUE"""),791082.5)</f>
        <v>791082.5</v>
      </c>
      <c r="K1190" s="46" t="str">
        <f t="array" ref="K1190">TEXT(D1190, "mmmm")</f>
        <v>October</v>
      </c>
    </row>
    <row r="1191">
      <c r="A1191" s="46" t="str">
        <f>IFERROR(__xludf.DUMMYFUNCTION("""COMPUTED_VALUE"""),"Personal Care")</f>
        <v>Personal Care</v>
      </c>
      <c r="B1191" s="46" t="str">
        <f>IFERROR(__xludf.DUMMYFUNCTION("""COMPUTED_VALUE"""),"France")</f>
        <v>France</v>
      </c>
      <c r="C1191" s="46" t="str">
        <f>IFERROR(__xludf.DUMMYFUNCTION("""COMPUTED_VALUE"""),"Europe")</f>
        <v>Europe</v>
      </c>
      <c r="D1191" s="90">
        <f>IFERROR(__xludf.DUMMYFUNCTION("""COMPUTED_VALUE"""),40452.0)</f>
        <v>40452</v>
      </c>
      <c r="E1191" s="46">
        <f>IFERROR(__xludf.DUMMYFUNCTION("""COMPUTED_VALUE"""),2010.0)</f>
        <v>2010</v>
      </c>
      <c r="F1191" s="46">
        <f>IFERROR(__xludf.DUMMYFUNCTION("""COMPUTED_VALUE"""),1.0)</f>
        <v>1</v>
      </c>
      <c r="G1191" s="46">
        <f>IFERROR(__xludf.DUMMYFUNCTION("""COMPUTED_VALUE"""),5504.0)</f>
        <v>5504</v>
      </c>
      <c r="H1191" s="46">
        <f>IFERROR(__xludf.DUMMYFUNCTION("""COMPUTED_VALUE"""),449841.92000000004)</f>
        <v>449841.92</v>
      </c>
      <c r="I1191" s="46">
        <f>IFERROR(__xludf.DUMMYFUNCTION("""COMPUTED_VALUE"""),311911.68)</f>
        <v>311911.68</v>
      </c>
      <c r="J1191" s="46">
        <f>IFERROR(__xludf.DUMMYFUNCTION("""COMPUTED_VALUE"""),137930.24000000005)</f>
        <v>137930.24</v>
      </c>
      <c r="K1191" s="46" t="str">
        <f t="array" ref="K1191">TEXT(D1191, "mmmm")</f>
        <v>October</v>
      </c>
    </row>
    <row r="1192">
      <c r="A1192" s="46" t="str">
        <f>IFERROR(__xludf.DUMMYFUNCTION("""COMPUTED_VALUE"""),"Snacks")</f>
        <v>Snacks</v>
      </c>
      <c r="B1192" s="46" t="str">
        <f>IFERROR(__xludf.DUMMYFUNCTION("""COMPUTED_VALUE"""),"Portugal")</f>
        <v>Portugal</v>
      </c>
      <c r="C1192" s="46" t="str">
        <f>IFERROR(__xludf.DUMMYFUNCTION("""COMPUTED_VALUE"""),"Europe")</f>
        <v>Europe</v>
      </c>
      <c r="D1192" s="90">
        <f>IFERROR(__xludf.DUMMYFUNCTION("""COMPUTED_VALUE"""),40452.0)</f>
        <v>40452</v>
      </c>
      <c r="E1192" s="46">
        <f>IFERROR(__xludf.DUMMYFUNCTION("""COMPUTED_VALUE"""),2010.0)</f>
        <v>2010</v>
      </c>
      <c r="F1192" s="46">
        <f>IFERROR(__xludf.DUMMYFUNCTION("""COMPUTED_VALUE"""),1.0)</f>
        <v>1</v>
      </c>
      <c r="G1192" s="46">
        <f>IFERROR(__xludf.DUMMYFUNCTION("""COMPUTED_VALUE"""),5075.0)</f>
        <v>5075</v>
      </c>
      <c r="H1192" s="46">
        <f>IFERROR(__xludf.DUMMYFUNCTION("""COMPUTED_VALUE"""),774343.5000000001)</f>
        <v>774343.5</v>
      </c>
      <c r="I1192" s="46">
        <f>IFERROR(__xludf.DUMMYFUNCTION("""COMPUTED_VALUE"""),494508.0)</f>
        <v>494508</v>
      </c>
      <c r="J1192" s="46">
        <f>IFERROR(__xludf.DUMMYFUNCTION("""COMPUTED_VALUE"""),279835.5000000001)</f>
        <v>279835.5</v>
      </c>
      <c r="K1192" s="46" t="str">
        <f t="array" ref="K1192">TEXT(D1192, "mmmm")</f>
        <v>October</v>
      </c>
    </row>
    <row r="1193">
      <c r="A1193" s="46" t="str">
        <f>IFERROR(__xludf.DUMMYFUNCTION("""COMPUTED_VALUE"""),"Baby Food")</f>
        <v>Baby Food</v>
      </c>
      <c r="B1193" s="46" t="str">
        <f>IFERROR(__xludf.DUMMYFUNCTION("""COMPUTED_VALUE"""),"Andorra")</f>
        <v>Andorra</v>
      </c>
      <c r="C1193" s="46" t="str">
        <f>IFERROR(__xludf.DUMMYFUNCTION("""COMPUTED_VALUE"""),"Europe")</f>
        <v>Europe</v>
      </c>
      <c r="D1193" s="90">
        <f>IFERROR(__xludf.DUMMYFUNCTION("""COMPUTED_VALUE"""),40422.0)</f>
        <v>40422</v>
      </c>
      <c r="E1193" s="46">
        <f>IFERROR(__xludf.DUMMYFUNCTION("""COMPUTED_VALUE"""),2010.0)</f>
        <v>2010</v>
      </c>
      <c r="F1193" s="46">
        <f>IFERROR(__xludf.DUMMYFUNCTION("""COMPUTED_VALUE"""),1.0)</f>
        <v>1</v>
      </c>
      <c r="G1193" s="46">
        <f>IFERROR(__xludf.DUMMYFUNCTION("""COMPUTED_VALUE"""),707.0)</f>
        <v>707</v>
      </c>
      <c r="H1193" s="46">
        <f>IFERROR(__xludf.DUMMYFUNCTION("""COMPUTED_VALUE"""),180482.96)</f>
        <v>180482.96</v>
      </c>
      <c r="I1193" s="46">
        <f>IFERROR(__xludf.DUMMYFUNCTION("""COMPUTED_VALUE"""),112709.93999999999)</f>
        <v>112709.94</v>
      </c>
      <c r="J1193" s="46">
        <f>IFERROR(__xludf.DUMMYFUNCTION("""COMPUTED_VALUE"""),67773.02)</f>
        <v>67773.02</v>
      </c>
      <c r="K1193" s="46" t="str">
        <f t="array" ref="K1193">TEXT(D1193, "mmmm")</f>
        <v>September</v>
      </c>
    </row>
    <row r="1194">
      <c r="A1194" s="46" t="str">
        <f>IFERROR(__xludf.DUMMYFUNCTION("""COMPUTED_VALUE"""),"Baby Food")</f>
        <v>Baby Food</v>
      </c>
      <c r="B1194" s="46" t="str">
        <f>IFERROR(__xludf.DUMMYFUNCTION("""COMPUTED_VALUE"""),"Bulgaria")</f>
        <v>Bulgaria</v>
      </c>
      <c r="C1194" s="46" t="str">
        <f>IFERROR(__xludf.DUMMYFUNCTION("""COMPUTED_VALUE"""),"Europe")</f>
        <v>Europe</v>
      </c>
      <c r="D1194" s="90">
        <f>IFERROR(__xludf.DUMMYFUNCTION("""COMPUTED_VALUE"""),40422.0)</f>
        <v>40422</v>
      </c>
      <c r="E1194" s="46">
        <f>IFERROR(__xludf.DUMMYFUNCTION("""COMPUTED_VALUE"""),2010.0)</f>
        <v>2010</v>
      </c>
      <c r="F1194" s="46">
        <f>IFERROR(__xludf.DUMMYFUNCTION("""COMPUTED_VALUE"""),1.0)</f>
        <v>1</v>
      </c>
      <c r="G1194" s="46">
        <f>IFERROR(__xludf.DUMMYFUNCTION("""COMPUTED_VALUE"""),5421.0)</f>
        <v>5421</v>
      </c>
      <c r="H1194" s="46">
        <f>IFERROR(__xludf.DUMMYFUNCTION("""COMPUTED_VALUE"""),1383872.8800000001)</f>
        <v>1383872.88</v>
      </c>
      <c r="I1194" s="46">
        <f>IFERROR(__xludf.DUMMYFUNCTION("""COMPUTED_VALUE"""),864215.82)</f>
        <v>864215.82</v>
      </c>
      <c r="J1194" s="46">
        <f>IFERROR(__xludf.DUMMYFUNCTION("""COMPUTED_VALUE"""),519657.0600000002)</f>
        <v>519657.06</v>
      </c>
      <c r="K1194" s="46" t="str">
        <f t="array" ref="K1194">TEXT(D1194, "mmmm")</f>
        <v>September</v>
      </c>
    </row>
    <row r="1195">
      <c r="A1195" s="46" t="str">
        <f>IFERROR(__xludf.DUMMYFUNCTION("""COMPUTED_VALUE"""),"Baby Food")</f>
        <v>Baby Food</v>
      </c>
      <c r="B1195" s="46" t="str">
        <f>IFERROR(__xludf.DUMMYFUNCTION("""COMPUTED_VALUE"""),"Latvia")</f>
        <v>Latvia</v>
      </c>
      <c r="C1195" s="46" t="str">
        <f>IFERROR(__xludf.DUMMYFUNCTION("""COMPUTED_VALUE"""),"Europe")</f>
        <v>Europe</v>
      </c>
      <c r="D1195" s="90">
        <f>IFERROR(__xludf.DUMMYFUNCTION("""COMPUTED_VALUE"""),40422.0)</f>
        <v>40422</v>
      </c>
      <c r="E1195" s="46">
        <f>IFERROR(__xludf.DUMMYFUNCTION("""COMPUTED_VALUE"""),2010.0)</f>
        <v>2010</v>
      </c>
      <c r="F1195" s="46">
        <f>IFERROR(__xludf.DUMMYFUNCTION("""COMPUTED_VALUE"""),1.0)</f>
        <v>1</v>
      </c>
      <c r="G1195" s="46">
        <f>IFERROR(__xludf.DUMMYFUNCTION("""COMPUTED_VALUE"""),3136.0)</f>
        <v>3136</v>
      </c>
      <c r="H1195" s="46">
        <f>IFERROR(__xludf.DUMMYFUNCTION("""COMPUTED_VALUE"""),800558.08)</f>
        <v>800558.08</v>
      </c>
      <c r="I1195" s="46">
        <f>IFERROR(__xludf.DUMMYFUNCTION("""COMPUTED_VALUE"""),499941.11999999994)</f>
        <v>499941.12</v>
      </c>
      <c r="J1195" s="46">
        <f>IFERROR(__xludf.DUMMYFUNCTION("""COMPUTED_VALUE"""),300616.96)</f>
        <v>300616.96</v>
      </c>
      <c r="K1195" s="46" t="str">
        <f t="array" ref="K1195">TEXT(D1195, "mmmm")</f>
        <v>September</v>
      </c>
    </row>
    <row r="1196">
      <c r="A1196" s="46" t="str">
        <f>IFERROR(__xludf.DUMMYFUNCTION("""COMPUTED_VALUE"""),"Baby Food")</f>
        <v>Baby Food</v>
      </c>
      <c r="B1196" s="46" t="str">
        <f>IFERROR(__xludf.DUMMYFUNCTION("""COMPUTED_VALUE"""),"Russia")</f>
        <v>Russia</v>
      </c>
      <c r="C1196" s="46" t="str">
        <f>IFERROR(__xludf.DUMMYFUNCTION("""COMPUTED_VALUE"""),"Europe")</f>
        <v>Europe</v>
      </c>
      <c r="D1196" s="90">
        <f>IFERROR(__xludf.DUMMYFUNCTION("""COMPUTED_VALUE"""),40422.0)</f>
        <v>40422</v>
      </c>
      <c r="E1196" s="46">
        <f>IFERROR(__xludf.DUMMYFUNCTION("""COMPUTED_VALUE"""),2010.0)</f>
        <v>2010</v>
      </c>
      <c r="F1196" s="46">
        <f>IFERROR(__xludf.DUMMYFUNCTION("""COMPUTED_VALUE"""),1.0)</f>
        <v>1</v>
      </c>
      <c r="G1196" s="46">
        <f>IFERROR(__xludf.DUMMYFUNCTION("""COMPUTED_VALUE"""),574.0)</f>
        <v>574</v>
      </c>
      <c r="H1196" s="46">
        <f>IFERROR(__xludf.DUMMYFUNCTION("""COMPUTED_VALUE"""),146530.72)</f>
        <v>146530.72</v>
      </c>
      <c r="I1196" s="46">
        <f>IFERROR(__xludf.DUMMYFUNCTION("""COMPUTED_VALUE"""),91507.07999999999)</f>
        <v>91507.08</v>
      </c>
      <c r="J1196" s="46">
        <f>IFERROR(__xludf.DUMMYFUNCTION("""COMPUTED_VALUE"""),55023.640000000014)</f>
        <v>55023.64</v>
      </c>
      <c r="K1196" s="46" t="str">
        <f t="array" ref="K1196">TEXT(D1196, "mmmm")</f>
        <v>September</v>
      </c>
    </row>
    <row r="1197">
      <c r="A1197" s="46" t="str">
        <f>IFERROR(__xludf.DUMMYFUNCTION("""COMPUTED_VALUE"""),"Baby Food")</f>
        <v>Baby Food</v>
      </c>
      <c r="B1197" s="46" t="str">
        <f>IFERROR(__xludf.DUMMYFUNCTION("""COMPUTED_VALUE"""),"Switzerland")</f>
        <v>Switzerland</v>
      </c>
      <c r="C1197" s="46" t="str">
        <f>IFERROR(__xludf.DUMMYFUNCTION("""COMPUTED_VALUE"""),"Europe")</f>
        <v>Europe</v>
      </c>
      <c r="D1197" s="90">
        <f>IFERROR(__xludf.DUMMYFUNCTION("""COMPUTED_VALUE"""),40422.0)</f>
        <v>40422</v>
      </c>
      <c r="E1197" s="46">
        <f>IFERROR(__xludf.DUMMYFUNCTION("""COMPUTED_VALUE"""),2010.0)</f>
        <v>2010</v>
      </c>
      <c r="F1197" s="46">
        <f>IFERROR(__xludf.DUMMYFUNCTION("""COMPUTED_VALUE"""),1.0)</f>
        <v>1</v>
      </c>
      <c r="G1197" s="46">
        <f>IFERROR(__xludf.DUMMYFUNCTION("""COMPUTED_VALUE"""),7918.0)</f>
        <v>7918</v>
      </c>
      <c r="H1197" s="46">
        <f>IFERROR(__xludf.DUMMYFUNCTION("""COMPUTED_VALUE"""),2021307.04)</f>
        <v>2021307.04</v>
      </c>
      <c r="I1197" s="46">
        <f>IFERROR(__xludf.DUMMYFUNCTION("""COMPUTED_VALUE"""),1262287.5599999998)</f>
        <v>1262287.56</v>
      </c>
      <c r="J1197" s="46">
        <f>IFERROR(__xludf.DUMMYFUNCTION("""COMPUTED_VALUE"""),759019.4800000002)</f>
        <v>759019.48</v>
      </c>
      <c r="K1197" s="46" t="str">
        <f t="array" ref="K1197">TEXT(D1197, "mmmm")</f>
        <v>September</v>
      </c>
    </row>
    <row r="1198">
      <c r="A1198" s="46" t="str">
        <f>IFERROR(__xludf.DUMMYFUNCTION("""COMPUTED_VALUE"""),"Beverages")</f>
        <v>Beverages</v>
      </c>
      <c r="B1198" s="46" t="str">
        <f>IFERROR(__xludf.DUMMYFUNCTION("""COMPUTED_VALUE"""),"Denmark")</f>
        <v>Denmark</v>
      </c>
      <c r="C1198" s="46" t="str">
        <f>IFERROR(__xludf.DUMMYFUNCTION("""COMPUTED_VALUE"""),"Europe")</f>
        <v>Europe</v>
      </c>
      <c r="D1198" s="90">
        <f>IFERROR(__xludf.DUMMYFUNCTION("""COMPUTED_VALUE"""),40422.0)</f>
        <v>40422</v>
      </c>
      <c r="E1198" s="46">
        <f>IFERROR(__xludf.DUMMYFUNCTION("""COMPUTED_VALUE"""),2010.0)</f>
        <v>2010</v>
      </c>
      <c r="F1198" s="46">
        <f>IFERROR(__xludf.DUMMYFUNCTION("""COMPUTED_VALUE"""),1.0)</f>
        <v>1</v>
      </c>
      <c r="G1198" s="46">
        <f>IFERROR(__xludf.DUMMYFUNCTION("""COMPUTED_VALUE"""),1126.0)</f>
        <v>1126</v>
      </c>
      <c r="H1198" s="46">
        <f>IFERROR(__xludf.DUMMYFUNCTION("""COMPUTED_VALUE"""),53428.700000000004)</f>
        <v>53428.7</v>
      </c>
      <c r="I1198" s="46">
        <f>IFERROR(__xludf.DUMMYFUNCTION("""COMPUTED_VALUE"""),35795.54)</f>
        <v>35795.54</v>
      </c>
      <c r="J1198" s="46">
        <f>IFERROR(__xludf.DUMMYFUNCTION("""COMPUTED_VALUE"""),17633.160000000003)</f>
        <v>17633.16</v>
      </c>
      <c r="K1198" s="46" t="str">
        <f t="array" ref="K1198">TEXT(D1198, "mmmm")</f>
        <v>September</v>
      </c>
    </row>
    <row r="1199">
      <c r="A1199" s="46" t="str">
        <f>IFERROR(__xludf.DUMMYFUNCTION("""COMPUTED_VALUE"""),"Beverages")</f>
        <v>Beverages</v>
      </c>
      <c r="B1199" s="46" t="str">
        <f>IFERROR(__xludf.DUMMYFUNCTION("""COMPUTED_VALUE"""),"Undefined")</f>
        <v>Undefined</v>
      </c>
      <c r="C1199" s="46" t="str">
        <f>IFERROR(__xludf.DUMMYFUNCTION("""COMPUTED_VALUE"""),"Undefined")</f>
        <v>Undefined</v>
      </c>
      <c r="D1199" s="90">
        <f>IFERROR(__xludf.DUMMYFUNCTION("""COMPUTED_VALUE"""),40422.0)</f>
        <v>40422</v>
      </c>
      <c r="E1199" s="46">
        <f>IFERROR(__xludf.DUMMYFUNCTION("""COMPUTED_VALUE"""),2010.0)</f>
        <v>2010</v>
      </c>
      <c r="F1199" s="46">
        <f>IFERROR(__xludf.DUMMYFUNCTION("""COMPUTED_VALUE"""),1.0)</f>
        <v>1</v>
      </c>
      <c r="G1199" s="46">
        <f>IFERROR(__xludf.DUMMYFUNCTION("""COMPUTED_VALUE"""),7296.0)</f>
        <v>7296</v>
      </c>
      <c r="H1199" s="46">
        <f>IFERROR(__xludf.DUMMYFUNCTION("""COMPUTED_VALUE"""),346195.2)</f>
        <v>346195.2</v>
      </c>
      <c r="I1199" s="46">
        <f>IFERROR(__xludf.DUMMYFUNCTION("""COMPUTED_VALUE"""),231939.84)</f>
        <v>231939.84</v>
      </c>
      <c r="J1199" s="46">
        <f>IFERROR(__xludf.DUMMYFUNCTION("""COMPUTED_VALUE"""),114255.36000000002)</f>
        <v>114255.36</v>
      </c>
      <c r="K1199" s="46" t="str">
        <f t="array" ref="K1199">TEXT(D1199, "mmmm")</f>
        <v>September</v>
      </c>
    </row>
    <row r="1200">
      <c r="A1200" s="46" t="str">
        <f>IFERROR(__xludf.DUMMYFUNCTION("""COMPUTED_VALUE"""),"Cereal")</f>
        <v>Cereal</v>
      </c>
      <c r="B1200" s="46" t="str">
        <f>IFERROR(__xludf.DUMMYFUNCTION("""COMPUTED_VALUE"""),"Macedonia")</f>
        <v>Macedonia</v>
      </c>
      <c r="C1200" s="46" t="str">
        <f>IFERROR(__xludf.DUMMYFUNCTION("""COMPUTED_VALUE"""),"Europe")</f>
        <v>Europe</v>
      </c>
      <c r="D1200" s="90">
        <f>IFERROR(__xludf.DUMMYFUNCTION("""COMPUTED_VALUE"""),40422.0)</f>
        <v>40422</v>
      </c>
      <c r="E1200" s="46">
        <f>IFERROR(__xludf.DUMMYFUNCTION("""COMPUTED_VALUE"""),2010.0)</f>
        <v>2010</v>
      </c>
      <c r="F1200" s="46">
        <f>IFERROR(__xludf.DUMMYFUNCTION("""COMPUTED_VALUE"""),1.0)</f>
        <v>1</v>
      </c>
      <c r="G1200" s="46">
        <f>IFERROR(__xludf.DUMMYFUNCTION("""COMPUTED_VALUE"""),6850.0)</f>
        <v>6850</v>
      </c>
      <c r="H1200" s="46">
        <f>IFERROR(__xludf.DUMMYFUNCTION("""COMPUTED_VALUE"""),1409045.0)</f>
        <v>1409045</v>
      </c>
      <c r="I1200" s="46">
        <f>IFERROR(__xludf.DUMMYFUNCTION("""COMPUTED_VALUE"""),802203.5)</f>
        <v>802203.5</v>
      </c>
      <c r="J1200" s="46">
        <f>IFERROR(__xludf.DUMMYFUNCTION("""COMPUTED_VALUE"""),606841.5)</f>
        <v>606841.5</v>
      </c>
      <c r="K1200" s="46" t="str">
        <f t="array" ref="K1200">TEXT(D1200, "mmmm")</f>
        <v>September</v>
      </c>
    </row>
    <row r="1201">
      <c r="A1201" s="46" t="str">
        <f>IFERROR(__xludf.DUMMYFUNCTION("""COMPUTED_VALUE"""),"Clothes")</f>
        <v>Clothes</v>
      </c>
      <c r="B1201" s="46" t="str">
        <f>IFERROR(__xludf.DUMMYFUNCTION("""COMPUTED_VALUE"""),"United Kingdom")</f>
        <v>United Kingdom</v>
      </c>
      <c r="C1201" s="46" t="str">
        <f>IFERROR(__xludf.DUMMYFUNCTION("""COMPUTED_VALUE"""),"Europe")</f>
        <v>Europe</v>
      </c>
      <c r="D1201" s="90">
        <f>IFERROR(__xludf.DUMMYFUNCTION("""COMPUTED_VALUE"""),40422.0)</f>
        <v>40422</v>
      </c>
      <c r="E1201" s="46">
        <f>IFERROR(__xludf.DUMMYFUNCTION("""COMPUTED_VALUE"""),2010.0)</f>
        <v>2010</v>
      </c>
      <c r="F1201" s="46">
        <f>IFERROR(__xludf.DUMMYFUNCTION("""COMPUTED_VALUE"""),1.0)</f>
        <v>1</v>
      </c>
      <c r="G1201" s="46">
        <f>IFERROR(__xludf.DUMMYFUNCTION("""COMPUTED_VALUE"""),8942.0)</f>
        <v>8942</v>
      </c>
      <c r="H1201" s="46">
        <f>IFERROR(__xludf.DUMMYFUNCTION("""COMPUTED_VALUE"""),977181.76)</f>
        <v>977181.76</v>
      </c>
      <c r="I1201" s="46">
        <f>IFERROR(__xludf.DUMMYFUNCTION("""COMPUTED_VALUE"""),320481.28)</f>
        <v>320481.28</v>
      </c>
      <c r="J1201" s="46">
        <f>IFERROR(__xludf.DUMMYFUNCTION("""COMPUTED_VALUE"""),656700.48)</f>
        <v>656700.48</v>
      </c>
      <c r="K1201" s="46" t="str">
        <f t="array" ref="K1201">TEXT(D1201, "mmmm")</f>
        <v>September</v>
      </c>
    </row>
    <row r="1202">
      <c r="A1202" s="46" t="str">
        <f>IFERROR(__xludf.DUMMYFUNCTION("""COMPUTED_VALUE"""),"Cosmetics")</f>
        <v>Cosmetics</v>
      </c>
      <c r="B1202" s="46" t="str">
        <f>IFERROR(__xludf.DUMMYFUNCTION("""COMPUTED_VALUE"""),"Monaco")</f>
        <v>Monaco</v>
      </c>
      <c r="C1202" s="46" t="str">
        <f>IFERROR(__xludf.DUMMYFUNCTION("""COMPUTED_VALUE"""),"Europe")</f>
        <v>Europe</v>
      </c>
      <c r="D1202" s="90">
        <f>IFERROR(__xludf.DUMMYFUNCTION("""COMPUTED_VALUE"""),40422.0)</f>
        <v>40422</v>
      </c>
      <c r="E1202" s="46">
        <f>IFERROR(__xludf.DUMMYFUNCTION("""COMPUTED_VALUE"""),2010.0)</f>
        <v>2010</v>
      </c>
      <c r="F1202" s="46">
        <f>IFERROR(__xludf.DUMMYFUNCTION("""COMPUTED_VALUE"""),1.0)</f>
        <v>1</v>
      </c>
      <c r="G1202" s="46">
        <f>IFERROR(__xludf.DUMMYFUNCTION("""COMPUTED_VALUE"""),3206.0)</f>
        <v>3206</v>
      </c>
      <c r="H1202" s="46">
        <f>IFERROR(__xludf.DUMMYFUNCTION("""COMPUTED_VALUE"""),1401663.2)</f>
        <v>1401663.2</v>
      </c>
      <c r="I1202" s="46">
        <f>IFERROR(__xludf.DUMMYFUNCTION("""COMPUTED_VALUE"""),844235.98)</f>
        <v>844235.98</v>
      </c>
      <c r="J1202" s="46">
        <f>IFERROR(__xludf.DUMMYFUNCTION("""COMPUTED_VALUE"""),557427.22)</f>
        <v>557427.22</v>
      </c>
      <c r="K1202" s="46" t="str">
        <f t="array" ref="K1202">TEXT(D1202, "mmmm")</f>
        <v>September</v>
      </c>
    </row>
    <row r="1203">
      <c r="A1203" s="46" t="str">
        <f>IFERROR(__xludf.DUMMYFUNCTION("""COMPUTED_VALUE"""),"Cosmetics")</f>
        <v>Cosmetics</v>
      </c>
      <c r="B1203" s="46" t="str">
        <f>IFERROR(__xludf.DUMMYFUNCTION("""COMPUTED_VALUE"""),"Undefined")</f>
        <v>Undefined</v>
      </c>
      <c r="C1203" s="46" t="str">
        <f>IFERROR(__xludf.DUMMYFUNCTION("""COMPUTED_VALUE"""),"Undefined")</f>
        <v>Undefined</v>
      </c>
      <c r="D1203" s="90">
        <f>IFERROR(__xludf.DUMMYFUNCTION("""COMPUTED_VALUE"""),40422.0)</f>
        <v>40422</v>
      </c>
      <c r="E1203" s="46">
        <f>IFERROR(__xludf.DUMMYFUNCTION("""COMPUTED_VALUE"""),2010.0)</f>
        <v>2010</v>
      </c>
      <c r="F1203" s="46">
        <f>IFERROR(__xludf.DUMMYFUNCTION("""COMPUTED_VALUE"""),1.0)</f>
        <v>1</v>
      </c>
      <c r="G1203" s="46">
        <f>IFERROR(__xludf.DUMMYFUNCTION("""COMPUTED_VALUE"""),1557.0)</f>
        <v>1557</v>
      </c>
      <c r="H1203" s="46">
        <f>IFERROR(__xludf.DUMMYFUNCTION("""COMPUTED_VALUE"""),680720.4)</f>
        <v>680720.4</v>
      </c>
      <c r="I1203" s="46">
        <f>IFERROR(__xludf.DUMMYFUNCTION("""COMPUTED_VALUE"""),410004.81)</f>
        <v>410004.81</v>
      </c>
      <c r="J1203" s="46">
        <f>IFERROR(__xludf.DUMMYFUNCTION("""COMPUTED_VALUE"""),270715.59)</f>
        <v>270715.59</v>
      </c>
      <c r="K1203" s="46" t="str">
        <f t="array" ref="K1203">TEXT(D1203, "mmmm")</f>
        <v>September</v>
      </c>
    </row>
    <row r="1204">
      <c r="A1204" s="46" t="str">
        <f>IFERROR(__xludf.DUMMYFUNCTION("""COMPUTED_VALUE"""),"Fruits")</f>
        <v>Fruits</v>
      </c>
      <c r="B1204" s="46" t="str">
        <f>IFERROR(__xludf.DUMMYFUNCTION("""COMPUTED_VALUE"""),"Finland")</f>
        <v>Finland</v>
      </c>
      <c r="C1204" s="46" t="str">
        <f>IFERROR(__xludf.DUMMYFUNCTION("""COMPUTED_VALUE"""),"Europe")</f>
        <v>Europe</v>
      </c>
      <c r="D1204" s="90">
        <f>IFERROR(__xludf.DUMMYFUNCTION("""COMPUTED_VALUE"""),40422.0)</f>
        <v>40422</v>
      </c>
      <c r="E1204" s="46">
        <f>IFERROR(__xludf.DUMMYFUNCTION("""COMPUTED_VALUE"""),2010.0)</f>
        <v>2010</v>
      </c>
      <c r="F1204" s="46">
        <f>IFERROR(__xludf.DUMMYFUNCTION("""COMPUTED_VALUE"""),1.0)</f>
        <v>1</v>
      </c>
      <c r="G1204" s="46">
        <f>IFERROR(__xludf.DUMMYFUNCTION("""COMPUTED_VALUE"""),4080.0)</f>
        <v>4080</v>
      </c>
      <c r="H1204" s="46">
        <f>IFERROR(__xludf.DUMMYFUNCTION("""COMPUTED_VALUE"""),38066.4)</f>
        <v>38066.4</v>
      </c>
      <c r="I1204" s="46">
        <f>IFERROR(__xludf.DUMMYFUNCTION("""COMPUTED_VALUE"""),28233.6)</f>
        <v>28233.6</v>
      </c>
      <c r="J1204" s="46">
        <f>IFERROR(__xludf.DUMMYFUNCTION("""COMPUTED_VALUE"""),9832.800000000003)</f>
        <v>9832.8</v>
      </c>
      <c r="K1204" s="46" t="str">
        <f t="array" ref="K1204">TEXT(D1204, "mmmm")</f>
        <v>September</v>
      </c>
    </row>
    <row r="1205">
      <c r="A1205" s="46" t="str">
        <f>IFERROR(__xludf.DUMMYFUNCTION("""COMPUTED_VALUE"""),"Household")</f>
        <v>Household</v>
      </c>
      <c r="B1205" s="46" t="str">
        <f>IFERROR(__xludf.DUMMYFUNCTION("""COMPUTED_VALUE"""),"Andorra")</f>
        <v>Andorra</v>
      </c>
      <c r="C1205" s="46" t="str">
        <f>IFERROR(__xludf.DUMMYFUNCTION("""COMPUTED_VALUE"""),"Europe")</f>
        <v>Europe</v>
      </c>
      <c r="D1205" s="90">
        <f>IFERROR(__xludf.DUMMYFUNCTION("""COMPUTED_VALUE"""),40422.0)</f>
        <v>40422</v>
      </c>
      <c r="E1205" s="46">
        <f>IFERROR(__xludf.DUMMYFUNCTION("""COMPUTED_VALUE"""),2010.0)</f>
        <v>2010</v>
      </c>
      <c r="F1205" s="46">
        <f>IFERROR(__xludf.DUMMYFUNCTION("""COMPUTED_VALUE"""),1.0)</f>
        <v>1</v>
      </c>
      <c r="G1205" s="46">
        <f>IFERROR(__xludf.DUMMYFUNCTION("""COMPUTED_VALUE"""),8439.0)</f>
        <v>8439</v>
      </c>
      <c r="H1205" s="46">
        <f>IFERROR(__xludf.DUMMYFUNCTION("""COMPUTED_VALUE"""),5639530.53)</f>
        <v>5639530.53</v>
      </c>
      <c r="I1205" s="46">
        <f>IFERROR(__xludf.DUMMYFUNCTION("""COMPUTED_VALUE"""),4240935.0600000005)</f>
        <v>4240935.06</v>
      </c>
      <c r="J1205" s="46">
        <f>IFERROR(__xludf.DUMMYFUNCTION("""COMPUTED_VALUE"""),1398595.4699999997)</f>
        <v>1398595.47</v>
      </c>
      <c r="K1205" s="46" t="str">
        <f t="array" ref="K1205">TEXT(D1205, "mmmm")</f>
        <v>September</v>
      </c>
    </row>
    <row r="1206">
      <c r="A1206" s="46" t="str">
        <f>IFERROR(__xludf.DUMMYFUNCTION("""COMPUTED_VALUE"""),"Household")</f>
        <v>Household</v>
      </c>
      <c r="B1206" s="46" t="str">
        <f>IFERROR(__xludf.DUMMYFUNCTION("""COMPUTED_VALUE"""),"Malta")</f>
        <v>Malta</v>
      </c>
      <c r="C1206" s="46" t="str">
        <f>IFERROR(__xludf.DUMMYFUNCTION("""COMPUTED_VALUE"""),"Europe")</f>
        <v>Europe</v>
      </c>
      <c r="D1206" s="90">
        <f>IFERROR(__xludf.DUMMYFUNCTION("""COMPUTED_VALUE"""),40422.0)</f>
        <v>40422</v>
      </c>
      <c r="E1206" s="46">
        <f>IFERROR(__xludf.DUMMYFUNCTION("""COMPUTED_VALUE"""),2010.0)</f>
        <v>2010</v>
      </c>
      <c r="F1206" s="46">
        <f>IFERROR(__xludf.DUMMYFUNCTION("""COMPUTED_VALUE"""),1.0)</f>
        <v>1</v>
      </c>
      <c r="G1206" s="46">
        <f>IFERROR(__xludf.DUMMYFUNCTION("""COMPUTED_VALUE"""),3062.0)</f>
        <v>3062</v>
      </c>
      <c r="H1206" s="46">
        <f>IFERROR(__xludf.DUMMYFUNCTION("""COMPUTED_VALUE"""),2046242.74)</f>
        <v>2046242.74</v>
      </c>
      <c r="I1206" s="46">
        <f>IFERROR(__xludf.DUMMYFUNCTION("""COMPUTED_VALUE"""),1538777.48)</f>
        <v>1538777.48</v>
      </c>
      <c r="J1206" s="46">
        <f>IFERROR(__xludf.DUMMYFUNCTION("""COMPUTED_VALUE"""),507465.26)</f>
        <v>507465.26</v>
      </c>
      <c r="K1206" s="46" t="str">
        <f t="array" ref="K1206">TEXT(D1206, "mmmm")</f>
        <v>September</v>
      </c>
    </row>
    <row r="1207">
      <c r="A1207" s="46" t="str">
        <f>IFERROR(__xludf.DUMMYFUNCTION("""COMPUTED_VALUE"""),"Personal Care")</f>
        <v>Personal Care</v>
      </c>
      <c r="B1207" s="46" t="str">
        <f>IFERROR(__xludf.DUMMYFUNCTION("""COMPUTED_VALUE"""),"Iceland")</f>
        <v>Iceland</v>
      </c>
      <c r="C1207" s="46" t="str">
        <f>IFERROR(__xludf.DUMMYFUNCTION("""COMPUTED_VALUE"""),"Europe")</f>
        <v>Europe</v>
      </c>
      <c r="D1207" s="90">
        <f>IFERROR(__xludf.DUMMYFUNCTION("""COMPUTED_VALUE"""),40422.0)</f>
        <v>40422</v>
      </c>
      <c r="E1207" s="46">
        <f>IFERROR(__xludf.DUMMYFUNCTION("""COMPUTED_VALUE"""),2010.0)</f>
        <v>2010</v>
      </c>
      <c r="F1207" s="46">
        <f>IFERROR(__xludf.DUMMYFUNCTION("""COMPUTED_VALUE"""),1.0)</f>
        <v>1</v>
      </c>
      <c r="G1207" s="46">
        <f>IFERROR(__xludf.DUMMYFUNCTION("""COMPUTED_VALUE"""),2715.0)</f>
        <v>2715</v>
      </c>
      <c r="H1207" s="46">
        <f>IFERROR(__xludf.DUMMYFUNCTION("""COMPUTED_VALUE"""),221896.95)</f>
        <v>221896.95</v>
      </c>
      <c r="I1207" s="46">
        <f>IFERROR(__xludf.DUMMYFUNCTION("""COMPUTED_VALUE"""),153859.05000000002)</f>
        <v>153859.05</v>
      </c>
      <c r="J1207" s="46">
        <f>IFERROR(__xludf.DUMMYFUNCTION("""COMPUTED_VALUE"""),68037.9)</f>
        <v>68037.9</v>
      </c>
      <c r="K1207" s="46" t="str">
        <f t="array" ref="K1207">TEXT(D1207, "mmmm")</f>
        <v>September</v>
      </c>
    </row>
    <row r="1208">
      <c r="A1208" s="46" t="str">
        <f>IFERROR(__xludf.DUMMYFUNCTION("""COMPUTED_VALUE"""),"Personal Care")</f>
        <v>Personal Care</v>
      </c>
      <c r="B1208" s="46" t="str">
        <f>IFERROR(__xludf.DUMMYFUNCTION("""COMPUTED_VALUE"""),"San Marino")</f>
        <v>San Marino</v>
      </c>
      <c r="C1208" s="46" t="str">
        <f>IFERROR(__xludf.DUMMYFUNCTION("""COMPUTED_VALUE"""),"Europe")</f>
        <v>Europe</v>
      </c>
      <c r="D1208" s="90">
        <f>IFERROR(__xludf.DUMMYFUNCTION("""COMPUTED_VALUE"""),40422.0)</f>
        <v>40422</v>
      </c>
      <c r="E1208" s="46">
        <f>IFERROR(__xludf.DUMMYFUNCTION("""COMPUTED_VALUE"""),2010.0)</f>
        <v>2010</v>
      </c>
      <c r="F1208" s="46">
        <f>IFERROR(__xludf.DUMMYFUNCTION("""COMPUTED_VALUE"""),1.0)</f>
        <v>1</v>
      </c>
      <c r="G1208" s="46">
        <f>IFERROR(__xludf.DUMMYFUNCTION("""COMPUTED_VALUE"""),2902.0)</f>
        <v>2902</v>
      </c>
      <c r="H1208" s="46">
        <f>IFERROR(__xludf.DUMMYFUNCTION("""COMPUTED_VALUE"""),237180.46000000002)</f>
        <v>237180.46</v>
      </c>
      <c r="I1208" s="46">
        <f>IFERROR(__xludf.DUMMYFUNCTION("""COMPUTED_VALUE"""),164456.34)</f>
        <v>164456.34</v>
      </c>
      <c r="J1208" s="46">
        <f>IFERROR(__xludf.DUMMYFUNCTION("""COMPUTED_VALUE"""),72724.12000000002)</f>
        <v>72724.12</v>
      </c>
      <c r="K1208" s="46" t="str">
        <f t="array" ref="K1208">TEXT(D1208, "mmmm")</f>
        <v>September</v>
      </c>
    </row>
    <row r="1209">
      <c r="A1209" s="46" t="str">
        <f>IFERROR(__xludf.DUMMYFUNCTION("""COMPUTED_VALUE"""),"Snacks")</f>
        <v>Snacks</v>
      </c>
      <c r="B1209" s="46" t="str">
        <f>IFERROR(__xludf.DUMMYFUNCTION("""COMPUTED_VALUE"""),"Luxembourg")</f>
        <v>Luxembourg</v>
      </c>
      <c r="C1209" s="46" t="str">
        <f>IFERROR(__xludf.DUMMYFUNCTION("""COMPUTED_VALUE"""),"Europe")</f>
        <v>Europe</v>
      </c>
      <c r="D1209" s="90">
        <f>IFERROR(__xludf.DUMMYFUNCTION("""COMPUTED_VALUE"""),40422.0)</f>
        <v>40422</v>
      </c>
      <c r="E1209" s="46">
        <f>IFERROR(__xludf.DUMMYFUNCTION("""COMPUTED_VALUE"""),2010.0)</f>
        <v>2010</v>
      </c>
      <c r="F1209" s="46">
        <f>IFERROR(__xludf.DUMMYFUNCTION("""COMPUTED_VALUE"""),1.0)</f>
        <v>1</v>
      </c>
      <c r="G1209" s="46">
        <f>IFERROR(__xludf.DUMMYFUNCTION("""COMPUTED_VALUE"""),2326.0)</f>
        <v>2326</v>
      </c>
      <c r="H1209" s="46">
        <f>IFERROR(__xludf.DUMMYFUNCTION("""COMPUTED_VALUE"""),354901.08)</f>
        <v>354901.08</v>
      </c>
      <c r="I1209" s="46">
        <f>IFERROR(__xludf.DUMMYFUNCTION("""COMPUTED_VALUE"""),226645.44)</f>
        <v>226645.44</v>
      </c>
      <c r="J1209" s="46">
        <f>IFERROR(__xludf.DUMMYFUNCTION("""COMPUTED_VALUE"""),128255.64000000001)</f>
        <v>128255.64</v>
      </c>
      <c r="K1209" s="46" t="str">
        <f t="array" ref="K1209">TEXT(D1209, "mmmm")</f>
        <v>September</v>
      </c>
    </row>
    <row r="1210">
      <c r="A1210" s="46" t="str">
        <f>IFERROR(__xludf.DUMMYFUNCTION("""COMPUTED_VALUE"""),"Vegetables")</f>
        <v>Vegetables</v>
      </c>
      <c r="B1210" s="46" t="str">
        <f>IFERROR(__xludf.DUMMYFUNCTION("""COMPUTED_VALUE"""),"Sweden")</f>
        <v>Sweden</v>
      </c>
      <c r="C1210" s="46" t="str">
        <f>IFERROR(__xludf.DUMMYFUNCTION("""COMPUTED_VALUE"""),"Europe")</f>
        <v>Europe</v>
      </c>
      <c r="D1210" s="90">
        <f>IFERROR(__xludf.DUMMYFUNCTION("""COMPUTED_VALUE"""),40422.0)</f>
        <v>40422</v>
      </c>
      <c r="E1210" s="46">
        <f>IFERROR(__xludf.DUMMYFUNCTION("""COMPUTED_VALUE"""),2010.0)</f>
        <v>2010</v>
      </c>
      <c r="F1210" s="46">
        <f>IFERROR(__xludf.DUMMYFUNCTION("""COMPUTED_VALUE"""),1.0)</f>
        <v>1</v>
      </c>
      <c r="G1210" s="46">
        <f>IFERROR(__xludf.DUMMYFUNCTION("""COMPUTED_VALUE"""),1151.0)</f>
        <v>1151</v>
      </c>
      <c r="H1210" s="46">
        <f>IFERROR(__xludf.DUMMYFUNCTION("""COMPUTED_VALUE"""),177323.06)</f>
        <v>177323.06</v>
      </c>
      <c r="I1210" s="46">
        <f>IFERROR(__xludf.DUMMYFUNCTION("""COMPUTED_VALUE"""),104660.43000000001)</f>
        <v>104660.43</v>
      </c>
      <c r="J1210" s="46">
        <f>IFERROR(__xludf.DUMMYFUNCTION("""COMPUTED_VALUE"""),72662.62999999999)</f>
        <v>72662.63</v>
      </c>
      <c r="K1210" s="46" t="str">
        <f t="array" ref="K1210">TEXT(D1210, "mmmm")</f>
        <v>September</v>
      </c>
    </row>
    <row r="1211">
      <c r="A1211" s="46" t="str">
        <f>IFERROR(__xludf.DUMMYFUNCTION("""COMPUTED_VALUE"""),"Vegetables")</f>
        <v>Vegetables</v>
      </c>
      <c r="B1211" s="46" t="str">
        <f>IFERROR(__xludf.DUMMYFUNCTION("""COMPUTED_VALUE"""),"United Kingdom")</f>
        <v>United Kingdom</v>
      </c>
      <c r="C1211" s="46" t="str">
        <f>IFERROR(__xludf.DUMMYFUNCTION("""COMPUTED_VALUE"""),"Europe")</f>
        <v>Europe</v>
      </c>
      <c r="D1211" s="90">
        <f>IFERROR(__xludf.DUMMYFUNCTION("""COMPUTED_VALUE"""),40422.0)</f>
        <v>40422</v>
      </c>
      <c r="E1211" s="46">
        <f>IFERROR(__xludf.DUMMYFUNCTION("""COMPUTED_VALUE"""),2010.0)</f>
        <v>2010</v>
      </c>
      <c r="F1211" s="46">
        <f>IFERROR(__xludf.DUMMYFUNCTION("""COMPUTED_VALUE"""),1.0)</f>
        <v>1</v>
      </c>
      <c r="G1211" s="46">
        <f>IFERROR(__xludf.DUMMYFUNCTION("""COMPUTED_VALUE"""),4757.0)</f>
        <v>4757</v>
      </c>
      <c r="H1211" s="46">
        <f>IFERROR(__xludf.DUMMYFUNCTION("""COMPUTED_VALUE"""),732863.42)</f>
        <v>732863.42</v>
      </c>
      <c r="I1211" s="46">
        <f>IFERROR(__xludf.DUMMYFUNCTION("""COMPUTED_VALUE"""),432554.01)</f>
        <v>432554.01</v>
      </c>
      <c r="J1211" s="46">
        <f>IFERROR(__xludf.DUMMYFUNCTION("""COMPUTED_VALUE"""),300309.41000000003)</f>
        <v>300309.41</v>
      </c>
      <c r="K1211" s="46" t="str">
        <f t="array" ref="K1211">TEXT(D1211, "mmmm")</f>
        <v>September</v>
      </c>
    </row>
    <row r="1212">
      <c r="A1212" s="46" t="str">
        <f>IFERROR(__xludf.DUMMYFUNCTION("""COMPUTED_VALUE"""),"Beverages")</f>
        <v>Beverages</v>
      </c>
      <c r="B1212" s="46" t="str">
        <f>IFERROR(__xludf.DUMMYFUNCTION("""COMPUTED_VALUE"""),"Andorra")</f>
        <v>Andorra</v>
      </c>
      <c r="C1212" s="46" t="str">
        <f>IFERROR(__xludf.DUMMYFUNCTION("""COMPUTED_VALUE"""),"Europe")</f>
        <v>Europe</v>
      </c>
      <c r="D1212" s="90">
        <f>IFERROR(__xludf.DUMMYFUNCTION("""COMPUTED_VALUE"""),40391.0)</f>
        <v>40391</v>
      </c>
      <c r="E1212" s="46">
        <f>IFERROR(__xludf.DUMMYFUNCTION("""COMPUTED_VALUE"""),2010.0)</f>
        <v>2010</v>
      </c>
      <c r="F1212" s="46">
        <f>IFERROR(__xludf.DUMMYFUNCTION("""COMPUTED_VALUE"""),1.0)</f>
        <v>1</v>
      </c>
      <c r="G1212" s="46">
        <f>IFERROR(__xludf.DUMMYFUNCTION("""COMPUTED_VALUE"""),7955.0)</f>
        <v>7955</v>
      </c>
      <c r="H1212" s="46">
        <f>IFERROR(__xludf.DUMMYFUNCTION("""COMPUTED_VALUE"""),377464.75)</f>
        <v>377464.75</v>
      </c>
      <c r="I1212" s="46">
        <f>IFERROR(__xludf.DUMMYFUNCTION("""COMPUTED_VALUE"""),252889.44999999998)</f>
        <v>252889.45</v>
      </c>
      <c r="J1212" s="46">
        <f>IFERROR(__xludf.DUMMYFUNCTION("""COMPUTED_VALUE"""),124575.30000000002)</f>
        <v>124575.3</v>
      </c>
      <c r="K1212" s="46" t="str">
        <f t="array" ref="K1212">TEXT(D1212, "mmmm")</f>
        <v>August</v>
      </c>
    </row>
    <row r="1213">
      <c r="A1213" s="46" t="str">
        <f>IFERROR(__xludf.DUMMYFUNCTION("""COMPUTED_VALUE"""),"Beverages")</f>
        <v>Beverages</v>
      </c>
      <c r="B1213" s="46" t="str">
        <f>IFERROR(__xludf.DUMMYFUNCTION("""COMPUTED_VALUE"""),"Belarus")</f>
        <v>Belarus</v>
      </c>
      <c r="C1213" s="46" t="str">
        <f>IFERROR(__xludf.DUMMYFUNCTION("""COMPUTED_VALUE"""),"Europe")</f>
        <v>Europe</v>
      </c>
      <c r="D1213" s="90">
        <f>IFERROR(__xludf.DUMMYFUNCTION("""COMPUTED_VALUE"""),40391.0)</f>
        <v>40391</v>
      </c>
      <c r="E1213" s="46">
        <f>IFERROR(__xludf.DUMMYFUNCTION("""COMPUTED_VALUE"""),2010.0)</f>
        <v>2010</v>
      </c>
      <c r="F1213" s="46">
        <f>IFERROR(__xludf.DUMMYFUNCTION("""COMPUTED_VALUE"""),1.0)</f>
        <v>1</v>
      </c>
      <c r="G1213" s="46">
        <f>IFERROR(__xludf.DUMMYFUNCTION("""COMPUTED_VALUE"""),3214.0)</f>
        <v>3214</v>
      </c>
      <c r="H1213" s="46">
        <f>IFERROR(__xludf.DUMMYFUNCTION("""COMPUTED_VALUE"""),152504.30000000002)</f>
        <v>152504.3</v>
      </c>
      <c r="I1213" s="46">
        <f>IFERROR(__xludf.DUMMYFUNCTION("""COMPUTED_VALUE"""),102173.06)</f>
        <v>102173.06</v>
      </c>
      <c r="J1213" s="46">
        <f>IFERROR(__xludf.DUMMYFUNCTION("""COMPUTED_VALUE"""),50331.24000000002)</f>
        <v>50331.24</v>
      </c>
      <c r="K1213" s="46" t="str">
        <f t="array" ref="K1213">TEXT(D1213, "mmmm")</f>
        <v>August</v>
      </c>
    </row>
    <row r="1214">
      <c r="A1214" s="46" t="str">
        <f>IFERROR(__xludf.DUMMYFUNCTION("""COMPUTED_VALUE"""),"Cereal")</f>
        <v>Cereal</v>
      </c>
      <c r="B1214" s="46" t="str">
        <f>IFERROR(__xludf.DUMMYFUNCTION("""COMPUTED_VALUE"""),"France")</f>
        <v>France</v>
      </c>
      <c r="C1214" s="46" t="str">
        <f>IFERROR(__xludf.DUMMYFUNCTION("""COMPUTED_VALUE"""),"Europe")</f>
        <v>Europe</v>
      </c>
      <c r="D1214" s="90">
        <f>IFERROR(__xludf.DUMMYFUNCTION("""COMPUTED_VALUE"""),40391.0)</f>
        <v>40391</v>
      </c>
      <c r="E1214" s="46">
        <f>IFERROR(__xludf.DUMMYFUNCTION("""COMPUTED_VALUE"""),2010.0)</f>
        <v>2010</v>
      </c>
      <c r="F1214" s="46">
        <f>IFERROR(__xludf.DUMMYFUNCTION("""COMPUTED_VALUE"""),1.0)</f>
        <v>1</v>
      </c>
      <c r="G1214" s="46">
        <f>IFERROR(__xludf.DUMMYFUNCTION("""COMPUTED_VALUE"""),1462.0)</f>
        <v>1462</v>
      </c>
      <c r="H1214" s="46">
        <f>IFERROR(__xludf.DUMMYFUNCTION("""COMPUTED_VALUE"""),300733.39999999997)</f>
        <v>300733.4</v>
      </c>
      <c r="I1214" s="46">
        <f>IFERROR(__xludf.DUMMYFUNCTION("""COMPUTED_VALUE"""),171214.82)</f>
        <v>171214.82</v>
      </c>
      <c r="J1214" s="46">
        <f>IFERROR(__xludf.DUMMYFUNCTION("""COMPUTED_VALUE"""),129518.57999999996)</f>
        <v>129518.58</v>
      </c>
      <c r="K1214" s="46" t="str">
        <f t="array" ref="K1214">TEXT(D1214, "mmmm")</f>
        <v>August</v>
      </c>
    </row>
    <row r="1215">
      <c r="A1215" s="46" t="str">
        <f>IFERROR(__xludf.DUMMYFUNCTION("""COMPUTED_VALUE"""),"Clothes")</f>
        <v>Clothes</v>
      </c>
      <c r="B1215" s="46" t="str">
        <f>IFERROR(__xludf.DUMMYFUNCTION("""COMPUTED_VALUE"""),"Spain")</f>
        <v>Spain</v>
      </c>
      <c r="C1215" s="46" t="str">
        <f>IFERROR(__xludf.DUMMYFUNCTION("""COMPUTED_VALUE"""),"Europe")</f>
        <v>Europe</v>
      </c>
      <c r="D1215" s="90">
        <f>IFERROR(__xludf.DUMMYFUNCTION("""COMPUTED_VALUE"""),40391.0)</f>
        <v>40391</v>
      </c>
      <c r="E1215" s="46">
        <f>IFERROR(__xludf.DUMMYFUNCTION("""COMPUTED_VALUE"""),2010.0)</f>
        <v>2010</v>
      </c>
      <c r="F1215" s="46">
        <f>IFERROR(__xludf.DUMMYFUNCTION("""COMPUTED_VALUE"""),1.0)</f>
        <v>1</v>
      </c>
      <c r="G1215" s="46">
        <f>IFERROR(__xludf.DUMMYFUNCTION("""COMPUTED_VALUE"""),7701.0)</f>
        <v>7701</v>
      </c>
      <c r="H1215" s="46">
        <f>IFERROR(__xludf.DUMMYFUNCTION("""COMPUTED_VALUE"""),841565.28)</f>
        <v>841565.28</v>
      </c>
      <c r="I1215" s="46">
        <f>IFERROR(__xludf.DUMMYFUNCTION("""COMPUTED_VALUE"""),276003.84)</f>
        <v>276003.84</v>
      </c>
      <c r="J1215" s="46">
        <f>IFERROR(__xludf.DUMMYFUNCTION("""COMPUTED_VALUE"""),565561.44)</f>
        <v>565561.44</v>
      </c>
      <c r="K1215" s="46" t="str">
        <f t="array" ref="K1215">TEXT(D1215, "mmmm")</f>
        <v>August</v>
      </c>
    </row>
    <row r="1216">
      <c r="A1216" s="46" t="str">
        <f>IFERROR(__xludf.DUMMYFUNCTION("""COMPUTED_VALUE"""),"Cosmetics")</f>
        <v>Cosmetics</v>
      </c>
      <c r="B1216" s="46" t="str">
        <f>IFERROR(__xludf.DUMMYFUNCTION("""COMPUTED_VALUE"""),"Albania")</f>
        <v>Albania</v>
      </c>
      <c r="C1216" s="46" t="str">
        <f>IFERROR(__xludf.DUMMYFUNCTION("""COMPUTED_VALUE"""),"Europe")</f>
        <v>Europe</v>
      </c>
      <c r="D1216" s="90">
        <f>IFERROR(__xludf.DUMMYFUNCTION("""COMPUTED_VALUE"""),40391.0)</f>
        <v>40391</v>
      </c>
      <c r="E1216" s="46">
        <f>IFERROR(__xludf.DUMMYFUNCTION("""COMPUTED_VALUE"""),2010.0)</f>
        <v>2010</v>
      </c>
      <c r="F1216" s="46">
        <f>IFERROR(__xludf.DUMMYFUNCTION("""COMPUTED_VALUE"""),1.0)</f>
        <v>1</v>
      </c>
      <c r="G1216" s="46">
        <f>IFERROR(__xludf.DUMMYFUNCTION("""COMPUTED_VALUE"""),9560.0)</f>
        <v>9560</v>
      </c>
      <c r="H1216" s="46">
        <f>IFERROR(__xludf.DUMMYFUNCTION("""COMPUTED_VALUE"""),4179632.0)</f>
        <v>4179632</v>
      </c>
      <c r="I1216" s="46">
        <f>IFERROR(__xludf.DUMMYFUNCTION("""COMPUTED_VALUE"""),2517434.8)</f>
        <v>2517434.8</v>
      </c>
      <c r="J1216" s="46">
        <f>IFERROR(__xludf.DUMMYFUNCTION("""COMPUTED_VALUE"""),1662197.2000000002)</f>
        <v>1662197.2</v>
      </c>
      <c r="K1216" s="46" t="str">
        <f t="array" ref="K1216">TEXT(D1216, "mmmm")</f>
        <v>August</v>
      </c>
    </row>
    <row r="1217">
      <c r="A1217" s="46" t="str">
        <f>IFERROR(__xludf.DUMMYFUNCTION("""COMPUTED_VALUE"""),"Fruits")</f>
        <v>Fruits</v>
      </c>
      <c r="B1217" s="46" t="str">
        <f>IFERROR(__xludf.DUMMYFUNCTION("""COMPUTED_VALUE"""),"Belarus")</f>
        <v>Belarus</v>
      </c>
      <c r="C1217" s="46" t="str">
        <f>IFERROR(__xludf.DUMMYFUNCTION("""COMPUTED_VALUE"""),"Europe")</f>
        <v>Europe</v>
      </c>
      <c r="D1217" s="90">
        <f>IFERROR(__xludf.DUMMYFUNCTION("""COMPUTED_VALUE"""),40391.0)</f>
        <v>40391</v>
      </c>
      <c r="E1217" s="46">
        <f>IFERROR(__xludf.DUMMYFUNCTION("""COMPUTED_VALUE"""),2010.0)</f>
        <v>2010</v>
      </c>
      <c r="F1217" s="46">
        <f>IFERROR(__xludf.DUMMYFUNCTION("""COMPUTED_VALUE"""),1.0)</f>
        <v>1</v>
      </c>
      <c r="G1217" s="46">
        <f>IFERROR(__xludf.DUMMYFUNCTION("""COMPUTED_VALUE"""),1886.0)</f>
        <v>1886</v>
      </c>
      <c r="H1217" s="46">
        <f>IFERROR(__xludf.DUMMYFUNCTION("""COMPUTED_VALUE"""),17596.38)</f>
        <v>17596.38</v>
      </c>
      <c r="I1217" s="46">
        <f>IFERROR(__xludf.DUMMYFUNCTION("""COMPUTED_VALUE"""),13051.119999999999)</f>
        <v>13051.12</v>
      </c>
      <c r="J1217" s="46">
        <f>IFERROR(__xludf.DUMMYFUNCTION("""COMPUTED_VALUE"""),4545.260000000002)</f>
        <v>4545.26</v>
      </c>
      <c r="K1217" s="46" t="str">
        <f t="array" ref="K1217">TEXT(D1217, "mmmm")</f>
        <v>August</v>
      </c>
    </row>
    <row r="1218">
      <c r="A1218" s="46" t="str">
        <f>IFERROR(__xludf.DUMMYFUNCTION("""COMPUTED_VALUE"""),"Fruits")</f>
        <v>Fruits</v>
      </c>
      <c r="B1218" s="46" t="str">
        <f>IFERROR(__xludf.DUMMYFUNCTION("""COMPUTED_VALUE"""),"Bulgaria")</f>
        <v>Bulgaria</v>
      </c>
      <c r="C1218" s="46" t="str">
        <f>IFERROR(__xludf.DUMMYFUNCTION("""COMPUTED_VALUE"""),"Europe")</f>
        <v>Europe</v>
      </c>
      <c r="D1218" s="90">
        <f>IFERROR(__xludf.DUMMYFUNCTION("""COMPUTED_VALUE"""),40391.0)</f>
        <v>40391</v>
      </c>
      <c r="E1218" s="46">
        <f>IFERROR(__xludf.DUMMYFUNCTION("""COMPUTED_VALUE"""),2010.0)</f>
        <v>2010</v>
      </c>
      <c r="F1218" s="46">
        <f>IFERROR(__xludf.DUMMYFUNCTION("""COMPUTED_VALUE"""),1.0)</f>
        <v>1</v>
      </c>
      <c r="G1218" s="46">
        <f>IFERROR(__xludf.DUMMYFUNCTION("""COMPUTED_VALUE"""),8267.0)</f>
        <v>8267</v>
      </c>
      <c r="H1218" s="46">
        <f>IFERROR(__xludf.DUMMYFUNCTION("""COMPUTED_VALUE"""),77131.11)</f>
        <v>77131.11</v>
      </c>
      <c r="I1218" s="46">
        <f>IFERROR(__xludf.DUMMYFUNCTION("""COMPUTED_VALUE"""),57207.64)</f>
        <v>57207.64</v>
      </c>
      <c r="J1218" s="46">
        <f>IFERROR(__xludf.DUMMYFUNCTION("""COMPUTED_VALUE"""),19923.47)</f>
        <v>19923.47</v>
      </c>
      <c r="K1218" s="46" t="str">
        <f t="array" ref="K1218">TEXT(D1218, "mmmm")</f>
        <v>August</v>
      </c>
    </row>
    <row r="1219">
      <c r="A1219" s="46" t="str">
        <f>IFERROR(__xludf.DUMMYFUNCTION("""COMPUTED_VALUE"""),"Household")</f>
        <v>Household</v>
      </c>
      <c r="B1219" s="46" t="str">
        <f>IFERROR(__xludf.DUMMYFUNCTION("""COMPUTED_VALUE"""),"Austria")</f>
        <v>Austria</v>
      </c>
      <c r="C1219" s="46" t="str">
        <f>IFERROR(__xludf.DUMMYFUNCTION("""COMPUTED_VALUE"""),"Europe")</f>
        <v>Europe</v>
      </c>
      <c r="D1219" s="90">
        <f>IFERROR(__xludf.DUMMYFUNCTION("""COMPUTED_VALUE"""),40391.0)</f>
        <v>40391</v>
      </c>
      <c r="E1219" s="46">
        <f>IFERROR(__xludf.DUMMYFUNCTION("""COMPUTED_VALUE"""),2010.0)</f>
        <v>2010</v>
      </c>
      <c r="F1219" s="46">
        <f>IFERROR(__xludf.DUMMYFUNCTION("""COMPUTED_VALUE"""),1.0)</f>
        <v>1</v>
      </c>
      <c r="G1219" s="46">
        <f>IFERROR(__xludf.DUMMYFUNCTION("""COMPUTED_VALUE"""),2599.0)</f>
        <v>2599</v>
      </c>
      <c r="H1219" s="46">
        <f>IFERROR(__xludf.DUMMYFUNCTION("""COMPUTED_VALUE"""),1736833.73)</f>
        <v>1736833.73</v>
      </c>
      <c r="I1219" s="46">
        <f>IFERROR(__xludf.DUMMYFUNCTION("""COMPUTED_VALUE"""),1306101.46)</f>
        <v>1306101.46</v>
      </c>
      <c r="J1219" s="46">
        <f>IFERROR(__xludf.DUMMYFUNCTION("""COMPUTED_VALUE"""),430732.27)</f>
        <v>430732.27</v>
      </c>
      <c r="K1219" s="46" t="str">
        <f t="array" ref="K1219">TEXT(D1219, "mmmm")</f>
        <v>August</v>
      </c>
    </row>
    <row r="1220">
      <c r="A1220" s="46" t="str">
        <f>IFERROR(__xludf.DUMMYFUNCTION("""COMPUTED_VALUE"""),"Meat")</f>
        <v>Meat</v>
      </c>
      <c r="B1220" s="46" t="str">
        <f>IFERROR(__xludf.DUMMYFUNCTION("""COMPUTED_VALUE"""),"Estonia")</f>
        <v>Estonia</v>
      </c>
      <c r="C1220" s="46" t="str">
        <f>IFERROR(__xludf.DUMMYFUNCTION("""COMPUTED_VALUE"""),"Europe")</f>
        <v>Europe</v>
      </c>
      <c r="D1220" s="90">
        <f>IFERROR(__xludf.DUMMYFUNCTION("""COMPUTED_VALUE"""),40391.0)</f>
        <v>40391</v>
      </c>
      <c r="E1220" s="46">
        <f>IFERROR(__xludf.DUMMYFUNCTION("""COMPUTED_VALUE"""),2010.0)</f>
        <v>2010</v>
      </c>
      <c r="F1220" s="46">
        <f>IFERROR(__xludf.DUMMYFUNCTION("""COMPUTED_VALUE"""),1.0)</f>
        <v>1</v>
      </c>
      <c r="G1220" s="46">
        <f>IFERROR(__xludf.DUMMYFUNCTION("""COMPUTED_VALUE"""),6505.0)</f>
        <v>6505</v>
      </c>
      <c r="H1220" s="46">
        <f>IFERROR(__xludf.DUMMYFUNCTION("""COMPUTED_VALUE"""),2744394.4499999997)</f>
        <v>2744394.45</v>
      </c>
      <c r="I1220" s="46">
        <f>IFERROR(__xludf.DUMMYFUNCTION("""COMPUTED_VALUE"""),2372308.45)</f>
        <v>2372308.45</v>
      </c>
      <c r="J1220" s="46">
        <f>IFERROR(__xludf.DUMMYFUNCTION("""COMPUTED_VALUE"""),372085.99999999953)</f>
        <v>372086</v>
      </c>
      <c r="K1220" s="46" t="str">
        <f t="array" ref="K1220">TEXT(D1220, "mmmm")</f>
        <v>August</v>
      </c>
    </row>
    <row r="1221">
      <c r="A1221" s="46" t="str">
        <f>IFERROR(__xludf.DUMMYFUNCTION("""COMPUTED_VALUE"""),"Office Supplies")</f>
        <v>Office Supplies</v>
      </c>
      <c r="B1221" s="46" t="str">
        <f>IFERROR(__xludf.DUMMYFUNCTION("""COMPUTED_VALUE"""),"Germany")</f>
        <v>Germany</v>
      </c>
      <c r="C1221" s="46" t="str">
        <f>IFERROR(__xludf.DUMMYFUNCTION("""COMPUTED_VALUE"""),"Europe")</f>
        <v>Europe</v>
      </c>
      <c r="D1221" s="90">
        <f>IFERROR(__xludf.DUMMYFUNCTION("""COMPUTED_VALUE"""),40391.0)</f>
        <v>40391</v>
      </c>
      <c r="E1221" s="46">
        <f>IFERROR(__xludf.DUMMYFUNCTION("""COMPUTED_VALUE"""),2010.0)</f>
        <v>2010</v>
      </c>
      <c r="F1221" s="46">
        <f>IFERROR(__xludf.DUMMYFUNCTION("""COMPUTED_VALUE"""),1.0)</f>
        <v>1</v>
      </c>
      <c r="G1221" s="46">
        <f>IFERROR(__xludf.DUMMYFUNCTION("""COMPUTED_VALUE"""),532.0)</f>
        <v>532</v>
      </c>
      <c r="H1221" s="46">
        <f>IFERROR(__xludf.DUMMYFUNCTION("""COMPUTED_VALUE"""),346443.72000000003)</f>
        <v>346443.72</v>
      </c>
      <c r="I1221" s="46">
        <f>IFERROR(__xludf.DUMMYFUNCTION("""COMPUTED_VALUE"""),279278.72000000003)</f>
        <v>279278.72</v>
      </c>
      <c r="J1221" s="46">
        <f>IFERROR(__xludf.DUMMYFUNCTION("""COMPUTED_VALUE"""),67165.0)</f>
        <v>67165</v>
      </c>
      <c r="K1221" s="46" t="str">
        <f t="array" ref="K1221">TEXT(D1221, "mmmm")</f>
        <v>August</v>
      </c>
    </row>
    <row r="1222">
      <c r="A1222" s="46" t="str">
        <f>IFERROR(__xludf.DUMMYFUNCTION("""COMPUTED_VALUE"""),"Snacks")</f>
        <v>Snacks</v>
      </c>
      <c r="B1222" s="46" t="str">
        <f>IFERROR(__xludf.DUMMYFUNCTION("""COMPUTED_VALUE"""),"Czech Republic")</f>
        <v>Czech Republic</v>
      </c>
      <c r="C1222" s="46" t="str">
        <f>IFERROR(__xludf.DUMMYFUNCTION("""COMPUTED_VALUE"""),"Europe")</f>
        <v>Europe</v>
      </c>
      <c r="D1222" s="90">
        <f>IFERROR(__xludf.DUMMYFUNCTION("""COMPUTED_VALUE"""),40391.0)</f>
        <v>40391</v>
      </c>
      <c r="E1222" s="46">
        <f>IFERROR(__xludf.DUMMYFUNCTION("""COMPUTED_VALUE"""),2010.0)</f>
        <v>2010</v>
      </c>
      <c r="F1222" s="46">
        <f>IFERROR(__xludf.DUMMYFUNCTION("""COMPUTED_VALUE"""),1.0)</f>
        <v>1</v>
      </c>
      <c r="G1222" s="46">
        <f>IFERROR(__xludf.DUMMYFUNCTION("""COMPUTED_VALUE"""),9340.0)</f>
        <v>9340</v>
      </c>
      <c r="H1222" s="46">
        <f>IFERROR(__xludf.DUMMYFUNCTION("""COMPUTED_VALUE"""),1425097.2000000002)</f>
        <v>1425097.2</v>
      </c>
      <c r="I1222" s="46">
        <f>IFERROR(__xludf.DUMMYFUNCTION("""COMPUTED_VALUE"""),910089.6)</f>
        <v>910089.6</v>
      </c>
      <c r="J1222" s="46">
        <f>IFERROR(__xludf.DUMMYFUNCTION("""COMPUTED_VALUE"""),515007.6000000002)</f>
        <v>515007.6</v>
      </c>
      <c r="K1222" s="46" t="str">
        <f t="array" ref="K1222">TEXT(D1222, "mmmm")</f>
        <v>August</v>
      </c>
    </row>
    <row r="1223">
      <c r="A1223" s="46" t="str">
        <f>IFERROR(__xludf.DUMMYFUNCTION("""COMPUTED_VALUE"""),"Snacks")</f>
        <v>Snacks</v>
      </c>
      <c r="B1223" s="46" t="str">
        <f>IFERROR(__xludf.DUMMYFUNCTION("""COMPUTED_VALUE"""),"Romania")</f>
        <v>Romania</v>
      </c>
      <c r="C1223" s="46" t="str">
        <f>IFERROR(__xludf.DUMMYFUNCTION("""COMPUTED_VALUE"""),"Europe")</f>
        <v>Europe</v>
      </c>
      <c r="D1223" s="90">
        <f>IFERROR(__xludf.DUMMYFUNCTION("""COMPUTED_VALUE"""),40391.0)</f>
        <v>40391</v>
      </c>
      <c r="E1223" s="46">
        <f>IFERROR(__xludf.DUMMYFUNCTION("""COMPUTED_VALUE"""),2010.0)</f>
        <v>2010</v>
      </c>
      <c r="F1223" s="46">
        <f>IFERROR(__xludf.DUMMYFUNCTION("""COMPUTED_VALUE"""),1.0)</f>
        <v>1</v>
      </c>
      <c r="G1223" s="46">
        <f>IFERROR(__xludf.DUMMYFUNCTION("""COMPUTED_VALUE"""),1044.0)</f>
        <v>1044</v>
      </c>
      <c r="H1223" s="46">
        <f>IFERROR(__xludf.DUMMYFUNCTION("""COMPUTED_VALUE"""),159293.52000000002)</f>
        <v>159293.52</v>
      </c>
      <c r="I1223" s="46">
        <f>IFERROR(__xludf.DUMMYFUNCTION("""COMPUTED_VALUE"""),101727.36)</f>
        <v>101727.36</v>
      </c>
      <c r="J1223" s="46">
        <f>IFERROR(__xludf.DUMMYFUNCTION("""COMPUTED_VALUE"""),57566.16000000002)</f>
        <v>57566.16</v>
      </c>
      <c r="K1223" s="46" t="str">
        <f t="array" ref="K1223">TEXT(D1223, "mmmm")</f>
        <v>August</v>
      </c>
    </row>
    <row r="1224">
      <c r="A1224" s="46" t="str">
        <f>IFERROR(__xludf.DUMMYFUNCTION("""COMPUTED_VALUE"""),"Baby Food")</f>
        <v>Baby Food</v>
      </c>
      <c r="B1224" s="46" t="str">
        <f>IFERROR(__xludf.DUMMYFUNCTION("""COMPUTED_VALUE"""),"Ireland")</f>
        <v>Ireland</v>
      </c>
      <c r="C1224" s="46" t="str">
        <f>IFERROR(__xludf.DUMMYFUNCTION("""COMPUTED_VALUE"""),"Europe")</f>
        <v>Europe</v>
      </c>
      <c r="D1224" s="90">
        <f>IFERROR(__xludf.DUMMYFUNCTION("""COMPUTED_VALUE"""),40360.0)</f>
        <v>40360</v>
      </c>
      <c r="E1224" s="46">
        <f>IFERROR(__xludf.DUMMYFUNCTION("""COMPUTED_VALUE"""),2010.0)</f>
        <v>2010</v>
      </c>
      <c r="F1224" s="46">
        <f>IFERROR(__xludf.DUMMYFUNCTION("""COMPUTED_VALUE"""),1.0)</f>
        <v>1</v>
      </c>
      <c r="G1224" s="46">
        <f>IFERROR(__xludf.DUMMYFUNCTION("""COMPUTED_VALUE"""),3135.0)</f>
        <v>3135</v>
      </c>
      <c r="H1224" s="46">
        <f>IFERROR(__xludf.DUMMYFUNCTION("""COMPUTED_VALUE"""),800302.8)</f>
        <v>800302.8</v>
      </c>
      <c r="I1224" s="46">
        <f>IFERROR(__xludf.DUMMYFUNCTION("""COMPUTED_VALUE"""),499781.69999999995)</f>
        <v>499781.7</v>
      </c>
      <c r="J1224" s="46">
        <f>IFERROR(__xludf.DUMMYFUNCTION("""COMPUTED_VALUE"""),300521.1000000001)</f>
        <v>300521.1</v>
      </c>
      <c r="K1224" s="46" t="str">
        <f t="array" ref="K1224">TEXT(D1224, "mmmm")</f>
        <v>July</v>
      </c>
    </row>
    <row r="1225">
      <c r="A1225" s="46" t="str">
        <f>IFERROR(__xludf.DUMMYFUNCTION("""COMPUTED_VALUE"""),"Beverages")</f>
        <v>Beverages</v>
      </c>
      <c r="B1225" s="46" t="str">
        <f>IFERROR(__xludf.DUMMYFUNCTION("""COMPUTED_VALUE"""),"Romania")</f>
        <v>Romania</v>
      </c>
      <c r="C1225" s="46" t="str">
        <f>IFERROR(__xludf.DUMMYFUNCTION("""COMPUTED_VALUE"""),"Europe")</f>
        <v>Europe</v>
      </c>
      <c r="D1225" s="90">
        <f>IFERROR(__xludf.DUMMYFUNCTION("""COMPUTED_VALUE"""),40360.0)</f>
        <v>40360</v>
      </c>
      <c r="E1225" s="46">
        <f>IFERROR(__xludf.DUMMYFUNCTION("""COMPUTED_VALUE"""),2010.0)</f>
        <v>2010</v>
      </c>
      <c r="F1225" s="46">
        <f>IFERROR(__xludf.DUMMYFUNCTION("""COMPUTED_VALUE"""),1.0)</f>
        <v>1</v>
      </c>
      <c r="G1225" s="46">
        <f>IFERROR(__xludf.DUMMYFUNCTION("""COMPUTED_VALUE"""),6700.0)</f>
        <v>6700</v>
      </c>
      <c r="H1225" s="46">
        <f>IFERROR(__xludf.DUMMYFUNCTION("""COMPUTED_VALUE"""),317915.0)</f>
        <v>317915</v>
      </c>
      <c r="I1225" s="46">
        <f>IFERROR(__xludf.DUMMYFUNCTION("""COMPUTED_VALUE"""),212993.0)</f>
        <v>212993</v>
      </c>
      <c r="J1225" s="46">
        <f>IFERROR(__xludf.DUMMYFUNCTION("""COMPUTED_VALUE"""),104922.0)</f>
        <v>104922</v>
      </c>
      <c r="K1225" s="46" t="str">
        <f t="array" ref="K1225">TEXT(D1225, "mmmm")</f>
        <v>July</v>
      </c>
    </row>
    <row r="1226">
      <c r="A1226" s="46" t="str">
        <f>IFERROR(__xludf.DUMMYFUNCTION("""COMPUTED_VALUE"""),"Cereal")</f>
        <v>Cereal</v>
      </c>
      <c r="B1226" s="46" t="str">
        <f>IFERROR(__xludf.DUMMYFUNCTION("""COMPUTED_VALUE"""),"Sweden")</f>
        <v>Sweden</v>
      </c>
      <c r="C1226" s="46" t="str">
        <f>IFERROR(__xludf.DUMMYFUNCTION("""COMPUTED_VALUE"""),"Europe")</f>
        <v>Europe</v>
      </c>
      <c r="D1226" s="90">
        <f>IFERROR(__xludf.DUMMYFUNCTION("""COMPUTED_VALUE"""),40360.0)</f>
        <v>40360</v>
      </c>
      <c r="E1226" s="46">
        <f>IFERROR(__xludf.DUMMYFUNCTION("""COMPUTED_VALUE"""),2010.0)</f>
        <v>2010</v>
      </c>
      <c r="F1226" s="46">
        <f>IFERROR(__xludf.DUMMYFUNCTION("""COMPUTED_VALUE"""),1.0)</f>
        <v>1</v>
      </c>
      <c r="G1226" s="46">
        <f>IFERROR(__xludf.DUMMYFUNCTION("""COMPUTED_VALUE"""),1210.0)</f>
        <v>1210</v>
      </c>
      <c r="H1226" s="46">
        <f>IFERROR(__xludf.DUMMYFUNCTION("""COMPUTED_VALUE"""),248897.0)</f>
        <v>248897</v>
      </c>
      <c r="I1226" s="46">
        <f>IFERROR(__xludf.DUMMYFUNCTION("""COMPUTED_VALUE"""),141703.1)</f>
        <v>141703.1</v>
      </c>
      <c r="J1226" s="46">
        <f>IFERROR(__xludf.DUMMYFUNCTION("""COMPUTED_VALUE"""),107193.9)</f>
        <v>107193.9</v>
      </c>
      <c r="K1226" s="46" t="str">
        <f t="array" ref="K1226">TEXT(D1226, "mmmm")</f>
        <v>July</v>
      </c>
    </row>
    <row r="1227">
      <c r="A1227" s="46" t="str">
        <f>IFERROR(__xludf.DUMMYFUNCTION("""COMPUTED_VALUE"""),"Clothes")</f>
        <v>Clothes</v>
      </c>
      <c r="B1227" s="46" t="str">
        <f>IFERROR(__xludf.DUMMYFUNCTION("""COMPUTED_VALUE"""),"Russia")</f>
        <v>Russia</v>
      </c>
      <c r="C1227" s="46" t="str">
        <f>IFERROR(__xludf.DUMMYFUNCTION("""COMPUTED_VALUE"""),"Europe")</f>
        <v>Europe</v>
      </c>
      <c r="D1227" s="90">
        <f>IFERROR(__xludf.DUMMYFUNCTION("""COMPUTED_VALUE"""),40360.0)</f>
        <v>40360</v>
      </c>
      <c r="E1227" s="46">
        <f>IFERROR(__xludf.DUMMYFUNCTION("""COMPUTED_VALUE"""),2010.0)</f>
        <v>2010</v>
      </c>
      <c r="F1227" s="46">
        <f>IFERROR(__xludf.DUMMYFUNCTION("""COMPUTED_VALUE"""),1.0)</f>
        <v>1</v>
      </c>
      <c r="G1227" s="46">
        <f>IFERROR(__xludf.DUMMYFUNCTION("""COMPUTED_VALUE"""),8980.0)</f>
        <v>8980</v>
      </c>
      <c r="H1227" s="46">
        <f>IFERROR(__xludf.DUMMYFUNCTION("""COMPUTED_VALUE"""),981334.4)</f>
        <v>981334.4</v>
      </c>
      <c r="I1227" s="46">
        <f>IFERROR(__xludf.DUMMYFUNCTION("""COMPUTED_VALUE"""),321843.2)</f>
        <v>321843.2</v>
      </c>
      <c r="J1227" s="46">
        <f>IFERROR(__xludf.DUMMYFUNCTION("""COMPUTED_VALUE"""),659491.2)</f>
        <v>659491.2</v>
      </c>
      <c r="K1227" s="46" t="str">
        <f t="array" ref="K1227">TEXT(D1227, "mmmm")</f>
        <v>July</v>
      </c>
    </row>
    <row r="1228">
      <c r="A1228" s="46" t="str">
        <f>IFERROR(__xludf.DUMMYFUNCTION("""COMPUTED_VALUE"""),"Cosmetics")</f>
        <v>Cosmetics</v>
      </c>
      <c r="B1228" s="46" t="str">
        <f>IFERROR(__xludf.DUMMYFUNCTION("""COMPUTED_VALUE"""),"Austria")</f>
        <v>Austria</v>
      </c>
      <c r="C1228" s="46" t="str">
        <f>IFERROR(__xludf.DUMMYFUNCTION("""COMPUTED_VALUE"""),"Europe")</f>
        <v>Europe</v>
      </c>
      <c r="D1228" s="90">
        <f>IFERROR(__xludf.DUMMYFUNCTION("""COMPUTED_VALUE"""),40360.0)</f>
        <v>40360</v>
      </c>
      <c r="E1228" s="46">
        <f>IFERROR(__xludf.DUMMYFUNCTION("""COMPUTED_VALUE"""),2010.0)</f>
        <v>2010</v>
      </c>
      <c r="F1228" s="46">
        <f>IFERROR(__xludf.DUMMYFUNCTION("""COMPUTED_VALUE"""),1.0)</f>
        <v>1</v>
      </c>
      <c r="G1228" s="46">
        <f>IFERROR(__xludf.DUMMYFUNCTION("""COMPUTED_VALUE"""),7604.0)</f>
        <v>7604</v>
      </c>
      <c r="H1228" s="46">
        <f>IFERROR(__xludf.DUMMYFUNCTION("""COMPUTED_VALUE"""),3324468.8)</f>
        <v>3324468.8</v>
      </c>
      <c r="I1228" s="46">
        <f>IFERROR(__xludf.DUMMYFUNCTION("""COMPUTED_VALUE"""),2002361.3199999998)</f>
        <v>2002361.32</v>
      </c>
      <c r="J1228" s="46">
        <f>IFERROR(__xludf.DUMMYFUNCTION("""COMPUTED_VALUE"""),1322107.48)</f>
        <v>1322107.48</v>
      </c>
      <c r="K1228" s="46" t="str">
        <f t="array" ref="K1228">TEXT(D1228, "mmmm")</f>
        <v>July</v>
      </c>
    </row>
    <row r="1229">
      <c r="A1229" s="46" t="str">
        <f>IFERROR(__xludf.DUMMYFUNCTION("""COMPUTED_VALUE"""),"Fruits")</f>
        <v>Fruits</v>
      </c>
      <c r="B1229" s="46" t="str">
        <f>IFERROR(__xludf.DUMMYFUNCTION("""COMPUTED_VALUE"""),"Malta")</f>
        <v>Malta</v>
      </c>
      <c r="C1229" s="46" t="str">
        <f>IFERROR(__xludf.DUMMYFUNCTION("""COMPUTED_VALUE"""),"Europe")</f>
        <v>Europe</v>
      </c>
      <c r="D1229" s="90">
        <f>IFERROR(__xludf.DUMMYFUNCTION("""COMPUTED_VALUE"""),40360.0)</f>
        <v>40360</v>
      </c>
      <c r="E1229" s="46">
        <f>IFERROR(__xludf.DUMMYFUNCTION("""COMPUTED_VALUE"""),2010.0)</f>
        <v>2010</v>
      </c>
      <c r="F1229" s="46">
        <f>IFERROR(__xludf.DUMMYFUNCTION("""COMPUTED_VALUE"""),1.0)</f>
        <v>1</v>
      </c>
      <c r="G1229" s="46">
        <f>IFERROR(__xludf.DUMMYFUNCTION("""COMPUTED_VALUE"""),4159.0)</f>
        <v>4159</v>
      </c>
      <c r="H1229" s="46">
        <f>IFERROR(__xludf.DUMMYFUNCTION("""COMPUTED_VALUE"""),38803.47)</f>
        <v>38803.47</v>
      </c>
      <c r="I1229" s="46">
        <f>IFERROR(__xludf.DUMMYFUNCTION("""COMPUTED_VALUE"""),28780.28)</f>
        <v>28780.28</v>
      </c>
      <c r="J1229" s="46">
        <f>IFERROR(__xludf.DUMMYFUNCTION("""COMPUTED_VALUE"""),10023.190000000002)</f>
        <v>10023.19</v>
      </c>
      <c r="K1229" s="46" t="str">
        <f t="array" ref="K1229">TEXT(D1229, "mmmm")</f>
        <v>July</v>
      </c>
    </row>
    <row r="1230">
      <c r="A1230" s="46" t="str">
        <f>IFERROR(__xludf.DUMMYFUNCTION("""COMPUTED_VALUE"""),"Fruits")</f>
        <v>Fruits</v>
      </c>
      <c r="B1230" s="46" t="str">
        <f>IFERROR(__xludf.DUMMYFUNCTION("""COMPUTED_VALUE"""),"Romania")</f>
        <v>Romania</v>
      </c>
      <c r="C1230" s="46" t="str">
        <f>IFERROR(__xludf.DUMMYFUNCTION("""COMPUTED_VALUE"""),"Europe")</f>
        <v>Europe</v>
      </c>
      <c r="D1230" s="90">
        <f>IFERROR(__xludf.DUMMYFUNCTION("""COMPUTED_VALUE"""),40360.0)</f>
        <v>40360</v>
      </c>
      <c r="E1230" s="46">
        <f>IFERROR(__xludf.DUMMYFUNCTION("""COMPUTED_VALUE"""),2010.0)</f>
        <v>2010</v>
      </c>
      <c r="F1230" s="46">
        <f>IFERROR(__xludf.DUMMYFUNCTION("""COMPUTED_VALUE"""),1.0)</f>
        <v>1</v>
      </c>
      <c r="G1230" s="46">
        <f>IFERROR(__xludf.DUMMYFUNCTION("""COMPUTED_VALUE"""),9958.0)</f>
        <v>9958</v>
      </c>
      <c r="H1230" s="46">
        <f>IFERROR(__xludf.DUMMYFUNCTION("""COMPUTED_VALUE"""),92908.14)</f>
        <v>92908.14</v>
      </c>
      <c r="I1230" s="46">
        <f>IFERROR(__xludf.DUMMYFUNCTION("""COMPUTED_VALUE"""),68909.36)</f>
        <v>68909.36</v>
      </c>
      <c r="J1230" s="46">
        <f>IFERROR(__xludf.DUMMYFUNCTION("""COMPUTED_VALUE"""),23998.78)</f>
        <v>23998.78</v>
      </c>
      <c r="K1230" s="46" t="str">
        <f t="array" ref="K1230">TEXT(D1230, "mmmm")</f>
        <v>July</v>
      </c>
    </row>
    <row r="1231">
      <c r="A1231" s="46" t="str">
        <f>IFERROR(__xludf.DUMMYFUNCTION("""COMPUTED_VALUE"""),"Household")</f>
        <v>Household</v>
      </c>
      <c r="B1231" s="46" t="str">
        <f>IFERROR(__xludf.DUMMYFUNCTION("""COMPUTED_VALUE"""),"Ukraine")</f>
        <v>Ukraine</v>
      </c>
      <c r="C1231" s="46" t="str">
        <f>IFERROR(__xludf.DUMMYFUNCTION("""COMPUTED_VALUE"""),"Europe")</f>
        <v>Europe</v>
      </c>
      <c r="D1231" s="90">
        <f>IFERROR(__xludf.DUMMYFUNCTION("""COMPUTED_VALUE"""),40360.0)</f>
        <v>40360</v>
      </c>
      <c r="E1231" s="46">
        <f>IFERROR(__xludf.DUMMYFUNCTION("""COMPUTED_VALUE"""),2010.0)</f>
        <v>2010</v>
      </c>
      <c r="F1231" s="46">
        <f>IFERROR(__xludf.DUMMYFUNCTION("""COMPUTED_VALUE"""),1.0)</f>
        <v>1</v>
      </c>
      <c r="G1231" s="46">
        <f>IFERROR(__xludf.DUMMYFUNCTION("""COMPUTED_VALUE"""),3562.0)</f>
        <v>3562</v>
      </c>
      <c r="H1231" s="46">
        <f>IFERROR(__xludf.DUMMYFUNCTION("""COMPUTED_VALUE"""),2380377.7399999998)</f>
        <v>2380377.74</v>
      </c>
      <c r="I1231" s="46">
        <f>IFERROR(__xludf.DUMMYFUNCTION("""COMPUTED_VALUE"""),1790047.48)</f>
        <v>1790047.48</v>
      </c>
      <c r="J1231" s="46">
        <f>IFERROR(__xludf.DUMMYFUNCTION("""COMPUTED_VALUE"""),590330.2599999998)</f>
        <v>590330.26</v>
      </c>
      <c r="K1231" s="46" t="str">
        <f t="array" ref="K1231">TEXT(D1231, "mmmm")</f>
        <v>July</v>
      </c>
    </row>
    <row r="1232">
      <c r="A1232" s="46" t="str">
        <f>IFERROR(__xludf.DUMMYFUNCTION("""COMPUTED_VALUE"""),"Meat")</f>
        <v>Meat</v>
      </c>
      <c r="B1232" s="46" t="str">
        <f>IFERROR(__xludf.DUMMYFUNCTION("""COMPUTED_VALUE"""),"Bulgaria")</f>
        <v>Bulgaria</v>
      </c>
      <c r="C1232" s="46" t="str">
        <f>IFERROR(__xludf.DUMMYFUNCTION("""COMPUTED_VALUE"""),"Europe")</f>
        <v>Europe</v>
      </c>
      <c r="D1232" s="90">
        <f>IFERROR(__xludf.DUMMYFUNCTION("""COMPUTED_VALUE"""),40360.0)</f>
        <v>40360</v>
      </c>
      <c r="E1232" s="46">
        <f>IFERROR(__xludf.DUMMYFUNCTION("""COMPUTED_VALUE"""),2010.0)</f>
        <v>2010</v>
      </c>
      <c r="F1232" s="46">
        <f>IFERROR(__xludf.DUMMYFUNCTION("""COMPUTED_VALUE"""),1.0)</f>
        <v>1</v>
      </c>
      <c r="G1232" s="46">
        <f>IFERROR(__xludf.DUMMYFUNCTION("""COMPUTED_VALUE"""),1644.0)</f>
        <v>1644</v>
      </c>
      <c r="H1232" s="46">
        <f>IFERROR(__xludf.DUMMYFUNCTION("""COMPUTED_VALUE"""),693587.16)</f>
        <v>693587.16</v>
      </c>
      <c r="I1232" s="46">
        <f>IFERROR(__xludf.DUMMYFUNCTION("""COMPUTED_VALUE"""),599550.36)</f>
        <v>599550.36</v>
      </c>
      <c r="J1232" s="46">
        <f>IFERROR(__xludf.DUMMYFUNCTION("""COMPUTED_VALUE"""),94036.80000000005)</f>
        <v>94036.8</v>
      </c>
      <c r="K1232" s="46" t="str">
        <f t="array" ref="K1232">TEXT(D1232, "mmmm")</f>
        <v>July</v>
      </c>
    </row>
    <row r="1233">
      <c r="A1233" s="46" t="str">
        <f>IFERROR(__xludf.DUMMYFUNCTION("""COMPUTED_VALUE"""),"Meat")</f>
        <v>Meat</v>
      </c>
      <c r="B1233" s="46" t="str">
        <f>IFERROR(__xludf.DUMMYFUNCTION("""COMPUTED_VALUE"""),"Liechtenstein")</f>
        <v>Liechtenstein</v>
      </c>
      <c r="C1233" s="46" t="str">
        <f>IFERROR(__xludf.DUMMYFUNCTION("""COMPUTED_VALUE"""),"Europe")</f>
        <v>Europe</v>
      </c>
      <c r="D1233" s="90">
        <f>IFERROR(__xludf.DUMMYFUNCTION("""COMPUTED_VALUE"""),40360.0)</f>
        <v>40360</v>
      </c>
      <c r="E1233" s="46">
        <f>IFERROR(__xludf.DUMMYFUNCTION("""COMPUTED_VALUE"""),2010.0)</f>
        <v>2010</v>
      </c>
      <c r="F1233" s="46">
        <f>IFERROR(__xludf.DUMMYFUNCTION("""COMPUTED_VALUE"""),1.0)</f>
        <v>1</v>
      </c>
      <c r="G1233" s="46">
        <f>IFERROR(__xludf.DUMMYFUNCTION("""COMPUTED_VALUE"""),7151.0)</f>
        <v>7151</v>
      </c>
      <c r="H1233" s="46">
        <f>IFERROR(__xludf.DUMMYFUNCTION("""COMPUTED_VALUE"""),3016935.39)</f>
        <v>3016935.39</v>
      </c>
      <c r="I1233" s="46">
        <f>IFERROR(__xludf.DUMMYFUNCTION("""COMPUTED_VALUE"""),2607898.19)</f>
        <v>2607898.19</v>
      </c>
      <c r="J1233" s="46">
        <f>IFERROR(__xludf.DUMMYFUNCTION("""COMPUTED_VALUE"""),409037.2000000002)</f>
        <v>409037.2</v>
      </c>
      <c r="K1233" s="46" t="str">
        <f t="array" ref="K1233">TEXT(D1233, "mmmm")</f>
        <v>July</v>
      </c>
    </row>
    <row r="1234">
      <c r="A1234" s="46" t="str">
        <f>IFERROR(__xludf.DUMMYFUNCTION("""COMPUTED_VALUE"""),"Personal Care")</f>
        <v>Personal Care</v>
      </c>
      <c r="B1234" s="46" t="str">
        <f>IFERROR(__xludf.DUMMYFUNCTION("""COMPUTED_VALUE"""),"Ukraine")</f>
        <v>Ukraine</v>
      </c>
      <c r="C1234" s="46" t="str">
        <f>IFERROR(__xludf.DUMMYFUNCTION("""COMPUTED_VALUE"""),"Europe")</f>
        <v>Europe</v>
      </c>
      <c r="D1234" s="90">
        <f>IFERROR(__xludf.DUMMYFUNCTION("""COMPUTED_VALUE"""),40360.0)</f>
        <v>40360</v>
      </c>
      <c r="E1234" s="46">
        <f>IFERROR(__xludf.DUMMYFUNCTION("""COMPUTED_VALUE"""),2010.0)</f>
        <v>2010</v>
      </c>
      <c r="F1234" s="46">
        <f>IFERROR(__xludf.DUMMYFUNCTION("""COMPUTED_VALUE"""),1.0)</f>
        <v>1</v>
      </c>
      <c r="G1234" s="46">
        <f>IFERROR(__xludf.DUMMYFUNCTION("""COMPUTED_VALUE"""),9967.0)</f>
        <v>9967</v>
      </c>
      <c r="H1234" s="46">
        <f>IFERROR(__xludf.DUMMYFUNCTION("""COMPUTED_VALUE"""),814602.91)</f>
        <v>814602.91</v>
      </c>
      <c r="I1234" s="46">
        <f>IFERROR(__xludf.DUMMYFUNCTION("""COMPUTED_VALUE"""),564829.89)</f>
        <v>564829.89</v>
      </c>
      <c r="J1234" s="46">
        <f>IFERROR(__xludf.DUMMYFUNCTION("""COMPUTED_VALUE"""),249773.02000000002)</f>
        <v>249773.02</v>
      </c>
      <c r="K1234" s="46" t="str">
        <f t="array" ref="K1234">TEXT(D1234, "mmmm")</f>
        <v>July</v>
      </c>
    </row>
    <row r="1235">
      <c r="A1235" s="46" t="str">
        <f>IFERROR(__xludf.DUMMYFUNCTION("""COMPUTED_VALUE"""),"Baby Food")</f>
        <v>Baby Food</v>
      </c>
      <c r="B1235" s="46" t="str">
        <f>IFERROR(__xludf.DUMMYFUNCTION("""COMPUTED_VALUE"""),"Italy")</f>
        <v>Italy</v>
      </c>
      <c r="C1235" s="46" t="str">
        <f>IFERROR(__xludf.DUMMYFUNCTION("""COMPUTED_VALUE"""),"Europe")</f>
        <v>Europe</v>
      </c>
      <c r="D1235" s="90">
        <f>IFERROR(__xludf.DUMMYFUNCTION("""COMPUTED_VALUE"""),40330.0)</f>
        <v>40330</v>
      </c>
      <c r="E1235" s="46">
        <f>IFERROR(__xludf.DUMMYFUNCTION("""COMPUTED_VALUE"""),2010.0)</f>
        <v>2010</v>
      </c>
      <c r="F1235" s="46">
        <f>IFERROR(__xludf.DUMMYFUNCTION("""COMPUTED_VALUE"""),1.0)</f>
        <v>1</v>
      </c>
      <c r="G1235" s="46">
        <f>IFERROR(__xludf.DUMMYFUNCTION("""COMPUTED_VALUE"""),4377.0)</f>
        <v>4377</v>
      </c>
      <c r="H1235" s="46">
        <f>IFERROR(__xludf.DUMMYFUNCTION("""COMPUTED_VALUE"""),1117360.56)</f>
        <v>1117360.56</v>
      </c>
      <c r="I1235" s="46">
        <f>IFERROR(__xludf.DUMMYFUNCTION("""COMPUTED_VALUE"""),697781.34)</f>
        <v>697781.34</v>
      </c>
      <c r="J1235" s="46">
        <f>IFERROR(__xludf.DUMMYFUNCTION("""COMPUTED_VALUE"""),419579.2200000001)</f>
        <v>419579.22</v>
      </c>
      <c r="K1235" s="46" t="str">
        <f t="array" ref="K1235">TEXT(D1235, "mmmm")</f>
        <v>June</v>
      </c>
    </row>
    <row r="1236">
      <c r="A1236" s="46" t="str">
        <f>IFERROR(__xludf.DUMMYFUNCTION("""COMPUTED_VALUE"""),"Baby Food")</f>
        <v>Baby Food</v>
      </c>
      <c r="B1236" s="46" t="str">
        <f>IFERROR(__xludf.DUMMYFUNCTION("""COMPUTED_VALUE"""),"Switzerland")</f>
        <v>Switzerland</v>
      </c>
      <c r="C1236" s="46" t="str">
        <f>IFERROR(__xludf.DUMMYFUNCTION("""COMPUTED_VALUE"""),"Europe")</f>
        <v>Europe</v>
      </c>
      <c r="D1236" s="90">
        <f>IFERROR(__xludf.DUMMYFUNCTION("""COMPUTED_VALUE"""),40330.0)</f>
        <v>40330</v>
      </c>
      <c r="E1236" s="46">
        <f>IFERROR(__xludf.DUMMYFUNCTION("""COMPUTED_VALUE"""),2010.0)</f>
        <v>2010</v>
      </c>
      <c r="F1236" s="46">
        <f>IFERROR(__xludf.DUMMYFUNCTION("""COMPUTED_VALUE"""),1.0)</f>
        <v>1</v>
      </c>
      <c r="G1236" s="46">
        <f>IFERROR(__xludf.DUMMYFUNCTION("""COMPUTED_VALUE"""),8591.0)</f>
        <v>8591</v>
      </c>
      <c r="H1236" s="46">
        <f>IFERROR(__xludf.DUMMYFUNCTION("""COMPUTED_VALUE"""),2193110.48)</f>
        <v>2193110.48</v>
      </c>
      <c r="I1236" s="46">
        <f>IFERROR(__xludf.DUMMYFUNCTION("""COMPUTED_VALUE"""),1369577.22)</f>
        <v>1369577.22</v>
      </c>
      <c r="J1236" s="46">
        <f>IFERROR(__xludf.DUMMYFUNCTION("""COMPUTED_VALUE"""),823533.26)</f>
        <v>823533.26</v>
      </c>
      <c r="K1236" s="46" t="str">
        <f t="array" ref="K1236">TEXT(D1236, "mmmm")</f>
        <v>June</v>
      </c>
    </row>
    <row r="1237">
      <c r="A1237" s="46" t="str">
        <f>IFERROR(__xludf.DUMMYFUNCTION("""COMPUTED_VALUE"""),"Cereal")</f>
        <v>Cereal</v>
      </c>
      <c r="B1237" s="46" t="str">
        <f>IFERROR(__xludf.DUMMYFUNCTION("""COMPUTED_VALUE"""),"Iceland")</f>
        <v>Iceland</v>
      </c>
      <c r="C1237" s="46" t="str">
        <f>IFERROR(__xludf.DUMMYFUNCTION("""COMPUTED_VALUE"""),"Europe")</f>
        <v>Europe</v>
      </c>
      <c r="D1237" s="90">
        <f>IFERROR(__xludf.DUMMYFUNCTION("""COMPUTED_VALUE"""),40330.0)</f>
        <v>40330</v>
      </c>
      <c r="E1237" s="46">
        <f>IFERROR(__xludf.DUMMYFUNCTION("""COMPUTED_VALUE"""),2010.0)</f>
        <v>2010</v>
      </c>
      <c r="F1237" s="46">
        <f>IFERROR(__xludf.DUMMYFUNCTION("""COMPUTED_VALUE"""),1.0)</f>
        <v>1</v>
      </c>
      <c r="G1237" s="46">
        <f>IFERROR(__xludf.DUMMYFUNCTION("""COMPUTED_VALUE"""),3931.0)</f>
        <v>3931</v>
      </c>
      <c r="H1237" s="46">
        <f>IFERROR(__xludf.DUMMYFUNCTION("""COMPUTED_VALUE"""),808606.7)</f>
        <v>808606.7</v>
      </c>
      <c r="I1237" s="46">
        <f>IFERROR(__xludf.DUMMYFUNCTION("""COMPUTED_VALUE"""),460359.41)</f>
        <v>460359.41</v>
      </c>
      <c r="J1237" s="46">
        <f>IFERROR(__xludf.DUMMYFUNCTION("""COMPUTED_VALUE"""),348247.29)</f>
        <v>348247.29</v>
      </c>
      <c r="K1237" s="46" t="str">
        <f t="array" ref="K1237">TEXT(D1237, "mmmm")</f>
        <v>June</v>
      </c>
    </row>
    <row r="1238">
      <c r="A1238" s="46" t="str">
        <f>IFERROR(__xludf.DUMMYFUNCTION("""COMPUTED_VALUE"""),"Cereal")</f>
        <v>Cereal</v>
      </c>
      <c r="B1238" s="46" t="str">
        <f>IFERROR(__xludf.DUMMYFUNCTION("""COMPUTED_VALUE"""),"Latvia")</f>
        <v>Latvia</v>
      </c>
      <c r="C1238" s="46" t="str">
        <f>IFERROR(__xludf.DUMMYFUNCTION("""COMPUTED_VALUE"""),"Europe")</f>
        <v>Europe</v>
      </c>
      <c r="D1238" s="90">
        <f>IFERROR(__xludf.DUMMYFUNCTION("""COMPUTED_VALUE"""),40330.0)</f>
        <v>40330</v>
      </c>
      <c r="E1238" s="46">
        <f>IFERROR(__xludf.DUMMYFUNCTION("""COMPUTED_VALUE"""),2010.0)</f>
        <v>2010</v>
      </c>
      <c r="F1238" s="46">
        <f>IFERROR(__xludf.DUMMYFUNCTION("""COMPUTED_VALUE"""),1.0)</f>
        <v>1</v>
      </c>
      <c r="G1238" s="46">
        <f>IFERROR(__xludf.DUMMYFUNCTION("""COMPUTED_VALUE"""),5462.0)</f>
        <v>5462</v>
      </c>
      <c r="H1238" s="46">
        <f>IFERROR(__xludf.DUMMYFUNCTION("""COMPUTED_VALUE"""),1123533.4)</f>
        <v>1123533.4</v>
      </c>
      <c r="I1238" s="46">
        <f>IFERROR(__xludf.DUMMYFUNCTION("""COMPUTED_VALUE"""),639654.82)</f>
        <v>639654.82</v>
      </c>
      <c r="J1238" s="46">
        <f>IFERROR(__xludf.DUMMYFUNCTION("""COMPUTED_VALUE"""),483878.57999999996)</f>
        <v>483878.58</v>
      </c>
      <c r="K1238" s="46" t="str">
        <f t="array" ref="K1238">TEXT(D1238, "mmmm")</f>
        <v>June</v>
      </c>
    </row>
    <row r="1239">
      <c r="A1239" s="46" t="str">
        <f>IFERROR(__xludf.DUMMYFUNCTION("""COMPUTED_VALUE"""),"Cereal")</f>
        <v>Cereal</v>
      </c>
      <c r="B1239" s="46" t="str">
        <f>IFERROR(__xludf.DUMMYFUNCTION("""COMPUTED_VALUE"""),"Montenegro")</f>
        <v>Montenegro</v>
      </c>
      <c r="C1239" s="46" t="str">
        <f>IFERROR(__xludf.DUMMYFUNCTION("""COMPUTED_VALUE"""),"Europe")</f>
        <v>Europe</v>
      </c>
      <c r="D1239" s="90">
        <f>IFERROR(__xludf.DUMMYFUNCTION("""COMPUTED_VALUE"""),40330.0)</f>
        <v>40330</v>
      </c>
      <c r="E1239" s="46">
        <f>IFERROR(__xludf.DUMMYFUNCTION("""COMPUTED_VALUE"""),2010.0)</f>
        <v>2010</v>
      </c>
      <c r="F1239" s="46">
        <f>IFERROR(__xludf.DUMMYFUNCTION("""COMPUTED_VALUE"""),1.0)</f>
        <v>1</v>
      </c>
      <c r="G1239" s="46">
        <f>IFERROR(__xludf.DUMMYFUNCTION("""COMPUTED_VALUE"""),7642.0)</f>
        <v>7642</v>
      </c>
      <c r="H1239" s="46">
        <f>IFERROR(__xludf.DUMMYFUNCTION("""COMPUTED_VALUE"""),1571959.4)</f>
        <v>1571959.4</v>
      </c>
      <c r="I1239" s="46">
        <f>IFERROR(__xludf.DUMMYFUNCTION("""COMPUTED_VALUE"""),894954.62)</f>
        <v>894954.62</v>
      </c>
      <c r="J1239" s="46">
        <f>IFERROR(__xludf.DUMMYFUNCTION("""COMPUTED_VALUE"""),677004.7799999999)</f>
        <v>677004.78</v>
      </c>
      <c r="K1239" s="46" t="str">
        <f t="array" ref="K1239">TEXT(D1239, "mmmm")</f>
        <v>June</v>
      </c>
    </row>
    <row r="1240">
      <c r="A1240" s="46" t="str">
        <f>IFERROR(__xludf.DUMMYFUNCTION("""COMPUTED_VALUE"""),"Cosmetics")</f>
        <v>Cosmetics</v>
      </c>
      <c r="B1240" s="46" t="str">
        <f>IFERROR(__xludf.DUMMYFUNCTION("""COMPUTED_VALUE"""),"Malta")</f>
        <v>Malta</v>
      </c>
      <c r="C1240" s="46" t="str">
        <f>IFERROR(__xludf.DUMMYFUNCTION("""COMPUTED_VALUE"""),"Europe")</f>
        <v>Europe</v>
      </c>
      <c r="D1240" s="90">
        <f>IFERROR(__xludf.DUMMYFUNCTION("""COMPUTED_VALUE"""),40330.0)</f>
        <v>40330</v>
      </c>
      <c r="E1240" s="46">
        <f>IFERROR(__xludf.DUMMYFUNCTION("""COMPUTED_VALUE"""),2010.0)</f>
        <v>2010</v>
      </c>
      <c r="F1240" s="46">
        <f>IFERROR(__xludf.DUMMYFUNCTION("""COMPUTED_VALUE"""),1.0)</f>
        <v>1</v>
      </c>
      <c r="G1240" s="46">
        <f>IFERROR(__xludf.DUMMYFUNCTION("""COMPUTED_VALUE"""),2070.0)</f>
        <v>2070</v>
      </c>
      <c r="H1240" s="46">
        <f>IFERROR(__xludf.DUMMYFUNCTION("""COMPUTED_VALUE"""),905004.0)</f>
        <v>905004</v>
      </c>
      <c r="I1240" s="46">
        <f>IFERROR(__xludf.DUMMYFUNCTION("""COMPUTED_VALUE"""),545093.1)</f>
        <v>545093.1</v>
      </c>
      <c r="J1240" s="46">
        <f>IFERROR(__xludf.DUMMYFUNCTION("""COMPUTED_VALUE"""),359910.9)</f>
        <v>359910.9</v>
      </c>
      <c r="K1240" s="46" t="str">
        <f t="array" ref="K1240">TEXT(D1240, "mmmm")</f>
        <v>June</v>
      </c>
    </row>
    <row r="1241">
      <c r="A1241" s="46" t="str">
        <f>IFERROR(__xludf.DUMMYFUNCTION("""COMPUTED_VALUE"""),"Household")</f>
        <v>Household</v>
      </c>
      <c r="B1241" s="46" t="str">
        <f>IFERROR(__xludf.DUMMYFUNCTION("""COMPUTED_VALUE"""),"Sweden")</f>
        <v>Sweden</v>
      </c>
      <c r="C1241" s="46" t="str">
        <f>IFERROR(__xludf.DUMMYFUNCTION("""COMPUTED_VALUE"""),"Europe")</f>
        <v>Europe</v>
      </c>
      <c r="D1241" s="90">
        <f>IFERROR(__xludf.DUMMYFUNCTION("""COMPUTED_VALUE"""),40330.0)</f>
        <v>40330</v>
      </c>
      <c r="E1241" s="46">
        <f>IFERROR(__xludf.DUMMYFUNCTION("""COMPUTED_VALUE"""),2010.0)</f>
        <v>2010</v>
      </c>
      <c r="F1241" s="46">
        <f>IFERROR(__xludf.DUMMYFUNCTION("""COMPUTED_VALUE"""),1.0)</f>
        <v>1</v>
      </c>
      <c r="G1241" s="46">
        <f>IFERROR(__xludf.DUMMYFUNCTION("""COMPUTED_VALUE"""),5926.0)</f>
        <v>5926</v>
      </c>
      <c r="H1241" s="46">
        <f>IFERROR(__xludf.DUMMYFUNCTION("""COMPUTED_VALUE"""),3960168.02)</f>
        <v>3960168.02</v>
      </c>
      <c r="I1241" s="46">
        <f>IFERROR(__xludf.DUMMYFUNCTION("""COMPUTED_VALUE"""),2978052.04)</f>
        <v>2978052.04</v>
      </c>
      <c r="J1241" s="46">
        <f>IFERROR(__xludf.DUMMYFUNCTION("""COMPUTED_VALUE"""),982115.98)</f>
        <v>982115.98</v>
      </c>
      <c r="K1241" s="46" t="str">
        <f t="array" ref="K1241">TEXT(D1241, "mmmm")</f>
        <v>June</v>
      </c>
    </row>
    <row r="1242">
      <c r="A1242" s="46" t="str">
        <f>IFERROR(__xludf.DUMMYFUNCTION("""COMPUTED_VALUE"""),"Meat")</f>
        <v>Meat</v>
      </c>
      <c r="B1242" s="46" t="str">
        <f>IFERROR(__xludf.DUMMYFUNCTION("""COMPUTED_VALUE"""),"Undefined")</f>
        <v>Undefined</v>
      </c>
      <c r="C1242" s="46" t="str">
        <f>IFERROR(__xludf.DUMMYFUNCTION("""COMPUTED_VALUE"""),"Undefined")</f>
        <v>Undefined</v>
      </c>
      <c r="D1242" s="90">
        <f>IFERROR(__xludf.DUMMYFUNCTION("""COMPUTED_VALUE"""),40330.0)</f>
        <v>40330</v>
      </c>
      <c r="E1242" s="46">
        <f>IFERROR(__xludf.DUMMYFUNCTION("""COMPUTED_VALUE"""),2010.0)</f>
        <v>2010</v>
      </c>
      <c r="F1242" s="46">
        <f>IFERROR(__xludf.DUMMYFUNCTION("""COMPUTED_VALUE"""),2.0)</f>
        <v>2</v>
      </c>
      <c r="G1242" s="46">
        <f>IFERROR(__xludf.DUMMYFUNCTION("""COMPUTED_VALUE"""),10618.0)</f>
        <v>10618</v>
      </c>
      <c r="H1242" s="46">
        <f>IFERROR(__xludf.DUMMYFUNCTION("""COMPUTED_VALUE"""),4479628.02)</f>
        <v>4479628.02</v>
      </c>
      <c r="I1242" s="46">
        <f>IFERROR(__xludf.DUMMYFUNCTION("""COMPUTED_VALUE"""),3872278.42)</f>
        <v>3872278.42</v>
      </c>
      <c r="J1242" s="46">
        <f>IFERROR(__xludf.DUMMYFUNCTION("""COMPUTED_VALUE"""),607349.5999999994)</f>
        <v>607349.6</v>
      </c>
      <c r="K1242" s="46" t="str">
        <f t="array" ref="K1242">TEXT(D1242, "mmmm")</f>
        <v>June</v>
      </c>
    </row>
    <row r="1243">
      <c r="A1243" s="46" t="str">
        <f>IFERROR(__xludf.DUMMYFUNCTION("""COMPUTED_VALUE"""),"Office Supplies")</f>
        <v>Office Supplies</v>
      </c>
      <c r="B1243" s="46" t="str">
        <f>IFERROR(__xludf.DUMMYFUNCTION("""COMPUTED_VALUE"""),"Croatia")</f>
        <v>Croatia</v>
      </c>
      <c r="C1243" s="46" t="str">
        <f>IFERROR(__xludf.DUMMYFUNCTION("""COMPUTED_VALUE"""),"Europe")</f>
        <v>Europe</v>
      </c>
      <c r="D1243" s="90">
        <f>IFERROR(__xludf.DUMMYFUNCTION("""COMPUTED_VALUE"""),40330.0)</f>
        <v>40330</v>
      </c>
      <c r="E1243" s="46">
        <f>IFERROR(__xludf.DUMMYFUNCTION("""COMPUTED_VALUE"""),2010.0)</f>
        <v>2010</v>
      </c>
      <c r="F1243" s="46">
        <f>IFERROR(__xludf.DUMMYFUNCTION("""COMPUTED_VALUE"""),1.0)</f>
        <v>1</v>
      </c>
      <c r="G1243" s="46">
        <f>IFERROR(__xludf.DUMMYFUNCTION("""COMPUTED_VALUE"""),1522.0)</f>
        <v>1522</v>
      </c>
      <c r="H1243" s="46">
        <f>IFERROR(__xludf.DUMMYFUNCTION("""COMPUTED_VALUE"""),991141.6200000001)</f>
        <v>991141.62</v>
      </c>
      <c r="I1243" s="46">
        <f>IFERROR(__xludf.DUMMYFUNCTION("""COMPUTED_VALUE"""),798989.1200000001)</f>
        <v>798989.12</v>
      </c>
      <c r="J1243" s="46">
        <f>IFERROR(__xludf.DUMMYFUNCTION("""COMPUTED_VALUE"""),192152.5)</f>
        <v>192152.5</v>
      </c>
      <c r="K1243" s="46" t="str">
        <f t="array" ref="K1243">TEXT(D1243, "mmmm")</f>
        <v>June</v>
      </c>
    </row>
    <row r="1244">
      <c r="A1244" s="46" t="str">
        <f>IFERROR(__xludf.DUMMYFUNCTION("""COMPUTED_VALUE"""),"Office Supplies")</f>
        <v>Office Supplies</v>
      </c>
      <c r="B1244" s="46" t="str">
        <f>IFERROR(__xludf.DUMMYFUNCTION("""COMPUTED_VALUE"""),"Czech Republic")</f>
        <v>Czech Republic</v>
      </c>
      <c r="C1244" s="46" t="str">
        <f>IFERROR(__xludf.DUMMYFUNCTION("""COMPUTED_VALUE"""),"Europe")</f>
        <v>Europe</v>
      </c>
      <c r="D1244" s="90">
        <f>IFERROR(__xludf.DUMMYFUNCTION("""COMPUTED_VALUE"""),40330.0)</f>
        <v>40330</v>
      </c>
      <c r="E1244" s="46">
        <f>IFERROR(__xludf.DUMMYFUNCTION("""COMPUTED_VALUE"""),2010.0)</f>
        <v>2010</v>
      </c>
      <c r="F1244" s="46">
        <f>IFERROR(__xludf.DUMMYFUNCTION("""COMPUTED_VALUE"""),1.0)</f>
        <v>1</v>
      </c>
      <c r="G1244" s="46">
        <f>IFERROR(__xludf.DUMMYFUNCTION("""COMPUTED_VALUE"""),3886.0)</f>
        <v>3886</v>
      </c>
      <c r="H1244" s="46">
        <f>IFERROR(__xludf.DUMMYFUNCTION("""COMPUTED_VALUE"""),2530602.06)</f>
        <v>2530602.06</v>
      </c>
      <c r="I1244" s="46">
        <f>IFERROR(__xludf.DUMMYFUNCTION("""COMPUTED_VALUE"""),2039994.56)</f>
        <v>2039994.56</v>
      </c>
      <c r="J1244" s="46">
        <f>IFERROR(__xludf.DUMMYFUNCTION("""COMPUTED_VALUE"""),490607.5)</f>
        <v>490607.5</v>
      </c>
      <c r="K1244" s="46" t="str">
        <f t="array" ref="K1244">TEXT(D1244, "mmmm")</f>
        <v>June</v>
      </c>
    </row>
    <row r="1245">
      <c r="A1245" s="46" t="str">
        <f>IFERROR(__xludf.DUMMYFUNCTION("""COMPUTED_VALUE"""),"Office Supplies")</f>
        <v>Office Supplies</v>
      </c>
      <c r="B1245" s="46" t="str">
        <f>IFERROR(__xludf.DUMMYFUNCTION("""COMPUTED_VALUE"""),"France")</f>
        <v>France</v>
      </c>
      <c r="C1245" s="46" t="str">
        <f>IFERROR(__xludf.DUMMYFUNCTION("""COMPUTED_VALUE"""),"Europe")</f>
        <v>Europe</v>
      </c>
      <c r="D1245" s="90">
        <f>IFERROR(__xludf.DUMMYFUNCTION("""COMPUTED_VALUE"""),40330.0)</f>
        <v>40330</v>
      </c>
      <c r="E1245" s="46">
        <f>IFERROR(__xludf.DUMMYFUNCTION("""COMPUTED_VALUE"""),2010.0)</f>
        <v>2010</v>
      </c>
      <c r="F1245" s="46">
        <f>IFERROR(__xludf.DUMMYFUNCTION("""COMPUTED_VALUE"""),1.0)</f>
        <v>1</v>
      </c>
      <c r="G1245" s="46">
        <f>IFERROR(__xludf.DUMMYFUNCTION("""COMPUTED_VALUE"""),5682.0)</f>
        <v>5682</v>
      </c>
      <c r="H1245" s="46">
        <f>IFERROR(__xludf.DUMMYFUNCTION("""COMPUTED_VALUE"""),3700175.22)</f>
        <v>3700175.22</v>
      </c>
      <c r="I1245" s="46">
        <f>IFERROR(__xludf.DUMMYFUNCTION("""COMPUTED_VALUE"""),2982822.72)</f>
        <v>2982822.72</v>
      </c>
      <c r="J1245" s="46">
        <f>IFERROR(__xludf.DUMMYFUNCTION("""COMPUTED_VALUE"""),717352.5)</f>
        <v>717352.5</v>
      </c>
      <c r="K1245" s="46" t="str">
        <f t="array" ref="K1245">TEXT(D1245, "mmmm")</f>
        <v>June</v>
      </c>
    </row>
    <row r="1246">
      <c r="A1246" s="46" t="str">
        <f>IFERROR(__xludf.DUMMYFUNCTION("""COMPUTED_VALUE"""),"Personal Care")</f>
        <v>Personal Care</v>
      </c>
      <c r="B1246" s="46" t="str">
        <f>IFERROR(__xludf.DUMMYFUNCTION("""COMPUTED_VALUE"""),"Andorra")</f>
        <v>Andorra</v>
      </c>
      <c r="C1246" s="46" t="str">
        <f>IFERROR(__xludf.DUMMYFUNCTION("""COMPUTED_VALUE"""),"Europe")</f>
        <v>Europe</v>
      </c>
      <c r="D1246" s="90">
        <f>IFERROR(__xludf.DUMMYFUNCTION("""COMPUTED_VALUE"""),40330.0)</f>
        <v>40330</v>
      </c>
      <c r="E1246" s="46">
        <f>IFERROR(__xludf.DUMMYFUNCTION("""COMPUTED_VALUE"""),2010.0)</f>
        <v>2010</v>
      </c>
      <c r="F1246" s="46">
        <f>IFERROR(__xludf.DUMMYFUNCTION("""COMPUTED_VALUE"""),1.0)</f>
        <v>1</v>
      </c>
      <c r="G1246" s="46">
        <f>IFERROR(__xludf.DUMMYFUNCTION("""COMPUTED_VALUE"""),4419.0)</f>
        <v>4419</v>
      </c>
      <c r="H1246" s="46">
        <f>IFERROR(__xludf.DUMMYFUNCTION("""COMPUTED_VALUE"""),361164.87)</f>
        <v>361164.87</v>
      </c>
      <c r="I1246" s="46">
        <f>IFERROR(__xludf.DUMMYFUNCTION("""COMPUTED_VALUE"""),250424.73)</f>
        <v>250424.73</v>
      </c>
      <c r="J1246" s="46">
        <f>IFERROR(__xludf.DUMMYFUNCTION("""COMPUTED_VALUE"""),110740.13999999998)</f>
        <v>110740.14</v>
      </c>
      <c r="K1246" s="46" t="str">
        <f t="array" ref="K1246">TEXT(D1246, "mmmm")</f>
        <v>June</v>
      </c>
    </row>
    <row r="1247">
      <c r="A1247" s="46" t="str">
        <f>IFERROR(__xludf.DUMMYFUNCTION("""COMPUTED_VALUE"""),"Personal Care")</f>
        <v>Personal Care</v>
      </c>
      <c r="B1247" s="46" t="str">
        <f>IFERROR(__xludf.DUMMYFUNCTION("""COMPUTED_VALUE"""),"Slovenia")</f>
        <v>Slovenia</v>
      </c>
      <c r="C1247" s="46" t="str">
        <f>IFERROR(__xludf.DUMMYFUNCTION("""COMPUTED_VALUE"""),"Europe")</f>
        <v>Europe</v>
      </c>
      <c r="D1247" s="90">
        <f>IFERROR(__xludf.DUMMYFUNCTION("""COMPUTED_VALUE"""),40330.0)</f>
        <v>40330</v>
      </c>
      <c r="E1247" s="46">
        <f>IFERROR(__xludf.DUMMYFUNCTION("""COMPUTED_VALUE"""),2010.0)</f>
        <v>2010</v>
      </c>
      <c r="F1247" s="46">
        <f>IFERROR(__xludf.DUMMYFUNCTION("""COMPUTED_VALUE"""),1.0)</f>
        <v>1</v>
      </c>
      <c r="G1247" s="46">
        <f>IFERROR(__xludf.DUMMYFUNCTION("""COMPUTED_VALUE"""),3851.0)</f>
        <v>3851</v>
      </c>
      <c r="H1247" s="46">
        <f>IFERROR(__xludf.DUMMYFUNCTION("""COMPUTED_VALUE"""),314742.23000000004)</f>
        <v>314742.23</v>
      </c>
      <c r="I1247" s="46">
        <f>IFERROR(__xludf.DUMMYFUNCTION("""COMPUTED_VALUE"""),218236.17)</f>
        <v>218236.17</v>
      </c>
      <c r="J1247" s="46">
        <f>IFERROR(__xludf.DUMMYFUNCTION("""COMPUTED_VALUE"""),96506.06000000003)</f>
        <v>96506.06</v>
      </c>
      <c r="K1247" s="46" t="str">
        <f t="array" ref="K1247">TEXT(D1247, "mmmm")</f>
        <v>June</v>
      </c>
    </row>
    <row r="1248">
      <c r="A1248" s="46" t="str">
        <f>IFERROR(__xludf.DUMMYFUNCTION("""COMPUTED_VALUE"""),"Snacks")</f>
        <v>Snacks</v>
      </c>
      <c r="B1248" s="46" t="str">
        <f>IFERROR(__xludf.DUMMYFUNCTION("""COMPUTED_VALUE"""),"Portugal")</f>
        <v>Portugal</v>
      </c>
      <c r="C1248" s="46" t="str">
        <f>IFERROR(__xludf.DUMMYFUNCTION("""COMPUTED_VALUE"""),"Europe")</f>
        <v>Europe</v>
      </c>
      <c r="D1248" s="90">
        <f>IFERROR(__xludf.DUMMYFUNCTION("""COMPUTED_VALUE"""),40330.0)</f>
        <v>40330</v>
      </c>
      <c r="E1248" s="46">
        <f>IFERROR(__xludf.DUMMYFUNCTION("""COMPUTED_VALUE"""),2010.0)</f>
        <v>2010</v>
      </c>
      <c r="F1248" s="46">
        <f>IFERROR(__xludf.DUMMYFUNCTION("""COMPUTED_VALUE"""),1.0)</f>
        <v>1</v>
      </c>
      <c r="G1248" s="46">
        <f>IFERROR(__xludf.DUMMYFUNCTION("""COMPUTED_VALUE"""),6592.0)</f>
        <v>6592</v>
      </c>
      <c r="H1248" s="46">
        <f>IFERROR(__xludf.DUMMYFUNCTION("""COMPUTED_VALUE"""),1005807.3600000001)</f>
        <v>1005807.36</v>
      </c>
      <c r="I1248" s="46">
        <f>IFERROR(__xludf.DUMMYFUNCTION("""COMPUTED_VALUE"""),642324.48)</f>
        <v>642324.48</v>
      </c>
      <c r="J1248" s="46">
        <f>IFERROR(__xludf.DUMMYFUNCTION("""COMPUTED_VALUE"""),363482.8800000001)</f>
        <v>363482.88</v>
      </c>
      <c r="K1248" s="46" t="str">
        <f t="array" ref="K1248">TEXT(D1248, "mmmm")</f>
        <v>June</v>
      </c>
    </row>
    <row r="1249">
      <c r="A1249" s="46" t="str">
        <f>IFERROR(__xludf.DUMMYFUNCTION("""COMPUTED_VALUE"""),"Baby Food")</f>
        <v>Baby Food</v>
      </c>
      <c r="B1249" s="46" t="str">
        <f>IFERROR(__xludf.DUMMYFUNCTION("""COMPUTED_VALUE"""),"Sweden")</f>
        <v>Sweden</v>
      </c>
      <c r="C1249" s="46" t="str">
        <f>IFERROR(__xludf.DUMMYFUNCTION("""COMPUTED_VALUE"""),"Europe")</f>
        <v>Europe</v>
      </c>
      <c r="D1249" s="90">
        <f>IFERROR(__xludf.DUMMYFUNCTION("""COMPUTED_VALUE"""),40299.0)</f>
        <v>40299</v>
      </c>
      <c r="E1249" s="46">
        <f>IFERROR(__xludf.DUMMYFUNCTION("""COMPUTED_VALUE"""),2010.0)</f>
        <v>2010</v>
      </c>
      <c r="F1249" s="46">
        <f>IFERROR(__xludf.DUMMYFUNCTION("""COMPUTED_VALUE"""),1.0)</f>
        <v>1</v>
      </c>
      <c r="G1249" s="46">
        <f>IFERROR(__xludf.DUMMYFUNCTION("""COMPUTED_VALUE"""),4840.0)</f>
        <v>4840</v>
      </c>
      <c r="H1249" s="46">
        <f>IFERROR(__xludf.DUMMYFUNCTION("""COMPUTED_VALUE"""),1235555.2)</f>
        <v>1235555.2</v>
      </c>
      <c r="I1249" s="46">
        <f>IFERROR(__xludf.DUMMYFUNCTION("""COMPUTED_VALUE"""),771592.7999999999)</f>
        <v>771592.8</v>
      </c>
      <c r="J1249" s="46">
        <f>IFERROR(__xludf.DUMMYFUNCTION("""COMPUTED_VALUE"""),463962.4)</f>
        <v>463962.4</v>
      </c>
      <c r="K1249" s="46" t="str">
        <f t="array" ref="K1249">TEXT(D1249, "mmmm")</f>
        <v>May</v>
      </c>
    </row>
    <row r="1250">
      <c r="A1250" s="46" t="str">
        <f>IFERROR(__xludf.DUMMYFUNCTION("""COMPUTED_VALUE"""),"Beverages")</f>
        <v>Beverages</v>
      </c>
      <c r="B1250" s="46" t="str">
        <f>IFERROR(__xludf.DUMMYFUNCTION("""COMPUTED_VALUE"""),"Czech Republic")</f>
        <v>Czech Republic</v>
      </c>
      <c r="C1250" s="46" t="str">
        <f>IFERROR(__xludf.DUMMYFUNCTION("""COMPUTED_VALUE"""),"Europe")</f>
        <v>Europe</v>
      </c>
      <c r="D1250" s="90">
        <f>IFERROR(__xludf.DUMMYFUNCTION("""COMPUTED_VALUE"""),40299.0)</f>
        <v>40299</v>
      </c>
      <c r="E1250" s="46">
        <f>IFERROR(__xludf.DUMMYFUNCTION("""COMPUTED_VALUE"""),2010.0)</f>
        <v>2010</v>
      </c>
      <c r="F1250" s="46">
        <f>IFERROR(__xludf.DUMMYFUNCTION("""COMPUTED_VALUE"""),1.0)</f>
        <v>1</v>
      </c>
      <c r="G1250" s="46">
        <f>IFERROR(__xludf.DUMMYFUNCTION("""COMPUTED_VALUE"""),1785.0)</f>
        <v>1785</v>
      </c>
      <c r="H1250" s="46">
        <f>IFERROR(__xludf.DUMMYFUNCTION("""COMPUTED_VALUE"""),84698.25)</f>
        <v>84698.25</v>
      </c>
      <c r="I1250" s="46">
        <f>IFERROR(__xludf.DUMMYFUNCTION("""COMPUTED_VALUE"""),56745.15)</f>
        <v>56745.15</v>
      </c>
      <c r="J1250" s="46">
        <f>IFERROR(__xludf.DUMMYFUNCTION("""COMPUTED_VALUE"""),27953.1)</f>
        <v>27953.1</v>
      </c>
      <c r="K1250" s="46" t="str">
        <f t="array" ref="K1250">TEXT(D1250, "mmmm")</f>
        <v>May</v>
      </c>
    </row>
    <row r="1251">
      <c r="A1251" s="46" t="str">
        <f>IFERROR(__xludf.DUMMYFUNCTION("""COMPUTED_VALUE"""),"Cereal")</f>
        <v>Cereal</v>
      </c>
      <c r="B1251" s="46" t="str">
        <f>IFERROR(__xludf.DUMMYFUNCTION("""COMPUTED_VALUE"""),"Austria")</f>
        <v>Austria</v>
      </c>
      <c r="C1251" s="46" t="str">
        <f>IFERROR(__xludf.DUMMYFUNCTION("""COMPUTED_VALUE"""),"Europe")</f>
        <v>Europe</v>
      </c>
      <c r="D1251" s="90">
        <f>IFERROR(__xludf.DUMMYFUNCTION("""COMPUTED_VALUE"""),40299.0)</f>
        <v>40299</v>
      </c>
      <c r="E1251" s="46">
        <f>IFERROR(__xludf.DUMMYFUNCTION("""COMPUTED_VALUE"""),2010.0)</f>
        <v>2010</v>
      </c>
      <c r="F1251" s="46">
        <f>IFERROR(__xludf.DUMMYFUNCTION("""COMPUTED_VALUE"""),1.0)</f>
        <v>1</v>
      </c>
      <c r="G1251" s="46">
        <f>IFERROR(__xludf.DUMMYFUNCTION("""COMPUTED_VALUE"""),8302.0)</f>
        <v>8302</v>
      </c>
      <c r="H1251" s="46">
        <f>IFERROR(__xludf.DUMMYFUNCTION("""COMPUTED_VALUE"""),1707721.4)</f>
        <v>1707721.4</v>
      </c>
      <c r="I1251" s="46">
        <f>IFERROR(__xludf.DUMMYFUNCTION("""COMPUTED_VALUE"""),972247.22)</f>
        <v>972247.22</v>
      </c>
      <c r="J1251" s="46">
        <f>IFERROR(__xludf.DUMMYFUNCTION("""COMPUTED_VALUE"""),735474.1799999999)</f>
        <v>735474.18</v>
      </c>
      <c r="K1251" s="46" t="str">
        <f t="array" ref="K1251">TEXT(D1251, "mmmm")</f>
        <v>May</v>
      </c>
    </row>
    <row r="1252">
      <c r="A1252" s="46" t="str">
        <f>IFERROR(__xludf.DUMMYFUNCTION("""COMPUTED_VALUE"""),"Clothes")</f>
        <v>Clothes</v>
      </c>
      <c r="B1252" s="46" t="str">
        <f>IFERROR(__xludf.DUMMYFUNCTION("""COMPUTED_VALUE"""),"Bulgaria")</f>
        <v>Bulgaria</v>
      </c>
      <c r="C1252" s="46" t="str">
        <f>IFERROR(__xludf.DUMMYFUNCTION("""COMPUTED_VALUE"""),"Europe")</f>
        <v>Europe</v>
      </c>
      <c r="D1252" s="90">
        <f>IFERROR(__xludf.DUMMYFUNCTION("""COMPUTED_VALUE"""),40299.0)</f>
        <v>40299</v>
      </c>
      <c r="E1252" s="46">
        <f>IFERROR(__xludf.DUMMYFUNCTION("""COMPUTED_VALUE"""),2010.0)</f>
        <v>2010</v>
      </c>
      <c r="F1252" s="46">
        <f>IFERROR(__xludf.DUMMYFUNCTION("""COMPUTED_VALUE"""),1.0)</f>
        <v>1</v>
      </c>
      <c r="G1252" s="46">
        <f>IFERROR(__xludf.DUMMYFUNCTION("""COMPUTED_VALUE"""),6153.0)</f>
        <v>6153</v>
      </c>
      <c r="H1252" s="46">
        <f>IFERROR(__xludf.DUMMYFUNCTION("""COMPUTED_VALUE"""),672399.84)</f>
        <v>672399.84</v>
      </c>
      <c r="I1252" s="46">
        <f>IFERROR(__xludf.DUMMYFUNCTION("""COMPUTED_VALUE"""),220523.52000000002)</f>
        <v>220523.52</v>
      </c>
      <c r="J1252" s="46">
        <f>IFERROR(__xludf.DUMMYFUNCTION("""COMPUTED_VALUE"""),451876.31999999995)</f>
        <v>451876.32</v>
      </c>
      <c r="K1252" s="46" t="str">
        <f t="array" ref="K1252">TEXT(D1252, "mmmm")</f>
        <v>May</v>
      </c>
    </row>
    <row r="1253">
      <c r="A1253" s="46" t="str">
        <f>IFERROR(__xludf.DUMMYFUNCTION("""COMPUTED_VALUE"""),"Cosmetics")</f>
        <v>Cosmetics</v>
      </c>
      <c r="B1253" s="46" t="str">
        <f>IFERROR(__xludf.DUMMYFUNCTION("""COMPUTED_VALUE"""),"Greece")</f>
        <v>Greece</v>
      </c>
      <c r="C1253" s="46" t="str">
        <f>IFERROR(__xludf.DUMMYFUNCTION("""COMPUTED_VALUE"""),"Europe")</f>
        <v>Europe</v>
      </c>
      <c r="D1253" s="90">
        <f>IFERROR(__xludf.DUMMYFUNCTION("""COMPUTED_VALUE"""),40299.0)</f>
        <v>40299</v>
      </c>
      <c r="E1253" s="46">
        <f>IFERROR(__xludf.DUMMYFUNCTION("""COMPUTED_VALUE"""),2010.0)</f>
        <v>2010</v>
      </c>
      <c r="F1253" s="46">
        <f>IFERROR(__xludf.DUMMYFUNCTION("""COMPUTED_VALUE"""),1.0)</f>
        <v>1</v>
      </c>
      <c r="G1253" s="46">
        <f>IFERROR(__xludf.DUMMYFUNCTION("""COMPUTED_VALUE"""),7948.0)</f>
        <v>7948</v>
      </c>
      <c r="H1253" s="46">
        <f>IFERROR(__xludf.DUMMYFUNCTION("""COMPUTED_VALUE"""),3474865.6)</f>
        <v>3474865.6</v>
      </c>
      <c r="I1253" s="46">
        <f>IFERROR(__xludf.DUMMYFUNCTION("""COMPUTED_VALUE"""),2092946.8399999999)</f>
        <v>2092946.84</v>
      </c>
      <c r="J1253" s="46">
        <f>IFERROR(__xludf.DUMMYFUNCTION("""COMPUTED_VALUE"""),1381918.7600000002)</f>
        <v>1381918.76</v>
      </c>
      <c r="K1253" s="46" t="str">
        <f t="array" ref="K1253">TEXT(D1253, "mmmm")</f>
        <v>May</v>
      </c>
    </row>
    <row r="1254">
      <c r="A1254" s="46" t="str">
        <f>IFERROR(__xludf.DUMMYFUNCTION("""COMPUTED_VALUE"""),"Fruits")</f>
        <v>Fruits</v>
      </c>
      <c r="B1254" s="46" t="str">
        <f>IFERROR(__xludf.DUMMYFUNCTION("""COMPUTED_VALUE"""),"Ireland")</f>
        <v>Ireland</v>
      </c>
      <c r="C1254" s="46" t="str">
        <f>IFERROR(__xludf.DUMMYFUNCTION("""COMPUTED_VALUE"""),"Europe")</f>
        <v>Europe</v>
      </c>
      <c r="D1254" s="90">
        <f>IFERROR(__xludf.DUMMYFUNCTION("""COMPUTED_VALUE"""),40299.0)</f>
        <v>40299</v>
      </c>
      <c r="E1254" s="46">
        <f>IFERROR(__xludf.DUMMYFUNCTION("""COMPUTED_VALUE"""),2010.0)</f>
        <v>2010</v>
      </c>
      <c r="F1254" s="46">
        <f>IFERROR(__xludf.DUMMYFUNCTION("""COMPUTED_VALUE"""),1.0)</f>
        <v>1</v>
      </c>
      <c r="G1254" s="46">
        <f>IFERROR(__xludf.DUMMYFUNCTION("""COMPUTED_VALUE"""),6801.0)</f>
        <v>6801</v>
      </c>
      <c r="H1254" s="46">
        <f>IFERROR(__xludf.DUMMYFUNCTION("""COMPUTED_VALUE"""),63453.33)</f>
        <v>63453.33</v>
      </c>
      <c r="I1254" s="46">
        <f>IFERROR(__xludf.DUMMYFUNCTION("""COMPUTED_VALUE"""),47062.92)</f>
        <v>47062.92</v>
      </c>
      <c r="J1254" s="46">
        <f>IFERROR(__xludf.DUMMYFUNCTION("""COMPUTED_VALUE"""),16390.410000000003)</f>
        <v>16390.41</v>
      </c>
      <c r="K1254" s="46" t="str">
        <f t="array" ref="K1254">TEXT(D1254, "mmmm")</f>
        <v>May</v>
      </c>
    </row>
    <row r="1255">
      <c r="A1255" s="46" t="str">
        <f>IFERROR(__xludf.DUMMYFUNCTION("""COMPUTED_VALUE"""),"Fruits")</f>
        <v>Fruits</v>
      </c>
      <c r="B1255" s="46" t="str">
        <f>IFERROR(__xludf.DUMMYFUNCTION("""COMPUTED_VALUE"""),"Undefined")</f>
        <v>Undefined</v>
      </c>
      <c r="C1255" s="46" t="str">
        <f>IFERROR(__xludf.DUMMYFUNCTION("""COMPUTED_VALUE"""),"Undefined")</f>
        <v>Undefined</v>
      </c>
      <c r="D1255" s="90">
        <f>IFERROR(__xludf.DUMMYFUNCTION("""COMPUTED_VALUE"""),40299.0)</f>
        <v>40299</v>
      </c>
      <c r="E1255" s="46">
        <f>IFERROR(__xludf.DUMMYFUNCTION("""COMPUTED_VALUE"""),2010.0)</f>
        <v>2010</v>
      </c>
      <c r="F1255" s="46">
        <f>IFERROR(__xludf.DUMMYFUNCTION("""COMPUTED_VALUE"""),1.0)</f>
        <v>1</v>
      </c>
      <c r="G1255" s="46">
        <f>IFERROR(__xludf.DUMMYFUNCTION("""COMPUTED_VALUE"""),6788.0)</f>
        <v>6788</v>
      </c>
      <c r="H1255" s="46">
        <f>IFERROR(__xludf.DUMMYFUNCTION("""COMPUTED_VALUE"""),63332.04)</f>
        <v>63332.04</v>
      </c>
      <c r="I1255" s="46">
        <f>IFERROR(__xludf.DUMMYFUNCTION("""COMPUTED_VALUE"""),46972.96)</f>
        <v>46972.96</v>
      </c>
      <c r="J1255" s="46">
        <f>IFERROR(__xludf.DUMMYFUNCTION("""COMPUTED_VALUE"""),16359.080000000002)</f>
        <v>16359.08</v>
      </c>
      <c r="K1255" s="46" t="str">
        <f t="array" ref="K1255">TEXT(D1255, "mmmm")</f>
        <v>May</v>
      </c>
    </row>
    <row r="1256">
      <c r="A1256" s="46" t="str">
        <f>IFERROR(__xludf.DUMMYFUNCTION("""COMPUTED_VALUE"""),"Household")</f>
        <v>Household</v>
      </c>
      <c r="B1256" s="46" t="str">
        <f>IFERROR(__xludf.DUMMYFUNCTION("""COMPUTED_VALUE"""),"Denmark")</f>
        <v>Denmark</v>
      </c>
      <c r="C1256" s="46" t="str">
        <f>IFERROR(__xludf.DUMMYFUNCTION("""COMPUTED_VALUE"""),"Europe")</f>
        <v>Europe</v>
      </c>
      <c r="D1256" s="90">
        <f>IFERROR(__xludf.DUMMYFUNCTION("""COMPUTED_VALUE"""),40299.0)</f>
        <v>40299</v>
      </c>
      <c r="E1256" s="46">
        <f>IFERROR(__xludf.DUMMYFUNCTION("""COMPUTED_VALUE"""),2010.0)</f>
        <v>2010</v>
      </c>
      <c r="F1256" s="46">
        <f>IFERROR(__xludf.DUMMYFUNCTION("""COMPUTED_VALUE"""),1.0)</f>
        <v>1</v>
      </c>
      <c r="G1256" s="46">
        <f>IFERROR(__xludf.DUMMYFUNCTION("""COMPUTED_VALUE"""),7684.0)</f>
        <v>7684</v>
      </c>
      <c r="H1256" s="46">
        <f>IFERROR(__xludf.DUMMYFUNCTION("""COMPUTED_VALUE"""),5134986.68)</f>
        <v>5134986.68</v>
      </c>
      <c r="I1256" s="46">
        <f>IFERROR(__xludf.DUMMYFUNCTION("""COMPUTED_VALUE"""),3861517.3600000003)</f>
        <v>3861517.36</v>
      </c>
      <c r="J1256" s="46">
        <f>IFERROR(__xludf.DUMMYFUNCTION("""COMPUTED_VALUE"""),1273469.3199999994)</f>
        <v>1273469.32</v>
      </c>
      <c r="K1256" s="46" t="str">
        <f t="array" ref="K1256">TEXT(D1256, "mmmm")</f>
        <v>May</v>
      </c>
    </row>
    <row r="1257">
      <c r="A1257" s="46" t="str">
        <f>IFERROR(__xludf.DUMMYFUNCTION("""COMPUTED_VALUE"""),"Office Supplies")</f>
        <v>Office Supplies</v>
      </c>
      <c r="B1257" s="46" t="str">
        <f>IFERROR(__xludf.DUMMYFUNCTION("""COMPUTED_VALUE"""),"Bosnia and Herzegovina")</f>
        <v>Bosnia and Herzegovina</v>
      </c>
      <c r="C1257" s="46" t="str">
        <f>IFERROR(__xludf.DUMMYFUNCTION("""COMPUTED_VALUE"""),"Europe")</f>
        <v>Europe</v>
      </c>
      <c r="D1257" s="90">
        <f>IFERROR(__xludf.DUMMYFUNCTION("""COMPUTED_VALUE"""),40299.0)</f>
        <v>40299</v>
      </c>
      <c r="E1257" s="46">
        <f>IFERROR(__xludf.DUMMYFUNCTION("""COMPUTED_VALUE"""),2010.0)</f>
        <v>2010</v>
      </c>
      <c r="F1257" s="46">
        <f>IFERROR(__xludf.DUMMYFUNCTION("""COMPUTED_VALUE"""),1.0)</f>
        <v>1</v>
      </c>
      <c r="G1257" s="46">
        <f>IFERROR(__xludf.DUMMYFUNCTION("""COMPUTED_VALUE"""),2.0)</f>
        <v>2</v>
      </c>
      <c r="H1257" s="46">
        <f>IFERROR(__xludf.DUMMYFUNCTION("""COMPUTED_VALUE"""),1302.42)</f>
        <v>1302.42</v>
      </c>
      <c r="I1257" s="46">
        <f>IFERROR(__xludf.DUMMYFUNCTION("""COMPUTED_VALUE"""),1049.92)</f>
        <v>1049.92</v>
      </c>
      <c r="J1257" s="46">
        <f>IFERROR(__xludf.DUMMYFUNCTION("""COMPUTED_VALUE"""),252.5)</f>
        <v>252.5</v>
      </c>
      <c r="K1257" s="46" t="str">
        <f t="array" ref="K1257">TEXT(D1257, "mmmm")</f>
        <v>May</v>
      </c>
    </row>
    <row r="1258">
      <c r="A1258" s="46" t="str">
        <f>IFERROR(__xludf.DUMMYFUNCTION("""COMPUTED_VALUE"""),"Office Supplies")</f>
        <v>Office Supplies</v>
      </c>
      <c r="B1258" s="46" t="str">
        <f>IFERROR(__xludf.DUMMYFUNCTION("""COMPUTED_VALUE"""),"Latvia")</f>
        <v>Latvia</v>
      </c>
      <c r="C1258" s="46" t="str">
        <f>IFERROR(__xludf.DUMMYFUNCTION("""COMPUTED_VALUE"""),"Europe")</f>
        <v>Europe</v>
      </c>
      <c r="D1258" s="90">
        <f>IFERROR(__xludf.DUMMYFUNCTION("""COMPUTED_VALUE"""),40299.0)</f>
        <v>40299</v>
      </c>
      <c r="E1258" s="46">
        <f>IFERROR(__xludf.DUMMYFUNCTION("""COMPUTED_VALUE"""),2010.0)</f>
        <v>2010</v>
      </c>
      <c r="F1258" s="46">
        <f>IFERROR(__xludf.DUMMYFUNCTION("""COMPUTED_VALUE"""),1.0)</f>
        <v>1</v>
      </c>
      <c r="G1258" s="46">
        <f>IFERROR(__xludf.DUMMYFUNCTION("""COMPUTED_VALUE"""),4375.0)</f>
        <v>4375</v>
      </c>
      <c r="H1258" s="46">
        <f>IFERROR(__xludf.DUMMYFUNCTION("""COMPUTED_VALUE"""),2849043.75)</f>
        <v>2849043.75</v>
      </c>
      <c r="I1258" s="46">
        <f>IFERROR(__xludf.DUMMYFUNCTION("""COMPUTED_VALUE"""),2296700.0)</f>
        <v>2296700</v>
      </c>
      <c r="J1258" s="46">
        <f>IFERROR(__xludf.DUMMYFUNCTION("""COMPUTED_VALUE"""),552343.75)</f>
        <v>552343.75</v>
      </c>
      <c r="K1258" s="46" t="str">
        <f t="array" ref="K1258">TEXT(D1258, "mmmm")</f>
        <v>May</v>
      </c>
    </row>
    <row r="1259">
      <c r="A1259" s="46" t="str">
        <f>IFERROR(__xludf.DUMMYFUNCTION("""COMPUTED_VALUE"""),"Personal Care")</f>
        <v>Personal Care</v>
      </c>
      <c r="B1259" s="46" t="str">
        <f>IFERROR(__xludf.DUMMYFUNCTION("""COMPUTED_VALUE"""),"Austria")</f>
        <v>Austria</v>
      </c>
      <c r="C1259" s="46" t="str">
        <f>IFERROR(__xludf.DUMMYFUNCTION("""COMPUTED_VALUE"""),"Europe")</f>
        <v>Europe</v>
      </c>
      <c r="D1259" s="90">
        <f>IFERROR(__xludf.DUMMYFUNCTION("""COMPUTED_VALUE"""),40299.0)</f>
        <v>40299</v>
      </c>
      <c r="E1259" s="46">
        <f>IFERROR(__xludf.DUMMYFUNCTION("""COMPUTED_VALUE"""),2010.0)</f>
        <v>2010</v>
      </c>
      <c r="F1259" s="46">
        <f>IFERROR(__xludf.DUMMYFUNCTION("""COMPUTED_VALUE"""),1.0)</f>
        <v>1</v>
      </c>
      <c r="G1259" s="46">
        <f>IFERROR(__xludf.DUMMYFUNCTION("""COMPUTED_VALUE"""),6348.0)</f>
        <v>6348</v>
      </c>
      <c r="H1259" s="46">
        <f>IFERROR(__xludf.DUMMYFUNCTION("""COMPUTED_VALUE"""),518822.04000000004)</f>
        <v>518822.04</v>
      </c>
      <c r="I1259" s="46">
        <f>IFERROR(__xludf.DUMMYFUNCTION("""COMPUTED_VALUE"""),359741.16000000003)</f>
        <v>359741.16</v>
      </c>
      <c r="J1259" s="46">
        <f>IFERROR(__xludf.DUMMYFUNCTION("""COMPUTED_VALUE"""),159080.88)</f>
        <v>159080.88</v>
      </c>
      <c r="K1259" s="46" t="str">
        <f t="array" ref="K1259">TEXT(D1259, "mmmm")</f>
        <v>May</v>
      </c>
    </row>
    <row r="1260">
      <c r="A1260" s="46" t="str">
        <f>IFERROR(__xludf.DUMMYFUNCTION("""COMPUTED_VALUE"""),"Personal Care")</f>
        <v>Personal Care</v>
      </c>
      <c r="B1260" s="46" t="str">
        <f>IFERROR(__xludf.DUMMYFUNCTION("""COMPUTED_VALUE"""),"Ireland")</f>
        <v>Ireland</v>
      </c>
      <c r="C1260" s="46" t="str">
        <f>IFERROR(__xludf.DUMMYFUNCTION("""COMPUTED_VALUE"""),"Europe")</f>
        <v>Europe</v>
      </c>
      <c r="D1260" s="90">
        <f>IFERROR(__xludf.DUMMYFUNCTION("""COMPUTED_VALUE"""),40299.0)</f>
        <v>40299</v>
      </c>
      <c r="E1260" s="46">
        <f>IFERROR(__xludf.DUMMYFUNCTION("""COMPUTED_VALUE"""),2010.0)</f>
        <v>2010</v>
      </c>
      <c r="F1260" s="46">
        <f>IFERROR(__xludf.DUMMYFUNCTION("""COMPUTED_VALUE"""),1.0)</f>
        <v>1</v>
      </c>
      <c r="G1260" s="46">
        <f>IFERROR(__xludf.DUMMYFUNCTION("""COMPUTED_VALUE"""),1011.0)</f>
        <v>1011</v>
      </c>
      <c r="H1260" s="46">
        <f>IFERROR(__xludf.DUMMYFUNCTION("""COMPUTED_VALUE"""),82629.03)</f>
        <v>82629.03</v>
      </c>
      <c r="I1260" s="46">
        <f>IFERROR(__xludf.DUMMYFUNCTION("""COMPUTED_VALUE"""),57293.37)</f>
        <v>57293.37</v>
      </c>
      <c r="J1260" s="46">
        <f>IFERROR(__xludf.DUMMYFUNCTION("""COMPUTED_VALUE"""),25335.659999999996)</f>
        <v>25335.66</v>
      </c>
      <c r="K1260" s="46" t="str">
        <f t="array" ref="K1260">TEXT(D1260, "mmmm")</f>
        <v>May</v>
      </c>
    </row>
    <row r="1261">
      <c r="A1261" s="46" t="str">
        <f>IFERROR(__xludf.DUMMYFUNCTION("""COMPUTED_VALUE"""),"Personal Care")</f>
        <v>Personal Care</v>
      </c>
      <c r="B1261" s="46" t="str">
        <f>IFERROR(__xludf.DUMMYFUNCTION("""COMPUTED_VALUE"""),"Netherlands")</f>
        <v>Netherlands</v>
      </c>
      <c r="C1261" s="46" t="str">
        <f>IFERROR(__xludf.DUMMYFUNCTION("""COMPUTED_VALUE"""),"Europe")</f>
        <v>Europe</v>
      </c>
      <c r="D1261" s="90">
        <f>IFERROR(__xludf.DUMMYFUNCTION("""COMPUTED_VALUE"""),40299.0)</f>
        <v>40299</v>
      </c>
      <c r="E1261" s="46">
        <f>IFERROR(__xludf.DUMMYFUNCTION("""COMPUTED_VALUE"""),2010.0)</f>
        <v>2010</v>
      </c>
      <c r="F1261" s="46">
        <f>IFERROR(__xludf.DUMMYFUNCTION("""COMPUTED_VALUE"""),1.0)</f>
        <v>1</v>
      </c>
      <c r="G1261" s="46">
        <f>IFERROR(__xludf.DUMMYFUNCTION("""COMPUTED_VALUE"""),3045.0)</f>
        <v>3045</v>
      </c>
      <c r="H1261" s="46">
        <f>IFERROR(__xludf.DUMMYFUNCTION("""COMPUTED_VALUE"""),248867.85)</f>
        <v>248867.85</v>
      </c>
      <c r="I1261" s="46">
        <f>IFERROR(__xludf.DUMMYFUNCTION("""COMPUTED_VALUE"""),172560.15)</f>
        <v>172560.15</v>
      </c>
      <c r="J1261" s="46">
        <f>IFERROR(__xludf.DUMMYFUNCTION("""COMPUTED_VALUE"""),76307.70000000001)</f>
        <v>76307.7</v>
      </c>
      <c r="K1261" s="46" t="str">
        <f t="array" ref="K1261">TEXT(D1261, "mmmm")</f>
        <v>May</v>
      </c>
    </row>
    <row r="1262">
      <c r="A1262" s="46" t="str">
        <f>IFERROR(__xludf.DUMMYFUNCTION("""COMPUTED_VALUE"""),"Personal Care")</f>
        <v>Personal Care</v>
      </c>
      <c r="B1262" s="46" t="str">
        <f>IFERROR(__xludf.DUMMYFUNCTION("""COMPUTED_VALUE"""),"San Marino")</f>
        <v>San Marino</v>
      </c>
      <c r="C1262" s="46" t="str">
        <f>IFERROR(__xludf.DUMMYFUNCTION("""COMPUTED_VALUE"""),"Europe")</f>
        <v>Europe</v>
      </c>
      <c r="D1262" s="90">
        <f>IFERROR(__xludf.DUMMYFUNCTION("""COMPUTED_VALUE"""),40299.0)</f>
        <v>40299</v>
      </c>
      <c r="E1262" s="46">
        <f>IFERROR(__xludf.DUMMYFUNCTION("""COMPUTED_VALUE"""),2010.0)</f>
        <v>2010</v>
      </c>
      <c r="F1262" s="46">
        <f>IFERROR(__xludf.DUMMYFUNCTION("""COMPUTED_VALUE"""),1.0)</f>
        <v>1</v>
      </c>
      <c r="G1262" s="46">
        <f>IFERROR(__xludf.DUMMYFUNCTION("""COMPUTED_VALUE"""),6916.0)</f>
        <v>6916</v>
      </c>
      <c r="H1262" s="46">
        <f>IFERROR(__xludf.DUMMYFUNCTION("""COMPUTED_VALUE"""),565244.68)</f>
        <v>565244.68</v>
      </c>
      <c r="I1262" s="46">
        <f>IFERROR(__xludf.DUMMYFUNCTION("""COMPUTED_VALUE"""),391929.72000000003)</f>
        <v>391929.72</v>
      </c>
      <c r="J1262" s="46">
        <f>IFERROR(__xludf.DUMMYFUNCTION("""COMPUTED_VALUE"""),173314.96000000002)</f>
        <v>173314.96</v>
      </c>
      <c r="K1262" s="46" t="str">
        <f t="array" ref="K1262">TEXT(D1262, "mmmm")</f>
        <v>May</v>
      </c>
    </row>
    <row r="1263">
      <c r="A1263" s="46" t="str">
        <f>IFERROR(__xludf.DUMMYFUNCTION("""COMPUTED_VALUE"""),"Snacks")</f>
        <v>Snacks</v>
      </c>
      <c r="B1263" s="46" t="str">
        <f>IFERROR(__xludf.DUMMYFUNCTION("""COMPUTED_VALUE"""),"Andorra")</f>
        <v>Andorra</v>
      </c>
      <c r="C1263" s="46" t="str">
        <f>IFERROR(__xludf.DUMMYFUNCTION("""COMPUTED_VALUE"""),"Europe")</f>
        <v>Europe</v>
      </c>
      <c r="D1263" s="90">
        <f>IFERROR(__xludf.DUMMYFUNCTION("""COMPUTED_VALUE"""),40299.0)</f>
        <v>40299</v>
      </c>
      <c r="E1263" s="46">
        <f>IFERROR(__xludf.DUMMYFUNCTION("""COMPUTED_VALUE"""),2010.0)</f>
        <v>2010</v>
      </c>
      <c r="F1263" s="46">
        <f>IFERROR(__xludf.DUMMYFUNCTION("""COMPUTED_VALUE"""),1.0)</f>
        <v>1</v>
      </c>
      <c r="G1263" s="46">
        <f>IFERROR(__xludf.DUMMYFUNCTION("""COMPUTED_VALUE"""),3646.0)</f>
        <v>3646</v>
      </c>
      <c r="H1263" s="46">
        <f>IFERROR(__xludf.DUMMYFUNCTION("""COMPUTED_VALUE"""),556306.68)</f>
        <v>556306.68</v>
      </c>
      <c r="I1263" s="46">
        <f>IFERROR(__xludf.DUMMYFUNCTION("""COMPUTED_VALUE"""),355266.24)</f>
        <v>355266.24</v>
      </c>
      <c r="J1263" s="46">
        <f>IFERROR(__xludf.DUMMYFUNCTION("""COMPUTED_VALUE"""),201040.44000000006)</f>
        <v>201040.44</v>
      </c>
      <c r="K1263" s="46" t="str">
        <f t="array" ref="K1263">TEXT(D1263, "mmmm")</f>
        <v>May</v>
      </c>
    </row>
    <row r="1264">
      <c r="A1264" s="46" t="str">
        <f>IFERROR(__xludf.DUMMYFUNCTION("""COMPUTED_VALUE"""),"Snacks")</f>
        <v>Snacks</v>
      </c>
      <c r="B1264" s="46" t="str">
        <f>IFERROR(__xludf.DUMMYFUNCTION("""COMPUTED_VALUE"""),"Bulgaria")</f>
        <v>Bulgaria</v>
      </c>
      <c r="C1264" s="46" t="str">
        <f>IFERROR(__xludf.DUMMYFUNCTION("""COMPUTED_VALUE"""),"Europe")</f>
        <v>Europe</v>
      </c>
      <c r="D1264" s="90">
        <f>IFERROR(__xludf.DUMMYFUNCTION("""COMPUTED_VALUE"""),40299.0)</f>
        <v>40299</v>
      </c>
      <c r="E1264" s="46">
        <f>IFERROR(__xludf.DUMMYFUNCTION("""COMPUTED_VALUE"""),2010.0)</f>
        <v>2010</v>
      </c>
      <c r="F1264" s="46">
        <f>IFERROR(__xludf.DUMMYFUNCTION("""COMPUTED_VALUE"""),1.0)</f>
        <v>1</v>
      </c>
      <c r="G1264" s="46">
        <f>IFERROR(__xludf.DUMMYFUNCTION("""COMPUTED_VALUE"""),5310.0)</f>
        <v>5310</v>
      </c>
      <c r="H1264" s="46">
        <f>IFERROR(__xludf.DUMMYFUNCTION("""COMPUTED_VALUE"""),810199.8)</f>
        <v>810199.8</v>
      </c>
      <c r="I1264" s="46">
        <f>IFERROR(__xludf.DUMMYFUNCTION("""COMPUTED_VALUE"""),517406.39999999997)</f>
        <v>517406.4</v>
      </c>
      <c r="J1264" s="46">
        <f>IFERROR(__xludf.DUMMYFUNCTION("""COMPUTED_VALUE"""),292793.4000000001)</f>
        <v>292793.4</v>
      </c>
      <c r="K1264" s="46" t="str">
        <f t="array" ref="K1264">TEXT(D1264, "mmmm")</f>
        <v>May</v>
      </c>
    </row>
    <row r="1265">
      <c r="A1265" s="46" t="str">
        <f>IFERROR(__xludf.DUMMYFUNCTION("""COMPUTED_VALUE"""),"Snacks")</f>
        <v>Snacks</v>
      </c>
      <c r="B1265" s="46" t="str">
        <f>IFERROR(__xludf.DUMMYFUNCTION("""COMPUTED_VALUE"""),"Georgia")</f>
        <v>Georgia</v>
      </c>
      <c r="C1265" s="46" t="str">
        <f>IFERROR(__xludf.DUMMYFUNCTION("""COMPUTED_VALUE"""),"Asia")</f>
        <v>Asia</v>
      </c>
      <c r="D1265" s="90">
        <f>IFERROR(__xludf.DUMMYFUNCTION("""COMPUTED_VALUE"""),40299.0)</f>
        <v>40299</v>
      </c>
      <c r="E1265" s="46">
        <f>IFERROR(__xludf.DUMMYFUNCTION("""COMPUTED_VALUE"""),2010.0)</f>
        <v>2010</v>
      </c>
      <c r="F1265" s="46">
        <f>IFERROR(__xludf.DUMMYFUNCTION("""COMPUTED_VALUE"""),1.0)</f>
        <v>1</v>
      </c>
      <c r="G1265" s="46">
        <f>IFERROR(__xludf.DUMMYFUNCTION("""COMPUTED_VALUE"""),8878.0)</f>
        <v>8878</v>
      </c>
      <c r="H1265" s="46">
        <f>IFERROR(__xludf.DUMMYFUNCTION("""COMPUTED_VALUE"""),1354605.2400000002)</f>
        <v>1354605.24</v>
      </c>
      <c r="I1265" s="46">
        <f>IFERROR(__xludf.DUMMYFUNCTION("""COMPUTED_VALUE"""),865072.32)</f>
        <v>865072.32</v>
      </c>
      <c r="J1265" s="46">
        <f>IFERROR(__xludf.DUMMYFUNCTION("""COMPUTED_VALUE"""),489532.9200000003)</f>
        <v>489532.92</v>
      </c>
      <c r="K1265" s="46" t="str">
        <f t="array" ref="K1265">TEXT(D1265, "mmmm")</f>
        <v>May</v>
      </c>
    </row>
    <row r="1266">
      <c r="A1266" s="46" t="str">
        <f>IFERROR(__xludf.DUMMYFUNCTION("""COMPUTED_VALUE"""),"Snacks")</f>
        <v>Snacks</v>
      </c>
      <c r="B1266" s="46" t="str">
        <f>IFERROR(__xludf.DUMMYFUNCTION("""COMPUTED_VALUE"""),"Undefined")</f>
        <v>Undefined</v>
      </c>
      <c r="C1266" s="46" t="str">
        <f>IFERROR(__xludf.DUMMYFUNCTION("""COMPUTED_VALUE"""),"Undefined")</f>
        <v>Undefined</v>
      </c>
      <c r="D1266" s="90">
        <f>IFERROR(__xludf.DUMMYFUNCTION("""COMPUTED_VALUE"""),40299.0)</f>
        <v>40299</v>
      </c>
      <c r="E1266" s="46">
        <f>IFERROR(__xludf.DUMMYFUNCTION("""COMPUTED_VALUE"""),2010.0)</f>
        <v>2010</v>
      </c>
      <c r="F1266" s="46">
        <f>IFERROR(__xludf.DUMMYFUNCTION("""COMPUTED_VALUE"""),1.0)</f>
        <v>1</v>
      </c>
      <c r="G1266" s="46">
        <f>IFERROR(__xludf.DUMMYFUNCTION("""COMPUTED_VALUE"""),5772.0)</f>
        <v>5772</v>
      </c>
      <c r="H1266" s="46">
        <f>IFERROR(__xludf.DUMMYFUNCTION("""COMPUTED_VALUE"""),880691.7600000001)</f>
        <v>880691.76</v>
      </c>
      <c r="I1266" s="46">
        <f>IFERROR(__xludf.DUMMYFUNCTION("""COMPUTED_VALUE"""),562423.6799999999)</f>
        <v>562423.68</v>
      </c>
      <c r="J1266" s="46">
        <f>IFERROR(__xludf.DUMMYFUNCTION("""COMPUTED_VALUE"""),318268.0800000002)</f>
        <v>318268.08</v>
      </c>
      <c r="K1266" s="46" t="str">
        <f t="array" ref="K1266">TEXT(D1266, "mmmm")</f>
        <v>May</v>
      </c>
    </row>
    <row r="1267">
      <c r="A1267" s="46" t="str">
        <f>IFERROR(__xludf.DUMMYFUNCTION("""COMPUTED_VALUE"""),"Cereal")</f>
        <v>Cereal</v>
      </c>
      <c r="B1267" s="46" t="str">
        <f>IFERROR(__xludf.DUMMYFUNCTION("""COMPUTED_VALUE"""),"Finland")</f>
        <v>Finland</v>
      </c>
      <c r="C1267" s="46" t="str">
        <f>IFERROR(__xludf.DUMMYFUNCTION("""COMPUTED_VALUE"""),"Europe")</f>
        <v>Europe</v>
      </c>
      <c r="D1267" s="90">
        <f>IFERROR(__xludf.DUMMYFUNCTION("""COMPUTED_VALUE"""),40269.0)</f>
        <v>40269</v>
      </c>
      <c r="E1267" s="46">
        <f>IFERROR(__xludf.DUMMYFUNCTION("""COMPUTED_VALUE"""),2010.0)</f>
        <v>2010</v>
      </c>
      <c r="F1267" s="46">
        <f>IFERROR(__xludf.DUMMYFUNCTION("""COMPUTED_VALUE"""),1.0)</f>
        <v>1</v>
      </c>
      <c r="G1267" s="46">
        <f>IFERROR(__xludf.DUMMYFUNCTION("""COMPUTED_VALUE"""),1458.0)</f>
        <v>1458</v>
      </c>
      <c r="H1267" s="46">
        <f>IFERROR(__xludf.DUMMYFUNCTION("""COMPUTED_VALUE"""),299910.6)</f>
        <v>299910.6</v>
      </c>
      <c r="I1267" s="46">
        <f>IFERROR(__xludf.DUMMYFUNCTION("""COMPUTED_VALUE"""),170746.38)</f>
        <v>170746.38</v>
      </c>
      <c r="J1267" s="46">
        <f>IFERROR(__xludf.DUMMYFUNCTION("""COMPUTED_VALUE"""),129164.21999999997)</f>
        <v>129164.22</v>
      </c>
      <c r="K1267" s="46" t="str">
        <f t="array" ref="K1267">TEXT(D1267, "mmmm")</f>
        <v>April</v>
      </c>
    </row>
    <row r="1268">
      <c r="A1268" s="46" t="str">
        <f>IFERROR(__xludf.DUMMYFUNCTION("""COMPUTED_VALUE"""),"Clothes")</f>
        <v>Clothes</v>
      </c>
      <c r="B1268" s="46" t="str">
        <f>IFERROR(__xludf.DUMMYFUNCTION("""COMPUTED_VALUE"""),"Italy")</f>
        <v>Italy</v>
      </c>
      <c r="C1268" s="46" t="str">
        <f>IFERROR(__xludf.DUMMYFUNCTION("""COMPUTED_VALUE"""),"Europe")</f>
        <v>Europe</v>
      </c>
      <c r="D1268" s="90">
        <f>IFERROR(__xludf.DUMMYFUNCTION("""COMPUTED_VALUE"""),40269.0)</f>
        <v>40269</v>
      </c>
      <c r="E1268" s="46">
        <f>IFERROR(__xludf.DUMMYFUNCTION("""COMPUTED_VALUE"""),2010.0)</f>
        <v>2010</v>
      </c>
      <c r="F1268" s="46">
        <f>IFERROR(__xludf.DUMMYFUNCTION("""COMPUTED_VALUE"""),1.0)</f>
        <v>1</v>
      </c>
      <c r="G1268" s="46">
        <f>IFERROR(__xludf.DUMMYFUNCTION("""COMPUTED_VALUE"""),6667.0)</f>
        <v>6667</v>
      </c>
      <c r="H1268" s="46">
        <f>IFERROR(__xludf.DUMMYFUNCTION("""COMPUTED_VALUE"""),728569.76)</f>
        <v>728569.76</v>
      </c>
      <c r="I1268" s="46">
        <f>IFERROR(__xludf.DUMMYFUNCTION("""COMPUTED_VALUE"""),238945.28000000003)</f>
        <v>238945.28</v>
      </c>
      <c r="J1268" s="46">
        <f>IFERROR(__xludf.DUMMYFUNCTION("""COMPUTED_VALUE"""),489624.48)</f>
        <v>489624.48</v>
      </c>
      <c r="K1268" s="46" t="str">
        <f t="array" ref="K1268">TEXT(D1268, "mmmm")</f>
        <v>April</v>
      </c>
    </row>
    <row r="1269">
      <c r="A1269" s="46" t="str">
        <f>IFERROR(__xludf.DUMMYFUNCTION("""COMPUTED_VALUE"""),"Fruits")</f>
        <v>Fruits</v>
      </c>
      <c r="B1269" s="46" t="str">
        <f>IFERROR(__xludf.DUMMYFUNCTION("""COMPUTED_VALUE"""),"Lithuania")</f>
        <v>Lithuania</v>
      </c>
      <c r="C1269" s="46" t="str">
        <f>IFERROR(__xludf.DUMMYFUNCTION("""COMPUTED_VALUE"""),"Europe")</f>
        <v>Europe</v>
      </c>
      <c r="D1269" s="90">
        <f>IFERROR(__xludf.DUMMYFUNCTION("""COMPUTED_VALUE"""),40269.0)</f>
        <v>40269</v>
      </c>
      <c r="E1269" s="46">
        <f>IFERROR(__xludf.DUMMYFUNCTION("""COMPUTED_VALUE"""),2010.0)</f>
        <v>2010</v>
      </c>
      <c r="F1269" s="46">
        <f>IFERROR(__xludf.DUMMYFUNCTION("""COMPUTED_VALUE"""),1.0)</f>
        <v>1</v>
      </c>
      <c r="G1269" s="46">
        <f>IFERROR(__xludf.DUMMYFUNCTION("""COMPUTED_VALUE"""),4567.0)</f>
        <v>4567</v>
      </c>
      <c r="H1269" s="46">
        <f>IFERROR(__xludf.DUMMYFUNCTION("""COMPUTED_VALUE"""),42610.11)</f>
        <v>42610.11</v>
      </c>
      <c r="I1269" s="46">
        <f>IFERROR(__xludf.DUMMYFUNCTION("""COMPUTED_VALUE"""),31603.64)</f>
        <v>31603.64</v>
      </c>
      <c r="J1269" s="46">
        <f>IFERROR(__xludf.DUMMYFUNCTION("""COMPUTED_VALUE"""),11006.470000000001)</f>
        <v>11006.47</v>
      </c>
      <c r="K1269" s="46" t="str">
        <f t="array" ref="K1269">TEXT(D1269, "mmmm")</f>
        <v>April</v>
      </c>
    </row>
    <row r="1270">
      <c r="A1270" s="46" t="str">
        <f>IFERROR(__xludf.DUMMYFUNCTION("""COMPUTED_VALUE"""),"Meat")</f>
        <v>Meat</v>
      </c>
      <c r="B1270" s="46" t="str">
        <f>IFERROR(__xludf.DUMMYFUNCTION("""COMPUTED_VALUE"""),"Serbia")</f>
        <v>Serbia</v>
      </c>
      <c r="C1270" s="46" t="str">
        <f>IFERROR(__xludf.DUMMYFUNCTION("""COMPUTED_VALUE"""),"Europe")</f>
        <v>Europe</v>
      </c>
      <c r="D1270" s="90">
        <f>IFERROR(__xludf.DUMMYFUNCTION("""COMPUTED_VALUE"""),40269.0)</f>
        <v>40269</v>
      </c>
      <c r="E1270" s="46">
        <f>IFERROR(__xludf.DUMMYFUNCTION("""COMPUTED_VALUE"""),2010.0)</f>
        <v>2010</v>
      </c>
      <c r="F1270" s="46">
        <f>IFERROR(__xludf.DUMMYFUNCTION("""COMPUTED_VALUE"""),1.0)</f>
        <v>1</v>
      </c>
      <c r="G1270" s="46">
        <f>IFERROR(__xludf.DUMMYFUNCTION("""COMPUTED_VALUE"""),4852.0)</f>
        <v>4852</v>
      </c>
      <c r="H1270" s="46">
        <f>IFERROR(__xludf.DUMMYFUNCTION("""COMPUTED_VALUE"""),2047010.28)</f>
        <v>2047010.28</v>
      </c>
      <c r="I1270" s="46">
        <f>IFERROR(__xludf.DUMMYFUNCTION("""COMPUTED_VALUE"""),1769475.88)</f>
        <v>1769475.88</v>
      </c>
      <c r="J1270" s="46">
        <f>IFERROR(__xludf.DUMMYFUNCTION("""COMPUTED_VALUE"""),277534.40000000014)</f>
        <v>277534.4</v>
      </c>
      <c r="K1270" s="46" t="str">
        <f t="array" ref="K1270">TEXT(D1270, "mmmm")</f>
        <v>April</v>
      </c>
    </row>
    <row r="1271">
      <c r="A1271" s="46" t="str">
        <f>IFERROR(__xludf.DUMMYFUNCTION("""COMPUTED_VALUE"""),"Office Supplies")</f>
        <v>Office Supplies</v>
      </c>
      <c r="B1271" s="46" t="str">
        <f>IFERROR(__xludf.DUMMYFUNCTION("""COMPUTED_VALUE"""),"Slovenia")</f>
        <v>Slovenia</v>
      </c>
      <c r="C1271" s="46" t="str">
        <f>IFERROR(__xludf.DUMMYFUNCTION("""COMPUTED_VALUE"""),"Europe")</f>
        <v>Europe</v>
      </c>
      <c r="D1271" s="90">
        <f>IFERROR(__xludf.DUMMYFUNCTION("""COMPUTED_VALUE"""),40269.0)</f>
        <v>40269</v>
      </c>
      <c r="E1271" s="46">
        <f>IFERROR(__xludf.DUMMYFUNCTION("""COMPUTED_VALUE"""),2010.0)</f>
        <v>2010</v>
      </c>
      <c r="F1271" s="46">
        <f>IFERROR(__xludf.DUMMYFUNCTION("""COMPUTED_VALUE"""),1.0)</f>
        <v>1</v>
      </c>
      <c r="G1271" s="46">
        <f>IFERROR(__xludf.DUMMYFUNCTION("""COMPUTED_VALUE"""),9736.0)</f>
        <v>9736</v>
      </c>
      <c r="H1271" s="46">
        <f>IFERROR(__xludf.DUMMYFUNCTION("""COMPUTED_VALUE"""),6340180.5600000005)</f>
        <v>6340180.56</v>
      </c>
      <c r="I1271" s="46">
        <f>IFERROR(__xludf.DUMMYFUNCTION("""COMPUTED_VALUE"""),5111010.5600000005)</f>
        <v>5111010.56</v>
      </c>
      <c r="J1271" s="46">
        <f>IFERROR(__xludf.DUMMYFUNCTION("""COMPUTED_VALUE"""),1229170.0)</f>
        <v>1229170</v>
      </c>
      <c r="K1271" s="46" t="str">
        <f t="array" ref="K1271">TEXT(D1271, "mmmm")</f>
        <v>April</v>
      </c>
    </row>
    <row r="1272">
      <c r="A1272" s="46" t="str">
        <f>IFERROR(__xludf.DUMMYFUNCTION("""COMPUTED_VALUE"""),"Personal Care")</f>
        <v>Personal Care</v>
      </c>
      <c r="B1272" s="46" t="str">
        <f>IFERROR(__xludf.DUMMYFUNCTION("""COMPUTED_VALUE"""),"Romania")</f>
        <v>Romania</v>
      </c>
      <c r="C1272" s="46" t="str">
        <f>IFERROR(__xludf.DUMMYFUNCTION("""COMPUTED_VALUE"""),"Europe")</f>
        <v>Europe</v>
      </c>
      <c r="D1272" s="90">
        <f>IFERROR(__xludf.DUMMYFUNCTION("""COMPUTED_VALUE"""),40269.0)</f>
        <v>40269</v>
      </c>
      <c r="E1272" s="46">
        <f>IFERROR(__xludf.DUMMYFUNCTION("""COMPUTED_VALUE"""),2010.0)</f>
        <v>2010</v>
      </c>
      <c r="F1272" s="46">
        <f>IFERROR(__xludf.DUMMYFUNCTION("""COMPUTED_VALUE"""),1.0)</f>
        <v>1</v>
      </c>
      <c r="G1272" s="46">
        <f>IFERROR(__xludf.DUMMYFUNCTION("""COMPUTED_VALUE"""),7338.0)</f>
        <v>7338</v>
      </c>
      <c r="H1272" s="46">
        <f>IFERROR(__xludf.DUMMYFUNCTION("""COMPUTED_VALUE"""),599734.74)</f>
        <v>599734.74</v>
      </c>
      <c r="I1272" s="46">
        <f>IFERROR(__xludf.DUMMYFUNCTION("""COMPUTED_VALUE"""),415844.46)</f>
        <v>415844.46</v>
      </c>
      <c r="J1272" s="46">
        <f>IFERROR(__xludf.DUMMYFUNCTION("""COMPUTED_VALUE"""),183890.27999999997)</f>
        <v>183890.28</v>
      </c>
      <c r="K1272" s="46" t="str">
        <f t="array" ref="K1272">TEXT(D1272, "mmmm")</f>
        <v>April</v>
      </c>
    </row>
    <row r="1273">
      <c r="A1273" s="46" t="str">
        <f>IFERROR(__xludf.DUMMYFUNCTION("""COMPUTED_VALUE"""),"Baby Food")</f>
        <v>Baby Food</v>
      </c>
      <c r="B1273" s="46" t="str">
        <f>IFERROR(__xludf.DUMMYFUNCTION("""COMPUTED_VALUE"""),"Malta")</f>
        <v>Malta</v>
      </c>
      <c r="C1273" s="46" t="str">
        <f>IFERROR(__xludf.DUMMYFUNCTION("""COMPUTED_VALUE"""),"Europe")</f>
        <v>Europe</v>
      </c>
      <c r="D1273" s="90">
        <f>IFERROR(__xludf.DUMMYFUNCTION("""COMPUTED_VALUE"""),40238.0)</f>
        <v>40238</v>
      </c>
      <c r="E1273" s="46">
        <f>IFERROR(__xludf.DUMMYFUNCTION("""COMPUTED_VALUE"""),2010.0)</f>
        <v>2010</v>
      </c>
      <c r="F1273" s="46">
        <f>IFERROR(__xludf.DUMMYFUNCTION("""COMPUTED_VALUE"""),1.0)</f>
        <v>1</v>
      </c>
      <c r="G1273" s="46">
        <f>IFERROR(__xludf.DUMMYFUNCTION("""COMPUTED_VALUE"""),6833.0)</f>
        <v>6833</v>
      </c>
      <c r="H1273" s="46">
        <f>IFERROR(__xludf.DUMMYFUNCTION("""COMPUTED_VALUE"""),1744328.24)</f>
        <v>1744328.24</v>
      </c>
      <c r="I1273" s="46">
        <f>IFERROR(__xludf.DUMMYFUNCTION("""COMPUTED_VALUE"""),1089316.8599999999)</f>
        <v>1089316.86</v>
      </c>
      <c r="J1273" s="46">
        <f>IFERROR(__xludf.DUMMYFUNCTION("""COMPUTED_VALUE"""),655011.3800000001)</f>
        <v>655011.38</v>
      </c>
      <c r="K1273" s="46" t="str">
        <f t="array" ref="K1273">TEXT(D1273, "mmmm")</f>
        <v>March</v>
      </c>
    </row>
    <row r="1274">
      <c r="A1274" s="46" t="str">
        <f>IFERROR(__xludf.DUMMYFUNCTION("""COMPUTED_VALUE"""),"Beverages")</f>
        <v>Beverages</v>
      </c>
      <c r="B1274" s="46" t="str">
        <f>IFERROR(__xludf.DUMMYFUNCTION("""COMPUTED_VALUE"""),"Belarus")</f>
        <v>Belarus</v>
      </c>
      <c r="C1274" s="46" t="str">
        <f>IFERROR(__xludf.DUMMYFUNCTION("""COMPUTED_VALUE"""),"Europe")</f>
        <v>Europe</v>
      </c>
      <c r="D1274" s="90">
        <f>IFERROR(__xludf.DUMMYFUNCTION("""COMPUTED_VALUE"""),40238.0)</f>
        <v>40238</v>
      </c>
      <c r="E1274" s="46">
        <f>IFERROR(__xludf.DUMMYFUNCTION("""COMPUTED_VALUE"""),2010.0)</f>
        <v>2010</v>
      </c>
      <c r="F1274" s="46">
        <f>IFERROR(__xludf.DUMMYFUNCTION("""COMPUTED_VALUE"""),1.0)</f>
        <v>1</v>
      </c>
      <c r="G1274" s="46">
        <f>IFERROR(__xludf.DUMMYFUNCTION("""COMPUTED_VALUE"""),2908.0)</f>
        <v>2908</v>
      </c>
      <c r="H1274" s="46">
        <f>IFERROR(__xludf.DUMMYFUNCTION("""COMPUTED_VALUE"""),137984.6)</f>
        <v>137984.6</v>
      </c>
      <c r="I1274" s="46">
        <f>IFERROR(__xludf.DUMMYFUNCTION("""COMPUTED_VALUE"""),92445.31999999999)</f>
        <v>92445.32</v>
      </c>
      <c r="J1274" s="46">
        <f>IFERROR(__xludf.DUMMYFUNCTION("""COMPUTED_VALUE"""),45539.28000000001)</f>
        <v>45539.28</v>
      </c>
      <c r="K1274" s="46" t="str">
        <f t="array" ref="K1274">TEXT(D1274, "mmmm")</f>
        <v>March</v>
      </c>
    </row>
    <row r="1275">
      <c r="A1275" s="46" t="str">
        <f>IFERROR(__xludf.DUMMYFUNCTION("""COMPUTED_VALUE"""),"Beverages")</f>
        <v>Beverages</v>
      </c>
      <c r="B1275" s="46" t="str">
        <f>IFERROR(__xludf.DUMMYFUNCTION("""COMPUTED_VALUE"""),"Netherlands")</f>
        <v>Netherlands</v>
      </c>
      <c r="C1275" s="46" t="str">
        <f>IFERROR(__xludf.DUMMYFUNCTION("""COMPUTED_VALUE"""),"Europe")</f>
        <v>Europe</v>
      </c>
      <c r="D1275" s="90">
        <f>IFERROR(__xludf.DUMMYFUNCTION("""COMPUTED_VALUE"""),40238.0)</f>
        <v>40238</v>
      </c>
      <c r="E1275" s="46">
        <f>IFERROR(__xludf.DUMMYFUNCTION("""COMPUTED_VALUE"""),2010.0)</f>
        <v>2010</v>
      </c>
      <c r="F1275" s="46">
        <f>IFERROR(__xludf.DUMMYFUNCTION("""COMPUTED_VALUE"""),1.0)</f>
        <v>1</v>
      </c>
      <c r="G1275" s="46">
        <f>IFERROR(__xludf.DUMMYFUNCTION("""COMPUTED_VALUE"""),3092.0)</f>
        <v>3092</v>
      </c>
      <c r="H1275" s="46">
        <f>IFERROR(__xludf.DUMMYFUNCTION("""COMPUTED_VALUE"""),146715.40000000002)</f>
        <v>146715.4</v>
      </c>
      <c r="I1275" s="46">
        <f>IFERROR(__xludf.DUMMYFUNCTION("""COMPUTED_VALUE"""),98294.68)</f>
        <v>98294.68</v>
      </c>
      <c r="J1275" s="46">
        <f>IFERROR(__xludf.DUMMYFUNCTION("""COMPUTED_VALUE"""),48420.72000000003)</f>
        <v>48420.72</v>
      </c>
      <c r="K1275" s="46" t="str">
        <f t="array" ref="K1275">TEXT(D1275, "mmmm")</f>
        <v>March</v>
      </c>
    </row>
    <row r="1276">
      <c r="A1276" s="46" t="str">
        <f>IFERROR(__xludf.DUMMYFUNCTION("""COMPUTED_VALUE"""),"Beverages")</f>
        <v>Beverages</v>
      </c>
      <c r="B1276" s="46" t="str">
        <f>IFERROR(__xludf.DUMMYFUNCTION("""COMPUTED_VALUE"""),"Slovenia")</f>
        <v>Slovenia</v>
      </c>
      <c r="C1276" s="46" t="str">
        <f>IFERROR(__xludf.DUMMYFUNCTION("""COMPUTED_VALUE"""),"Europe")</f>
        <v>Europe</v>
      </c>
      <c r="D1276" s="90">
        <f>IFERROR(__xludf.DUMMYFUNCTION("""COMPUTED_VALUE"""),40238.0)</f>
        <v>40238</v>
      </c>
      <c r="E1276" s="46">
        <f>IFERROR(__xludf.DUMMYFUNCTION("""COMPUTED_VALUE"""),2010.0)</f>
        <v>2010</v>
      </c>
      <c r="F1276" s="46">
        <f>IFERROR(__xludf.DUMMYFUNCTION("""COMPUTED_VALUE"""),1.0)</f>
        <v>1</v>
      </c>
      <c r="G1276" s="46">
        <f>IFERROR(__xludf.DUMMYFUNCTION("""COMPUTED_VALUE"""),8337.0)</f>
        <v>8337</v>
      </c>
      <c r="H1276" s="46">
        <f>IFERROR(__xludf.DUMMYFUNCTION("""COMPUTED_VALUE"""),395590.65)</f>
        <v>395590.65</v>
      </c>
      <c r="I1276" s="46">
        <f>IFERROR(__xludf.DUMMYFUNCTION("""COMPUTED_VALUE"""),265033.23)</f>
        <v>265033.23</v>
      </c>
      <c r="J1276" s="46">
        <f>IFERROR(__xludf.DUMMYFUNCTION("""COMPUTED_VALUE"""),130557.42000000004)</f>
        <v>130557.42</v>
      </c>
      <c r="K1276" s="46" t="str">
        <f t="array" ref="K1276">TEXT(D1276, "mmmm")</f>
        <v>March</v>
      </c>
    </row>
    <row r="1277">
      <c r="A1277" s="46" t="str">
        <f>IFERROR(__xludf.DUMMYFUNCTION("""COMPUTED_VALUE"""),"Cereal")</f>
        <v>Cereal</v>
      </c>
      <c r="B1277" s="46" t="str">
        <f>IFERROR(__xludf.DUMMYFUNCTION("""COMPUTED_VALUE"""),"Andorra")</f>
        <v>Andorra</v>
      </c>
      <c r="C1277" s="46" t="str">
        <f>IFERROR(__xludf.DUMMYFUNCTION("""COMPUTED_VALUE"""),"Europe")</f>
        <v>Europe</v>
      </c>
      <c r="D1277" s="90">
        <f>IFERROR(__xludf.DUMMYFUNCTION("""COMPUTED_VALUE"""),40238.0)</f>
        <v>40238</v>
      </c>
      <c r="E1277" s="46">
        <f>IFERROR(__xludf.DUMMYFUNCTION("""COMPUTED_VALUE"""),2010.0)</f>
        <v>2010</v>
      </c>
      <c r="F1277" s="46">
        <f>IFERROR(__xludf.DUMMYFUNCTION("""COMPUTED_VALUE"""),1.0)</f>
        <v>1</v>
      </c>
      <c r="G1277" s="46">
        <f>IFERROR(__xludf.DUMMYFUNCTION("""COMPUTED_VALUE"""),9278.0)</f>
        <v>9278</v>
      </c>
      <c r="H1277" s="46">
        <f>IFERROR(__xludf.DUMMYFUNCTION("""COMPUTED_VALUE"""),1908484.5999999999)</f>
        <v>1908484.6</v>
      </c>
      <c r="I1277" s="46">
        <f>IFERROR(__xludf.DUMMYFUNCTION("""COMPUTED_VALUE"""),1086546.58)</f>
        <v>1086546.58</v>
      </c>
      <c r="J1277" s="46">
        <f>IFERROR(__xludf.DUMMYFUNCTION("""COMPUTED_VALUE"""),821938.0199999998)</f>
        <v>821938.02</v>
      </c>
      <c r="K1277" s="46" t="str">
        <f t="array" ref="K1277">TEXT(D1277, "mmmm")</f>
        <v>March</v>
      </c>
    </row>
    <row r="1278">
      <c r="A1278" s="46" t="str">
        <f>IFERROR(__xludf.DUMMYFUNCTION("""COMPUTED_VALUE"""),"Clothes")</f>
        <v>Clothes</v>
      </c>
      <c r="B1278" s="46" t="str">
        <f>IFERROR(__xludf.DUMMYFUNCTION("""COMPUTED_VALUE"""),"Bulgaria")</f>
        <v>Bulgaria</v>
      </c>
      <c r="C1278" s="46" t="str">
        <f>IFERROR(__xludf.DUMMYFUNCTION("""COMPUTED_VALUE"""),"Europe")</f>
        <v>Europe</v>
      </c>
      <c r="D1278" s="90">
        <f>IFERROR(__xludf.DUMMYFUNCTION("""COMPUTED_VALUE"""),40238.0)</f>
        <v>40238</v>
      </c>
      <c r="E1278" s="46">
        <f>IFERROR(__xludf.DUMMYFUNCTION("""COMPUTED_VALUE"""),2010.0)</f>
        <v>2010</v>
      </c>
      <c r="F1278" s="46">
        <f>IFERROR(__xludf.DUMMYFUNCTION("""COMPUTED_VALUE"""),1.0)</f>
        <v>1</v>
      </c>
      <c r="G1278" s="46">
        <f>IFERROR(__xludf.DUMMYFUNCTION("""COMPUTED_VALUE"""),8504.0)</f>
        <v>8504</v>
      </c>
      <c r="H1278" s="46">
        <f>IFERROR(__xludf.DUMMYFUNCTION("""COMPUTED_VALUE"""),929317.12)</f>
        <v>929317.12</v>
      </c>
      <c r="I1278" s="46">
        <f>IFERROR(__xludf.DUMMYFUNCTION("""COMPUTED_VALUE"""),304783.36000000004)</f>
        <v>304783.36</v>
      </c>
      <c r="J1278" s="46">
        <f>IFERROR(__xludf.DUMMYFUNCTION("""COMPUTED_VALUE"""),624533.76)</f>
        <v>624533.76</v>
      </c>
      <c r="K1278" s="46" t="str">
        <f t="array" ref="K1278">TEXT(D1278, "mmmm")</f>
        <v>March</v>
      </c>
    </row>
    <row r="1279">
      <c r="A1279" s="46" t="str">
        <f>IFERROR(__xludf.DUMMYFUNCTION("""COMPUTED_VALUE"""),"Cosmetics")</f>
        <v>Cosmetics</v>
      </c>
      <c r="B1279" s="46" t="str">
        <f>IFERROR(__xludf.DUMMYFUNCTION("""COMPUTED_VALUE"""),"Slovakia")</f>
        <v>Slovakia</v>
      </c>
      <c r="C1279" s="46" t="str">
        <f>IFERROR(__xludf.DUMMYFUNCTION("""COMPUTED_VALUE"""),"Europe")</f>
        <v>Europe</v>
      </c>
      <c r="D1279" s="90">
        <f>IFERROR(__xludf.DUMMYFUNCTION("""COMPUTED_VALUE"""),40238.0)</f>
        <v>40238</v>
      </c>
      <c r="E1279" s="46">
        <f>IFERROR(__xludf.DUMMYFUNCTION("""COMPUTED_VALUE"""),2010.0)</f>
        <v>2010</v>
      </c>
      <c r="F1279" s="46">
        <f>IFERROR(__xludf.DUMMYFUNCTION("""COMPUTED_VALUE"""),1.0)</f>
        <v>1</v>
      </c>
      <c r="G1279" s="46">
        <f>IFERROR(__xludf.DUMMYFUNCTION("""COMPUTED_VALUE"""),496.0)</f>
        <v>496</v>
      </c>
      <c r="H1279" s="46">
        <f>IFERROR(__xludf.DUMMYFUNCTION("""COMPUTED_VALUE"""),216851.19999999998)</f>
        <v>216851.2</v>
      </c>
      <c r="I1279" s="46">
        <f>IFERROR(__xludf.DUMMYFUNCTION("""COMPUTED_VALUE"""),130611.68)</f>
        <v>130611.68</v>
      </c>
      <c r="J1279" s="46">
        <f>IFERROR(__xludf.DUMMYFUNCTION("""COMPUTED_VALUE"""),86239.51999999999)</f>
        <v>86239.52</v>
      </c>
      <c r="K1279" s="46" t="str">
        <f t="array" ref="K1279">TEXT(D1279, "mmmm")</f>
        <v>March</v>
      </c>
    </row>
    <row r="1280">
      <c r="A1280" s="46" t="str">
        <f>IFERROR(__xludf.DUMMYFUNCTION("""COMPUTED_VALUE"""),"Household")</f>
        <v>Household</v>
      </c>
      <c r="B1280" s="46" t="str">
        <f>IFERROR(__xludf.DUMMYFUNCTION("""COMPUTED_VALUE"""),"Norway")</f>
        <v>Norway</v>
      </c>
      <c r="C1280" s="46" t="str">
        <f>IFERROR(__xludf.DUMMYFUNCTION("""COMPUTED_VALUE"""),"Europe")</f>
        <v>Europe</v>
      </c>
      <c r="D1280" s="90">
        <f>IFERROR(__xludf.DUMMYFUNCTION("""COMPUTED_VALUE"""),40238.0)</f>
        <v>40238</v>
      </c>
      <c r="E1280" s="46">
        <f>IFERROR(__xludf.DUMMYFUNCTION("""COMPUTED_VALUE"""),2010.0)</f>
        <v>2010</v>
      </c>
      <c r="F1280" s="46">
        <f>IFERROR(__xludf.DUMMYFUNCTION("""COMPUTED_VALUE"""),1.0)</f>
        <v>1</v>
      </c>
      <c r="G1280" s="46">
        <f>IFERROR(__xludf.DUMMYFUNCTION("""COMPUTED_VALUE"""),933.0)</f>
        <v>933</v>
      </c>
      <c r="H1280" s="46">
        <f>IFERROR(__xludf.DUMMYFUNCTION("""COMPUTED_VALUE"""),623495.91)</f>
        <v>623495.91</v>
      </c>
      <c r="I1280" s="46">
        <f>IFERROR(__xludf.DUMMYFUNCTION("""COMPUTED_VALUE"""),468869.82)</f>
        <v>468869.82</v>
      </c>
      <c r="J1280" s="46">
        <f>IFERROR(__xludf.DUMMYFUNCTION("""COMPUTED_VALUE"""),154626.09000000003)</f>
        <v>154626.09</v>
      </c>
      <c r="K1280" s="46" t="str">
        <f t="array" ref="K1280">TEXT(D1280, "mmmm")</f>
        <v>March</v>
      </c>
    </row>
    <row r="1281">
      <c r="A1281" s="46" t="str">
        <f>IFERROR(__xludf.DUMMYFUNCTION("""COMPUTED_VALUE"""),"Office Supplies")</f>
        <v>Office Supplies</v>
      </c>
      <c r="B1281" s="46" t="str">
        <f>IFERROR(__xludf.DUMMYFUNCTION("""COMPUTED_VALUE"""),"Slovakia")</f>
        <v>Slovakia</v>
      </c>
      <c r="C1281" s="46" t="str">
        <f>IFERROR(__xludf.DUMMYFUNCTION("""COMPUTED_VALUE"""),"Europe")</f>
        <v>Europe</v>
      </c>
      <c r="D1281" s="90">
        <f>IFERROR(__xludf.DUMMYFUNCTION("""COMPUTED_VALUE"""),40238.0)</f>
        <v>40238</v>
      </c>
      <c r="E1281" s="46">
        <f>IFERROR(__xludf.DUMMYFUNCTION("""COMPUTED_VALUE"""),2010.0)</f>
        <v>2010</v>
      </c>
      <c r="F1281" s="46">
        <f>IFERROR(__xludf.DUMMYFUNCTION("""COMPUTED_VALUE"""),1.0)</f>
        <v>1</v>
      </c>
      <c r="G1281" s="46">
        <f>IFERROR(__xludf.DUMMYFUNCTION("""COMPUTED_VALUE"""),2787.0)</f>
        <v>2787</v>
      </c>
      <c r="H1281" s="46">
        <f>IFERROR(__xludf.DUMMYFUNCTION("""COMPUTED_VALUE"""),1814922.27)</f>
        <v>1814922.27</v>
      </c>
      <c r="I1281" s="46">
        <f>IFERROR(__xludf.DUMMYFUNCTION("""COMPUTED_VALUE"""),1463063.52)</f>
        <v>1463063.52</v>
      </c>
      <c r="J1281" s="46">
        <f>IFERROR(__xludf.DUMMYFUNCTION("""COMPUTED_VALUE"""),351858.75)</f>
        <v>351858.75</v>
      </c>
      <c r="K1281" s="46" t="str">
        <f t="array" ref="K1281">TEXT(D1281, "mmmm")</f>
        <v>March</v>
      </c>
    </row>
    <row r="1282">
      <c r="A1282" s="46" t="str">
        <f>IFERROR(__xludf.DUMMYFUNCTION("""COMPUTED_VALUE"""),"Personal Care")</f>
        <v>Personal Care</v>
      </c>
      <c r="B1282" s="46" t="str">
        <f>IFERROR(__xludf.DUMMYFUNCTION("""COMPUTED_VALUE"""),"Germany")</f>
        <v>Germany</v>
      </c>
      <c r="C1282" s="46" t="str">
        <f>IFERROR(__xludf.DUMMYFUNCTION("""COMPUTED_VALUE"""),"Europe")</f>
        <v>Europe</v>
      </c>
      <c r="D1282" s="90">
        <f>IFERROR(__xludf.DUMMYFUNCTION("""COMPUTED_VALUE"""),40238.0)</f>
        <v>40238</v>
      </c>
      <c r="E1282" s="46">
        <f>IFERROR(__xludf.DUMMYFUNCTION("""COMPUTED_VALUE"""),2010.0)</f>
        <v>2010</v>
      </c>
      <c r="F1282" s="46">
        <f>IFERROR(__xludf.DUMMYFUNCTION("""COMPUTED_VALUE"""),1.0)</f>
        <v>1</v>
      </c>
      <c r="G1282" s="46">
        <f>IFERROR(__xludf.DUMMYFUNCTION("""COMPUTED_VALUE"""),6028.0)</f>
        <v>6028</v>
      </c>
      <c r="H1282" s="46">
        <f>IFERROR(__xludf.DUMMYFUNCTION("""COMPUTED_VALUE"""),492668.44)</f>
        <v>492668.44</v>
      </c>
      <c r="I1282" s="46">
        <f>IFERROR(__xludf.DUMMYFUNCTION("""COMPUTED_VALUE"""),341606.76)</f>
        <v>341606.76</v>
      </c>
      <c r="J1282" s="46">
        <f>IFERROR(__xludf.DUMMYFUNCTION("""COMPUTED_VALUE"""),151061.68)</f>
        <v>151061.68</v>
      </c>
      <c r="K1282" s="46" t="str">
        <f t="array" ref="K1282">TEXT(D1282, "mmmm")</f>
        <v>March</v>
      </c>
    </row>
    <row r="1283">
      <c r="A1283" s="46" t="str">
        <f>IFERROR(__xludf.DUMMYFUNCTION("""COMPUTED_VALUE"""),"Snacks")</f>
        <v>Snacks</v>
      </c>
      <c r="B1283" s="46" t="str">
        <f>IFERROR(__xludf.DUMMYFUNCTION("""COMPUTED_VALUE"""),"Bulgaria")</f>
        <v>Bulgaria</v>
      </c>
      <c r="C1283" s="46" t="str">
        <f>IFERROR(__xludf.DUMMYFUNCTION("""COMPUTED_VALUE"""),"Europe")</f>
        <v>Europe</v>
      </c>
      <c r="D1283" s="90">
        <f>IFERROR(__xludf.DUMMYFUNCTION("""COMPUTED_VALUE"""),40238.0)</f>
        <v>40238</v>
      </c>
      <c r="E1283" s="46">
        <f>IFERROR(__xludf.DUMMYFUNCTION("""COMPUTED_VALUE"""),2010.0)</f>
        <v>2010</v>
      </c>
      <c r="F1283" s="46">
        <f>IFERROR(__xludf.DUMMYFUNCTION("""COMPUTED_VALUE"""),1.0)</f>
        <v>1</v>
      </c>
      <c r="G1283" s="46">
        <f>IFERROR(__xludf.DUMMYFUNCTION("""COMPUTED_VALUE"""),422.0)</f>
        <v>422</v>
      </c>
      <c r="H1283" s="46">
        <f>IFERROR(__xludf.DUMMYFUNCTION("""COMPUTED_VALUE"""),64388.76)</f>
        <v>64388.76</v>
      </c>
      <c r="I1283" s="46">
        <f>IFERROR(__xludf.DUMMYFUNCTION("""COMPUTED_VALUE"""),41119.68)</f>
        <v>41119.68</v>
      </c>
      <c r="J1283" s="46">
        <f>IFERROR(__xludf.DUMMYFUNCTION("""COMPUTED_VALUE"""),23269.08)</f>
        <v>23269.08</v>
      </c>
      <c r="K1283" s="46" t="str">
        <f t="array" ref="K1283">TEXT(D1283, "mmmm")</f>
        <v>March</v>
      </c>
    </row>
    <row r="1284">
      <c r="A1284" s="46" t="str">
        <f>IFERROR(__xludf.DUMMYFUNCTION("""COMPUTED_VALUE"""),"Baby Food")</f>
        <v>Baby Food</v>
      </c>
      <c r="B1284" s="46" t="str">
        <f>IFERROR(__xludf.DUMMYFUNCTION("""COMPUTED_VALUE"""),"Armenia")</f>
        <v>Armenia</v>
      </c>
      <c r="C1284" s="46" t="str">
        <f>IFERROR(__xludf.DUMMYFUNCTION("""COMPUTED_VALUE"""),"Asia")</f>
        <v>Asia</v>
      </c>
      <c r="D1284" s="90">
        <f>IFERROR(__xludf.DUMMYFUNCTION("""COMPUTED_VALUE"""),40210.0)</f>
        <v>40210</v>
      </c>
      <c r="E1284" s="46">
        <f>IFERROR(__xludf.DUMMYFUNCTION("""COMPUTED_VALUE"""),2010.0)</f>
        <v>2010</v>
      </c>
      <c r="F1284" s="46">
        <f>IFERROR(__xludf.DUMMYFUNCTION("""COMPUTED_VALUE"""),1.0)</f>
        <v>1</v>
      </c>
      <c r="G1284" s="46">
        <f>IFERROR(__xludf.DUMMYFUNCTION("""COMPUTED_VALUE"""),4983.0)</f>
        <v>4983</v>
      </c>
      <c r="H1284" s="46">
        <f>IFERROR(__xludf.DUMMYFUNCTION("""COMPUTED_VALUE"""),1272060.24)</f>
        <v>1272060.24</v>
      </c>
      <c r="I1284" s="46">
        <f>IFERROR(__xludf.DUMMYFUNCTION("""COMPUTED_VALUE"""),794389.86)</f>
        <v>794389.86</v>
      </c>
      <c r="J1284" s="46">
        <f>IFERROR(__xludf.DUMMYFUNCTION("""COMPUTED_VALUE"""),477670.38)</f>
        <v>477670.38</v>
      </c>
      <c r="K1284" s="46" t="str">
        <f t="array" ref="K1284">TEXT(D1284, "mmmm")</f>
        <v>February</v>
      </c>
    </row>
    <row r="1285">
      <c r="A1285" s="46" t="str">
        <f>IFERROR(__xludf.DUMMYFUNCTION("""COMPUTED_VALUE"""),"Beverages")</f>
        <v>Beverages</v>
      </c>
      <c r="B1285" s="46" t="str">
        <f>IFERROR(__xludf.DUMMYFUNCTION("""COMPUTED_VALUE"""),"Greece")</f>
        <v>Greece</v>
      </c>
      <c r="C1285" s="46" t="str">
        <f>IFERROR(__xludf.DUMMYFUNCTION("""COMPUTED_VALUE"""),"Europe")</f>
        <v>Europe</v>
      </c>
      <c r="D1285" s="90">
        <f>IFERROR(__xludf.DUMMYFUNCTION("""COMPUTED_VALUE"""),40210.0)</f>
        <v>40210</v>
      </c>
      <c r="E1285" s="46">
        <f>IFERROR(__xludf.DUMMYFUNCTION("""COMPUTED_VALUE"""),2010.0)</f>
        <v>2010</v>
      </c>
      <c r="F1285" s="46">
        <f>IFERROR(__xludf.DUMMYFUNCTION("""COMPUTED_VALUE"""),1.0)</f>
        <v>1</v>
      </c>
      <c r="G1285" s="46">
        <f>IFERROR(__xludf.DUMMYFUNCTION("""COMPUTED_VALUE"""),8850.0)</f>
        <v>8850</v>
      </c>
      <c r="H1285" s="46">
        <f>IFERROR(__xludf.DUMMYFUNCTION("""COMPUTED_VALUE"""),419932.5)</f>
        <v>419932.5</v>
      </c>
      <c r="I1285" s="46">
        <f>IFERROR(__xludf.DUMMYFUNCTION("""COMPUTED_VALUE"""),281341.5)</f>
        <v>281341.5</v>
      </c>
      <c r="J1285" s="46">
        <f>IFERROR(__xludf.DUMMYFUNCTION("""COMPUTED_VALUE"""),138591.0)</f>
        <v>138591</v>
      </c>
      <c r="K1285" s="46" t="str">
        <f t="array" ref="K1285">TEXT(D1285, "mmmm")</f>
        <v>February</v>
      </c>
    </row>
    <row r="1286">
      <c r="A1286" s="46" t="str">
        <f>IFERROR(__xludf.DUMMYFUNCTION("""COMPUTED_VALUE"""),"Cereal")</f>
        <v>Cereal</v>
      </c>
      <c r="B1286" s="46" t="str">
        <f>IFERROR(__xludf.DUMMYFUNCTION("""COMPUTED_VALUE"""),"Germany")</f>
        <v>Germany</v>
      </c>
      <c r="C1286" s="46" t="str">
        <f>IFERROR(__xludf.DUMMYFUNCTION("""COMPUTED_VALUE"""),"Europe")</f>
        <v>Europe</v>
      </c>
      <c r="D1286" s="90">
        <f>IFERROR(__xludf.DUMMYFUNCTION("""COMPUTED_VALUE"""),40210.0)</f>
        <v>40210</v>
      </c>
      <c r="E1286" s="46">
        <f>IFERROR(__xludf.DUMMYFUNCTION("""COMPUTED_VALUE"""),2010.0)</f>
        <v>2010</v>
      </c>
      <c r="F1286" s="46">
        <f>IFERROR(__xludf.DUMMYFUNCTION("""COMPUTED_VALUE"""),1.0)</f>
        <v>1</v>
      </c>
      <c r="G1286" s="46">
        <f>IFERROR(__xludf.DUMMYFUNCTION("""COMPUTED_VALUE"""),4629.0)</f>
        <v>4629</v>
      </c>
      <c r="H1286" s="46">
        <f>IFERROR(__xludf.DUMMYFUNCTION("""COMPUTED_VALUE"""),952185.2999999999)</f>
        <v>952185.3</v>
      </c>
      <c r="I1286" s="46">
        <f>IFERROR(__xludf.DUMMYFUNCTION("""COMPUTED_VALUE"""),542102.19)</f>
        <v>542102.19</v>
      </c>
      <c r="J1286" s="46">
        <f>IFERROR(__xludf.DUMMYFUNCTION("""COMPUTED_VALUE"""),410083.11)</f>
        <v>410083.11</v>
      </c>
      <c r="K1286" s="46" t="str">
        <f t="array" ref="K1286">TEXT(D1286, "mmmm")</f>
        <v>February</v>
      </c>
    </row>
    <row r="1287">
      <c r="A1287" s="46" t="str">
        <f>IFERROR(__xludf.DUMMYFUNCTION("""COMPUTED_VALUE"""),"Fruits")</f>
        <v>Fruits</v>
      </c>
      <c r="B1287" s="46" t="str">
        <f>IFERROR(__xludf.DUMMYFUNCTION("""COMPUTED_VALUE"""),"Malta")</f>
        <v>Malta</v>
      </c>
      <c r="C1287" s="46" t="str">
        <f>IFERROR(__xludf.DUMMYFUNCTION("""COMPUTED_VALUE"""),"Europe")</f>
        <v>Europe</v>
      </c>
      <c r="D1287" s="90">
        <f>IFERROR(__xludf.DUMMYFUNCTION("""COMPUTED_VALUE"""),40210.0)</f>
        <v>40210</v>
      </c>
      <c r="E1287" s="46">
        <f>IFERROR(__xludf.DUMMYFUNCTION("""COMPUTED_VALUE"""),2010.0)</f>
        <v>2010</v>
      </c>
      <c r="F1287" s="46">
        <f>IFERROR(__xludf.DUMMYFUNCTION("""COMPUTED_VALUE"""),1.0)</f>
        <v>1</v>
      </c>
      <c r="G1287" s="46">
        <f>IFERROR(__xludf.DUMMYFUNCTION("""COMPUTED_VALUE"""),6349.0)</f>
        <v>6349</v>
      </c>
      <c r="H1287" s="46">
        <f>IFERROR(__xludf.DUMMYFUNCTION("""COMPUTED_VALUE"""),59236.17)</f>
        <v>59236.17</v>
      </c>
      <c r="I1287" s="46">
        <f>IFERROR(__xludf.DUMMYFUNCTION("""COMPUTED_VALUE"""),43935.08)</f>
        <v>43935.08</v>
      </c>
      <c r="J1287" s="46">
        <f>IFERROR(__xludf.DUMMYFUNCTION("""COMPUTED_VALUE"""),15301.089999999997)</f>
        <v>15301.09</v>
      </c>
      <c r="K1287" s="46" t="str">
        <f t="array" ref="K1287">TEXT(D1287, "mmmm")</f>
        <v>February</v>
      </c>
    </row>
    <row r="1288">
      <c r="A1288" s="46" t="str">
        <f>IFERROR(__xludf.DUMMYFUNCTION("""COMPUTED_VALUE"""),"Household")</f>
        <v>Household</v>
      </c>
      <c r="B1288" s="46" t="str">
        <f>IFERROR(__xludf.DUMMYFUNCTION("""COMPUTED_VALUE"""),"Slovakia")</f>
        <v>Slovakia</v>
      </c>
      <c r="C1288" s="46" t="str">
        <f>IFERROR(__xludf.DUMMYFUNCTION("""COMPUTED_VALUE"""),"Europe")</f>
        <v>Europe</v>
      </c>
      <c r="D1288" s="90">
        <f>IFERROR(__xludf.DUMMYFUNCTION("""COMPUTED_VALUE"""),40210.0)</f>
        <v>40210</v>
      </c>
      <c r="E1288" s="46">
        <f>IFERROR(__xludf.DUMMYFUNCTION("""COMPUTED_VALUE"""),2010.0)</f>
        <v>2010</v>
      </c>
      <c r="F1288" s="46">
        <f>IFERROR(__xludf.DUMMYFUNCTION("""COMPUTED_VALUE"""),1.0)</f>
        <v>1</v>
      </c>
      <c r="G1288" s="46">
        <f>IFERROR(__xludf.DUMMYFUNCTION("""COMPUTED_VALUE"""),773.0)</f>
        <v>773</v>
      </c>
      <c r="H1288" s="46">
        <f>IFERROR(__xludf.DUMMYFUNCTION("""COMPUTED_VALUE"""),516572.70999999996)</f>
        <v>516572.71</v>
      </c>
      <c r="I1288" s="46">
        <f>IFERROR(__xludf.DUMMYFUNCTION("""COMPUTED_VALUE"""),388463.42000000004)</f>
        <v>388463.42</v>
      </c>
      <c r="J1288" s="46">
        <f>IFERROR(__xludf.DUMMYFUNCTION("""COMPUTED_VALUE"""),128109.28999999992)</f>
        <v>128109.29</v>
      </c>
      <c r="K1288" s="46" t="str">
        <f t="array" ref="K1288">TEXT(D1288, "mmmm")</f>
        <v>February</v>
      </c>
    </row>
    <row r="1289">
      <c r="A1289" s="46" t="str">
        <f>IFERROR(__xludf.DUMMYFUNCTION("""COMPUTED_VALUE"""),"Meat")</f>
        <v>Meat</v>
      </c>
      <c r="B1289" s="46" t="str">
        <f>IFERROR(__xludf.DUMMYFUNCTION("""COMPUTED_VALUE"""),"Georgia")</f>
        <v>Georgia</v>
      </c>
      <c r="C1289" s="46" t="str">
        <f>IFERROR(__xludf.DUMMYFUNCTION("""COMPUTED_VALUE"""),"Asia")</f>
        <v>Asia</v>
      </c>
      <c r="D1289" s="90">
        <f>IFERROR(__xludf.DUMMYFUNCTION("""COMPUTED_VALUE"""),40210.0)</f>
        <v>40210</v>
      </c>
      <c r="E1289" s="46">
        <f>IFERROR(__xludf.DUMMYFUNCTION("""COMPUTED_VALUE"""),2010.0)</f>
        <v>2010</v>
      </c>
      <c r="F1289" s="46">
        <f>IFERROR(__xludf.DUMMYFUNCTION("""COMPUTED_VALUE"""),1.0)</f>
        <v>1</v>
      </c>
      <c r="G1289" s="46">
        <f>IFERROR(__xludf.DUMMYFUNCTION("""COMPUTED_VALUE"""),8416.0)</f>
        <v>8416</v>
      </c>
      <c r="H1289" s="46">
        <f>IFERROR(__xludf.DUMMYFUNCTION("""COMPUTED_VALUE"""),3550626.2399999998)</f>
        <v>3550626.24</v>
      </c>
      <c r="I1289" s="46">
        <f>IFERROR(__xludf.DUMMYFUNCTION("""COMPUTED_VALUE"""),3069231.04)</f>
        <v>3069231.04</v>
      </c>
      <c r="J1289" s="46">
        <f>IFERROR(__xludf.DUMMYFUNCTION("""COMPUTED_VALUE"""),481395.1999999997)</f>
        <v>481395.2</v>
      </c>
      <c r="K1289" s="46" t="str">
        <f t="array" ref="K1289">TEXT(D1289, "mmmm")</f>
        <v>February</v>
      </c>
    </row>
    <row r="1290">
      <c r="A1290" s="46" t="str">
        <f>IFERROR(__xludf.DUMMYFUNCTION("""COMPUTED_VALUE"""),"Meat")</f>
        <v>Meat</v>
      </c>
      <c r="B1290" s="46" t="str">
        <f>IFERROR(__xludf.DUMMYFUNCTION("""COMPUTED_VALUE"""),"Lithuania")</f>
        <v>Lithuania</v>
      </c>
      <c r="C1290" s="46" t="str">
        <f>IFERROR(__xludf.DUMMYFUNCTION("""COMPUTED_VALUE"""),"Europe")</f>
        <v>Europe</v>
      </c>
      <c r="D1290" s="90">
        <f>IFERROR(__xludf.DUMMYFUNCTION("""COMPUTED_VALUE"""),40210.0)</f>
        <v>40210</v>
      </c>
      <c r="E1290" s="46">
        <f>IFERROR(__xludf.DUMMYFUNCTION("""COMPUTED_VALUE"""),2010.0)</f>
        <v>2010</v>
      </c>
      <c r="F1290" s="46">
        <f>IFERROR(__xludf.DUMMYFUNCTION("""COMPUTED_VALUE"""),1.0)</f>
        <v>1</v>
      </c>
      <c r="G1290" s="46">
        <f>IFERROR(__xludf.DUMMYFUNCTION("""COMPUTED_VALUE"""),4348.0)</f>
        <v>4348</v>
      </c>
      <c r="H1290" s="46">
        <f>IFERROR(__xludf.DUMMYFUNCTION("""COMPUTED_VALUE"""),1834377.72)</f>
        <v>1834377.72</v>
      </c>
      <c r="I1290" s="46">
        <f>IFERROR(__xludf.DUMMYFUNCTION("""COMPUTED_VALUE"""),1585672.1199999999)</f>
        <v>1585672.12</v>
      </c>
      <c r="J1290" s="46">
        <f>IFERROR(__xludf.DUMMYFUNCTION("""COMPUTED_VALUE"""),248705.6000000001)</f>
        <v>248705.6</v>
      </c>
      <c r="K1290" s="46" t="str">
        <f t="array" ref="K1290">TEXT(D1290, "mmmm")</f>
        <v>February</v>
      </c>
    </row>
    <row r="1291">
      <c r="A1291" s="46" t="str">
        <f>IFERROR(__xludf.DUMMYFUNCTION("""COMPUTED_VALUE"""),"Meat")</f>
        <v>Meat</v>
      </c>
      <c r="B1291" s="46" t="str">
        <f>IFERROR(__xludf.DUMMYFUNCTION("""COMPUTED_VALUE"""),"Romania")</f>
        <v>Romania</v>
      </c>
      <c r="C1291" s="46" t="str">
        <f>IFERROR(__xludf.DUMMYFUNCTION("""COMPUTED_VALUE"""),"Europe")</f>
        <v>Europe</v>
      </c>
      <c r="D1291" s="90">
        <f>IFERROR(__xludf.DUMMYFUNCTION("""COMPUTED_VALUE"""),40210.0)</f>
        <v>40210</v>
      </c>
      <c r="E1291" s="46">
        <f>IFERROR(__xludf.DUMMYFUNCTION("""COMPUTED_VALUE"""),2010.0)</f>
        <v>2010</v>
      </c>
      <c r="F1291" s="46">
        <f>IFERROR(__xludf.DUMMYFUNCTION("""COMPUTED_VALUE"""),1.0)</f>
        <v>1</v>
      </c>
      <c r="G1291" s="46">
        <f>IFERROR(__xludf.DUMMYFUNCTION("""COMPUTED_VALUE"""),3199.0)</f>
        <v>3199</v>
      </c>
      <c r="H1291" s="46">
        <f>IFERROR(__xludf.DUMMYFUNCTION("""COMPUTED_VALUE"""),1349626.1099999999)</f>
        <v>1349626.11</v>
      </c>
      <c r="I1291" s="46">
        <f>IFERROR(__xludf.DUMMYFUNCTION("""COMPUTED_VALUE"""),1166643.31)</f>
        <v>1166643.31</v>
      </c>
      <c r="J1291" s="46">
        <f>IFERROR(__xludf.DUMMYFUNCTION("""COMPUTED_VALUE"""),182982.7999999998)</f>
        <v>182982.8</v>
      </c>
      <c r="K1291" s="46" t="str">
        <f t="array" ref="K1291">TEXT(D1291, "mmmm")</f>
        <v>February</v>
      </c>
    </row>
    <row r="1292">
      <c r="A1292" s="46" t="str">
        <f>IFERROR(__xludf.DUMMYFUNCTION("""COMPUTED_VALUE"""),"Office Supplies")</f>
        <v>Office Supplies</v>
      </c>
      <c r="B1292" s="46" t="str">
        <f>IFERROR(__xludf.DUMMYFUNCTION("""COMPUTED_VALUE"""),"Austria")</f>
        <v>Austria</v>
      </c>
      <c r="C1292" s="46" t="str">
        <f>IFERROR(__xludf.DUMMYFUNCTION("""COMPUTED_VALUE"""),"Europe")</f>
        <v>Europe</v>
      </c>
      <c r="D1292" s="90">
        <f>IFERROR(__xludf.DUMMYFUNCTION("""COMPUTED_VALUE"""),40210.0)</f>
        <v>40210</v>
      </c>
      <c r="E1292" s="46">
        <f>IFERROR(__xludf.DUMMYFUNCTION("""COMPUTED_VALUE"""),2010.0)</f>
        <v>2010</v>
      </c>
      <c r="F1292" s="46">
        <f>IFERROR(__xludf.DUMMYFUNCTION("""COMPUTED_VALUE"""),1.0)</f>
        <v>1</v>
      </c>
      <c r="G1292" s="46">
        <f>IFERROR(__xludf.DUMMYFUNCTION("""COMPUTED_VALUE"""),6672.0)</f>
        <v>6672</v>
      </c>
      <c r="H1292" s="46">
        <f>IFERROR(__xludf.DUMMYFUNCTION("""COMPUTED_VALUE"""),4344873.12)</f>
        <v>4344873.12</v>
      </c>
      <c r="I1292" s="46">
        <f>IFERROR(__xludf.DUMMYFUNCTION("""COMPUTED_VALUE"""),3502533.12)</f>
        <v>3502533.12</v>
      </c>
      <c r="J1292" s="46">
        <f>IFERROR(__xludf.DUMMYFUNCTION("""COMPUTED_VALUE"""),842340.0)</f>
        <v>842340</v>
      </c>
      <c r="K1292" s="46" t="str">
        <f t="array" ref="K1292">TEXT(D1292, "mmmm")</f>
        <v>February</v>
      </c>
    </row>
    <row r="1293">
      <c r="A1293" s="46" t="str">
        <f>IFERROR(__xludf.DUMMYFUNCTION("""COMPUTED_VALUE"""),"Office Supplies")</f>
        <v>Office Supplies</v>
      </c>
      <c r="B1293" s="46" t="str">
        <f>IFERROR(__xludf.DUMMYFUNCTION("""COMPUTED_VALUE"""),"Czech Republic")</f>
        <v>Czech Republic</v>
      </c>
      <c r="C1293" s="46" t="str">
        <f>IFERROR(__xludf.DUMMYFUNCTION("""COMPUTED_VALUE"""),"Europe")</f>
        <v>Europe</v>
      </c>
      <c r="D1293" s="90">
        <f>IFERROR(__xludf.DUMMYFUNCTION("""COMPUTED_VALUE"""),40210.0)</f>
        <v>40210</v>
      </c>
      <c r="E1293" s="46">
        <f>IFERROR(__xludf.DUMMYFUNCTION("""COMPUTED_VALUE"""),2010.0)</f>
        <v>2010</v>
      </c>
      <c r="F1293" s="46">
        <f>IFERROR(__xludf.DUMMYFUNCTION("""COMPUTED_VALUE"""),1.0)</f>
        <v>1</v>
      </c>
      <c r="G1293" s="46">
        <f>IFERROR(__xludf.DUMMYFUNCTION("""COMPUTED_VALUE"""),5957.0)</f>
        <v>5957</v>
      </c>
      <c r="H1293" s="46">
        <f>IFERROR(__xludf.DUMMYFUNCTION("""COMPUTED_VALUE"""),3879257.97)</f>
        <v>3879257.97</v>
      </c>
      <c r="I1293" s="46">
        <f>IFERROR(__xludf.DUMMYFUNCTION("""COMPUTED_VALUE"""),3127186.72)</f>
        <v>3127186.72</v>
      </c>
      <c r="J1293" s="46">
        <f>IFERROR(__xludf.DUMMYFUNCTION("""COMPUTED_VALUE"""),752071.25)</f>
        <v>752071.25</v>
      </c>
      <c r="K1293" s="46" t="str">
        <f t="array" ref="K1293">TEXT(D1293, "mmmm")</f>
        <v>February</v>
      </c>
    </row>
    <row r="1294">
      <c r="A1294" s="46" t="str">
        <f>IFERROR(__xludf.DUMMYFUNCTION("""COMPUTED_VALUE"""),"Personal Care")</f>
        <v>Personal Care</v>
      </c>
      <c r="B1294" s="46" t="str">
        <f>IFERROR(__xludf.DUMMYFUNCTION("""COMPUTED_VALUE"""),"Bosnia and Herzegovina")</f>
        <v>Bosnia and Herzegovina</v>
      </c>
      <c r="C1294" s="46" t="str">
        <f>IFERROR(__xludf.DUMMYFUNCTION("""COMPUTED_VALUE"""),"Europe")</f>
        <v>Europe</v>
      </c>
      <c r="D1294" s="90">
        <f>IFERROR(__xludf.DUMMYFUNCTION("""COMPUTED_VALUE"""),40210.0)</f>
        <v>40210</v>
      </c>
      <c r="E1294" s="46">
        <f>IFERROR(__xludf.DUMMYFUNCTION("""COMPUTED_VALUE"""),2010.0)</f>
        <v>2010</v>
      </c>
      <c r="F1294" s="46">
        <f>IFERROR(__xludf.DUMMYFUNCTION("""COMPUTED_VALUE"""),1.0)</f>
        <v>1</v>
      </c>
      <c r="G1294" s="46">
        <f>IFERROR(__xludf.DUMMYFUNCTION("""COMPUTED_VALUE"""),6742.0)</f>
        <v>6742</v>
      </c>
      <c r="H1294" s="46">
        <f>IFERROR(__xludf.DUMMYFUNCTION("""COMPUTED_VALUE"""),551023.66)</f>
        <v>551023.66</v>
      </c>
      <c r="I1294" s="46">
        <f>IFERROR(__xludf.DUMMYFUNCTION("""COMPUTED_VALUE"""),382069.14)</f>
        <v>382069.14</v>
      </c>
      <c r="J1294" s="46">
        <f>IFERROR(__xludf.DUMMYFUNCTION("""COMPUTED_VALUE"""),168954.52000000002)</f>
        <v>168954.52</v>
      </c>
      <c r="K1294" s="46" t="str">
        <f t="array" ref="K1294">TEXT(D1294, "mmmm")</f>
        <v>February</v>
      </c>
    </row>
    <row r="1295">
      <c r="A1295" s="46" t="str">
        <f>IFERROR(__xludf.DUMMYFUNCTION("""COMPUTED_VALUE"""),"Vegetables")</f>
        <v>Vegetables</v>
      </c>
      <c r="B1295" s="46" t="str">
        <f>IFERROR(__xludf.DUMMYFUNCTION("""COMPUTED_VALUE"""),"Luxembourg")</f>
        <v>Luxembourg</v>
      </c>
      <c r="C1295" s="46" t="str">
        <f>IFERROR(__xludf.DUMMYFUNCTION("""COMPUTED_VALUE"""),"Europe")</f>
        <v>Europe</v>
      </c>
      <c r="D1295" s="90">
        <f>IFERROR(__xludf.DUMMYFUNCTION("""COMPUTED_VALUE"""),40210.0)</f>
        <v>40210</v>
      </c>
      <c r="E1295" s="46">
        <f>IFERROR(__xludf.DUMMYFUNCTION("""COMPUTED_VALUE"""),2010.0)</f>
        <v>2010</v>
      </c>
      <c r="F1295" s="46">
        <f>IFERROR(__xludf.DUMMYFUNCTION("""COMPUTED_VALUE"""),1.0)</f>
        <v>1</v>
      </c>
      <c r="G1295" s="46">
        <f>IFERROR(__xludf.DUMMYFUNCTION("""COMPUTED_VALUE"""),7291.0)</f>
        <v>7291</v>
      </c>
      <c r="H1295" s="46">
        <f>IFERROR(__xludf.DUMMYFUNCTION("""COMPUTED_VALUE"""),1123251.46)</f>
        <v>1123251.46</v>
      </c>
      <c r="I1295" s="46">
        <f>IFERROR(__xludf.DUMMYFUNCTION("""COMPUTED_VALUE"""),662970.63)</f>
        <v>662970.63</v>
      </c>
      <c r="J1295" s="46">
        <f>IFERROR(__xludf.DUMMYFUNCTION("""COMPUTED_VALUE"""),460280.82999999996)</f>
        <v>460280.83</v>
      </c>
      <c r="K1295" s="46" t="str">
        <f t="array" ref="K1295">TEXT(D1295, "mmmm")</f>
        <v>February</v>
      </c>
    </row>
    <row r="1296">
      <c r="A1296" s="46" t="str">
        <f>IFERROR(__xludf.DUMMYFUNCTION("""COMPUTED_VALUE"""),"Baby Food")</f>
        <v>Baby Food</v>
      </c>
      <c r="B1296" s="46" t="str">
        <f>IFERROR(__xludf.DUMMYFUNCTION("""COMPUTED_VALUE"""),"Cyprus")</f>
        <v>Cyprus</v>
      </c>
      <c r="C1296" s="46" t="str">
        <f>IFERROR(__xludf.DUMMYFUNCTION("""COMPUTED_VALUE"""),"Asia")</f>
        <v>Asia</v>
      </c>
      <c r="D1296" s="90">
        <f>IFERROR(__xludf.DUMMYFUNCTION("""COMPUTED_VALUE"""),40179.0)</f>
        <v>40179</v>
      </c>
      <c r="E1296" s="46">
        <f>IFERROR(__xludf.DUMMYFUNCTION("""COMPUTED_VALUE"""),2010.0)</f>
        <v>2010</v>
      </c>
      <c r="F1296" s="46">
        <f>IFERROR(__xludf.DUMMYFUNCTION("""COMPUTED_VALUE"""),1.0)</f>
        <v>1</v>
      </c>
      <c r="G1296" s="46">
        <f>IFERROR(__xludf.DUMMYFUNCTION("""COMPUTED_VALUE"""),649.0)</f>
        <v>649</v>
      </c>
      <c r="H1296" s="46">
        <f>IFERROR(__xludf.DUMMYFUNCTION("""COMPUTED_VALUE"""),165676.72)</f>
        <v>165676.72</v>
      </c>
      <c r="I1296" s="46">
        <f>IFERROR(__xludf.DUMMYFUNCTION("""COMPUTED_VALUE"""),103463.57999999999)</f>
        <v>103463.58</v>
      </c>
      <c r="J1296" s="46">
        <f>IFERROR(__xludf.DUMMYFUNCTION("""COMPUTED_VALUE"""),62213.140000000014)</f>
        <v>62213.14</v>
      </c>
      <c r="K1296" s="46" t="str">
        <f t="array" ref="K1296">TEXT(D1296, "mmmm")</f>
        <v>January</v>
      </c>
    </row>
    <row r="1297">
      <c r="A1297" s="46" t="str">
        <f>IFERROR(__xludf.DUMMYFUNCTION("""COMPUTED_VALUE"""),"Baby Food")</f>
        <v>Baby Food</v>
      </c>
      <c r="B1297" s="46" t="str">
        <f>IFERROR(__xludf.DUMMYFUNCTION("""COMPUTED_VALUE"""),"Hungary")</f>
        <v>Hungary</v>
      </c>
      <c r="C1297" s="46" t="str">
        <f>IFERROR(__xludf.DUMMYFUNCTION("""COMPUTED_VALUE"""),"Europe")</f>
        <v>Europe</v>
      </c>
      <c r="D1297" s="90">
        <f>IFERROR(__xludf.DUMMYFUNCTION("""COMPUTED_VALUE"""),40179.0)</f>
        <v>40179</v>
      </c>
      <c r="E1297" s="46">
        <f>IFERROR(__xludf.DUMMYFUNCTION("""COMPUTED_VALUE"""),2010.0)</f>
        <v>2010</v>
      </c>
      <c r="F1297" s="46">
        <f>IFERROR(__xludf.DUMMYFUNCTION("""COMPUTED_VALUE"""),1.0)</f>
        <v>1</v>
      </c>
      <c r="G1297" s="46">
        <f>IFERROR(__xludf.DUMMYFUNCTION("""COMPUTED_VALUE"""),9367.0)</f>
        <v>9367</v>
      </c>
      <c r="H1297" s="46">
        <f>IFERROR(__xludf.DUMMYFUNCTION("""COMPUTED_VALUE"""),2391207.7600000002)</f>
        <v>2391207.76</v>
      </c>
      <c r="I1297" s="46">
        <f>IFERROR(__xludf.DUMMYFUNCTION("""COMPUTED_VALUE"""),1493287.14)</f>
        <v>1493287.14</v>
      </c>
      <c r="J1297" s="46">
        <f>IFERROR(__xludf.DUMMYFUNCTION("""COMPUTED_VALUE"""),897920.6200000003)</f>
        <v>897920.62</v>
      </c>
      <c r="K1297" s="46" t="str">
        <f t="array" ref="K1297">TEXT(D1297, "mmmm")</f>
        <v>January</v>
      </c>
    </row>
    <row r="1298">
      <c r="A1298" s="46" t="str">
        <f>IFERROR(__xludf.DUMMYFUNCTION("""COMPUTED_VALUE"""),"Baby Food")</f>
        <v>Baby Food</v>
      </c>
      <c r="B1298" s="46" t="str">
        <f>IFERROR(__xludf.DUMMYFUNCTION("""COMPUTED_VALUE"""),"Portugal")</f>
        <v>Portugal</v>
      </c>
      <c r="C1298" s="46" t="str">
        <f>IFERROR(__xludf.DUMMYFUNCTION("""COMPUTED_VALUE"""),"Europe")</f>
        <v>Europe</v>
      </c>
      <c r="D1298" s="90">
        <f>IFERROR(__xludf.DUMMYFUNCTION("""COMPUTED_VALUE"""),40179.0)</f>
        <v>40179</v>
      </c>
      <c r="E1298" s="46">
        <f>IFERROR(__xludf.DUMMYFUNCTION("""COMPUTED_VALUE"""),2010.0)</f>
        <v>2010</v>
      </c>
      <c r="F1298" s="46">
        <f>IFERROR(__xludf.DUMMYFUNCTION("""COMPUTED_VALUE"""),1.0)</f>
        <v>1</v>
      </c>
      <c r="G1298" s="46">
        <f>IFERROR(__xludf.DUMMYFUNCTION("""COMPUTED_VALUE"""),6238.0)</f>
        <v>6238</v>
      </c>
      <c r="H1298" s="46">
        <f>IFERROR(__xludf.DUMMYFUNCTION("""COMPUTED_VALUE"""),1592436.64)</f>
        <v>1592436.64</v>
      </c>
      <c r="I1298" s="46">
        <f>IFERROR(__xludf.DUMMYFUNCTION("""COMPUTED_VALUE"""),994461.96)</f>
        <v>994461.96</v>
      </c>
      <c r="J1298" s="46">
        <f>IFERROR(__xludf.DUMMYFUNCTION("""COMPUTED_VALUE"""),597974.6799999999)</f>
        <v>597974.68</v>
      </c>
      <c r="K1298" s="46" t="str">
        <f t="array" ref="K1298">TEXT(D1298, "mmmm")</f>
        <v>January</v>
      </c>
    </row>
    <row r="1299">
      <c r="A1299" s="46" t="str">
        <f>IFERROR(__xludf.DUMMYFUNCTION("""COMPUTED_VALUE"""),"Beverages")</f>
        <v>Beverages</v>
      </c>
      <c r="B1299" s="46" t="str">
        <f>IFERROR(__xludf.DUMMYFUNCTION("""COMPUTED_VALUE"""),"Andorra")</f>
        <v>Andorra</v>
      </c>
      <c r="C1299" s="46" t="str">
        <f>IFERROR(__xludf.DUMMYFUNCTION("""COMPUTED_VALUE"""),"Europe")</f>
        <v>Europe</v>
      </c>
      <c r="D1299" s="90">
        <f>IFERROR(__xludf.DUMMYFUNCTION("""COMPUTED_VALUE"""),40179.0)</f>
        <v>40179</v>
      </c>
      <c r="E1299" s="46">
        <f>IFERROR(__xludf.DUMMYFUNCTION("""COMPUTED_VALUE"""),2010.0)</f>
        <v>2010</v>
      </c>
      <c r="F1299" s="46">
        <f>IFERROR(__xludf.DUMMYFUNCTION("""COMPUTED_VALUE"""),1.0)</f>
        <v>1</v>
      </c>
      <c r="G1299" s="46">
        <f>IFERROR(__xludf.DUMMYFUNCTION("""COMPUTED_VALUE"""),1255.0)</f>
        <v>1255</v>
      </c>
      <c r="H1299" s="46">
        <f>IFERROR(__xludf.DUMMYFUNCTION("""COMPUTED_VALUE"""),59549.75)</f>
        <v>59549.75</v>
      </c>
      <c r="I1299" s="46">
        <f>IFERROR(__xludf.DUMMYFUNCTION("""COMPUTED_VALUE"""),39896.45)</f>
        <v>39896.45</v>
      </c>
      <c r="J1299" s="46">
        <f>IFERROR(__xludf.DUMMYFUNCTION("""COMPUTED_VALUE"""),19653.300000000003)</f>
        <v>19653.3</v>
      </c>
      <c r="K1299" s="46" t="str">
        <f t="array" ref="K1299">TEXT(D1299, "mmmm")</f>
        <v>January</v>
      </c>
    </row>
    <row r="1300">
      <c r="A1300" s="46" t="str">
        <f>IFERROR(__xludf.DUMMYFUNCTION("""COMPUTED_VALUE"""),"Beverages")</f>
        <v>Beverages</v>
      </c>
      <c r="B1300" s="46" t="str">
        <f>IFERROR(__xludf.DUMMYFUNCTION("""COMPUTED_VALUE"""),"Switzerland")</f>
        <v>Switzerland</v>
      </c>
      <c r="C1300" s="46" t="str">
        <f>IFERROR(__xludf.DUMMYFUNCTION("""COMPUTED_VALUE"""),"Europe")</f>
        <v>Europe</v>
      </c>
      <c r="D1300" s="90">
        <f>IFERROR(__xludf.DUMMYFUNCTION("""COMPUTED_VALUE"""),40179.0)</f>
        <v>40179</v>
      </c>
      <c r="E1300" s="46">
        <f>IFERROR(__xludf.DUMMYFUNCTION("""COMPUTED_VALUE"""),2010.0)</f>
        <v>2010</v>
      </c>
      <c r="F1300" s="46">
        <f>IFERROR(__xludf.DUMMYFUNCTION("""COMPUTED_VALUE"""),1.0)</f>
        <v>1</v>
      </c>
      <c r="G1300" s="46">
        <f>IFERROR(__xludf.DUMMYFUNCTION("""COMPUTED_VALUE"""),5391.0)</f>
        <v>5391</v>
      </c>
      <c r="H1300" s="46">
        <f>IFERROR(__xludf.DUMMYFUNCTION("""COMPUTED_VALUE"""),255802.95)</f>
        <v>255802.95</v>
      </c>
      <c r="I1300" s="46">
        <f>IFERROR(__xludf.DUMMYFUNCTION("""COMPUTED_VALUE"""),171379.88999999998)</f>
        <v>171379.89</v>
      </c>
      <c r="J1300" s="46">
        <f>IFERROR(__xludf.DUMMYFUNCTION("""COMPUTED_VALUE"""),84423.06000000003)</f>
        <v>84423.06</v>
      </c>
      <c r="K1300" s="46" t="str">
        <f t="array" ref="K1300">TEXT(D1300, "mmmm")</f>
        <v>January</v>
      </c>
    </row>
    <row r="1301">
      <c r="A1301" s="46" t="str">
        <f>IFERROR(__xludf.DUMMYFUNCTION("""COMPUTED_VALUE"""),"Cereal")</f>
        <v>Cereal</v>
      </c>
      <c r="B1301" s="46" t="str">
        <f>IFERROR(__xludf.DUMMYFUNCTION("""COMPUTED_VALUE"""),"Armenia")</f>
        <v>Armenia</v>
      </c>
      <c r="C1301" s="46" t="str">
        <f>IFERROR(__xludf.DUMMYFUNCTION("""COMPUTED_VALUE"""),"Asia")</f>
        <v>Asia</v>
      </c>
      <c r="D1301" s="90">
        <f>IFERROR(__xludf.DUMMYFUNCTION("""COMPUTED_VALUE"""),40179.0)</f>
        <v>40179</v>
      </c>
      <c r="E1301" s="46">
        <f>IFERROR(__xludf.DUMMYFUNCTION("""COMPUTED_VALUE"""),2010.0)</f>
        <v>2010</v>
      </c>
      <c r="F1301" s="46">
        <f>IFERROR(__xludf.DUMMYFUNCTION("""COMPUTED_VALUE"""),1.0)</f>
        <v>1</v>
      </c>
      <c r="G1301" s="46">
        <f>IFERROR(__xludf.DUMMYFUNCTION("""COMPUTED_VALUE"""),7455.0)</f>
        <v>7455</v>
      </c>
      <c r="H1301" s="46">
        <f>IFERROR(__xludf.DUMMYFUNCTION("""COMPUTED_VALUE"""),1533493.5)</f>
        <v>1533493.5</v>
      </c>
      <c r="I1301" s="46">
        <f>IFERROR(__xludf.DUMMYFUNCTION("""COMPUTED_VALUE"""),873055.05)</f>
        <v>873055.05</v>
      </c>
      <c r="J1301" s="46">
        <f>IFERROR(__xludf.DUMMYFUNCTION("""COMPUTED_VALUE"""),660438.45)</f>
        <v>660438.45</v>
      </c>
      <c r="K1301" s="46" t="str">
        <f t="array" ref="K1301">TEXT(D1301, "mmmm")</f>
        <v>January</v>
      </c>
    </row>
    <row r="1302">
      <c r="A1302" s="46" t="str">
        <f>IFERROR(__xludf.DUMMYFUNCTION("""COMPUTED_VALUE"""),"Cereal")</f>
        <v>Cereal</v>
      </c>
      <c r="B1302" s="46" t="str">
        <f>IFERROR(__xludf.DUMMYFUNCTION("""COMPUTED_VALUE"""),"Greece")</f>
        <v>Greece</v>
      </c>
      <c r="C1302" s="46" t="str">
        <f>IFERROR(__xludf.DUMMYFUNCTION("""COMPUTED_VALUE"""),"Europe")</f>
        <v>Europe</v>
      </c>
      <c r="D1302" s="90">
        <f>IFERROR(__xludf.DUMMYFUNCTION("""COMPUTED_VALUE"""),40179.0)</f>
        <v>40179</v>
      </c>
      <c r="E1302" s="46">
        <f>IFERROR(__xludf.DUMMYFUNCTION("""COMPUTED_VALUE"""),2010.0)</f>
        <v>2010</v>
      </c>
      <c r="F1302" s="46">
        <f>IFERROR(__xludf.DUMMYFUNCTION("""COMPUTED_VALUE"""),1.0)</f>
        <v>1</v>
      </c>
      <c r="G1302" s="46">
        <f>IFERROR(__xludf.DUMMYFUNCTION("""COMPUTED_VALUE"""),8367.0)</f>
        <v>8367</v>
      </c>
      <c r="H1302" s="46">
        <f>IFERROR(__xludf.DUMMYFUNCTION("""COMPUTED_VALUE"""),1721091.9)</f>
        <v>1721091.9</v>
      </c>
      <c r="I1302" s="46">
        <f>IFERROR(__xludf.DUMMYFUNCTION("""COMPUTED_VALUE"""),979859.37)</f>
        <v>979859.37</v>
      </c>
      <c r="J1302" s="46">
        <f>IFERROR(__xludf.DUMMYFUNCTION("""COMPUTED_VALUE"""),741232.5299999999)</f>
        <v>741232.53</v>
      </c>
      <c r="K1302" s="46" t="str">
        <f t="array" ref="K1302">TEXT(D1302, "mmmm")</f>
        <v>January</v>
      </c>
    </row>
    <row r="1303">
      <c r="A1303" s="46" t="str">
        <f>IFERROR(__xludf.DUMMYFUNCTION("""COMPUTED_VALUE"""),"Cereal")</f>
        <v>Cereal</v>
      </c>
      <c r="B1303" s="46" t="str">
        <f>IFERROR(__xludf.DUMMYFUNCTION("""COMPUTED_VALUE"""),"Liechtenstein")</f>
        <v>Liechtenstein</v>
      </c>
      <c r="C1303" s="46" t="str">
        <f>IFERROR(__xludf.DUMMYFUNCTION("""COMPUTED_VALUE"""),"Europe")</f>
        <v>Europe</v>
      </c>
      <c r="D1303" s="90">
        <f>IFERROR(__xludf.DUMMYFUNCTION("""COMPUTED_VALUE"""),40179.0)</f>
        <v>40179</v>
      </c>
      <c r="E1303" s="46">
        <f>IFERROR(__xludf.DUMMYFUNCTION("""COMPUTED_VALUE"""),2010.0)</f>
        <v>2010</v>
      </c>
      <c r="F1303" s="46">
        <f>IFERROR(__xludf.DUMMYFUNCTION("""COMPUTED_VALUE"""),1.0)</f>
        <v>1</v>
      </c>
      <c r="G1303" s="46">
        <f>IFERROR(__xludf.DUMMYFUNCTION("""COMPUTED_VALUE"""),7652.0)</f>
        <v>7652</v>
      </c>
      <c r="H1303" s="46">
        <f>IFERROR(__xludf.DUMMYFUNCTION("""COMPUTED_VALUE"""),1574016.4)</f>
        <v>1574016.4</v>
      </c>
      <c r="I1303" s="46">
        <f>IFERROR(__xludf.DUMMYFUNCTION("""COMPUTED_VALUE"""),896125.72)</f>
        <v>896125.72</v>
      </c>
      <c r="J1303" s="46">
        <f>IFERROR(__xludf.DUMMYFUNCTION("""COMPUTED_VALUE"""),677890.6799999999)</f>
        <v>677890.68</v>
      </c>
      <c r="K1303" s="46" t="str">
        <f t="array" ref="K1303">TEXT(D1303, "mmmm")</f>
        <v>January</v>
      </c>
    </row>
    <row r="1304">
      <c r="A1304" s="46" t="str">
        <f>IFERROR(__xludf.DUMMYFUNCTION("""COMPUTED_VALUE"""),"Clothes")</f>
        <v>Clothes</v>
      </c>
      <c r="B1304" s="46" t="str">
        <f>IFERROR(__xludf.DUMMYFUNCTION("""COMPUTED_VALUE"""),"Armenia")</f>
        <v>Armenia</v>
      </c>
      <c r="C1304" s="46" t="str">
        <f>IFERROR(__xludf.DUMMYFUNCTION("""COMPUTED_VALUE"""),"Asia")</f>
        <v>Asia</v>
      </c>
      <c r="D1304" s="90">
        <f>IFERROR(__xludf.DUMMYFUNCTION("""COMPUTED_VALUE"""),40179.0)</f>
        <v>40179</v>
      </c>
      <c r="E1304" s="46">
        <f>IFERROR(__xludf.DUMMYFUNCTION("""COMPUTED_VALUE"""),2010.0)</f>
        <v>2010</v>
      </c>
      <c r="F1304" s="46">
        <f>IFERROR(__xludf.DUMMYFUNCTION("""COMPUTED_VALUE"""),1.0)</f>
        <v>1</v>
      </c>
      <c r="G1304" s="46">
        <f>IFERROR(__xludf.DUMMYFUNCTION("""COMPUTED_VALUE"""),313.0)</f>
        <v>313</v>
      </c>
      <c r="H1304" s="46">
        <f>IFERROR(__xludf.DUMMYFUNCTION("""COMPUTED_VALUE"""),34204.64)</f>
        <v>34204.64</v>
      </c>
      <c r="I1304" s="46">
        <f>IFERROR(__xludf.DUMMYFUNCTION("""COMPUTED_VALUE"""),11217.920000000002)</f>
        <v>11217.92</v>
      </c>
      <c r="J1304" s="46">
        <f>IFERROR(__xludf.DUMMYFUNCTION("""COMPUTED_VALUE"""),22986.719999999998)</f>
        <v>22986.72</v>
      </c>
      <c r="K1304" s="46" t="str">
        <f t="array" ref="K1304">TEXT(D1304, "mmmm")</f>
        <v>January</v>
      </c>
    </row>
    <row r="1305">
      <c r="A1305" s="46" t="str">
        <f>IFERROR(__xludf.DUMMYFUNCTION("""COMPUTED_VALUE"""),"Clothes")</f>
        <v>Clothes</v>
      </c>
      <c r="B1305" s="46" t="str">
        <f>IFERROR(__xludf.DUMMYFUNCTION("""COMPUTED_VALUE"""),"Italy")</f>
        <v>Italy</v>
      </c>
      <c r="C1305" s="46" t="str">
        <f>IFERROR(__xludf.DUMMYFUNCTION("""COMPUTED_VALUE"""),"Europe")</f>
        <v>Europe</v>
      </c>
      <c r="D1305" s="90">
        <f>IFERROR(__xludf.DUMMYFUNCTION("""COMPUTED_VALUE"""),40179.0)</f>
        <v>40179</v>
      </c>
      <c r="E1305" s="46">
        <f>IFERROR(__xludf.DUMMYFUNCTION("""COMPUTED_VALUE"""),2010.0)</f>
        <v>2010</v>
      </c>
      <c r="F1305" s="46">
        <f>IFERROR(__xludf.DUMMYFUNCTION("""COMPUTED_VALUE"""),1.0)</f>
        <v>1</v>
      </c>
      <c r="G1305" s="46">
        <f>IFERROR(__xludf.DUMMYFUNCTION("""COMPUTED_VALUE"""),4011.0)</f>
        <v>4011</v>
      </c>
      <c r="H1305" s="46">
        <f>IFERROR(__xludf.DUMMYFUNCTION("""COMPUTED_VALUE"""),438322.08)</f>
        <v>438322.08</v>
      </c>
      <c r="I1305" s="46">
        <f>IFERROR(__xludf.DUMMYFUNCTION("""COMPUTED_VALUE"""),143754.24000000002)</f>
        <v>143754.24</v>
      </c>
      <c r="J1305" s="46">
        <f>IFERROR(__xludf.DUMMYFUNCTION("""COMPUTED_VALUE"""),294567.83999999997)</f>
        <v>294567.84</v>
      </c>
      <c r="K1305" s="46" t="str">
        <f t="array" ref="K1305">TEXT(D1305, "mmmm")</f>
        <v>January</v>
      </c>
    </row>
    <row r="1306">
      <c r="A1306" s="46" t="str">
        <f>IFERROR(__xludf.DUMMYFUNCTION("""COMPUTED_VALUE"""),"Clothes")</f>
        <v>Clothes</v>
      </c>
      <c r="B1306" s="46" t="str">
        <f>IFERROR(__xludf.DUMMYFUNCTION("""COMPUTED_VALUE"""),"Serbia")</f>
        <v>Serbia</v>
      </c>
      <c r="C1306" s="46" t="str">
        <f>IFERROR(__xludf.DUMMYFUNCTION("""COMPUTED_VALUE"""),"Europe")</f>
        <v>Europe</v>
      </c>
      <c r="D1306" s="90">
        <f>IFERROR(__xludf.DUMMYFUNCTION("""COMPUTED_VALUE"""),40179.0)</f>
        <v>40179</v>
      </c>
      <c r="E1306" s="46">
        <f>IFERROR(__xludf.DUMMYFUNCTION("""COMPUTED_VALUE"""),2010.0)</f>
        <v>2010</v>
      </c>
      <c r="F1306" s="46">
        <f>IFERROR(__xludf.DUMMYFUNCTION("""COMPUTED_VALUE"""),1.0)</f>
        <v>1</v>
      </c>
      <c r="G1306" s="46">
        <f>IFERROR(__xludf.DUMMYFUNCTION("""COMPUTED_VALUE"""),5742.0)</f>
        <v>5742</v>
      </c>
      <c r="H1306" s="46">
        <f>IFERROR(__xludf.DUMMYFUNCTION("""COMPUTED_VALUE"""),627485.76)</f>
        <v>627485.76</v>
      </c>
      <c r="I1306" s="46">
        <f>IFERROR(__xludf.DUMMYFUNCTION("""COMPUTED_VALUE"""),205793.28000000003)</f>
        <v>205793.28</v>
      </c>
      <c r="J1306" s="46">
        <f>IFERROR(__xludf.DUMMYFUNCTION("""COMPUTED_VALUE"""),421692.48)</f>
        <v>421692.48</v>
      </c>
      <c r="K1306" s="46" t="str">
        <f t="array" ref="K1306">TEXT(D1306, "mmmm")</f>
        <v>January</v>
      </c>
    </row>
    <row r="1307">
      <c r="A1307" s="46" t="str">
        <f>IFERROR(__xludf.DUMMYFUNCTION("""COMPUTED_VALUE"""),"Cosmetics")</f>
        <v>Cosmetics</v>
      </c>
      <c r="B1307" s="46" t="str">
        <f>IFERROR(__xludf.DUMMYFUNCTION("""COMPUTED_VALUE"""),"Belarus")</f>
        <v>Belarus</v>
      </c>
      <c r="C1307" s="46" t="str">
        <f>IFERROR(__xludf.DUMMYFUNCTION("""COMPUTED_VALUE"""),"Europe")</f>
        <v>Europe</v>
      </c>
      <c r="D1307" s="90">
        <f>IFERROR(__xludf.DUMMYFUNCTION("""COMPUTED_VALUE"""),40179.0)</f>
        <v>40179</v>
      </c>
      <c r="E1307" s="46">
        <f>IFERROR(__xludf.DUMMYFUNCTION("""COMPUTED_VALUE"""),2010.0)</f>
        <v>2010</v>
      </c>
      <c r="F1307" s="46">
        <f>IFERROR(__xludf.DUMMYFUNCTION("""COMPUTED_VALUE"""),1.0)</f>
        <v>1</v>
      </c>
      <c r="G1307" s="46">
        <f>IFERROR(__xludf.DUMMYFUNCTION("""COMPUTED_VALUE"""),2979.0)</f>
        <v>2979</v>
      </c>
      <c r="H1307" s="46">
        <f>IFERROR(__xludf.DUMMYFUNCTION("""COMPUTED_VALUE"""),1302418.8)</f>
        <v>1302418.8</v>
      </c>
      <c r="I1307" s="46">
        <f>IFERROR(__xludf.DUMMYFUNCTION("""COMPUTED_VALUE"""),784460.07)</f>
        <v>784460.07</v>
      </c>
      <c r="J1307" s="46">
        <f>IFERROR(__xludf.DUMMYFUNCTION("""COMPUTED_VALUE"""),517958.7300000001)</f>
        <v>517958.73</v>
      </c>
      <c r="K1307" s="46" t="str">
        <f t="array" ref="K1307">TEXT(D1307, "mmmm")</f>
        <v>January</v>
      </c>
    </row>
    <row r="1308">
      <c r="A1308" s="46" t="str">
        <f>IFERROR(__xludf.DUMMYFUNCTION("""COMPUTED_VALUE"""),"Cosmetics")</f>
        <v>Cosmetics</v>
      </c>
      <c r="B1308" s="46" t="str">
        <f>IFERROR(__xludf.DUMMYFUNCTION("""COMPUTED_VALUE"""),"Sweden")</f>
        <v>Sweden</v>
      </c>
      <c r="C1308" s="46" t="str">
        <f>IFERROR(__xludf.DUMMYFUNCTION("""COMPUTED_VALUE"""),"Europe")</f>
        <v>Europe</v>
      </c>
      <c r="D1308" s="90">
        <f>IFERROR(__xludf.DUMMYFUNCTION("""COMPUTED_VALUE"""),40179.0)</f>
        <v>40179</v>
      </c>
      <c r="E1308" s="46">
        <f>IFERROR(__xludf.DUMMYFUNCTION("""COMPUTED_VALUE"""),2010.0)</f>
        <v>2010</v>
      </c>
      <c r="F1308" s="46">
        <f>IFERROR(__xludf.DUMMYFUNCTION("""COMPUTED_VALUE"""),1.0)</f>
        <v>1</v>
      </c>
      <c r="G1308" s="46">
        <f>IFERROR(__xludf.DUMMYFUNCTION("""COMPUTED_VALUE"""),9492.0)</f>
        <v>9492</v>
      </c>
      <c r="H1308" s="46">
        <f>IFERROR(__xludf.DUMMYFUNCTION("""COMPUTED_VALUE"""),4149902.4)</f>
        <v>4149902.4</v>
      </c>
      <c r="I1308" s="46">
        <f>IFERROR(__xludf.DUMMYFUNCTION("""COMPUTED_VALUE"""),2499528.36)</f>
        <v>2499528.36</v>
      </c>
      <c r="J1308" s="46">
        <f>IFERROR(__xludf.DUMMYFUNCTION("""COMPUTED_VALUE"""),1650374.04)</f>
        <v>1650374.04</v>
      </c>
      <c r="K1308" s="46" t="str">
        <f t="array" ref="K1308">TEXT(D1308, "mmmm")</f>
        <v>January</v>
      </c>
    </row>
    <row r="1309">
      <c r="A1309" s="46" t="str">
        <f>IFERROR(__xludf.DUMMYFUNCTION("""COMPUTED_VALUE"""),"Fruits")</f>
        <v>Fruits</v>
      </c>
      <c r="B1309" s="46" t="str">
        <f>IFERROR(__xludf.DUMMYFUNCTION("""COMPUTED_VALUE"""),"Slovenia")</f>
        <v>Slovenia</v>
      </c>
      <c r="C1309" s="46" t="str">
        <f>IFERROR(__xludf.DUMMYFUNCTION("""COMPUTED_VALUE"""),"Europe")</f>
        <v>Europe</v>
      </c>
      <c r="D1309" s="90">
        <f>IFERROR(__xludf.DUMMYFUNCTION("""COMPUTED_VALUE"""),40179.0)</f>
        <v>40179</v>
      </c>
      <c r="E1309" s="46">
        <f>IFERROR(__xludf.DUMMYFUNCTION("""COMPUTED_VALUE"""),2010.0)</f>
        <v>2010</v>
      </c>
      <c r="F1309" s="46">
        <f>IFERROR(__xludf.DUMMYFUNCTION("""COMPUTED_VALUE"""),1.0)</f>
        <v>1</v>
      </c>
      <c r="G1309" s="46">
        <f>IFERROR(__xludf.DUMMYFUNCTION("""COMPUTED_VALUE"""),723.0)</f>
        <v>723</v>
      </c>
      <c r="H1309" s="46">
        <f>IFERROR(__xludf.DUMMYFUNCTION("""COMPUTED_VALUE"""),6745.59)</f>
        <v>6745.59</v>
      </c>
      <c r="I1309" s="46">
        <f>IFERROR(__xludf.DUMMYFUNCTION("""COMPUTED_VALUE"""),5003.16)</f>
        <v>5003.16</v>
      </c>
      <c r="J1309" s="46">
        <f>IFERROR(__xludf.DUMMYFUNCTION("""COMPUTED_VALUE"""),1742.4300000000003)</f>
        <v>1742.43</v>
      </c>
      <c r="K1309" s="46" t="str">
        <f t="array" ref="K1309">TEXT(D1309, "mmmm")</f>
        <v>January</v>
      </c>
    </row>
    <row r="1310">
      <c r="A1310" s="46" t="str">
        <f>IFERROR(__xludf.DUMMYFUNCTION("""COMPUTED_VALUE"""),"Personal Care")</f>
        <v>Personal Care</v>
      </c>
      <c r="B1310" s="46" t="str">
        <f>IFERROR(__xludf.DUMMYFUNCTION("""COMPUTED_VALUE"""),"Armenia")</f>
        <v>Armenia</v>
      </c>
      <c r="C1310" s="46" t="str">
        <f>IFERROR(__xludf.DUMMYFUNCTION("""COMPUTED_VALUE"""),"Asia")</f>
        <v>Asia</v>
      </c>
      <c r="D1310" s="90">
        <f>IFERROR(__xludf.DUMMYFUNCTION("""COMPUTED_VALUE"""),40179.0)</f>
        <v>40179</v>
      </c>
      <c r="E1310" s="46">
        <f>IFERROR(__xludf.DUMMYFUNCTION("""COMPUTED_VALUE"""),2010.0)</f>
        <v>2010</v>
      </c>
      <c r="F1310" s="46">
        <f>IFERROR(__xludf.DUMMYFUNCTION("""COMPUTED_VALUE"""),1.0)</f>
        <v>1</v>
      </c>
      <c r="G1310" s="46">
        <f>IFERROR(__xludf.DUMMYFUNCTION("""COMPUTED_VALUE"""),3559.0)</f>
        <v>3559</v>
      </c>
      <c r="H1310" s="46">
        <f>IFERROR(__xludf.DUMMYFUNCTION("""COMPUTED_VALUE"""),290877.07)</f>
        <v>290877.07</v>
      </c>
      <c r="I1310" s="46">
        <f>IFERROR(__xludf.DUMMYFUNCTION("""COMPUTED_VALUE"""),201688.53)</f>
        <v>201688.53</v>
      </c>
      <c r="J1310" s="46">
        <f>IFERROR(__xludf.DUMMYFUNCTION("""COMPUTED_VALUE"""),89188.54000000001)</f>
        <v>89188.54</v>
      </c>
      <c r="K1310" s="46" t="str">
        <f t="array" ref="K1310">TEXT(D1310, "mmmm")</f>
        <v>January</v>
      </c>
    </row>
    <row r="1311">
      <c r="A1311" s="46" t="str">
        <f>IFERROR(__xludf.DUMMYFUNCTION("""COMPUTED_VALUE"""),"Personal Care")</f>
        <v>Personal Care</v>
      </c>
      <c r="B1311" s="46" t="str">
        <f>IFERROR(__xludf.DUMMYFUNCTION("""COMPUTED_VALUE"""),"Bosnia and Herzegovina")</f>
        <v>Bosnia and Herzegovina</v>
      </c>
      <c r="C1311" s="46" t="str">
        <f>IFERROR(__xludf.DUMMYFUNCTION("""COMPUTED_VALUE"""),"Europe")</f>
        <v>Europe</v>
      </c>
      <c r="D1311" s="90">
        <f>IFERROR(__xludf.DUMMYFUNCTION("""COMPUTED_VALUE"""),40179.0)</f>
        <v>40179</v>
      </c>
      <c r="E1311" s="46">
        <f>IFERROR(__xludf.DUMMYFUNCTION("""COMPUTED_VALUE"""),2010.0)</f>
        <v>2010</v>
      </c>
      <c r="F1311" s="46">
        <f>IFERROR(__xludf.DUMMYFUNCTION("""COMPUTED_VALUE"""),1.0)</f>
        <v>1</v>
      </c>
      <c r="G1311" s="46">
        <f>IFERROR(__xludf.DUMMYFUNCTION("""COMPUTED_VALUE"""),9528.0)</f>
        <v>9528</v>
      </c>
      <c r="H1311" s="46">
        <f>IFERROR(__xludf.DUMMYFUNCTION("""COMPUTED_VALUE"""),778723.4400000001)</f>
        <v>778723.44</v>
      </c>
      <c r="I1311" s="46">
        <f>IFERROR(__xludf.DUMMYFUNCTION("""COMPUTED_VALUE"""),539951.76)</f>
        <v>539951.76</v>
      </c>
      <c r="J1311" s="46">
        <f>IFERROR(__xludf.DUMMYFUNCTION("""COMPUTED_VALUE"""),238771.68000000005)</f>
        <v>238771.68</v>
      </c>
      <c r="K1311" s="46" t="str">
        <f t="array" ref="K1311">TEXT(D1311, "mmmm")</f>
        <v>January</v>
      </c>
    </row>
    <row r="1312">
      <c r="A1312" s="46" t="str">
        <f>IFERROR(__xludf.DUMMYFUNCTION("""COMPUTED_VALUE"""),"Snacks")</f>
        <v>Snacks</v>
      </c>
      <c r="B1312" s="46" t="str">
        <f>IFERROR(__xludf.DUMMYFUNCTION("""COMPUTED_VALUE"""),"Andorra")</f>
        <v>Andorra</v>
      </c>
      <c r="C1312" s="46" t="str">
        <f>IFERROR(__xludf.DUMMYFUNCTION("""COMPUTED_VALUE"""),"Europe")</f>
        <v>Europe</v>
      </c>
      <c r="D1312" s="90">
        <f>IFERROR(__xludf.DUMMYFUNCTION("""COMPUTED_VALUE"""),40179.0)</f>
        <v>40179</v>
      </c>
      <c r="E1312" s="46">
        <f>IFERROR(__xludf.DUMMYFUNCTION("""COMPUTED_VALUE"""),2010.0)</f>
        <v>2010</v>
      </c>
      <c r="F1312" s="46">
        <f>IFERROR(__xludf.DUMMYFUNCTION("""COMPUTED_VALUE"""),1.0)</f>
        <v>1</v>
      </c>
      <c r="G1312" s="46">
        <f>IFERROR(__xludf.DUMMYFUNCTION("""COMPUTED_VALUE"""),9048.0)</f>
        <v>9048</v>
      </c>
      <c r="H1312" s="46">
        <f>IFERROR(__xludf.DUMMYFUNCTION("""COMPUTED_VALUE"""),1380543.84)</f>
        <v>1380543.84</v>
      </c>
      <c r="I1312" s="46">
        <f>IFERROR(__xludf.DUMMYFUNCTION("""COMPUTED_VALUE"""),881637.12)</f>
        <v>881637.12</v>
      </c>
      <c r="J1312" s="46">
        <f>IFERROR(__xludf.DUMMYFUNCTION("""COMPUTED_VALUE"""),498906.7200000001)</f>
        <v>498906.72</v>
      </c>
      <c r="K1312" s="46" t="str">
        <f t="array" ref="K1312">TEXT(D1312, "mmmm")</f>
        <v>January</v>
      </c>
    </row>
    <row r="1313">
      <c r="A1313" s="46" t="str">
        <f>IFERROR(__xludf.DUMMYFUNCTION("""COMPUTED_VALUE"""),"Snacks")</f>
        <v>Snacks</v>
      </c>
      <c r="B1313" s="46" t="str">
        <f>IFERROR(__xludf.DUMMYFUNCTION("""COMPUTED_VALUE"""),"Romania")</f>
        <v>Romania</v>
      </c>
      <c r="C1313" s="46" t="str">
        <f>IFERROR(__xludf.DUMMYFUNCTION("""COMPUTED_VALUE"""),"Europe")</f>
        <v>Europe</v>
      </c>
      <c r="D1313" s="90">
        <f>IFERROR(__xludf.DUMMYFUNCTION("""COMPUTED_VALUE"""),40179.0)</f>
        <v>40179</v>
      </c>
      <c r="E1313" s="46">
        <f>IFERROR(__xludf.DUMMYFUNCTION("""COMPUTED_VALUE"""),2010.0)</f>
        <v>2010</v>
      </c>
      <c r="F1313" s="46">
        <f>IFERROR(__xludf.DUMMYFUNCTION("""COMPUTED_VALUE"""),1.0)</f>
        <v>1</v>
      </c>
      <c r="G1313" s="46">
        <f>IFERROR(__xludf.DUMMYFUNCTION("""COMPUTED_VALUE"""),8517.0)</f>
        <v>8517</v>
      </c>
      <c r="H1313" s="46">
        <f>IFERROR(__xludf.DUMMYFUNCTION("""COMPUTED_VALUE"""),1299523.86)</f>
        <v>1299523.86</v>
      </c>
      <c r="I1313" s="46">
        <f>IFERROR(__xludf.DUMMYFUNCTION("""COMPUTED_VALUE"""),829896.48)</f>
        <v>829896.48</v>
      </c>
      <c r="J1313" s="46">
        <f>IFERROR(__xludf.DUMMYFUNCTION("""COMPUTED_VALUE"""),469627.3800000001)</f>
        <v>469627.38</v>
      </c>
      <c r="K1313" s="46" t="str">
        <f t="array" ref="K1313">TEXT(D1313, "mmmm")</f>
        <v>January</v>
      </c>
    </row>
    <row r="1314">
      <c r="A1314" s="46" t="str">
        <f>IFERROR(__xludf.DUMMYFUNCTION("""COMPUTED_VALUE"""),"Vegetables")</f>
        <v>Vegetables</v>
      </c>
      <c r="B1314" s="46" t="str">
        <f>IFERROR(__xludf.DUMMYFUNCTION("""COMPUTED_VALUE"""),"Bulgaria")</f>
        <v>Bulgaria</v>
      </c>
      <c r="C1314" s="46" t="str">
        <f>IFERROR(__xludf.DUMMYFUNCTION("""COMPUTED_VALUE"""),"Europe")</f>
        <v>Europe</v>
      </c>
      <c r="D1314" s="90">
        <f>IFERROR(__xludf.DUMMYFUNCTION("""COMPUTED_VALUE"""),40179.0)</f>
        <v>40179</v>
      </c>
      <c r="E1314" s="46">
        <f>IFERROR(__xludf.DUMMYFUNCTION("""COMPUTED_VALUE"""),2010.0)</f>
        <v>2010</v>
      </c>
      <c r="F1314" s="46">
        <f>IFERROR(__xludf.DUMMYFUNCTION("""COMPUTED_VALUE"""),1.0)</f>
        <v>1</v>
      </c>
      <c r="G1314" s="46">
        <f>IFERROR(__xludf.DUMMYFUNCTION("""COMPUTED_VALUE"""),5427.0)</f>
        <v>5427</v>
      </c>
      <c r="H1314" s="46">
        <f>IFERROR(__xludf.DUMMYFUNCTION("""COMPUTED_VALUE"""),836083.62)</f>
        <v>836083.62</v>
      </c>
      <c r="I1314" s="46">
        <f>IFERROR(__xludf.DUMMYFUNCTION("""COMPUTED_VALUE"""),493477.11000000004)</f>
        <v>493477.11</v>
      </c>
      <c r="J1314" s="46">
        <f>IFERROR(__xludf.DUMMYFUNCTION("""COMPUTED_VALUE"""),342606.50999999995)</f>
        <v>342606.51</v>
      </c>
      <c r="K1314" s="46" t="str">
        <f t="array" ref="K1314">TEXT(D1314, "mmmm")</f>
        <v>January</v>
      </c>
    </row>
    <row r="1315">
      <c r="A1315" s="46" t="str">
        <f>IFERROR(__xludf.DUMMYFUNCTION("""COMPUTED_VALUE"""),"Vegetables")</f>
        <v>Vegetables</v>
      </c>
      <c r="B1315" s="46" t="str">
        <f>IFERROR(__xludf.DUMMYFUNCTION("""COMPUTED_VALUE"""),"Undefined")</f>
        <v>Undefined</v>
      </c>
      <c r="C1315" s="46" t="str">
        <f>IFERROR(__xludf.DUMMYFUNCTION("""COMPUTED_VALUE"""),"Undefined")</f>
        <v>Undefined</v>
      </c>
      <c r="D1315" s="90">
        <f>IFERROR(__xludf.DUMMYFUNCTION("""COMPUTED_VALUE"""),40179.0)</f>
        <v>40179</v>
      </c>
      <c r="E1315" s="46">
        <f>IFERROR(__xludf.DUMMYFUNCTION("""COMPUTED_VALUE"""),2010.0)</f>
        <v>2010</v>
      </c>
      <c r="F1315" s="46">
        <f>IFERROR(__xludf.DUMMYFUNCTION("""COMPUTED_VALUE"""),1.0)</f>
        <v>1</v>
      </c>
      <c r="G1315" s="46">
        <f>IFERROR(__xludf.DUMMYFUNCTION("""COMPUTED_VALUE"""),4396.0)</f>
        <v>4396</v>
      </c>
      <c r="H1315" s="46">
        <f>IFERROR(__xludf.DUMMYFUNCTION("""COMPUTED_VALUE"""),677247.76)</f>
        <v>677247.76</v>
      </c>
      <c r="I1315" s="46">
        <f>IFERROR(__xludf.DUMMYFUNCTION("""COMPUTED_VALUE"""),399728.28)</f>
        <v>399728.28</v>
      </c>
      <c r="J1315" s="46">
        <f>IFERROR(__xludf.DUMMYFUNCTION("""COMPUTED_VALUE"""),277519.48)</f>
        <v>277519.48</v>
      </c>
      <c r="K1315" s="46" t="str">
        <f t="array" ref="K1315">TEXT(D1315, "mmmm")</f>
        <v>January</v>
      </c>
    </row>
    <row r="1316">
      <c r="D1316" s="90"/>
    </row>
    <row r="1317">
      <c r="D1317" s="90"/>
    </row>
    <row r="1318">
      <c r="D1318" s="90"/>
    </row>
    <row r="1319">
      <c r="D1319" s="90"/>
    </row>
    <row r="1320">
      <c r="D1320" s="90"/>
    </row>
    <row r="1321">
      <c r="D1321" s="90"/>
    </row>
    <row r="1322">
      <c r="D1322" s="90"/>
    </row>
    <row r="1323">
      <c r="D1323" s="90"/>
    </row>
    <row r="1324">
      <c r="D1324" s="90"/>
    </row>
    <row r="1325">
      <c r="D1325" s="90"/>
    </row>
    <row r="1326">
      <c r="D1326" s="90"/>
    </row>
    <row r="1327">
      <c r="D1327" s="90"/>
    </row>
    <row r="1328">
      <c r="D1328" s="90"/>
    </row>
    <row r="1329">
      <c r="D1329" s="90"/>
    </row>
    <row r="1330">
      <c r="D1330" s="90"/>
    </row>
    <row r="1331">
      <c r="D1331" s="90"/>
    </row>
    <row r="1332">
      <c r="D1332" s="90"/>
    </row>
    <row r="1333">
      <c r="D1333" s="90"/>
    </row>
    <row r="1334">
      <c r="D1334" s="90"/>
    </row>
    <row r="1335">
      <c r="D1335" s="90"/>
    </row>
    <row r="1336">
      <c r="D1336" s="90"/>
    </row>
    <row r="1337">
      <c r="D1337" s="90"/>
    </row>
    <row r="1338">
      <c r="D1338" s="90"/>
    </row>
    <row r="1339">
      <c r="D1339" s="90"/>
    </row>
    <row r="1340">
      <c r="D1340" s="90"/>
    </row>
    <row r="1341">
      <c r="D1341" s="90"/>
    </row>
    <row r="1342">
      <c r="D1342" s="90"/>
    </row>
    <row r="1343">
      <c r="D1343" s="90"/>
    </row>
    <row r="1344">
      <c r="D1344" s="90"/>
    </row>
    <row r="1345">
      <c r="D1345" s="90"/>
    </row>
    <row r="1346">
      <c r="D1346" s="90"/>
    </row>
    <row r="1347">
      <c r="D1347" s="90"/>
    </row>
    <row r="1348">
      <c r="D1348" s="90"/>
    </row>
    <row r="1349">
      <c r="D1349" s="90"/>
    </row>
    <row r="1350">
      <c r="D1350" s="90"/>
    </row>
    <row r="1351">
      <c r="D1351" s="90"/>
    </row>
    <row r="1352">
      <c r="D1352" s="90"/>
    </row>
    <row r="1353">
      <c r="D1353" s="90"/>
    </row>
    <row r="1354">
      <c r="D1354" s="90"/>
    </row>
    <row r="1355">
      <c r="D1355" s="90"/>
    </row>
    <row r="1356">
      <c r="D1356" s="90"/>
    </row>
    <row r="1357">
      <c r="D1357" s="90"/>
    </row>
    <row r="1358">
      <c r="D1358" s="90"/>
    </row>
    <row r="1359">
      <c r="D1359" s="90"/>
    </row>
    <row r="1360">
      <c r="D1360" s="90"/>
    </row>
    <row r="1361">
      <c r="D1361" s="90"/>
    </row>
    <row r="1362">
      <c r="D1362" s="90"/>
    </row>
    <row r="1363">
      <c r="D1363" s="90"/>
    </row>
    <row r="1364">
      <c r="D1364" s="90"/>
    </row>
    <row r="1365">
      <c r="D1365" s="90"/>
    </row>
    <row r="1366">
      <c r="D1366" s="90"/>
    </row>
    <row r="1367">
      <c r="D1367" s="90"/>
    </row>
    <row r="1368">
      <c r="D1368" s="90"/>
    </row>
    <row r="1369">
      <c r="D1369" s="90"/>
    </row>
    <row r="1370">
      <c r="D1370" s="90"/>
    </row>
    <row r="1371">
      <c r="D1371" s="90"/>
    </row>
    <row r="1372">
      <c r="D1372" s="90"/>
    </row>
    <row r="1373">
      <c r="D1373" s="90"/>
    </row>
    <row r="1374">
      <c r="D1374" s="90"/>
    </row>
    <row r="1375">
      <c r="D1375" s="90"/>
    </row>
    <row r="1376">
      <c r="D1376" s="90"/>
    </row>
    <row r="1377">
      <c r="D1377" s="90"/>
    </row>
    <row r="1378">
      <c r="D1378" s="90"/>
    </row>
    <row r="1379">
      <c r="D1379" s="90"/>
    </row>
    <row r="1380">
      <c r="D1380" s="90"/>
    </row>
    <row r="1381">
      <c r="D1381" s="90"/>
    </row>
    <row r="1382">
      <c r="D1382" s="90"/>
    </row>
    <row r="1383">
      <c r="D1383" s="90"/>
    </row>
    <row r="1384">
      <c r="D1384" s="90"/>
    </row>
    <row r="1385">
      <c r="D1385" s="90"/>
    </row>
    <row r="1386">
      <c r="D1386" s="90"/>
    </row>
    <row r="1387">
      <c r="D1387" s="90"/>
    </row>
    <row r="1388">
      <c r="D1388" s="90"/>
    </row>
    <row r="1389">
      <c r="D1389" s="90"/>
    </row>
    <row r="1390">
      <c r="D1390" s="90"/>
    </row>
    <row r="1391">
      <c r="D1391" s="90"/>
    </row>
    <row r="1392">
      <c r="D1392" s="90"/>
    </row>
    <row r="1393">
      <c r="D1393" s="90"/>
    </row>
    <row r="1394">
      <c r="D1394" s="90"/>
    </row>
    <row r="1395">
      <c r="D1395" s="90"/>
    </row>
    <row r="1396">
      <c r="D1396" s="90"/>
    </row>
    <row r="1397">
      <c r="D1397" s="90"/>
    </row>
    <row r="1398">
      <c r="D1398" s="90"/>
    </row>
    <row r="1399">
      <c r="D1399" s="90"/>
    </row>
    <row r="1400">
      <c r="D1400" s="90"/>
    </row>
    <row r="1401">
      <c r="D1401" s="90"/>
    </row>
    <row r="1402">
      <c r="D1402" s="90"/>
    </row>
    <row r="1403">
      <c r="D1403" s="90"/>
    </row>
    <row r="1404">
      <c r="D1404" s="90"/>
    </row>
    <row r="1405">
      <c r="D1405" s="90"/>
    </row>
    <row r="1406">
      <c r="D1406" s="90"/>
    </row>
    <row r="1407">
      <c r="D1407" s="90"/>
    </row>
    <row r="1408">
      <c r="D1408" s="90"/>
    </row>
    <row r="1409">
      <c r="D1409" s="90"/>
    </row>
    <row r="1410">
      <c r="D1410" s="90"/>
    </row>
    <row r="1411">
      <c r="D1411" s="90"/>
    </row>
    <row r="1412">
      <c r="D1412" s="90"/>
    </row>
    <row r="1413">
      <c r="D1413" s="90"/>
    </row>
    <row r="1414">
      <c r="D1414" s="90"/>
    </row>
    <row r="1415">
      <c r="D1415" s="90"/>
    </row>
    <row r="1416">
      <c r="D1416" s="90"/>
    </row>
    <row r="1417">
      <c r="D1417" s="90"/>
    </row>
    <row r="1418">
      <c r="D1418" s="90"/>
    </row>
    <row r="1419">
      <c r="D1419" s="90"/>
    </row>
    <row r="1420">
      <c r="D1420" s="90"/>
    </row>
    <row r="1421">
      <c r="D1421" s="90"/>
    </row>
    <row r="1422">
      <c r="D1422" s="90"/>
    </row>
    <row r="1423">
      <c r="D1423" s="90"/>
    </row>
    <row r="1424">
      <c r="D1424" s="90"/>
    </row>
    <row r="1425">
      <c r="D1425" s="90"/>
    </row>
    <row r="1426">
      <c r="D1426" s="90"/>
    </row>
    <row r="1427">
      <c r="D1427" s="90"/>
    </row>
    <row r="1428">
      <c r="D1428" s="90"/>
    </row>
    <row r="1429">
      <c r="D1429" s="90"/>
    </row>
    <row r="1430">
      <c r="D1430" s="90"/>
    </row>
    <row r="1431">
      <c r="D1431" s="90"/>
    </row>
    <row r="1432">
      <c r="D1432" s="90"/>
    </row>
    <row r="1433">
      <c r="D1433" s="90"/>
    </row>
    <row r="1434">
      <c r="D1434" s="90"/>
    </row>
    <row r="1435">
      <c r="D1435" s="90"/>
    </row>
    <row r="1436">
      <c r="D1436" s="90"/>
    </row>
    <row r="1437">
      <c r="D1437" s="90"/>
    </row>
    <row r="1438">
      <c r="D1438" s="90"/>
    </row>
    <row r="1439">
      <c r="D1439" s="90"/>
    </row>
    <row r="1440">
      <c r="D1440" s="90"/>
    </row>
    <row r="1441">
      <c r="D1441" s="90"/>
    </row>
    <row r="1442">
      <c r="D1442" s="90"/>
    </row>
    <row r="1443">
      <c r="D1443" s="90"/>
    </row>
    <row r="1444">
      <c r="D1444" s="90"/>
    </row>
    <row r="1445">
      <c r="D1445" s="90"/>
    </row>
    <row r="1446">
      <c r="D1446" s="90"/>
    </row>
    <row r="1447">
      <c r="D1447" s="90"/>
    </row>
    <row r="1448">
      <c r="D1448" s="90"/>
    </row>
    <row r="1449">
      <c r="D1449" s="90"/>
    </row>
    <row r="1450">
      <c r="D1450" s="90"/>
    </row>
    <row r="1451">
      <c r="D1451" s="90"/>
    </row>
    <row r="1452">
      <c r="D1452" s="90"/>
    </row>
    <row r="1453">
      <c r="D1453" s="90"/>
    </row>
    <row r="1454">
      <c r="D1454" s="90"/>
    </row>
    <row r="1455">
      <c r="D1455" s="90"/>
    </row>
    <row r="1456">
      <c r="D1456" s="90"/>
    </row>
    <row r="1457">
      <c r="D1457" s="90"/>
    </row>
    <row r="1458">
      <c r="D1458" s="90"/>
    </row>
    <row r="1459">
      <c r="D1459" s="90"/>
    </row>
    <row r="1460">
      <c r="D1460" s="90"/>
    </row>
    <row r="1461">
      <c r="D1461" s="90"/>
    </row>
    <row r="1462">
      <c r="D1462" s="90"/>
    </row>
    <row r="1463">
      <c r="D1463" s="90"/>
    </row>
    <row r="1464">
      <c r="D1464" s="90"/>
    </row>
    <row r="1465">
      <c r="D1465" s="90"/>
    </row>
    <row r="1466">
      <c r="D1466" s="90"/>
    </row>
    <row r="1467">
      <c r="D1467" s="90"/>
    </row>
    <row r="1468">
      <c r="D1468" s="90"/>
    </row>
    <row r="1469">
      <c r="D1469" s="90"/>
    </row>
    <row r="1470">
      <c r="D1470" s="90"/>
    </row>
    <row r="1471">
      <c r="D1471" s="90"/>
    </row>
    <row r="1472">
      <c r="D1472" s="90"/>
    </row>
    <row r="1473">
      <c r="D1473" s="90"/>
    </row>
    <row r="1474">
      <c r="D1474" s="90"/>
    </row>
    <row r="1475">
      <c r="D1475" s="90"/>
    </row>
    <row r="1476">
      <c r="D1476" s="90"/>
    </row>
    <row r="1477">
      <c r="D1477" s="90"/>
    </row>
    <row r="1478">
      <c r="D1478" s="90"/>
    </row>
    <row r="1479">
      <c r="D1479" s="90"/>
    </row>
    <row r="1480">
      <c r="D1480" s="90"/>
    </row>
    <row r="1481">
      <c r="D1481" s="90"/>
    </row>
    <row r="1482">
      <c r="D1482" s="90"/>
    </row>
    <row r="1483">
      <c r="D1483" s="90"/>
    </row>
    <row r="1484">
      <c r="D1484" s="90"/>
    </row>
    <row r="1485">
      <c r="D1485" s="90"/>
    </row>
    <row r="1486">
      <c r="D1486" s="90"/>
    </row>
    <row r="1487">
      <c r="D1487" s="90"/>
    </row>
    <row r="1488">
      <c r="D1488" s="90"/>
    </row>
    <row r="1489">
      <c r="D1489" s="90"/>
    </row>
    <row r="1490">
      <c r="D1490" s="90"/>
    </row>
    <row r="1491">
      <c r="D1491" s="90"/>
    </row>
    <row r="1492">
      <c r="D1492" s="90"/>
    </row>
    <row r="1493">
      <c r="D1493" s="90"/>
    </row>
    <row r="1494">
      <c r="D1494" s="90"/>
    </row>
    <row r="1495">
      <c r="D1495" s="90"/>
    </row>
    <row r="1496">
      <c r="D1496" s="90"/>
    </row>
    <row r="1497">
      <c r="D1497" s="90"/>
    </row>
    <row r="1498">
      <c r="D1498" s="90"/>
    </row>
    <row r="1499">
      <c r="D1499" s="90"/>
    </row>
    <row r="1500">
      <c r="D1500" s="90"/>
    </row>
    <row r="1501">
      <c r="D1501" s="90"/>
    </row>
    <row r="1502">
      <c r="D1502" s="90"/>
    </row>
    <row r="1503">
      <c r="D1503" s="90"/>
    </row>
    <row r="1504">
      <c r="D1504" s="90"/>
    </row>
    <row r="1505">
      <c r="D1505" s="90"/>
    </row>
    <row r="1506">
      <c r="D1506" s="90"/>
    </row>
    <row r="1507">
      <c r="D1507" s="90"/>
    </row>
    <row r="1508">
      <c r="D1508" s="90"/>
    </row>
    <row r="1509">
      <c r="D1509" s="90"/>
    </row>
    <row r="1510">
      <c r="D1510" s="90"/>
    </row>
    <row r="1511">
      <c r="D1511" s="90"/>
    </row>
    <row r="1512">
      <c r="D1512" s="90"/>
    </row>
    <row r="1513">
      <c r="D1513" s="90"/>
    </row>
    <row r="1514">
      <c r="D1514" s="90"/>
    </row>
    <row r="1515">
      <c r="D1515" s="90"/>
    </row>
    <row r="1516">
      <c r="D1516" s="90"/>
    </row>
    <row r="1517">
      <c r="D1517" s="90"/>
    </row>
    <row r="1518">
      <c r="D1518" s="90"/>
    </row>
    <row r="1519">
      <c r="D1519" s="90"/>
    </row>
    <row r="1520">
      <c r="D1520" s="90"/>
    </row>
    <row r="1521">
      <c r="D1521" s="90"/>
    </row>
    <row r="1522">
      <c r="D1522" s="90"/>
    </row>
    <row r="1523">
      <c r="D1523" s="90"/>
    </row>
    <row r="1524">
      <c r="D1524" s="90"/>
    </row>
    <row r="1525">
      <c r="D1525" s="90"/>
    </row>
    <row r="1526">
      <c r="D1526" s="90"/>
    </row>
    <row r="1527">
      <c r="D1527" s="90"/>
    </row>
    <row r="1528">
      <c r="D1528" s="90"/>
    </row>
    <row r="1529">
      <c r="D1529" s="90"/>
    </row>
    <row r="1530">
      <c r="D1530" s="90"/>
    </row>
    <row r="1531">
      <c r="D1531" s="90"/>
    </row>
    <row r="1532">
      <c r="D1532" s="90"/>
    </row>
    <row r="1533">
      <c r="D1533" s="90"/>
    </row>
    <row r="1534">
      <c r="D1534" s="90"/>
    </row>
    <row r="1535">
      <c r="D1535" s="90"/>
    </row>
    <row r="1536">
      <c r="D1536" s="90"/>
    </row>
    <row r="1537">
      <c r="D1537" s="90"/>
    </row>
    <row r="1538">
      <c r="D1538" s="90"/>
    </row>
    <row r="1539">
      <c r="D1539" s="90"/>
    </row>
    <row r="1540">
      <c r="D1540" s="90"/>
    </row>
    <row r="1541">
      <c r="D1541" s="90"/>
    </row>
    <row r="1542">
      <c r="D1542" s="90"/>
    </row>
    <row r="1543">
      <c r="D1543" s="90"/>
    </row>
    <row r="1544">
      <c r="D1544" s="90"/>
    </row>
    <row r="1545">
      <c r="D1545" s="90"/>
    </row>
    <row r="1546">
      <c r="D1546" s="90"/>
    </row>
    <row r="1547">
      <c r="D1547" s="90"/>
    </row>
    <row r="1548">
      <c r="D1548" s="90"/>
    </row>
    <row r="1549">
      <c r="D1549" s="90"/>
    </row>
    <row r="1550">
      <c r="D1550" s="90"/>
    </row>
    <row r="1551">
      <c r="D1551" s="90"/>
    </row>
    <row r="1552">
      <c r="D1552" s="90"/>
    </row>
    <row r="1553">
      <c r="D1553" s="90"/>
    </row>
    <row r="1554">
      <c r="D1554" s="90"/>
    </row>
    <row r="1555">
      <c r="D1555" s="90"/>
    </row>
    <row r="1556">
      <c r="D1556" s="90"/>
    </row>
    <row r="1557">
      <c r="D1557" s="90"/>
    </row>
    <row r="1558">
      <c r="D1558" s="90"/>
    </row>
    <row r="1559">
      <c r="D1559" s="90"/>
    </row>
    <row r="1560">
      <c r="D1560" s="90"/>
    </row>
    <row r="1561">
      <c r="D1561" s="90"/>
    </row>
    <row r="1562">
      <c r="D1562" s="90"/>
    </row>
    <row r="1563">
      <c r="D1563" s="90"/>
    </row>
    <row r="1564">
      <c r="D1564" s="90"/>
    </row>
    <row r="1565">
      <c r="D1565" s="90"/>
    </row>
    <row r="1566">
      <c r="D1566" s="90"/>
    </row>
    <row r="1567">
      <c r="D1567" s="90"/>
    </row>
    <row r="1568">
      <c r="D1568" s="90"/>
    </row>
    <row r="1569">
      <c r="D1569" s="90"/>
    </row>
    <row r="1570">
      <c r="D1570" s="90"/>
    </row>
    <row r="1571">
      <c r="D1571" s="90"/>
    </row>
    <row r="1572">
      <c r="D1572" s="90"/>
    </row>
    <row r="1573">
      <c r="D1573" s="90"/>
    </row>
    <row r="1574">
      <c r="D1574" s="90"/>
    </row>
    <row r="1575">
      <c r="D1575" s="90"/>
    </row>
    <row r="1576">
      <c r="D1576" s="90"/>
    </row>
    <row r="1577">
      <c r="D1577" s="90"/>
    </row>
    <row r="1578">
      <c r="D1578" s="90"/>
    </row>
    <row r="1579">
      <c r="D1579" s="90"/>
    </row>
    <row r="1580">
      <c r="D1580" s="90"/>
    </row>
    <row r="1581">
      <c r="D1581" s="90"/>
    </row>
    <row r="1582">
      <c r="D1582" s="90"/>
    </row>
    <row r="1583">
      <c r="D1583" s="90"/>
    </row>
    <row r="1584">
      <c r="D1584" s="90"/>
    </row>
    <row r="1585">
      <c r="D1585" s="90"/>
    </row>
    <row r="1586">
      <c r="D1586" s="90"/>
    </row>
    <row r="1587">
      <c r="D1587" s="90"/>
    </row>
    <row r="1588">
      <c r="D1588" s="90"/>
    </row>
    <row r="1589">
      <c r="D1589" s="90"/>
    </row>
    <row r="1590">
      <c r="D1590" s="90"/>
    </row>
    <row r="1591">
      <c r="D1591" s="90"/>
    </row>
    <row r="1592">
      <c r="D1592" s="90"/>
    </row>
    <row r="1593">
      <c r="D1593" s="90"/>
    </row>
    <row r="1594">
      <c r="D1594" s="90"/>
    </row>
    <row r="1595">
      <c r="D1595" s="90"/>
    </row>
    <row r="1596">
      <c r="D1596" s="90"/>
    </row>
    <row r="1597">
      <c r="D1597" s="90"/>
    </row>
    <row r="1598">
      <c r="D1598" s="90"/>
    </row>
    <row r="1599">
      <c r="D1599" s="90"/>
    </row>
    <row r="1600">
      <c r="D1600" s="90"/>
    </row>
    <row r="1601">
      <c r="D1601" s="90"/>
    </row>
    <row r="1602">
      <c r="D1602" s="90"/>
    </row>
    <row r="1603">
      <c r="D1603" s="90"/>
    </row>
    <row r="1604">
      <c r="D1604" s="90"/>
    </row>
    <row r="1605">
      <c r="D1605" s="90"/>
    </row>
    <row r="1606">
      <c r="D1606" s="90"/>
    </row>
    <row r="1607">
      <c r="D1607" s="90"/>
    </row>
    <row r="1608">
      <c r="D1608" s="90"/>
    </row>
    <row r="1609">
      <c r="D1609" s="90"/>
    </row>
    <row r="1610">
      <c r="D1610" s="90"/>
    </row>
    <row r="1611">
      <c r="D1611" s="90"/>
    </row>
    <row r="1612">
      <c r="D1612" s="90"/>
    </row>
    <row r="1613">
      <c r="D1613" s="90"/>
    </row>
    <row r="1614">
      <c r="D1614" s="90"/>
    </row>
    <row r="1615">
      <c r="D1615" s="90"/>
    </row>
    <row r="1616">
      <c r="D1616" s="90"/>
    </row>
    <row r="1617">
      <c r="D1617" s="90"/>
    </row>
    <row r="1618">
      <c r="D1618" s="90"/>
    </row>
    <row r="1619">
      <c r="D1619" s="90"/>
    </row>
    <row r="1620">
      <c r="D1620" s="90"/>
    </row>
    <row r="1621">
      <c r="D1621" s="90"/>
    </row>
    <row r="1622">
      <c r="D1622" s="90"/>
    </row>
    <row r="1623">
      <c r="D1623" s="90"/>
    </row>
    <row r="1624">
      <c r="D1624" s="90"/>
    </row>
    <row r="1625">
      <c r="D1625" s="90"/>
    </row>
    <row r="1626">
      <c r="D1626" s="90"/>
    </row>
    <row r="1627">
      <c r="D1627" s="90"/>
    </row>
    <row r="1628">
      <c r="D1628" s="90"/>
    </row>
    <row r="1629">
      <c r="D1629" s="90"/>
    </row>
    <row r="1630">
      <c r="D1630" s="90"/>
    </row>
    <row r="1631">
      <c r="D1631" s="90"/>
    </row>
    <row r="1632">
      <c r="D1632" s="90"/>
    </row>
    <row r="1633">
      <c r="D1633" s="90"/>
    </row>
    <row r="1634">
      <c r="D1634" s="90"/>
    </row>
    <row r="1635">
      <c r="D1635" s="90"/>
    </row>
    <row r="1636">
      <c r="D1636" s="90"/>
    </row>
    <row r="1637">
      <c r="D1637" s="90"/>
    </row>
    <row r="1638">
      <c r="D1638" s="90"/>
    </row>
    <row r="1639">
      <c r="D1639" s="90"/>
    </row>
    <row r="1640">
      <c r="D1640" s="90"/>
    </row>
    <row r="1641">
      <c r="D1641" s="90"/>
    </row>
    <row r="1642">
      <c r="D1642" s="90"/>
    </row>
    <row r="1643">
      <c r="D1643" s="90"/>
    </row>
    <row r="1644">
      <c r="D1644" s="90"/>
    </row>
    <row r="1645">
      <c r="D1645" s="90"/>
    </row>
    <row r="1646">
      <c r="D1646" s="90"/>
    </row>
    <row r="1647">
      <c r="D1647" s="90"/>
    </row>
    <row r="1648">
      <c r="D1648" s="90"/>
    </row>
    <row r="1649">
      <c r="D1649" s="90"/>
    </row>
    <row r="1650">
      <c r="D1650" s="90"/>
    </row>
    <row r="1651">
      <c r="D1651" s="90"/>
    </row>
    <row r="1652">
      <c r="D1652" s="90"/>
    </row>
    <row r="1653">
      <c r="D1653" s="90"/>
    </row>
    <row r="1654">
      <c r="D1654" s="90"/>
    </row>
    <row r="1655">
      <c r="D1655" s="90"/>
    </row>
    <row r="1656">
      <c r="D1656" s="90"/>
    </row>
    <row r="1657">
      <c r="D1657" s="90"/>
    </row>
    <row r="1658">
      <c r="D1658" s="90"/>
    </row>
    <row r="1659">
      <c r="D1659" s="90"/>
    </row>
    <row r="1660">
      <c r="D1660" s="90"/>
    </row>
    <row r="1661">
      <c r="D1661" s="90"/>
    </row>
    <row r="1662">
      <c r="D1662" s="90"/>
    </row>
    <row r="1663">
      <c r="D1663" s="90"/>
    </row>
    <row r="1664">
      <c r="D1664" s="90"/>
    </row>
    <row r="1665">
      <c r="D1665" s="90"/>
    </row>
    <row r="1666">
      <c r="D1666" s="90"/>
    </row>
    <row r="1667">
      <c r="D1667" s="90"/>
    </row>
    <row r="1668">
      <c r="D1668" s="90"/>
    </row>
    <row r="1669">
      <c r="D1669" s="90"/>
    </row>
    <row r="1670">
      <c r="D1670" s="90"/>
    </row>
    <row r="1671">
      <c r="D1671" s="90"/>
    </row>
    <row r="1672">
      <c r="D1672" s="90"/>
    </row>
    <row r="1673">
      <c r="D1673" s="90"/>
    </row>
    <row r="1674">
      <c r="D1674" s="90"/>
    </row>
    <row r="1675">
      <c r="D1675" s="90"/>
    </row>
    <row r="1676">
      <c r="D1676" s="90"/>
    </row>
    <row r="1677">
      <c r="D1677" s="90"/>
    </row>
    <row r="1678">
      <c r="D1678" s="90"/>
    </row>
    <row r="1679">
      <c r="D1679" s="90"/>
    </row>
    <row r="1680">
      <c r="D1680" s="90"/>
    </row>
    <row r="1681">
      <c r="D1681" s="90"/>
    </row>
    <row r="1682">
      <c r="D1682" s="90"/>
    </row>
    <row r="1683">
      <c r="D1683" s="90"/>
    </row>
    <row r="1684">
      <c r="D1684" s="90"/>
    </row>
    <row r="1685">
      <c r="D1685" s="90"/>
    </row>
    <row r="1686">
      <c r="D1686" s="90"/>
    </row>
    <row r="1687">
      <c r="D1687" s="90"/>
    </row>
    <row r="1688">
      <c r="D1688" s="90"/>
    </row>
    <row r="1689">
      <c r="D1689" s="90"/>
    </row>
    <row r="1690">
      <c r="D1690" s="90"/>
    </row>
    <row r="1691">
      <c r="D1691" s="90"/>
    </row>
    <row r="1692">
      <c r="D1692" s="90"/>
    </row>
    <row r="1693">
      <c r="D1693" s="90"/>
    </row>
    <row r="1694">
      <c r="D1694" s="90"/>
    </row>
    <row r="1695">
      <c r="D1695" s="90"/>
    </row>
    <row r="1696">
      <c r="D1696" s="90"/>
    </row>
    <row r="1697">
      <c r="D1697" s="90"/>
    </row>
    <row r="1698">
      <c r="D1698" s="90"/>
    </row>
    <row r="1699">
      <c r="D1699" s="90"/>
    </row>
    <row r="1700">
      <c r="D1700" s="90"/>
    </row>
    <row r="1701">
      <c r="D1701" s="90"/>
    </row>
    <row r="1702">
      <c r="D1702" s="90"/>
    </row>
    <row r="1703">
      <c r="D1703" s="90"/>
    </row>
    <row r="1704">
      <c r="D1704" s="90"/>
    </row>
    <row r="1705">
      <c r="D1705" s="90"/>
    </row>
    <row r="1706">
      <c r="D1706" s="90"/>
    </row>
    <row r="1707">
      <c r="D1707" s="90"/>
    </row>
    <row r="1708">
      <c r="D1708" s="90"/>
    </row>
    <row r="1709">
      <c r="D1709" s="90"/>
    </row>
    <row r="1710">
      <c r="D1710" s="90"/>
    </row>
    <row r="1711">
      <c r="D1711" s="90"/>
    </row>
    <row r="1712">
      <c r="D1712" s="90"/>
    </row>
    <row r="1713">
      <c r="D1713" s="90"/>
    </row>
    <row r="1714">
      <c r="D1714" s="90"/>
    </row>
    <row r="1715">
      <c r="D1715" s="90"/>
    </row>
    <row r="1716">
      <c r="D1716" s="90"/>
    </row>
    <row r="1717">
      <c r="D1717" s="90"/>
    </row>
    <row r="1718">
      <c r="D1718" s="90"/>
    </row>
    <row r="1719">
      <c r="D1719" s="90"/>
    </row>
    <row r="1720">
      <c r="D1720" s="90"/>
    </row>
    <row r="1721">
      <c r="D1721" s="90"/>
    </row>
    <row r="1722">
      <c r="D1722" s="90"/>
    </row>
    <row r="1723">
      <c r="D1723" s="90"/>
    </row>
    <row r="1724">
      <c r="D1724" s="90"/>
    </row>
    <row r="1725">
      <c r="D1725" s="90"/>
    </row>
    <row r="1726">
      <c r="D1726" s="90"/>
    </row>
    <row r="1727">
      <c r="D1727" s="90"/>
    </row>
    <row r="1728">
      <c r="D1728" s="90"/>
    </row>
    <row r="1729">
      <c r="D1729" s="90"/>
    </row>
    <row r="1730">
      <c r="D1730" s="90"/>
    </row>
    <row r="1731">
      <c r="D1731" s="90"/>
    </row>
    <row r="1732">
      <c r="D1732" s="90"/>
    </row>
    <row r="1733">
      <c r="D1733" s="90"/>
    </row>
    <row r="1734">
      <c r="D1734" s="90"/>
    </row>
    <row r="1735">
      <c r="D1735" s="90"/>
    </row>
    <row r="1736">
      <c r="D1736" s="90"/>
    </row>
    <row r="1737">
      <c r="D1737" s="90"/>
    </row>
    <row r="1738">
      <c r="D1738" s="90"/>
    </row>
    <row r="1739">
      <c r="D1739" s="90"/>
    </row>
    <row r="1740">
      <c r="D1740" s="90"/>
    </row>
    <row r="1741">
      <c r="D1741" s="90"/>
    </row>
    <row r="1742">
      <c r="D1742" s="90"/>
    </row>
    <row r="1743">
      <c r="D1743" s="90"/>
    </row>
    <row r="1744">
      <c r="D1744" s="90"/>
    </row>
    <row r="1745">
      <c r="D1745" s="90"/>
    </row>
    <row r="1746">
      <c r="D1746" s="90"/>
    </row>
    <row r="1747">
      <c r="D1747" s="90"/>
    </row>
    <row r="1748">
      <c r="D1748" s="90"/>
    </row>
    <row r="1749">
      <c r="D1749" s="90"/>
    </row>
    <row r="1750">
      <c r="D1750" s="90"/>
    </row>
    <row r="1751">
      <c r="D1751" s="90"/>
    </row>
    <row r="1752">
      <c r="D1752" s="90"/>
    </row>
    <row r="1753">
      <c r="D1753" s="90"/>
    </row>
    <row r="1754">
      <c r="D1754" s="90"/>
    </row>
    <row r="1755">
      <c r="D1755" s="90"/>
    </row>
    <row r="1756">
      <c r="D1756" s="90"/>
    </row>
    <row r="1757">
      <c r="D1757" s="90"/>
    </row>
    <row r="1758">
      <c r="D1758" s="90"/>
    </row>
    <row r="1759">
      <c r="D1759" s="90"/>
    </row>
    <row r="1760">
      <c r="D1760" s="90"/>
    </row>
    <row r="1761">
      <c r="D1761" s="90"/>
    </row>
    <row r="1762">
      <c r="D1762" s="90"/>
    </row>
    <row r="1763">
      <c r="D1763" s="90"/>
    </row>
    <row r="1764">
      <c r="D1764" s="90"/>
    </row>
    <row r="1765">
      <c r="D1765" s="90"/>
    </row>
    <row r="1766">
      <c r="D1766" s="90"/>
    </row>
    <row r="1767">
      <c r="D1767" s="90"/>
    </row>
    <row r="1768">
      <c r="D1768" s="90"/>
    </row>
    <row r="1769">
      <c r="D1769" s="90"/>
    </row>
    <row r="1770">
      <c r="D1770" s="90"/>
    </row>
    <row r="1771">
      <c r="D1771" s="90"/>
    </row>
    <row r="1772">
      <c r="D1772" s="90"/>
    </row>
    <row r="1773">
      <c r="D1773" s="90"/>
    </row>
    <row r="1774">
      <c r="D1774" s="90"/>
    </row>
    <row r="1775">
      <c r="D1775" s="90"/>
    </row>
    <row r="1776">
      <c r="D1776" s="90"/>
    </row>
    <row r="1777">
      <c r="D1777" s="90"/>
    </row>
    <row r="1778">
      <c r="D1778" s="90"/>
    </row>
    <row r="1779">
      <c r="D1779" s="90"/>
    </row>
    <row r="1780">
      <c r="D1780" s="90"/>
    </row>
    <row r="1781">
      <c r="D1781" s="90"/>
    </row>
    <row r="1782">
      <c r="D1782" s="90"/>
    </row>
    <row r="1783">
      <c r="D1783" s="90"/>
    </row>
    <row r="1784">
      <c r="D1784" s="90"/>
    </row>
    <row r="1785">
      <c r="D1785" s="90"/>
    </row>
    <row r="1786">
      <c r="D1786" s="90"/>
    </row>
    <row r="1787">
      <c r="D1787" s="90"/>
    </row>
    <row r="1788">
      <c r="D1788" s="90"/>
    </row>
    <row r="1789">
      <c r="D1789" s="90"/>
    </row>
    <row r="1790">
      <c r="D1790" s="90"/>
    </row>
    <row r="1791">
      <c r="D1791" s="90"/>
    </row>
    <row r="1792">
      <c r="D1792" s="90"/>
    </row>
    <row r="1793">
      <c r="D1793" s="90"/>
    </row>
    <row r="1794">
      <c r="D1794" s="90"/>
    </row>
    <row r="1795">
      <c r="D1795" s="90"/>
    </row>
    <row r="1796">
      <c r="D1796" s="90"/>
    </row>
    <row r="1797">
      <c r="D1797" s="90"/>
    </row>
    <row r="1798">
      <c r="D1798" s="90"/>
    </row>
    <row r="1799">
      <c r="D1799" s="90"/>
    </row>
    <row r="1800">
      <c r="D1800" s="90"/>
    </row>
    <row r="1801">
      <c r="D1801" s="90"/>
    </row>
    <row r="1802">
      <c r="D1802" s="90"/>
    </row>
    <row r="1803">
      <c r="D1803" s="90"/>
    </row>
    <row r="1804">
      <c r="D1804" s="90"/>
    </row>
    <row r="1805">
      <c r="D1805" s="90"/>
    </row>
    <row r="1806">
      <c r="D1806" s="90"/>
    </row>
    <row r="1807">
      <c r="D1807" s="90"/>
    </row>
    <row r="1808">
      <c r="D1808" s="90"/>
    </row>
    <row r="1809">
      <c r="D1809" s="90"/>
    </row>
    <row r="1810">
      <c r="D1810" s="90"/>
    </row>
    <row r="1811">
      <c r="D1811" s="90"/>
    </row>
    <row r="1812">
      <c r="D1812" s="90"/>
    </row>
    <row r="1813">
      <c r="D1813" s="90"/>
    </row>
    <row r="1814">
      <c r="D1814" s="90"/>
    </row>
    <row r="1815">
      <c r="D1815" s="90"/>
    </row>
    <row r="1816">
      <c r="D1816" s="90"/>
    </row>
    <row r="1817">
      <c r="D1817" s="90"/>
    </row>
    <row r="1818">
      <c r="D1818" s="90"/>
    </row>
    <row r="1819">
      <c r="D1819" s="90"/>
    </row>
    <row r="1820">
      <c r="D1820" s="90"/>
    </row>
    <row r="1821">
      <c r="D1821" s="90"/>
    </row>
    <row r="1822">
      <c r="D1822" s="90"/>
    </row>
    <row r="1823">
      <c r="D1823" s="90"/>
    </row>
    <row r="1824">
      <c r="D1824" s="90"/>
    </row>
    <row r="1825">
      <c r="D1825" s="90"/>
    </row>
    <row r="1826">
      <c r="D1826" s="90"/>
    </row>
    <row r="1827">
      <c r="D1827" s="90"/>
    </row>
    <row r="1828">
      <c r="D1828" s="90"/>
    </row>
    <row r="1829">
      <c r="D1829" s="90"/>
    </row>
    <row r="1830">
      <c r="D1830" s="90"/>
    </row>
  </sheetData>
  <dataValidations>
    <dataValidation type="list" allowBlank="1" showErrorMessage="1" sqref="M2">
      <formula1>'Y,M cat,count,region'!$A$1:$C$1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96" t="str">
        <f>IFERROR(__xludf.DUMMYFUNCTION("QUERY(years_and_month, ""select S,count(A),sum(I),sum(J),sum(K),sum(L) group by S label S'day_number',count(A)'order_count',sum(I)'units_sold',sum(J)'revenue',sum(K)'cost',sum(L)'profit'"")"),"day_number")</f>
        <v>day_number</v>
      </c>
      <c r="B1" s="96" t="str">
        <f>IFERROR(__xludf.DUMMYFUNCTION("""COMPUTED_VALUE"""),"order_count")</f>
        <v>order_count</v>
      </c>
      <c r="C1" s="96" t="str">
        <f>IFERROR(__xludf.DUMMYFUNCTION("""COMPUTED_VALUE"""),"units_sold")</f>
        <v>units_sold</v>
      </c>
      <c r="D1" s="96" t="str">
        <f>IFERROR(__xludf.DUMMYFUNCTION("""COMPUTED_VALUE"""),"revenue")</f>
        <v>revenue</v>
      </c>
      <c r="E1" s="96" t="str">
        <f>IFERROR(__xludf.DUMMYFUNCTION("""COMPUTED_VALUE"""),"cost")</f>
        <v>cost</v>
      </c>
      <c r="F1" s="96" t="str">
        <f>IFERROR(__xludf.DUMMYFUNCTION("""COMPUTED_VALUE"""),"profit")</f>
        <v>profit</v>
      </c>
      <c r="G1" s="97" t="s">
        <v>52</v>
      </c>
      <c r="H1" s="97" t="s">
        <v>53</v>
      </c>
      <c r="I1" s="97" t="s">
        <v>54</v>
      </c>
      <c r="J1" s="98" t="s">
        <v>55</v>
      </c>
      <c r="K1" s="98" t="s">
        <v>56</v>
      </c>
      <c r="L1" s="98" t="s">
        <v>57</v>
      </c>
      <c r="M1" s="99" t="s">
        <v>58</v>
      </c>
      <c r="N1" s="98" t="s">
        <v>59</v>
      </c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>
      <c r="A2" s="46">
        <f>IFERROR(__xludf.DUMMYFUNCTION("""COMPUTED_VALUE"""),1.0)</f>
        <v>1</v>
      </c>
      <c r="B2" s="46">
        <f>IFERROR(__xludf.DUMMYFUNCTION("""COMPUTED_VALUE"""),202.0)</f>
        <v>202</v>
      </c>
      <c r="C2" s="46">
        <f>IFERROR(__xludf.DUMMYFUNCTION("""COMPUTED_VALUE"""),1032382.0)</f>
        <v>1032382</v>
      </c>
      <c r="D2" s="46">
        <f>IFERROR(__xludf.DUMMYFUNCTION("""COMPUTED_VALUE"""),2.7587369313999987E8)</f>
        <v>275873693.1</v>
      </c>
      <c r="E2" s="46">
        <f>IFERROR(__xludf.DUMMYFUNCTION("""COMPUTED_VALUE"""),1.9995911554000008E8)</f>
        <v>199959115.5</v>
      </c>
      <c r="F2" s="46">
        <f>IFERROR(__xludf.DUMMYFUNCTION("""COMPUTED_VALUE"""),7.59145776E7)</f>
        <v>75914577.6</v>
      </c>
      <c r="G2" s="46">
        <f t="shared" ref="G2:G8" si="3">D2/B2</f>
        <v>1365711.352</v>
      </c>
      <c r="H2" s="46">
        <f t="shared" ref="H2:H8" si="4">D2/C2</f>
        <v>267.2205571</v>
      </c>
      <c r="I2" s="46" t="str">
        <f t="shared" ref="I2:I8" si="5">CHOOSE(A2,"Monday","Tuesday","Wednesday", "Thursday", "Friday", "Saturday", "Sunday")</f>
        <v>Monday</v>
      </c>
      <c r="J2" s="100">
        <f t="shared" ref="J2:L2" si="1">(B2-MIN(B:B))/(MAX(B:B)-MIN(B:B))</f>
        <v>0.875</v>
      </c>
      <c r="K2" s="100">
        <f t="shared" si="1"/>
        <v>0.9028509359</v>
      </c>
      <c r="L2" s="100">
        <f t="shared" si="1"/>
        <v>1</v>
      </c>
      <c r="M2" s="101">
        <f t="shared" ref="M2:N2" si="2">(G2-MIN(G:G))/(MAX(G:G)-MIN(G:G))</f>
        <v>0.6101532581</v>
      </c>
      <c r="N2" s="101">
        <f t="shared" si="2"/>
        <v>0.514545321</v>
      </c>
    </row>
    <row r="3">
      <c r="A3" s="46">
        <f>IFERROR(__xludf.DUMMYFUNCTION("""COMPUTED_VALUE"""),2.0)</f>
        <v>2</v>
      </c>
      <c r="B3" s="46">
        <f>IFERROR(__xludf.DUMMYFUNCTION("""COMPUTED_VALUE"""),183.0)</f>
        <v>183</v>
      </c>
      <c r="C3" s="46">
        <f>IFERROR(__xludf.DUMMYFUNCTION("""COMPUTED_VALUE"""),868526.0)</f>
        <v>868526</v>
      </c>
      <c r="D3" s="46">
        <f>IFERROR(__xludf.DUMMYFUNCTION("""COMPUTED_VALUE"""),2.1561562517000014E8)</f>
        <v>215615625.2</v>
      </c>
      <c r="E3" s="46">
        <f>IFERROR(__xludf.DUMMYFUNCTION("""COMPUTED_VALUE"""),1.496946275E8)</f>
        <v>149694627.5</v>
      </c>
      <c r="F3" s="46">
        <f>IFERROR(__xludf.DUMMYFUNCTION("""COMPUTED_VALUE"""),6.592099767000005E7)</f>
        <v>65920997.67</v>
      </c>
      <c r="G3" s="46">
        <f t="shared" si="3"/>
        <v>1178227.46</v>
      </c>
      <c r="H3" s="46">
        <f t="shared" si="4"/>
        <v>248.2546581</v>
      </c>
      <c r="I3" s="46" t="str">
        <f t="shared" si="5"/>
        <v>Tuesday</v>
      </c>
      <c r="J3" s="100">
        <f t="shared" ref="J3:L3" si="6">(B3-MIN(B:B))/(MAX(B:B)-MIN(B:B))</f>
        <v>0.4</v>
      </c>
      <c r="K3" s="100">
        <f t="shared" si="6"/>
        <v>0.09014572112</v>
      </c>
      <c r="L3" s="100">
        <f t="shared" si="6"/>
        <v>0.01137617754</v>
      </c>
      <c r="M3" s="101">
        <f t="shared" ref="M3:N3" si="7">(G3-MIN(G:G))/(MAX(G:G)-MIN(G:G))</f>
        <v>0.06139701843</v>
      </c>
      <c r="N3" s="101">
        <f t="shared" si="7"/>
        <v>0.2675105368</v>
      </c>
    </row>
    <row r="4">
      <c r="A4" s="46">
        <f>IFERROR(__xludf.DUMMYFUNCTION("""COMPUTED_VALUE"""),3.0)</f>
        <v>3</v>
      </c>
      <c r="B4" s="46">
        <f>IFERROR(__xludf.DUMMYFUNCTION("""COMPUTED_VALUE"""),194.0)</f>
        <v>194</v>
      </c>
      <c r="C4" s="46">
        <f>IFERROR(__xludf.DUMMYFUNCTION("""COMPUTED_VALUE"""),900973.0)</f>
        <v>900973</v>
      </c>
      <c r="D4" s="46">
        <f>IFERROR(__xludf.DUMMYFUNCTION("""COMPUTED_VALUE"""),2.6121569673000002E8)</f>
        <v>261215696.7</v>
      </c>
      <c r="E4" s="46">
        <f>IFERROR(__xludf.DUMMYFUNCTION("""COMPUTED_VALUE"""),1.888918533500001E8)</f>
        <v>188891853.4</v>
      </c>
      <c r="F4" s="46">
        <f>IFERROR(__xludf.DUMMYFUNCTION("""COMPUTED_VALUE"""),7.232384337999997E7)</f>
        <v>72323843.38</v>
      </c>
      <c r="G4" s="46">
        <f t="shared" si="3"/>
        <v>1346472.664</v>
      </c>
      <c r="H4" s="46">
        <f t="shared" si="4"/>
        <v>289.9262206</v>
      </c>
      <c r="I4" s="46" t="str">
        <f t="shared" si="5"/>
        <v>Wednesday</v>
      </c>
      <c r="J4" s="100">
        <f t="shared" ref="J4:L4" si="8">(B4-MIN(B:B))/(MAX(B:B)-MIN(B:B))</f>
        <v>0.675</v>
      </c>
      <c r="K4" s="100">
        <f t="shared" si="8"/>
        <v>0.2510787727</v>
      </c>
      <c r="L4" s="100">
        <f t="shared" si="8"/>
        <v>0.7595136232</v>
      </c>
      <c r="M4" s="101">
        <f t="shared" ref="M4:N4" si="9">(G4-MIN(G:G))/(MAX(G:G)-MIN(G:G))</f>
        <v>0.5538425516</v>
      </c>
      <c r="N4" s="101">
        <f t="shared" si="9"/>
        <v>0.8102913172</v>
      </c>
    </row>
    <row r="5">
      <c r="A5" s="46">
        <f>IFERROR(__xludf.DUMMYFUNCTION("""COMPUTED_VALUE"""),4.0)</f>
        <v>4</v>
      </c>
      <c r="B5" s="46">
        <f>IFERROR(__xludf.DUMMYFUNCTION("""COMPUTED_VALUE"""),167.0)</f>
        <v>167</v>
      </c>
      <c r="C5" s="46">
        <f>IFERROR(__xludf.DUMMYFUNCTION("""COMPUTED_VALUE"""),850351.0)</f>
        <v>850351</v>
      </c>
      <c r="D5" s="46">
        <f>IFERROR(__xludf.DUMMYFUNCTION("""COMPUTED_VALUE"""),2.1492223051000017E8)</f>
        <v>214922230.5</v>
      </c>
      <c r="E5" s="46">
        <f>IFERROR(__xludf.DUMMYFUNCTION("""COMPUTED_VALUE"""),1.5059656734000006E8)</f>
        <v>150596567.3</v>
      </c>
      <c r="F5" s="46">
        <f>IFERROR(__xludf.DUMMYFUNCTION("""COMPUTED_VALUE"""),6.432566317000001E7)</f>
        <v>64325663.17</v>
      </c>
      <c r="G5" s="46">
        <f t="shared" si="3"/>
        <v>1286959.464</v>
      </c>
      <c r="H5" s="46">
        <f t="shared" si="4"/>
        <v>252.745314</v>
      </c>
      <c r="I5" s="46" t="str">
        <f t="shared" si="5"/>
        <v>Thursday</v>
      </c>
      <c r="J5" s="100">
        <f t="shared" ref="J5:L5" si="10">(B5-MIN(B:B))/(MAX(B:B)-MIN(B:B))</f>
        <v>0</v>
      </c>
      <c r="K5" s="100">
        <f t="shared" si="10"/>
        <v>0</v>
      </c>
      <c r="L5" s="100">
        <f t="shared" si="10"/>
        <v>0</v>
      </c>
      <c r="M5" s="101">
        <f t="shared" ref="M5:N5" si="11">(G5-MIN(G:G))/(MAX(G:G)-MIN(G:G))</f>
        <v>0.3796503096</v>
      </c>
      <c r="N5" s="101">
        <f t="shared" si="11"/>
        <v>0.3260022654</v>
      </c>
    </row>
    <row r="6">
      <c r="A6" s="46">
        <f>IFERROR(__xludf.DUMMYFUNCTION("""COMPUTED_VALUE"""),5.0)</f>
        <v>5</v>
      </c>
      <c r="B6" s="46">
        <f>IFERROR(__xludf.DUMMYFUNCTION("""COMPUTED_VALUE"""),176.0)</f>
        <v>176</v>
      </c>
      <c r="C6" s="46">
        <f>IFERROR(__xludf.DUMMYFUNCTION("""COMPUTED_VALUE"""),866387.0)</f>
        <v>866387</v>
      </c>
      <c r="D6" s="46">
        <f>IFERROR(__xludf.DUMMYFUNCTION("""COMPUTED_VALUE"""),2.638070039299999E8)</f>
        <v>263807003.9</v>
      </c>
      <c r="E6" s="46">
        <f>IFERROR(__xludf.DUMMYFUNCTION("""COMPUTED_VALUE"""),1.8457247489000008E8)</f>
        <v>184572474.9</v>
      </c>
      <c r="F6" s="46">
        <f>IFERROR(__xludf.DUMMYFUNCTION("""COMPUTED_VALUE"""),7.923452904000002E7)</f>
        <v>79234529.04</v>
      </c>
      <c r="G6" s="46">
        <f t="shared" si="3"/>
        <v>1498903.431</v>
      </c>
      <c r="H6" s="46">
        <f t="shared" si="4"/>
        <v>304.4909537</v>
      </c>
      <c r="I6" s="46" t="str">
        <f t="shared" si="5"/>
        <v>Friday</v>
      </c>
      <c r="J6" s="100">
        <f t="shared" ref="J6:L6" si="12">(B6-MIN(B:B))/(MAX(B:B)-MIN(B:B))</f>
        <v>0.225</v>
      </c>
      <c r="K6" s="100">
        <f t="shared" si="12"/>
        <v>0.07953654932</v>
      </c>
      <c r="L6" s="100">
        <f t="shared" si="12"/>
        <v>0.8020278975</v>
      </c>
      <c r="M6" s="101">
        <f t="shared" ref="M6:N6" si="13">(G6-MIN(G:G))/(MAX(G:G)-MIN(G:G))</f>
        <v>1</v>
      </c>
      <c r="N6" s="101">
        <f t="shared" si="13"/>
        <v>1</v>
      </c>
    </row>
    <row r="7">
      <c r="A7" s="46">
        <f>IFERROR(__xludf.DUMMYFUNCTION("""COMPUTED_VALUE"""),6.0)</f>
        <v>6</v>
      </c>
      <c r="B7" s="46">
        <f>IFERROR(__xludf.DUMMYFUNCTION("""COMPUTED_VALUE"""),201.0)</f>
        <v>201</v>
      </c>
      <c r="C7" s="46">
        <f>IFERROR(__xludf.DUMMYFUNCTION("""COMPUTED_VALUE"""),1015852.0)</f>
        <v>1015852</v>
      </c>
      <c r="D7" s="46">
        <f>IFERROR(__xludf.DUMMYFUNCTION("""COMPUTED_VALUE"""),2.3364114542999974E8)</f>
        <v>233641145.4</v>
      </c>
      <c r="E7" s="46">
        <f>IFERROR(__xludf.DUMMYFUNCTION("""COMPUTED_VALUE"""),1.6220528494000003E8)</f>
        <v>162205284.9</v>
      </c>
      <c r="F7" s="46">
        <f>IFERROR(__xludf.DUMMYFUNCTION("""COMPUTED_VALUE"""),7.143586049E7)</f>
        <v>71435860.49</v>
      </c>
      <c r="G7" s="46">
        <f t="shared" si="3"/>
        <v>1162393.758</v>
      </c>
      <c r="H7" s="46">
        <f t="shared" si="4"/>
        <v>229.9952606</v>
      </c>
      <c r="I7" s="46" t="str">
        <f t="shared" si="5"/>
        <v>Saturday</v>
      </c>
      <c r="J7" s="100">
        <f t="shared" ref="J7:L7" si="14">(B7-MIN(B:B))/(MAX(B:B)-MIN(B:B))</f>
        <v>0.85</v>
      </c>
      <c r="K7" s="100">
        <f t="shared" si="14"/>
        <v>0.8208642086</v>
      </c>
      <c r="L7" s="100">
        <f t="shared" si="14"/>
        <v>0.3071118249</v>
      </c>
      <c r="M7" s="101">
        <f t="shared" ref="M7:N7" si="15">(G7-MIN(G:G))/(MAX(G:G)-MIN(G:G))</f>
        <v>0.01505254351</v>
      </c>
      <c r="N7" s="101">
        <f t="shared" si="15"/>
        <v>0.02967808104</v>
      </c>
    </row>
    <row r="8">
      <c r="A8" s="46">
        <f>IFERROR(__xludf.DUMMYFUNCTION("""COMPUTED_VALUE"""),7.0)</f>
        <v>7</v>
      </c>
      <c r="B8" s="46">
        <f>IFERROR(__xludf.DUMMYFUNCTION("""COMPUTED_VALUE"""),207.0)</f>
        <v>207</v>
      </c>
      <c r="C8" s="46">
        <f>IFERROR(__xludf.DUMMYFUNCTION("""COMPUTED_VALUE"""),1051969.0)</f>
        <v>1051969</v>
      </c>
      <c r="D8" s="46">
        <f>IFERROR(__xludf.DUMMYFUNCTION("""COMPUTED_VALUE"""),2.3955096126000008E8)</f>
        <v>239550961.3</v>
      </c>
      <c r="E8" s="46">
        <f>IFERROR(__xludf.DUMMYFUNCTION("""COMPUTED_VALUE"""),1.6686412853000003E8)</f>
        <v>166864128.5</v>
      </c>
      <c r="F8" s="46">
        <f>IFERROR(__xludf.DUMMYFUNCTION("""COMPUTED_VALUE"""),7.268683273E7)</f>
        <v>72686832.73</v>
      </c>
      <c r="G8" s="46">
        <f t="shared" si="3"/>
        <v>1157251.021</v>
      </c>
      <c r="H8" s="46">
        <f t="shared" si="4"/>
        <v>227.7167495</v>
      </c>
      <c r="I8" s="46" t="str">
        <f t="shared" si="5"/>
        <v>Sunday</v>
      </c>
      <c r="J8" s="100">
        <f t="shared" ref="J8:L8" si="16">(B8-MIN(B:B))/(MAX(B:B)-MIN(B:B))</f>
        <v>1</v>
      </c>
      <c r="K8" s="100">
        <f t="shared" si="16"/>
        <v>1</v>
      </c>
      <c r="L8" s="100">
        <f t="shared" si="16"/>
        <v>0.4040712017</v>
      </c>
      <c r="M8" s="101">
        <f t="shared" ref="M8:N8" si="17">(G8-MIN(G:G))/(MAX(G:G)-MIN(G:G))</f>
        <v>0</v>
      </c>
      <c r="N8" s="101">
        <f t="shared" si="17"/>
        <v>0</v>
      </c>
    </row>
    <row r="9">
      <c r="J9" s="100"/>
      <c r="K9" s="100"/>
      <c r="L9" s="100"/>
      <c r="M9" s="69"/>
      <c r="N9" s="100"/>
    </row>
    <row r="10">
      <c r="I10" s="52" t="s">
        <v>60</v>
      </c>
      <c r="J10" s="100"/>
      <c r="K10" s="100"/>
      <c r="L10" s="100"/>
      <c r="M10" s="69"/>
      <c r="N10" s="100"/>
    </row>
    <row r="11">
      <c r="I11" s="52" t="s">
        <v>61</v>
      </c>
      <c r="J11" s="100"/>
      <c r="K11" s="100"/>
      <c r="L11" s="100"/>
      <c r="M11" s="69"/>
      <c r="N11" s="100"/>
    </row>
    <row r="12">
      <c r="I12" s="52" t="s">
        <v>62</v>
      </c>
      <c r="J12" s="100"/>
      <c r="K12" s="100"/>
      <c r="L12" s="100"/>
      <c r="M12" s="69"/>
      <c r="N12" s="100"/>
    </row>
    <row r="13">
      <c r="I13" s="52" t="s">
        <v>63</v>
      </c>
      <c r="J13" s="100"/>
      <c r="K13" s="100"/>
      <c r="L13" s="100"/>
      <c r="M13" s="69"/>
      <c r="N13" s="100"/>
    </row>
    <row r="14">
      <c r="J14" s="100"/>
      <c r="K14" s="100"/>
      <c r="L14" s="100"/>
      <c r="M14" s="69"/>
      <c r="N14" s="100"/>
    </row>
    <row r="15">
      <c r="J15" s="100"/>
      <c r="K15" s="100"/>
      <c r="L15" s="100"/>
      <c r="M15" s="69"/>
      <c r="N15" s="100"/>
    </row>
    <row r="16">
      <c r="J16" s="100"/>
      <c r="K16" s="100"/>
      <c r="L16" s="100"/>
      <c r="M16" s="69"/>
      <c r="N16" s="100"/>
    </row>
    <row r="17">
      <c r="J17" s="100"/>
      <c r="K17" s="100"/>
      <c r="L17" s="100"/>
      <c r="M17" s="69"/>
      <c r="N17" s="100"/>
    </row>
    <row r="18">
      <c r="J18" s="100"/>
      <c r="K18" s="100"/>
      <c r="L18" s="100"/>
      <c r="M18" s="69"/>
      <c r="N18" s="100"/>
    </row>
    <row r="19">
      <c r="J19" s="100"/>
      <c r="K19" s="100"/>
      <c r="L19" s="100"/>
      <c r="M19" s="69"/>
      <c r="N19" s="100"/>
    </row>
    <row r="20">
      <c r="J20" s="100"/>
      <c r="K20" s="100"/>
      <c r="L20" s="100"/>
      <c r="M20" s="69"/>
      <c r="N20" s="100"/>
    </row>
    <row r="21">
      <c r="J21" s="100"/>
      <c r="K21" s="100"/>
      <c r="L21" s="100"/>
      <c r="M21" s="69"/>
      <c r="N21" s="100"/>
    </row>
    <row r="22">
      <c r="J22" s="100"/>
      <c r="K22" s="100"/>
      <c r="L22" s="100"/>
      <c r="M22" s="69"/>
      <c r="N22" s="100"/>
    </row>
    <row r="23">
      <c r="J23" s="100"/>
      <c r="K23" s="100"/>
      <c r="L23" s="100"/>
      <c r="M23" s="69"/>
      <c r="N23" s="100"/>
    </row>
    <row r="24">
      <c r="J24" s="100"/>
      <c r="K24" s="100"/>
      <c r="L24" s="100"/>
      <c r="M24" s="69"/>
      <c r="N24" s="100"/>
    </row>
    <row r="25">
      <c r="J25" s="100"/>
      <c r="K25" s="100"/>
      <c r="L25" s="100"/>
      <c r="M25" s="69"/>
      <c r="N25" s="100"/>
    </row>
    <row r="26">
      <c r="J26" s="100"/>
      <c r="K26" s="100"/>
      <c r="L26" s="100"/>
      <c r="M26" s="69"/>
      <c r="N26" s="100"/>
    </row>
    <row r="27">
      <c r="J27" s="100"/>
      <c r="K27" s="100"/>
      <c r="L27" s="100"/>
      <c r="M27" s="69"/>
      <c r="N27" s="100"/>
    </row>
    <row r="28">
      <c r="I28" s="52" t="s">
        <v>64</v>
      </c>
      <c r="J28" s="100"/>
      <c r="K28" s="100"/>
      <c r="L28" s="100"/>
      <c r="M28" s="69"/>
      <c r="N28" s="100"/>
    </row>
    <row r="29">
      <c r="J29" s="100"/>
      <c r="K29" s="100"/>
      <c r="L29" s="100"/>
      <c r="M29" s="69"/>
      <c r="N29" s="100"/>
    </row>
    <row r="30">
      <c r="J30" s="100"/>
      <c r="K30" s="100"/>
      <c r="L30" s="100"/>
      <c r="M30" s="69"/>
      <c r="N30" s="100"/>
    </row>
    <row r="31">
      <c r="J31" s="100"/>
      <c r="K31" s="100"/>
      <c r="L31" s="100"/>
      <c r="M31" s="69"/>
      <c r="N31" s="100"/>
    </row>
    <row r="32">
      <c r="J32" s="100"/>
      <c r="K32" s="100"/>
      <c r="L32" s="100"/>
      <c r="M32" s="69"/>
      <c r="N32" s="100"/>
    </row>
    <row r="33">
      <c r="J33" s="100"/>
      <c r="K33" s="100"/>
      <c r="L33" s="100"/>
      <c r="M33" s="69"/>
      <c r="N33" s="100"/>
    </row>
    <row r="34">
      <c r="J34" s="100"/>
      <c r="K34" s="100"/>
      <c r="L34" s="100"/>
      <c r="M34" s="69"/>
      <c r="N34" s="100"/>
    </row>
    <row r="35">
      <c r="J35" s="100"/>
      <c r="K35" s="100"/>
      <c r="L35" s="100"/>
      <c r="M35" s="69"/>
      <c r="N35" s="100"/>
    </row>
    <row r="36">
      <c r="J36" s="100"/>
      <c r="K36" s="100"/>
      <c r="L36" s="100"/>
      <c r="M36" s="69"/>
      <c r="N36" s="100"/>
    </row>
    <row r="37">
      <c r="J37" s="100"/>
      <c r="K37" s="100"/>
      <c r="L37" s="100"/>
      <c r="M37" s="69"/>
      <c r="N37" s="100"/>
    </row>
    <row r="38">
      <c r="J38" s="100"/>
      <c r="K38" s="100"/>
      <c r="L38" s="100"/>
      <c r="M38" s="69"/>
      <c r="N38" s="100"/>
    </row>
    <row r="39">
      <c r="J39" s="100"/>
      <c r="K39" s="100"/>
      <c r="L39" s="100"/>
      <c r="M39" s="69"/>
      <c r="N39" s="100"/>
    </row>
    <row r="40">
      <c r="J40" s="100"/>
      <c r="K40" s="100"/>
      <c r="L40" s="100"/>
      <c r="M40" s="69"/>
      <c r="N40" s="100"/>
    </row>
    <row r="41">
      <c r="J41" s="100"/>
      <c r="K41" s="100"/>
      <c r="L41" s="100"/>
      <c r="M41" s="69"/>
      <c r="N41" s="100"/>
    </row>
    <row r="42">
      <c r="J42" s="100"/>
      <c r="K42" s="100"/>
      <c r="L42" s="100"/>
      <c r="M42" s="69"/>
      <c r="N42" s="100"/>
    </row>
    <row r="43">
      <c r="G43" s="52" t="s">
        <v>65</v>
      </c>
      <c r="J43" s="100"/>
      <c r="K43" s="100"/>
      <c r="L43" s="100"/>
      <c r="M43" s="69"/>
      <c r="N43" s="100"/>
    </row>
    <row r="44">
      <c r="J44" s="100"/>
      <c r="K44" s="100"/>
      <c r="L44" s="100"/>
      <c r="M44" s="69"/>
      <c r="N44" s="100"/>
    </row>
    <row r="45">
      <c r="G45" s="52" t="s">
        <v>66</v>
      </c>
      <c r="J45" s="100"/>
      <c r="K45" s="100"/>
      <c r="L45" s="100"/>
      <c r="M45" s="69"/>
      <c r="N45" s="100"/>
    </row>
    <row r="46">
      <c r="G46" s="52" t="s">
        <v>67</v>
      </c>
      <c r="J46" s="100"/>
      <c r="K46" s="100"/>
      <c r="L46" s="100"/>
      <c r="M46" s="69"/>
      <c r="N46" s="100"/>
    </row>
    <row r="47">
      <c r="G47" s="52" t="s">
        <v>68</v>
      </c>
      <c r="J47" s="100"/>
      <c r="K47" s="100"/>
      <c r="L47" s="100"/>
      <c r="M47" s="69"/>
      <c r="N47" s="100"/>
    </row>
    <row r="48">
      <c r="J48" s="100"/>
      <c r="K48" s="100"/>
      <c r="L48" s="100"/>
      <c r="M48" s="69"/>
      <c r="N48" s="100"/>
    </row>
    <row r="49">
      <c r="J49" s="100"/>
      <c r="K49" s="100"/>
      <c r="L49" s="100"/>
      <c r="M49" s="69"/>
      <c r="N49" s="100"/>
    </row>
    <row r="50">
      <c r="J50" s="100"/>
      <c r="K50" s="100"/>
      <c r="L50" s="100"/>
      <c r="M50" s="69"/>
      <c r="N50" s="100"/>
    </row>
    <row r="51">
      <c r="J51" s="100"/>
      <c r="K51" s="100"/>
      <c r="L51" s="100"/>
      <c r="M51" s="69"/>
      <c r="N51" s="100"/>
    </row>
    <row r="52">
      <c r="J52" s="100"/>
      <c r="K52" s="100"/>
      <c r="L52" s="100"/>
      <c r="M52" s="69"/>
      <c r="N52" s="100"/>
    </row>
    <row r="53">
      <c r="J53" s="100"/>
      <c r="K53" s="100"/>
      <c r="L53" s="100"/>
      <c r="M53" s="69"/>
      <c r="N53" s="100"/>
    </row>
    <row r="54">
      <c r="J54" s="100"/>
      <c r="K54" s="100"/>
      <c r="L54" s="100"/>
      <c r="M54" s="69"/>
      <c r="N54" s="100"/>
    </row>
    <row r="55">
      <c r="J55" s="100"/>
      <c r="K55" s="100"/>
      <c r="L55" s="100"/>
      <c r="M55" s="69"/>
      <c r="N55" s="100"/>
    </row>
    <row r="56">
      <c r="J56" s="100"/>
      <c r="K56" s="100"/>
      <c r="L56" s="100"/>
      <c r="M56" s="69"/>
      <c r="N56" s="100"/>
    </row>
    <row r="57">
      <c r="J57" s="100"/>
      <c r="K57" s="100"/>
      <c r="L57" s="100"/>
      <c r="M57" s="69"/>
      <c r="N57" s="100"/>
    </row>
    <row r="58">
      <c r="J58" s="100"/>
      <c r="K58" s="100"/>
      <c r="L58" s="100"/>
      <c r="M58" s="69"/>
      <c r="N58" s="100"/>
    </row>
    <row r="59">
      <c r="J59" s="100"/>
      <c r="K59" s="100"/>
      <c r="L59" s="100"/>
      <c r="M59" s="69"/>
      <c r="N59" s="100"/>
    </row>
    <row r="60">
      <c r="J60" s="100"/>
      <c r="K60" s="100"/>
      <c r="L60" s="100"/>
      <c r="M60" s="69"/>
      <c r="N60" s="100"/>
    </row>
    <row r="61">
      <c r="J61" s="100"/>
      <c r="K61" s="100"/>
      <c r="L61" s="100"/>
      <c r="M61" s="69"/>
      <c r="N61" s="100"/>
    </row>
    <row r="62">
      <c r="J62" s="100"/>
      <c r="K62" s="100"/>
      <c r="L62" s="100"/>
      <c r="M62" s="69"/>
      <c r="N62" s="100"/>
    </row>
    <row r="63">
      <c r="J63" s="100"/>
      <c r="K63" s="100"/>
      <c r="L63" s="100"/>
      <c r="M63" s="69"/>
      <c r="N63" s="100"/>
    </row>
    <row r="64">
      <c r="J64" s="100"/>
      <c r="K64" s="100"/>
      <c r="L64" s="100"/>
      <c r="M64" s="69"/>
      <c r="N64" s="100"/>
    </row>
    <row r="65">
      <c r="J65" s="100"/>
      <c r="K65" s="100"/>
      <c r="L65" s="100"/>
      <c r="M65" s="69"/>
      <c r="N65" s="100"/>
    </row>
    <row r="66">
      <c r="J66" s="100"/>
      <c r="K66" s="100"/>
      <c r="L66" s="100"/>
      <c r="M66" s="69"/>
      <c r="N66" s="100"/>
    </row>
    <row r="67">
      <c r="J67" s="100"/>
      <c r="K67" s="100"/>
      <c r="L67" s="100"/>
      <c r="M67" s="69"/>
      <c r="N67" s="100"/>
    </row>
    <row r="68">
      <c r="J68" s="100"/>
      <c r="K68" s="100"/>
      <c r="L68" s="100"/>
      <c r="M68" s="69"/>
      <c r="N68" s="100"/>
    </row>
    <row r="69">
      <c r="J69" s="100"/>
      <c r="K69" s="100"/>
      <c r="L69" s="100"/>
      <c r="M69" s="69"/>
      <c r="N69" s="100"/>
    </row>
    <row r="70">
      <c r="J70" s="100"/>
      <c r="K70" s="100"/>
      <c r="L70" s="100"/>
      <c r="M70" s="69"/>
      <c r="N70" s="100"/>
    </row>
    <row r="71">
      <c r="J71" s="100"/>
      <c r="K71" s="100"/>
      <c r="L71" s="100"/>
      <c r="M71" s="69"/>
      <c r="N71" s="100"/>
    </row>
    <row r="72">
      <c r="J72" s="100"/>
      <c r="K72" s="100"/>
      <c r="L72" s="100"/>
      <c r="M72" s="69"/>
      <c r="N72" s="100"/>
    </row>
    <row r="73">
      <c r="J73" s="100"/>
      <c r="K73" s="100"/>
      <c r="L73" s="100"/>
      <c r="M73" s="69"/>
      <c r="N73" s="100"/>
    </row>
    <row r="74">
      <c r="J74" s="100"/>
      <c r="K74" s="100"/>
      <c r="L74" s="100"/>
      <c r="M74" s="69"/>
      <c r="N74" s="100"/>
    </row>
    <row r="75">
      <c r="J75" s="100"/>
      <c r="K75" s="100"/>
      <c r="L75" s="100"/>
      <c r="M75" s="69"/>
      <c r="N75" s="100"/>
    </row>
    <row r="76">
      <c r="J76" s="100"/>
      <c r="K76" s="100"/>
      <c r="L76" s="100"/>
      <c r="M76" s="69"/>
      <c r="N76" s="100"/>
    </row>
    <row r="77">
      <c r="J77" s="100"/>
      <c r="K77" s="100"/>
      <c r="L77" s="100"/>
      <c r="M77" s="69"/>
      <c r="N77" s="100"/>
    </row>
    <row r="78">
      <c r="J78" s="100"/>
      <c r="K78" s="100"/>
      <c r="L78" s="100"/>
      <c r="M78" s="69"/>
      <c r="N78" s="100"/>
    </row>
    <row r="79">
      <c r="J79" s="100"/>
      <c r="K79" s="100"/>
      <c r="L79" s="100"/>
      <c r="M79" s="69"/>
      <c r="N79" s="100"/>
    </row>
    <row r="80">
      <c r="J80" s="100"/>
      <c r="K80" s="100"/>
      <c r="L80" s="100"/>
      <c r="M80" s="69"/>
      <c r="N80" s="100"/>
    </row>
    <row r="81">
      <c r="J81" s="100"/>
      <c r="K81" s="100"/>
      <c r="L81" s="100"/>
      <c r="M81" s="69"/>
      <c r="N81" s="100"/>
    </row>
    <row r="82">
      <c r="J82" s="100"/>
      <c r="K82" s="100"/>
      <c r="L82" s="100"/>
      <c r="M82" s="69"/>
      <c r="N82" s="100"/>
    </row>
    <row r="83">
      <c r="J83" s="100"/>
      <c r="K83" s="100"/>
      <c r="L83" s="100"/>
      <c r="M83" s="69"/>
      <c r="N83" s="100"/>
    </row>
    <row r="84">
      <c r="J84" s="100"/>
      <c r="K84" s="100"/>
      <c r="L84" s="100"/>
      <c r="M84" s="69"/>
      <c r="N84" s="100"/>
    </row>
    <row r="85">
      <c r="J85" s="100"/>
      <c r="K85" s="100"/>
      <c r="L85" s="100"/>
      <c r="M85" s="69"/>
      <c r="N85" s="100"/>
    </row>
    <row r="86">
      <c r="J86" s="100"/>
      <c r="K86" s="100"/>
      <c r="L86" s="100"/>
      <c r="M86" s="69"/>
      <c r="N86" s="100"/>
    </row>
    <row r="87">
      <c r="J87" s="100"/>
      <c r="K87" s="100"/>
      <c r="L87" s="100"/>
      <c r="M87" s="69"/>
      <c r="N87" s="100"/>
    </row>
    <row r="88">
      <c r="J88" s="100"/>
      <c r="K88" s="100"/>
      <c r="L88" s="100"/>
      <c r="M88" s="69"/>
      <c r="N88" s="100"/>
    </row>
    <row r="89">
      <c r="J89" s="100"/>
      <c r="K89" s="100"/>
      <c r="L89" s="100"/>
      <c r="M89" s="69"/>
      <c r="N89" s="100"/>
    </row>
    <row r="90">
      <c r="J90" s="100"/>
      <c r="K90" s="100"/>
      <c r="L90" s="100"/>
      <c r="M90" s="69"/>
      <c r="N90" s="100"/>
    </row>
    <row r="91">
      <c r="J91" s="100"/>
      <c r="K91" s="100"/>
      <c r="L91" s="100"/>
      <c r="M91" s="69"/>
      <c r="N91" s="100"/>
    </row>
    <row r="92">
      <c r="J92" s="100"/>
      <c r="K92" s="100"/>
      <c r="L92" s="100"/>
      <c r="M92" s="69"/>
      <c r="N92" s="100"/>
    </row>
    <row r="93">
      <c r="J93" s="100"/>
      <c r="K93" s="100"/>
      <c r="L93" s="100"/>
      <c r="M93" s="69"/>
      <c r="N93" s="100"/>
    </row>
    <row r="94">
      <c r="J94" s="100"/>
      <c r="K94" s="100"/>
      <c r="L94" s="100"/>
      <c r="M94" s="69"/>
      <c r="N94" s="100"/>
    </row>
    <row r="95">
      <c r="J95" s="100"/>
      <c r="K95" s="100"/>
      <c r="L95" s="100"/>
      <c r="M95" s="69"/>
      <c r="N95" s="100"/>
    </row>
    <row r="96">
      <c r="J96" s="100"/>
      <c r="K96" s="100"/>
      <c r="L96" s="100"/>
      <c r="M96" s="69"/>
      <c r="N96" s="100"/>
    </row>
    <row r="97">
      <c r="J97" s="100"/>
      <c r="K97" s="100"/>
      <c r="L97" s="100"/>
      <c r="M97" s="69"/>
      <c r="N97" s="100"/>
    </row>
    <row r="98">
      <c r="J98" s="100"/>
      <c r="K98" s="100"/>
      <c r="L98" s="100"/>
      <c r="M98" s="69"/>
      <c r="N98" s="100"/>
    </row>
    <row r="99">
      <c r="J99" s="100"/>
      <c r="K99" s="100"/>
      <c r="L99" s="100"/>
      <c r="M99" s="69"/>
      <c r="N99" s="100"/>
    </row>
    <row r="100">
      <c r="J100" s="100"/>
      <c r="K100" s="100"/>
      <c r="L100" s="100"/>
      <c r="M100" s="69"/>
      <c r="N100" s="100"/>
    </row>
    <row r="101">
      <c r="J101" s="100"/>
      <c r="K101" s="100"/>
      <c r="L101" s="100"/>
      <c r="M101" s="69"/>
      <c r="N101" s="100"/>
    </row>
    <row r="102">
      <c r="J102" s="100"/>
      <c r="K102" s="100"/>
      <c r="L102" s="100"/>
      <c r="M102" s="69"/>
      <c r="N102" s="100"/>
    </row>
    <row r="103">
      <c r="J103" s="100"/>
      <c r="K103" s="100"/>
      <c r="L103" s="100"/>
      <c r="M103" s="69"/>
      <c r="N103" s="100"/>
    </row>
    <row r="104">
      <c r="J104" s="100"/>
      <c r="K104" s="100"/>
      <c r="L104" s="100"/>
      <c r="M104" s="69"/>
      <c r="N104" s="100"/>
    </row>
    <row r="105">
      <c r="J105" s="100"/>
      <c r="K105" s="100"/>
      <c r="L105" s="100"/>
      <c r="M105" s="69"/>
      <c r="N105" s="100"/>
    </row>
    <row r="106">
      <c r="J106" s="100"/>
      <c r="K106" s="100"/>
      <c r="L106" s="100"/>
      <c r="M106" s="69"/>
      <c r="N106" s="100"/>
    </row>
    <row r="107">
      <c r="J107" s="100"/>
      <c r="K107" s="100"/>
      <c r="L107" s="100"/>
      <c r="M107" s="69"/>
      <c r="N107" s="100"/>
    </row>
    <row r="108">
      <c r="J108" s="100"/>
      <c r="K108" s="100"/>
      <c r="L108" s="100"/>
      <c r="M108" s="69"/>
      <c r="N108" s="100"/>
    </row>
    <row r="109">
      <c r="J109" s="100"/>
      <c r="K109" s="100"/>
      <c r="L109" s="100"/>
      <c r="M109" s="69"/>
      <c r="N109" s="100"/>
    </row>
    <row r="110">
      <c r="J110" s="100"/>
      <c r="K110" s="100"/>
      <c r="L110" s="100"/>
      <c r="M110" s="69"/>
      <c r="N110" s="100"/>
    </row>
    <row r="111">
      <c r="J111" s="100"/>
      <c r="K111" s="100"/>
      <c r="L111" s="100"/>
      <c r="M111" s="69"/>
      <c r="N111" s="100"/>
    </row>
    <row r="112">
      <c r="J112" s="100"/>
      <c r="K112" s="100"/>
      <c r="L112" s="100"/>
      <c r="M112" s="69"/>
      <c r="N112" s="100"/>
    </row>
    <row r="113">
      <c r="J113" s="100"/>
      <c r="K113" s="100"/>
      <c r="L113" s="100"/>
      <c r="M113" s="69"/>
      <c r="N113" s="100"/>
    </row>
    <row r="114">
      <c r="J114" s="100"/>
      <c r="K114" s="100"/>
      <c r="L114" s="100"/>
      <c r="M114" s="69"/>
      <c r="N114" s="100"/>
    </row>
    <row r="115">
      <c r="J115" s="100"/>
      <c r="K115" s="100"/>
      <c r="L115" s="100"/>
      <c r="M115" s="69"/>
      <c r="N115" s="100"/>
    </row>
    <row r="116">
      <c r="J116" s="100"/>
      <c r="K116" s="100"/>
      <c r="L116" s="100"/>
      <c r="M116" s="69"/>
      <c r="N116" s="100"/>
    </row>
    <row r="117">
      <c r="J117" s="100"/>
      <c r="K117" s="100"/>
      <c r="L117" s="100"/>
      <c r="M117" s="69"/>
      <c r="N117" s="100"/>
    </row>
    <row r="118">
      <c r="J118" s="100"/>
      <c r="K118" s="100"/>
      <c r="L118" s="100"/>
      <c r="M118" s="69"/>
      <c r="N118" s="100"/>
    </row>
    <row r="119">
      <c r="J119" s="100"/>
      <c r="K119" s="100"/>
      <c r="L119" s="100"/>
      <c r="M119" s="69"/>
      <c r="N119" s="100"/>
    </row>
    <row r="120">
      <c r="J120" s="100"/>
      <c r="K120" s="100"/>
      <c r="L120" s="100"/>
      <c r="M120" s="69"/>
      <c r="N120" s="100"/>
    </row>
    <row r="121">
      <c r="J121" s="100"/>
      <c r="K121" s="100"/>
      <c r="L121" s="100"/>
      <c r="M121" s="69"/>
      <c r="N121" s="100"/>
    </row>
    <row r="122">
      <c r="J122" s="100"/>
      <c r="K122" s="100"/>
      <c r="L122" s="100"/>
      <c r="M122" s="69"/>
      <c r="N122" s="100"/>
    </row>
    <row r="123">
      <c r="J123" s="100"/>
      <c r="K123" s="100"/>
      <c r="L123" s="100"/>
      <c r="M123" s="69"/>
      <c r="N123" s="100"/>
    </row>
    <row r="124">
      <c r="J124" s="100"/>
      <c r="K124" s="100"/>
      <c r="L124" s="100"/>
      <c r="M124" s="69"/>
      <c r="N124" s="100"/>
    </row>
    <row r="125">
      <c r="J125" s="100"/>
      <c r="K125" s="100"/>
      <c r="L125" s="100"/>
      <c r="M125" s="69"/>
      <c r="N125" s="100"/>
    </row>
    <row r="126">
      <c r="J126" s="100"/>
      <c r="K126" s="100"/>
      <c r="L126" s="100"/>
      <c r="M126" s="69"/>
      <c r="N126" s="100"/>
    </row>
    <row r="127">
      <c r="J127" s="100"/>
      <c r="K127" s="100"/>
      <c r="L127" s="100"/>
      <c r="M127" s="69"/>
      <c r="N127" s="100"/>
    </row>
    <row r="128">
      <c r="J128" s="100"/>
      <c r="K128" s="100"/>
      <c r="L128" s="100"/>
      <c r="M128" s="69"/>
      <c r="N128" s="100"/>
    </row>
    <row r="129">
      <c r="J129" s="100"/>
      <c r="K129" s="100"/>
      <c r="L129" s="100"/>
      <c r="M129" s="69"/>
      <c r="N129" s="100"/>
    </row>
    <row r="130">
      <c r="J130" s="100"/>
      <c r="K130" s="100"/>
      <c r="L130" s="100"/>
      <c r="M130" s="69"/>
      <c r="N130" s="100"/>
    </row>
    <row r="131">
      <c r="J131" s="100"/>
      <c r="K131" s="100"/>
      <c r="L131" s="100"/>
      <c r="M131" s="69"/>
      <c r="N131" s="100"/>
    </row>
    <row r="132">
      <c r="J132" s="100"/>
      <c r="K132" s="100"/>
      <c r="L132" s="100"/>
      <c r="M132" s="69"/>
      <c r="N132" s="100"/>
    </row>
    <row r="133">
      <c r="J133" s="100"/>
      <c r="K133" s="100"/>
      <c r="L133" s="100"/>
      <c r="M133" s="69"/>
      <c r="N133" s="100"/>
    </row>
    <row r="134">
      <c r="J134" s="100"/>
      <c r="K134" s="100"/>
      <c r="L134" s="100"/>
      <c r="M134" s="69"/>
      <c r="N134" s="100"/>
    </row>
    <row r="135">
      <c r="J135" s="100"/>
      <c r="K135" s="100"/>
      <c r="L135" s="100"/>
      <c r="M135" s="69"/>
      <c r="N135" s="100"/>
    </row>
    <row r="136">
      <c r="J136" s="100"/>
      <c r="K136" s="100"/>
      <c r="L136" s="100"/>
      <c r="M136" s="69"/>
      <c r="N136" s="100"/>
    </row>
    <row r="137">
      <c r="J137" s="100"/>
      <c r="K137" s="100"/>
      <c r="L137" s="100"/>
      <c r="M137" s="69"/>
      <c r="N137" s="100"/>
    </row>
    <row r="138">
      <c r="J138" s="100"/>
      <c r="K138" s="100"/>
      <c r="L138" s="100"/>
      <c r="M138" s="69"/>
      <c r="N138" s="100"/>
    </row>
    <row r="139">
      <c r="J139" s="100"/>
      <c r="K139" s="100"/>
      <c r="L139" s="100"/>
      <c r="M139" s="69"/>
      <c r="N139" s="100"/>
    </row>
    <row r="140">
      <c r="J140" s="100"/>
      <c r="K140" s="100"/>
      <c r="L140" s="100"/>
      <c r="M140" s="69"/>
      <c r="N140" s="100"/>
    </row>
    <row r="141">
      <c r="J141" s="100"/>
      <c r="K141" s="100"/>
      <c r="L141" s="100"/>
      <c r="M141" s="69"/>
      <c r="N141" s="100"/>
    </row>
    <row r="142">
      <c r="J142" s="100"/>
      <c r="K142" s="100"/>
      <c r="L142" s="100"/>
      <c r="M142" s="69"/>
      <c r="N142" s="100"/>
    </row>
    <row r="143">
      <c r="J143" s="100"/>
      <c r="K143" s="100"/>
      <c r="L143" s="100"/>
      <c r="M143" s="69"/>
      <c r="N143" s="100"/>
    </row>
    <row r="144">
      <c r="J144" s="100"/>
      <c r="K144" s="100"/>
      <c r="L144" s="100"/>
      <c r="M144" s="69"/>
      <c r="N144" s="100"/>
    </row>
    <row r="145">
      <c r="J145" s="100"/>
      <c r="K145" s="100"/>
      <c r="L145" s="100"/>
      <c r="M145" s="69"/>
      <c r="N145" s="100"/>
    </row>
    <row r="146">
      <c r="J146" s="100"/>
      <c r="K146" s="100"/>
      <c r="L146" s="100"/>
      <c r="M146" s="69"/>
      <c r="N146" s="100"/>
    </row>
    <row r="147">
      <c r="J147" s="100"/>
      <c r="K147" s="100"/>
      <c r="L147" s="100"/>
      <c r="M147" s="69"/>
      <c r="N147" s="100"/>
    </row>
    <row r="148">
      <c r="J148" s="100"/>
      <c r="K148" s="100"/>
      <c r="L148" s="100"/>
      <c r="M148" s="69"/>
      <c r="N148" s="100"/>
    </row>
    <row r="149">
      <c r="J149" s="100"/>
      <c r="K149" s="100"/>
      <c r="L149" s="100"/>
      <c r="M149" s="69"/>
      <c r="N149" s="100"/>
    </row>
    <row r="150">
      <c r="J150" s="100"/>
      <c r="K150" s="100"/>
      <c r="L150" s="100"/>
      <c r="M150" s="69"/>
      <c r="N150" s="100"/>
    </row>
    <row r="151">
      <c r="J151" s="100"/>
      <c r="K151" s="100"/>
      <c r="L151" s="100"/>
      <c r="M151" s="69"/>
      <c r="N151" s="100"/>
    </row>
    <row r="152">
      <c r="J152" s="100"/>
      <c r="K152" s="100"/>
      <c r="L152" s="100"/>
      <c r="M152" s="69"/>
      <c r="N152" s="100"/>
    </row>
    <row r="153">
      <c r="J153" s="100"/>
      <c r="K153" s="100"/>
      <c r="L153" s="100"/>
      <c r="M153" s="69"/>
      <c r="N153" s="100"/>
    </row>
    <row r="154">
      <c r="J154" s="100"/>
      <c r="K154" s="100"/>
      <c r="L154" s="100"/>
      <c r="M154" s="69"/>
      <c r="N154" s="100"/>
    </row>
    <row r="155">
      <c r="J155" s="100"/>
      <c r="K155" s="100"/>
      <c r="L155" s="100"/>
      <c r="M155" s="69"/>
      <c r="N155" s="100"/>
    </row>
    <row r="156">
      <c r="J156" s="100"/>
      <c r="K156" s="100"/>
      <c r="L156" s="100"/>
      <c r="M156" s="69"/>
      <c r="N156" s="100"/>
    </row>
    <row r="157">
      <c r="J157" s="100"/>
      <c r="K157" s="100"/>
      <c r="L157" s="100"/>
      <c r="M157" s="69"/>
      <c r="N157" s="100"/>
    </row>
    <row r="158">
      <c r="J158" s="100"/>
      <c r="K158" s="100"/>
      <c r="L158" s="100"/>
      <c r="M158" s="69"/>
      <c r="N158" s="100"/>
    </row>
    <row r="159">
      <c r="J159" s="100"/>
      <c r="K159" s="100"/>
      <c r="L159" s="100"/>
      <c r="M159" s="69"/>
      <c r="N159" s="100"/>
    </row>
    <row r="160">
      <c r="J160" s="100"/>
      <c r="K160" s="100"/>
      <c r="L160" s="100"/>
      <c r="M160" s="69"/>
      <c r="N160" s="100"/>
    </row>
    <row r="161">
      <c r="J161" s="100"/>
      <c r="K161" s="100"/>
      <c r="L161" s="100"/>
      <c r="M161" s="69"/>
      <c r="N161" s="100"/>
    </row>
    <row r="162">
      <c r="J162" s="100"/>
      <c r="K162" s="100"/>
      <c r="L162" s="100"/>
      <c r="M162" s="69"/>
      <c r="N162" s="100"/>
    </row>
    <row r="163">
      <c r="J163" s="100"/>
      <c r="K163" s="100"/>
      <c r="L163" s="100"/>
      <c r="M163" s="69"/>
      <c r="N163" s="100"/>
    </row>
    <row r="164">
      <c r="J164" s="100"/>
      <c r="K164" s="100"/>
      <c r="L164" s="100"/>
      <c r="M164" s="69"/>
      <c r="N164" s="100"/>
    </row>
    <row r="165">
      <c r="J165" s="100"/>
      <c r="K165" s="100"/>
      <c r="L165" s="100"/>
      <c r="M165" s="69"/>
      <c r="N165" s="100"/>
    </row>
    <row r="166">
      <c r="J166" s="100"/>
      <c r="K166" s="100"/>
      <c r="L166" s="100"/>
      <c r="M166" s="69"/>
      <c r="N166" s="100"/>
    </row>
    <row r="167">
      <c r="J167" s="100"/>
      <c r="K167" s="100"/>
      <c r="L167" s="100"/>
      <c r="M167" s="69"/>
      <c r="N167" s="100"/>
    </row>
    <row r="168">
      <c r="J168" s="100"/>
      <c r="K168" s="100"/>
      <c r="L168" s="100"/>
      <c r="M168" s="69"/>
      <c r="N168" s="100"/>
    </row>
    <row r="169">
      <c r="J169" s="100"/>
      <c r="K169" s="100"/>
      <c r="L169" s="100"/>
      <c r="M169" s="69"/>
      <c r="N169" s="100"/>
    </row>
    <row r="170">
      <c r="J170" s="100"/>
      <c r="K170" s="100"/>
      <c r="L170" s="100"/>
      <c r="M170" s="69"/>
      <c r="N170" s="100"/>
    </row>
    <row r="171">
      <c r="J171" s="100"/>
      <c r="K171" s="100"/>
      <c r="L171" s="100"/>
      <c r="M171" s="69"/>
      <c r="N171" s="100"/>
    </row>
    <row r="172">
      <c r="J172" s="100"/>
      <c r="K172" s="100"/>
      <c r="L172" s="100"/>
      <c r="M172" s="69"/>
      <c r="N172" s="100"/>
    </row>
    <row r="173">
      <c r="J173" s="100"/>
      <c r="K173" s="100"/>
      <c r="L173" s="100"/>
      <c r="M173" s="69"/>
      <c r="N173" s="100"/>
    </row>
    <row r="174">
      <c r="J174" s="100"/>
      <c r="K174" s="100"/>
      <c r="L174" s="100"/>
      <c r="M174" s="69"/>
      <c r="N174" s="100"/>
    </row>
    <row r="175">
      <c r="J175" s="100"/>
      <c r="K175" s="100"/>
      <c r="L175" s="100"/>
      <c r="M175" s="69"/>
      <c r="N175" s="100"/>
    </row>
    <row r="176">
      <c r="J176" s="100"/>
      <c r="K176" s="100"/>
      <c r="L176" s="100"/>
      <c r="M176" s="69"/>
      <c r="N176" s="100"/>
    </row>
    <row r="177">
      <c r="J177" s="100"/>
      <c r="K177" s="100"/>
      <c r="L177" s="100"/>
      <c r="M177" s="69"/>
      <c r="N177" s="100"/>
    </row>
    <row r="178">
      <c r="J178" s="100"/>
      <c r="K178" s="100"/>
      <c r="L178" s="100"/>
      <c r="M178" s="69"/>
      <c r="N178" s="100"/>
    </row>
    <row r="179">
      <c r="J179" s="100"/>
      <c r="K179" s="100"/>
      <c r="L179" s="100"/>
      <c r="M179" s="69"/>
      <c r="N179" s="100"/>
    </row>
    <row r="180">
      <c r="J180" s="100"/>
      <c r="K180" s="100"/>
      <c r="L180" s="100"/>
      <c r="M180" s="69"/>
      <c r="N180" s="100"/>
    </row>
    <row r="181">
      <c r="J181" s="100"/>
      <c r="K181" s="100"/>
      <c r="L181" s="100"/>
      <c r="M181" s="69"/>
      <c r="N181" s="100"/>
    </row>
    <row r="182">
      <c r="J182" s="100"/>
      <c r="K182" s="100"/>
      <c r="L182" s="100"/>
      <c r="M182" s="69"/>
      <c r="N182" s="100"/>
    </row>
    <row r="183">
      <c r="J183" s="100"/>
      <c r="K183" s="100"/>
      <c r="L183" s="100"/>
      <c r="M183" s="69"/>
      <c r="N183" s="100"/>
    </row>
    <row r="184">
      <c r="J184" s="100"/>
      <c r="K184" s="100"/>
      <c r="L184" s="100"/>
      <c r="M184" s="69"/>
      <c r="N184" s="100"/>
    </row>
    <row r="185">
      <c r="J185" s="100"/>
      <c r="K185" s="100"/>
      <c r="L185" s="100"/>
      <c r="M185" s="69"/>
      <c r="N185" s="100"/>
    </row>
    <row r="186">
      <c r="J186" s="100"/>
      <c r="K186" s="100"/>
      <c r="L186" s="100"/>
      <c r="M186" s="69"/>
      <c r="N186" s="100"/>
    </row>
    <row r="187">
      <c r="J187" s="100"/>
      <c r="K187" s="100"/>
      <c r="L187" s="100"/>
      <c r="M187" s="69"/>
      <c r="N187" s="100"/>
    </row>
    <row r="188">
      <c r="J188" s="100"/>
      <c r="K188" s="100"/>
      <c r="L188" s="100"/>
      <c r="M188" s="69"/>
      <c r="N188" s="100"/>
    </row>
    <row r="189">
      <c r="J189" s="100"/>
      <c r="K189" s="100"/>
      <c r="L189" s="100"/>
      <c r="M189" s="69"/>
      <c r="N189" s="100"/>
    </row>
    <row r="190">
      <c r="J190" s="100"/>
      <c r="K190" s="100"/>
      <c r="L190" s="100"/>
      <c r="M190" s="69"/>
      <c r="N190" s="100"/>
    </row>
    <row r="191">
      <c r="J191" s="100"/>
      <c r="K191" s="100"/>
      <c r="L191" s="100"/>
      <c r="M191" s="69"/>
      <c r="N191" s="100"/>
    </row>
    <row r="192">
      <c r="J192" s="100"/>
      <c r="K192" s="100"/>
      <c r="L192" s="100"/>
      <c r="M192" s="69"/>
      <c r="N192" s="100"/>
    </row>
    <row r="193">
      <c r="J193" s="100"/>
      <c r="K193" s="100"/>
      <c r="L193" s="100"/>
      <c r="M193" s="69"/>
      <c r="N193" s="100"/>
    </row>
    <row r="194">
      <c r="J194" s="100"/>
      <c r="K194" s="100"/>
      <c r="L194" s="100"/>
      <c r="M194" s="69"/>
      <c r="N194" s="100"/>
    </row>
    <row r="195">
      <c r="J195" s="100"/>
      <c r="K195" s="100"/>
      <c r="L195" s="100"/>
      <c r="M195" s="69"/>
      <c r="N195" s="100"/>
    </row>
    <row r="196">
      <c r="J196" s="100"/>
      <c r="K196" s="100"/>
      <c r="L196" s="100"/>
      <c r="M196" s="69"/>
      <c r="N196" s="100"/>
    </row>
    <row r="197">
      <c r="J197" s="100"/>
      <c r="K197" s="100"/>
      <c r="L197" s="100"/>
      <c r="M197" s="69"/>
      <c r="N197" s="100"/>
    </row>
    <row r="198">
      <c r="J198" s="100"/>
      <c r="K198" s="100"/>
      <c r="L198" s="100"/>
      <c r="M198" s="69"/>
      <c r="N198" s="100"/>
    </row>
    <row r="199">
      <c r="J199" s="100"/>
      <c r="K199" s="100"/>
      <c r="L199" s="100"/>
      <c r="M199" s="69"/>
      <c r="N199" s="100"/>
    </row>
    <row r="200">
      <c r="J200" s="100"/>
      <c r="K200" s="100"/>
      <c r="L200" s="100"/>
      <c r="M200" s="69"/>
      <c r="N200" s="100"/>
    </row>
    <row r="201">
      <c r="J201" s="100"/>
      <c r="K201" s="100"/>
      <c r="L201" s="100"/>
      <c r="M201" s="69"/>
      <c r="N201" s="100"/>
    </row>
    <row r="202">
      <c r="J202" s="100"/>
      <c r="K202" s="100"/>
      <c r="L202" s="100"/>
      <c r="M202" s="69"/>
      <c r="N202" s="100"/>
    </row>
    <row r="203">
      <c r="J203" s="100"/>
      <c r="K203" s="100"/>
      <c r="L203" s="100"/>
      <c r="M203" s="69"/>
      <c r="N203" s="100"/>
    </row>
    <row r="204">
      <c r="J204" s="100"/>
      <c r="K204" s="100"/>
      <c r="L204" s="100"/>
      <c r="M204" s="69"/>
      <c r="N204" s="100"/>
    </row>
    <row r="205">
      <c r="J205" s="100"/>
      <c r="K205" s="100"/>
      <c r="L205" s="100"/>
      <c r="M205" s="69"/>
      <c r="N205" s="100"/>
    </row>
    <row r="206">
      <c r="J206" s="100"/>
      <c r="K206" s="100"/>
      <c r="L206" s="100"/>
      <c r="M206" s="69"/>
      <c r="N206" s="100"/>
    </row>
    <row r="207">
      <c r="J207" s="100"/>
      <c r="K207" s="100"/>
      <c r="L207" s="100"/>
      <c r="M207" s="69"/>
      <c r="N207" s="100"/>
    </row>
    <row r="208">
      <c r="J208" s="100"/>
      <c r="K208" s="100"/>
      <c r="L208" s="100"/>
      <c r="M208" s="69"/>
      <c r="N208" s="100"/>
    </row>
    <row r="209">
      <c r="J209" s="100"/>
      <c r="K209" s="100"/>
      <c r="L209" s="100"/>
      <c r="M209" s="69"/>
      <c r="N209" s="100"/>
    </row>
    <row r="210">
      <c r="J210" s="100"/>
      <c r="K210" s="100"/>
      <c r="L210" s="100"/>
      <c r="M210" s="69"/>
      <c r="N210" s="100"/>
    </row>
    <row r="211">
      <c r="J211" s="100"/>
      <c r="K211" s="100"/>
      <c r="L211" s="100"/>
      <c r="M211" s="69"/>
      <c r="N211" s="100"/>
    </row>
    <row r="212">
      <c r="J212" s="100"/>
      <c r="K212" s="100"/>
      <c r="L212" s="100"/>
      <c r="M212" s="69"/>
      <c r="N212" s="100"/>
    </row>
    <row r="213">
      <c r="J213" s="100"/>
      <c r="K213" s="100"/>
      <c r="L213" s="100"/>
      <c r="M213" s="69"/>
      <c r="N213" s="100"/>
    </row>
    <row r="214">
      <c r="J214" s="100"/>
      <c r="K214" s="100"/>
      <c r="L214" s="100"/>
      <c r="M214" s="69"/>
      <c r="N214" s="100"/>
    </row>
    <row r="215">
      <c r="J215" s="100"/>
      <c r="K215" s="100"/>
      <c r="L215" s="100"/>
      <c r="M215" s="69"/>
      <c r="N215" s="100"/>
    </row>
    <row r="216">
      <c r="J216" s="100"/>
      <c r="K216" s="100"/>
      <c r="L216" s="100"/>
      <c r="M216" s="69"/>
      <c r="N216" s="100"/>
    </row>
    <row r="217">
      <c r="J217" s="100"/>
      <c r="K217" s="100"/>
      <c r="L217" s="100"/>
      <c r="M217" s="69"/>
      <c r="N217" s="100"/>
    </row>
    <row r="218">
      <c r="J218" s="100"/>
      <c r="K218" s="100"/>
      <c r="L218" s="100"/>
      <c r="M218" s="69"/>
      <c r="N218" s="100"/>
    </row>
    <row r="219">
      <c r="J219" s="100"/>
      <c r="K219" s="100"/>
      <c r="L219" s="100"/>
      <c r="M219" s="69"/>
      <c r="N219" s="100"/>
    </row>
    <row r="220">
      <c r="J220" s="100"/>
      <c r="K220" s="100"/>
      <c r="L220" s="100"/>
      <c r="M220" s="69"/>
      <c r="N220" s="100"/>
    </row>
    <row r="221">
      <c r="J221" s="100"/>
      <c r="K221" s="100"/>
      <c r="L221" s="100"/>
      <c r="M221" s="69"/>
      <c r="N221" s="100"/>
    </row>
    <row r="222">
      <c r="J222" s="100"/>
      <c r="K222" s="100"/>
      <c r="L222" s="100"/>
      <c r="M222" s="69"/>
      <c r="N222" s="100"/>
    </row>
    <row r="223">
      <c r="J223" s="100"/>
      <c r="K223" s="100"/>
      <c r="L223" s="100"/>
      <c r="M223" s="69"/>
      <c r="N223" s="100"/>
    </row>
    <row r="224">
      <c r="J224" s="100"/>
      <c r="K224" s="100"/>
      <c r="L224" s="100"/>
      <c r="M224" s="69"/>
      <c r="N224" s="100"/>
    </row>
    <row r="225">
      <c r="J225" s="100"/>
      <c r="K225" s="100"/>
      <c r="L225" s="100"/>
      <c r="M225" s="69"/>
      <c r="N225" s="100"/>
    </row>
    <row r="226">
      <c r="J226" s="100"/>
      <c r="K226" s="100"/>
      <c r="L226" s="100"/>
      <c r="M226" s="69"/>
      <c r="N226" s="100"/>
    </row>
    <row r="227">
      <c r="J227" s="100"/>
      <c r="K227" s="100"/>
      <c r="L227" s="100"/>
      <c r="M227" s="69"/>
      <c r="N227" s="100"/>
    </row>
    <row r="228">
      <c r="J228" s="100"/>
      <c r="K228" s="100"/>
      <c r="L228" s="100"/>
      <c r="M228" s="69"/>
      <c r="N228" s="100"/>
    </row>
    <row r="229">
      <c r="J229" s="100"/>
      <c r="K229" s="100"/>
      <c r="L229" s="100"/>
      <c r="M229" s="69"/>
      <c r="N229" s="100"/>
    </row>
    <row r="230">
      <c r="J230" s="100"/>
      <c r="K230" s="100"/>
      <c r="L230" s="100"/>
      <c r="M230" s="69"/>
      <c r="N230" s="100"/>
    </row>
    <row r="231">
      <c r="J231" s="100"/>
      <c r="K231" s="100"/>
      <c r="L231" s="100"/>
      <c r="M231" s="69"/>
      <c r="N231" s="100"/>
    </row>
    <row r="232">
      <c r="J232" s="100"/>
      <c r="K232" s="100"/>
      <c r="L232" s="100"/>
      <c r="M232" s="69"/>
      <c r="N232" s="100"/>
    </row>
    <row r="233">
      <c r="J233" s="100"/>
      <c r="K233" s="100"/>
      <c r="L233" s="100"/>
      <c r="M233" s="69"/>
      <c r="N233" s="100"/>
    </row>
    <row r="234">
      <c r="J234" s="100"/>
      <c r="K234" s="100"/>
      <c r="L234" s="100"/>
      <c r="M234" s="69"/>
      <c r="N234" s="100"/>
    </row>
    <row r="235">
      <c r="J235" s="100"/>
      <c r="K235" s="100"/>
      <c r="L235" s="100"/>
      <c r="M235" s="69"/>
      <c r="N235" s="100"/>
    </row>
    <row r="236">
      <c r="J236" s="100"/>
      <c r="K236" s="100"/>
      <c r="L236" s="100"/>
      <c r="M236" s="69"/>
      <c r="N236" s="100"/>
    </row>
    <row r="237">
      <c r="J237" s="100"/>
      <c r="K237" s="100"/>
      <c r="L237" s="100"/>
      <c r="M237" s="69"/>
      <c r="N237" s="100"/>
    </row>
    <row r="238">
      <c r="J238" s="100"/>
      <c r="K238" s="100"/>
      <c r="L238" s="100"/>
      <c r="M238" s="69"/>
      <c r="N238" s="100"/>
    </row>
    <row r="239">
      <c r="J239" s="100"/>
      <c r="K239" s="100"/>
      <c r="L239" s="100"/>
      <c r="M239" s="69"/>
      <c r="N239" s="100"/>
    </row>
    <row r="240">
      <c r="J240" s="100"/>
      <c r="K240" s="100"/>
      <c r="L240" s="100"/>
      <c r="M240" s="69"/>
      <c r="N240" s="100"/>
    </row>
    <row r="241">
      <c r="J241" s="100"/>
      <c r="K241" s="100"/>
      <c r="L241" s="100"/>
      <c r="M241" s="69"/>
      <c r="N241" s="100"/>
    </row>
    <row r="242">
      <c r="J242" s="100"/>
      <c r="K242" s="100"/>
      <c r="L242" s="100"/>
      <c r="M242" s="69"/>
      <c r="N242" s="100"/>
    </row>
    <row r="243">
      <c r="J243" s="100"/>
      <c r="K243" s="100"/>
      <c r="L243" s="100"/>
      <c r="M243" s="69"/>
      <c r="N243" s="100"/>
    </row>
    <row r="244">
      <c r="J244" s="100"/>
      <c r="K244" s="100"/>
      <c r="L244" s="100"/>
      <c r="M244" s="69"/>
      <c r="N244" s="100"/>
    </row>
    <row r="245">
      <c r="J245" s="100"/>
      <c r="K245" s="100"/>
      <c r="L245" s="100"/>
      <c r="M245" s="69"/>
      <c r="N245" s="100"/>
    </row>
    <row r="246">
      <c r="J246" s="100"/>
      <c r="K246" s="100"/>
      <c r="L246" s="100"/>
      <c r="M246" s="69"/>
      <c r="N246" s="100"/>
    </row>
    <row r="247">
      <c r="J247" s="100"/>
      <c r="K247" s="100"/>
      <c r="L247" s="100"/>
      <c r="M247" s="69"/>
      <c r="N247" s="100"/>
    </row>
    <row r="248">
      <c r="J248" s="100"/>
      <c r="K248" s="100"/>
      <c r="L248" s="100"/>
      <c r="M248" s="69"/>
      <c r="N248" s="100"/>
    </row>
    <row r="249">
      <c r="J249" s="100"/>
      <c r="K249" s="100"/>
      <c r="L249" s="100"/>
      <c r="M249" s="69"/>
      <c r="N249" s="100"/>
    </row>
    <row r="250">
      <c r="J250" s="100"/>
      <c r="K250" s="100"/>
      <c r="L250" s="100"/>
      <c r="M250" s="69"/>
      <c r="N250" s="100"/>
    </row>
    <row r="251">
      <c r="J251" s="100"/>
      <c r="K251" s="100"/>
      <c r="L251" s="100"/>
      <c r="M251" s="69"/>
      <c r="N251" s="100"/>
    </row>
    <row r="252">
      <c r="J252" s="100"/>
      <c r="K252" s="100"/>
      <c r="L252" s="100"/>
      <c r="M252" s="69"/>
      <c r="N252" s="100"/>
    </row>
    <row r="253">
      <c r="J253" s="100"/>
      <c r="K253" s="100"/>
      <c r="L253" s="100"/>
      <c r="M253" s="69"/>
      <c r="N253" s="100"/>
    </row>
    <row r="254">
      <c r="J254" s="100"/>
      <c r="K254" s="100"/>
      <c r="L254" s="100"/>
      <c r="M254" s="69"/>
      <c r="N254" s="100"/>
    </row>
    <row r="255">
      <c r="J255" s="100"/>
      <c r="K255" s="100"/>
      <c r="L255" s="100"/>
      <c r="M255" s="69"/>
      <c r="N255" s="100"/>
    </row>
    <row r="256">
      <c r="J256" s="100"/>
      <c r="K256" s="100"/>
      <c r="L256" s="100"/>
      <c r="M256" s="69"/>
      <c r="N256" s="100"/>
    </row>
    <row r="257">
      <c r="J257" s="100"/>
      <c r="K257" s="100"/>
      <c r="L257" s="100"/>
      <c r="M257" s="69"/>
      <c r="N257" s="100"/>
    </row>
    <row r="258">
      <c r="J258" s="100"/>
      <c r="K258" s="100"/>
      <c r="L258" s="100"/>
      <c r="M258" s="69"/>
      <c r="N258" s="100"/>
    </row>
    <row r="259">
      <c r="J259" s="100"/>
      <c r="K259" s="100"/>
      <c r="L259" s="100"/>
      <c r="M259" s="69"/>
      <c r="N259" s="100"/>
    </row>
    <row r="260">
      <c r="J260" s="100"/>
      <c r="K260" s="100"/>
      <c r="L260" s="100"/>
      <c r="M260" s="69"/>
      <c r="N260" s="100"/>
    </row>
    <row r="261">
      <c r="J261" s="100"/>
      <c r="K261" s="100"/>
      <c r="L261" s="100"/>
      <c r="M261" s="69"/>
      <c r="N261" s="100"/>
    </row>
    <row r="262">
      <c r="J262" s="100"/>
      <c r="K262" s="100"/>
      <c r="L262" s="100"/>
      <c r="M262" s="69"/>
      <c r="N262" s="100"/>
    </row>
    <row r="263">
      <c r="J263" s="100"/>
      <c r="K263" s="100"/>
      <c r="L263" s="100"/>
      <c r="M263" s="69"/>
      <c r="N263" s="100"/>
    </row>
    <row r="264">
      <c r="J264" s="100"/>
      <c r="K264" s="100"/>
      <c r="L264" s="100"/>
      <c r="M264" s="69"/>
      <c r="N264" s="100"/>
    </row>
    <row r="265">
      <c r="J265" s="100"/>
      <c r="K265" s="100"/>
      <c r="L265" s="100"/>
      <c r="M265" s="69"/>
      <c r="N265" s="100"/>
    </row>
    <row r="266">
      <c r="J266" s="100"/>
      <c r="K266" s="100"/>
      <c r="L266" s="100"/>
      <c r="M266" s="69"/>
      <c r="N266" s="100"/>
    </row>
    <row r="267">
      <c r="J267" s="100"/>
      <c r="K267" s="100"/>
      <c r="L267" s="100"/>
      <c r="M267" s="69"/>
      <c r="N267" s="100"/>
    </row>
    <row r="268">
      <c r="J268" s="100"/>
      <c r="K268" s="100"/>
      <c r="L268" s="100"/>
      <c r="M268" s="69"/>
      <c r="N268" s="100"/>
    </row>
    <row r="269">
      <c r="J269" s="100"/>
      <c r="K269" s="100"/>
      <c r="L269" s="100"/>
      <c r="M269" s="69"/>
      <c r="N269" s="100"/>
    </row>
    <row r="270">
      <c r="J270" s="100"/>
      <c r="K270" s="100"/>
      <c r="L270" s="100"/>
      <c r="M270" s="69"/>
      <c r="N270" s="100"/>
    </row>
    <row r="271">
      <c r="J271" s="100"/>
      <c r="K271" s="100"/>
      <c r="L271" s="100"/>
      <c r="M271" s="69"/>
      <c r="N271" s="100"/>
    </row>
    <row r="272">
      <c r="J272" s="100"/>
      <c r="K272" s="100"/>
      <c r="L272" s="100"/>
      <c r="M272" s="69"/>
      <c r="N272" s="100"/>
    </row>
    <row r="273">
      <c r="J273" s="100"/>
      <c r="K273" s="100"/>
      <c r="L273" s="100"/>
      <c r="M273" s="69"/>
      <c r="N273" s="100"/>
    </row>
    <row r="274">
      <c r="J274" s="100"/>
      <c r="K274" s="100"/>
      <c r="L274" s="100"/>
      <c r="M274" s="69"/>
      <c r="N274" s="100"/>
    </row>
    <row r="275">
      <c r="J275" s="100"/>
      <c r="K275" s="100"/>
      <c r="L275" s="100"/>
      <c r="M275" s="69"/>
      <c r="N275" s="100"/>
    </row>
    <row r="276">
      <c r="J276" s="100"/>
      <c r="K276" s="100"/>
      <c r="L276" s="100"/>
      <c r="M276" s="69"/>
      <c r="N276" s="100"/>
    </row>
    <row r="277">
      <c r="J277" s="100"/>
      <c r="K277" s="100"/>
      <c r="L277" s="100"/>
      <c r="M277" s="69"/>
      <c r="N277" s="100"/>
    </row>
    <row r="278">
      <c r="J278" s="100"/>
      <c r="K278" s="100"/>
      <c r="L278" s="100"/>
      <c r="M278" s="69"/>
      <c r="N278" s="100"/>
    </row>
    <row r="279">
      <c r="J279" s="100"/>
      <c r="K279" s="100"/>
      <c r="L279" s="100"/>
      <c r="M279" s="69"/>
      <c r="N279" s="100"/>
    </row>
    <row r="280">
      <c r="J280" s="100"/>
      <c r="K280" s="100"/>
      <c r="L280" s="100"/>
      <c r="M280" s="69"/>
      <c r="N280" s="100"/>
    </row>
    <row r="281">
      <c r="J281" s="100"/>
      <c r="K281" s="100"/>
      <c r="L281" s="100"/>
      <c r="M281" s="69"/>
      <c r="N281" s="100"/>
    </row>
    <row r="282">
      <c r="J282" s="100"/>
      <c r="K282" s="100"/>
      <c r="L282" s="100"/>
      <c r="M282" s="69"/>
      <c r="N282" s="100"/>
    </row>
    <row r="283">
      <c r="J283" s="100"/>
      <c r="K283" s="100"/>
      <c r="L283" s="100"/>
      <c r="M283" s="69"/>
      <c r="N283" s="100"/>
    </row>
    <row r="284">
      <c r="J284" s="100"/>
      <c r="K284" s="100"/>
      <c r="L284" s="100"/>
      <c r="M284" s="69"/>
      <c r="N284" s="100"/>
    </row>
    <row r="285">
      <c r="J285" s="100"/>
      <c r="K285" s="100"/>
      <c r="L285" s="100"/>
      <c r="M285" s="69"/>
      <c r="N285" s="100"/>
    </row>
    <row r="286">
      <c r="J286" s="100"/>
      <c r="K286" s="100"/>
      <c r="L286" s="100"/>
      <c r="M286" s="69"/>
      <c r="N286" s="100"/>
    </row>
    <row r="287">
      <c r="J287" s="100"/>
      <c r="K287" s="100"/>
      <c r="L287" s="100"/>
      <c r="M287" s="69"/>
      <c r="N287" s="100"/>
    </row>
    <row r="288">
      <c r="J288" s="100"/>
      <c r="K288" s="100"/>
      <c r="L288" s="100"/>
      <c r="M288" s="69"/>
      <c r="N288" s="100"/>
    </row>
    <row r="289">
      <c r="J289" s="100"/>
      <c r="K289" s="100"/>
      <c r="L289" s="100"/>
      <c r="M289" s="69"/>
      <c r="N289" s="100"/>
    </row>
    <row r="290">
      <c r="J290" s="100"/>
      <c r="K290" s="100"/>
      <c r="L290" s="100"/>
      <c r="M290" s="69"/>
      <c r="N290" s="100"/>
    </row>
    <row r="291">
      <c r="J291" s="100"/>
      <c r="K291" s="100"/>
      <c r="L291" s="100"/>
      <c r="M291" s="69"/>
      <c r="N291" s="100"/>
    </row>
    <row r="292">
      <c r="J292" s="100"/>
      <c r="K292" s="100"/>
      <c r="L292" s="100"/>
      <c r="M292" s="69"/>
      <c r="N292" s="100"/>
    </row>
    <row r="293">
      <c r="J293" s="100"/>
      <c r="K293" s="100"/>
      <c r="L293" s="100"/>
      <c r="M293" s="69"/>
      <c r="N293" s="100"/>
    </row>
    <row r="294">
      <c r="J294" s="100"/>
      <c r="K294" s="100"/>
      <c r="L294" s="100"/>
      <c r="M294" s="69"/>
      <c r="N294" s="100"/>
    </row>
    <row r="295">
      <c r="J295" s="100"/>
      <c r="K295" s="100"/>
      <c r="L295" s="100"/>
      <c r="M295" s="69"/>
      <c r="N295" s="100"/>
    </row>
    <row r="296">
      <c r="J296" s="100"/>
      <c r="K296" s="100"/>
      <c r="L296" s="100"/>
      <c r="M296" s="69"/>
      <c r="N296" s="100"/>
    </row>
    <row r="297">
      <c r="J297" s="100"/>
      <c r="K297" s="100"/>
      <c r="L297" s="100"/>
      <c r="M297" s="69"/>
      <c r="N297" s="100"/>
    </row>
    <row r="298">
      <c r="J298" s="100"/>
      <c r="K298" s="100"/>
      <c r="L298" s="100"/>
      <c r="M298" s="69"/>
      <c r="N298" s="100"/>
    </row>
    <row r="299">
      <c r="J299" s="100"/>
      <c r="K299" s="100"/>
      <c r="L299" s="100"/>
      <c r="M299" s="69"/>
      <c r="N299" s="100"/>
    </row>
    <row r="300">
      <c r="J300" s="100"/>
      <c r="K300" s="100"/>
      <c r="L300" s="100"/>
      <c r="M300" s="69"/>
      <c r="N300" s="100"/>
    </row>
    <row r="301">
      <c r="J301" s="100"/>
      <c r="K301" s="100"/>
      <c r="L301" s="100"/>
      <c r="M301" s="69"/>
      <c r="N301" s="100"/>
    </row>
    <row r="302">
      <c r="J302" s="100"/>
      <c r="K302" s="100"/>
      <c r="L302" s="100"/>
      <c r="M302" s="69"/>
      <c r="N302" s="100"/>
    </row>
    <row r="303">
      <c r="J303" s="100"/>
      <c r="K303" s="100"/>
      <c r="L303" s="100"/>
      <c r="M303" s="69"/>
      <c r="N303" s="100"/>
    </row>
    <row r="304">
      <c r="J304" s="100"/>
      <c r="K304" s="100"/>
      <c r="L304" s="100"/>
      <c r="M304" s="69"/>
      <c r="N304" s="100"/>
    </row>
    <row r="305">
      <c r="J305" s="100"/>
      <c r="K305" s="100"/>
      <c r="L305" s="100"/>
      <c r="M305" s="69"/>
      <c r="N305" s="100"/>
    </row>
    <row r="306">
      <c r="J306" s="100"/>
      <c r="K306" s="100"/>
      <c r="L306" s="100"/>
      <c r="M306" s="69"/>
      <c r="N306" s="100"/>
    </row>
    <row r="307">
      <c r="J307" s="100"/>
      <c r="K307" s="100"/>
      <c r="L307" s="100"/>
      <c r="M307" s="69"/>
      <c r="N307" s="100"/>
    </row>
    <row r="308">
      <c r="J308" s="100"/>
      <c r="K308" s="100"/>
      <c r="L308" s="100"/>
      <c r="M308" s="69"/>
      <c r="N308" s="100"/>
    </row>
    <row r="309">
      <c r="J309" s="100"/>
      <c r="K309" s="100"/>
      <c r="L309" s="100"/>
      <c r="M309" s="69"/>
      <c r="N309" s="100"/>
    </row>
    <row r="310">
      <c r="J310" s="100"/>
      <c r="K310" s="100"/>
      <c r="L310" s="100"/>
      <c r="M310" s="69"/>
      <c r="N310" s="100"/>
    </row>
    <row r="311">
      <c r="J311" s="100"/>
      <c r="K311" s="100"/>
      <c r="L311" s="100"/>
      <c r="M311" s="69"/>
      <c r="N311" s="100"/>
    </row>
    <row r="312">
      <c r="J312" s="100"/>
      <c r="K312" s="100"/>
      <c r="L312" s="100"/>
      <c r="M312" s="69"/>
      <c r="N312" s="100"/>
    </row>
    <row r="313">
      <c r="J313" s="100"/>
      <c r="K313" s="100"/>
      <c r="L313" s="100"/>
      <c r="M313" s="69"/>
      <c r="N313" s="100"/>
    </row>
    <row r="314">
      <c r="J314" s="100"/>
      <c r="K314" s="100"/>
      <c r="L314" s="100"/>
      <c r="M314" s="69"/>
      <c r="N314" s="100"/>
    </row>
    <row r="315">
      <c r="J315" s="100"/>
      <c r="K315" s="100"/>
      <c r="L315" s="100"/>
      <c r="M315" s="69"/>
      <c r="N315" s="100"/>
    </row>
    <row r="316">
      <c r="J316" s="100"/>
      <c r="K316" s="100"/>
      <c r="L316" s="100"/>
      <c r="M316" s="69"/>
      <c r="N316" s="100"/>
    </row>
    <row r="317">
      <c r="J317" s="100"/>
      <c r="K317" s="100"/>
      <c r="L317" s="100"/>
      <c r="M317" s="69"/>
      <c r="N317" s="100"/>
    </row>
    <row r="318">
      <c r="J318" s="100"/>
      <c r="K318" s="100"/>
      <c r="L318" s="100"/>
      <c r="M318" s="69"/>
      <c r="N318" s="100"/>
    </row>
    <row r="319">
      <c r="J319" s="100"/>
      <c r="K319" s="100"/>
      <c r="L319" s="100"/>
      <c r="M319" s="69"/>
      <c r="N319" s="100"/>
    </row>
    <row r="320">
      <c r="J320" s="100"/>
      <c r="K320" s="100"/>
      <c r="L320" s="100"/>
      <c r="M320" s="69"/>
      <c r="N320" s="100"/>
    </row>
    <row r="321">
      <c r="J321" s="100"/>
      <c r="K321" s="100"/>
      <c r="L321" s="100"/>
      <c r="M321" s="69"/>
      <c r="N321" s="100"/>
    </row>
    <row r="322">
      <c r="J322" s="100"/>
      <c r="K322" s="100"/>
      <c r="L322" s="100"/>
      <c r="M322" s="69"/>
      <c r="N322" s="100"/>
    </row>
    <row r="323">
      <c r="J323" s="100"/>
      <c r="K323" s="100"/>
      <c r="L323" s="100"/>
      <c r="M323" s="69"/>
      <c r="N323" s="100"/>
    </row>
    <row r="324">
      <c r="J324" s="100"/>
      <c r="K324" s="100"/>
      <c r="L324" s="100"/>
      <c r="M324" s="69"/>
      <c r="N324" s="100"/>
    </row>
    <row r="325">
      <c r="J325" s="100"/>
      <c r="K325" s="100"/>
      <c r="L325" s="100"/>
      <c r="M325" s="69"/>
      <c r="N325" s="100"/>
    </row>
    <row r="326">
      <c r="J326" s="100"/>
      <c r="K326" s="100"/>
      <c r="L326" s="100"/>
      <c r="M326" s="69"/>
      <c r="N326" s="100"/>
    </row>
    <row r="327">
      <c r="J327" s="100"/>
      <c r="K327" s="100"/>
      <c r="L327" s="100"/>
      <c r="M327" s="69"/>
      <c r="N327" s="100"/>
    </row>
    <row r="328">
      <c r="J328" s="100"/>
      <c r="K328" s="100"/>
      <c r="L328" s="100"/>
      <c r="M328" s="69"/>
      <c r="N328" s="100"/>
    </row>
    <row r="329">
      <c r="J329" s="100"/>
      <c r="K329" s="100"/>
      <c r="L329" s="100"/>
      <c r="M329" s="69"/>
      <c r="N329" s="100"/>
    </row>
    <row r="330">
      <c r="J330" s="100"/>
      <c r="K330" s="100"/>
      <c r="L330" s="100"/>
      <c r="M330" s="69"/>
      <c r="N330" s="100"/>
    </row>
    <row r="331">
      <c r="J331" s="100"/>
      <c r="K331" s="100"/>
      <c r="L331" s="100"/>
      <c r="M331" s="69"/>
      <c r="N331" s="100"/>
    </row>
    <row r="332">
      <c r="J332" s="100"/>
      <c r="K332" s="100"/>
      <c r="L332" s="100"/>
      <c r="M332" s="69"/>
      <c r="N332" s="100"/>
    </row>
    <row r="333">
      <c r="J333" s="100"/>
      <c r="K333" s="100"/>
      <c r="L333" s="100"/>
      <c r="M333" s="69"/>
      <c r="N333" s="100"/>
    </row>
    <row r="334">
      <c r="J334" s="100"/>
      <c r="K334" s="100"/>
      <c r="L334" s="100"/>
      <c r="M334" s="69"/>
      <c r="N334" s="100"/>
    </row>
    <row r="335">
      <c r="J335" s="100"/>
      <c r="K335" s="100"/>
      <c r="L335" s="100"/>
      <c r="M335" s="69"/>
      <c r="N335" s="100"/>
    </row>
    <row r="336">
      <c r="J336" s="100"/>
      <c r="K336" s="100"/>
      <c r="L336" s="100"/>
      <c r="M336" s="69"/>
      <c r="N336" s="100"/>
    </row>
    <row r="337">
      <c r="J337" s="100"/>
      <c r="K337" s="100"/>
      <c r="L337" s="100"/>
      <c r="M337" s="69"/>
      <c r="N337" s="100"/>
    </row>
    <row r="338">
      <c r="J338" s="100"/>
      <c r="K338" s="100"/>
      <c r="L338" s="100"/>
      <c r="M338" s="69"/>
      <c r="N338" s="100"/>
    </row>
    <row r="339">
      <c r="J339" s="100"/>
      <c r="K339" s="100"/>
      <c r="L339" s="100"/>
      <c r="M339" s="69"/>
      <c r="N339" s="100"/>
    </row>
    <row r="340">
      <c r="J340" s="100"/>
      <c r="K340" s="100"/>
      <c r="L340" s="100"/>
      <c r="M340" s="69"/>
      <c r="N340" s="100"/>
    </row>
    <row r="341">
      <c r="J341" s="100"/>
      <c r="K341" s="100"/>
      <c r="L341" s="100"/>
      <c r="M341" s="69"/>
      <c r="N341" s="100"/>
    </row>
    <row r="342">
      <c r="J342" s="100"/>
      <c r="K342" s="100"/>
      <c r="L342" s="100"/>
      <c r="M342" s="69"/>
      <c r="N342" s="100"/>
    </row>
    <row r="343">
      <c r="J343" s="100"/>
      <c r="K343" s="100"/>
      <c r="L343" s="100"/>
      <c r="M343" s="69"/>
      <c r="N343" s="100"/>
    </row>
    <row r="344">
      <c r="J344" s="100"/>
      <c r="K344" s="100"/>
      <c r="L344" s="100"/>
      <c r="M344" s="69"/>
      <c r="N344" s="100"/>
    </row>
    <row r="345">
      <c r="J345" s="100"/>
      <c r="K345" s="100"/>
      <c r="L345" s="100"/>
      <c r="M345" s="69"/>
      <c r="N345" s="100"/>
    </row>
    <row r="346">
      <c r="J346" s="100"/>
      <c r="K346" s="100"/>
      <c r="L346" s="100"/>
      <c r="M346" s="69"/>
      <c r="N346" s="100"/>
    </row>
    <row r="347">
      <c r="J347" s="100"/>
      <c r="K347" s="100"/>
      <c r="L347" s="100"/>
      <c r="M347" s="69"/>
      <c r="N347" s="100"/>
    </row>
    <row r="348">
      <c r="J348" s="100"/>
      <c r="K348" s="100"/>
      <c r="L348" s="100"/>
      <c r="M348" s="69"/>
      <c r="N348" s="100"/>
    </row>
    <row r="349">
      <c r="J349" s="100"/>
      <c r="K349" s="100"/>
      <c r="L349" s="100"/>
      <c r="M349" s="69"/>
      <c r="N349" s="100"/>
    </row>
    <row r="350">
      <c r="J350" s="100"/>
      <c r="K350" s="100"/>
      <c r="L350" s="100"/>
      <c r="M350" s="69"/>
      <c r="N350" s="100"/>
    </row>
    <row r="351">
      <c r="J351" s="100"/>
      <c r="K351" s="100"/>
      <c r="L351" s="100"/>
      <c r="M351" s="69"/>
      <c r="N351" s="100"/>
    </row>
    <row r="352">
      <c r="J352" s="100"/>
      <c r="K352" s="100"/>
      <c r="L352" s="100"/>
      <c r="M352" s="69"/>
      <c r="N352" s="100"/>
    </row>
    <row r="353">
      <c r="J353" s="100"/>
      <c r="K353" s="100"/>
      <c r="L353" s="100"/>
      <c r="M353" s="69"/>
      <c r="N353" s="100"/>
    </row>
    <row r="354">
      <c r="J354" s="100"/>
      <c r="K354" s="100"/>
      <c r="L354" s="100"/>
      <c r="M354" s="69"/>
      <c r="N354" s="100"/>
    </row>
    <row r="355">
      <c r="J355" s="100"/>
      <c r="K355" s="100"/>
      <c r="L355" s="100"/>
      <c r="M355" s="69"/>
      <c r="N355" s="100"/>
    </row>
    <row r="356">
      <c r="J356" s="100"/>
      <c r="K356" s="100"/>
      <c r="L356" s="100"/>
      <c r="M356" s="69"/>
      <c r="N356" s="100"/>
    </row>
    <row r="357">
      <c r="J357" s="100"/>
      <c r="K357" s="100"/>
      <c r="L357" s="100"/>
      <c r="M357" s="69"/>
      <c r="N357" s="100"/>
    </row>
    <row r="358">
      <c r="J358" s="100"/>
      <c r="K358" s="100"/>
      <c r="L358" s="100"/>
      <c r="M358" s="69"/>
      <c r="N358" s="100"/>
    </row>
    <row r="359">
      <c r="J359" s="100"/>
      <c r="K359" s="100"/>
      <c r="L359" s="100"/>
      <c r="M359" s="69"/>
      <c r="N359" s="100"/>
    </row>
    <row r="360">
      <c r="J360" s="100"/>
      <c r="K360" s="100"/>
      <c r="L360" s="100"/>
      <c r="M360" s="69"/>
      <c r="N360" s="100"/>
    </row>
    <row r="361">
      <c r="J361" s="100"/>
      <c r="K361" s="100"/>
      <c r="L361" s="100"/>
      <c r="M361" s="69"/>
      <c r="N361" s="100"/>
    </row>
    <row r="362">
      <c r="J362" s="100"/>
      <c r="K362" s="100"/>
      <c r="L362" s="100"/>
      <c r="M362" s="69"/>
      <c r="N362" s="100"/>
    </row>
    <row r="363">
      <c r="J363" s="100"/>
      <c r="K363" s="100"/>
      <c r="L363" s="100"/>
      <c r="M363" s="69"/>
      <c r="N363" s="100"/>
    </row>
    <row r="364">
      <c r="J364" s="100"/>
      <c r="K364" s="100"/>
      <c r="L364" s="100"/>
      <c r="M364" s="69"/>
      <c r="N364" s="100"/>
    </row>
    <row r="365">
      <c r="J365" s="100"/>
      <c r="K365" s="100"/>
      <c r="L365" s="100"/>
      <c r="M365" s="69"/>
      <c r="N365" s="100"/>
    </row>
    <row r="366">
      <c r="J366" s="100"/>
      <c r="K366" s="100"/>
      <c r="L366" s="100"/>
      <c r="M366" s="69"/>
      <c r="N366" s="100"/>
    </row>
    <row r="367">
      <c r="J367" s="100"/>
      <c r="K367" s="100"/>
      <c r="L367" s="100"/>
      <c r="M367" s="69"/>
      <c r="N367" s="100"/>
    </row>
    <row r="368">
      <c r="J368" s="100"/>
      <c r="K368" s="100"/>
      <c r="L368" s="100"/>
      <c r="M368" s="69"/>
      <c r="N368" s="100"/>
    </row>
    <row r="369">
      <c r="J369" s="100"/>
      <c r="K369" s="100"/>
      <c r="L369" s="100"/>
      <c r="M369" s="69"/>
      <c r="N369" s="100"/>
    </row>
    <row r="370">
      <c r="J370" s="100"/>
      <c r="K370" s="100"/>
      <c r="L370" s="100"/>
      <c r="M370" s="69"/>
      <c r="N370" s="100"/>
    </row>
    <row r="371">
      <c r="J371" s="100"/>
      <c r="K371" s="100"/>
      <c r="L371" s="100"/>
      <c r="M371" s="69"/>
      <c r="N371" s="100"/>
    </row>
    <row r="372">
      <c r="J372" s="100"/>
      <c r="K372" s="100"/>
      <c r="L372" s="100"/>
      <c r="M372" s="69"/>
      <c r="N372" s="100"/>
    </row>
    <row r="373">
      <c r="J373" s="100"/>
      <c r="K373" s="100"/>
      <c r="L373" s="100"/>
      <c r="M373" s="69"/>
      <c r="N373" s="100"/>
    </row>
    <row r="374">
      <c r="J374" s="100"/>
      <c r="K374" s="100"/>
      <c r="L374" s="100"/>
      <c r="M374" s="69"/>
      <c r="N374" s="100"/>
    </row>
    <row r="375">
      <c r="J375" s="100"/>
      <c r="K375" s="100"/>
      <c r="L375" s="100"/>
      <c r="M375" s="69"/>
      <c r="N375" s="100"/>
    </row>
    <row r="376">
      <c r="J376" s="100"/>
      <c r="K376" s="100"/>
      <c r="L376" s="100"/>
      <c r="M376" s="69"/>
      <c r="N376" s="100"/>
    </row>
    <row r="377">
      <c r="J377" s="100"/>
      <c r="K377" s="100"/>
      <c r="L377" s="100"/>
      <c r="M377" s="69"/>
      <c r="N377" s="100"/>
    </row>
    <row r="378">
      <c r="J378" s="100"/>
      <c r="K378" s="100"/>
      <c r="L378" s="100"/>
      <c r="M378" s="69"/>
      <c r="N378" s="100"/>
    </row>
    <row r="379">
      <c r="J379" s="100"/>
      <c r="K379" s="100"/>
      <c r="L379" s="100"/>
      <c r="M379" s="69"/>
      <c r="N379" s="100"/>
    </row>
    <row r="380">
      <c r="J380" s="100"/>
      <c r="K380" s="100"/>
      <c r="L380" s="100"/>
      <c r="M380" s="69"/>
      <c r="N380" s="100"/>
    </row>
    <row r="381">
      <c r="J381" s="100"/>
      <c r="K381" s="100"/>
      <c r="L381" s="100"/>
      <c r="M381" s="69"/>
      <c r="N381" s="100"/>
    </row>
    <row r="382">
      <c r="J382" s="100"/>
      <c r="K382" s="100"/>
      <c r="L382" s="100"/>
      <c r="M382" s="69"/>
      <c r="N382" s="100"/>
    </row>
    <row r="383">
      <c r="J383" s="100"/>
      <c r="K383" s="100"/>
      <c r="L383" s="100"/>
      <c r="M383" s="69"/>
      <c r="N383" s="100"/>
    </row>
    <row r="384">
      <c r="J384" s="100"/>
      <c r="K384" s="100"/>
      <c r="L384" s="100"/>
      <c r="M384" s="69"/>
      <c r="N384" s="100"/>
    </row>
    <row r="385">
      <c r="J385" s="100"/>
      <c r="K385" s="100"/>
      <c r="L385" s="100"/>
      <c r="M385" s="69"/>
      <c r="N385" s="100"/>
    </row>
    <row r="386">
      <c r="J386" s="100"/>
      <c r="K386" s="100"/>
      <c r="L386" s="100"/>
      <c r="M386" s="69"/>
      <c r="N386" s="100"/>
    </row>
    <row r="387">
      <c r="J387" s="100"/>
      <c r="K387" s="100"/>
      <c r="L387" s="100"/>
      <c r="M387" s="69"/>
      <c r="N387" s="100"/>
    </row>
    <row r="388">
      <c r="J388" s="100"/>
      <c r="K388" s="100"/>
      <c r="L388" s="100"/>
      <c r="M388" s="69"/>
      <c r="N388" s="100"/>
    </row>
    <row r="389">
      <c r="J389" s="100"/>
      <c r="K389" s="100"/>
      <c r="L389" s="100"/>
      <c r="M389" s="69"/>
      <c r="N389" s="100"/>
    </row>
    <row r="390">
      <c r="J390" s="100"/>
      <c r="K390" s="100"/>
      <c r="L390" s="100"/>
      <c r="M390" s="69"/>
      <c r="N390" s="100"/>
    </row>
    <row r="391">
      <c r="J391" s="100"/>
      <c r="K391" s="100"/>
      <c r="L391" s="100"/>
      <c r="M391" s="69"/>
      <c r="N391" s="100"/>
    </row>
    <row r="392">
      <c r="J392" s="100"/>
      <c r="K392" s="100"/>
      <c r="L392" s="100"/>
      <c r="M392" s="69"/>
      <c r="N392" s="100"/>
    </row>
    <row r="393">
      <c r="J393" s="100"/>
      <c r="K393" s="100"/>
      <c r="L393" s="100"/>
      <c r="M393" s="69"/>
      <c r="N393" s="100"/>
    </row>
    <row r="394">
      <c r="J394" s="100"/>
      <c r="K394" s="100"/>
      <c r="L394" s="100"/>
      <c r="M394" s="69"/>
      <c r="N394" s="100"/>
    </row>
    <row r="395">
      <c r="J395" s="100"/>
      <c r="K395" s="100"/>
      <c r="L395" s="100"/>
      <c r="M395" s="69"/>
      <c r="N395" s="100"/>
    </row>
    <row r="396">
      <c r="J396" s="100"/>
      <c r="K396" s="100"/>
      <c r="L396" s="100"/>
      <c r="M396" s="69"/>
      <c r="N396" s="100"/>
    </row>
    <row r="397">
      <c r="J397" s="100"/>
      <c r="K397" s="100"/>
      <c r="L397" s="100"/>
      <c r="M397" s="69"/>
      <c r="N397" s="100"/>
    </row>
    <row r="398">
      <c r="J398" s="100"/>
      <c r="K398" s="100"/>
      <c r="L398" s="100"/>
      <c r="M398" s="69"/>
      <c r="N398" s="100"/>
    </row>
    <row r="399">
      <c r="J399" s="100"/>
      <c r="K399" s="100"/>
      <c r="L399" s="100"/>
      <c r="M399" s="69"/>
      <c r="N399" s="100"/>
    </row>
    <row r="400">
      <c r="J400" s="100"/>
      <c r="K400" s="100"/>
      <c r="L400" s="100"/>
      <c r="M400" s="69"/>
      <c r="N400" s="100"/>
    </row>
    <row r="401">
      <c r="J401" s="100"/>
      <c r="K401" s="100"/>
      <c r="L401" s="100"/>
      <c r="M401" s="69"/>
      <c r="N401" s="100"/>
    </row>
    <row r="402">
      <c r="J402" s="100"/>
      <c r="K402" s="100"/>
      <c r="L402" s="100"/>
      <c r="M402" s="69"/>
      <c r="N402" s="100"/>
    </row>
    <row r="403">
      <c r="J403" s="100"/>
      <c r="K403" s="100"/>
      <c r="L403" s="100"/>
      <c r="M403" s="69"/>
      <c r="N403" s="100"/>
    </row>
    <row r="404">
      <c r="J404" s="100"/>
      <c r="K404" s="100"/>
      <c r="L404" s="100"/>
      <c r="M404" s="69"/>
      <c r="N404" s="100"/>
    </row>
    <row r="405">
      <c r="J405" s="100"/>
      <c r="K405" s="100"/>
      <c r="L405" s="100"/>
      <c r="M405" s="69"/>
      <c r="N405" s="100"/>
    </row>
    <row r="406">
      <c r="J406" s="100"/>
      <c r="K406" s="100"/>
      <c r="L406" s="100"/>
      <c r="M406" s="69"/>
      <c r="N406" s="100"/>
    </row>
    <row r="407">
      <c r="J407" s="100"/>
      <c r="K407" s="100"/>
      <c r="L407" s="100"/>
      <c r="M407" s="69"/>
      <c r="N407" s="100"/>
    </row>
    <row r="408">
      <c r="J408" s="100"/>
      <c r="K408" s="100"/>
      <c r="L408" s="100"/>
      <c r="M408" s="69"/>
      <c r="N408" s="100"/>
    </row>
    <row r="409">
      <c r="J409" s="100"/>
      <c r="K409" s="100"/>
      <c r="L409" s="100"/>
      <c r="M409" s="69"/>
      <c r="N409" s="100"/>
    </row>
    <row r="410">
      <c r="J410" s="100"/>
      <c r="K410" s="100"/>
      <c r="L410" s="100"/>
      <c r="M410" s="69"/>
      <c r="N410" s="100"/>
    </row>
    <row r="411">
      <c r="J411" s="100"/>
      <c r="K411" s="100"/>
      <c r="L411" s="100"/>
      <c r="M411" s="69"/>
      <c r="N411" s="100"/>
    </row>
    <row r="412">
      <c r="J412" s="100"/>
      <c r="K412" s="100"/>
      <c r="L412" s="100"/>
      <c r="M412" s="69"/>
      <c r="N412" s="100"/>
    </row>
    <row r="413">
      <c r="J413" s="100"/>
      <c r="K413" s="100"/>
      <c r="L413" s="100"/>
      <c r="M413" s="69"/>
      <c r="N413" s="100"/>
    </row>
    <row r="414">
      <c r="J414" s="100"/>
      <c r="K414" s="100"/>
      <c r="L414" s="100"/>
      <c r="M414" s="69"/>
      <c r="N414" s="100"/>
    </row>
    <row r="415">
      <c r="J415" s="100"/>
      <c r="K415" s="100"/>
      <c r="L415" s="100"/>
      <c r="M415" s="69"/>
      <c r="N415" s="100"/>
    </row>
    <row r="416">
      <c r="J416" s="100"/>
      <c r="K416" s="100"/>
      <c r="L416" s="100"/>
      <c r="M416" s="69"/>
      <c r="N416" s="100"/>
    </row>
    <row r="417">
      <c r="J417" s="100"/>
      <c r="K417" s="100"/>
      <c r="L417" s="100"/>
      <c r="M417" s="69"/>
      <c r="N417" s="100"/>
    </row>
    <row r="418">
      <c r="J418" s="100"/>
      <c r="K418" s="100"/>
      <c r="L418" s="100"/>
      <c r="M418" s="69"/>
      <c r="N418" s="100"/>
    </row>
    <row r="419">
      <c r="J419" s="100"/>
      <c r="K419" s="100"/>
      <c r="L419" s="100"/>
      <c r="M419" s="69"/>
      <c r="N419" s="100"/>
    </row>
    <row r="420">
      <c r="J420" s="100"/>
      <c r="K420" s="100"/>
      <c r="L420" s="100"/>
      <c r="M420" s="69"/>
      <c r="N420" s="100"/>
    </row>
    <row r="421">
      <c r="J421" s="100"/>
      <c r="K421" s="100"/>
      <c r="L421" s="100"/>
      <c r="M421" s="69"/>
      <c r="N421" s="100"/>
    </row>
    <row r="422">
      <c r="J422" s="100"/>
      <c r="K422" s="100"/>
      <c r="L422" s="100"/>
      <c r="M422" s="69"/>
      <c r="N422" s="100"/>
    </row>
    <row r="423">
      <c r="J423" s="100"/>
      <c r="K423" s="100"/>
      <c r="L423" s="100"/>
      <c r="M423" s="69"/>
      <c r="N423" s="100"/>
    </row>
    <row r="424">
      <c r="J424" s="100"/>
      <c r="K424" s="100"/>
      <c r="L424" s="100"/>
      <c r="M424" s="69"/>
      <c r="N424" s="100"/>
    </row>
    <row r="425">
      <c r="J425" s="100"/>
      <c r="K425" s="100"/>
      <c r="L425" s="100"/>
      <c r="M425" s="69"/>
      <c r="N425" s="100"/>
    </row>
    <row r="426">
      <c r="J426" s="100"/>
      <c r="K426" s="100"/>
      <c r="L426" s="100"/>
      <c r="M426" s="69"/>
      <c r="N426" s="100"/>
    </row>
    <row r="427">
      <c r="J427" s="100"/>
      <c r="K427" s="100"/>
      <c r="L427" s="100"/>
      <c r="M427" s="69"/>
      <c r="N427" s="100"/>
    </row>
    <row r="428">
      <c r="J428" s="100"/>
      <c r="K428" s="100"/>
      <c r="L428" s="100"/>
      <c r="M428" s="69"/>
      <c r="N428" s="100"/>
    </row>
    <row r="429">
      <c r="J429" s="100"/>
      <c r="K429" s="100"/>
      <c r="L429" s="100"/>
      <c r="M429" s="69"/>
      <c r="N429" s="100"/>
    </row>
    <row r="430">
      <c r="J430" s="100"/>
      <c r="K430" s="100"/>
      <c r="L430" s="100"/>
      <c r="M430" s="69"/>
      <c r="N430" s="100"/>
    </row>
    <row r="431">
      <c r="J431" s="100"/>
      <c r="K431" s="100"/>
      <c r="L431" s="100"/>
      <c r="M431" s="69"/>
      <c r="N431" s="100"/>
    </row>
    <row r="432">
      <c r="J432" s="100"/>
      <c r="K432" s="100"/>
      <c r="L432" s="100"/>
      <c r="M432" s="69"/>
      <c r="N432" s="100"/>
    </row>
    <row r="433">
      <c r="J433" s="100"/>
      <c r="K433" s="100"/>
      <c r="L433" s="100"/>
      <c r="M433" s="69"/>
      <c r="N433" s="100"/>
    </row>
    <row r="434">
      <c r="J434" s="100"/>
      <c r="K434" s="100"/>
      <c r="L434" s="100"/>
      <c r="M434" s="69"/>
      <c r="N434" s="100"/>
    </row>
    <row r="435">
      <c r="J435" s="100"/>
      <c r="K435" s="100"/>
      <c r="L435" s="100"/>
      <c r="M435" s="69"/>
      <c r="N435" s="100"/>
    </row>
    <row r="436">
      <c r="J436" s="100"/>
      <c r="K436" s="100"/>
      <c r="L436" s="100"/>
      <c r="M436" s="69"/>
      <c r="N436" s="100"/>
    </row>
    <row r="437">
      <c r="J437" s="100"/>
      <c r="K437" s="100"/>
      <c r="L437" s="100"/>
      <c r="M437" s="69"/>
      <c r="N437" s="100"/>
    </row>
    <row r="438">
      <c r="J438" s="100"/>
      <c r="K438" s="100"/>
      <c r="L438" s="100"/>
      <c r="M438" s="69"/>
      <c r="N438" s="100"/>
    </row>
    <row r="439">
      <c r="J439" s="100"/>
      <c r="K439" s="100"/>
      <c r="L439" s="100"/>
      <c r="M439" s="69"/>
      <c r="N439" s="100"/>
    </row>
    <row r="440">
      <c r="J440" s="100"/>
      <c r="K440" s="100"/>
      <c r="L440" s="100"/>
      <c r="M440" s="69"/>
      <c r="N440" s="100"/>
    </row>
    <row r="441">
      <c r="J441" s="100"/>
      <c r="K441" s="100"/>
      <c r="L441" s="100"/>
      <c r="M441" s="69"/>
      <c r="N441" s="100"/>
    </row>
    <row r="442">
      <c r="J442" s="100"/>
      <c r="K442" s="100"/>
      <c r="L442" s="100"/>
      <c r="M442" s="69"/>
      <c r="N442" s="100"/>
    </row>
    <row r="443">
      <c r="J443" s="100"/>
      <c r="K443" s="100"/>
      <c r="L443" s="100"/>
      <c r="M443" s="69"/>
      <c r="N443" s="100"/>
    </row>
    <row r="444">
      <c r="J444" s="100"/>
      <c r="K444" s="100"/>
      <c r="L444" s="100"/>
      <c r="M444" s="69"/>
      <c r="N444" s="100"/>
    </row>
    <row r="445">
      <c r="J445" s="100"/>
      <c r="K445" s="100"/>
      <c r="L445" s="100"/>
      <c r="M445" s="69"/>
      <c r="N445" s="100"/>
    </row>
    <row r="446">
      <c r="J446" s="100"/>
      <c r="K446" s="100"/>
      <c r="L446" s="100"/>
      <c r="M446" s="69"/>
      <c r="N446" s="100"/>
    </row>
    <row r="447">
      <c r="J447" s="100"/>
      <c r="K447" s="100"/>
      <c r="L447" s="100"/>
      <c r="M447" s="69"/>
      <c r="N447" s="100"/>
    </row>
    <row r="448">
      <c r="J448" s="100"/>
      <c r="K448" s="100"/>
      <c r="L448" s="100"/>
      <c r="M448" s="69"/>
      <c r="N448" s="100"/>
    </row>
    <row r="449">
      <c r="J449" s="100"/>
      <c r="K449" s="100"/>
      <c r="L449" s="100"/>
      <c r="M449" s="69"/>
      <c r="N449" s="100"/>
    </row>
    <row r="450">
      <c r="J450" s="100"/>
      <c r="K450" s="100"/>
      <c r="L450" s="100"/>
      <c r="M450" s="69"/>
      <c r="N450" s="100"/>
    </row>
    <row r="451">
      <c r="J451" s="100"/>
      <c r="K451" s="100"/>
      <c r="L451" s="100"/>
      <c r="M451" s="69"/>
      <c r="N451" s="100"/>
    </row>
    <row r="452">
      <c r="J452" s="100"/>
      <c r="K452" s="100"/>
      <c r="L452" s="100"/>
      <c r="M452" s="69"/>
      <c r="N452" s="100"/>
    </row>
    <row r="453">
      <c r="J453" s="100"/>
      <c r="K453" s="100"/>
      <c r="L453" s="100"/>
      <c r="M453" s="69"/>
      <c r="N453" s="100"/>
    </row>
    <row r="454">
      <c r="J454" s="100"/>
      <c r="K454" s="100"/>
      <c r="L454" s="100"/>
      <c r="M454" s="69"/>
      <c r="N454" s="100"/>
    </row>
    <row r="455">
      <c r="J455" s="100"/>
      <c r="K455" s="100"/>
      <c r="L455" s="100"/>
      <c r="M455" s="69"/>
      <c r="N455" s="100"/>
    </row>
    <row r="456">
      <c r="J456" s="100"/>
      <c r="K456" s="100"/>
      <c r="L456" s="100"/>
      <c r="M456" s="69"/>
      <c r="N456" s="100"/>
    </row>
    <row r="457">
      <c r="J457" s="100"/>
      <c r="K457" s="100"/>
      <c r="L457" s="100"/>
      <c r="M457" s="69"/>
      <c r="N457" s="100"/>
    </row>
    <row r="458">
      <c r="J458" s="100"/>
      <c r="K458" s="100"/>
      <c r="L458" s="100"/>
      <c r="M458" s="69"/>
      <c r="N458" s="100"/>
    </row>
    <row r="459">
      <c r="J459" s="100"/>
      <c r="K459" s="100"/>
      <c r="L459" s="100"/>
      <c r="M459" s="69"/>
      <c r="N459" s="100"/>
    </row>
    <row r="460">
      <c r="J460" s="100"/>
      <c r="K460" s="100"/>
      <c r="L460" s="100"/>
      <c r="M460" s="69"/>
      <c r="N460" s="100"/>
    </row>
    <row r="461">
      <c r="J461" s="100"/>
      <c r="K461" s="100"/>
      <c r="L461" s="100"/>
      <c r="M461" s="69"/>
      <c r="N461" s="100"/>
    </row>
    <row r="462">
      <c r="J462" s="100"/>
      <c r="K462" s="100"/>
      <c r="L462" s="100"/>
      <c r="M462" s="69"/>
      <c r="N462" s="100"/>
    </row>
    <row r="463">
      <c r="J463" s="100"/>
      <c r="K463" s="100"/>
      <c r="L463" s="100"/>
      <c r="M463" s="69"/>
      <c r="N463" s="100"/>
    </row>
    <row r="464">
      <c r="J464" s="100"/>
      <c r="K464" s="100"/>
      <c r="L464" s="100"/>
      <c r="M464" s="69"/>
      <c r="N464" s="100"/>
    </row>
    <row r="465">
      <c r="J465" s="100"/>
      <c r="K465" s="100"/>
      <c r="L465" s="100"/>
      <c r="M465" s="69"/>
      <c r="N465" s="100"/>
    </row>
    <row r="466">
      <c r="J466" s="100"/>
      <c r="K466" s="100"/>
      <c r="L466" s="100"/>
      <c r="M466" s="69"/>
      <c r="N466" s="100"/>
    </row>
    <row r="467">
      <c r="J467" s="100"/>
      <c r="K467" s="100"/>
      <c r="L467" s="100"/>
      <c r="M467" s="69"/>
      <c r="N467" s="100"/>
    </row>
    <row r="468">
      <c r="J468" s="100"/>
      <c r="K468" s="100"/>
      <c r="L468" s="100"/>
      <c r="M468" s="69"/>
      <c r="N468" s="100"/>
    </row>
    <row r="469">
      <c r="J469" s="100"/>
      <c r="K469" s="100"/>
      <c r="L469" s="100"/>
      <c r="M469" s="69"/>
      <c r="N469" s="100"/>
    </row>
    <row r="470">
      <c r="J470" s="100"/>
      <c r="K470" s="100"/>
      <c r="L470" s="100"/>
      <c r="M470" s="69"/>
      <c r="N470" s="100"/>
    </row>
    <row r="471">
      <c r="J471" s="100"/>
      <c r="K471" s="100"/>
      <c r="L471" s="100"/>
      <c r="M471" s="69"/>
      <c r="N471" s="100"/>
    </row>
    <row r="472">
      <c r="J472" s="100"/>
      <c r="K472" s="100"/>
      <c r="L472" s="100"/>
      <c r="M472" s="69"/>
      <c r="N472" s="100"/>
    </row>
    <row r="473">
      <c r="J473" s="100"/>
      <c r="K473" s="100"/>
      <c r="L473" s="100"/>
      <c r="M473" s="69"/>
      <c r="N473" s="100"/>
    </row>
    <row r="474">
      <c r="J474" s="100"/>
      <c r="K474" s="100"/>
      <c r="L474" s="100"/>
      <c r="M474" s="69"/>
      <c r="N474" s="100"/>
    </row>
    <row r="475">
      <c r="J475" s="100"/>
      <c r="K475" s="100"/>
      <c r="L475" s="100"/>
      <c r="M475" s="69"/>
      <c r="N475" s="100"/>
    </row>
    <row r="476">
      <c r="J476" s="100"/>
      <c r="K476" s="100"/>
      <c r="L476" s="100"/>
      <c r="M476" s="69"/>
      <c r="N476" s="100"/>
    </row>
    <row r="477">
      <c r="J477" s="100"/>
      <c r="K477" s="100"/>
      <c r="L477" s="100"/>
      <c r="M477" s="69"/>
      <c r="N477" s="100"/>
    </row>
    <row r="478">
      <c r="J478" s="100"/>
      <c r="K478" s="100"/>
      <c r="L478" s="100"/>
      <c r="M478" s="69"/>
      <c r="N478" s="100"/>
    </row>
    <row r="479">
      <c r="J479" s="100"/>
      <c r="K479" s="100"/>
      <c r="L479" s="100"/>
      <c r="M479" s="69"/>
      <c r="N479" s="100"/>
    </row>
    <row r="480">
      <c r="J480" s="100"/>
      <c r="K480" s="100"/>
      <c r="L480" s="100"/>
      <c r="M480" s="69"/>
      <c r="N480" s="100"/>
    </row>
    <row r="481">
      <c r="J481" s="100"/>
      <c r="K481" s="100"/>
      <c r="L481" s="100"/>
      <c r="M481" s="69"/>
      <c r="N481" s="100"/>
    </row>
    <row r="482">
      <c r="J482" s="100"/>
      <c r="K482" s="100"/>
      <c r="L482" s="100"/>
      <c r="M482" s="69"/>
      <c r="N482" s="100"/>
    </row>
    <row r="483">
      <c r="J483" s="100"/>
      <c r="K483" s="100"/>
      <c r="L483" s="100"/>
      <c r="M483" s="69"/>
      <c r="N483" s="100"/>
    </row>
    <row r="484">
      <c r="J484" s="100"/>
      <c r="K484" s="100"/>
      <c r="L484" s="100"/>
      <c r="M484" s="69"/>
      <c r="N484" s="100"/>
    </row>
    <row r="485">
      <c r="J485" s="100"/>
      <c r="K485" s="100"/>
      <c r="L485" s="100"/>
      <c r="M485" s="69"/>
      <c r="N485" s="100"/>
    </row>
    <row r="486">
      <c r="J486" s="100"/>
      <c r="K486" s="100"/>
      <c r="L486" s="100"/>
      <c r="M486" s="69"/>
      <c r="N486" s="100"/>
    </row>
    <row r="487">
      <c r="J487" s="100"/>
      <c r="K487" s="100"/>
      <c r="L487" s="100"/>
      <c r="M487" s="69"/>
      <c r="N487" s="100"/>
    </row>
    <row r="488">
      <c r="J488" s="100"/>
      <c r="K488" s="100"/>
      <c r="L488" s="100"/>
      <c r="M488" s="69"/>
      <c r="N488" s="100"/>
    </row>
    <row r="489">
      <c r="J489" s="100"/>
      <c r="K489" s="100"/>
      <c r="L489" s="100"/>
      <c r="M489" s="69"/>
      <c r="N489" s="100"/>
    </row>
    <row r="490">
      <c r="J490" s="100"/>
      <c r="K490" s="100"/>
      <c r="L490" s="100"/>
      <c r="M490" s="69"/>
      <c r="N490" s="100"/>
    </row>
    <row r="491">
      <c r="J491" s="100"/>
      <c r="K491" s="100"/>
      <c r="L491" s="100"/>
      <c r="M491" s="69"/>
      <c r="N491" s="100"/>
    </row>
    <row r="492">
      <c r="J492" s="100"/>
      <c r="K492" s="100"/>
      <c r="L492" s="100"/>
      <c r="M492" s="69"/>
      <c r="N492" s="100"/>
    </row>
    <row r="493">
      <c r="J493" s="100"/>
      <c r="K493" s="100"/>
      <c r="L493" s="100"/>
      <c r="M493" s="69"/>
      <c r="N493" s="100"/>
    </row>
    <row r="494">
      <c r="J494" s="100"/>
      <c r="K494" s="100"/>
      <c r="L494" s="100"/>
      <c r="M494" s="69"/>
      <c r="N494" s="100"/>
    </row>
    <row r="495">
      <c r="J495" s="100"/>
      <c r="K495" s="100"/>
      <c r="L495" s="100"/>
      <c r="M495" s="69"/>
      <c r="N495" s="100"/>
    </row>
    <row r="496">
      <c r="J496" s="100"/>
      <c r="K496" s="100"/>
      <c r="L496" s="100"/>
      <c r="M496" s="69"/>
      <c r="N496" s="100"/>
    </row>
    <row r="497">
      <c r="J497" s="100"/>
      <c r="K497" s="100"/>
      <c r="L497" s="100"/>
      <c r="M497" s="69"/>
      <c r="N497" s="100"/>
    </row>
    <row r="498">
      <c r="J498" s="100"/>
      <c r="K498" s="100"/>
      <c r="L498" s="100"/>
      <c r="M498" s="69"/>
      <c r="N498" s="100"/>
    </row>
    <row r="499">
      <c r="J499" s="100"/>
      <c r="K499" s="100"/>
      <c r="L499" s="100"/>
      <c r="M499" s="69"/>
      <c r="N499" s="100"/>
    </row>
    <row r="500">
      <c r="J500" s="100"/>
      <c r="K500" s="100"/>
      <c r="L500" s="100"/>
      <c r="M500" s="69"/>
      <c r="N500" s="100"/>
    </row>
    <row r="501">
      <c r="J501" s="100"/>
      <c r="K501" s="100"/>
      <c r="L501" s="100"/>
      <c r="M501" s="69"/>
      <c r="N501" s="100"/>
    </row>
    <row r="502">
      <c r="J502" s="100"/>
      <c r="K502" s="100"/>
      <c r="L502" s="100"/>
      <c r="M502" s="69"/>
      <c r="N502" s="100"/>
    </row>
    <row r="503">
      <c r="J503" s="100"/>
      <c r="K503" s="100"/>
      <c r="L503" s="100"/>
      <c r="M503" s="69"/>
      <c r="N503" s="100"/>
    </row>
    <row r="504">
      <c r="J504" s="100"/>
      <c r="K504" s="100"/>
      <c r="L504" s="100"/>
      <c r="M504" s="69"/>
      <c r="N504" s="100"/>
    </row>
    <row r="505">
      <c r="J505" s="100"/>
      <c r="K505" s="100"/>
      <c r="L505" s="100"/>
      <c r="M505" s="69"/>
      <c r="N505" s="100"/>
    </row>
    <row r="506">
      <c r="J506" s="100"/>
      <c r="K506" s="100"/>
      <c r="L506" s="100"/>
      <c r="M506" s="69"/>
      <c r="N506" s="100"/>
    </row>
    <row r="507">
      <c r="J507" s="100"/>
      <c r="K507" s="100"/>
      <c r="L507" s="100"/>
      <c r="M507" s="69"/>
      <c r="N507" s="100"/>
    </row>
    <row r="508">
      <c r="J508" s="100"/>
      <c r="K508" s="100"/>
      <c r="L508" s="100"/>
      <c r="M508" s="69"/>
      <c r="N508" s="100"/>
    </row>
    <row r="509">
      <c r="J509" s="100"/>
      <c r="K509" s="100"/>
      <c r="L509" s="100"/>
      <c r="M509" s="69"/>
      <c r="N509" s="100"/>
    </row>
    <row r="510">
      <c r="J510" s="100"/>
      <c r="K510" s="100"/>
      <c r="L510" s="100"/>
      <c r="M510" s="69"/>
      <c r="N510" s="100"/>
    </row>
    <row r="511">
      <c r="J511" s="100"/>
      <c r="K511" s="100"/>
      <c r="L511" s="100"/>
      <c r="M511" s="69"/>
      <c r="N511" s="100"/>
    </row>
    <row r="512">
      <c r="J512" s="100"/>
      <c r="K512" s="100"/>
      <c r="L512" s="100"/>
      <c r="M512" s="69"/>
      <c r="N512" s="100"/>
    </row>
    <row r="513">
      <c r="J513" s="100"/>
      <c r="K513" s="100"/>
      <c r="L513" s="100"/>
      <c r="M513" s="69"/>
      <c r="N513" s="100"/>
    </row>
    <row r="514">
      <c r="J514" s="100"/>
      <c r="K514" s="100"/>
      <c r="L514" s="100"/>
      <c r="M514" s="69"/>
      <c r="N514" s="100"/>
    </row>
    <row r="515">
      <c r="J515" s="100"/>
      <c r="K515" s="100"/>
      <c r="L515" s="100"/>
      <c r="M515" s="69"/>
      <c r="N515" s="100"/>
    </row>
    <row r="516">
      <c r="J516" s="100"/>
      <c r="K516" s="100"/>
      <c r="L516" s="100"/>
      <c r="M516" s="69"/>
      <c r="N516" s="100"/>
    </row>
    <row r="517">
      <c r="J517" s="100"/>
      <c r="K517" s="100"/>
      <c r="L517" s="100"/>
      <c r="M517" s="69"/>
      <c r="N517" s="100"/>
    </row>
    <row r="518">
      <c r="J518" s="100"/>
      <c r="K518" s="100"/>
      <c r="L518" s="100"/>
      <c r="M518" s="69"/>
      <c r="N518" s="100"/>
    </row>
    <row r="519">
      <c r="J519" s="100"/>
      <c r="K519" s="100"/>
      <c r="L519" s="100"/>
      <c r="M519" s="69"/>
      <c r="N519" s="100"/>
    </row>
    <row r="520">
      <c r="J520" s="100"/>
      <c r="K520" s="100"/>
      <c r="L520" s="100"/>
      <c r="M520" s="69"/>
      <c r="N520" s="100"/>
    </row>
    <row r="521">
      <c r="J521" s="100"/>
      <c r="K521" s="100"/>
      <c r="L521" s="100"/>
      <c r="M521" s="69"/>
      <c r="N521" s="100"/>
    </row>
    <row r="522">
      <c r="J522" s="100"/>
      <c r="K522" s="100"/>
      <c r="L522" s="100"/>
      <c r="M522" s="69"/>
      <c r="N522" s="100"/>
    </row>
    <row r="523">
      <c r="J523" s="100"/>
      <c r="K523" s="100"/>
      <c r="L523" s="100"/>
      <c r="M523" s="69"/>
      <c r="N523" s="100"/>
    </row>
    <row r="524">
      <c r="J524" s="100"/>
      <c r="K524" s="100"/>
      <c r="L524" s="100"/>
      <c r="M524" s="69"/>
      <c r="N524" s="100"/>
    </row>
    <row r="525">
      <c r="J525" s="100"/>
      <c r="K525" s="100"/>
      <c r="L525" s="100"/>
      <c r="M525" s="69"/>
      <c r="N525" s="100"/>
    </row>
    <row r="526">
      <c r="J526" s="100"/>
      <c r="K526" s="100"/>
      <c r="L526" s="100"/>
      <c r="M526" s="69"/>
      <c r="N526" s="100"/>
    </row>
    <row r="527">
      <c r="J527" s="100"/>
      <c r="K527" s="100"/>
      <c r="L527" s="100"/>
      <c r="M527" s="69"/>
      <c r="N527" s="100"/>
    </row>
    <row r="528">
      <c r="J528" s="100"/>
      <c r="K528" s="100"/>
      <c r="L528" s="100"/>
      <c r="M528" s="69"/>
      <c r="N528" s="100"/>
    </row>
    <row r="529">
      <c r="J529" s="100"/>
      <c r="K529" s="100"/>
      <c r="L529" s="100"/>
      <c r="M529" s="69"/>
      <c r="N529" s="100"/>
    </row>
    <row r="530">
      <c r="J530" s="100"/>
      <c r="K530" s="100"/>
      <c r="L530" s="100"/>
      <c r="M530" s="69"/>
      <c r="N530" s="100"/>
    </row>
    <row r="531">
      <c r="J531" s="100"/>
      <c r="K531" s="100"/>
      <c r="L531" s="100"/>
      <c r="M531" s="69"/>
      <c r="N531" s="100"/>
    </row>
    <row r="532">
      <c r="J532" s="100"/>
      <c r="K532" s="100"/>
      <c r="L532" s="100"/>
      <c r="M532" s="69"/>
      <c r="N532" s="100"/>
    </row>
    <row r="533">
      <c r="J533" s="100"/>
      <c r="K533" s="100"/>
      <c r="L533" s="100"/>
      <c r="M533" s="69"/>
      <c r="N533" s="100"/>
    </row>
    <row r="534">
      <c r="J534" s="100"/>
      <c r="K534" s="100"/>
      <c r="L534" s="100"/>
      <c r="M534" s="69"/>
      <c r="N534" s="100"/>
    </row>
    <row r="535">
      <c r="J535" s="100"/>
      <c r="K535" s="100"/>
      <c r="L535" s="100"/>
      <c r="M535" s="69"/>
      <c r="N535" s="100"/>
    </row>
    <row r="536">
      <c r="J536" s="100"/>
      <c r="K536" s="100"/>
      <c r="L536" s="100"/>
      <c r="M536" s="69"/>
      <c r="N536" s="100"/>
    </row>
    <row r="537">
      <c r="J537" s="100"/>
      <c r="K537" s="100"/>
      <c r="L537" s="100"/>
      <c r="M537" s="69"/>
      <c r="N537" s="100"/>
    </row>
    <row r="538">
      <c r="J538" s="100"/>
      <c r="K538" s="100"/>
      <c r="L538" s="100"/>
      <c r="M538" s="69"/>
      <c r="N538" s="100"/>
    </row>
    <row r="539">
      <c r="J539" s="100"/>
      <c r="K539" s="100"/>
      <c r="L539" s="100"/>
      <c r="M539" s="69"/>
      <c r="N539" s="100"/>
    </row>
    <row r="540">
      <c r="J540" s="100"/>
      <c r="K540" s="100"/>
      <c r="L540" s="100"/>
      <c r="M540" s="69"/>
      <c r="N540" s="100"/>
    </row>
    <row r="541">
      <c r="J541" s="100"/>
      <c r="K541" s="100"/>
      <c r="L541" s="100"/>
      <c r="M541" s="69"/>
      <c r="N541" s="100"/>
    </row>
    <row r="542">
      <c r="J542" s="100"/>
      <c r="K542" s="100"/>
      <c r="L542" s="100"/>
      <c r="M542" s="69"/>
      <c r="N542" s="100"/>
    </row>
    <row r="543">
      <c r="J543" s="100"/>
      <c r="K543" s="100"/>
      <c r="L543" s="100"/>
      <c r="M543" s="69"/>
      <c r="N543" s="100"/>
    </row>
    <row r="544">
      <c r="J544" s="100"/>
      <c r="K544" s="100"/>
      <c r="L544" s="100"/>
      <c r="M544" s="69"/>
      <c r="N544" s="100"/>
    </row>
    <row r="545">
      <c r="J545" s="100"/>
      <c r="K545" s="100"/>
      <c r="L545" s="100"/>
      <c r="M545" s="69"/>
      <c r="N545" s="100"/>
    </row>
    <row r="546">
      <c r="J546" s="100"/>
      <c r="K546" s="100"/>
      <c r="L546" s="100"/>
      <c r="M546" s="69"/>
      <c r="N546" s="100"/>
    </row>
    <row r="547">
      <c r="J547" s="100"/>
      <c r="K547" s="100"/>
      <c r="L547" s="100"/>
      <c r="M547" s="69"/>
      <c r="N547" s="100"/>
    </row>
    <row r="548">
      <c r="J548" s="100"/>
      <c r="K548" s="100"/>
      <c r="L548" s="100"/>
      <c r="M548" s="69"/>
      <c r="N548" s="100"/>
    </row>
    <row r="549">
      <c r="J549" s="100"/>
      <c r="K549" s="100"/>
      <c r="L549" s="100"/>
      <c r="M549" s="69"/>
      <c r="N549" s="100"/>
    </row>
    <row r="550">
      <c r="J550" s="100"/>
      <c r="K550" s="100"/>
      <c r="L550" s="100"/>
      <c r="M550" s="69"/>
      <c r="N550" s="100"/>
    </row>
    <row r="551">
      <c r="J551" s="100"/>
      <c r="K551" s="100"/>
      <c r="L551" s="100"/>
      <c r="M551" s="69"/>
      <c r="N551" s="100"/>
    </row>
    <row r="552">
      <c r="J552" s="100"/>
      <c r="K552" s="100"/>
      <c r="L552" s="100"/>
      <c r="M552" s="69"/>
      <c r="N552" s="100"/>
    </row>
    <row r="553">
      <c r="J553" s="100"/>
      <c r="K553" s="100"/>
      <c r="L553" s="100"/>
      <c r="M553" s="69"/>
      <c r="N553" s="100"/>
    </row>
    <row r="554">
      <c r="J554" s="100"/>
      <c r="K554" s="100"/>
      <c r="L554" s="100"/>
      <c r="M554" s="69"/>
      <c r="N554" s="100"/>
    </row>
    <row r="555">
      <c r="J555" s="100"/>
      <c r="K555" s="100"/>
      <c r="L555" s="100"/>
      <c r="M555" s="69"/>
      <c r="N555" s="100"/>
    </row>
    <row r="556">
      <c r="J556" s="100"/>
      <c r="K556" s="100"/>
      <c r="L556" s="100"/>
      <c r="M556" s="69"/>
      <c r="N556" s="100"/>
    </row>
    <row r="557">
      <c r="J557" s="100"/>
      <c r="K557" s="100"/>
      <c r="L557" s="100"/>
      <c r="M557" s="69"/>
      <c r="N557" s="100"/>
    </row>
    <row r="558">
      <c r="J558" s="100"/>
      <c r="K558" s="100"/>
      <c r="L558" s="100"/>
      <c r="M558" s="69"/>
      <c r="N558" s="100"/>
    </row>
    <row r="559">
      <c r="J559" s="100"/>
      <c r="K559" s="100"/>
      <c r="L559" s="100"/>
      <c r="M559" s="69"/>
      <c r="N559" s="100"/>
    </row>
    <row r="560">
      <c r="J560" s="100"/>
      <c r="K560" s="100"/>
      <c r="L560" s="100"/>
      <c r="M560" s="69"/>
      <c r="N560" s="100"/>
    </row>
    <row r="561">
      <c r="J561" s="100"/>
      <c r="K561" s="100"/>
      <c r="L561" s="100"/>
      <c r="M561" s="69"/>
      <c r="N561" s="100"/>
    </row>
    <row r="562">
      <c r="J562" s="100"/>
      <c r="K562" s="100"/>
      <c r="L562" s="100"/>
      <c r="M562" s="69"/>
      <c r="N562" s="100"/>
    </row>
    <row r="563">
      <c r="J563" s="100"/>
      <c r="K563" s="100"/>
      <c r="L563" s="100"/>
      <c r="M563" s="69"/>
      <c r="N563" s="100"/>
    </row>
    <row r="564">
      <c r="J564" s="100"/>
      <c r="K564" s="100"/>
      <c r="L564" s="100"/>
      <c r="M564" s="69"/>
      <c r="N564" s="100"/>
    </row>
    <row r="565">
      <c r="J565" s="100"/>
      <c r="K565" s="100"/>
      <c r="L565" s="100"/>
      <c r="M565" s="69"/>
      <c r="N565" s="100"/>
    </row>
    <row r="566">
      <c r="J566" s="100"/>
      <c r="K566" s="100"/>
      <c r="L566" s="100"/>
      <c r="M566" s="69"/>
      <c r="N566" s="100"/>
    </row>
    <row r="567">
      <c r="J567" s="100"/>
      <c r="K567" s="100"/>
      <c r="L567" s="100"/>
      <c r="M567" s="69"/>
      <c r="N567" s="100"/>
    </row>
    <row r="568">
      <c r="J568" s="100"/>
      <c r="K568" s="100"/>
      <c r="L568" s="100"/>
      <c r="M568" s="69"/>
      <c r="N568" s="100"/>
    </row>
    <row r="569">
      <c r="J569" s="100"/>
      <c r="K569" s="100"/>
      <c r="L569" s="100"/>
      <c r="M569" s="69"/>
      <c r="N569" s="100"/>
    </row>
    <row r="570">
      <c r="J570" s="100"/>
      <c r="K570" s="100"/>
      <c r="L570" s="100"/>
      <c r="M570" s="69"/>
      <c r="N570" s="100"/>
    </row>
    <row r="571">
      <c r="J571" s="100"/>
      <c r="K571" s="100"/>
      <c r="L571" s="100"/>
      <c r="M571" s="69"/>
      <c r="N571" s="100"/>
    </row>
    <row r="572">
      <c r="J572" s="100"/>
      <c r="K572" s="100"/>
      <c r="L572" s="100"/>
      <c r="M572" s="69"/>
      <c r="N572" s="100"/>
    </row>
    <row r="573">
      <c r="J573" s="100"/>
      <c r="K573" s="100"/>
      <c r="L573" s="100"/>
      <c r="M573" s="69"/>
      <c r="N573" s="100"/>
    </row>
    <row r="574">
      <c r="J574" s="100"/>
      <c r="K574" s="100"/>
      <c r="L574" s="100"/>
      <c r="M574" s="69"/>
      <c r="N574" s="100"/>
    </row>
    <row r="575">
      <c r="J575" s="100"/>
      <c r="K575" s="100"/>
      <c r="L575" s="100"/>
      <c r="M575" s="69"/>
      <c r="N575" s="100"/>
    </row>
    <row r="576">
      <c r="J576" s="100"/>
      <c r="K576" s="100"/>
      <c r="L576" s="100"/>
      <c r="M576" s="69"/>
      <c r="N576" s="100"/>
    </row>
    <row r="577">
      <c r="J577" s="100"/>
      <c r="K577" s="100"/>
      <c r="L577" s="100"/>
      <c r="M577" s="69"/>
      <c r="N577" s="100"/>
    </row>
    <row r="578">
      <c r="J578" s="100"/>
      <c r="K578" s="100"/>
      <c r="L578" s="100"/>
      <c r="M578" s="69"/>
      <c r="N578" s="100"/>
    </row>
    <row r="579">
      <c r="J579" s="100"/>
      <c r="K579" s="100"/>
      <c r="L579" s="100"/>
      <c r="M579" s="69"/>
      <c r="N579" s="100"/>
    </row>
    <row r="580">
      <c r="J580" s="100"/>
      <c r="K580" s="100"/>
      <c r="L580" s="100"/>
      <c r="M580" s="69"/>
      <c r="N580" s="100"/>
    </row>
    <row r="581">
      <c r="J581" s="100"/>
      <c r="K581" s="100"/>
      <c r="L581" s="100"/>
      <c r="M581" s="69"/>
      <c r="N581" s="100"/>
    </row>
    <row r="582">
      <c r="J582" s="100"/>
      <c r="K582" s="100"/>
      <c r="L582" s="100"/>
      <c r="M582" s="69"/>
      <c r="N582" s="100"/>
    </row>
    <row r="583">
      <c r="J583" s="100"/>
      <c r="K583" s="100"/>
      <c r="L583" s="100"/>
      <c r="M583" s="69"/>
      <c r="N583" s="100"/>
    </row>
    <row r="584">
      <c r="J584" s="100"/>
      <c r="K584" s="100"/>
      <c r="L584" s="100"/>
      <c r="M584" s="69"/>
      <c r="N584" s="100"/>
    </row>
    <row r="585">
      <c r="J585" s="100"/>
      <c r="K585" s="100"/>
      <c r="L585" s="100"/>
      <c r="M585" s="69"/>
      <c r="N585" s="100"/>
    </row>
    <row r="586">
      <c r="J586" s="100"/>
      <c r="K586" s="100"/>
      <c r="L586" s="100"/>
      <c r="M586" s="69"/>
      <c r="N586" s="100"/>
    </row>
    <row r="587">
      <c r="J587" s="100"/>
      <c r="K587" s="100"/>
      <c r="L587" s="100"/>
      <c r="M587" s="69"/>
      <c r="N587" s="100"/>
    </row>
    <row r="588">
      <c r="J588" s="100"/>
      <c r="K588" s="100"/>
      <c r="L588" s="100"/>
      <c r="M588" s="69"/>
      <c r="N588" s="100"/>
    </row>
    <row r="589">
      <c r="J589" s="100"/>
      <c r="K589" s="100"/>
      <c r="L589" s="100"/>
      <c r="M589" s="69"/>
      <c r="N589" s="100"/>
    </row>
    <row r="590">
      <c r="J590" s="100"/>
      <c r="K590" s="100"/>
      <c r="L590" s="100"/>
      <c r="M590" s="69"/>
      <c r="N590" s="100"/>
    </row>
    <row r="591">
      <c r="J591" s="100"/>
      <c r="K591" s="100"/>
      <c r="L591" s="100"/>
      <c r="M591" s="69"/>
      <c r="N591" s="100"/>
    </row>
    <row r="592">
      <c r="J592" s="100"/>
      <c r="K592" s="100"/>
      <c r="L592" s="100"/>
      <c r="M592" s="69"/>
      <c r="N592" s="100"/>
    </row>
    <row r="593">
      <c r="J593" s="100"/>
      <c r="K593" s="100"/>
      <c r="L593" s="100"/>
      <c r="M593" s="69"/>
      <c r="N593" s="100"/>
    </row>
    <row r="594">
      <c r="J594" s="100"/>
      <c r="K594" s="100"/>
      <c r="L594" s="100"/>
      <c r="M594" s="69"/>
      <c r="N594" s="100"/>
    </row>
    <row r="595">
      <c r="J595" s="100"/>
      <c r="K595" s="100"/>
      <c r="L595" s="100"/>
      <c r="M595" s="69"/>
      <c r="N595" s="100"/>
    </row>
    <row r="596">
      <c r="J596" s="100"/>
      <c r="K596" s="100"/>
      <c r="L596" s="100"/>
      <c r="M596" s="69"/>
      <c r="N596" s="100"/>
    </row>
    <row r="597">
      <c r="J597" s="100"/>
      <c r="K597" s="100"/>
      <c r="L597" s="100"/>
      <c r="M597" s="69"/>
      <c r="N597" s="100"/>
    </row>
    <row r="598">
      <c r="J598" s="100"/>
      <c r="K598" s="100"/>
      <c r="L598" s="100"/>
      <c r="M598" s="69"/>
      <c r="N598" s="100"/>
    </row>
    <row r="599">
      <c r="J599" s="100"/>
      <c r="K599" s="100"/>
      <c r="L599" s="100"/>
      <c r="M599" s="69"/>
      <c r="N599" s="100"/>
    </row>
    <row r="600">
      <c r="J600" s="100"/>
      <c r="K600" s="100"/>
      <c r="L600" s="100"/>
      <c r="M600" s="69"/>
      <c r="N600" s="100"/>
    </row>
    <row r="601">
      <c r="J601" s="100"/>
      <c r="K601" s="100"/>
      <c r="L601" s="100"/>
      <c r="M601" s="69"/>
      <c r="N601" s="100"/>
    </row>
    <row r="602">
      <c r="J602" s="100"/>
      <c r="K602" s="100"/>
      <c r="L602" s="100"/>
      <c r="M602" s="69"/>
      <c r="N602" s="100"/>
    </row>
    <row r="603">
      <c r="J603" s="100"/>
      <c r="K603" s="100"/>
      <c r="L603" s="100"/>
      <c r="M603" s="69"/>
      <c r="N603" s="100"/>
    </row>
    <row r="604">
      <c r="J604" s="100"/>
      <c r="K604" s="100"/>
      <c r="L604" s="100"/>
      <c r="M604" s="69"/>
      <c r="N604" s="100"/>
    </row>
    <row r="605">
      <c r="J605" s="100"/>
      <c r="K605" s="100"/>
      <c r="L605" s="100"/>
      <c r="M605" s="69"/>
      <c r="N605" s="100"/>
    </row>
    <row r="606">
      <c r="J606" s="100"/>
      <c r="K606" s="100"/>
      <c r="L606" s="100"/>
      <c r="M606" s="69"/>
      <c r="N606" s="100"/>
    </row>
    <row r="607">
      <c r="J607" s="100"/>
      <c r="K607" s="100"/>
      <c r="L607" s="100"/>
      <c r="M607" s="69"/>
      <c r="N607" s="100"/>
    </row>
    <row r="608">
      <c r="J608" s="100"/>
      <c r="K608" s="100"/>
      <c r="L608" s="100"/>
      <c r="M608" s="69"/>
      <c r="N608" s="100"/>
    </row>
    <row r="609">
      <c r="J609" s="100"/>
      <c r="K609" s="100"/>
      <c r="L609" s="100"/>
      <c r="M609" s="69"/>
      <c r="N609" s="100"/>
    </row>
    <row r="610">
      <c r="J610" s="100"/>
      <c r="K610" s="100"/>
      <c r="L610" s="100"/>
      <c r="M610" s="69"/>
      <c r="N610" s="100"/>
    </row>
    <row r="611">
      <c r="J611" s="100"/>
      <c r="K611" s="100"/>
      <c r="L611" s="100"/>
      <c r="M611" s="69"/>
      <c r="N611" s="100"/>
    </row>
    <row r="612">
      <c r="J612" s="100"/>
      <c r="K612" s="100"/>
      <c r="L612" s="100"/>
      <c r="M612" s="69"/>
      <c r="N612" s="100"/>
    </row>
    <row r="613">
      <c r="J613" s="100"/>
      <c r="K613" s="100"/>
      <c r="L613" s="100"/>
      <c r="M613" s="69"/>
      <c r="N613" s="100"/>
    </row>
    <row r="614">
      <c r="J614" s="100"/>
      <c r="K614" s="100"/>
      <c r="L614" s="100"/>
      <c r="M614" s="69"/>
      <c r="N614" s="100"/>
    </row>
    <row r="615">
      <c r="J615" s="100"/>
      <c r="K615" s="100"/>
      <c r="L615" s="100"/>
      <c r="M615" s="69"/>
      <c r="N615" s="100"/>
    </row>
    <row r="616">
      <c r="J616" s="100"/>
      <c r="K616" s="100"/>
      <c r="L616" s="100"/>
      <c r="M616" s="69"/>
      <c r="N616" s="100"/>
    </row>
    <row r="617">
      <c r="J617" s="100"/>
      <c r="K617" s="100"/>
      <c r="L617" s="100"/>
      <c r="M617" s="69"/>
      <c r="N617" s="100"/>
    </row>
    <row r="618">
      <c r="J618" s="100"/>
      <c r="K618" s="100"/>
      <c r="L618" s="100"/>
      <c r="M618" s="69"/>
      <c r="N618" s="100"/>
    </row>
    <row r="619">
      <c r="J619" s="100"/>
      <c r="K619" s="100"/>
      <c r="L619" s="100"/>
      <c r="M619" s="69"/>
      <c r="N619" s="100"/>
    </row>
    <row r="620">
      <c r="J620" s="100"/>
      <c r="K620" s="100"/>
      <c r="L620" s="100"/>
      <c r="M620" s="69"/>
      <c r="N620" s="100"/>
    </row>
    <row r="621">
      <c r="J621" s="100"/>
      <c r="K621" s="100"/>
      <c r="L621" s="100"/>
      <c r="M621" s="69"/>
      <c r="N621" s="100"/>
    </row>
    <row r="622">
      <c r="J622" s="100"/>
      <c r="K622" s="100"/>
      <c r="L622" s="100"/>
      <c r="M622" s="69"/>
      <c r="N622" s="100"/>
    </row>
    <row r="623">
      <c r="J623" s="100"/>
      <c r="K623" s="100"/>
      <c r="L623" s="100"/>
      <c r="M623" s="69"/>
      <c r="N623" s="100"/>
    </row>
    <row r="624">
      <c r="J624" s="100"/>
      <c r="K624" s="100"/>
      <c r="L624" s="100"/>
      <c r="M624" s="69"/>
      <c r="N624" s="100"/>
    </row>
    <row r="625">
      <c r="J625" s="100"/>
      <c r="K625" s="100"/>
      <c r="L625" s="100"/>
      <c r="M625" s="69"/>
      <c r="N625" s="100"/>
    </row>
    <row r="626">
      <c r="J626" s="100"/>
      <c r="K626" s="100"/>
      <c r="L626" s="100"/>
      <c r="M626" s="69"/>
      <c r="N626" s="100"/>
    </row>
    <row r="627">
      <c r="J627" s="100"/>
      <c r="K627" s="100"/>
      <c r="L627" s="100"/>
      <c r="M627" s="69"/>
      <c r="N627" s="100"/>
    </row>
    <row r="628">
      <c r="J628" s="100"/>
      <c r="K628" s="100"/>
      <c r="L628" s="100"/>
      <c r="M628" s="69"/>
      <c r="N628" s="100"/>
    </row>
    <row r="629">
      <c r="J629" s="100"/>
      <c r="K629" s="100"/>
      <c r="L629" s="100"/>
      <c r="M629" s="69"/>
      <c r="N629" s="100"/>
    </row>
    <row r="630">
      <c r="J630" s="100"/>
      <c r="K630" s="100"/>
      <c r="L630" s="100"/>
      <c r="M630" s="69"/>
      <c r="N630" s="100"/>
    </row>
    <row r="631">
      <c r="J631" s="100"/>
      <c r="K631" s="100"/>
      <c r="L631" s="100"/>
      <c r="M631" s="69"/>
      <c r="N631" s="100"/>
    </row>
    <row r="632">
      <c r="J632" s="100"/>
      <c r="K632" s="100"/>
      <c r="L632" s="100"/>
      <c r="M632" s="69"/>
      <c r="N632" s="100"/>
    </row>
    <row r="633">
      <c r="J633" s="100"/>
      <c r="K633" s="100"/>
      <c r="L633" s="100"/>
      <c r="M633" s="69"/>
      <c r="N633" s="100"/>
    </row>
    <row r="634">
      <c r="J634" s="100"/>
      <c r="K634" s="100"/>
      <c r="L634" s="100"/>
      <c r="M634" s="69"/>
      <c r="N634" s="100"/>
    </row>
    <row r="635">
      <c r="J635" s="100"/>
      <c r="K635" s="100"/>
      <c r="L635" s="100"/>
      <c r="M635" s="69"/>
      <c r="N635" s="100"/>
    </row>
    <row r="636">
      <c r="J636" s="100"/>
      <c r="K636" s="100"/>
      <c r="L636" s="100"/>
      <c r="M636" s="69"/>
      <c r="N636" s="100"/>
    </row>
    <row r="637">
      <c r="J637" s="100"/>
      <c r="K637" s="100"/>
      <c r="L637" s="100"/>
      <c r="M637" s="69"/>
      <c r="N637" s="100"/>
    </row>
    <row r="638">
      <c r="J638" s="100"/>
      <c r="K638" s="100"/>
      <c r="L638" s="100"/>
      <c r="M638" s="69"/>
      <c r="N638" s="100"/>
    </row>
    <row r="639">
      <c r="J639" s="100"/>
      <c r="K639" s="100"/>
      <c r="L639" s="100"/>
      <c r="M639" s="69"/>
      <c r="N639" s="100"/>
    </row>
    <row r="640">
      <c r="J640" s="100"/>
      <c r="K640" s="100"/>
      <c r="L640" s="100"/>
      <c r="M640" s="69"/>
      <c r="N640" s="100"/>
    </row>
    <row r="641">
      <c r="J641" s="100"/>
      <c r="K641" s="100"/>
      <c r="L641" s="100"/>
      <c r="M641" s="69"/>
      <c r="N641" s="100"/>
    </row>
    <row r="642">
      <c r="J642" s="100"/>
      <c r="K642" s="100"/>
      <c r="L642" s="100"/>
      <c r="M642" s="69"/>
      <c r="N642" s="100"/>
    </row>
    <row r="643">
      <c r="J643" s="100"/>
      <c r="K643" s="100"/>
      <c r="L643" s="100"/>
      <c r="M643" s="69"/>
      <c r="N643" s="100"/>
    </row>
    <row r="644">
      <c r="J644" s="100"/>
      <c r="K644" s="100"/>
      <c r="L644" s="100"/>
      <c r="M644" s="69"/>
      <c r="N644" s="100"/>
    </row>
    <row r="645">
      <c r="J645" s="100"/>
      <c r="K645" s="100"/>
      <c r="L645" s="100"/>
      <c r="M645" s="69"/>
      <c r="N645" s="100"/>
    </row>
    <row r="646">
      <c r="J646" s="100"/>
      <c r="K646" s="100"/>
      <c r="L646" s="100"/>
      <c r="M646" s="69"/>
      <c r="N646" s="100"/>
    </row>
    <row r="647">
      <c r="J647" s="100"/>
      <c r="K647" s="100"/>
      <c r="L647" s="100"/>
      <c r="M647" s="69"/>
      <c r="N647" s="100"/>
    </row>
    <row r="648">
      <c r="J648" s="100"/>
      <c r="K648" s="100"/>
      <c r="L648" s="100"/>
      <c r="M648" s="69"/>
      <c r="N648" s="100"/>
    </row>
    <row r="649">
      <c r="J649" s="100"/>
      <c r="K649" s="100"/>
      <c r="L649" s="100"/>
      <c r="M649" s="69"/>
      <c r="N649" s="100"/>
    </row>
    <row r="650">
      <c r="J650" s="100"/>
      <c r="K650" s="100"/>
      <c r="L650" s="100"/>
      <c r="M650" s="69"/>
      <c r="N650" s="100"/>
    </row>
    <row r="651">
      <c r="J651" s="100"/>
      <c r="K651" s="100"/>
      <c r="L651" s="100"/>
      <c r="M651" s="69"/>
      <c r="N651" s="100"/>
    </row>
    <row r="652">
      <c r="J652" s="100"/>
      <c r="K652" s="100"/>
      <c r="L652" s="100"/>
      <c r="M652" s="69"/>
      <c r="N652" s="100"/>
    </row>
    <row r="653">
      <c r="J653" s="100"/>
      <c r="K653" s="100"/>
      <c r="L653" s="100"/>
      <c r="M653" s="69"/>
      <c r="N653" s="100"/>
    </row>
    <row r="654">
      <c r="J654" s="100"/>
      <c r="K654" s="100"/>
      <c r="L654" s="100"/>
      <c r="M654" s="69"/>
      <c r="N654" s="100"/>
    </row>
    <row r="655">
      <c r="J655" s="100"/>
      <c r="K655" s="100"/>
      <c r="L655" s="100"/>
      <c r="M655" s="69"/>
      <c r="N655" s="100"/>
    </row>
    <row r="656">
      <c r="J656" s="100"/>
      <c r="K656" s="100"/>
      <c r="L656" s="100"/>
      <c r="M656" s="69"/>
      <c r="N656" s="100"/>
    </row>
    <row r="657">
      <c r="J657" s="100"/>
      <c r="K657" s="100"/>
      <c r="L657" s="100"/>
      <c r="M657" s="69"/>
      <c r="N657" s="100"/>
    </row>
    <row r="658">
      <c r="J658" s="100"/>
      <c r="K658" s="100"/>
      <c r="L658" s="100"/>
      <c r="M658" s="69"/>
      <c r="N658" s="100"/>
    </row>
    <row r="659">
      <c r="J659" s="100"/>
      <c r="K659" s="100"/>
      <c r="L659" s="100"/>
      <c r="M659" s="69"/>
      <c r="N659" s="100"/>
    </row>
    <row r="660">
      <c r="J660" s="100"/>
      <c r="K660" s="100"/>
      <c r="L660" s="100"/>
      <c r="M660" s="69"/>
      <c r="N660" s="100"/>
    </row>
    <row r="661">
      <c r="J661" s="100"/>
      <c r="K661" s="100"/>
      <c r="L661" s="100"/>
      <c r="M661" s="69"/>
      <c r="N661" s="100"/>
    </row>
    <row r="662">
      <c r="J662" s="100"/>
      <c r="K662" s="100"/>
      <c r="L662" s="100"/>
      <c r="M662" s="69"/>
      <c r="N662" s="100"/>
    </row>
    <row r="663">
      <c r="J663" s="100"/>
      <c r="K663" s="100"/>
      <c r="L663" s="100"/>
      <c r="M663" s="69"/>
      <c r="N663" s="100"/>
    </row>
    <row r="664">
      <c r="J664" s="100"/>
      <c r="K664" s="100"/>
      <c r="L664" s="100"/>
      <c r="M664" s="69"/>
      <c r="N664" s="100"/>
    </row>
    <row r="665">
      <c r="J665" s="100"/>
      <c r="K665" s="100"/>
      <c r="L665" s="100"/>
      <c r="M665" s="69"/>
      <c r="N665" s="100"/>
    </row>
    <row r="666">
      <c r="J666" s="100"/>
      <c r="K666" s="100"/>
      <c r="L666" s="100"/>
      <c r="M666" s="69"/>
      <c r="N666" s="100"/>
    </row>
    <row r="667">
      <c r="J667" s="100"/>
      <c r="K667" s="100"/>
      <c r="L667" s="100"/>
      <c r="M667" s="69"/>
      <c r="N667" s="100"/>
    </row>
    <row r="668">
      <c r="J668" s="100"/>
      <c r="K668" s="100"/>
      <c r="L668" s="100"/>
      <c r="M668" s="69"/>
      <c r="N668" s="100"/>
    </row>
    <row r="669">
      <c r="J669" s="100"/>
      <c r="K669" s="100"/>
      <c r="L669" s="100"/>
      <c r="M669" s="69"/>
      <c r="N669" s="100"/>
    </row>
    <row r="670">
      <c r="J670" s="100"/>
      <c r="K670" s="100"/>
      <c r="L670" s="100"/>
      <c r="M670" s="69"/>
      <c r="N670" s="100"/>
    </row>
    <row r="671">
      <c r="J671" s="100"/>
      <c r="K671" s="100"/>
      <c r="L671" s="100"/>
      <c r="M671" s="69"/>
      <c r="N671" s="100"/>
    </row>
    <row r="672">
      <c r="J672" s="100"/>
      <c r="K672" s="100"/>
      <c r="L672" s="100"/>
      <c r="M672" s="69"/>
      <c r="N672" s="100"/>
    </row>
    <row r="673">
      <c r="J673" s="100"/>
      <c r="K673" s="100"/>
      <c r="L673" s="100"/>
      <c r="M673" s="69"/>
      <c r="N673" s="100"/>
    </row>
    <row r="674">
      <c r="J674" s="100"/>
      <c r="K674" s="100"/>
      <c r="L674" s="100"/>
      <c r="M674" s="69"/>
      <c r="N674" s="100"/>
    </row>
    <row r="675">
      <c r="J675" s="100"/>
      <c r="K675" s="100"/>
      <c r="L675" s="100"/>
      <c r="M675" s="69"/>
      <c r="N675" s="100"/>
    </row>
    <row r="676">
      <c r="J676" s="100"/>
      <c r="K676" s="100"/>
      <c r="L676" s="100"/>
      <c r="M676" s="69"/>
      <c r="N676" s="100"/>
    </row>
    <row r="677">
      <c r="J677" s="100"/>
      <c r="K677" s="100"/>
      <c r="L677" s="100"/>
      <c r="M677" s="69"/>
      <c r="N677" s="100"/>
    </row>
    <row r="678">
      <c r="J678" s="100"/>
      <c r="K678" s="100"/>
      <c r="L678" s="100"/>
      <c r="M678" s="69"/>
      <c r="N678" s="100"/>
    </row>
    <row r="679">
      <c r="J679" s="100"/>
      <c r="K679" s="100"/>
      <c r="L679" s="100"/>
      <c r="M679" s="69"/>
      <c r="N679" s="100"/>
    </row>
    <row r="680">
      <c r="J680" s="100"/>
      <c r="K680" s="100"/>
      <c r="L680" s="100"/>
      <c r="M680" s="69"/>
      <c r="N680" s="100"/>
    </row>
    <row r="681">
      <c r="J681" s="100"/>
      <c r="K681" s="100"/>
      <c r="L681" s="100"/>
      <c r="M681" s="69"/>
      <c r="N681" s="100"/>
    </row>
    <row r="682">
      <c r="J682" s="100"/>
      <c r="K682" s="100"/>
      <c r="L682" s="100"/>
      <c r="M682" s="69"/>
      <c r="N682" s="100"/>
    </row>
    <row r="683">
      <c r="J683" s="100"/>
      <c r="K683" s="100"/>
      <c r="L683" s="100"/>
      <c r="M683" s="69"/>
      <c r="N683" s="100"/>
    </row>
    <row r="684">
      <c r="J684" s="100"/>
      <c r="K684" s="100"/>
      <c r="L684" s="100"/>
      <c r="M684" s="69"/>
      <c r="N684" s="100"/>
    </row>
    <row r="685">
      <c r="J685" s="100"/>
      <c r="K685" s="100"/>
      <c r="L685" s="100"/>
      <c r="M685" s="69"/>
      <c r="N685" s="100"/>
    </row>
    <row r="686">
      <c r="J686" s="100"/>
      <c r="K686" s="100"/>
      <c r="L686" s="100"/>
      <c r="M686" s="69"/>
      <c r="N686" s="100"/>
    </row>
    <row r="687">
      <c r="J687" s="100"/>
      <c r="K687" s="100"/>
      <c r="L687" s="100"/>
      <c r="M687" s="69"/>
      <c r="N687" s="100"/>
    </row>
    <row r="688">
      <c r="J688" s="100"/>
      <c r="K688" s="100"/>
      <c r="L688" s="100"/>
      <c r="M688" s="69"/>
      <c r="N688" s="100"/>
    </row>
    <row r="689">
      <c r="J689" s="100"/>
      <c r="K689" s="100"/>
      <c r="L689" s="100"/>
      <c r="M689" s="69"/>
      <c r="N689" s="100"/>
    </row>
    <row r="690">
      <c r="J690" s="100"/>
      <c r="K690" s="100"/>
      <c r="L690" s="100"/>
      <c r="M690" s="69"/>
      <c r="N690" s="100"/>
    </row>
    <row r="691">
      <c r="J691" s="100"/>
      <c r="K691" s="100"/>
      <c r="L691" s="100"/>
      <c r="M691" s="69"/>
      <c r="N691" s="100"/>
    </row>
    <row r="692">
      <c r="J692" s="100"/>
      <c r="K692" s="100"/>
      <c r="L692" s="100"/>
      <c r="M692" s="69"/>
      <c r="N692" s="100"/>
    </row>
    <row r="693">
      <c r="J693" s="100"/>
      <c r="K693" s="100"/>
      <c r="L693" s="100"/>
      <c r="M693" s="69"/>
      <c r="N693" s="100"/>
    </row>
    <row r="694">
      <c r="J694" s="100"/>
      <c r="K694" s="100"/>
      <c r="L694" s="100"/>
      <c r="M694" s="69"/>
      <c r="N694" s="100"/>
    </row>
    <row r="695">
      <c r="J695" s="100"/>
      <c r="K695" s="100"/>
      <c r="L695" s="100"/>
      <c r="M695" s="69"/>
      <c r="N695" s="100"/>
    </row>
    <row r="696">
      <c r="J696" s="100"/>
      <c r="K696" s="100"/>
      <c r="L696" s="100"/>
      <c r="M696" s="69"/>
      <c r="N696" s="100"/>
    </row>
    <row r="697">
      <c r="J697" s="100"/>
      <c r="K697" s="100"/>
      <c r="L697" s="100"/>
      <c r="M697" s="69"/>
      <c r="N697" s="100"/>
    </row>
    <row r="698">
      <c r="J698" s="100"/>
      <c r="K698" s="100"/>
      <c r="L698" s="100"/>
      <c r="M698" s="69"/>
      <c r="N698" s="100"/>
    </row>
    <row r="699">
      <c r="J699" s="100"/>
      <c r="K699" s="100"/>
      <c r="L699" s="100"/>
      <c r="M699" s="69"/>
      <c r="N699" s="100"/>
    </row>
    <row r="700">
      <c r="J700" s="100"/>
      <c r="K700" s="100"/>
      <c r="L700" s="100"/>
      <c r="M700" s="69"/>
      <c r="N700" s="100"/>
    </row>
    <row r="701">
      <c r="J701" s="100"/>
      <c r="K701" s="100"/>
      <c r="L701" s="100"/>
      <c r="M701" s="69"/>
      <c r="N701" s="100"/>
    </row>
    <row r="702">
      <c r="J702" s="100"/>
      <c r="K702" s="100"/>
      <c r="L702" s="100"/>
      <c r="M702" s="69"/>
      <c r="N702" s="100"/>
    </row>
    <row r="703">
      <c r="J703" s="100"/>
      <c r="K703" s="100"/>
      <c r="L703" s="100"/>
      <c r="M703" s="69"/>
      <c r="N703" s="100"/>
    </row>
    <row r="704">
      <c r="J704" s="100"/>
      <c r="K704" s="100"/>
      <c r="L704" s="100"/>
      <c r="M704" s="69"/>
      <c r="N704" s="100"/>
    </row>
    <row r="705">
      <c r="J705" s="100"/>
      <c r="K705" s="100"/>
      <c r="L705" s="100"/>
      <c r="M705" s="69"/>
      <c r="N705" s="100"/>
    </row>
    <row r="706">
      <c r="J706" s="100"/>
      <c r="K706" s="100"/>
      <c r="L706" s="100"/>
      <c r="M706" s="69"/>
      <c r="N706" s="100"/>
    </row>
    <row r="707">
      <c r="J707" s="100"/>
      <c r="K707" s="100"/>
      <c r="L707" s="100"/>
      <c r="M707" s="69"/>
      <c r="N707" s="100"/>
    </row>
    <row r="708">
      <c r="J708" s="100"/>
      <c r="K708" s="100"/>
      <c r="L708" s="100"/>
      <c r="M708" s="69"/>
      <c r="N708" s="100"/>
    </row>
    <row r="709">
      <c r="J709" s="100"/>
      <c r="K709" s="100"/>
      <c r="L709" s="100"/>
      <c r="M709" s="69"/>
      <c r="N709" s="100"/>
    </row>
    <row r="710">
      <c r="J710" s="100"/>
      <c r="K710" s="100"/>
      <c r="L710" s="100"/>
      <c r="M710" s="69"/>
      <c r="N710" s="100"/>
    </row>
    <row r="711">
      <c r="J711" s="100"/>
      <c r="K711" s="100"/>
      <c r="L711" s="100"/>
      <c r="M711" s="69"/>
      <c r="N711" s="100"/>
    </row>
    <row r="712">
      <c r="J712" s="100"/>
      <c r="K712" s="100"/>
      <c r="L712" s="100"/>
      <c r="M712" s="69"/>
      <c r="N712" s="100"/>
    </row>
    <row r="713">
      <c r="J713" s="100"/>
      <c r="K713" s="100"/>
      <c r="L713" s="100"/>
      <c r="M713" s="69"/>
      <c r="N713" s="100"/>
    </row>
    <row r="714">
      <c r="J714" s="100"/>
      <c r="K714" s="100"/>
      <c r="L714" s="100"/>
      <c r="M714" s="69"/>
      <c r="N714" s="100"/>
    </row>
    <row r="715">
      <c r="J715" s="100"/>
      <c r="K715" s="100"/>
      <c r="L715" s="100"/>
      <c r="M715" s="69"/>
      <c r="N715" s="100"/>
    </row>
    <row r="716">
      <c r="J716" s="100"/>
      <c r="K716" s="100"/>
      <c r="L716" s="100"/>
      <c r="M716" s="69"/>
      <c r="N716" s="100"/>
    </row>
    <row r="717">
      <c r="J717" s="100"/>
      <c r="K717" s="100"/>
      <c r="L717" s="100"/>
      <c r="M717" s="69"/>
      <c r="N717" s="100"/>
    </row>
    <row r="718">
      <c r="J718" s="100"/>
      <c r="K718" s="100"/>
      <c r="L718" s="100"/>
      <c r="M718" s="69"/>
      <c r="N718" s="100"/>
    </row>
    <row r="719">
      <c r="J719" s="100"/>
      <c r="K719" s="100"/>
      <c r="L719" s="100"/>
      <c r="M719" s="69"/>
      <c r="N719" s="100"/>
    </row>
    <row r="720">
      <c r="J720" s="100"/>
      <c r="K720" s="100"/>
      <c r="L720" s="100"/>
      <c r="M720" s="69"/>
      <c r="N720" s="100"/>
    </row>
    <row r="721">
      <c r="J721" s="100"/>
      <c r="K721" s="100"/>
      <c r="L721" s="100"/>
      <c r="M721" s="69"/>
      <c r="N721" s="100"/>
    </row>
    <row r="722">
      <c r="J722" s="100"/>
      <c r="K722" s="100"/>
      <c r="L722" s="100"/>
      <c r="M722" s="69"/>
      <c r="N722" s="100"/>
    </row>
    <row r="723">
      <c r="J723" s="100"/>
      <c r="K723" s="100"/>
      <c r="L723" s="100"/>
      <c r="M723" s="69"/>
      <c r="N723" s="100"/>
    </row>
    <row r="724">
      <c r="J724" s="100"/>
      <c r="K724" s="100"/>
      <c r="L724" s="100"/>
      <c r="M724" s="69"/>
      <c r="N724" s="100"/>
    </row>
    <row r="725">
      <c r="J725" s="100"/>
      <c r="K725" s="100"/>
      <c r="L725" s="100"/>
      <c r="M725" s="69"/>
      <c r="N725" s="100"/>
    </row>
    <row r="726">
      <c r="J726" s="100"/>
      <c r="K726" s="100"/>
      <c r="L726" s="100"/>
      <c r="M726" s="69"/>
      <c r="N726" s="100"/>
    </row>
    <row r="727">
      <c r="J727" s="100"/>
      <c r="K727" s="100"/>
      <c r="L727" s="100"/>
      <c r="M727" s="69"/>
      <c r="N727" s="100"/>
    </row>
    <row r="728">
      <c r="J728" s="100"/>
      <c r="K728" s="100"/>
      <c r="L728" s="100"/>
      <c r="M728" s="69"/>
      <c r="N728" s="100"/>
    </row>
    <row r="729">
      <c r="J729" s="100"/>
      <c r="K729" s="100"/>
      <c r="L729" s="100"/>
      <c r="M729" s="69"/>
      <c r="N729" s="100"/>
    </row>
    <row r="730">
      <c r="J730" s="100"/>
      <c r="K730" s="100"/>
      <c r="L730" s="100"/>
      <c r="M730" s="69"/>
      <c r="N730" s="100"/>
    </row>
    <row r="731">
      <c r="J731" s="100"/>
      <c r="K731" s="100"/>
      <c r="L731" s="100"/>
      <c r="M731" s="69"/>
      <c r="N731" s="100"/>
    </row>
    <row r="732">
      <c r="J732" s="100"/>
      <c r="K732" s="100"/>
      <c r="L732" s="100"/>
      <c r="M732" s="69"/>
      <c r="N732" s="100"/>
    </row>
    <row r="733">
      <c r="J733" s="100"/>
      <c r="K733" s="100"/>
      <c r="L733" s="100"/>
      <c r="M733" s="69"/>
      <c r="N733" s="100"/>
    </row>
    <row r="734">
      <c r="J734" s="100"/>
      <c r="K734" s="100"/>
      <c r="L734" s="100"/>
      <c r="M734" s="69"/>
      <c r="N734" s="100"/>
    </row>
    <row r="735">
      <c r="J735" s="100"/>
      <c r="K735" s="100"/>
      <c r="L735" s="100"/>
      <c r="M735" s="69"/>
      <c r="N735" s="100"/>
    </row>
    <row r="736">
      <c r="J736" s="100"/>
      <c r="K736" s="100"/>
      <c r="L736" s="100"/>
      <c r="M736" s="69"/>
      <c r="N736" s="100"/>
    </row>
    <row r="737">
      <c r="J737" s="100"/>
      <c r="K737" s="100"/>
      <c r="L737" s="100"/>
      <c r="M737" s="69"/>
      <c r="N737" s="100"/>
    </row>
    <row r="738">
      <c r="J738" s="100"/>
      <c r="K738" s="100"/>
      <c r="L738" s="100"/>
      <c r="M738" s="69"/>
      <c r="N738" s="100"/>
    </row>
    <row r="739">
      <c r="J739" s="100"/>
      <c r="K739" s="100"/>
      <c r="L739" s="100"/>
      <c r="M739" s="69"/>
      <c r="N739" s="100"/>
    </row>
    <row r="740">
      <c r="J740" s="100"/>
      <c r="K740" s="100"/>
      <c r="L740" s="100"/>
      <c r="M740" s="69"/>
      <c r="N740" s="100"/>
    </row>
    <row r="741">
      <c r="J741" s="100"/>
      <c r="K741" s="100"/>
      <c r="L741" s="100"/>
      <c r="M741" s="69"/>
      <c r="N741" s="100"/>
    </row>
    <row r="742">
      <c r="J742" s="100"/>
      <c r="K742" s="100"/>
      <c r="L742" s="100"/>
      <c r="M742" s="69"/>
      <c r="N742" s="100"/>
    </row>
    <row r="743">
      <c r="J743" s="100"/>
      <c r="K743" s="100"/>
      <c r="L743" s="100"/>
      <c r="M743" s="69"/>
      <c r="N743" s="100"/>
    </row>
    <row r="744">
      <c r="J744" s="100"/>
      <c r="K744" s="100"/>
      <c r="L744" s="100"/>
      <c r="M744" s="69"/>
      <c r="N744" s="100"/>
    </row>
    <row r="745">
      <c r="J745" s="100"/>
      <c r="K745" s="100"/>
      <c r="L745" s="100"/>
      <c r="M745" s="69"/>
      <c r="N745" s="100"/>
    </row>
    <row r="746">
      <c r="J746" s="100"/>
      <c r="K746" s="100"/>
      <c r="L746" s="100"/>
      <c r="M746" s="69"/>
      <c r="N746" s="100"/>
    </row>
    <row r="747">
      <c r="J747" s="100"/>
      <c r="K747" s="100"/>
      <c r="L747" s="100"/>
      <c r="M747" s="69"/>
      <c r="N747" s="100"/>
    </row>
    <row r="748">
      <c r="J748" s="100"/>
      <c r="K748" s="100"/>
      <c r="L748" s="100"/>
      <c r="M748" s="69"/>
      <c r="N748" s="100"/>
    </row>
    <row r="749">
      <c r="J749" s="100"/>
      <c r="K749" s="100"/>
      <c r="L749" s="100"/>
      <c r="M749" s="69"/>
      <c r="N749" s="100"/>
    </row>
    <row r="750">
      <c r="J750" s="100"/>
      <c r="K750" s="100"/>
      <c r="L750" s="100"/>
      <c r="M750" s="69"/>
      <c r="N750" s="100"/>
    </row>
    <row r="751">
      <c r="J751" s="100"/>
      <c r="K751" s="100"/>
      <c r="L751" s="100"/>
      <c r="M751" s="69"/>
      <c r="N751" s="100"/>
    </row>
    <row r="752">
      <c r="J752" s="100"/>
      <c r="K752" s="100"/>
      <c r="L752" s="100"/>
      <c r="M752" s="69"/>
      <c r="N752" s="100"/>
    </row>
    <row r="753">
      <c r="J753" s="100"/>
      <c r="K753" s="100"/>
      <c r="L753" s="100"/>
      <c r="M753" s="69"/>
      <c r="N753" s="100"/>
    </row>
    <row r="754">
      <c r="J754" s="100"/>
      <c r="K754" s="100"/>
      <c r="L754" s="100"/>
      <c r="M754" s="69"/>
      <c r="N754" s="100"/>
    </row>
    <row r="755">
      <c r="J755" s="100"/>
      <c r="K755" s="100"/>
      <c r="L755" s="100"/>
      <c r="M755" s="69"/>
      <c r="N755" s="100"/>
    </row>
    <row r="756">
      <c r="J756" s="100"/>
      <c r="K756" s="100"/>
      <c r="L756" s="100"/>
      <c r="M756" s="69"/>
      <c r="N756" s="100"/>
    </row>
    <row r="757">
      <c r="J757" s="100"/>
      <c r="K757" s="100"/>
      <c r="L757" s="100"/>
      <c r="M757" s="69"/>
      <c r="N757" s="100"/>
    </row>
    <row r="758">
      <c r="J758" s="100"/>
      <c r="K758" s="100"/>
      <c r="L758" s="100"/>
      <c r="M758" s="69"/>
      <c r="N758" s="100"/>
    </row>
    <row r="759">
      <c r="J759" s="100"/>
      <c r="K759" s="100"/>
      <c r="L759" s="100"/>
      <c r="M759" s="69"/>
      <c r="N759" s="100"/>
    </row>
    <row r="760">
      <c r="J760" s="100"/>
      <c r="K760" s="100"/>
      <c r="L760" s="100"/>
      <c r="M760" s="69"/>
      <c r="N760" s="100"/>
    </row>
    <row r="761">
      <c r="J761" s="100"/>
      <c r="K761" s="100"/>
      <c r="L761" s="100"/>
      <c r="M761" s="69"/>
      <c r="N761" s="100"/>
    </row>
    <row r="762">
      <c r="J762" s="100"/>
      <c r="K762" s="100"/>
      <c r="L762" s="100"/>
      <c r="M762" s="69"/>
      <c r="N762" s="100"/>
    </row>
    <row r="763">
      <c r="J763" s="100"/>
      <c r="K763" s="100"/>
      <c r="L763" s="100"/>
      <c r="M763" s="69"/>
      <c r="N763" s="100"/>
    </row>
    <row r="764">
      <c r="J764" s="100"/>
      <c r="K764" s="100"/>
      <c r="L764" s="100"/>
      <c r="M764" s="69"/>
      <c r="N764" s="100"/>
    </row>
    <row r="765">
      <c r="J765" s="100"/>
      <c r="K765" s="100"/>
      <c r="L765" s="100"/>
      <c r="M765" s="69"/>
      <c r="N765" s="100"/>
    </row>
    <row r="766">
      <c r="J766" s="100"/>
      <c r="K766" s="100"/>
      <c r="L766" s="100"/>
      <c r="M766" s="69"/>
      <c r="N766" s="100"/>
    </row>
    <row r="767">
      <c r="J767" s="100"/>
      <c r="K767" s="100"/>
      <c r="L767" s="100"/>
      <c r="M767" s="69"/>
      <c r="N767" s="100"/>
    </row>
    <row r="768">
      <c r="J768" s="100"/>
      <c r="K768" s="100"/>
      <c r="L768" s="100"/>
      <c r="M768" s="69"/>
      <c r="N768" s="100"/>
    </row>
    <row r="769">
      <c r="J769" s="100"/>
      <c r="K769" s="100"/>
      <c r="L769" s="100"/>
      <c r="M769" s="69"/>
      <c r="N769" s="100"/>
    </row>
    <row r="770">
      <c r="J770" s="100"/>
      <c r="K770" s="100"/>
      <c r="L770" s="100"/>
      <c r="M770" s="69"/>
      <c r="N770" s="100"/>
    </row>
    <row r="771">
      <c r="J771" s="100"/>
      <c r="K771" s="100"/>
      <c r="L771" s="100"/>
      <c r="M771" s="69"/>
      <c r="N771" s="100"/>
    </row>
    <row r="772">
      <c r="J772" s="100"/>
      <c r="K772" s="100"/>
      <c r="L772" s="100"/>
      <c r="M772" s="69"/>
      <c r="N772" s="100"/>
    </row>
    <row r="773">
      <c r="J773" s="100"/>
      <c r="K773" s="100"/>
      <c r="L773" s="100"/>
      <c r="M773" s="69"/>
      <c r="N773" s="100"/>
    </row>
    <row r="774">
      <c r="J774" s="100"/>
      <c r="K774" s="100"/>
      <c r="L774" s="100"/>
      <c r="M774" s="69"/>
      <c r="N774" s="100"/>
    </row>
    <row r="775">
      <c r="J775" s="100"/>
      <c r="K775" s="100"/>
      <c r="L775" s="100"/>
      <c r="M775" s="69"/>
      <c r="N775" s="100"/>
    </row>
    <row r="776">
      <c r="J776" s="100"/>
      <c r="K776" s="100"/>
      <c r="L776" s="100"/>
      <c r="M776" s="69"/>
      <c r="N776" s="100"/>
    </row>
    <row r="777">
      <c r="J777" s="100"/>
      <c r="K777" s="100"/>
      <c r="L777" s="100"/>
      <c r="M777" s="69"/>
      <c r="N777" s="100"/>
    </row>
    <row r="778">
      <c r="J778" s="100"/>
      <c r="K778" s="100"/>
      <c r="L778" s="100"/>
      <c r="M778" s="69"/>
      <c r="N778" s="100"/>
    </row>
    <row r="779">
      <c r="J779" s="100"/>
      <c r="K779" s="100"/>
      <c r="L779" s="100"/>
      <c r="M779" s="69"/>
      <c r="N779" s="100"/>
    </row>
    <row r="780">
      <c r="J780" s="100"/>
      <c r="K780" s="100"/>
      <c r="L780" s="100"/>
      <c r="M780" s="69"/>
      <c r="N780" s="100"/>
    </row>
    <row r="781">
      <c r="J781" s="100"/>
      <c r="K781" s="100"/>
      <c r="L781" s="100"/>
      <c r="M781" s="69"/>
      <c r="N781" s="100"/>
    </row>
    <row r="782">
      <c r="J782" s="100"/>
      <c r="K782" s="100"/>
      <c r="L782" s="100"/>
      <c r="M782" s="69"/>
      <c r="N782" s="100"/>
    </row>
    <row r="783">
      <c r="J783" s="100"/>
      <c r="K783" s="100"/>
      <c r="L783" s="100"/>
      <c r="M783" s="69"/>
      <c r="N783" s="100"/>
    </row>
    <row r="784">
      <c r="J784" s="100"/>
      <c r="K784" s="100"/>
      <c r="L784" s="100"/>
      <c r="M784" s="69"/>
      <c r="N784" s="100"/>
    </row>
    <row r="785">
      <c r="J785" s="100"/>
      <c r="K785" s="100"/>
      <c r="L785" s="100"/>
      <c r="M785" s="69"/>
      <c r="N785" s="100"/>
    </row>
    <row r="786">
      <c r="J786" s="100"/>
      <c r="K786" s="100"/>
      <c r="L786" s="100"/>
      <c r="M786" s="69"/>
      <c r="N786" s="100"/>
    </row>
    <row r="787">
      <c r="J787" s="100"/>
      <c r="K787" s="100"/>
      <c r="L787" s="100"/>
      <c r="M787" s="69"/>
      <c r="N787" s="100"/>
    </row>
    <row r="788">
      <c r="J788" s="100"/>
      <c r="K788" s="100"/>
      <c r="L788" s="100"/>
      <c r="M788" s="69"/>
      <c r="N788" s="100"/>
    </row>
    <row r="789">
      <c r="J789" s="100"/>
      <c r="K789" s="100"/>
      <c r="L789" s="100"/>
      <c r="M789" s="69"/>
      <c r="N789" s="100"/>
    </row>
    <row r="790">
      <c r="J790" s="100"/>
      <c r="K790" s="100"/>
      <c r="L790" s="100"/>
      <c r="M790" s="69"/>
      <c r="N790" s="100"/>
    </row>
    <row r="791">
      <c r="J791" s="100"/>
      <c r="K791" s="100"/>
      <c r="L791" s="100"/>
      <c r="M791" s="69"/>
      <c r="N791" s="100"/>
    </row>
    <row r="792">
      <c r="J792" s="100"/>
      <c r="K792" s="100"/>
      <c r="L792" s="100"/>
      <c r="M792" s="69"/>
      <c r="N792" s="100"/>
    </row>
    <row r="793">
      <c r="J793" s="100"/>
      <c r="K793" s="100"/>
      <c r="L793" s="100"/>
      <c r="M793" s="69"/>
      <c r="N793" s="100"/>
    </row>
    <row r="794">
      <c r="J794" s="100"/>
      <c r="K794" s="100"/>
      <c r="L794" s="100"/>
      <c r="M794" s="69"/>
      <c r="N794" s="100"/>
    </row>
    <row r="795">
      <c r="J795" s="100"/>
      <c r="K795" s="100"/>
      <c r="L795" s="100"/>
      <c r="M795" s="69"/>
      <c r="N795" s="100"/>
    </row>
    <row r="796">
      <c r="J796" s="100"/>
      <c r="K796" s="100"/>
      <c r="L796" s="100"/>
      <c r="M796" s="69"/>
      <c r="N796" s="100"/>
    </row>
    <row r="797">
      <c r="J797" s="100"/>
      <c r="K797" s="100"/>
      <c r="L797" s="100"/>
      <c r="M797" s="69"/>
      <c r="N797" s="100"/>
    </row>
    <row r="798">
      <c r="J798" s="100"/>
      <c r="K798" s="100"/>
      <c r="L798" s="100"/>
      <c r="M798" s="69"/>
      <c r="N798" s="100"/>
    </row>
    <row r="799">
      <c r="J799" s="100"/>
      <c r="K799" s="100"/>
      <c r="L799" s="100"/>
      <c r="M799" s="69"/>
      <c r="N799" s="100"/>
    </row>
    <row r="800">
      <c r="J800" s="100"/>
      <c r="K800" s="100"/>
      <c r="L800" s="100"/>
      <c r="M800" s="69"/>
      <c r="N800" s="100"/>
    </row>
    <row r="801">
      <c r="J801" s="100"/>
      <c r="K801" s="100"/>
      <c r="L801" s="100"/>
      <c r="M801" s="69"/>
      <c r="N801" s="100"/>
    </row>
    <row r="802">
      <c r="J802" s="100"/>
      <c r="K802" s="100"/>
      <c r="L802" s="100"/>
      <c r="M802" s="69"/>
      <c r="N802" s="100"/>
    </row>
    <row r="803">
      <c r="J803" s="100"/>
      <c r="K803" s="100"/>
      <c r="L803" s="100"/>
      <c r="M803" s="69"/>
      <c r="N803" s="100"/>
    </row>
    <row r="804">
      <c r="J804" s="100"/>
      <c r="K804" s="100"/>
      <c r="L804" s="100"/>
      <c r="M804" s="69"/>
      <c r="N804" s="100"/>
    </row>
    <row r="805">
      <c r="J805" s="100"/>
      <c r="K805" s="100"/>
      <c r="L805" s="100"/>
      <c r="M805" s="69"/>
      <c r="N805" s="100"/>
    </row>
    <row r="806">
      <c r="J806" s="100"/>
      <c r="K806" s="100"/>
      <c r="L806" s="100"/>
      <c r="M806" s="69"/>
      <c r="N806" s="100"/>
    </row>
    <row r="807">
      <c r="J807" s="100"/>
      <c r="K807" s="100"/>
      <c r="L807" s="100"/>
      <c r="M807" s="69"/>
      <c r="N807" s="100"/>
    </row>
    <row r="808">
      <c r="J808" s="100"/>
      <c r="K808" s="100"/>
      <c r="L808" s="100"/>
      <c r="M808" s="69"/>
      <c r="N808" s="100"/>
    </row>
    <row r="809">
      <c r="J809" s="100"/>
      <c r="K809" s="100"/>
      <c r="L809" s="100"/>
      <c r="M809" s="69"/>
      <c r="N809" s="100"/>
    </row>
    <row r="810">
      <c r="J810" s="100"/>
      <c r="K810" s="100"/>
      <c r="L810" s="100"/>
      <c r="M810" s="69"/>
      <c r="N810" s="100"/>
    </row>
    <row r="811">
      <c r="J811" s="100"/>
      <c r="K811" s="100"/>
      <c r="L811" s="100"/>
      <c r="M811" s="69"/>
      <c r="N811" s="100"/>
    </row>
    <row r="812">
      <c r="J812" s="100"/>
      <c r="K812" s="100"/>
      <c r="L812" s="100"/>
      <c r="M812" s="69"/>
      <c r="N812" s="100"/>
    </row>
    <row r="813">
      <c r="J813" s="100"/>
      <c r="K813" s="100"/>
      <c r="L813" s="100"/>
      <c r="M813" s="69"/>
      <c r="N813" s="100"/>
    </row>
    <row r="814">
      <c r="J814" s="100"/>
      <c r="K814" s="100"/>
      <c r="L814" s="100"/>
      <c r="M814" s="69"/>
      <c r="N814" s="100"/>
    </row>
    <row r="815">
      <c r="J815" s="100"/>
      <c r="K815" s="100"/>
      <c r="L815" s="100"/>
      <c r="M815" s="69"/>
      <c r="N815" s="100"/>
    </row>
    <row r="816">
      <c r="J816" s="100"/>
      <c r="K816" s="100"/>
      <c r="L816" s="100"/>
      <c r="M816" s="69"/>
      <c r="N816" s="100"/>
    </row>
    <row r="817">
      <c r="J817" s="100"/>
      <c r="K817" s="100"/>
      <c r="L817" s="100"/>
      <c r="M817" s="69"/>
      <c r="N817" s="100"/>
    </row>
    <row r="818">
      <c r="J818" s="100"/>
      <c r="K818" s="100"/>
      <c r="L818" s="100"/>
      <c r="M818" s="69"/>
      <c r="N818" s="100"/>
    </row>
    <row r="819">
      <c r="J819" s="100"/>
      <c r="K819" s="100"/>
      <c r="L819" s="100"/>
      <c r="M819" s="69"/>
      <c r="N819" s="100"/>
    </row>
    <row r="820">
      <c r="J820" s="100"/>
      <c r="K820" s="100"/>
      <c r="L820" s="100"/>
      <c r="M820" s="69"/>
      <c r="N820" s="100"/>
    </row>
    <row r="821">
      <c r="J821" s="100"/>
      <c r="K821" s="100"/>
      <c r="L821" s="100"/>
      <c r="M821" s="69"/>
      <c r="N821" s="100"/>
    </row>
    <row r="822">
      <c r="J822" s="100"/>
      <c r="K822" s="100"/>
      <c r="L822" s="100"/>
      <c r="M822" s="69"/>
      <c r="N822" s="100"/>
    </row>
    <row r="823">
      <c r="J823" s="100"/>
      <c r="K823" s="100"/>
      <c r="L823" s="100"/>
      <c r="M823" s="69"/>
      <c r="N823" s="100"/>
    </row>
    <row r="824">
      <c r="J824" s="100"/>
      <c r="K824" s="100"/>
      <c r="L824" s="100"/>
      <c r="M824" s="69"/>
      <c r="N824" s="100"/>
    </row>
    <row r="825">
      <c r="J825" s="100"/>
      <c r="K825" s="100"/>
      <c r="L825" s="100"/>
      <c r="M825" s="69"/>
      <c r="N825" s="100"/>
    </row>
    <row r="826">
      <c r="J826" s="100"/>
      <c r="K826" s="100"/>
      <c r="L826" s="100"/>
      <c r="M826" s="69"/>
      <c r="N826" s="100"/>
    </row>
    <row r="827">
      <c r="J827" s="100"/>
      <c r="K827" s="100"/>
      <c r="L827" s="100"/>
      <c r="M827" s="69"/>
      <c r="N827" s="100"/>
    </row>
    <row r="828">
      <c r="J828" s="100"/>
      <c r="K828" s="100"/>
      <c r="L828" s="100"/>
      <c r="M828" s="69"/>
      <c r="N828" s="100"/>
    </row>
    <row r="829">
      <c r="J829" s="100"/>
      <c r="K829" s="100"/>
      <c r="L829" s="100"/>
      <c r="M829" s="69"/>
      <c r="N829" s="100"/>
    </row>
    <row r="830">
      <c r="J830" s="100"/>
      <c r="K830" s="100"/>
      <c r="L830" s="100"/>
      <c r="M830" s="69"/>
      <c r="N830" s="100"/>
    </row>
    <row r="831">
      <c r="J831" s="100"/>
      <c r="K831" s="100"/>
      <c r="L831" s="100"/>
      <c r="M831" s="69"/>
      <c r="N831" s="100"/>
    </row>
    <row r="832">
      <c r="J832" s="100"/>
      <c r="K832" s="100"/>
      <c r="L832" s="100"/>
      <c r="M832" s="69"/>
      <c r="N832" s="100"/>
    </row>
    <row r="833">
      <c r="J833" s="100"/>
      <c r="K833" s="100"/>
      <c r="L833" s="100"/>
      <c r="M833" s="69"/>
      <c r="N833" s="100"/>
    </row>
    <row r="834">
      <c r="J834" s="100"/>
      <c r="K834" s="100"/>
      <c r="L834" s="100"/>
      <c r="M834" s="69"/>
      <c r="N834" s="100"/>
    </row>
    <row r="835">
      <c r="J835" s="100"/>
      <c r="K835" s="100"/>
      <c r="L835" s="100"/>
      <c r="M835" s="69"/>
      <c r="N835" s="100"/>
    </row>
    <row r="836">
      <c r="J836" s="100"/>
      <c r="K836" s="100"/>
      <c r="L836" s="100"/>
      <c r="M836" s="69"/>
      <c r="N836" s="100"/>
    </row>
    <row r="837">
      <c r="J837" s="100"/>
      <c r="K837" s="100"/>
      <c r="L837" s="100"/>
      <c r="M837" s="69"/>
      <c r="N837" s="100"/>
    </row>
    <row r="838">
      <c r="J838" s="100"/>
      <c r="K838" s="100"/>
      <c r="L838" s="100"/>
      <c r="M838" s="69"/>
      <c r="N838" s="100"/>
    </row>
    <row r="839">
      <c r="J839" s="100"/>
      <c r="K839" s="100"/>
      <c r="L839" s="100"/>
      <c r="M839" s="69"/>
      <c r="N839" s="100"/>
    </row>
    <row r="840">
      <c r="J840" s="100"/>
      <c r="K840" s="100"/>
      <c r="L840" s="100"/>
      <c r="M840" s="69"/>
      <c r="N840" s="100"/>
    </row>
    <row r="841">
      <c r="J841" s="100"/>
      <c r="K841" s="100"/>
      <c r="L841" s="100"/>
      <c r="M841" s="69"/>
      <c r="N841" s="100"/>
    </row>
    <row r="842">
      <c r="J842" s="100"/>
      <c r="K842" s="100"/>
      <c r="L842" s="100"/>
      <c r="M842" s="69"/>
      <c r="N842" s="100"/>
    </row>
    <row r="843">
      <c r="J843" s="100"/>
      <c r="K843" s="100"/>
      <c r="L843" s="100"/>
      <c r="M843" s="69"/>
      <c r="N843" s="100"/>
    </row>
    <row r="844">
      <c r="J844" s="100"/>
      <c r="K844" s="100"/>
      <c r="L844" s="100"/>
      <c r="M844" s="69"/>
      <c r="N844" s="100"/>
    </row>
    <row r="845">
      <c r="J845" s="100"/>
      <c r="K845" s="100"/>
      <c r="L845" s="100"/>
      <c r="M845" s="69"/>
      <c r="N845" s="100"/>
    </row>
    <row r="846">
      <c r="J846" s="100"/>
      <c r="K846" s="100"/>
      <c r="L846" s="100"/>
      <c r="M846" s="69"/>
      <c r="N846" s="100"/>
    </row>
    <row r="847">
      <c r="J847" s="100"/>
      <c r="K847" s="100"/>
      <c r="L847" s="100"/>
      <c r="M847" s="69"/>
      <c r="N847" s="100"/>
    </row>
    <row r="848">
      <c r="J848" s="100"/>
      <c r="K848" s="100"/>
      <c r="L848" s="100"/>
      <c r="M848" s="69"/>
      <c r="N848" s="100"/>
    </row>
    <row r="849">
      <c r="J849" s="100"/>
      <c r="K849" s="100"/>
      <c r="L849" s="100"/>
      <c r="M849" s="69"/>
      <c r="N849" s="100"/>
    </row>
    <row r="850">
      <c r="J850" s="100"/>
      <c r="K850" s="100"/>
      <c r="L850" s="100"/>
      <c r="M850" s="69"/>
      <c r="N850" s="100"/>
    </row>
    <row r="851">
      <c r="J851" s="100"/>
      <c r="K851" s="100"/>
      <c r="L851" s="100"/>
      <c r="M851" s="69"/>
      <c r="N851" s="100"/>
    </row>
    <row r="852">
      <c r="J852" s="100"/>
      <c r="K852" s="100"/>
      <c r="L852" s="100"/>
      <c r="M852" s="69"/>
      <c r="N852" s="100"/>
    </row>
    <row r="853">
      <c r="J853" s="100"/>
      <c r="K853" s="100"/>
      <c r="L853" s="100"/>
      <c r="M853" s="69"/>
      <c r="N853" s="100"/>
    </row>
    <row r="854">
      <c r="J854" s="100"/>
      <c r="K854" s="100"/>
      <c r="L854" s="100"/>
      <c r="M854" s="69"/>
      <c r="N854" s="100"/>
    </row>
    <row r="855">
      <c r="J855" s="100"/>
      <c r="K855" s="100"/>
      <c r="L855" s="100"/>
      <c r="M855" s="69"/>
      <c r="N855" s="100"/>
    </row>
    <row r="856">
      <c r="J856" s="100"/>
      <c r="K856" s="100"/>
      <c r="L856" s="100"/>
      <c r="M856" s="69"/>
      <c r="N856" s="100"/>
    </row>
    <row r="857">
      <c r="J857" s="100"/>
      <c r="K857" s="100"/>
      <c r="L857" s="100"/>
      <c r="M857" s="69"/>
      <c r="N857" s="100"/>
    </row>
    <row r="858">
      <c r="J858" s="100"/>
      <c r="K858" s="100"/>
      <c r="L858" s="100"/>
      <c r="M858" s="69"/>
      <c r="N858" s="100"/>
    </row>
    <row r="859">
      <c r="J859" s="100"/>
      <c r="K859" s="100"/>
      <c r="L859" s="100"/>
      <c r="M859" s="69"/>
      <c r="N859" s="100"/>
    </row>
    <row r="860">
      <c r="J860" s="100"/>
      <c r="K860" s="100"/>
      <c r="L860" s="100"/>
      <c r="M860" s="69"/>
      <c r="N860" s="100"/>
    </row>
    <row r="861">
      <c r="J861" s="100"/>
      <c r="K861" s="100"/>
      <c r="L861" s="100"/>
      <c r="M861" s="69"/>
      <c r="N861" s="100"/>
    </row>
    <row r="862">
      <c r="J862" s="100"/>
      <c r="K862" s="100"/>
      <c r="L862" s="100"/>
      <c r="M862" s="69"/>
      <c r="N862" s="100"/>
    </row>
    <row r="863">
      <c r="J863" s="100"/>
      <c r="K863" s="100"/>
      <c r="L863" s="100"/>
      <c r="M863" s="69"/>
      <c r="N863" s="100"/>
    </row>
    <row r="864">
      <c r="J864" s="100"/>
      <c r="K864" s="100"/>
      <c r="L864" s="100"/>
      <c r="M864" s="69"/>
      <c r="N864" s="100"/>
    </row>
    <row r="865">
      <c r="J865" s="100"/>
      <c r="K865" s="100"/>
      <c r="L865" s="100"/>
      <c r="M865" s="69"/>
      <c r="N865" s="100"/>
    </row>
    <row r="866">
      <c r="J866" s="100"/>
      <c r="K866" s="100"/>
      <c r="L866" s="100"/>
      <c r="M866" s="69"/>
      <c r="N866" s="100"/>
    </row>
    <row r="867">
      <c r="J867" s="100"/>
      <c r="K867" s="100"/>
      <c r="L867" s="100"/>
      <c r="M867" s="69"/>
      <c r="N867" s="100"/>
    </row>
    <row r="868">
      <c r="J868" s="100"/>
      <c r="K868" s="100"/>
      <c r="L868" s="100"/>
      <c r="M868" s="69"/>
      <c r="N868" s="100"/>
    </row>
    <row r="869">
      <c r="J869" s="100"/>
      <c r="K869" s="100"/>
      <c r="L869" s="100"/>
      <c r="M869" s="69"/>
      <c r="N869" s="100"/>
    </row>
    <row r="870">
      <c r="J870" s="100"/>
      <c r="K870" s="100"/>
      <c r="L870" s="100"/>
      <c r="M870" s="69"/>
      <c r="N870" s="100"/>
    </row>
    <row r="871">
      <c r="J871" s="100"/>
      <c r="K871" s="100"/>
      <c r="L871" s="100"/>
      <c r="M871" s="69"/>
      <c r="N871" s="100"/>
    </row>
    <row r="872">
      <c r="J872" s="100"/>
      <c r="K872" s="100"/>
      <c r="L872" s="100"/>
      <c r="M872" s="69"/>
      <c r="N872" s="100"/>
    </row>
    <row r="873">
      <c r="J873" s="100"/>
      <c r="K873" s="100"/>
      <c r="L873" s="100"/>
      <c r="M873" s="69"/>
      <c r="N873" s="100"/>
    </row>
    <row r="874">
      <c r="J874" s="100"/>
      <c r="K874" s="100"/>
      <c r="L874" s="100"/>
      <c r="M874" s="69"/>
      <c r="N874" s="100"/>
    </row>
    <row r="875">
      <c r="J875" s="100"/>
      <c r="K875" s="100"/>
      <c r="L875" s="100"/>
      <c r="M875" s="69"/>
      <c r="N875" s="100"/>
    </row>
    <row r="876">
      <c r="J876" s="100"/>
      <c r="K876" s="100"/>
      <c r="L876" s="100"/>
      <c r="M876" s="69"/>
      <c r="N876" s="100"/>
    </row>
    <row r="877">
      <c r="J877" s="100"/>
      <c r="K877" s="100"/>
      <c r="L877" s="100"/>
      <c r="M877" s="69"/>
      <c r="N877" s="100"/>
    </row>
    <row r="878">
      <c r="J878" s="100"/>
      <c r="K878" s="100"/>
      <c r="L878" s="100"/>
      <c r="M878" s="69"/>
      <c r="N878" s="100"/>
    </row>
    <row r="879">
      <c r="J879" s="100"/>
      <c r="K879" s="100"/>
      <c r="L879" s="100"/>
      <c r="M879" s="69"/>
      <c r="N879" s="100"/>
    </row>
    <row r="880">
      <c r="J880" s="100"/>
      <c r="K880" s="100"/>
      <c r="L880" s="100"/>
      <c r="M880" s="69"/>
      <c r="N880" s="100"/>
    </row>
    <row r="881">
      <c r="J881" s="100"/>
      <c r="K881" s="100"/>
      <c r="L881" s="100"/>
      <c r="M881" s="69"/>
      <c r="N881" s="100"/>
    </row>
    <row r="882">
      <c r="J882" s="100"/>
      <c r="K882" s="100"/>
      <c r="L882" s="100"/>
      <c r="M882" s="69"/>
      <c r="N882" s="100"/>
    </row>
    <row r="883">
      <c r="J883" s="100"/>
      <c r="K883" s="100"/>
      <c r="L883" s="100"/>
      <c r="M883" s="69"/>
      <c r="N883" s="100"/>
    </row>
    <row r="884">
      <c r="J884" s="100"/>
      <c r="K884" s="100"/>
      <c r="L884" s="100"/>
      <c r="M884" s="69"/>
      <c r="N884" s="100"/>
    </row>
    <row r="885">
      <c r="J885" s="100"/>
      <c r="K885" s="100"/>
      <c r="L885" s="100"/>
      <c r="M885" s="69"/>
      <c r="N885" s="100"/>
    </row>
    <row r="886">
      <c r="J886" s="100"/>
      <c r="K886" s="100"/>
      <c r="L886" s="100"/>
      <c r="M886" s="69"/>
      <c r="N886" s="100"/>
    </row>
    <row r="887">
      <c r="J887" s="100"/>
      <c r="K887" s="100"/>
      <c r="L887" s="100"/>
      <c r="M887" s="69"/>
      <c r="N887" s="100"/>
    </row>
    <row r="888">
      <c r="J888" s="100"/>
      <c r="K888" s="100"/>
      <c r="L888" s="100"/>
      <c r="M888" s="69"/>
      <c r="N888" s="100"/>
    </row>
    <row r="889">
      <c r="J889" s="100"/>
      <c r="K889" s="100"/>
      <c r="L889" s="100"/>
      <c r="M889" s="69"/>
      <c r="N889" s="100"/>
    </row>
    <row r="890">
      <c r="J890" s="100"/>
      <c r="K890" s="100"/>
      <c r="L890" s="100"/>
      <c r="M890" s="69"/>
      <c r="N890" s="100"/>
    </row>
    <row r="891">
      <c r="J891" s="100"/>
      <c r="K891" s="100"/>
      <c r="L891" s="100"/>
      <c r="M891" s="69"/>
      <c r="N891" s="100"/>
    </row>
    <row r="892">
      <c r="J892" s="100"/>
      <c r="K892" s="100"/>
      <c r="L892" s="100"/>
      <c r="M892" s="69"/>
      <c r="N892" s="100"/>
    </row>
    <row r="893">
      <c r="J893" s="100"/>
      <c r="K893" s="100"/>
      <c r="L893" s="100"/>
      <c r="M893" s="69"/>
      <c r="N893" s="100"/>
    </row>
    <row r="894">
      <c r="J894" s="100"/>
      <c r="K894" s="100"/>
      <c r="L894" s="100"/>
      <c r="M894" s="69"/>
      <c r="N894" s="100"/>
    </row>
    <row r="895">
      <c r="J895" s="100"/>
      <c r="K895" s="100"/>
      <c r="L895" s="100"/>
      <c r="M895" s="69"/>
      <c r="N895" s="100"/>
    </row>
    <row r="896">
      <c r="J896" s="100"/>
      <c r="K896" s="100"/>
      <c r="L896" s="100"/>
      <c r="M896" s="69"/>
      <c r="N896" s="100"/>
    </row>
    <row r="897">
      <c r="J897" s="100"/>
      <c r="K897" s="100"/>
      <c r="L897" s="100"/>
      <c r="M897" s="69"/>
      <c r="N897" s="100"/>
    </row>
    <row r="898">
      <c r="J898" s="100"/>
      <c r="K898" s="100"/>
      <c r="L898" s="100"/>
      <c r="M898" s="69"/>
      <c r="N898" s="100"/>
    </row>
    <row r="899">
      <c r="J899" s="100"/>
      <c r="K899" s="100"/>
      <c r="L899" s="100"/>
      <c r="M899" s="69"/>
      <c r="N899" s="100"/>
    </row>
    <row r="900">
      <c r="J900" s="100"/>
      <c r="K900" s="100"/>
      <c r="L900" s="100"/>
      <c r="M900" s="69"/>
      <c r="N900" s="100"/>
    </row>
    <row r="901">
      <c r="J901" s="100"/>
      <c r="K901" s="100"/>
      <c r="L901" s="100"/>
      <c r="M901" s="69"/>
      <c r="N901" s="100"/>
    </row>
    <row r="902">
      <c r="J902" s="100"/>
      <c r="K902" s="100"/>
      <c r="L902" s="100"/>
      <c r="M902" s="69"/>
      <c r="N902" s="100"/>
    </row>
    <row r="903">
      <c r="J903" s="100"/>
      <c r="K903" s="100"/>
      <c r="L903" s="100"/>
      <c r="M903" s="69"/>
      <c r="N903" s="100"/>
    </row>
    <row r="904">
      <c r="J904" s="100"/>
      <c r="K904" s="100"/>
      <c r="L904" s="100"/>
      <c r="M904" s="69"/>
      <c r="N904" s="100"/>
    </row>
    <row r="905">
      <c r="J905" s="100"/>
      <c r="K905" s="100"/>
      <c r="L905" s="100"/>
      <c r="M905" s="69"/>
      <c r="N905" s="100"/>
    </row>
    <row r="906">
      <c r="J906" s="100"/>
      <c r="K906" s="100"/>
      <c r="L906" s="100"/>
      <c r="M906" s="69"/>
      <c r="N906" s="100"/>
    </row>
    <row r="907">
      <c r="J907" s="100"/>
      <c r="K907" s="100"/>
      <c r="L907" s="100"/>
      <c r="M907" s="69"/>
      <c r="N907" s="100"/>
    </row>
    <row r="908">
      <c r="J908" s="100"/>
      <c r="K908" s="100"/>
      <c r="L908" s="100"/>
      <c r="M908" s="69"/>
      <c r="N908" s="100"/>
    </row>
    <row r="909">
      <c r="J909" s="100"/>
      <c r="K909" s="100"/>
      <c r="L909" s="100"/>
      <c r="M909" s="69"/>
      <c r="N909" s="100"/>
    </row>
    <row r="910">
      <c r="J910" s="100"/>
      <c r="K910" s="100"/>
      <c r="L910" s="100"/>
      <c r="M910" s="69"/>
      <c r="N910" s="100"/>
    </row>
    <row r="911">
      <c r="J911" s="100"/>
      <c r="K911" s="100"/>
      <c r="L911" s="100"/>
      <c r="M911" s="69"/>
      <c r="N911" s="100"/>
    </row>
    <row r="912">
      <c r="J912" s="100"/>
      <c r="K912" s="100"/>
      <c r="L912" s="100"/>
      <c r="M912" s="69"/>
      <c r="N912" s="100"/>
    </row>
    <row r="913">
      <c r="J913" s="100"/>
      <c r="K913" s="100"/>
      <c r="L913" s="100"/>
      <c r="M913" s="69"/>
      <c r="N913" s="100"/>
    </row>
    <row r="914">
      <c r="J914" s="100"/>
      <c r="K914" s="100"/>
      <c r="L914" s="100"/>
      <c r="M914" s="69"/>
      <c r="N914" s="100"/>
    </row>
    <row r="915">
      <c r="J915" s="100"/>
      <c r="K915" s="100"/>
      <c r="L915" s="100"/>
      <c r="M915" s="69"/>
      <c r="N915" s="100"/>
    </row>
    <row r="916">
      <c r="J916" s="100"/>
      <c r="K916" s="100"/>
      <c r="L916" s="100"/>
      <c r="M916" s="69"/>
      <c r="N916" s="100"/>
    </row>
    <row r="917">
      <c r="J917" s="100"/>
      <c r="K917" s="100"/>
      <c r="L917" s="100"/>
      <c r="M917" s="69"/>
      <c r="N917" s="100"/>
    </row>
    <row r="918">
      <c r="J918" s="100"/>
      <c r="K918" s="100"/>
      <c r="L918" s="100"/>
      <c r="M918" s="69"/>
      <c r="N918" s="100"/>
    </row>
    <row r="919">
      <c r="J919" s="100"/>
      <c r="K919" s="100"/>
      <c r="L919" s="100"/>
      <c r="M919" s="69"/>
      <c r="N919" s="100"/>
    </row>
    <row r="920">
      <c r="J920" s="100"/>
      <c r="K920" s="100"/>
      <c r="L920" s="100"/>
      <c r="M920" s="69"/>
      <c r="N920" s="100"/>
    </row>
    <row r="921">
      <c r="J921" s="100"/>
      <c r="K921" s="100"/>
      <c r="L921" s="100"/>
      <c r="M921" s="69"/>
      <c r="N921" s="100"/>
    </row>
    <row r="922">
      <c r="J922" s="100"/>
      <c r="K922" s="100"/>
      <c r="L922" s="100"/>
      <c r="M922" s="69"/>
      <c r="N922" s="100"/>
    </row>
    <row r="923">
      <c r="J923" s="100"/>
      <c r="K923" s="100"/>
      <c r="L923" s="100"/>
      <c r="M923" s="69"/>
      <c r="N923" s="100"/>
    </row>
    <row r="924">
      <c r="J924" s="100"/>
      <c r="K924" s="100"/>
      <c r="L924" s="100"/>
      <c r="M924" s="69"/>
      <c r="N924" s="100"/>
    </row>
    <row r="925">
      <c r="J925" s="100"/>
      <c r="K925" s="100"/>
      <c r="L925" s="100"/>
      <c r="M925" s="69"/>
      <c r="N925" s="100"/>
    </row>
    <row r="926">
      <c r="J926" s="100"/>
      <c r="K926" s="100"/>
      <c r="L926" s="100"/>
      <c r="M926" s="69"/>
      <c r="N926" s="100"/>
    </row>
    <row r="927">
      <c r="J927" s="100"/>
      <c r="K927" s="100"/>
      <c r="L927" s="100"/>
      <c r="M927" s="69"/>
      <c r="N927" s="100"/>
    </row>
    <row r="928">
      <c r="J928" s="100"/>
      <c r="K928" s="100"/>
      <c r="L928" s="100"/>
      <c r="M928" s="69"/>
      <c r="N928" s="100"/>
    </row>
    <row r="929">
      <c r="J929" s="100"/>
      <c r="K929" s="100"/>
      <c r="L929" s="100"/>
      <c r="M929" s="69"/>
      <c r="N929" s="100"/>
    </row>
    <row r="930">
      <c r="J930" s="100"/>
      <c r="K930" s="100"/>
      <c r="L930" s="100"/>
      <c r="M930" s="69"/>
      <c r="N930" s="100"/>
    </row>
    <row r="931">
      <c r="J931" s="100"/>
      <c r="K931" s="100"/>
      <c r="L931" s="100"/>
      <c r="M931" s="69"/>
      <c r="N931" s="100"/>
    </row>
    <row r="932">
      <c r="J932" s="100"/>
      <c r="K932" s="100"/>
      <c r="L932" s="100"/>
      <c r="M932" s="69"/>
      <c r="N932" s="100"/>
    </row>
    <row r="933">
      <c r="J933" s="100"/>
      <c r="K933" s="100"/>
      <c r="L933" s="100"/>
      <c r="M933" s="69"/>
      <c r="N933" s="100"/>
    </row>
    <row r="934">
      <c r="J934" s="100"/>
      <c r="K934" s="100"/>
      <c r="L934" s="100"/>
      <c r="M934" s="69"/>
      <c r="N934" s="100"/>
    </row>
    <row r="935">
      <c r="J935" s="100"/>
      <c r="K935" s="100"/>
      <c r="L935" s="100"/>
      <c r="M935" s="69"/>
      <c r="N935" s="100"/>
    </row>
    <row r="936">
      <c r="J936" s="100"/>
      <c r="K936" s="100"/>
      <c r="L936" s="100"/>
      <c r="M936" s="69"/>
      <c r="N936" s="100"/>
    </row>
    <row r="937">
      <c r="J937" s="100"/>
      <c r="K937" s="100"/>
      <c r="L937" s="100"/>
      <c r="M937" s="69"/>
      <c r="N937" s="100"/>
    </row>
    <row r="938">
      <c r="J938" s="100"/>
      <c r="K938" s="100"/>
      <c r="L938" s="100"/>
      <c r="M938" s="69"/>
      <c r="N938" s="100"/>
    </row>
    <row r="939">
      <c r="J939" s="100"/>
      <c r="K939" s="100"/>
      <c r="L939" s="100"/>
      <c r="M939" s="69"/>
      <c r="N939" s="100"/>
    </row>
    <row r="940">
      <c r="J940" s="100"/>
      <c r="K940" s="100"/>
      <c r="L940" s="100"/>
      <c r="M940" s="69"/>
      <c r="N940" s="100"/>
    </row>
    <row r="941">
      <c r="J941" s="100"/>
      <c r="K941" s="100"/>
      <c r="L941" s="100"/>
      <c r="M941" s="69"/>
      <c r="N941" s="100"/>
    </row>
    <row r="942">
      <c r="J942" s="100"/>
      <c r="K942" s="100"/>
      <c r="L942" s="100"/>
      <c r="M942" s="69"/>
      <c r="N942" s="100"/>
    </row>
    <row r="943">
      <c r="J943" s="100"/>
      <c r="K943" s="100"/>
      <c r="L943" s="100"/>
      <c r="M943" s="69"/>
      <c r="N943" s="100"/>
    </row>
    <row r="944">
      <c r="J944" s="100"/>
      <c r="K944" s="100"/>
      <c r="L944" s="100"/>
      <c r="M944" s="69"/>
      <c r="N944" s="100"/>
    </row>
    <row r="945">
      <c r="J945" s="100"/>
      <c r="K945" s="100"/>
      <c r="L945" s="100"/>
      <c r="M945" s="69"/>
      <c r="N945" s="100"/>
    </row>
    <row r="946">
      <c r="J946" s="100"/>
      <c r="K946" s="100"/>
      <c r="L946" s="100"/>
      <c r="M946" s="69"/>
      <c r="N946" s="100"/>
    </row>
    <row r="947">
      <c r="J947" s="100"/>
      <c r="K947" s="100"/>
      <c r="L947" s="100"/>
      <c r="M947" s="69"/>
      <c r="N947" s="100"/>
    </row>
    <row r="948">
      <c r="J948" s="100"/>
      <c r="K948" s="100"/>
      <c r="L948" s="100"/>
      <c r="M948" s="69"/>
      <c r="N948" s="100"/>
    </row>
    <row r="949">
      <c r="J949" s="100"/>
      <c r="K949" s="100"/>
      <c r="L949" s="100"/>
      <c r="M949" s="69"/>
      <c r="N949" s="100"/>
    </row>
    <row r="950">
      <c r="J950" s="100"/>
      <c r="K950" s="100"/>
      <c r="L950" s="100"/>
      <c r="M950" s="69"/>
      <c r="N950" s="100"/>
    </row>
    <row r="951">
      <c r="J951" s="100"/>
      <c r="K951" s="100"/>
      <c r="L951" s="100"/>
      <c r="M951" s="69"/>
      <c r="N951" s="100"/>
    </row>
    <row r="952">
      <c r="J952" s="100"/>
      <c r="K952" s="100"/>
      <c r="L952" s="100"/>
      <c r="M952" s="69"/>
      <c r="N952" s="100"/>
    </row>
    <row r="953">
      <c r="J953" s="100"/>
      <c r="K953" s="100"/>
      <c r="L953" s="100"/>
      <c r="M953" s="69"/>
      <c r="N953" s="100"/>
    </row>
    <row r="954">
      <c r="J954" s="100"/>
      <c r="K954" s="100"/>
      <c r="L954" s="100"/>
      <c r="M954" s="69"/>
      <c r="N954" s="100"/>
    </row>
    <row r="955">
      <c r="J955" s="100"/>
      <c r="K955" s="100"/>
      <c r="L955" s="100"/>
      <c r="M955" s="69"/>
      <c r="N955" s="100"/>
    </row>
    <row r="956">
      <c r="J956" s="100"/>
      <c r="K956" s="100"/>
      <c r="L956" s="100"/>
      <c r="M956" s="69"/>
      <c r="N956" s="100"/>
    </row>
    <row r="957">
      <c r="J957" s="100"/>
      <c r="K957" s="100"/>
      <c r="L957" s="100"/>
      <c r="M957" s="69"/>
      <c r="N957" s="100"/>
    </row>
    <row r="958">
      <c r="J958" s="100"/>
      <c r="K958" s="100"/>
      <c r="L958" s="100"/>
      <c r="M958" s="69"/>
      <c r="N958" s="100"/>
    </row>
    <row r="959">
      <c r="J959" s="100"/>
      <c r="K959" s="100"/>
      <c r="L959" s="100"/>
      <c r="M959" s="69"/>
      <c r="N959" s="100"/>
    </row>
    <row r="960">
      <c r="J960" s="100"/>
      <c r="K960" s="100"/>
      <c r="L960" s="100"/>
      <c r="M960" s="69"/>
      <c r="N960" s="100"/>
    </row>
    <row r="961">
      <c r="J961" s="100"/>
      <c r="K961" s="100"/>
      <c r="L961" s="100"/>
      <c r="M961" s="69"/>
      <c r="N961" s="100"/>
    </row>
    <row r="962">
      <c r="J962" s="100"/>
      <c r="K962" s="100"/>
      <c r="L962" s="100"/>
      <c r="M962" s="69"/>
      <c r="N962" s="100"/>
    </row>
    <row r="963">
      <c r="J963" s="100"/>
      <c r="K963" s="100"/>
      <c r="L963" s="100"/>
      <c r="M963" s="69"/>
      <c r="N963" s="100"/>
    </row>
    <row r="964">
      <c r="J964" s="100"/>
      <c r="K964" s="100"/>
      <c r="L964" s="100"/>
      <c r="M964" s="69"/>
      <c r="N964" s="100"/>
    </row>
    <row r="965">
      <c r="J965" s="100"/>
      <c r="K965" s="100"/>
      <c r="L965" s="100"/>
      <c r="M965" s="69"/>
      <c r="N965" s="100"/>
    </row>
    <row r="966">
      <c r="J966" s="100"/>
      <c r="K966" s="100"/>
      <c r="L966" s="100"/>
      <c r="M966" s="69"/>
      <c r="N966" s="100"/>
    </row>
    <row r="967">
      <c r="J967" s="100"/>
      <c r="K967" s="100"/>
      <c r="L967" s="100"/>
      <c r="M967" s="69"/>
      <c r="N967" s="100"/>
    </row>
    <row r="968">
      <c r="J968" s="100"/>
      <c r="K968" s="100"/>
      <c r="L968" s="100"/>
      <c r="M968" s="69"/>
      <c r="N968" s="100"/>
    </row>
    <row r="969">
      <c r="J969" s="100"/>
      <c r="K969" s="100"/>
      <c r="L969" s="100"/>
      <c r="M969" s="69"/>
      <c r="N969" s="100"/>
    </row>
    <row r="970">
      <c r="J970" s="100"/>
      <c r="K970" s="100"/>
      <c r="L970" s="100"/>
      <c r="M970" s="69"/>
      <c r="N970" s="100"/>
    </row>
    <row r="971">
      <c r="J971" s="100"/>
      <c r="K971" s="100"/>
      <c r="L971" s="100"/>
      <c r="M971" s="69"/>
      <c r="N971" s="100"/>
    </row>
    <row r="972">
      <c r="J972" s="100"/>
      <c r="K972" s="100"/>
      <c r="L972" s="100"/>
      <c r="M972" s="69"/>
      <c r="N972" s="100"/>
    </row>
    <row r="973">
      <c r="J973" s="100"/>
      <c r="K973" s="100"/>
      <c r="L973" s="100"/>
      <c r="M973" s="69"/>
      <c r="N973" s="100"/>
    </row>
    <row r="974">
      <c r="J974" s="100"/>
      <c r="K974" s="100"/>
      <c r="L974" s="100"/>
      <c r="M974" s="69"/>
      <c r="N974" s="100"/>
    </row>
    <row r="975">
      <c r="J975" s="100"/>
      <c r="K975" s="100"/>
      <c r="L975" s="100"/>
      <c r="M975" s="69"/>
      <c r="N975" s="100"/>
    </row>
    <row r="976">
      <c r="J976" s="100"/>
      <c r="K976" s="100"/>
      <c r="L976" s="100"/>
      <c r="M976" s="69"/>
      <c r="N976" s="100"/>
    </row>
    <row r="977">
      <c r="J977" s="100"/>
      <c r="K977" s="100"/>
      <c r="L977" s="100"/>
      <c r="M977" s="69"/>
      <c r="N977" s="100"/>
    </row>
    <row r="978">
      <c r="J978" s="100"/>
      <c r="K978" s="100"/>
      <c r="L978" s="100"/>
      <c r="M978" s="69"/>
      <c r="N978" s="100"/>
    </row>
    <row r="979">
      <c r="J979" s="100"/>
      <c r="K979" s="100"/>
      <c r="L979" s="100"/>
      <c r="M979" s="69"/>
      <c r="N979" s="100"/>
    </row>
    <row r="980">
      <c r="J980" s="100"/>
      <c r="K980" s="100"/>
      <c r="L980" s="100"/>
      <c r="M980" s="69"/>
      <c r="N980" s="100"/>
    </row>
    <row r="981">
      <c r="J981" s="100"/>
      <c r="K981" s="100"/>
      <c r="L981" s="100"/>
      <c r="M981" s="69"/>
      <c r="N981" s="100"/>
    </row>
    <row r="982">
      <c r="J982" s="100"/>
      <c r="K982" s="100"/>
      <c r="L982" s="100"/>
      <c r="M982" s="69"/>
      <c r="N982" s="100"/>
    </row>
    <row r="983">
      <c r="J983" s="100"/>
      <c r="K983" s="100"/>
      <c r="L983" s="100"/>
      <c r="M983" s="69"/>
      <c r="N983" s="100"/>
    </row>
    <row r="984">
      <c r="J984" s="100"/>
      <c r="K984" s="100"/>
      <c r="L984" s="100"/>
      <c r="M984" s="69"/>
      <c r="N984" s="100"/>
    </row>
    <row r="985">
      <c r="J985" s="100"/>
      <c r="K985" s="100"/>
      <c r="L985" s="100"/>
      <c r="M985" s="69"/>
      <c r="N985" s="100"/>
    </row>
    <row r="986">
      <c r="J986" s="100"/>
      <c r="K986" s="100"/>
      <c r="L986" s="100"/>
      <c r="M986" s="69"/>
      <c r="N986" s="100"/>
    </row>
    <row r="987">
      <c r="J987" s="100"/>
      <c r="K987" s="100"/>
      <c r="L987" s="100"/>
      <c r="M987" s="69"/>
      <c r="N987" s="100"/>
    </row>
    <row r="988">
      <c r="J988" s="100"/>
      <c r="K988" s="100"/>
      <c r="L988" s="100"/>
      <c r="M988" s="69"/>
      <c r="N988" s="100"/>
    </row>
    <row r="989">
      <c r="J989" s="100"/>
      <c r="K989" s="100"/>
      <c r="L989" s="100"/>
      <c r="M989" s="69"/>
      <c r="N989" s="100"/>
    </row>
    <row r="990">
      <c r="J990" s="100"/>
      <c r="K990" s="100"/>
      <c r="L990" s="100"/>
      <c r="M990" s="69"/>
      <c r="N990" s="100"/>
    </row>
    <row r="991">
      <c r="J991" s="100"/>
      <c r="K991" s="100"/>
      <c r="L991" s="100"/>
      <c r="M991" s="69"/>
      <c r="N991" s="100"/>
    </row>
    <row r="992">
      <c r="J992" s="100"/>
      <c r="K992" s="100"/>
      <c r="L992" s="100"/>
      <c r="M992" s="69"/>
      <c r="N992" s="100"/>
    </row>
    <row r="993">
      <c r="J993" s="100"/>
      <c r="K993" s="100"/>
      <c r="L993" s="100"/>
      <c r="M993" s="69"/>
      <c r="N993" s="100"/>
    </row>
    <row r="994">
      <c r="J994" s="100"/>
      <c r="K994" s="100"/>
      <c r="L994" s="100"/>
      <c r="M994" s="69"/>
      <c r="N994" s="100"/>
    </row>
    <row r="995">
      <c r="J995" s="100"/>
      <c r="K995" s="100"/>
      <c r="L995" s="100"/>
      <c r="M995" s="69"/>
      <c r="N995" s="100"/>
    </row>
    <row r="996">
      <c r="J996" s="100"/>
      <c r="K996" s="100"/>
      <c r="L996" s="100"/>
      <c r="M996" s="69"/>
      <c r="N996" s="100"/>
    </row>
    <row r="997">
      <c r="J997" s="100"/>
      <c r="K997" s="100"/>
      <c r="L997" s="100"/>
      <c r="M997" s="69"/>
      <c r="N997" s="100"/>
    </row>
    <row r="998">
      <c r="J998" s="100"/>
      <c r="K998" s="100"/>
      <c r="L998" s="100"/>
      <c r="M998" s="69"/>
      <c r="N998" s="100"/>
    </row>
    <row r="999">
      <c r="J999" s="100"/>
      <c r="K999" s="100"/>
      <c r="L999" s="100"/>
      <c r="M999" s="69"/>
      <c r="N999" s="100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1" max="5" width="12.63"/>
  </cols>
  <sheetData>
    <row r="1">
      <c r="A1" s="102" t="str">
        <f>IFERROR(__xludf.DUMMYFUNCTION("QUERY(event2, ""select N,X,A,K label N'category', X'country', A'order', K'total revenue'"")"),"category")</f>
        <v>category</v>
      </c>
      <c r="B1" s="102" t="str">
        <f>IFERROR(__xludf.DUMMYFUNCTION("""COMPUTED_VALUE"""),"country")</f>
        <v>country</v>
      </c>
      <c r="C1" s="102" t="str">
        <f>IFERROR(__xludf.DUMMYFUNCTION("""COMPUTED_VALUE"""),"order")</f>
        <v>order</v>
      </c>
      <c r="D1" s="102" t="str">
        <f>IFERROR(__xludf.DUMMYFUNCTION("""COMPUTED_VALUE"""),"total revenue")</f>
        <v>total revenue</v>
      </c>
      <c r="E1" s="102"/>
      <c r="F1" s="102"/>
      <c r="G1" s="102"/>
      <c r="H1" s="103"/>
      <c r="I1" s="104"/>
      <c r="J1" s="104"/>
      <c r="K1" s="104"/>
      <c r="M1" s="105"/>
      <c r="N1" s="104"/>
      <c r="O1" s="104"/>
      <c r="P1" s="104"/>
      <c r="Q1" s="104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</row>
    <row r="2">
      <c r="A2" s="46" t="str">
        <f>IFERROR(__xludf.DUMMYFUNCTION("""COMPUTED_VALUE"""),"Cereal")</f>
        <v>Cereal</v>
      </c>
      <c r="B2" s="46" t="str">
        <f>IFERROR(__xludf.DUMMYFUNCTION("""COMPUTED_VALUE"""),"Norway")</f>
        <v>Norway</v>
      </c>
      <c r="C2" s="46">
        <f>IFERROR(__xludf.DUMMYFUNCTION("""COMPUTED_VALUE"""),1.00640618E8)</f>
        <v>100640618</v>
      </c>
      <c r="D2" s="84">
        <f>IFERROR(__xludf.DUMMYFUNCTION("""COMPUTED_VALUE"""),133705.0)</f>
        <v>133705</v>
      </c>
      <c r="F2" s="56" t="s">
        <v>69</v>
      </c>
      <c r="H2" s="48"/>
      <c r="I2" s="38"/>
      <c r="J2" s="38"/>
      <c r="K2" s="38"/>
      <c r="M2" s="87"/>
      <c r="N2" s="38"/>
      <c r="O2" s="106" t="s">
        <v>7</v>
      </c>
      <c r="P2" s="107"/>
      <c r="Q2" s="107"/>
      <c r="R2" s="38"/>
      <c r="S2" s="38"/>
      <c r="T2" s="38"/>
    </row>
    <row r="3">
      <c r="A3" s="46" t="str">
        <f>IFERROR(__xludf.DUMMYFUNCTION("""COMPUTED_VALUE"""),"Cereal")</f>
        <v>Cereal</v>
      </c>
      <c r="B3" s="46" t="str">
        <f>IFERROR(__xludf.DUMMYFUNCTION("""COMPUTED_VALUE"""),"Serbia")</f>
        <v>Serbia</v>
      </c>
      <c r="C3" s="46">
        <f>IFERROR(__xludf.DUMMYFUNCTION("""COMPUTED_VALUE"""),1.00983083E8)</f>
        <v>100983083</v>
      </c>
      <c r="D3" s="84">
        <f>IFERROR(__xludf.DUMMYFUNCTION("""COMPUTED_VALUE"""),409960.1)</f>
        <v>409960.1</v>
      </c>
      <c r="F3" s="108" t="str">
        <f>IFERROR(__xludf.DUMMYFUNCTION("IF($F$2=$C$1, QUERY(abc_table, ""select A, count(C) group by A order by count(C) desc label A'category', count(C)'sales'""), QUERY(abc_table, ""select A, sum(D) group by A order by sum(D) desc label A'category', sum(D)'revenue'""))"),"category")</f>
        <v>category</v>
      </c>
      <c r="G3" s="108" t="str">
        <f>IFERROR(__xludf.DUMMYFUNCTION("""COMPUTED_VALUE"""),"sales")</f>
        <v>sales</v>
      </c>
      <c r="H3" s="109" t="s">
        <v>70</v>
      </c>
      <c r="I3" s="110" t="s">
        <v>8</v>
      </c>
      <c r="J3" s="110" t="s">
        <v>9</v>
      </c>
      <c r="K3" s="110" t="s">
        <v>10</v>
      </c>
      <c r="N3" s="38"/>
      <c r="O3" s="111" t="str">
        <f>IFERROR(__xludf.DUMMYFUNCTION("IF($O$2=$C$1, QUERY(abc_table, ""select B, count(C) where B &lt;&gt; 'Undefined' group by B order by count(C) desc label B'country', count(C)'order'""), QUERY(abc_table, ""select B, sum(D) where B &lt;&gt; 'Undefined' group by B order by sum(D) desc label B'country',"&amp;" sum(D)'revenue'""))"),"country")</f>
        <v>country</v>
      </c>
      <c r="P3" s="111" t="str">
        <f>IFERROR(__xludf.DUMMYFUNCTION("""COMPUTED_VALUE"""),"revenue")</f>
        <v>revenue</v>
      </c>
      <c r="Q3" s="112" t="s">
        <v>71</v>
      </c>
      <c r="R3" s="110" t="s">
        <v>8</v>
      </c>
      <c r="S3" s="110" t="s">
        <v>9</v>
      </c>
      <c r="T3" s="110" t="s">
        <v>10</v>
      </c>
    </row>
    <row r="4">
      <c r="A4" s="46" t="str">
        <f>IFERROR(__xludf.DUMMYFUNCTION("""COMPUTED_VALUE"""),"Household")</f>
        <v>Household</v>
      </c>
      <c r="B4" s="46" t="str">
        <f>IFERROR(__xludf.DUMMYFUNCTION("""COMPUTED_VALUE"""),"Undefined")</f>
        <v>Undefined</v>
      </c>
      <c r="C4" s="46">
        <f>IFERROR(__xludf.DUMMYFUNCTION("""COMPUTED_VALUE"""),1.01025998E8)</f>
        <v>101025998</v>
      </c>
      <c r="D4" s="84">
        <f>IFERROR(__xludf.DUMMYFUNCTION("""COMPUTED_VALUE"""),3136191.11)</f>
        <v>3136191.11</v>
      </c>
      <c r="F4" s="46" t="str">
        <f>IFERROR(__xludf.DUMMYFUNCTION("""COMPUTED_VALUE"""),"Office Supplies")</f>
        <v>Office Supplies</v>
      </c>
      <c r="G4" s="46">
        <f>IFERROR(__xludf.DUMMYFUNCTION("""COMPUTED_VALUE"""),123.0)</f>
        <v>123</v>
      </c>
      <c r="H4" s="48">
        <f t="array" ref="H4">IF(F4&lt;&gt;"",SUM(G$4:G4)/SUM(G$4:G$48), "")</f>
        <v>0.09248120301</v>
      </c>
      <c r="I4" s="113">
        <f t="shared" ref="I4:I48" si="1">IF($H4&lt;=80%, $G4, "")</f>
        <v>123</v>
      </c>
      <c r="J4" s="113" t="str">
        <f t="shared" ref="J4:J48" si="2">IF(AND($H4&lt;=95%, $H4&gt;80%), $G4, "")</f>
        <v/>
      </c>
      <c r="K4" s="113" t="str">
        <f t="shared" ref="K4:K48" si="3">IF(AND($H4&lt;=100%, $H4&gt;95%), $G4, "")</f>
        <v/>
      </c>
      <c r="M4" s="48"/>
      <c r="N4" s="113"/>
      <c r="O4" s="113" t="str">
        <f>IFERROR(__xludf.DUMMYFUNCTION("""COMPUTED_VALUE"""),"Czech Republic")</f>
        <v>Czech Republic</v>
      </c>
      <c r="P4" s="38">
        <f>IFERROR(__xludf.DUMMYFUNCTION("""COMPUTED_VALUE"""),5.354393214E7)</f>
        <v>53543932.14</v>
      </c>
      <c r="Q4" s="114">
        <f t="array" ref="Q4">IF(O4&lt;&gt;"",SUM(P$4:P4)/SUM(P$4:P$49), "")</f>
        <v>0.0334340163</v>
      </c>
      <c r="R4" s="113">
        <f t="shared" ref="R4:R49" si="4">IF($Q4&lt;=80%, $P4, "")</f>
        <v>53543932.14</v>
      </c>
      <c r="S4" s="113" t="str">
        <f t="shared" ref="S4:S49" si="5">IF(AND($Q4&lt;=95%, $Q4&gt;80%), $P4, "")</f>
        <v/>
      </c>
      <c r="T4" s="113" t="str">
        <f t="shared" ref="T4:T49" si="6">IF(AND($Q4&lt;=100%, $Q4&gt;95%), $P4, "")</f>
        <v/>
      </c>
    </row>
    <row r="5">
      <c r="A5" s="46" t="str">
        <f>IFERROR(__xludf.DUMMYFUNCTION("""COMPUTED_VALUE"""),"Clothes")</f>
        <v>Clothes</v>
      </c>
      <c r="B5" s="46" t="str">
        <f>IFERROR(__xludf.DUMMYFUNCTION("""COMPUTED_VALUE"""),"Montenegro")</f>
        <v>Montenegro</v>
      </c>
      <c r="C5" s="46">
        <f>IFERROR(__xludf.DUMMYFUNCTION("""COMPUTED_VALUE"""),1.02230632E8)</f>
        <v>102230632</v>
      </c>
      <c r="D5" s="84">
        <f>IFERROR(__xludf.DUMMYFUNCTION("""COMPUTED_VALUE"""),127966.88)</f>
        <v>127966.88</v>
      </c>
      <c r="F5" s="46" t="str">
        <f>IFERROR(__xludf.DUMMYFUNCTION("""COMPUTED_VALUE"""),"Beverages")</f>
        <v>Beverages</v>
      </c>
      <c r="G5" s="46">
        <f>IFERROR(__xludf.DUMMYFUNCTION("""COMPUTED_VALUE"""),121.0)</f>
        <v>121</v>
      </c>
      <c r="H5" s="48">
        <f t="array" ref="H5">IF(F5&lt;&gt;"",SUM(G$4:G5)/SUM(G$4:G$48), "")</f>
        <v>0.1834586466</v>
      </c>
      <c r="I5" s="113">
        <f t="shared" si="1"/>
        <v>121</v>
      </c>
      <c r="J5" s="113" t="str">
        <f t="shared" si="2"/>
        <v/>
      </c>
      <c r="K5" s="113" t="str">
        <f t="shared" si="3"/>
        <v/>
      </c>
      <c r="M5" s="48"/>
      <c r="N5" s="113"/>
      <c r="O5" s="113" t="str">
        <f>IFERROR(__xludf.DUMMYFUNCTION("""COMPUTED_VALUE"""),"Ukraine")</f>
        <v>Ukraine</v>
      </c>
      <c r="P5" s="38">
        <f>IFERROR(__xludf.DUMMYFUNCTION("""COMPUTED_VALUE"""),5.325231754000001E7)</f>
        <v>53252317.54</v>
      </c>
      <c r="Q5" s="114">
        <f t="array" ref="Q5">IF(O5&lt;&gt;"",SUM(P$4:P5)/SUM(P$4:P$49), "")</f>
        <v>0.06668594199</v>
      </c>
      <c r="R5" s="113">
        <f t="shared" si="4"/>
        <v>53252317.54</v>
      </c>
      <c r="S5" s="113" t="str">
        <f t="shared" si="5"/>
        <v/>
      </c>
      <c r="T5" s="113" t="str">
        <f t="shared" si="6"/>
        <v/>
      </c>
    </row>
    <row r="6">
      <c r="A6" s="46" t="str">
        <f>IFERROR(__xludf.DUMMYFUNCTION("""COMPUTED_VALUE"""),"Beverages")</f>
        <v>Beverages</v>
      </c>
      <c r="B6" s="46" t="str">
        <f>IFERROR(__xludf.DUMMYFUNCTION("""COMPUTED_VALUE"""),"Serbia")</f>
        <v>Serbia</v>
      </c>
      <c r="C6" s="46">
        <f>IFERROR(__xludf.DUMMYFUNCTION("""COMPUTED_VALUE"""),1.03435266E8)</f>
        <v>103435266</v>
      </c>
      <c r="D6" s="84">
        <f>IFERROR(__xludf.DUMMYFUNCTION("""COMPUTED_VALUE"""),362897.60000000003)</f>
        <v>362897.6</v>
      </c>
      <c r="F6" s="46" t="str">
        <f>IFERROR(__xludf.DUMMYFUNCTION("""COMPUTED_VALUE"""),"Personal Care")</f>
        <v>Personal Care</v>
      </c>
      <c r="G6" s="46">
        <f>IFERROR(__xludf.DUMMYFUNCTION("""COMPUTED_VALUE"""),115.0)</f>
        <v>115</v>
      </c>
      <c r="H6" s="48">
        <f t="array" ref="H6">IF(F6&lt;&gt;"",SUM(G$4:G6)/SUM(G$4:G$48), "")</f>
        <v>0.269924812</v>
      </c>
      <c r="I6" s="113">
        <f t="shared" si="1"/>
        <v>115</v>
      </c>
      <c r="J6" s="113" t="str">
        <f t="shared" si="2"/>
        <v/>
      </c>
      <c r="K6" s="113" t="str">
        <f t="shared" si="3"/>
        <v/>
      </c>
      <c r="M6" s="48"/>
      <c r="N6" s="113"/>
      <c r="O6" s="113" t="str">
        <f>IFERROR(__xludf.DUMMYFUNCTION("""COMPUTED_VALUE"""),"Bosnia and Herzegovina")</f>
        <v>Bosnia and Herzegovina</v>
      </c>
      <c r="P6" s="38">
        <f>IFERROR(__xludf.DUMMYFUNCTION("""COMPUTED_VALUE"""),5.0117508489999995E7)</f>
        <v>50117508.49</v>
      </c>
      <c r="Q6" s="114">
        <f t="array" ref="Q6">IF(O6&lt;&gt;"",SUM(P$4:P6)/SUM(P$4:P$49), "")</f>
        <v>0.09798042353</v>
      </c>
      <c r="R6" s="113">
        <f t="shared" si="4"/>
        <v>50117508.49</v>
      </c>
      <c r="S6" s="113" t="str">
        <f t="shared" si="5"/>
        <v/>
      </c>
      <c r="T6" s="113" t="str">
        <f t="shared" si="6"/>
        <v/>
      </c>
    </row>
    <row r="7">
      <c r="A7" s="46" t="str">
        <f>IFERROR(__xludf.DUMMYFUNCTION("""COMPUTED_VALUE"""),"Office Supplies")</f>
        <v>Office Supplies</v>
      </c>
      <c r="B7" s="46" t="str">
        <f>IFERROR(__xludf.DUMMYFUNCTION("""COMPUTED_VALUE"""),"Slovakia")</f>
        <v>Slovakia</v>
      </c>
      <c r="C7" s="46">
        <f>IFERROR(__xludf.DUMMYFUNCTION("""COMPUTED_VALUE"""),1.03450715E8)</f>
        <v>103450715</v>
      </c>
      <c r="D7" s="84">
        <f>IFERROR(__xludf.DUMMYFUNCTION("""COMPUTED_VALUE"""),1445686.2000000002)</f>
        <v>1445686.2</v>
      </c>
      <c r="F7" s="46" t="str">
        <f>IFERROR(__xludf.DUMMYFUNCTION("""COMPUTED_VALUE"""),"Cosmetics")</f>
        <v>Cosmetics</v>
      </c>
      <c r="G7" s="46">
        <f>IFERROR(__xludf.DUMMYFUNCTION("""COMPUTED_VALUE"""),114.0)</f>
        <v>114</v>
      </c>
      <c r="H7" s="48">
        <f t="array" ref="H7">IF(F7&lt;&gt;"",SUM(G$4:G7)/SUM(G$4:G$48), "")</f>
        <v>0.3556390977</v>
      </c>
      <c r="I7" s="113">
        <f t="shared" si="1"/>
        <v>114</v>
      </c>
      <c r="J7" s="113" t="str">
        <f t="shared" si="2"/>
        <v/>
      </c>
      <c r="K7" s="113" t="str">
        <f t="shared" si="3"/>
        <v/>
      </c>
      <c r="M7" s="48"/>
      <c r="N7" s="113"/>
      <c r="O7" s="113" t="str">
        <f>IFERROR(__xludf.DUMMYFUNCTION("""COMPUTED_VALUE"""),"Macedonia")</f>
        <v>Macedonia</v>
      </c>
      <c r="P7" s="38">
        <f>IFERROR(__xludf.DUMMYFUNCTION("""COMPUTED_VALUE"""),4.922208525000001E7)</f>
        <v>49222085.25</v>
      </c>
      <c r="Q7" s="114">
        <f t="array" ref="Q7">IF(O7&lt;&gt;"",SUM(P$4:P7)/SUM(P$4:P$49), "")</f>
        <v>0.128715783</v>
      </c>
      <c r="R7" s="113">
        <f t="shared" si="4"/>
        <v>49222085.25</v>
      </c>
      <c r="S7" s="113" t="str">
        <f t="shared" si="5"/>
        <v/>
      </c>
      <c r="T7" s="113" t="str">
        <f t="shared" si="6"/>
        <v/>
      </c>
    </row>
    <row r="8">
      <c r="A8" s="46" t="str">
        <f>IFERROR(__xludf.DUMMYFUNCTION("""COMPUTED_VALUE"""),"Fruits")</f>
        <v>Fruits</v>
      </c>
      <c r="B8" s="46" t="str">
        <f>IFERROR(__xludf.DUMMYFUNCTION("""COMPUTED_VALUE"""),"France")</f>
        <v>France</v>
      </c>
      <c r="C8" s="46">
        <f>IFERROR(__xludf.DUMMYFUNCTION("""COMPUTED_VALUE"""),1.03499639E8)</f>
        <v>103499639</v>
      </c>
      <c r="D8" s="84">
        <f>IFERROR(__xludf.DUMMYFUNCTION("""COMPUTED_VALUE"""),62492.340000000004)</f>
        <v>62492.34</v>
      </c>
      <c r="F8" s="46" t="str">
        <f>IFERROR(__xludf.DUMMYFUNCTION("""COMPUTED_VALUE"""),"Vegetables")</f>
        <v>Vegetables</v>
      </c>
      <c r="G8" s="46">
        <f>IFERROR(__xludf.DUMMYFUNCTION("""COMPUTED_VALUE"""),114.0)</f>
        <v>114</v>
      </c>
      <c r="H8" s="48">
        <f t="array" ref="H8">IF(F8&lt;&gt;"",SUM(G$4:G8)/SUM(G$4:G$48), "")</f>
        <v>0.4413533835</v>
      </c>
      <c r="I8" s="113">
        <f t="shared" si="1"/>
        <v>114</v>
      </c>
      <c r="J8" s="113" t="str">
        <f t="shared" si="2"/>
        <v/>
      </c>
      <c r="K8" s="113" t="str">
        <f t="shared" si="3"/>
        <v/>
      </c>
      <c r="M8" s="48"/>
      <c r="N8" s="113"/>
      <c r="O8" s="113" t="str">
        <f>IFERROR(__xludf.DUMMYFUNCTION("""COMPUTED_VALUE"""),"San Marino")</f>
        <v>San Marino</v>
      </c>
      <c r="P8" s="38">
        <f>IFERROR(__xludf.DUMMYFUNCTION("""COMPUTED_VALUE"""),4.7883708480000004E7)</f>
        <v>47883708.48</v>
      </c>
      <c r="Q8" s="114">
        <f t="array" ref="Q8">IF(O8&lt;&gt;"",SUM(P$4:P8)/SUM(P$4:P$49), "")</f>
        <v>0.1586154304</v>
      </c>
      <c r="R8" s="113">
        <f t="shared" si="4"/>
        <v>47883708.48</v>
      </c>
      <c r="S8" s="113" t="str">
        <f t="shared" si="5"/>
        <v/>
      </c>
      <c r="T8" s="113" t="str">
        <f t="shared" si="6"/>
        <v/>
      </c>
    </row>
    <row r="9">
      <c r="A9" s="46" t="str">
        <f>IFERROR(__xludf.DUMMYFUNCTION("""COMPUTED_VALUE"""),"Vegetables")</f>
        <v>Vegetables</v>
      </c>
      <c r="B9" s="46" t="str">
        <f>IFERROR(__xludf.DUMMYFUNCTION("""COMPUTED_VALUE"""),"Spain")</f>
        <v>Spain</v>
      </c>
      <c r="C9" s="46">
        <f>IFERROR(__xludf.DUMMYFUNCTION("""COMPUTED_VALUE"""),1.0376228E8)</f>
        <v>103762280</v>
      </c>
      <c r="D9" s="84">
        <f>IFERROR(__xludf.DUMMYFUNCTION("""COMPUTED_VALUE"""),680791.14)</f>
        <v>680791.14</v>
      </c>
      <c r="F9" s="46" t="str">
        <f>IFERROR(__xludf.DUMMYFUNCTION("""COMPUTED_VALUE"""),"Baby Food")</f>
        <v>Baby Food</v>
      </c>
      <c r="G9" s="46">
        <f>IFERROR(__xludf.DUMMYFUNCTION("""COMPUTED_VALUE"""),112.0)</f>
        <v>112</v>
      </c>
      <c r="H9" s="48">
        <f t="array" ref="H9">IF(F9&lt;&gt;"",SUM(G$4:G9)/SUM(G$4:G$48), "")</f>
        <v>0.5255639098</v>
      </c>
      <c r="I9" s="113">
        <f t="shared" si="1"/>
        <v>112</v>
      </c>
      <c r="J9" s="113" t="str">
        <f t="shared" si="2"/>
        <v/>
      </c>
      <c r="K9" s="113" t="str">
        <f t="shared" si="3"/>
        <v/>
      </c>
      <c r="M9" s="48"/>
      <c r="N9" s="113"/>
      <c r="O9" s="113" t="str">
        <f>IFERROR(__xludf.DUMMYFUNCTION("""COMPUTED_VALUE"""),"Andorra")</f>
        <v>Andorra</v>
      </c>
      <c r="P9" s="38">
        <f>IFERROR(__xludf.DUMMYFUNCTION("""COMPUTED_VALUE"""),4.775669317000001E7)</f>
        <v>47756693.17</v>
      </c>
      <c r="Q9" s="114">
        <f t="array" ref="Q9">IF(O9&lt;&gt;"",SUM(P$4:P9)/SUM(P$4:P$49), "")</f>
        <v>0.1884357666</v>
      </c>
      <c r="R9" s="113">
        <f t="shared" si="4"/>
        <v>47756693.17</v>
      </c>
      <c r="S9" s="113" t="str">
        <f t="shared" si="5"/>
        <v/>
      </c>
      <c r="T9" s="113" t="str">
        <f t="shared" si="6"/>
        <v/>
      </c>
    </row>
    <row r="10">
      <c r="A10" s="46" t="str">
        <f>IFERROR(__xludf.DUMMYFUNCTION("""COMPUTED_VALUE"""),"Baby Food")</f>
        <v>Baby Food</v>
      </c>
      <c r="B10" s="46" t="str">
        <f>IFERROR(__xludf.DUMMYFUNCTION("""COMPUTED_VALUE"""),"Croatia")</f>
        <v>Croatia</v>
      </c>
      <c r="C10" s="46">
        <f>IFERROR(__xludf.DUMMYFUNCTION("""COMPUTED_VALUE"""),1.03832662E8)</f>
        <v>103832662</v>
      </c>
      <c r="D10" s="84">
        <f>IFERROR(__xludf.DUMMYFUNCTION("""COMPUTED_VALUE"""),1339454.16)</f>
        <v>1339454.16</v>
      </c>
      <c r="F10" s="46" t="str">
        <f>IFERROR(__xludf.DUMMYFUNCTION("""COMPUTED_VALUE"""),"Fruits")</f>
        <v>Fruits</v>
      </c>
      <c r="G10" s="46">
        <f>IFERROR(__xludf.DUMMYFUNCTION("""COMPUTED_VALUE"""),112.0)</f>
        <v>112</v>
      </c>
      <c r="H10" s="48">
        <f t="array" ref="H10">IF(F10&lt;&gt;"",SUM(G$4:G10)/SUM(G$4:G$48), "")</f>
        <v>0.6097744361</v>
      </c>
      <c r="I10" s="113">
        <f t="shared" si="1"/>
        <v>112</v>
      </c>
      <c r="J10" s="113" t="str">
        <f t="shared" si="2"/>
        <v/>
      </c>
      <c r="K10" s="113" t="str">
        <f t="shared" si="3"/>
        <v/>
      </c>
      <c r="M10" s="48"/>
      <c r="N10" s="113"/>
      <c r="O10" s="113" t="str">
        <f>IFERROR(__xludf.DUMMYFUNCTION("""COMPUTED_VALUE"""),"Portugal")</f>
        <v>Portugal</v>
      </c>
      <c r="P10" s="38">
        <f>IFERROR(__xludf.DUMMYFUNCTION("""COMPUTED_VALUE"""),4.717218984000001E7)</f>
        <v>47172189.84</v>
      </c>
      <c r="Q10" s="114">
        <f t="array" ref="Q10">IF(O10&lt;&gt;"",SUM(P$4:P10)/SUM(P$4:P$49), "")</f>
        <v>0.2178911259</v>
      </c>
      <c r="R10" s="113">
        <f t="shared" si="4"/>
        <v>47172189.84</v>
      </c>
      <c r="S10" s="113" t="str">
        <f t="shared" si="5"/>
        <v/>
      </c>
      <c r="T10" s="113" t="str">
        <f t="shared" si="6"/>
        <v/>
      </c>
    </row>
    <row r="11">
      <c r="A11" s="46" t="str">
        <f>IFERROR(__xludf.DUMMYFUNCTION("""COMPUTED_VALUE"""),"Cereal")</f>
        <v>Cereal</v>
      </c>
      <c r="B11" s="46" t="str">
        <f>IFERROR(__xludf.DUMMYFUNCTION("""COMPUTED_VALUE"""),"Germany")</f>
        <v>Germany</v>
      </c>
      <c r="C11" s="46">
        <f>IFERROR(__xludf.DUMMYFUNCTION("""COMPUTED_VALUE"""),1.04008615E8)</f>
        <v>104008615</v>
      </c>
      <c r="D11" s="84">
        <f>IFERROR(__xludf.DUMMYFUNCTION("""COMPUTED_VALUE"""),1504695.5)</f>
        <v>1504695.5</v>
      </c>
      <c r="F11" s="46" t="str">
        <f>IFERROR(__xludf.DUMMYFUNCTION("""COMPUTED_VALUE"""),"Meat")</f>
        <v>Meat</v>
      </c>
      <c r="G11" s="46">
        <f>IFERROR(__xludf.DUMMYFUNCTION("""COMPUTED_VALUE"""),111.0)</f>
        <v>111</v>
      </c>
      <c r="H11" s="48">
        <f t="array" ref="H11">IF(F11&lt;&gt;"",SUM(G$4:G11)/SUM(G$4:G$48), "")</f>
        <v>0.6932330827</v>
      </c>
      <c r="I11" s="113">
        <f t="shared" si="1"/>
        <v>111</v>
      </c>
      <c r="J11" s="113" t="str">
        <f t="shared" si="2"/>
        <v/>
      </c>
      <c r="K11" s="113" t="str">
        <f t="shared" si="3"/>
        <v/>
      </c>
      <c r="M11" s="48"/>
      <c r="N11" s="113"/>
      <c r="O11" s="113" t="str">
        <f>IFERROR(__xludf.DUMMYFUNCTION("""COMPUTED_VALUE"""),"Malta")</f>
        <v>Malta</v>
      </c>
      <c r="P11" s="38">
        <f>IFERROR(__xludf.DUMMYFUNCTION("""COMPUTED_VALUE"""),4.7145320809999995E7)</f>
        <v>47145320.81</v>
      </c>
      <c r="Q11" s="114">
        <f t="array" ref="Q11">IF(O11&lt;&gt;"",SUM(P$4:P11)/SUM(P$4:P$49), "")</f>
        <v>0.2473297077</v>
      </c>
      <c r="R11" s="113">
        <f t="shared" si="4"/>
        <v>47145320.81</v>
      </c>
      <c r="S11" s="113" t="str">
        <f t="shared" si="5"/>
        <v/>
      </c>
      <c r="T11" s="113" t="str">
        <f t="shared" si="6"/>
        <v/>
      </c>
    </row>
    <row r="12">
      <c r="A12" s="46" t="str">
        <f>IFERROR(__xludf.DUMMYFUNCTION("""COMPUTED_VALUE"""),"Household")</f>
        <v>Household</v>
      </c>
      <c r="B12" s="46" t="str">
        <f>IFERROR(__xludf.DUMMYFUNCTION("""COMPUTED_VALUE"""),"Armenia")</f>
        <v>Armenia</v>
      </c>
      <c r="C12" s="46">
        <f>IFERROR(__xludf.DUMMYFUNCTION("""COMPUTED_VALUE"""),1.04165685E8)</f>
        <v>104165685</v>
      </c>
      <c r="D12" s="84">
        <f>IFERROR(__xludf.DUMMYFUNCTION("""COMPUTED_VALUE"""),2536752.92)</f>
        <v>2536752.92</v>
      </c>
      <c r="F12" s="46" t="str">
        <f>IFERROR(__xludf.DUMMYFUNCTION("""COMPUTED_VALUE"""),"Clothes")</f>
        <v>Clothes</v>
      </c>
      <c r="G12" s="46">
        <f>IFERROR(__xludf.DUMMYFUNCTION("""COMPUTED_VALUE"""),105.0)</f>
        <v>105</v>
      </c>
      <c r="H12" s="48">
        <f t="array" ref="H12">IF(F12&lt;&gt;"",SUM(G$4:G12)/SUM(G$4:G$48), "")</f>
        <v>0.7721804511</v>
      </c>
      <c r="I12" s="113">
        <f t="shared" si="1"/>
        <v>105</v>
      </c>
      <c r="J12" s="113" t="str">
        <f t="shared" si="2"/>
        <v/>
      </c>
      <c r="K12" s="113" t="str">
        <f t="shared" si="3"/>
        <v/>
      </c>
      <c r="M12" s="48"/>
      <c r="N12" s="113"/>
      <c r="O12" s="113" t="str">
        <f>IFERROR(__xludf.DUMMYFUNCTION("""COMPUTED_VALUE"""),"Russia")</f>
        <v>Russia</v>
      </c>
      <c r="P12" s="38">
        <f>IFERROR(__xludf.DUMMYFUNCTION("""COMPUTED_VALUE"""),4.605165981E7)</f>
        <v>46051659.81</v>
      </c>
      <c r="Q12" s="114">
        <f t="array" ref="Q12">IF(O12&lt;&gt;"",SUM(P$4:P12)/SUM(P$4:P$49), "")</f>
        <v>0.2760853833</v>
      </c>
      <c r="R12" s="113">
        <f t="shared" si="4"/>
        <v>46051659.81</v>
      </c>
      <c r="S12" s="113" t="str">
        <f t="shared" si="5"/>
        <v/>
      </c>
      <c r="T12" s="113" t="str">
        <f t="shared" si="6"/>
        <v/>
      </c>
    </row>
    <row r="13">
      <c r="A13" s="46" t="str">
        <f>IFERROR(__xludf.DUMMYFUNCTION("""COMPUTED_VALUE"""),"Meat")</f>
        <v>Meat</v>
      </c>
      <c r="B13" s="46" t="str">
        <f>IFERROR(__xludf.DUMMYFUNCTION("""COMPUTED_VALUE"""),"Georgia")</f>
        <v>Georgia</v>
      </c>
      <c r="C13" s="46">
        <f>IFERROR(__xludf.DUMMYFUNCTION("""COMPUTED_VALUE"""),1.04190576E8)</f>
        <v>104190576</v>
      </c>
      <c r="D13" s="84">
        <f>IFERROR(__xludf.DUMMYFUNCTION("""COMPUTED_VALUE"""),490236.18)</f>
        <v>490236.18</v>
      </c>
      <c r="F13" s="46" t="str">
        <f>IFERROR(__xludf.DUMMYFUNCTION("""COMPUTED_VALUE"""),"Cereal")</f>
        <v>Cereal</v>
      </c>
      <c r="G13" s="46">
        <f>IFERROR(__xludf.DUMMYFUNCTION("""COMPUTED_VALUE"""),103.0)</f>
        <v>103</v>
      </c>
      <c r="H13" s="48">
        <f t="array" ref="H13">IF(F13&lt;&gt;"",SUM(G$4:G13)/SUM(G$4:G$48), "")</f>
        <v>0.8496240602</v>
      </c>
      <c r="I13" s="113" t="str">
        <f t="shared" si="1"/>
        <v/>
      </c>
      <c r="J13" s="113">
        <f t="shared" si="2"/>
        <v>103</v>
      </c>
      <c r="K13" s="113" t="str">
        <f t="shared" si="3"/>
        <v/>
      </c>
      <c r="M13" s="48"/>
      <c r="N13" s="113"/>
      <c r="O13" s="113" t="str">
        <f>IFERROR(__xludf.DUMMYFUNCTION("""COMPUTED_VALUE"""),"Slovakia")</f>
        <v>Slovakia</v>
      </c>
      <c r="P13" s="38">
        <f>IFERROR(__xludf.DUMMYFUNCTION("""COMPUTED_VALUE"""),4.294099832E7)</f>
        <v>42940998.32</v>
      </c>
      <c r="Q13" s="114">
        <f t="array" ref="Q13">IF(O13&lt;&gt;"",SUM(P$4:P13)/SUM(P$4:P$49), "")</f>
        <v>0.3028986931</v>
      </c>
      <c r="R13" s="113">
        <f t="shared" si="4"/>
        <v>42940998.32</v>
      </c>
      <c r="S13" s="113" t="str">
        <f t="shared" si="5"/>
        <v/>
      </c>
      <c r="T13" s="113" t="str">
        <f t="shared" si="6"/>
        <v/>
      </c>
    </row>
    <row r="14">
      <c r="A14" s="46" t="str">
        <f>IFERROR(__xludf.DUMMYFUNCTION("""COMPUTED_VALUE"""),"Fruits")</f>
        <v>Fruits</v>
      </c>
      <c r="B14" s="46" t="str">
        <f>IFERROR(__xludf.DUMMYFUNCTION("""COMPUTED_VALUE"""),"United Kingdom")</f>
        <v>United Kingdom</v>
      </c>
      <c r="C14" s="46">
        <f>IFERROR(__xludf.DUMMYFUNCTION("""COMPUTED_VALUE"""),1.04245078E8)</f>
        <v>104245078</v>
      </c>
      <c r="D14" s="84">
        <f>IFERROR(__xludf.DUMMYFUNCTION("""COMPUTED_VALUE"""),68015.7)</f>
        <v>68015.7</v>
      </c>
      <c r="F14" s="46" t="str">
        <f>IFERROR(__xludf.DUMMYFUNCTION("""COMPUTED_VALUE"""),"Snacks")</f>
        <v>Snacks</v>
      </c>
      <c r="G14" s="46">
        <f>IFERROR(__xludf.DUMMYFUNCTION("""COMPUTED_VALUE"""),103.0)</f>
        <v>103</v>
      </c>
      <c r="H14" s="48">
        <f t="array" ref="H14">IF(F14&lt;&gt;"",SUM(G$4:G14)/SUM(G$4:G$48), "")</f>
        <v>0.9270676692</v>
      </c>
      <c r="I14" s="113" t="str">
        <f t="shared" si="1"/>
        <v/>
      </c>
      <c r="J14" s="113">
        <f t="shared" si="2"/>
        <v>103</v>
      </c>
      <c r="K14" s="113" t="str">
        <f t="shared" si="3"/>
        <v/>
      </c>
      <c r="M14" s="48"/>
      <c r="N14" s="113"/>
      <c r="O14" s="113" t="str">
        <f>IFERROR(__xludf.DUMMYFUNCTION("""COMPUTED_VALUE"""),"Hungary")</f>
        <v>Hungary</v>
      </c>
      <c r="P14" s="38">
        <f>IFERROR(__xludf.DUMMYFUNCTION("""COMPUTED_VALUE"""),4.2408249120000005E7)</f>
        <v>42408249.12</v>
      </c>
      <c r="Q14" s="114">
        <f t="array" ref="Q14">IF(O14&lt;&gt;"",SUM(P$4:P14)/SUM(P$4:P$49), "")</f>
        <v>0.3293793425</v>
      </c>
      <c r="R14" s="113">
        <f t="shared" si="4"/>
        <v>42408249.12</v>
      </c>
      <c r="S14" s="113" t="str">
        <f t="shared" si="5"/>
        <v/>
      </c>
      <c r="T14" s="113" t="str">
        <f t="shared" si="6"/>
        <v/>
      </c>
    </row>
    <row r="15">
      <c r="A15" s="46" t="str">
        <f>IFERROR(__xludf.DUMMYFUNCTION("""COMPUTED_VALUE"""),"Baby Food")</f>
        <v>Baby Food</v>
      </c>
      <c r="B15" s="46" t="str">
        <f>IFERROR(__xludf.DUMMYFUNCTION("""COMPUTED_VALUE"""),"Undefined")</f>
        <v>Undefined</v>
      </c>
      <c r="C15" s="46">
        <f>IFERROR(__xludf.DUMMYFUNCTION("""COMPUTED_VALUE"""),1.0454849E8)</f>
        <v>104548490</v>
      </c>
      <c r="D15" s="84">
        <f>IFERROR(__xludf.DUMMYFUNCTION("""COMPUTED_VALUE"""),1806361.28)</f>
        <v>1806361.28</v>
      </c>
      <c r="F15" s="46" t="str">
        <f>IFERROR(__xludf.DUMMYFUNCTION("""COMPUTED_VALUE"""),"Household")</f>
        <v>Household</v>
      </c>
      <c r="G15" s="46">
        <f>IFERROR(__xludf.DUMMYFUNCTION("""COMPUTED_VALUE"""),97.0)</f>
        <v>97</v>
      </c>
      <c r="H15" s="48">
        <f t="array" ref="H15">IF(F15&lt;&gt;"",SUM(G$4:G15)/SUM(G$4:G$48), "")</f>
        <v>1</v>
      </c>
      <c r="I15" s="113" t="str">
        <f t="shared" si="1"/>
        <v/>
      </c>
      <c r="J15" s="113" t="str">
        <f t="shared" si="2"/>
        <v/>
      </c>
      <c r="K15" s="113">
        <f t="shared" si="3"/>
        <v>97</v>
      </c>
      <c r="M15" s="48"/>
      <c r="N15" s="113"/>
      <c r="O15" s="113" t="str">
        <f>IFERROR(__xludf.DUMMYFUNCTION("""COMPUTED_VALUE"""),"Serbia")</f>
        <v>Serbia</v>
      </c>
      <c r="P15" s="38">
        <f>IFERROR(__xludf.DUMMYFUNCTION("""COMPUTED_VALUE"""),4.219353774E7)</f>
        <v>42193537.74</v>
      </c>
      <c r="Q15" s="114">
        <f t="array" ref="Q15">IF(O15&lt;&gt;"",SUM(P$4:P15)/SUM(P$4:P$49), "")</f>
        <v>0.3557259213</v>
      </c>
      <c r="R15" s="113">
        <f t="shared" si="4"/>
        <v>42193537.74</v>
      </c>
      <c r="S15" s="113" t="str">
        <f t="shared" si="5"/>
        <v/>
      </c>
      <c r="T15" s="113" t="str">
        <f t="shared" si="6"/>
        <v/>
      </c>
    </row>
    <row r="16">
      <c r="A16" s="46" t="str">
        <f>IFERROR(__xludf.DUMMYFUNCTION("""COMPUTED_VALUE"""),"Clothes")</f>
        <v>Clothes</v>
      </c>
      <c r="B16" s="46" t="str">
        <f>IFERROR(__xludf.DUMMYFUNCTION("""COMPUTED_VALUE"""),"Slovenia")</f>
        <v>Slovenia</v>
      </c>
      <c r="C16" s="46">
        <f>IFERROR(__xludf.DUMMYFUNCTION("""COMPUTED_VALUE"""),1.0503E8)</f>
        <v>105030000</v>
      </c>
      <c r="D16" s="84">
        <f>IFERROR(__xludf.DUMMYFUNCTION("""COMPUTED_VALUE"""),1045372.48)</f>
        <v>1045372.48</v>
      </c>
      <c r="H16" s="48" t="str">
        <f t="array" ref="H16">IF(F16&lt;&gt;"",SUM(G$4:G16)/SUM(G$4:G$48), "")</f>
        <v/>
      </c>
      <c r="I16" s="113" t="str">
        <f t="shared" si="1"/>
        <v/>
      </c>
      <c r="J16" s="113" t="str">
        <f t="shared" si="2"/>
        <v/>
      </c>
      <c r="K16" s="113" t="str">
        <f t="shared" si="3"/>
        <v/>
      </c>
      <c r="M16" s="48"/>
      <c r="N16" s="38"/>
      <c r="O16" s="38" t="str">
        <f>IFERROR(__xludf.DUMMYFUNCTION("""COMPUTED_VALUE"""),"France")</f>
        <v>France</v>
      </c>
      <c r="P16" s="38">
        <f>IFERROR(__xludf.DUMMYFUNCTION("""COMPUTED_VALUE"""),3.9362112150000006E7)</f>
        <v>39362112.15</v>
      </c>
      <c r="Q16" s="114">
        <f t="array" ref="Q16">IF(O16&lt;&gt;"",SUM(P$4:P16)/SUM(P$4:P$49), "")</f>
        <v>0.3803044953</v>
      </c>
      <c r="R16" s="113">
        <f t="shared" si="4"/>
        <v>39362112.15</v>
      </c>
      <c r="S16" s="113" t="str">
        <f t="shared" si="5"/>
        <v/>
      </c>
      <c r="T16" s="113" t="str">
        <f t="shared" si="6"/>
        <v/>
      </c>
    </row>
    <row r="17">
      <c r="A17" s="46" t="str">
        <f>IFERROR(__xludf.DUMMYFUNCTION("""COMPUTED_VALUE"""),"Household")</f>
        <v>Household</v>
      </c>
      <c r="B17" s="46" t="str">
        <f>IFERROR(__xludf.DUMMYFUNCTION("""COMPUTED_VALUE"""),"Croatia")</f>
        <v>Croatia</v>
      </c>
      <c r="C17" s="46">
        <f>IFERROR(__xludf.DUMMYFUNCTION("""COMPUTED_VALUE"""),1.07651269E8)</f>
        <v>107651269</v>
      </c>
      <c r="D17" s="84">
        <f>IFERROR(__xludf.DUMMYFUNCTION("""COMPUTED_VALUE"""),3513763.6599999997)</f>
        <v>3513763.66</v>
      </c>
      <c r="H17" s="48" t="str">
        <f t="array" ref="H17">IF(F17&lt;&gt;"",SUM(G$4:G17)/SUM(G$4:G$48), "")</f>
        <v/>
      </c>
      <c r="I17" s="113" t="str">
        <f t="shared" si="1"/>
        <v/>
      </c>
      <c r="J17" s="113" t="str">
        <f t="shared" si="2"/>
        <v/>
      </c>
      <c r="K17" s="113" t="str">
        <f t="shared" si="3"/>
        <v/>
      </c>
      <c r="M17" s="48"/>
      <c r="N17" s="38"/>
      <c r="O17" s="38" t="str">
        <f>IFERROR(__xludf.DUMMYFUNCTION("""COMPUTED_VALUE"""),"Slovenia")</f>
        <v>Slovenia</v>
      </c>
      <c r="P17" s="38">
        <f>IFERROR(__xludf.DUMMYFUNCTION("""COMPUTED_VALUE"""),3.8892531269999996E7)</f>
        <v>38892531.27</v>
      </c>
      <c r="Q17" s="114">
        <f t="array" ref="Q17">IF(O17&lt;&gt;"",SUM(P$4:P17)/SUM(P$4:P$49), "")</f>
        <v>0.4045898526</v>
      </c>
      <c r="R17" s="113">
        <f t="shared" si="4"/>
        <v>38892531.27</v>
      </c>
      <c r="S17" s="113" t="str">
        <f t="shared" si="5"/>
        <v/>
      </c>
      <c r="T17" s="113" t="str">
        <f t="shared" si="6"/>
        <v/>
      </c>
    </row>
    <row r="18">
      <c r="A18" s="46" t="str">
        <f>IFERROR(__xludf.DUMMYFUNCTION("""COMPUTED_VALUE"""),"Baby Food")</f>
        <v>Baby Food</v>
      </c>
      <c r="B18" s="46" t="str">
        <f>IFERROR(__xludf.DUMMYFUNCTION("""COMPUTED_VALUE"""),"Romania")</f>
        <v>Romania</v>
      </c>
      <c r="C18" s="46">
        <f>IFERROR(__xludf.DUMMYFUNCTION("""COMPUTED_VALUE"""),1.08407437E8)</f>
        <v>108407437</v>
      </c>
      <c r="D18" s="84">
        <f>IFERROR(__xludf.DUMMYFUNCTION("""COMPUTED_VALUE"""),2303902.0)</f>
        <v>2303902</v>
      </c>
      <c r="H18" s="48" t="str">
        <f t="array" ref="H18">IF(F18&lt;&gt;"",SUM(G$4:G18)/SUM(G$4:G$48), "")</f>
        <v/>
      </c>
      <c r="I18" s="113" t="str">
        <f t="shared" si="1"/>
        <v/>
      </c>
      <c r="J18" s="113" t="str">
        <f t="shared" si="2"/>
        <v/>
      </c>
      <c r="K18" s="113" t="str">
        <f t="shared" si="3"/>
        <v/>
      </c>
      <c r="M18" s="48"/>
      <c r="N18" s="38"/>
      <c r="O18" s="38" t="str">
        <f>IFERROR(__xludf.DUMMYFUNCTION("""COMPUTED_VALUE"""),"Latvia")</f>
        <v>Latvia</v>
      </c>
      <c r="P18" s="38">
        <f>IFERROR(__xludf.DUMMYFUNCTION("""COMPUTED_VALUE"""),3.8722084150000006E7)</f>
        <v>38722084.15</v>
      </c>
      <c r="Q18" s="114">
        <f t="array" ref="Q18">IF(O18&lt;&gt;"",SUM(P$4:P18)/SUM(P$4:P$49), "")</f>
        <v>0.428768779</v>
      </c>
      <c r="R18" s="113">
        <f t="shared" si="4"/>
        <v>38722084.15</v>
      </c>
      <c r="S18" s="113" t="str">
        <f t="shared" si="5"/>
        <v/>
      </c>
      <c r="T18" s="113" t="str">
        <f t="shared" si="6"/>
        <v/>
      </c>
    </row>
    <row r="19">
      <c r="A19" s="46" t="str">
        <f>IFERROR(__xludf.DUMMYFUNCTION("""COMPUTED_VALUE"""),"Clothes")</f>
        <v>Clothes</v>
      </c>
      <c r="B19" s="46" t="str">
        <f>IFERROR(__xludf.DUMMYFUNCTION("""COMPUTED_VALUE"""),"Poland")</f>
        <v>Poland</v>
      </c>
      <c r="C19" s="46">
        <f>IFERROR(__xludf.DUMMYFUNCTION("""COMPUTED_VALUE"""),1.09914195E8)</f>
        <v>109914195</v>
      </c>
      <c r="D19" s="84">
        <f>IFERROR(__xludf.DUMMYFUNCTION("""COMPUTED_VALUE"""),536346.24)</f>
        <v>536346.24</v>
      </c>
      <c r="H19" s="48" t="str">
        <f t="array" ref="H19">IF(F19&lt;&gt;"",SUM(G$4:G19)/SUM(G$4:G$48), "")</f>
        <v/>
      </c>
      <c r="I19" s="113" t="str">
        <f t="shared" si="1"/>
        <v/>
      </c>
      <c r="J19" s="113" t="str">
        <f t="shared" si="2"/>
        <v/>
      </c>
      <c r="K19" s="113" t="str">
        <f t="shared" si="3"/>
        <v/>
      </c>
      <c r="M19" s="48"/>
      <c r="N19" s="38"/>
      <c r="O19" s="38" t="str">
        <f>IFERROR(__xludf.DUMMYFUNCTION("""COMPUTED_VALUE"""),"Greece")</f>
        <v>Greece</v>
      </c>
      <c r="P19" s="38">
        <f>IFERROR(__xludf.DUMMYFUNCTION("""COMPUTED_VALUE"""),3.8699541699999996E7)</f>
        <v>38699541.7</v>
      </c>
      <c r="Q19" s="114">
        <f t="array" ref="Q19">IF(O19&lt;&gt;"",SUM(P$4:P19)/SUM(P$4:P$49), "")</f>
        <v>0.4529336294</v>
      </c>
      <c r="R19" s="113">
        <f t="shared" si="4"/>
        <v>38699541.7</v>
      </c>
      <c r="S19" s="113" t="str">
        <f t="shared" si="5"/>
        <v/>
      </c>
      <c r="T19" s="113" t="str">
        <f t="shared" si="6"/>
        <v/>
      </c>
    </row>
    <row r="20">
      <c r="A20" s="46" t="str">
        <f>IFERROR(__xludf.DUMMYFUNCTION("""COMPUTED_VALUE"""),"Baby Food")</f>
        <v>Baby Food</v>
      </c>
      <c r="B20" s="46" t="str">
        <f>IFERROR(__xludf.DUMMYFUNCTION("""COMPUTED_VALUE"""),"Luxembourg")</f>
        <v>Luxembourg</v>
      </c>
      <c r="C20" s="46">
        <f>IFERROR(__xludf.DUMMYFUNCTION("""COMPUTED_VALUE"""),1.11063039E8)</f>
        <v>111063039</v>
      </c>
      <c r="D20" s="84">
        <f>IFERROR(__xludf.DUMMYFUNCTION("""COMPUTED_VALUE"""),1244745.28)</f>
        <v>1244745.28</v>
      </c>
      <c r="H20" s="48" t="str">
        <f t="array" ref="H20">IF(F20&lt;&gt;"",SUM(G$4:G20)/SUM(G$4:G$48), "")</f>
        <v/>
      </c>
      <c r="I20" s="113" t="str">
        <f t="shared" si="1"/>
        <v/>
      </c>
      <c r="J20" s="113" t="str">
        <f t="shared" si="2"/>
        <v/>
      </c>
      <c r="K20" s="113" t="str">
        <f t="shared" si="3"/>
        <v/>
      </c>
      <c r="M20" s="48"/>
      <c r="N20" s="38"/>
      <c r="O20" s="38" t="str">
        <f>IFERROR(__xludf.DUMMYFUNCTION("""COMPUTED_VALUE"""),"Bulgaria")</f>
        <v>Bulgaria</v>
      </c>
      <c r="P20" s="38">
        <f>IFERROR(__xludf.DUMMYFUNCTION("""COMPUTED_VALUE"""),3.81615557E7)</f>
        <v>38161555.7</v>
      </c>
      <c r="Q20" s="114">
        <f t="array" ref="Q20">IF(O20&lt;&gt;"",SUM(P$4:P20)/SUM(P$4:P$49), "")</f>
        <v>0.4767625494</v>
      </c>
      <c r="R20" s="113">
        <f t="shared" si="4"/>
        <v>38161555.7</v>
      </c>
      <c r="S20" s="113" t="str">
        <f t="shared" si="5"/>
        <v/>
      </c>
      <c r="T20" s="113" t="str">
        <f t="shared" si="6"/>
        <v/>
      </c>
    </row>
    <row r="21">
      <c r="A21" s="46" t="str">
        <f>IFERROR(__xludf.DUMMYFUNCTION("""COMPUTED_VALUE"""),"Meat")</f>
        <v>Meat</v>
      </c>
      <c r="B21" s="46" t="str">
        <f>IFERROR(__xludf.DUMMYFUNCTION("""COMPUTED_VALUE"""),"Cyprus")</f>
        <v>Cyprus</v>
      </c>
      <c r="C21" s="46">
        <f>IFERROR(__xludf.DUMMYFUNCTION("""COMPUTED_VALUE"""),1.11246287E8)</f>
        <v>111246287</v>
      </c>
      <c r="D21" s="84">
        <f>IFERROR(__xludf.DUMMYFUNCTION("""COMPUTED_VALUE"""),3840464.67)</f>
        <v>3840464.67</v>
      </c>
      <c r="H21" s="48" t="str">
        <f t="array" ref="H21">IF(F21&lt;&gt;"",SUM(G$4:G21)/SUM(G$4:G$48), "")</f>
        <v/>
      </c>
      <c r="I21" s="113" t="str">
        <f t="shared" si="1"/>
        <v/>
      </c>
      <c r="J21" s="113" t="str">
        <f t="shared" si="2"/>
        <v/>
      </c>
      <c r="K21" s="113" t="str">
        <f t="shared" si="3"/>
        <v/>
      </c>
      <c r="M21" s="48"/>
      <c r="N21" s="38"/>
      <c r="O21" s="38" t="str">
        <f>IFERROR(__xludf.DUMMYFUNCTION("""COMPUTED_VALUE"""),"Germany")</f>
        <v>Germany</v>
      </c>
      <c r="P21" s="38">
        <f>IFERROR(__xludf.DUMMYFUNCTION("""COMPUTED_VALUE"""),3.8055087559999995E7)</f>
        <v>38055087.56</v>
      </c>
      <c r="Q21" s="114">
        <f t="array" ref="Q21">IF(O21&lt;&gt;"",SUM(P$4:P21)/SUM(P$4:P$49), "")</f>
        <v>0.5005249883</v>
      </c>
      <c r="R21" s="113">
        <f t="shared" si="4"/>
        <v>38055087.56</v>
      </c>
      <c r="S21" s="113" t="str">
        <f t="shared" si="5"/>
        <v/>
      </c>
      <c r="T21" s="113" t="str">
        <f t="shared" si="6"/>
        <v/>
      </c>
    </row>
    <row r="22">
      <c r="A22" s="46" t="str">
        <f>IFERROR(__xludf.DUMMYFUNCTION("""COMPUTED_VALUE"""),"Fruits")</f>
        <v>Fruits</v>
      </c>
      <c r="B22" s="46" t="str">
        <f>IFERROR(__xludf.DUMMYFUNCTION("""COMPUTED_VALUE"""),"Belgium")</f>
        <v>Belgium</v>
      </c>
      <c r="C22" s="46">
        <f>IFERROR(__xludf.DUMMYFUNCTION("""COMPUTED_VALUE"""),1.11496055E8)</f>
        <v>111496055</v>
      </c>
      <c r="D22" s="84">
        <f>IFERROR(__xludf.DUMMYFUNCTION("""COMPUTED_VALUE"""),28129.95)</f>
        <v>28129.95</v>
      </c>
      <c r="H22" s="48" t="str">
        <f t="array" ref="H22">IF(F22&lt;&gt;"",SUM(G$4:G22)/SUM(G$4:G$48), "")</f>
        <v/>
      </c>
      <c r="I22" s="113" t="str">
        <f t="shared" si="1"/>
        <v/>
      </c>
      <c r="J22" s="113" t="str">
        <f t="shared" si="2"/>
        <v/>
      </c>
      <c r="K22" s="113" t="str">
        <f t="shared" si="3"/>
        <v/>
      </c>
      <c r="M22" s="48"/>
      <c r="N22" s="38"/>
      <c r="O22" s="38" t="str">
        <f>IFERROR(__xludf.DUMMYFUNCTION("""COMPUTED_VALUE"""),"Armenia")</f>
        <v>Armenia</v>
      </c>
      <c r="P22" s="38">
        <f>IFERROR(__xludf.DUMMYFUNCTION("""COMPUTED_VALUE"""),3.751984020999999E7)</f>
        <v>37519840.21</v>
      </c>
      <c r="Q22" s="114">
        <f t="array" ref="Q22">IF(O22&lt;&gt;"",SUM(P$4:P22)/SUM(P$4:P$49), "")</f>
        <v>0.5239532069</v>
      </c>
      <c r="R22" s="113">
        <f t="shared" si="4"/>
        <v>37519840.21</v>
      </c>
      <c r="S22" s="113" t="str">
        <f t="shared" si="5"/>
        <v/>
      </c>
      <c r="T22" s="113" t="str">
        <f t="shared" si="6"/>
        <v/>
      </c>
    </row>
    <row r="23">
      <c r="A23" s="46" t="str">
        <f>IFERROR(__xludf.DUMMYFUNCTION("""COMPUTED_VALUE"""),"Baby Food")</f>
        <v>Baby Food</v>
      </c>
      <c r="B23" s="46" t="str">
        <f>IFERROR(__xludf.DUMMYFUNCTION("""COMPUTED_VALUE"""),"Slovenia")</f>
        <v>Slovenia</v>
      </c>
      <c r="C23" s="46">
        <f>IFERROR(__xludf.DUMMYFUNCTION("""COMPUTED_VALUE"""),1.11893022E8)</f>
        <v>111893022</v>
      </c>
      <c r="D23" s="84">
        <f>IFERROR(__xludf.DUMMYFUNCTION("""COMPUTED_VALUE"""),124066.08)</f>
        <v>124066.08</v>
      </c>
      <c r="H23" s="48" t="str">
        <f t="array" ref="H23">IF(F23&lt;&gt;"",SUM(G$4:G23)/SUM(G$4:G$48), "")</f>
        <v/>
      </c>
      <c r="I23" s="113" t="str">
        <f t="shared" si="1"/>
        <v/>
      </c>
      <c r="J23" s="113" t="str">
        <f t="shared" si="2"/>
        <v/>
      </c>
      <c r="K23" s="113" t="str">
        <f t="shared" si="3"/>
        <v/>
      </c>
      <c r="M23" s="48"/>
      <c r="N23" s="38"/>
      <c r="O23" s="38" t="str">
        <f>IFERROR(__xludf.DUMMYFUNCTION("""COMPUTED_VALUE"""),"Italy")</f>
        <v>Italy</v>
      </c>
      <c r="P23" s="38">
        <f>IFERROR(__xludf.DUMMYFUNCTION("""COMPUTED_VALUE"""),3.587835212E7)</f>
        <v>35878352.12</v>
      </c>
      <c r="Q23" s="114">
        <f t="array" ref="Q23">IF(O23&lt;&gt;"",SUM(P$4:P23)/SUM(P$4:P$49), "")</f>
        <v>0.5463564441</v>
      </c>
      <c r="R23" s="113">
        <f t="shared" si="4"/>
        <v>35878352.12</v>
      </c>
      <c r="S23" s="113" t="str">
        <f t="shared" si="5"/>
        <v/>
      </c>
      <c r="T23" s="113" t="str">
        <f t="shared" si="6"/>
        <v/>
      </c>
    </row>
    <row r="24">
      <c r="A24" s="46" t="str">
        <f>IFERROR(__xludf.DUMMYFUNCTION("""COMPUTED_VALUE"""),"Office Supplies")</f>
        <v>Office Supplies</v>
      </c>
      <c r="B24" s="46" t="str">
        <f>IFERROR(__xludf.DUMMYFUNCTION("""COMPUTED_VALUE"""),"Lithuania")</f>
        <v>Lithuania</v>
      </c>
      <c r="C24" s="46">
        <f>IFERROR(__xludf.DUMMYFUNCTION("""COMPUTED_VALUE"""),1.12330758E8)</f>
        <v>112330758</v>
      </c>
      <c r="D24" s="84">
        <f>IFERROR(__xludf.DUMMYFUNCTION("""COMPUTED_VALUE"""),14326.62)</f>
        <v>14326.62</v>
      </c>
      <c r="H24" s="48" t="str">
        <f t="array" ref="H24">IF(F24&lt;&gt;"",SUM(G$4:G24)/SUM(G$4:G$48), "")</f>
        <v/>
      </c>
      <c r="I24" s="113" t="str">
        <f t="shared" si="1"/>
        <v/>
      </c>
      <c r="J24" s="113" t="str">
        <f t="shared" si="2"/>
        <v/>
      </c>
      <c r="K24" s="113" t="str">
        <f t="shared" si="3"/>
        <v/>
      </c>
      <c r="M24" s="48"/>
      <c r="N24" s="38"/>
      <c r="O24" s="38" t="str">
        <f>IFERROR(__xludf.DUMMYFUNCTION("""COMPUTED_VALUE"""),"Austria")</f>
        <v>Austria</v>
      </c>
      <c r="P24" s="38">
        <f>IFERROR(__xludf.DUMMYFUNCTION("""COMPUTED_VALUE"""),3.574087149E7)</f>
        <v>35740871.49</v>
      </c>
      <c r="Q24" s="114">
        <f t="array" ref="Q24">IF(O24&lt;&gt;"",SUM(P$4:P24)/SUM(P$4:P$49), "")</f>
        <v>0.5686738353</v>
      </c>
      <c r="R24" s="113">
        <f t="shared" si="4"/>
        <v>35740871.49</v>
      </c>
      <c r="S24" s="113" t="str">
        <f t="shared" si="5"/>
        <v/>
      </c>
      <c r="T24" s="113" t="str">
        <f t="shared" si="6"/>
        <v/>
      </c>
    </row>
    <row r="25">
      <c r="A25" s="46" t="str">
        <f>IFERROR(__xludf.DUMMYFUNCTION("""COMPUTED_VALUE"""),"Cosmetics")</f>
        <v>Cosmetics</v>
      </c>
      <c r="B25" s="46" t="str">
        <f>IFERROR(__xludf.DUMMYFUNCTION("""COMPUTED_VALUE"""),"Russia")</f>
        <v>Russia</v>
      </c>
      <c r="C25" s="46">
        <f>IFERROR(__xludf.DUMMYFUNCTION("""COMPUTED_VALUE"""),1.13524663E8)</f>
        <v>113524663</v>
      </c>
      <c r="D25" s="84">
        <f>IFERROR(__xludf.DUMMYFUNCTION("""COMPUTED_VALUE"""),1453690.0)</f>
        <v>1453690</v>
      </c>
      <c r="H25" s="48" t="str">
        <f t="array" ref="H25">IF(F25&lt;&gt;"",SUM(G$4:G25)/SUM(G$4:G$48), "")</f>
        <v/>
      </c>
      <c r="I25" s="113" t="str">
        <f t="shared" si="1"/>
        <v/>
      </c>
      <c r="J25" s="113" t="str">
        <f t="shared" si="2"/>
        <v/>
      </c>
      <c r="K25" s="113" t="str">
        <f t="shared" si="3"/>
        <v/>
      </c>
      <c r="M25" s="48"/>
      <c r="N25" s="38"/>
      <c r="O25" s="38" t="str">
        <f>IFERROR(__xludf.DUMMYFUNCTION("""COMPUTED_VALUE"""),"Sweden")</f>
        <v>Sweden</v>
      </c>
      <c r="P25" s="38">
        <f>IFERROR(__xludf.DUMMYFUNCTION("""COMPUTED_VALUE"""),3.5482128019999996E7)</f>
        <v>35482128.02</v>
      </c>
      <c r="Q25" s="114">
        <f t="array" ref="Q25">IF(O25&lt;&gt;"",SUM(P$4:P25)/SUM(P$4:P$49), "")</f>
        <v>0.5908296613</v>
      </c>
      <c r="R25" s="113">
        <f t="shared" si="4"/>
        <v>35482128.02</v>
      </c>
      <c r="S25" s="113" t="str">
        <f t="shared" si="5"/>
        <v/>
      </c>
      <c r="T25" s="113" t="str">
        <f t="shared" si="6"/>
        <v/>
      </c>
    </row>
    <row r="26">
      <c r="A26" s="46" t="str">
        <f>IFERROR(__xludf.DUMMYFUNCTION("""COMPUTED_VALUE"""),"Fruits")</f>
        <v>Fruits</v>
      </c>
      <c r="B26" s="46" t="str">
        <f>IFERROR(__xludf.DUMMYFUNCTION("""COMPUTED_VALUE"""),"Malta")</f>
        <v>Malta</v>
      </c>
      <c r="C26" s="46">
        <f>IFERROR(__xludf.DUMMYFUNCTION("""COMPUTED_VALUE"""),1.14954173E8)</f>
        <v>114954173</v>
      </c>
      <c r="D26" s="84">
        <f>IFERROR(__xludf.DUMMYFUNCTION("""COMPUTED_VALUE"""),59236.17)</f>
        <v>59236.17</v>
      </c>
      <c r="H26" s="48" t="str">
        <f t="array" ref="H26">IF(F26&lt;&gt;"",SUM(G$4:G26)/SUM(G$4:G$48), "")</f>
        <v/>
      </c>
      <c r="I26" s="113" t="str">
        <f t="shared" si="1"/>
        <v/>
      </c>
      <c r="J26" s="113" t="str">
        <f t="shared" si="2"/>
        <v/>
      </c>
      <c r="K26" s="113" t="str">
        <f t="shared" si="3"/>
        <v/>
      </c>
      <c r="M26" s="48"/>
      <c r="N26" s="38"/>
      <c r="O26" s="38" t="str">
        <f>IFERROR(__xludf.DUMMYFUNCTION("""COMPUTED_VALUE"""),"Romania")</f>
        <v>Romania</v>
      </c>
      <c r="P26" s="38">
        <f>IFERROR(__xludf.DUMMYFUNCTION("""COMPUTED_VALUE"""),3.428615085E7)</f>
        <v>34286150.85</v>
      </c>
      <c r="Q26" s="114">
        <f t="array" ref="Q26">IF(O26&lt;&gt;"",SUM(P$4:P26)/SUM(P$4:P$49), "")</f>
        <v>0.6122386928</v>
      </c>
      <c r="R26" s="113">
        <f t="shared" si="4"/>
        <v>34286150.85</v>
      </c>
      <c r="S26" s="113" t="str">
        <f t="shared" si="5"/>
        <v/>
      </c>
      <c r="T26" s="113" t="str">
        <f t="shared" si="6"/>
        <v/>
      </c>
    </row>
    <row r="27">
      <c r="A27" s="46" t="str">
        <f>IFERROR(__xludf.DUMMYFUNCTION("""COMPUTED_VALUE"""),"Office Supplies")</f>
        <v>Office Supplies</v>
      </c>
      <c r="B27" s="46" t="str">
        <f>IFERROR(__xludf.DUMMYFUNCTION("""COMPUTED_VALUE"""),"Ukraine")</f>
        <v>Ukraine</v>
      </c>
      <c r="C27" s="46">
        <f>IFERROR(__xludf.DUMMYFUNCTION("""COMPUTED_VALUE"""),1.15363156E8)</f>
        <v>115363156</v>
      </c>
      <c r="D27" s="84">
        <f>IFERROR(__xludf.DUMMYFUNCTION("""COMPUTED_VALUE"""),4803324.96)</f>
        <v>4803324.96</v>
      </c>
      <c r="H27" s="48" t="str">
        <f t="array" ref="H27">IF(F27&lt;&gt;"",SUM(G$4:G27)/SUM(G$4:G$48), "")</f>
        <v/>
      </c>
      <c r="I27" s="113" t="str">
        <f t="shared" si="1"/>
        <v/>
      </c>
      <c r="J27" s="113" t="str">
        <f t="shared" si="2"/>
        <v/>
      </c>
      <c r="K27" s="113" t="str">
        <f t="shared" si="3"/>
        <v/>
      </c>
      <c r="M27" s="48"/>
      <c r="N27" s="38"/>
      <c r="O27" s="38" t="str">
        <f>IFERROR(__xludf.DUMMYFUNCTION("""COMPUTED_VALUE"""),"Belarus")</f>
        <v>Belarus</v>
      </c>
      <c r="P27" s="38">
        <f>IFERROR(__xludf.DUMMYFUNCTION("""COMPUTED_VALUE"""),3.4236260769999996E7)</f>
        <v>34236260.77</v>
      </c>
      <c r="Q27" s="114">
        <f t="array" ref="Q27">IF(O27&lt;&gt;"",SUM(P$4:P27)/SUM(P$4:P$49), "")</f>
        <v>0.6336165718</v>
      </c>
      <c r="R27" s="113">
        <f t="shared" si="4"/>
        <v>34236260.77</v>
      </c>
      <c r="S27" s="113" t="str">
        <f t="shared" si="5"/>
        <v/>
      </c>
      <c r="T27" s="113" t="str">
        <f t="shared" si="6"/>
        <v/>
      </c>
    </row>
    <row r="28">
      <c r="A28" s="46" t="str">
        <f>IFERROR(__xludf.DUMMYFUNCTION("""COMPUTED_VALUE"""),"Fruits")</f>
        <v>Fruits</v>
      </c>
      <c r="B28" s="46" t="str">
        <f>IFERROR(__xludf.DUMMYFUNCTION("""COMPUTED_VALUE"""),"Undefined")</f>
        <v>Undefined</v>
      </c>
      <c r="C28" s="46">
        <f>IFERROR(__xludf.DUMMYFUNCTION("""COMPUTED_VALUE"""),1.17929494E8)</f>
        <v>117929494</v>
      </c>
      <c r="D28" s="84">
        <f>IFERROR(__xludf.DUMMYFUNCTION("""COMPUTED_VALUE"""),63565.29)</f>
        <v>63565.29</v>
      </c>
      <c r="H28" s="48" t="str">
        <f t="array" ref="H28">IF(F28&lt;&gt;"",SUM(G$4:G28)/SUM(G$4:G$48), "")</f>
        <v/>
      </c>
      <c r="I28" s="113" t="str">
        <f t="shared" si="1"/>
        <v/>
      </c>
      <c r="J28" s="113" t="str">
        <f t="shared" si="2"/>
        <v/>
      </c>
      <c r="K28" s="113" t="str">
        <f t="shared" si="3"/>
        <v/>
      </c>
      <c r="M28" s="48"/>
      <c r="N28" s="38"/>
      <c r="O28" s="38" t="str">
        <f>IFERROR(__xludf.DUMMYFUNCTION("""COMPUTED_VALUE"""),"Poland")</f>
        <v>Poland</v>
      </c>
      <c r="P28" s="38">
        <f>IFERROR(__xludf.DUMMYFUNCTION("""COMPUTED_VALUE"""),3.3805403220000006E7)</f>
        <v>33805403.22</v>
      </c>
      <c r="Q28" s="114">
        <f t="array" ref="Q28">IF(O28&lt;&gt;"",SUM(P$4:P28)/SUM(P$4:P$49), "")</f>
        <v>0.6547254137</v>
      </c>
      <c r="R28" s="113">
        <f t="shared" si="4"/>
        <v>33805403.22</v>
      </c>
      <c r="S28" s="113" t="str">
        <f t="shared" si="5"/>
        <v/>
      </c>
      <c r="T28" s="113" t="str">
        <f t="shared" si="6"/>
        <v/>
      </c>
    </row>
    <row r="29">
      <c r="A29" s="46" t="str">
        <f>IFERROR(__xludf.DUMMYFUNCTION("""COMPUTED_VALUE"""),"Snacks")</f>
        <v>Snacks</v>
      </c>
      <c r="B29" s="46" t="str">
        <f>IFERROR(__xludf.DUMMYFUNCTION("""COMPUTED_VALUE"""),"Norway")</f>
        <v>Norway</v>
      </c>
      <c r="C29" s="46">
        <f>IFERROR(__xludf.DUMMYFUNCTION("""COMPUTED_VALUE"""),1.18086564E8)</f>
        <v>118086564</v>
      </c>
      <c r="D29" s="84">
        <f>IFERROR(__xludf.DUMMYFUNCTION("""COMPUTED_VALUE"""),502445.94000000006)</f>
        <v>502445.94</v>
      </c>
      <c r="H29" s="48" t="str">
        <f t="array" ref="H29">IF(F29&lt;&gt;"",SUM(G$4:G29)/SUM(G$4:G$48), "")</f>
        <v/>
      </c>
      <c r="I29" s="113" t="str">
        <f t="shared" si="1"/>
        <v/>
      </c>
      <c r="J29" s="113" t="str">
        <f t="shared" si="2"/>
        <v/>
      </c>
      <c r="K29" s="113" t="str">
        <f t="shared" si="3"/>
        <v/>
      </c>
      <c r="M29" s="48"/>
      <c r="N29" s="38"/>
      <c r="O29" s="38" t="str">
        <f>IFERROR(__xludf.DUMMYFUNCTION("""COMPUTED_VALUE"""),"Luxembourg")</f>
        <v>Luxembourg</v>
      </c>
      <c r="P29" s="38">
        <f>IFERROR(__xludf.DUMMYFUNCTION("""COMPUTED_VALUE"""),3.3075377209999997E7)</f>
        <v>33075377.21</v>
      </c>
      <c r="Q29" s="114">
        <f t="array" ref="Q29">IF(O29&lt;&gt;"",SUM(P$4:P29)/SUM(P$4:P$49), "")</f>
        <v>0.6753784113</v>
      </c>
      <c r="R29" s="113">
        <f t="shared" si="4"/>
        <v>33075377.21</v>
      </c>
      <c r="S29" s="113" t="str">
        <f t="shared" si="5"/>
        <v/>
      </c>
      <c r="T29" s="113" t="str">
        <f t="shared" si="6"/>
        <v/>
      </c>
    </row>
    <row r="30">
      <c r="A30" s="46" t="str">
        <f>IFERROR(__xludf.DUMMYFUNCTION("""COMPUTED_VALUE"""),"Cereal")</f>
        <v>Cereal</v>
      </c>
      <c r="B30" s="46" t="str">
        <f>IFERROR(__xludf.DUMMYFUNCTION("""COMPUTED_VALUE"""),"Czech Republic")</f>
        <v>Czech Republic</v>
      </c>
      <c r="C30" s="46">
        <f>IFERROR(__xludf.DUMMYFUNCTION("""COMPUTED_VALUE"""),1.18659913E8)</f>
        <v>118659913</v>
      </c>
      <c r="D30" s="84">
        <f>IFERROR(__xludf.DUMMYFUNCTION("""COMPUTED_VALUE"""),608872.0)</f>
        <v>608872</v>
      </c>
      <c r="H30" s="48" t="str">
        <f t="array" ref="H30">IF(F30&lt;&gt;"",SUM(G$4:G30)/SUM(G$4:G$48), "")</f>
        <v/>
      </c>
      <c r="I30" s="113" t="str">
        <f t="shared" si="1"/>
        <v/>
      </c>
      <c r="J30" s="113" t="str">
        <f t="shared" si="2"/>
        <v/>
      </c>
      <c r="K30" s="113" t="str">
        <f t="shared" si="3"/>
        <v/>
      </c>
      <c r="M30" s="48"/>
      <c r="N30" s="38"/>
      <c r="O30" s="38" t="str">
        <f>IFERROR(__xludf.DUMMYFUNCTION("""COMPUTED_VALUE"""),"Ireland")</f>
        <v>Ireland</v>
      </c>
      <c r="P30" s="38">
        <f>IFERROR(__xludf.DUMMYFUNCTION("""COMPUTED_VALUE"""),3.302222331E7)</f>
        <v>33022223.31</v>
      </c>
      <c r="Q30" s="114">
        <f t="array" ref="Q30">IF(O30&lt;&gt;"",SUM(P$4:P30)/SUM(P$4:P$49), "")</f>
        <v>0.6959982184</v>
      </c>
      <c r="R30" s="113">
        <f t="shared" si="4"/>
        <v>33022223.31</v>
      </c>
      <c r="S30" s="113" t="str">
        <f t="shared" si="5"/>
        <v/>
      </c>
      <c r="T30" s="113" t="str">
        <f t="shared" si="6"/>
        <v/>
      </c>
    </row>
    <row r="31">
      <c r="A31" s="46" t="str">
        <f>IFERROR(__xludf.DUMMYFUNCTION("""COMPUTED_VALUE"""),"Snacks")</f>
        <v>Snacks</v>
      </c>
      <c r="B31" s="46" t="str">
        <f>IFERROR(__xludf.DUMMYFUNCTION("""COMPUTED_VALUE"""),"Undefined")</f>
        <v>Undefined</v>
      </c>
      <c r="C31" s="46">
        <f>IFERROR(__xludf.DUMMYFUNCTION("""COMPUTED_VALUE"""),1.18859469E8)</f>
        <v>118859469</v>
      </c>
      <c r="D31" s="84">
        <f>IFERROR(__xludf.DUMMYFUNCTION("""COMPUTED_VALUE"""),307143.54000000004)</f>
        <v>307143.54</v>
      </c>
      <c r="H31" s="48" t="str">
        <f t="array" ref="H31">IF(F31&lt;&gt;"",SUM(G$4:G31)/SUM(G$4:G$48), "")</f>
        <v/>
      </c>
      <c r="I31" s="113" t="str">
        <f t="shared" si="1"/>
        <v/>
      </c>
      <c r="J31" s="113" t="str">
        <f t="shared" si="2"/>
        <v/>
      </c>
      <c r="K31" s="113" t="str">
        <f t="shared" si="3"/>
        <v/>
      </c>
      <c r="M31" s="48"/>
      <c r="N31" s="38"/>
      <c r="O31" s="38" t="str">
        <f>IFERROR(__xludf.DUMMYFUNCTION("""COMPUTED_VALUE"""),"Cyprus")</f>
        <v>Cyprus</v>
      </c>
      <c r="P31" s="38">
        <f>IFERROR(__xludf.DUMMYFUNCTION("""COMPUTED_VALUE"""),3.30088515E7)</f>
        <v>33008851.5</v>
      </c>
      <c r="Q31" s="114">
        <f t="array" ref="Q31">IF(O31&lt;&gt;"",SUM(P$4:P31)/SUM(P$4:P$49), "")</f>
        <v>0.7166096759</v>
      </c>
      <c r="R31" s="113">
        <f t="shared" si="4"/>
        <v>33008851.5</v>
      </c>
      <c r="S31" s="113" t="str">
        <f t="shared" si="5"/>
        <v/>
      </c>
      <c r="T31" s="113" t="str">
        <f t="shared" si="6"/>
        <v/>
      </c>
    </row>
    <row r="32">
      <c r="A32" s="46" t="str">
        <f>IFERROR(__xludf.DUMMYFUNCTION("""COMPUTED_VALUE"""),"Personal Care")</f>
        <v>Personal Care</v>
      </c>
      <c r="B32" s="46" t="str">
        <f>IFERROR(__xludf.DUMMYFUNCTION("""COMPUTED_VALUE"""),"Romania")</f>
        <v>Romania</v>
      </c>
      <c r="C32" s="46">
        <f>IFERROR(__xludf.DUMMYFUNCTION("""COMPUTED_VALUE"""),1.19935786E8)</f>
        <v>119935786</v>
      </c>
      <c r="D32" s="84">
        <f>IFERROR(__xludf.DUMMYFUNCTION("""COMPUTED_VALUE"""),42417.87)</f>
        <v>42417.87</v>
      </c>
      <c r="H32" s="48" t="str">
        <f t="array" ref="H32">IF(F32&lt;&gt;"",SUM(G$4:G32)/SUM(G$4:G$48), "")</f>
        <v/>
      </c>
      <c r="I32" s="113" t="str">
        <f t="shared" si="1"/>
        <v/>
      </c>
      <c r="J32" s="113" t="str">
        <f t="shared" si="2"/>
        <v/>
      </c>
      <c r="K32" s="113" t="str">
        <f t="shared" si="3"/>
        <v/>
      </c>
      <c r="M32" s="48"/>
      <c r="N32" s="38"/>
      <c r="O32" s="38" t="str">
        <f>IFERROR(__xludf.DUMMYFUNCTION("""COMPUTED_VALUE"""),"Albania")</f>
        <v>Albania</v>
      </c>
      <c r="P32" s="38">
        <f>IFERROR(__xludf.DUMMYFUNCTION("""COMPUTED_VALUE"""),3.222485387E7)</f>
        <v>32224853.87</v>
      </c>
      <c r="Q32" s="114">
        <f t="array" ref="Q32">IF(O32&lt;&gt;"",SUM(P$4:P32)/SUM(P$4:P$49), "")</f>
        <v>0.7367315878</v>
      </c>
      <c r="R32" s="113">
        <f t="shared" si="4"/>
        <v>32224853.87</v>
      </c>
      <c r="S32" s="113" t="str">
        <f t="shared" si="5"/>
        <v/>
      </c>
      <c r="T32" s="113" t="str">
        <f t="shared" si="6"/>
        <v/>
      </c>
    </row>
    <row r="33">
      <c r="A33" s="46" t="str">
        <f>IFERROR(__xludf.DUMMYFUNCTION("""COMPUTED_VALUE"""),"Personal Care")</f>
        <v>Personal Care</v>
      </c>
      <c r="B33" s="46" t="str">
        <f>IFERROR(__xludf.DUMMYFUNCTION("""COMPUTED_VALUE"""),"Lithuania")</f>
        <v>Lithuania</v>
      </c>
      <c r="C33" s="46">
        <f>IFERROR(__xludf.DUMMYFUNCTION("""COMPUTED_VALUE"""),1.20419871E8)</f>
        <v>120419871</v>
      </c>
      <c r="D33" s="84">
        <f>IFERROR(__xludf.DUMMYFUNCTION("""COMPUTED_VALUE"""),308203.83)</f>
        <v>308203.83</v>
      </c>
      <c r="H33" s="48" t="str">
        <f t="array" ref="H33">IF(F33&lt;&gt;"",SUM(G$4:G33)/SUM(G$4:G$48), "")</f>
        <v/>
      </c>
      <c r="I33" s="113" t="str">
        <f t="shared" si="1"/>
        <v/>
      </c>
      <c r="J33" s="113" t="str">
        <f t="shared" si="2"/>
        <v/>
      </c>
      <c r="K33" s="113" t="str">
        <f t="shared" si="3"/>
        <v/>
      </c>
      <c r="M33" s="48"/>
      <c r="N33" s="38"/>
      <c r="O33" s="38" t="str">
        <f>IFERROR(__xludf.DUMMYFUNCTION("""COMPUTED_VALUE"""),"Switzerland")</f>
        <v>Switzerland</v>
      </c>
      <c r="P33" s="38">
        <f>IFERROR(__xludf.DUMMYFUNCTION("""COMPUTED_VALUE"""),3.1875174000000004E7)</f>
        <v>31875174</v>
      </c>
      <c r="Q33" s="114">
        <f t="array" ref="Q33">IF(O33&lt;&gt;"",SUM(P$4:P33)/SUM(P$4:P$49), "")</f>
        <v>0.756635152</v>
      </c>
      <c r="R33" s="113">
        <f t="shared" si="4"/>
        <v>31875174</v>
      </c>
      <c r="S33" s="113" t="str">
        <f t="shared" si="5"/>
        <v/>
      </c>
      <c r="T33" s="113" t="str">
        <f t="shared" si="6"/>
        <v/>
      </c>
    </row>
    <row r="34">
      <c r="A34" s="46" t="str">
        <f>IFERROR(__xludf.DUMMYFUNCTION("""COMPUTED_VALUE"""),"Fruits")</f>
        <v>Fruits</v>
      </c>
      <c r="B34" s="46" t="str">
        <f>IFERROR(__xludf.DUMMYFUNCTION("""COMPUTED_VALUE"""),"Armenia")</f>
        <v>Armenia</v>
      </c>
      <c r="C34" s="46">
        <f>IFERROR(__xludf.DUMMYFUNCTION("""COMPUTED_VALUE"""),1.20977771E8)</f>
        <v>120977771</v>
      </c>
      <c r="D34" s="84">
        <f>IFERROR(__xludf.DUMMYFUNCTION("""COMPUTED_VALUE"""),82719.78)</f>
        <v>82719.78</v>
      </c>
      <c r="H34" s="48" t="str">
        <f t="array" ref="H34">IF(F34&lt;&gt;"",SUM(G$4:G34)/SUM(G$4:G$48), "")</f>
        <v/>
      </c>
      <c r="I34" s="113" t="str">
        <f t="shared" si="1"/>
        <v/>
      </c>
      <c r="J34" s="113" t="str">
        <f t="shared" si="2"/>
        <v/>
      </c>
      <c r="K34" s="113" t="str">
        <f t="shared" si="3"/>
        <v/>
      </c>
      <c r="M34" s="48"/>
      <c r="N34" s="38"/>
      <c r="O34" s="38" t="str">
        <f>IFERROR(__xludf.DUMMYFUNCTION("""COMPUTED_VALUE"""),"Norway")</f>
        <v>Norway</v>
      </c>
      <c r="P34" s="38">
        <f>IFERROR(__xludf.DUMMYFUNCTION("""COMPUTED_VALUE"""),3.15206985E7)</f>
        <v>31520698.5</v>
      </c>
      <c r="Q34" s="114">
        <f t="array" ref="Q34">IF(O34&lt;&gt;"",SUM(P$4:P34)/SUM(P$4:P$49), "")</f>
        <v>0.7763173738</v>
      </c>
      <c r="R34" s="113">
        <f t="shared" si="4"/>
        <v>31520698.5</v>
      </c>
      <c r="S34" s="113" t="str">
        <f t="shared" si="5"/>
        <v/>
      </c>
      <c r="T34" s="113" t="str">
        <f t="shared" si="6"/>
        <v/>
      </c>
    </row>
    <row r="35">
      <c r="A35" s="46" t="str">
        <f>IFERROR(__xludf.DUMMYFUNCTION("""COMPUTED_VALUE"""),"Fruits")</f>
        <v>Fruits</v>
      </c>
      <c r="B35" s="46" t="str">
        <f>IFERROR(__xludf.DUMMYFUNCTION("""COMPUTED_VALUE"""),"Malta")</f>
        <v>Malta</v>
      </c>
      <c r="C35" s="46">
        <f>IFERROR(__xludf.DUMMYFUNCTION("""COMPUTED_VALUE"""),1.21380746E8)</f>
        <v>121380746</v>
      </c>
      <c r="D35" s="84">
        <f>IFERROR(__xludf.DUMMYFUNCTION("""COMPUTED_VALUE"""),75712.95)</f>
        <v>75712.95</v>
      </c>
      <c r="H35" s="48" t="str">
        <f t="array" ref="H35">IF(F35&lt;&gt;"",SUM(G$4:G35)/SUM(G$4:G$48), "")</f>
        <v/>
      </c>
      <c r="I35" s="113" t="str">
        <f t="shared" si="1"/>
        <v/>
      </c>
      <c r="J35" s="113" t="str">
        <f t="shared" si="2"/>
        <v/>
      </c>
      <c r="K35" s="113" t="str">
        <f t="shared" si="3"/>
        <v/>
      </c>
      <c r="M35" s="48"/>
      <c r="N35" s="38"/>
      <c r="O35" s="38" t="str">
        <f>IFERROR(__xludf.DUMMYFUNCTION("""COMPUTED_VALUE"""),"Montenegro")</f>
        <v>Montenegro</v>
      </c>
      <c r="P35" s="38">
        <f>IFERROR(__xludf.DUMMYFUNCTION("""COMPUTED_VALUE"""),3.1346476900000002E7)</f>
        <v>31346476.9</v>
      </c>
      <c r="Q35" s="114">
        <f t="array" ref="Q35">IF(O35&lt;&gt;"",SUM(P$4:P35)/SUM(P$4:P$49), "")</f>
        <v>0.7958908077</v>
      </c>
      <c r="R35" s="113">
        <f t="shared" si="4"/>
        <v>31346476.9</v>
      </c>
      <c r="S35" s="113" t="str">
        <f t="shared" si="5"/>
        <v/>
      </c>
      <c r="T35" s="113" t="str">
        <f t="shared" si="6"/>
        <v/>
      </c>
    </row>
    <row r="36">
      <c r="A36" s="46" t="str">
        <f>IFERROR(__xludf.DUMMYFUNCTION("""COMPUTED_VALUE"""),"Beverages")</f>
        <v>Beverages</v>
      </c>
      <c r="B36" s="46" t="str">
        <f>IFERROR(__xludf.DUMMYFUNCTION("""COMPUTED_VALUE"""),"United Kingdom")</f>
        <v>United Kingdom</v>
      </c>
      <c r="C36" s="46">
        <f>IFERROR(__xludf.DUMMYFUNCTION("""COMPUTED_VALUE"""),1.21945512E8)</f>
        <v>121945512</v>
      </c>
      <c r="D36" s="84">
        <f>IFERROR(__xludf.DUMMYFUNCTION("""COMPUTED_VALUE"""),248732.90000000002)</f>
        <v>248732.9</v>
      </c>
      <c r="H36" s="48" t="str">
        <f t="array" ref="H36">IF(F36&lt;&gt;"",SUM(G$4:G36)/SUM(G$4:G$48), "")</f>
        <v/>
      </c>
      <c r="I36" s="113" t="str">
        <f t="shared" si="1"/>
        <v/>
      </c>
      <c r="J36" s="113" t="str">
        <f t="shared" si="2"/>
        <v/>
      </c>
      <c r="K36" s="113" t="str">
        <f t="shared" si="3"/>
        <v/>
      </c>
      <c r="M36" s="48"/>
      <c r="N36" s="38"/>
      <c r="O36" s="38" t="str">
        <f>IFERROR(__xludf.DUMMYFUNCTION("""COMPUTED_VALUE"""),"Liechtenstein")</f>
        <v>Liechtenstein</v>
      </c>
      <c r="P36" s="38">
        <f>IFERROR(__xludf.DUMMYFUNCTION("""COMPUTED_VALUE"""),2.9872564409999996E7)</f>
        <v>29872564.41</v>
      </c>
      <c r="Q36" s="114">
        <f t="array" ref="Q36">IF(O36&lt;&gt;"",SUM(P$4:P36)/SUM(P$4:P$49), "")</f>
        <v>0.8145438981</v>
      </c>
      <c r="R36" s="113" t="str">
        <f t="shared" si="4"/>
        <v/>
      </c>
      <c r="S36" s="113">
        <f t="shared" si="5"/>
        <v>29872564.41</v>
      </c>
      <c r="T36" s="113" t="str">
        <f t="shared" si="6"/>
        <v/>
      </c>
    </row>
    <row r="37">
      <c r="A37" s="46" t="str">
        <f>IFERROR(__xludf.DUMMYFUNCTION("""COMPUTED_VALUE"""),"Beverages")</f>
        <v>Beverages</v>
      </c>
      <c r="B37" s="46" t="str">
        <f>IFERROR(__xludf.DUMMYFUNCTION("""COMPUTED_VALUE"""),"Montenegro")</f>
        <v>Montenegro</v>
      </c>
      <c r="C37" s="46">
        <f>IFERROR(__xludf.DUMMYFUNCTION("""COMPUTED_VALUE"""),1.2214421E8)</f>
        <v>122144210</v>
      </c>
      <c r="D37" s="84">
        <f>IFERROR(__xludf.DUMMYFUNCTION("""COMPUTED_VALUE"""),191745.45)</f>
        <v>191745.45</v>
      </c>
      <c r="H37" s="48" t="str">
        <f t="array" ref="H37">IF(F37&lt;&gt;"",SUM(G$4:G37)/SUM(G$4:G$48), "")</f>
        <v/>
      </c>
      <c r="I37" s="113" t="str">
        <f t="shared" si="1"/>
        <v/>
      </c>
      <c r="J37" s="113" t="str">
        <f t="shared" si="2"/>
        <v/>
      </c>
      <c r="K37" s="113" t="str">
        <f t="shared" si="3"/>
        <v/>
      </c>
      <c r="M37" s="48"/>
      <c r="N37" s="38"/>
      <c r="O37" s="38" t="str">
        <f>IFERROR(__xludf.DUMMYFUNCTION("""COMPUTED_VALUE"""),"Lithuania")</f>
        <v>Lithuania</v>
      </c>
      <c r="P37" s="38">
        <f>IFERROR(__xludf.DUMMYFUNCTION("""COMPUTED_VALUE"""),2.90319421E7)</f>
        <v>29031942.1</v>
      </c>
      <c r="Q37" s="114">
        <f t="array" ref="Q37">IF(O37&lt;&gt;"",SUM(P$4:P37)/SUM(P$4:P$49), "")</f>
        <v>0.8326720853</v>
      </c>
      <c r="R37" s="113" t="str">
        <f t="shared" si="4"/>
        <v/>
      </c>
      <c r="S37" s="113">
        <f t="shared" si="5"/>
        <v>29031942.1</v>
      </c>
      <c r="T37" s="113" t="str">
        <f t="shared" si="6"/>
        <v/>
      </c>
    </row>
    <row r="38">
      <c r="A38" s="46" t="str">
        <f>IFERROR(__xludf.DUMMYFUNCTION("""COMPUTED_VALUE"""),"Beverages")</f>
        <v>Beverages</v>
      </c>
      <c r="B38" s="46" t="str">
        <f>IFERROR(__xludf.DUMMYFUNCTION("""COMPUTED_VALUE"""),"Portugal")</f>
        <v>Portugal</v>
      </c>
      <c r="C38" s="46">
        <f>IFERROR(__xludf.DUMMYFUNCTION("""COMPUTED_VALUE"""),1.22372519E8)</f>
        <v>122372519</v>
      </c>
      <c r="D38" s="84">
        <f>IFERROR(__xludf.DUMMYFUNCTION("""COMPUTED_VALUE"""),76062.35)</f>
        <v>76062.35</v>
      </c>
      <c r="H38" s="48" t="str">
        <f t="array" ref="H38">IF(F38&lt;&gt;"",SUM(G$4:G38)/SUM(G$4:G$48), "")</f>
        <v/>
      </c>
      <c r="I38" s="113" t="str">
        <f t="shared" si="1"/>
        <v/>
      </c>
      <c r="J38" s="113" t="str">
        <f t="shared" si="2"/>
        <v/>
      </c>
      <c r="K38" s="113" t="str">
        <f t="shared" si="3"/>
        <v/>
      </c>
      <c r="M38" s="48"/>
      <c r="N38" s="38"/>
      <c r="O38" s="38" t="str">
        <f>IFERROR(__xludf.DUMMYFUNCTION("""COMPUTED_VALUE"""),"Spain")</f>
        <v>Spain</v>
      </c>
      <c r="P38" s="38">
        <f>IFERROR(__xludf.DUMMYFUNCTION("""COMPUTED_VALUE"""),2.8472026850000005E7)</f>
        <v>28472026.85</v>
      </c>
      <c r="Q38" s="114">
        <f t="array" ref="Q38">IF(O38&lt;&gt;"",SUM(P$4:P38)/SUM(P$4:P$49), "")</f>
        <v>0.850450649</v>
      </c>
      <c r="R38" s="113" t="str">
        <f t="shared" si="4"/>
        <v/>
      </c>
      <c r="S38" s="113">
        <f t="shared" si="5"/>
        <v>28472026.85</v>
      </c>
      <c r="T38" s="113" t="str">
        <f t="shared" si="6"/>
        <v/>
      </c>
    </row>
    <row r="39">
      <c r="A39" s="46" t="str">
        <f>IFERROR(__xludf.DUMMYFUNCTION("""COMPUTED_VALUE"""),"Beverages")</f>
        <v>Beverages</v>
      </c>
      <c r="B39" s="46" t="str">
        <f>IFERROR(__xludf.DUMMYFUNCTION("""COMPUTED_VALUE"""),"Belarus")</f>
        <v>Belarus</v>
      </c>
      <c r="C39" s="46">
        <f>IFERROR(__xludf.DUMMYFUNCTION("""COMPUTED_VALUE"""),1.22967326E8)</f>
        <v>122967326</v>
      </c>
      <c r="D39" s="84">
        <f>IFERROR(__xludf.DUMMYFUNCTION("""COMPUTED_VALUE"""),361521.55000000005)</f>
        <v>361521.55</v>
      </c>
      <c r="H39" s="48" t="str">
        <f t="array" ref="H39">IF(F39&lt;&gt;"",SUM(G$4:G39)/SUM(G$4:G$48), "")</f>
        <v/>
      </c>
      <c r="I39" s="113" t="str">
        <f t="shared" si="1"/>
        <v/>
      </c>
      <c r="J39" s="113" t="str">
        <f t="shared" si="2"/>
        <v/>
      </c>
      <c r="K39" s="113" t="str">
        <f t="shared" si="3"/>
        <v/>
      </c>
      <c r="M39" s="48"/>
      <c r="N39" s="38"/>
      <c r="O39" s="38" t="str">
        <f>IFERROR(__xludf.DUMMYFUNCTION("""COMPUTED_VALUE"""),"Croatia")</f>
        <v>Croatia</v>
      </c>
      <c r="P39" s="38">
        <f>IFERROR(__xludf.DUMMYFUNCTION("""COMPUTED_VALUE"""),2.7524405580000002E7)</f>
        <v>27524405.58</v>
      </c>
      <c r="Q39" s="114">
        <f t="array" ref="Q39">IF(O39&lt;&gt;"",SUM(P$4:P39)/SUM(P$4:P$49), "")</f>
        <v>0.8676374971</v>
      </c>
      <c r="R39" s="113" t="str">
        <f t="shared" si="4"/>
        <v/>
      </c>
      <c r="S39" s="113">
        <f t="shared" si="5"/>
        <v>27524405.58</v>
      </c>
      <c r="T39" s="113" t="str">
        <f t="shared" si="6"/>
        <v/>
      </c>
    </row>
    <row r="40">
      <c r="A40" s="46" t="str">
        <f>IFERROR(__xludf.DUMMYFUNCTION("""COMPUTED_VALUE"""),"Baby Food")</f>
        <v>Baby Food</v>
      </c>
      <c r="B40" s="46" t="str">
        <f>IFERROR(__xludf.DUMMYFUNCTION("""COMPUTED_VALUE"""),"Estonia")</f>
        <v>Estonia</v>
      </c>
      <c r="C40" s="46">
        <f>IFERROR(__xludf.DUMMYFUNCTION("""COMPUTED_VALUE"""),1.23086202E8)</f>
        <v>123086202</v>
      </c>
      <c r="D40" s="84">
        <f>IFERROR(__xludf.DUMMYFUNCTION("""COMPUTED_VALUE"""),714018.16)</f>
        <v>714018.16</v>
      </c>
      <c r="H40" s="48" t="str">
        <f t="array" ref="H40">IF(F40&lt;&gt;"",SUM(G$4:G40)/SUM(G$4:G$48), "")</f>
        <v/>
      </c>
      <c r="I40" s="113" t="str">
        <f t="shared" si="1"/>
        <v/>
      </c>
      <c r="J40" s="113" t="str">
        <f t="shared" si="2"/>
        <v/>
      </c>
      <c r="K40" s="113" t="str">
        <f t="shared" si="3"/>
        <v/>
      </c>
      <c r="M40" s="48"/>
      <c r="N40" s="38"/>
      <c r="O40" s="38" t="str">
        <f>IFERROR(__xludf.DUMMYFUNCTION("""COMPUTED_VALUE"""),"Denmark")</f>
        <v>Denmark</v>
      </c>
      <c r="P40" s="38">
        <f>IFERROR(__xludf.DUMMYFUNCTION("""COMPUTED_VALUE"""),2.6968532520000003E7)</f>
        <v>26968532.52</v>
      </c>
      <c r="Q40" s="114">
        <f t="array" ref="Q40">IF(O40&lt;&gt;"",SUM(P$4:P40)/SUM(P$4:P$49), "")</f>
        <v>0.8844772457</v>
      </c>
      <c r="R40" s="113" t="str">
        <f t="shared" si="4"/>
        <v/>
      </c>
      <c r="S40" s="113">
        <f t="shared" si="5"/>
        <v>26968532.52</v>
      </c>
      <c r="T40" s="113" t="str">
        <f t="shared" si="6"/>
        <v/>
      </c>
    </row>
    <row r="41">
      <c r="A41" s="46" t="str">
        <f>IFERROR(__xludf.DUMMYFUNCTION("""COMPUTED_VALUE"""),"Cereal")</f>
        <v>Cereal</v>
      </c>
      <c r="B41" s="46" t="str">
        <f>IFERROR(__xludf.DUMMYFUNCTION("""COMPUTED_VALUE"""),"Austria")</f>
        <v>Austria</v>
      </c>
      <c r="C41" s="46">
        <f>IFERROR(__xludf.DUMMYFUNCTION("""COMPUTED_VALUE"""),1.23544108E8)</f>
        <v>123544108</v>
      </c>
      <c r="D41" s="84">
        <f>IFERROR(__xludf.DUMMYFUNCTION("""COMPUTED_VALUE"""),1707721.4)</f>
        <v>1707721.4</v>
      </c>
      <c r="H41" s="48" t="str">
        <f t="array" ref="H41">IF(F41&lt;&gt;"",SUM(G$4:G41)/SUM(G$4:G$48), "")</f>
        <v/>
      </c>
      <c r="I41" s="113" t="str">
        <f t="shared" si="1"/>
        <v/>
      </c>
      <c r="J41" s="113" t="str">
        <f t="shared" si="2"/>
        <v/>
      </c>
      <c r="K41" s="113" t="str">
        <f t="shared" si="3"/>
        <v/>
      </c>
      <c r="M41" s="48"/>
      <c r="N41" s="38"/>
      <c r="O41" s="38" t="str">
        <f>IFERROR(__xludf.DUMMYFUNCTION("""COMPUTED_VALUE"""),"United Kingdom")</f>
        <v>United Kingdom</v>
      </c>
      <c r="P41" s="38">
        <f>IFERROR(__xludf.DUMMYFUNCTION("""COMPUTED_VALUE"""),2.6654989470000003E7)</f>
        <v>26654989.47</v>
      </c>
      <c r="Q41" s="114">
        <f t="array" ref="Q41">IF(O41&lt;&gt;"",SUM(P$4:P41)/SUM(P$4:P$49), "")</f>
        <v>0.901121211</v>
      </c>
      <c r="R41" s="113" t="str">
        <f t="shared" si="4"/>
        <v/>
      </c>
      <c r="S41" s="113">
        <f t="shared" si="5"/>
        <v>26654989.47</v>
      </c>
      <c r="T41" s="113" t="str">
        <f t="shared" si="6"/>
        <v/>
      </c>
    </row>
    <row r="42">
      <c r="A42" s="46" t="str">
        <f>IFERROR(__xludf.DUMMYFUNCTION("""COMPUTED_VALUE"""),"Beverages")</f>
        <v>Beverages</v>
      </c>
      <c r="B42" s="46" t="str">
        <f>IFERROR(__xludf.DUMMYFUNCTION("""COMPUTED_VALUE"""),"Belarus")</f>
        <v>Belarus</v>
      </c>
      <c r="C42" s="46">
        <f>IFERROR(__xludf.DUMMYFUNCTION("""COMPUTED_VALUE"""),1.2393893E8)</f>
        <v>123938930</v>
      </c>
      <c r="D42" s="84">
        <f>IFERROR(__xludf.DUMMYFUNCTION("""COMPUTED_VALUE"""),243798.1)</f>
        <v>243798.1</v>
      </c>
      <c r="H42" s="48" t="str">
        <f t="array" ref="H42">IF(F42&lt;&gt;"",SUM(G$4:G42)/SUM(G$4:G$48), "")</f>
        <v/>
      </c>
      <c r="I42" s="113" t="str">
        <f t="shared" si="1"/>
        <v/>
      </c>
      <c r="J42" s="113" t="str">
        <f t="shared" si="2"/>
        <v/>
      </c>
      <c r="K42" s="113" t="str">
        <f t="shared" si="3"/>
        <v/>
      </c>
      <c r="M42" s="48"/>
      <c r="N42" s="38"/>
      <c r="O42" s="38" t="str">
        <f>IFERROR(__xludf.DUMMYFUNCTION("""COMPUTED_VALUE"""),"Finland")</f>
        <v>Finland</v>
      </c>
      <c r="P42" s="38">
        <f>IFERROR(__xludf.DUMMYFUNCTION("""COMPUTED_VALUE"""),2.6027948980000008E7)</f>
        <v>26027948.98</v>
      </c>
      <c r="Q42" s="114">
        <f t="array" ref="Q42">IF(O42&lt;&gt;"",SUM(P$4:P42)/SUM(P$4:P$49), "")</f>
        <v>0.9173736384</v>
      </c>
      <c r="R42" s="113" t="str">
        <f t="shared" si="4"/>
        <v/>
      </c>
      <c r="S42" s="113">
        <f t="shared" si="5"/>
        <v>26027948.98</v>
      </c>
      <c r="T42" s="113" t="str">
        <f t="shared" si="6"/>
        <v/>
      </c>
    </row>
    <row r="43">
      <c r="A43" s="46" t="str">
        <f>IFERROR(__xludf.DUMMYFUNCTION("""COMPUTED_VALUE"""),"Snacks")</f>
        <v>Snacks</v>
      </c>
      <c r="B43" s="46" t="str">
        <f>IFERROR(__xludf.DUMMYFUNCTION("""COMPUTED_VALUE"""),"Macedonia")</f>
        <v>Macedonia</v>
      </c>
      <c r="C43" s="46">
        <f>IFERROR(__xludf.DUMMYFUNCTION("""COMPUTED_VALUE"""),1.25339686E8)</f>
        <v>125339686</v>
      </c>
      <c r="D43" s="84">
        <f>IFERROR(__xludf.DUMMYFUNCTION("""COMPUTED_VALUE"""),1472854.7400000002)</f>
        <v>1472854.74</v>
      </c>
      <c r="H43" s="48" t="str">
        <f t="array" ref="H43">IF(F43&lt;&gt;"",SUM(G$4:G43)/SUM(G$4:G$48), "")</f>
        <v/>
      </c>
      <c r="I43" s="113" t="str">
        <f t="shared" si="1"/>
        <v/>
      </c>
      <c r="J43" s="113" t="str">
        <f t="shared" si="2"/>
        <v/>
      </c>
      <c r="K43" s="113" t="str">
        <f t="shared" si="3"/>
        <v/>
      </c>
      <c r="M43" s="48"/>
      <c r="N43" s="38"/>
      <c r="O43" s="38" t="str">
        <f>IFERROR(__xludf.DUMMYFUNCTION("""COMPUTED_VALUE"""),"Belgium")</f>
        <v>Belgium</v>
      </c>
      <c r="P43" s="38">
        <f>IFERROR(__xludf.DUMMYFUNCTION("""COMPUTED_VALUE"""),2.5852572299999997E7)</f>
        <v>25852572.3</v>
      </c>
      <c r="Q43" s="114">
        <f t="array" ref="Q43">IF(O43&lt;&gt;"",SUM(P$4:P43)/SUM(P$4:P$49), "")</f>
        <v>0.9335165568</v>
      </c>
      <c r="R43" s="113" t="str">
        <f t="shared" si="4"/>
        <v/>
      </c>
      <c r="S43" s="113">
        <f t="shared" si="5"/>
        <v>25852572.3</v>
      </c>
      <c r="T43" s="113" t="str">
        <f t="shared" si="6"/>
        <v/>
      </c>
    </row>
    <row r="44">
      <c r="A44" s="46" t="str">
        <f>IFERROR(__xludf.DUMMYFUNCTION("""COMPUTED_VALUE"""),"Cereal")</f>
        <v>Cereal</v>
      </c>
      <c r="B44" s="46" t="str">
        <f>IFERROR(__xludf.DUMMYFUNCTION("""COMPUTED_VALUE"""),"San Marino")</f>
        <v>San Marino</v>
      </c>
      <c r="C44" s="46">
        <f>IFERROR(__xludf.DUMMYFUNCTION("""COMPUTED_VALUE"""),1.25349128E8)</f>
        <v>125349128</v>
      </c>
      <c r="D44" s="84">
        <f>IFERROR(__xludf.DUMMYFUNCTION("""COMPUTED_VALUE"""),503347.89999999997)</f>
        <v>503347.9</v>
      </c>
      <c r="H44" s="48" t="str">
        <f t="array" ref="H44">IF(F44&lt;&gt;"",SUM(G$4:G44)/SUM(G$4:G$48), "")</f>
        <v/>
      </c>
      <c r="I44" s="113" t="str">
        <f t="shared" si="1"/>
        <v/>
      </c>
      <c r="J44" s="113" t="str">
        <f t="shared" si="2"/>
        <v/>
      </c>
      <c r="K44" s="113" t="str">
        <f t="shared" si="3"/>
        <v/>
      </c>
      <c r="M44" s="48"/>
      <c r="N44" s="38"/>
      <c r="O44" s="38" t="str">
        <f>IFERROR(__xludf.DUMMYFUNCTION("""COMPUTED_VALUE"""),"Iceland")</f>
        <v>Iceland</v>
      </c>
      <c r="P44" s="38">
        <f>IFERROR(__xludf.DUMMYFUNCTION("""COMPUTED_VALUE"""),2.55702274E7)</f>
        <v>25570227.4</v>
      </c>
      <c r="Q44" s="114">
        <f t="array" ref="Q44">IF(O44&lt;&gt;"",SUM(P$4:P44)/SUM(P$4:P$49), "")</f>
        <v>0.9494831727</v>
      </c>
      <c r="R44" s="113" t="str">
        <f t="shared" si="4"/>
        <v/>
      </c>
      <c r="S44" s="113">
        <f t="shared" si="5"/>
        <v>25570227.4</v>
      </c>
      <c r="T44" s="113" t="str">
        <f t="shared" si="6"/>
        <v/>
      </c>
    </row>
    <row r="45">
      <c r="A45" s="46" t="str">
        <f>IFERROR(__xludf.DUMMYFUNCTION("""COMPUTED_VALUE"""),"Baby Food")</f>
        <v>Baby Food</v>
      </c>
      <c r="B45" s="46" t="str">
        <f>IFERROR(__xludf.DUMMYFUNCTION("""COMPUTED_VALUE"""),"Undefined")</f>
        <v>Undefined</v>
      </c>
      <c r="C45" s="46">
        <f>IFERROR(__xludf.DUMMYFUNCTION("""COMPUTED_VALUE"""),1.26948583E8)</f>
        <v>126948583</v>
      </c>
      <c r="D45" s="84">
        <f>IFERROR(__xludf.DUMMYFUNCTION("""COMPUTED_VALUE"""),1470923.36)</f>
        <v>1470923.36</v>
      </c>
      <c r="H45" s="48" t="str">
        <f t="array" ref="H45">IF(F45&lt;&gt;"",SUM(G$4:G45)/SUM(G$4:G$48), "")</f>
        <v/>
      </c>
      <c r="I45" s="113" t="str">
        <f t="shared" si="1"/>
        <v/>
      </c>
      <c r="J45" s="113" t="str">
        <f t="shared" si="2"/>
        <v/>
      </c>
      <c r="K45" s="113" t="str">
        <f t="shared" si="3"/>
        <v/>
      </c>
      <c r="M45" s="48"/>
      <c r="N45" s="38"/>
      <c r="O45" s="38" t="str">
        <f>IFERROR(__xludf.DUMMYFUNCTION("""COMPUTED_VALUE"""),"Estonia")</f>
        <v>Estonia</v>
      </c>
      <c r="P45" s="38">
        <f>IFERROR(__xludf.DUMMYFUNCTION("""COMPUTED_VALUE"""),2.3410001790000003E7)</f>
        <v>23410001.79</v>
      </c>
      <c r="Q45" s="114">
        <f t="array" ref="Q45">IF(O45&lt;&gt;"",SUM(P$4:P45)/SUM(P$4:P$49), "")</f>
        <v>0.964100896</v>
      </c>
      <c r="R45" s="113" t="str">
        <f t="shared" si="4"/>
        <v/>
      </c>
      <c r="S45" s="113" t="str">
        <f t="shared" si="5"/>
        <v/>
      </c>
      <c r="T45" s="113">
        <f t="shared" si="6"/>
        <v>23410001.79</v>
      </c>
    </row>
    <row r="46">
      <c r="A46" s="46" t="str">
        <f>IFERROR(__xludf.DUMMYFUNCTION("""COMPUTED_VALUE"""),"Vegetables")</f>
        <v>Vegetables</v>
      </c>
      <c r="B46" s="46" t="str">
        <f>IFERROR(__xludf.DUMMYFUNCTION("""COMPUTED_VALUE"""),"Estonia")</f>
        <v>Estonia</v>
      </c>
      <c r="C46" s="46">
        <f>IFERROR(__xludf.DUMMYFUNCTION("""COMPUTED_VALUE"""),1.27694451E8)</f>
        <v>127694451</v>
      </c>
      <c r="D46" s="84">
        <f>IFERROR(__xludf.DUMMYFUNCTION("""COMPUTED_VALUE"""),998462.86)</f>
        <v>998462.86</v>
      </c>
      <c r="H46" s="48" t="str">
        <f t="array" ref="H46">IF(F46&lt;&gt;"",SUM(G$4:G46)/SUM(G$4:G$48), "")</f>
        <v/>
      </c>
      <c r="I46" s="113" t="str">
        <f t="shared" si="1"/>
        <v/>
      </c>
      <c r="J46" s="113" t="str">
        <f t="shared" si="2"/>
        <v/>
      </c>
      <c r="K46" s="113" t="str">
        <f t="shared" si="3"/>
        <v/>
      </c>
      <c r="M46" s="48"/>
      <c r="N46" s="38"/>
      <c r="O46" s="38" t="str">
        <f>IFERROR(__xludf.DUMMYFUNCTION("""COMPUTED_VALUE"""),"Georgia")</f>
        <v>Georgia</v>
      </c>
      <c r="P46" s="38">
        <f>IFERROR(__xludf.DUMMYFUNCTION("""COMPUTED_VALUE"""),2.280219566E7)</f>
        <v>22802195.66</v>
      </c>
      <c r="Q46" s="114">
        <f t="array" ref="Q46">IF(O46&lt;&gt;"",SUM(P$4:P46)/SUM(P$4:P$49), "")</f>
        <v>0.9783390916</v>
      </c>
      <c r="R46" s="113" t="str">
        <f t="shared" si="4"/>
        <v/>
      </c>
      <c r="S46" s="113" t="str">
        <f t="shared" si="5"/>
        <v/>
      </c>
      <c r="T46" s="113">
        <f t="shared" si="6"/>
        <v>22802195.66</v>
      </c>
    </row>
    <row r="47">
      <c r="A47" s="46" t="str">
        <f>IFERROR(__xludf.DUMMYFUNCTION("""COMPUTED_VALUE"""),"Fruits")</f>
        <v>Fruits</v>
      </c>
      <c r="B47" s="46" t="str">
        <f>IFERROR(__xludf.DUMMYFUNCTION("""COMPUTED_VALUE"""),"Netherlands")</f>
        <v>Netherlands</v>
      </c>
      <c r="C47" s="46">
        <f>IFERROR(__xludf.DUMMYFUNCTION("""COMPUTED_VALUE"""),1.27838218E8)</f>
        <v>127838218</v>
      </c>
      <c r="D47" s="84">
        <f>IFERROR(__xludf.DUMMYFUNCTION("""COMPUTED_VALUE"""),84193.92)</f>
        <v>84193.92</v>
      </c>
      <c r="H47" s="48" t="str">
        <f t="array" ref="H47">IF(F47&lt;&gt;"",SUM(G$4:G47)/SUM(G$4:G$48), "")</f>
        <v/>
      </c>
      <c r="I47" s="113" t="str">
        <f t="shared" si="1"/>
        <v/>
      </c>
      <c r="J47" s="113" t="str">
        <f t="shared" si="2"/>
        <v/>
      </c>
      <c r="K47" s="113" t="str">
        <f t="shared" si="3"/>
        <v/>
      </c>
      <c r="M47" s="48"/>
      <c r="N47" s="38"/>
      <c r="O47" s="38" t="str">
        <f>IFERROR(__xludf.DUMMYFUNCTION("""COMPUTED_VALUE"""),"Netherlands")</f>
        <v>Netherlands</v>
      </c>
      <c r="P47" s="38">
        <f>IFERROR(__xludf.DUMMYFUNCTION("""COMPUTED_VALUE"""),2.086078879E7)</f>
        <v>20860788.79</v>
      </c>
      <c r="Q47" s="114">
        <f t="array" ref="Q47">IF(O47&lt;&gt;"",SUM(P$4:P47)/SUM(P$4:P$49), "")</f>
        <v>0.9913650298</v>
      </c>
      <c r="R47" s="113" t="str">
        <f t="shared" si="4"/>
        <v/>
      </c>
      <c r="S47" s="113" t="str">
        <f t="shared" si="5"/>
        <v/>
      </c>
      <c r="T47" s="113">
        <f t="shared" si="6"/>
        <v>20860788.79</v>
      </c>
    </row>
    <row r="48">
      <c r="A48" s="46" t="str">
        <f>IFERROR(__xludf.DUMMYFUNCTION("""COMPUTED_VALUE"""),"Baby Food")</f>
        <v>Baby Food</v>
      </c>
      <c r="B48" s="46" t="str">
        <f>IFERROR(__xludf.DUMMYFUNCTION("""COMPUTED_VALUE"""),"Switzerland")</f>
        <v>Switzerland</v>
      </c>
      <c r="C48" s="46">
        <f>IFERROR(__xludf.DUMMYFUNCTION("""COMPUTED_VALUE"""),1.28003442E8)</f>
        <v>128003442</v>
      </c>
      <c r="D48" s="84">
        <f>IFERROR(__xludf.DUMMYFUNCTION("""COMPUTED_VALUE"""),2021307.04)</f>
        <v>2021307.04</v>
      </c>
      <c r="H48" s="48" t="str">
        <f t="array" ref="H48">IF(F48&lt;&gt;"",SUM(G$4:G48)/SUM(G$4:G$48), "")</f>
        <v/>
      </c>
      <c r="I48" s="113" t="str">
        <f t="shared" si="1"/>
        <v/>
      </c>
      <c r="J48" s="113" t="str">
        <f t="shared" si="2"/>
        <v/>
      </c>
      <c r="K48" s="113" t="str">
        <f t="shared" si="3"/>
        <v/>
      </c>
      <c r="M48" s="48"/>
      <c r="N48" s="38"/>
      <c r="O48" s="38" t="str">
        <f>IFERROR(__xludf.DUMMYFUNCTION("""COMPUTED_VALUE"""),"Monaco")</f>
        <v>Monaco</v>
      </c>
      <c r="P48" s="38">
        <f>IFERROR(__xludf.DUMMYFUNCTION("""COMPUTED_VALUE"""),1.382873816E7)</f>
        <v>13828738.16</v>
      </c>
      <c r="Q48" s="114">
        <f t="array" ref="Q48">IF(O48&lt;&gt;"",SUM(P$4:P48)/SUM(P$4:P$49), "")</f>
        <v>1</v>
      </c>
      <c r="R48" s="113" t="str">
        <f t="shared" si="4"/>
        <v/>
      </c>
      <c r="S48" s="113" t="str">
        <f t="shared" si="5"/>
        <v/>
      </c>
      <c r="T48" s="113">
        <f t="shared" si="6"/>
        <v>13828738.16</v>
      </c>
    </row>
    <row r="49">
      <c r="A49" s="46" t="str">
        <f>IFERROR(__xludf.DUMMYFUNCTION("""COMPUTED_VALUE"""),"Baby Food")</f>
        <v>Baby Food</v>
      </c>
      <c r="B49" s="46" t="str">
        <f>IFERROR(__xludf.DUMMYFUNCTION("""COMPUTED_VALUE"""),"Hungary")</f>
        <v>Hungary</v>
      </c>
      <c r="C49" s="46">
        <f>IFERROR(__xludf.DUMMYFUNCTION("""COMPUTED_VALUE"""),1.28686225E8)</f>
        <v>128686225</v>
      </c>
      <c r="D49" s="84">
        <f>IFERROR(__xludf.DUMMYFUNCTION("""COMPUTED_VALUE"""),2544631.04)</f>
        <v>2544631.04</v>
      </c>
      <c r="H49" s="48"/>
      <c r="I49" s="38"/>
      <c r="J49" s="38"/>
      <c r="K49" s="38"/>
      <c r="M49" s="87"/>
      <c r="N49" s="38"/>
      <c r="O49" s="38"/>
      <c r="P49" s="38"/>
      <c r="Q49" s="114" t="str">
        <f t="array" ref="Q49">IF(O49&lt;&gt;"",SUM(P$4:P49)/SUM(P$4:P$49), "")</f>
        <v/>
      </c>
      <c r="R49" s="113" t="str">
        <f t="shared" si="4"/>
        <v/>
      </c>
      <c r="S49" s="113" t="str">
        <f t="shared" si="5"/>
        <v/>
      </c>
      <c r="T49" s="113" t="str">
        <f t="shared" si="6"/>
        <v/>
      </c>
    </row>
    <row r="50">
      <c r="A50" s="46" t="str">
        <f>IFERROR(__xludf.DUMMYFUNCTION("""COMPUTED_VALUE"""),"Household")</f>
        <v>Household</v>
      </c>
      <c r="B50" s="46" t="str">
        <f>IFERROR(__xludf.DUMMYFUNCTION("""COMPUTED_VALUE"""),"Undefined")</f>
        <v>Undefined</v>
      </c>
      <c r="C50" s="46">
        <f>IFERROR(__xludf.DUMMYFUNCTION("""COMPUTED_VALUE"""),1.28766906E8)</f>
        <v>128766906</v>
      </c>
      <c r="D50" s="84">
        <f>IFERROR(__xludf.DUMMYFUNCTION("""COMPUTED_VALUE"""),2568829.88)</f>
        <v>2568829.88</v>
      </c>
      <c r="H50" s="48"/>
      <c r="I50" s="38"/>
      <c r="J50" s="38"/>
      <c r="K50" s="38"/>
      <c r="M50" s="87"/>
      <c r="N50" s="38"/>
      <c r="Q50" s="38"/>
    </row>
    <row r="51">
      <c r="A51" s="46" t="str">
        <f>IFERROR(__xludf.DUMMYFUNCTION("""COMPUTED_VALUE"""),"Office Supplies")</f>
        <v>Office Supplies</v>
      </c>
      <c r="B51" s="46" t="str">
        <f>IFERROR(__xludf.DUMMYFUNCTION("""COMPUTED_VALUE"""),"Latvia")</f>
        <v>Latvia</v>
      </c>
      <c r="C51" s="46">
        <f>IFERROR(__xludf.DUMMYFUNCTION("""COMPUTED_VALUE"""),1.29127395E8)</f>
        <v>129127395</v>
      </c>
      <c r="D51" s="84">
        <f>IFERROR(__xludf.DUMMYFUNCTION("""COMPUTED_VALUE"""),338629.2)</f>
        <v>338629.2</v>
      </c>
      <c r="H51" s="48"/>
      <c r="I51" s="38"/>
      <c r="J51" s="38"/>
      <c r="K51" s="38"/>
      <c r="M51" s="87"/>
      <c r="N51" s="38"/>
      <c r="Q51" s="38"/>
    </row>
    <row r="52">
      <c r="A52" s="46" t="str">
        <f>IFERROR(__xludf.DUMMYFUNCTION("""COMPUTED_VALUE"""),"Beverages")</f>
        <v>Beverages</v>
      </c>
      <c r="B52" s="46" t="str">
        <f>IFERROR(__xludf.DUMMYFUNCTION("""COMPUTED_VALUE"""),"Undefined")</f>
        <v>Undefined</v>
      </c>
      <c r="C52" s="46">
        <f>IFERROR(__xludf.DUMMYFUNCTION("""COMPUTED_VALUE"""),1.29169023E8)</f>
        <v>129169023</v>
      </c>
      <c r="D52" s="84">
        <f>IFERROR(__xludf.DUMMYFUNCTION("""COMPUTED_VALUE"""),134710.55000000002)</f>
        <v>134710.55</v>
      </c>
      <c r="H52" s="48"/>
      <c r="I52" s="38"/>
      <c r="J52" s="38"/>
      <c r="K52" s="38"/>
      <c r="M52" s="87"/>
      <c r="N52" s="38"/>
      <c r="Q52" s="38"/>
    </row>
    <row r="53">
      <c r="A53" s="46" t="str">
        <f>IFERROR(__xludf.DUMMYFUNCTION("""COMPUTED_VALUE"""),"Personal Care")</f>
        <v>Personal Care</v>
      </c>
      <c r="B53" s="46" t="str">
        <f>IFERROR(__xludf.DUMMYFUNCTION("""COMPUTED_VALUE"""),"Lithuania")</f>
        <v>Lithuania</v>
      </c>
      <c r="C53" s="46">
        <f>IFERROR(__xludf.DUMMYFUNCTION("""COMPUTED_VALUE"""),1.29875409E8)</f>
        <v>129875409</v>
      </c>
      <c r="D53" s="84">
        <f>IFERROR(__xludf.DUMMYFUNCTION("""COMPUTED_VALUE"""),153243.75)</f>
        <v>153243.75</v>
      </c>
      <c r="H53" s="48"/>
      <c r="I53" s="38"/>
      <c r="J53" s="38"/>
      <c r="K53" s="38"/>
      <c r="M53" s="87"/>
      <c r="N53" s="38"/>
      <c r="Q53" s="38"/>
    </row>
    <row r="54">
      <c r="A54" s="46" t="str">
        <f>IFERROR(__xludf.DUMMYFUNCTION("""COMPUTED_VALUE"""),"Household")</f>
        <v>Household</v>
      </c>
      <c r="B54" s="46" t="str">
        <f>IFERROR(__xludf.DUMMYFUNCTION("""COMPUTED_VALUE"""),"Bulgaria")</f>
        <v>Bulgaria</v>
      </c>
      <c r="C54" s="46">
        <f>IFERROR(__xludf.DUMMYFUNCTION("""COMPUTED_VALUE"""),1.29902875E8)</f>
        <v>129902875</v>
      </c>
      <c r="D54" s="84">
        <f>IFERROR(__xludf.DUMMYFUNCTION("""COMPUTED_VALUE"""),1336.54)</f>
        <v>1336.54</v>
      </c>
      <c r="H54" s="48"/>
      <c r="I54" s="38"/>
      <c r="J54" s="38"/>
      <c r="K54" s="38"/>
      <c r="M54" s="87"/>
      <c r="N54" s="38"/>
      <c r="Q54" s="38"/>
    </row>
    <row r="55">
      <c r="A55" s="46" t="str">
        <f>IFERROR(__xludf.DUMMYFUNCTION("""COMPUTED_VALUE"""),"Vegetables")</f>
        <v>Vegetables</v>
      </c>
      <c r="B55" s="46" t="str">
        <f>IFERROR(__xludf.DUMMYFUNCTION("""COMPUTED_VALUE"""),"Switzerland")</f>
        <v>Switzerland</v>
      </c>
      <c r="C55" s="46">
        <f>IFERROR(__xludf.DUMMYFUNCTION("""COMPUTED_VALUE"""),1.30356919E8)</f>
        <v>130356919</v>
      </c>
      <c r="D55" s="84">
        <f>IFERROR(__xludf.DUMMYFUNCTION("""COMPUTED_VALUE"""),672317.84)</f>
        <v>672317.84</v>
      </c>
      <c r="H55" s="48"/>
      <c r="I55" s="38"/>
      <c r="J55" s="38"/>
      <c r="K55" s="38"/>
      <c r="M55" s="87"/>
      <c r="N55" s="38"/>
      <c r="Q55" s="38"/>
    </row>
    <row r="56">
      <c r="A56" s="46" t="str">
        <f>IFERROR(__xludf.DUMMYFUNCTION("""COMPUTED_VALUE"""),"Office Supplies")</f>
        <v>Office Supplies</v>
      </c>
      <c r="B56" s="46" t="str">
        <f>IFERROR(__xludf.DUMMYFUNCTION("""COMPUTED_VALUE"""),"France")</f>
        <v>France</v>
      </c>
      <c r="C56" s="46">
        <f>IFERROR(__xludf.DUMMYFUNCTION("""COMPUTED_VALUE"""),1.30754315E8)</f>
        <v>130754315</v>
      </c>
      <c r="D56" s="84">
        <f>IFERROR(__xludf.DUMMYFUNCTION("""COMPUTED_VALUE"""),1277674.02)</f>
        <v>1277674.02</v>
      </c>
      <c r="H56" s="48"/>
      <c r="I56" s="38"/>
      <c r="J56" s="38"/>
      <c r="K56" s="38"/>
      <c r="M56" s="87"/>
      <c r="N56" s="38"/>
      <c r="Q56" s="38"/>
    </row>
    <row r="57">
      <c r="A57" s="46" t="str">
        <f>IFERROR(__xludf.DUMMYFUNCTION("""COMPUTED_VALUE"""),"Personal Care")</f>
        <v>Personal Care</v>
      </c>
      <c r="B57" s="46" t="str">
        <f>IFERROR(__xludf.DUMMYFUNCTION("""COMPUTED_VALUE"""),"France")</f>
        <v>France</v>
      </c>
      <c r="C57" s="46">
        <f>IFERROR(__xludf.DUMMYFUNCTION("""COMPUTED_VALUE"""),1.31585586E8)</f>
        <v>131585586</v>
      </c>
      <c r="D57" s="84">
        <f>IFERROR(__xludf.DUMMYFUNCTION("""COMPUTED_VALUE"""),650080.42)</f>
        <v>650080.42</v>
      </c>
      <c r="H57" s="48"/>
      <c r="I57" s="38"/>
      <c r="J57" s="38"/>
      <c r="K57" s="38"/>
      <c r="M57" s="87"/>
      <c r="N57" s="38"/>
      <c r="Q57" s="38"/>
    </row>
    <row r="58">
      <c r="A58" s="46" t="str">
        <f>IFERROR(__xludf.DUMMYFUNCTION("""COMPUTED_VALUE"""),"Personal Care")</f>
        <v>Personal Care</v>
      </c>
      <c r="B58" s="46" t="str">
        <f>IFERROR(__xludf.DUMMYFUNCTION("""COMPUTED_VALUE"""),"Austria")</f>
        <v>Austria</v>
      </c>
      <c r="C58" s="46">
        <f>IFERROR(__xludf.DUMMYFUNCTION("""COMPUTED_VALUE"""),1.32069671E8)</f>
        <v>132069671</v>
      </c>
      <c r="D58" s="84">
        <f>IFERROR(__xludf.DUMMYFUNCTION("""COMPUTED_VALUE"""),98484.65000000001)</f>
        <v>98484.65</v>
      </c>
      <c r="H58" s="48"/>
      <c r="I58" s="38"/>
      <c r="J58" s="38"/>
      <c r="K58" s="38"/>
      <c r="M58" s="87"/>
      <c r="N58" s="38"/>
      <c r="Q58" s="38"/>
    </row>
    <row r="59">
      <c r="A59" s="46" t="str">
        <f>IFERROR(__xludf.DUMMYFUNCTION("""COMPUTED_VALUE"""),"Cosmetics")</f>
        <v>Cosmetics</v>
      </c>
      <c r="B59" s="46" t="str">
        <f>IFERROR(__xludf.DUMMYFUNCTION("""COMPUTED_VALUE"""),"Hungary")</f>
        <v>Hungary</v>
      </c>
      <c r="C59" s="46">
        <f>IFERROR(__xludf.DUMMYFUNCTION("""COMPUTED_VALUE"""),1.32603538E8)</f>
        <v>132603538</v>
      </c>
      <c r="D59" s="84">
        <f>IFERROR(__xludf.DUMMYFUNCTION("""COMPUTED_VALUE"""),4016993.6)</f>
        <v>4016993.6</v>
      </c>
      <c r="H59" s="48"/>
      <c r="I59" s="38"/>
      <c r="J59" s="38"/>
      <c r="K59" s="38"/>
      <c r="M59" s="87"/>
      <c r="N59" s="38"/>
      <c r="Q59" s="38"/>
    </row>
    <row r="60">
      <c r="A60" s="46" t="str">
        <f>IFERROR(__xludf.DUMMYFUNCTION("""COMPUTED_VALUE"""),"Personal Care")</f>
        <v>Personal Care</v>
      </c>
      <c r="B60" s="46" t="str">
        <f>IFERROR(__xludf.DUMMYFUNCTION("""COMPUTED_VALUE"""),"Undefined")</f>
        <v>Undefined</v>
      </c>
      <c r="C60" s="46">
        <f>IFERROR(__xludf.DUMMYFUNCTION("""COMPUTED_VALUE"""),1.3327645E8)</f>
        <v>133276450</v>
      </c>
      <c r="D60" s="84">
        <f>IFERROR(__xludf.DUMMYFUNCTION("""COMPUTED_VALUE"""),679830.14)</f>
        <v>679830.14</v>
      </c>
      <c r="H60" s="48"/>
      <c r="I60" s="38"/>
      <c r="J60" s="38"/>
      <c r="K60" s="38"/>
      <c r="M60" s="87"/>
      <c r="N60" s="38"/>
      <c r="Q60" s="38"/>
    </row>
    <row r="61">
      <c r="A61" s="46" t="str">
        <f>IFERROR(__xludf.DUMMYFUNCTION("""COMPUTED_VALUE"""),"Vegetables")</f>
        <v>Vegetables</v>
      </c>
      <c r="B61" s="46" t="str">
        <f>IFERROR(__xludf.DUMMYFUNCTION("""COMPUTED_VALUE"""),"Estonia")</f>
        <v>Estonia</v>
      </c>
      <c r="C61" s="46">
        <f>IFERROR(__xludf.DUMMYFUNCTION("""COMPUTED_VALUE"""),1.34121024E8)</f>
        <v>134121024</v>
      </c>
      <c r="D61" s="84">
        <f>IFERROR(__xludf.DUMMYFUNCTION("""COMPUTED_VALUE"""),1270378.76)</f>
        <v>1270378.76</v>
      </c>
      <c r="H61" s="48"/>
      <c r="I61" s="38"/>
      <c r="J61" s="38"/>
      <c r="K61" s="38"/>
      <c r="M61" s="87"/>
      <c r="N61" s="38"/>
      <c r="Q61" s="38"/>
    </row>
    <row r="62">
      <c r="A62" s="46" t="str">
        <f>IFERROR(__xludf.DUMMYFUNCTION("""COMPUTED_VALUE"""),"Clothes")</f>
        <v>Clothes</v>
      </c>
      <c r="B62" s="46" t="str">
        <f>IFERROR(__xludf.DUMMYFUNCTION("""COMPUTED_VALUE"""),"Italy")</f>
        <v>Italy</v>
      </c>
      <c r="C62" s="46">
        <f>IFERROR(__xludf.DUMMYFUNCTION("""COMPUTED_VALUE"""),1.34790503E8)</f>
        <v>134790503</v>
      </c>
      <c r="D62" s="84">
        <f>IFERROR(__xludf.DUMMYFUNCTION("""COMPUTED_VALUE"""),695020.8)</f>
        <v>695020.8</v>
      </c>
      <c r="H62" s="48"/>
      <c r="I62" s="38"/>
      <c r="J62" s="38"/>
      <c r="K62" s="38"/>
      <c r="M62" s="87"/>
      <c r="N62" s="38"/>
      <c r="Q62" s="38"/>
    </row>
    <row r="63">
      <c r="A63" s="46" t="str">
        <f>IFERROR(__xludf.DUMMYFUNCTION("""COMPUTED_VALUE"""),"Beverages")</f>
        <v>Beverages</v>
      </c>
      <c r="B63" s="46" t="str">
        <f>IFERROR(__xludf.DUMMYFUNCTION("""COMPUTED_VALUE"""),"Latvia")</f>
        <v>Latvia</v>
      </c>
      <c r="C63" s="46">
        <f>IFERROR(__xludf.DUMMYFUNCTION("""COMPUTED_VALUE"""),1.36624276E8)</f>
        <v>136624276</v>
      </c>
      <c r="D63" s="84">
        <f>IFERROR(__xludf.DUMMYFUNCTION("""COMPUTED_VALUE"""),427714.30000000005)</f>
        <v>427714.3</v>
      </c>
      <c r="H63" s="48"/>
      <c r="I63" s="38"/>
      <c r="J63" s="38"/>
      <c r="K63" s="38"/>
      <c r="M63" s="87"/>
      <c r="N63" s="38"/>
      <c r="Q63" s="38"/>
    </row>
    <row r="64">
      <c r="A64" s="46" t="str">
        <f>IFERROR(__xludf.DUMMYFUNCTION("""COMPUTED_VALUE"""),"Snacks")</f>
        <v>Snacks</v>
      </c>
      <c r="B64" s="46" t="str">
        <f>IFERROR(__xludf.DUMMYFUNCTION("""COMPUTED_VALUE"""),"United Kingdom")</f>
        <v>United Kingdom</v>
      </c>
      <c r="C64" s="46">
        <f>IFERROR(__xludf.DUMMYFUNCTION("""COMPUTED_VALUE"""),1.38025033E8)</f>
        <v>138025033</v>
      </c>
      <c r="D64" s="84">
        <f>IFERROR(__xludf.DUMMYFUNCTION("""COMPUTED_VALUE"""),538454.8200000001)</f>
        <v>538454.82</v>
      </c>
      <c r="H64" s="48"/>
      <c r="I64" s="38"/>
      <c r="J64" s="38"/>
      <c r="K64" s="38"/>
      <c r="M64" s="87"/>
      <c r="N64" s="38"/>
      <c r="Q64" s="38"/>
    </row>
    <row r="65">
      <c r="A65" s="46" t="str">
        <f>IFERROR(__xludf.DUMMYFUNCTION("""COMPUTED_VALUE"""),"Office Supplies")</f>
        <v>Office Supplies</v>
      </c>
      <c r="B65" s="46" t="str">
        <f>IFERROR(__xludf.DUMMYFUNCTION("""COMPUTED_VALUE"""),"Netherlands")</f>
        <v>Netherlands</v>
      </c>
      <c r="C65" s="46">
        <f>IFERROR(__xludf.DUMMYFUNCTION("""COMPUTED_VALUE"""),1.38182103E8)</f>
        <v>138182103</v>
      </c>
      <c r="D65" s="84">
        <f>IFERROR(__xludf.DUMMYFUNCTION("""COMPUTED_VALUE"""),6512.1)</f>
        <v>6512.1</v>
      </c>
      <c r="H65" s="48"/>
      <c r="I65" s="38"/>
      <c r="J65" s="38"/>
      <c r="K65" s="38"/>
      <c r="M65" s="87"/>
      <c r="N65" s="38"/>
      <c r="Q65" s="38"/>
    </row>
    <row r="66">
      <c r="A66" s="46" t="str">
        <f>IFERROR(__xludf.DUMMYFUNCTION("""COMPUTED_VALUE"""),"Clothes")</f>
        <v>Clothes</v>
      </c>
      <c r="B66" s="46" t="str">
        <f>IFERROR(__xludf.DUMMYFUNCTION("""COMPUTED_VALUE"""),"Russia")</f>
        <v>Russia</v>
      </c>
      <c r="C66" s="46">
        <f>IFERROR(__xludf.DUMMYFUNCTION("""COMPUTED_VALUE"""),1.38820683E8)</f>
        <v>138820683</v>
      </c>
      <c r="D66" s="84">
        <f>IFERROR(__xludf.DUMMYFUNCTION("""COMPUTED_VALUE"""),981334.4)</f>
        <v>981334.4</v>
      </c>
      <c r="H66" s="48"/>
      <c r="I66" s="38"/>
      <c r="J66" s="38"/>
      <c r="K66" s="38"/>
      <c r="M66" s="87"/>
      <c r="N66" s="38"/>
      <c r="Q66" s="38"/>
    </row>
    <row r="67">
      <c r="A67" s="46" t="str">
        <f>IFERROR(__xludf.DUMMYFUNCTION("""COMPUTED_VALUE"""),"Cosmetics")</f>
        <v>Cosmetics</v>
      </c>
      <c r="B67" s="46" t="str">
        <f>IFERROR(__xludf.DUMMYFUNCTION("""COMPUTED_VALUE"""),"Ireland")</f>
        <v>Ireland</v>
      </c>
      <c r="C67" s="46">
        <f>IFERROR(__xludf.DUMMYFUNCTION("""COMPUTED_VALUE"""),1.39201343E8)</f>
        <v>139201343</v>
      </c>
      <c r="D67" s="84">
        <f>IFERROR(__xludf.DUMMYFUNCTION("""COMPUTED_VALUE"""),710450.0)</f>
        <v>710450</v>
      </c>
      <c r="H67" s="48"/>
      <c r="I67" s="38"/>
      <c r="J67" s="38"/>
      <c r="K67" s="38"/>
      <c r="M67" s="87"/>
      <c r="N67" s="38"/>
      <c r="Q67" s="38"/>
    </row>
    <row r="68">
      <c r="A68" s="46" t="str">
        <f>IFERROR(__xludf.DUMMYFUNCTION("""COMPUTED_VALUE"""),"Vegetables")</f>
        <v>Vegetables</v>
      </c>
      <c r="B68" s="46" t="str">
        <f>IFERROR(__xludf.DUMMYFUNCTION("""COMPUTED_VALUE"""),"Undefined")</f>
        <v>Undefined</v>
      </c>
      <c r="C68" s="46">
        <f>IFERROR(__xludf.DUMMYFUNCTION("""COMPUTED_VALUE"""),1.39949357E8)</f>
        <v>139949357</v>
      </c>
      <c r="D68" s="84">
        <f>IFERROR(__xludf.DUMMYFUNCTION("""COMPUTED_VALUE"""),459098.8)</f>
        <v>459098.8</v>
      </c>
      <c r="H68" s="48"/>
      <c r="I68" s="38"/>
      <c r="J68" s="38"/>
      <c r="K68" s="38"/>
      <c r="M68" s="87"/>
      <c r="N68" s="38"/>
      <c r="Q68" s="38"/>
    </row>
    <row r="69">
      <c r="A69" s="46" t="str">
        <f>IFERROR(__xludf.DUMMYFUNCTION("""COMPUTED_VALUE"""),"Cosmetics")</f>
        <v>Cosmetics</v>
      </c>
      <c r="B69" s="46" t="str">
        <f>IFERROR(__xludf.DUMMYFUNCTION("""COMPUTED_VALUE"""),"Ukraine")</f>
        <v>Ukraine</v>
      </c>
      <c r="C69" s="46">
        <f>IFERROR(__xludf.DUMMYFUNCTION("""COMPUTED_VALUE"""),1.40461766E8)</f>
        <v>140461766</v>
      </c>
      <c r="D69" s="84">
        <f>IFERROR(__xludf.DUMMYFUNCTION("""COMPUTED_VALUE"""),2016803.5999999999)</f>
        <v>2016803.6</v>
      </c>
      <c r="H69" s="48"/>
      <c r="I69" s="38"/>
      <c r="J69" s="38"/>
      <c r="K69" s="38"/>
      <c r="M69" s="87"/>
      <c r="N69" s="38"/>
      <c r="Q69" s="38"/>
    </row>
    <row r="70">
      <c r="A70" s="46" t="str">
        <f>IFERROR(__xludf.DUMMYFUNCTION("""COMPUTED_VALUE"""),"Personal Care")</f>
        <v>Personal Care</v>
      </c>
      <c r="B70" s="46" t="str">
        <f>IFERROR(__xludf.DUMMYFUNCTION("""COMPUTED_VALUE"""),"Latvia")</f>
        <v>Latvia</v>
      </c>
      <c r="C70" s="46">
        <f>IFERROR(__xludf.DUMMYFUNCTION("""COMPUTED_VALUE"""),1.40499961E8)</f>
        <v>140499961</v>
      </c>
      <c r="D70" s="84">
        <f>IFERROR(__xludf.DUMMYFUNCTION("""COMPUTED_VALUE"""),483432.95)</f>
        <v>483432.95</v>
      </c>
      <c r="H70" s="48"/>
      <c r="I70" s="38"/>
      <c r="J70" s="38"/>
      <c r="K70" s="38"/>
      <c r="M70" s="87"/>
      <c r="N70" s="38"/>
      <c r="Q70" s="38"/>
    </row>
    <row r="71">
      <c r="A71" s="46" t="str">
        <f>IFERROR(__xludf.DUMMYFUNCTION("""COMPUTED_VALUE"""),"Baby Food")</f>
        <v>Baby Food</v>
      </c>
      <c r="B71" s="46" t="str">
        <f>IFERROR(__xludf.DUMMYFUNCTION("""COMPUTED_VALUE"""),"Andorra")</f>
        <v>Andorra</v>
      </c>
      <c r="C71" s="46">
        <f>IFERROR(__xludf.DUMMYFUNCTION("""COMPUTED_VALUE"""),1.41764247E8)</f>
        <v>141764247</v>
      </c>
      <c r="D71" s="84">
        <f>IFERROR(__xludf.DUMMYFUNCTION("""COMPUTED_VALUE"""),11742.88)</f>
        <v>11742.88</v>
      </c>
      <c r="H71" s="48"/>
      <c r="I71" s="38"/>
      <c r="J71" s="38"/>
      <c r="K71" s="38"/>
      <c r="M71" s="87"/>
      <c r="N71" s="38"/>
      <c r="Q71" s="38"/>
    </row>
    <row r="72">
      <c r="A72" s="46" t="str">
        <f>IFERROR(__xludf.DUMMYFUNCTION("""COMPUTED_VALUE"""),"Clothes")</f>
        <v>Clothes</v>
      </c>
      <c r="B72" s="46" t="str">
        <f>IFERROR(__xludf.DUMMYFUNCTION("""COMPUTED_VALUE"""),"Georgia")</f>
        <v>Georgia</v>
      </c>
      <c r="C72" s="46">
        <f>IFERROR(__xludf.DUMMYFUNCTION("""COMPUTED_VALUE"""),1.41846215E8)</f>
        <v>141846215</v>
      </c>
      <c r="D72" s="84">
        <f>IFERROR(__xludf.DUMMYFUNCTION("""COMPUTED_VALUE"""),470122.56)</f>
        <v>470122.56</v>
      </c>
      <c r="H72" s="48"/>
      <c r="I72" s="38"/>
      <c r="J72" s="38"/>
      <c r="K72" s="38"/>
      <c r="M72" s="87"/>
      <c r="N72" s="38"/>
      <c r="Q72" s="38"/>
    </row>
    <row r="73">
      <c r="A73" s="46" t="str">
        <f>IFERROR(__xludf.DUMMYFUNCTION("""COMPUTED_VALUE"""),"Household")</f>
        <v>Household</v>
      </c>
      <c r="B73" s="46" t="str">
        <f>IFERROR(__xludf.DUMMYFUNCTION("""COMPUTED_VALUE"""),"Poland")</f>
        <v>Poland</v>
      </c>
      <c r="C73" s="46">
        <f>IFERROR(__xludf.DUMMYFUNCTION("""COMPUTED_VALUE"""),1.41875827E8)</f>
        <v>141875827</v>
      </c>
      <c r="D73" s="84">
        <f>IFERROR(__xludf.DUMMYFUNCTION("""COMPUTED_VALUE"""),2048247.55)</f>
        <v>2048247.55</v>
      </c>
      <c r="H73" s="48"/>
      <c r="I73" s="38"/>
      <c r="J73" s="38"/>
      <c r="K73" s="38"/>
      <c r="M73" s="87"/>
      <c r="N73" s="38"/>
      <c r="Q73" s="38"/>
    </row>
    <row r="74">
      <c r="A74" s="46" t="str">
        <f>IFERROR(__xludf.DUMMYFUNCTION("""COMPUTED_VALUE"""),"Fruits")</f>
        <v>Fruits</v>
      </c>
      <c r="B74" s="46" t="str">
        <f>IFERROR(__xludf.DUMMYFUNCTION("""COMPUTED_VALUE"""),"Liechtenstein")</f>
        <v>Liechtenstein</v>
      </c>
      <c r="C74" s="46">
        <f>IFERROR(__xludf.DUMMYFUNCTION("""COMPUTED_VALUE"""),1.42375361E8)</f>
        <v>142375361</v>
      </c>
      <c r="D74" s="84">
        <f>IFERROR(__xludf.DUMMYFUNCTION("""COMPUTED_VALUE"""),8285.04)</f>
        <v>8285.04</v>
      </c>
      <c r="H74" s="48"/>
      <c r="I74" s="38"/>
      <c r="J74" s="38"/>
      <c r="K74" s="38"/>
      <c r="M74" s="87"/>
      <c r="N74" s="38"/>
      <c r="Q74" s="38"/>
    </row>
    <row r="75">
      <c r="A75" s="46" t="str">
        <f>IFERROR(__xludf.DUMMYFUNCTION("""COMPUTED_VALUE"""),"Household")</f>
        <v>Household</v>
      </c>
      <c r="B75" s="46" t="str">
        <f>IFERROR(__xludf.DUMMYFUNCTION("""COMPUTED_VALUE"""),"Netherlands")</f>
        <v>Netherlands</v>
      </c>
      <c r="C75" s="46">
        <f>IFERROR(__xludf.DUMMYFUNCTION("""COMPUTED_VALUE"""),1.42987763E8)</f>
        <v>142987763</v>
      </c>
      <c r="D75" s="84">
        <f>IFERROR(__xludf.DUMMYFUNCTION("""COMPUTED_VALUE"""),1411386.24)</f>
        <v>1411386.24</v>
      </c>
      <c r="H75" s="48"/>
      <c r="I75" s="38"/>
      <c r="J75" s="38"/>
      <c r="K75" s="38"/>
      <c r="M75" s="87"/>
      <c r="N75" s="38"/>
      <c r="Q75" s="38"/>
    </row>
    <row r="76">
      <c r="A76" s="46" t="str">
        <f>IFERROR(__xludf.DUMMYFUNCTION("""COMPUTED_VALUE"""),"Household")</f>
        <v>Household</v>
      </c>
      <c r="B76" s="46" t="str">
        <f>IFERROR(__xludf.DUMMYFUNCTION("""COMPUTED_VALUE"""),"Ireland")</f>
        <v>Ireland</v>
      </c>
      <c r="C76" s="46">
        <f>IFERROR(__xludf.DUMMYFUNCTION("""COMPUTED_VALUE"""),1.43414771E8)</f>
        <v>143414771</v>
      </c>
      <c r="D76" s="84">
        <f>IFERROR(__xludf.DUMMYFUNCTION("""COMPUTED_VALUE"""),5662251.71)</f>
        <v>5662251.71</v>
      </c>
      <c r="H76" s="48"/>
      <c r="I76" s="38"/>
      <c r="J76" s="38"/>
      <c r="K76" s="38"/>
      <c r="M76" s="87"/>
      <c r="N76" s="38"/>
      <c r="Q76" s="38"/>
    </row>
    <row r="77">
      <c r="A77" s="46" t="str">
        <f>IFERROR(__xludf.DUMMYFUNCTION("""COMPUTED_VALUE"""),"Cereal")</f>
        <v>Cereal</v>
      </c>
      <c r="B77" s="46" t="str">
        <f>IFERROR(__xludf.DUMMYFUNCTION("""COMPUTED_VALUE"""),"Finland")</f>
        <v>Finland</v>
      </c>
      <c r="C77" s="46">
        <f>IFERROR(__xludf.DUMMYFUNCTION("""COMPUTED_VALUE"""),1.44282948E8)</f>
        <v>144282948</v>
      </c>
      <c r="D77" s="84">
        <f>IFERROR(__xludf.DUMMYFUNCTION("""COMPUTED_VALUE"""),1107900.2)</f>
        <v>1107900.2</v>
      </c>
      <c r="H77" s="48"/>
      <c r="I77" s="38"/>
      <c r="J77" s="38"/>
      <c r="K77" s="38"/>
      <c r="M77" s="87"/>
      <c r="N77" s="38"/>
      <c r="Q77" s="38"/>
    </row>
    <row r="78">
      <c r="A78" s="46" t="str">
        <f>IFERROR(__xludf.DUMMYFUNCTION("""COMPUTED_VALUE"""),"Baby Food")</f>
        <v>Baby Food</v>
      </c>
      <c r="B78" s="46" t="str">
        <f>IFERROR(__xludf.DUMMYFUNCTION("""COMPUTED_VALUE"""),"Slovenia")</f>
        <v>Slovenia</v>
      </c>
      <c r="C78" s="46">
        <f>IFERROR(__xludf.DUMMYFUNCTION("""COMPUTED_VALUE"""),1.44743001E8)</f>
        <v>144743001</v>
      </c>
      <c r="D78" s="84">
        <f>IFERROR(__xludf.DUMMYFUNCTION("""COMPUTED_VALUE"""),389302.0)</f>
        <v>389302</v>
      </c>
      <c r="H78" s="48"/>
      <c r="I78" s="38"/>
      <c r="J78" s="38"/>
      <c r="K78" s="38"/>
      <c r="M78" s="87"/>
      <c r="N78" s="38"/>
      <c r="Q78" s="38"/>
    </row>
    <row r="79">
      <c r="A79" s="46" t="str">
        <f>IFERROR(__xludf.DUMMYFUNCTION("""COMPUTED_VALUE"""),"Office Supplies")</f>
        <v>Office Supplies</v>
      </c>
      <c r="B79" s="46" t="str">
        <f>IFERROR(__xludf.DUMMYFUNCTION("""COMPUTED_VALUE"""),"Ireland")</f>
        <v>Ireland</v>
      </c>
      <c r="C79" s="46">
        <f>IFERROR(__xludf.DUMMYFUNCTION("""COMPUTED_VALUE"""),1.44978606E8)</f>
        <v>144978606</v>
      </c>
      <c r="D79" s="84">
        <f>IFERROR(__xludf.DUMMYFUNCTION("""COMPUTED_VALUE"""),811407.66)</f>
        <v>811407.66</v>
      </c>
      <c r="H79" s="48"/>
      <c r="I79" s="38"/>
      <c r="J79" s="38"/>
      <c r="K79" s="38"/>
      <c r="M79" s="87"/>
      <c r="N79" s="38"/>
      <c r="Q79" s="38"/>
    </row>
    <row r="80">
      <c r="A80" s="46" t="str">
        <f>IFERROR(__xludf.DUMMYFUNCTION("""COMPUTED_VALUE"""),"Vegetables")</f>
        <v>Vegetables</v>
      </c>
      <c r="B80" s="46" t="str">
        <f>IFERROR(__xludf.DUMMYFUNCTION("""COMPUTED_VALUE"""),"Lithuania")</f>
        <v>Lithuania</v>
      </c>
      <c r="C80" s="46">
        <f>IFERROR(__xludf.DUMMYFUNCTION("""COMPUTED_VALUE"""),1.46349751E8)</f>
        <v>146349751</v>
      </c>
      <c r="D80" s="84">
        <f>IFERROR(__xludf.DUMMYFUNCTION("""COMPUTED_VALUE"""),1078265.94)</f>
        <v>1078265.94</v>
      </c>
      <c r="H80" s="48"/>
      <c r="I80" s="38"/>
      <c r="J80" s="38"/>
      <c r="K80" s="38"/>
      <c r="M80" s="87"/>
      <c r="N80" s="38"/>
      <c r="Q80" s="38"/>
    </row>
    <row r="81">
      <c r="A81" s="46" t="str">
        <f>IFERROR(__xludf.DUMMYFUNCTION("""COMPUTED_VALUE"""),"Cosmetics")</f>
        <v>Cosmetics</v>
      </c>
      <c r="B81" s="46" t="str">
        <f>IFERROR(__xludf.DUMMYFUNCTION("""COMPUTED_VALUE"""),"Slovakia")</f>
        <v>Slovakia</v>
      </c>
      <c r="C81" s="46">
        <f>IFERROR(__xludf.DUMMYFUNCTION("""COMPUTED_VALUE"""),1.46545875E8)</f>
        <v>146545875</v>
      </c>
      <c r="D81" s="84">
        <f>IFERROR(__xludf.DUMMYFUNCTION("""COMPUTED_VALUE"""),2201739.1999999997)</f>
        <v>2201739.2</v>
      </c>
      <c r="H81" s="48"/>
      <c r="I81" s="38"/>
      <c r="J81" s="38"/>
      <c r="K81" s="38"/>
      <c r="M81" s="87"/>
      <c r="N81" s="38"/>
      <c r="Q81" s="38"/>
    </row>
    <row r="82">
      <c r="A82" s="46" t="str">
        <f>IFERROR(__xludf.DUMMYFUNCTION("""COMPUTED_VALUE"""),"Cosmetics")</f>
        <v>Cosmetics</v>
      </c>
      <c r="B82" s="46" t="str">
        <f>IFERROR(__xludf.DUMMYFUNCTION("""COMPUTED_VALUE"""),"Belgium")</f>
        <v>Belgium</v>
      </c>
      <c r="C82" s="46">
        <f>IFERROR(__xludf.DUMMYFUNCTION("""COMPUTED_VALUE"""),1.47826898E8)</f>
        <v>147826898</v>
      </c>
      <c r="D82" s="84">
        <f>IFERROR(__xludf.DUMMYFUNCTION("""COMPUTED_VALUE"""),1800826.8)</f>
        <v>1800826.8</v>
      </c>
      <c r="H82" s="48"/>
      <c r="I82" s="38"/>
      <c r="J82" s="38"/>
      <c r="K82" s="38"/>
      <c r="M82" s="87"/>
      <c r="N82" s="38"/>
      <c r="Q82" s="38"/>
    </row>
    <row r="83">
      <c r="A83" s="46" t="str">
        <f>IFERROR(__xludf.DUMMYFUNCTION("""COMPUTED_VALUE"""),"Office Supplies")</f>
        <v>Office Supplies</v>
      </c>
      <c r="B83" s="46" t="str">
        <f>IFERROR(__xludf.DUMMYFUNCTION("""COMPUTED_VALUE"""),"Poland")</f>
        <v>Poland</v>
      </c>
      <c r="C83" s="46">
        <f>IFERROR(__xludf.DUMMYFUNCTION("""COMPUTED_VALUE"""),1.48894631E8)</f>
        <v>148894631</v>
      </c>
      <c r="D83" s="84">
        <f>IFERROR(__xludf.DUMMYFUNCTION("""COMPUTED_VALUE"""),55352.850000000006)</f>
        <v>55352.85</v>
      </c>
      <c r="H83" s="48"/>
      <c r="I83" s="38"/>
      <c r="J83" s="38"/>
      <c r="K83" s="38"/>
      <c r="M83" s="87"/>
      <c r="N83" s="38"/>
      <c r="Q83" s="38"/>
    </row>
    <row r="84">
      <c r="A84" s="46" t="str">
        <f>IFERROR(__xludf.DUMMYFUNCTION("""COMPUTED_VALUE"""),"Household")</f>
        <v>Household</v>
      </c>
      <c r="B84" s="46" t="str">
        <f>IFERROR(__xludf.DUMMYFUNCTION("""COMPUTED_VALUE"""),"Norway")</f>
        <v>Norway</v>
      </c>
      <c r="C84" s="46">
        <f>IFERROR(__xludf.DUMMYFUNCTION("""COMPUTED_VALUE"""),1.49274003E8)</f>
        <v>149274003</v>
      </c>
      <c r="D84" s="84">
        <f>IFERROR(__xludf.DUMMYFUNCTION("""COMPUTED_VALUE"""),1570434.5)</f>
        <v>1570434.5</v>
      </c>
      <c r="H84" s="48"/>
      <c r="I84" s="38"/>
      <c r="J84" s="38"/>
      <c r="K84" s="38"/>
      <c r="M84" s="87"/>
      <c r="N84" s="38"/>
      <c r="Q84" s="38"/>
    </row>
    <row r="85">
      <c r="A85" s="46" t="str">
        <f>IFERROR(__xludf.DUMMYFUNCTION("""COMPUTED_VALUE"""),"Office Supplies")</f>
        <v>Office Supplies</v>
      </c>
      <c r="B85" s="46" t="str">
        <f>IFERROR(__xludf.DUMMYFUNCTION("""COMPUTED_VALUE"""),"Undefined")</f>
        <v>Undefined</v>
      </c>
      <c r="C85" s="46">
        <f>IFERROR(__xludf.DUMMYFUNCTION("""COMPUTED_VALUE"""),1.50293242E8)</f>
        <v>150293242</v>
      </c>
      <c r="D85" s="84">
        <f>IFERROR(__xludf.DUMMYFUNCTION("""COMPUTED_VALUE"""),2582047.6500000004)</f>
        <v>2582047.65</v>
      </c>
      <c r="H85" s="48"/>
      <c r="I85" s="38"/>
      <c r="J85" s="38"/>
      <c r="K85" s="38"/>
      <c r="M85" s="87"/>
      <c r="N85" s="38"/>
      <c r="Q85" s="38"/>
    </row>
    <row r="86">
      <c r="A86" s="46" t="str">
        <f>IFERROR(__xludf.DUMMYFUNCTION("""COMPUTED_VALUE"""),"Cosmetics")</f>
        <v>Cosmetics</v>
      </c>
      <c r="B86" s="46" t="str">
        <f>IFERROR(__xludf.DUMMYFUNCTION("""COMPUTED_VALUE"""),"Czech Republic")</f>
        <v>Czech Republic</v>
      </c>
      <c r="C86" s="46">
        <f>IFERROR(__xludf.DUMMYFUNCTION("""COMPUTED_VALUE"""),1.51312482E8)</f>
        <v>151312482</v>
      </c>
      <c r="D86" s="84">
        <f>IFERROR(__xludf.DUMMYFUNCTION("""COMPUTED_VALUE"""),2440013.1999999997)</f>
        <v>2440013.2</v>
      </c>
      <c r="H86" s="48"/>
      <c r="I86" s="38"/>
      <c r="J86" s="38"/>
      <c r="K86" s="38"/>
      <c r="M86" s="87"/>
      <c r="N86" s="38"/>
      <c r="Q86" s="38"/>
    </row>
    <row r="87">
      <c r="A87" s="46" t="str">
        <f>IFERROR(__xludf.DUMMYFUNCTION("""COMPUTED_VALUE"""),"Baby Food")</f>
        <v>Baby Food</v>
      </c>
      <c r="B87" s="46" t="str">
        <f>IFERROR(__xludf.DUMMYFUNCTION("""COMPUTED_VALUE"""),"Albania")</f>
        <v>Albania</v>
      </c>
      <c r="C87" s="46">
        <f>IFERROR(__xludf.DUMMYFUNCTION("""COMPUTED_VALUE"""),1.52191388E8)</f>
        <v>152191388</v>
      </c>
      <c r="D87" s="84">
        <f>IFERROR(__xludf.DUMMYFUNCTION("""COMPUTED_VALUE"""),1447182.32)</f>
        <v>1447182.32</v>
      </c>
      <c r="H87" s="48"/>
      <c r="I87" s="38"/>
      <c r="J87" s="38"/>
      <c r="K87" s="38"/>
      <c r="M87" s="87"/>
      <c r="N87" s="38"/>
      <c r="Q87" s="38"/>
    </row>
    <row r="88">
      <c r="A88" s="46" t="str">
        <f>IFERROR(__xludf.DUMMYFUNCTION("""COMPUTED_VALUE"""),"Meat")</f>
        <v>Meat</v>
      </c>
      <c r="B88" s="46" t="str">
        <f>IFERROR(__xludf.DUMMYFUNCTION("""COMPUTED_VALUE"""),"Sweden")</f>
        <v>Sweden</v>
      </c>
      <c r="C88" s="46">
        <f>IFERROR(__xludf.DUMMYFUNCTION("""COMPUTED_VALUE"""),1.52411115E8)</f>
        <v>152411115</v>
      </c>
      <c r="D88" s="84">
        <f>IFERROR(__xludf.DUMMYFUNCTION("""COMPUTED_VALUE"""),291525.99)</f>
        <v>291525.99</v>
      </c>
      <c r="H88" s="48"/>
      <c r="I88" s="38"/>
      <c r="J88" s="38"/>
      <c r="K88" s="38"/>
      <c r="M88" s="87"/>
      <c r="N88" s="38"/>
      <c r="Q88" s="38"/>
    </row>
    <row r="89">
      <c r="A89" s="46" t="str">
        <f>IFERROR(__xludf.DUMMYFUNCTION("""COMPUTED_VALUE"""),"Clothes")</f>
        <v>Clothes</v>
      </c>
      <c r="B89" s="46" t="str">
        <f>IFERROR(__xludf.DUMMYFUNCTION("""COMPUTED_VALUE"""),"San Marino")</f>
        <v>San Marino</v>
      </c>
      <c r="C89" s="46">
        <f>IFERROR(__xludf.DUMMYFUNCTION("""COMPUTED_VALUE"""),1.52505099E8)</f>
        <v>152505099</v>
      </c>
      <c r="D89" s="84">
        <f>IFERROR(__xludf.DUMMYFUNCTION("""COMPUTED_VALUE"""),929207.84)</f>
        <v>929207.84</v>
      </c>
      <c r="H89" s="48"/>
      <c r="I89" s="38"/>
      <c r="J89" s="38"/>
      <c r="K89" s="38"/>
      <c r="M89" s="87"/>
      <c r="N89" s="38"/>
      <c r="Q89" s="38"/>
    </row>
    <row r="90">
      <c r="A90" s="46" t="str">
        <f>IFERROR(__xludf.DUMMYFUNCTION("""COMPUTED_VALUE"""),"Office Supplies")</f>
        <v>Office Supplies</v>
      </c>
      <c r="B90" s="46" t="str">
        <f>IFERROR(__xludf.DUMMYFUNCTION("""COMPUTED_VALUE"""),"Bosnia and Herzegovina")</f>
        <v>Bosnia and Herzegovina</v>
      </c>
      <c r="C90" s="46">
        <f>IFERROR(__xludf.DUMMYFUNCTION("""COMPUTED_VALUE"""),1.52746713E8)</f>
        <v>152746713</v>
      </c>
      <c r="D90" s="84">
        <f>IFERROR(__xludf.DUMMYFUNCTION("""COMPUTED_VALUE"""),1302.42)</f>
        <v>1302.42</v>
      </c>
      <c r="H90" s="48"/>
      <c r="I90" s="38"/>
      <c r="J90" s="38"/>
      <c r="K90" s="38"/>
      <c r="M90" s="87"/>
      <c r="N90" s="38"/>
      <c r="Q90" s="38"/>
    </row>
    <row r="91">
      <c r="A91" s="46" t="str">
        <f>IFERROR(__xludf.DUMMYFUNCTION("""COMPUTED_VALUE"""),"Fruits")</f>
        <v>Fruits</v>
      </c>
      <c r="B91" s="46" t="str">
        <f>IFERROR(__xludf.DUMMYFUNCTION("""COMPUTED_VALUE"""),"Sweden")</f>
        <v>Sweden</v>
      </c>
      <c r="C91" s="46">
        <f>IFERROR(__xludf.DUMMYFUNCTION("""COMPUTED_VALUE"""),1.5397495E8)</f>
        <v>153974950</v>
      </c>
      <c r="D91" s="84">
        <f>IFERROR(__xludf.DUMMYFUNCTION("""COMPUTED_VALUE"""),32319.12)</f>
        <v>32319.12</v>
      </c>
      <c r="H91" s="48"/>
      <c r="I91" s="38"/>
      <c r="J91" s="38"/>
      <c r="K91" s="38"/>
      <c r="M91" s="87"/>
      <c r="N91" s="38"/>
      <c r="Q91" s="38"/>
    </row>
    <row r="92">
      <c r="A92" s="46" t="str">
        <f>IFERROR(__xludf.DUMMYFUNCTION("""COMPUTED_VALUE"""),"Cosmetics")</f>
        <v>Cosmetics</v>
      </c>
      <c r="B92" s="46" t="str">
        <f>IFERROR(__xludf.DUMMYFUNCTION("""COMPUTED_VALUE"""),"Slovenia")</f>
        <v>Slovenia</v>
      </c>
      <c r="C92" s="46">
        <f>IFERROR(__xludf.DUMMYFUNCTION("""COMPUTED_VALUE"""),1.55086886E8)</f>
        <v>155086886</v>
      </c>
      <c r="D92" s="84">
        <f>IFERROR(__xludf.DUMMYFUNCTION("""COMPUTED_VALUE"""),1097809.2)</f>
        <v>1097809.2</v>
      </c>
      <c r="H92" s="48"/>
      <c r="I92" s="38"/>
      <c r="J92" s="38"/>
      <c r="K92" s="38"/>
      <c r="M92" s="87"/>
      <c r="N92" s="38"/>
      <c r="Q92" s="38"/>
    </row>
    <row r="93">
      <c r="A93" s="46" t="str">
        <f>IFERROR(__xludf.DUMMYFUNCTION("""COMPUTED_VALUE"""),"Fruits")</f>
        <v>Fruits</v>
      </c>
      <c r="B93" s="46" t="str">
        <f>IFERROR(__xludf.DUMMYFUNCTION("""COMPUTED_VALUE"""),"Ireland")</f>
        <v>Ireland</v>
      </c>
      <c r="C93" s="46">
        <f>IFERROR(__xludf.DUMMYFUNCTION("""COMPUTED_VALUE"""),1.55914723E8)</f>
        <v>155914723</v>
      </c>
      <c r="D93" s="84">
        <f>IFERROR(__xludf.DUMMYFUNCTION("""COMPUTED_VALUE"""),69844.38)</f>
        <v>69844.38</v>
      </c>
      <c r="H93" s="48"/>
      <c r="I93" s="38"/>
      <c r="J93" s="38"/>
      <c r="K93" s="38"/>
      <c r="M93" s="87"/>
      <c r="N93" s="38"/>
      <c r="Q93" s="38"/>
    </row>
    <row r="94">
      <c r="A94" s="46" t="str">
        <f>IFERROR(__xludf.DUMMYFUNCTION("""COMPUTED_VALUE"""),"Clothes")</f>
        <v>Clothes</v>
      </c>
      <c r="B94" s="46" t="str">
        <f>IFERROR(__xludf.DUMMYFUNCTION("""COMPUTED_VALUE"""),"Lithuania")</f>
        <v>Lithuania</v>
      </c>
      <c r="C94" s="46">
        <f>IFERROR(__xludf.DUMMYFUNCTION("""COMPUTED_VALUE"""),1.56158483E8)</f>
        <v>156158483</v>
      </c>
      <c r="D94" s="84">
        <f>IFERROR(__xludf.DUMMYFUNCTION("""COMPUTED_VALUE"""),1051273.6)</f>
        <v>1051273.6</v>
      </c>
      <c r="H94" s="48"/>
      <c r="I94" s="38"/>
      <c r="J94" s="38"/>
      <c r="K94" s="38"/>
      <c r="M94" s="87"/>
      <c r="N94" s="38"/>
      <c r="Q94" s="38"/>
    </row>
    <row r="95">
      <c r="A95" s="46" t="str">
        <f>IFERROR(__xludf.DUMMYFUNCTION("""COMPUTED_VALUE"""),"Baby Food")</f>
        <v>Baby Food</v>
      </c>
      <c r="B95" s="46" t="str">
        <f>IFERROR(__xludf.DUMMYFUNCTION("""COMPUTED_VALUE"""),"Russia")</f>
        <v>Russia</v>
      </c>
      <c r="C95" s="46">
        <f>IFERROR(__xludf.DUMMYFUNCTION("""COMPUTED_VALUE"""),1.58479773E8)</f>
        <v>158479773</v>
      </c>
      <c r="D95" s="84">
        <f>IFERROR(__xludf.DUMMYFUNCTION("""COMPUTED_VALUE"""),1670041.76)</f>
        <v>1670041.76</v>
      </c>
      <c r="H95" s="48"/>
      <c r="I95" s="38"/>
      <c r="J95" s="38"/>
      <c r="K95" s="38"/>
      <c r="M95" s="87"/>
      <c r="N95" s="38"/>
      <c r="Q95" s="38"/>
    </row>
    <row r="96">
      <c r="A96" s="46" t="str">
        <f>IFERROR(__xludf.DUMMYFUNCTION("""COMPUTED_VALUE"""),"Snacks")</f>
        <v>Snacks</v>
      </c>
      <c r="B96" s="46" t="str">
        <f>IFERROR(__xludf.DUMMYFUNCTION("""COMPUTED_VALUE"""),"Germany")</f>
        <v>Germany</v>
      </c>
      <c r="C96" s="46">
        <f>IFERROR(__xludf.DUMMYFUNCTION("""COMPUTED_VALUE"""),1.58673751E8)</f>
        <v>158673751</v>
      </c>
      <c r="D96" s="84">
        <f>IFERROR(__xludf.DUMMYFUNCTION("""COMPUTED_VALUE"""),601775.52)</f>
        <v>601775.52</v>
      </c>
      <c r="H96" s="48"/>
      <c r="I96" s="38"/>
      <c r="J96" s="38"/>
      <c r="K96" s="38"/>
      <c r="M96" s="87"/>
      <c r="N96" s="38"/>
      <c r="Q96" s="38"/>
    </row>
    <row r="97">
      <c r="A97" s="46" t="str">
        <f>IFERROR(__xludf.DUMMYFUNCTION("""COMPUTED_VALUE"""),"Fruits")</f>
        <v>Fruits</v>
      </c>
      <c r="B97" s="46" t="str">
        <f>IFERROR(__xludf.DUMMYFUNCTION("""COMPUTED_VALUE"""),"Switzerland")</f>
        <v>Switzerland</v>
      </c>
      <c r="C97" s="46">
        <f>IFERROR(__xludf.DUMMYFUNCTION("""COMPUTED_VALUE"""),1.59232509E8)</f>
        <v>159232509</v>
      </c>
      <c r="D97" s="84">
        <f>IFERROR(__xludf.DUMMYFUNCTION("""COMPUTED_VALUE"""),86703.69)</f>
        <v>86703.69</v>
      </c>
      <c r="H97" s="48"/>
      <c r="I97" s="38"/>
      <c r="J97" s="38"/>
      <c r="K97" s="38"/>
      <c r="M97" s="87"/>
      <c r="N97" s="38"/>
      <c r="Q97" s="38"/>
    </row>
    <row r="98">
      <c r="A98" s="46" t="str">
        <f>IFERROR(__xludf.DUMMYFUNCTION("""COMPUTED_VALUE"""),"Meat")</f>
        <v>Meat</v>
      </c>
      <c r="B98" s="46" t="str">
        <f>IFERROR(__xludf.DUMMYFUNCTION("""COMPUTED_VALUE"""),"Undefined")</f>
        <v>Undefined</v>
      </c>
      <c r="C98" s="46">
        <f>IFERROR(__xludf.DUMMYFUNCTION("""COMPUTED_VALUE"""),1.59805858E8)</f>
        <v>159805858</v>
      </c>
      <c r="D98" s="84">
        <f>IFERROR(__xludf.DUMMYFUNCTION("""COMPUTED_VALUE"""),3779712.51)</f>
        <v>3779712.51</v>
      </c>
      <c r="H98" s="48"/>
      <c r="I98" s="38"/>
      <c r="J98" s="38"/>
      <c r="K98" s="38"/>
      <c r="M98" s="87"/>
      <c r="N98" s="38"/>
      <c r="Q98" s="38"/>
    </row>
    <row r="99">
      <c r="A99" s="46" t="str">
        <f>IFERROR(__xludf.DUMMYFUNCTION("""COMPUTED_VALUE"""),"Office Supplies")</f>
        <v>Office Supplies</v>
      </c>
      <c r="B99" s="46" t="str">
        <f>IFERROR(__xludf.DUMMYFUNCTION("""COMPUTED_VALUE"""),"Romania")</f>
        <v>Romania</v>
      </c>
      <c r="C99" s="46">
        <f>IFERROR(__xludf.DUMMYFUNCTION("""COMPUTED_VALUE"""),1.60578763E8)</f>
        <v>160578763</v>
      </c>
      <c r="D99" s="84">
        <f>IFERROR(__xludf.DUMMYFUNCTION("""COMPUTED_VALUE"""),5000641.59)</f>
        <v>5000641.59</v>
      </c>
      <c r="H99" s="48"/>
      <c r="I99" s="38"/>
      <c r="J99" s="38"/>
      <c r="K99" s="38"/>
      <c r="M99" s="87"/>
      <c r="N99" s="38"/>
      <c r="Q99" s="38"/>
    </row>
    <row r="100">
      <c r="A100" s="46" t="str">
        <f>IFERROR(__xludf.DUMMYFUNCTION("""COMPUTED_VALUE"""),"Personal Care")</f>
        <v>Personal Care</v>
      </c>
      <c r="B100" s="46" t="str">
        <f>IFERROR(__xludf.DUMMYFUNCTION("""COMPUTED_VALUE"""),"Latvia")</f>
        <v>Latvia</v>
      </c>
      <c r="C100" s="46">
        <f>IFERROR(__xludf.DUMMYFUNCTION("""COMPUTED_VALUE"""),1.60751283E8)</f>
        <v>160751283</v>
      </c>
      <c r="D100" s="84">
        <f>IFERROR(__xludf.DUMMYFUNCTION("""COMPUTED_VALUE"""),713666.36)</f>
        <v>713666.36</v>
      </c>
      <c r="H100" s="48"/>
      <c r="I100" s="38"/>
      <c r="J100" s="38"/>
      <c r="K100" s="38"/>
      <c r="M100" s="87"/>
      <c r="N100" s="38"/>
      <c r="Q100" s="38"/>
    </row>
    <row r="101">
      <c r="A101" s="46" t="str">
        <f>IFERROR(__xludf.DUMMYFUNCTION("""COMPUTED_VALUE"""),"Cosmetics")</f>
        <v>Cosmetics</v>
      </c>
      <c r="B101" s="46" t="str">
        <f>IFERROR(__xludf.DUMMYFUNCTION("""COMPUTED_VALUE"""),"Slovakia")</f>
        <v>Slovakia</v>
      </c>
      <c r="C101" s="46">
        <f>IFERROR(__xludf.DUMMYFUNCTION("""COMPUTED_VALUE"""),1.61399304E8)</f>
        <v>161399304</v>
      </c>
      <c r="D101" s="84">
        <f>IFERROR(__xludf.DUMMYFUNCTION("""COMPUTED_VALUE"""),216851.19999999998)</f>
        <v>216851.2</v>
      </c>
      <c r="H101" s="48"/>
      <c r="I101" s="38"/>
      <c r="J101" s="38"/>
      <c r="K101" s="38"/>
      <c r="M101" s="87"/>
      <c r="N101" s="38"/>
      <c r="Q101" s="38"/>
    </row>
    <row r="102">
      <c r="A102" s="46" t="str">
        <f>IFERROR(__xludf.DUMMYFUNCTION("""COMPUTED_VALUE"""),"Meat")</f>
        <v>Meat</v>
      </c>
      <c r="B102" s="46" t="str">
        <f>IFERROR(__xludf.DUMMYFUNCTION("""COMPUTED_VALUE"""),"Romania")</f>
        <v>Romania</v>
      </c>
      <c r="C102" s="46">
        <f>IFERROR(__xludf.DUMMYFUNCTION("""COMPUTED_VALUE"""),1.61607444E8)</f>
        <v>161607444</v>
      </c>
      <c r="D102" s="84">
        <f>IFERROR(__xludf.DUMMYFUNCTION("""COMPUTED_VALUE"""),881328.21)</f>
        <v>881328.21</v>
      </c>
      <c r="H102" s="48"/>
      <c r="I102" s="38"/>
      <c r="J102" s="38"/>
      <c r="K102" s="38"/>
      <c r="M102" s="87"/>
      <c r="N102" s="38"/>
      <c r="Q102" s="38"/>
    </row>
    <row r="103">
      <c r="A103" s="46" t="str">
        <f>IFERROR(__xludf.DUMMYFUNCTION("""COMPUTED_VALUE"""),"Clothes")</f>
        <v>Clothes</v>
      </c>
      <c r="B103" s="46" t="str">
        <f>IFERROR(__xludf.DUMMYFUNCTION("""COMPUTED_VALUE"""),"Denmark")</f>
        <v>Denmark</v>
      </c>
      <c r="C103" s="46">
        <f>IFERROR(__xludf.DUMMYFUNCTION("""COMPUTED_VALUE"""),1.6181215E8)</f>
        <v>161812150</v>
      </c>
      <c r="D103" s="84">
        <f>IFERROR(__xludf.DUMMYFUNCTION("""COMPUTED_VALUE"""),291340.48)</f>
        <v>291340.48</v>
      </c>
      <c r="H103" s="48"/>
      <c r="I103" s="38"/>
      <c r="J103" s="38"/>
      <c r="K103" s="38"/>
      <c r="M103" s="87"/>
      <c r="N103" s="38"/>
      <c r="Q103" s="38"/>
    </row>
    <row r="104">
      <c r="A104" s="46" t="str">
        <f>IFERROR(__xludf.DUMMYFUNCTION("""COMPUTED_VALUE"""),"Beverages")</f>
        <v>Beverages</v>
      </c>
      <c r="B104" s="46" t="str">
        <f>IFERROR(__xludf.DUMMYFUNCTION("""COMPUTED_VALUE"""),"Russia")</f>
        <v>Russia</v>
      </c>
      <c r="C104" s="46">
        <f>IFERROR(__xludf.DUMMYFUNCTION("""COMPUTED_VALUE"""),1.62791907E8)</f>
        <v>162791907</v>
      </c>
      <c r="D104" s="84">
        <f>IFERROR(__xludf.DUMMYFUNCTION("""COMPUTED_VALUE"""),123275.1)</f>
        <v>123275.1</v>
      </c>
      <c r="H104" s="48"/>
      <c r="I104" s="38"/>
      <c r="J104" s="38"/>
      <c r="K104" s="38"/>
      <c r="M104" s="87"/>
      <c r="N104" s="38"/>
      <c r="Q104" s="38"/>
    </row>
    <row r="105">
      <c r="A105" s="46" t="str">
        <f>IFERROR(__xludf.DUMMYFUNCTION("""COMPUTED_VALUE"""),"Snacks")</f>
        <v>Snacks</v>
      </c>
      <c r="B105" s="46" t="str">
        <f>IFERROR(__xludf.DUMMYFUNCTION("""COMPUTED_VALUE"""),"Macedonia")</f>
        <v>Macedonia</v>
      </c>
      <c r="C105" s="46">
        <f>IFERROR(__xludf.DUMMYFUNCTION("""COMPUTED_VALUE"""),1.63587558E8)</f>
        <v>163587558</v>
      </c>
      <c r="D105" s="84">
        <f>IFERROR(__xludf.DUMMYFUNCTION("""COMPUTED_VALUE"""),1227963.84)</f>
        <v>1227963.84</v>
      </c>
      <c r="H105" s="48"/>
      <c r="I105" s="38"/>
      <c r="J105" s="38"/>
      <c r="K105" s="38"/>
      <c r="M105" s="87"/>
      <c r="N105" s="38"/>
      <c r="Q105" s="38"/>
    </row>
    <row r="106">
      <c r="A106" s="46" t="str">
        <f>IFERROR(__xludf.DUMMYFUNCTION("""COMPUTED_VALUE"""),"Office Supplies")</f>
        <v>Office Supplies</v>
      </c>
      <c r="B106" s="46" t="str">
        <f>IFERROR(__xludf.DUMMYFUNCTION("""COMPUTED_VALUE"""),"Finland")</f>
        <v>Finland</v>
      </c>
      <c r="C106" s="46">
        <f>IFERROR(__xludf.DUMMYFUNCTION("""COMPUTED_VALUE"""),1.63744628E8)</f>
        <v>163744628</v>
      </c>
      <c r="D106" s="84">
        <f>IFERROR(__xludf.DUMMYFUNCTION("""COMPUTED_VALUE"""),2949330.0900000003)</f>
        <v>2949330.09</v>
      </c>
      <c r="H106" s="48"/>
      <c r="I106" s="38"/>
      <c r="J106" s="38"/>
      <c r="K106" s="38"/>
      <c r="M106" s="87"/>
      <c r="N106" s="38"/>
      <c r="Q106" s="38"/>
    </row>
    <row r="107">
      <c r="A107" s="46" t="str">
        <f>IFERROR(__xludf.DUMMYFUNCTION("""COMPUTED_VALUE"""),"Meat")</f>
        <v>Meat</v>
      </c>
      <c r="B107" s="46" t="str">
        <f>IFERROR(__xludf.DUMMYFUNCTION("""COMPUTED_VALUE"""),"Belgium")</f>
        <v>Belgium</v>
      </c>
      <c r="C107" s="46">
        <f>IFERROR(__xludf.DUMMYFUNCTION("""COMPUTED_VALUE"""),1.64259612E8)</f>
        <v>164259612</v>
      </c>
      <c r="D107" s="84">
        <f>IFERROR(__xludf.DUMMYFUNCTION("""COMPUTED_VALUE"""),2921166.36)</f>
        <v>2921166.36</v>
      </c>
      <c r="H107" s="48"/>
      <c r="I107" s="38"/>
      <c r="J107" s="38"/>
      <c r="K107" s="38"/>
      <c r="M107" s="87"/>
      <c r="N107" s="38"/>
      <c r="Q107" s="38"/>
    </row>
    <row r="108">
      <c r="A108" s="46" t="str">
        <f>IFERROR(__xludf.DUMMYFUNCTION("""COMPUTED_VALUE"""),"Clothes")</f>
        <v>Clothes</v>
      </c>
      <c r="B108" s="46" t="str">
        <f>IFERROR(__xludf.DUMMYFUNCTION("""COMPUTED_VALUE"""),"Bosnia and Herzegovina")</f>
        <v>Bosnia and Herzegovina</v>
      </c>
      <c r="C108" s="46">
        <f>IFERROR(__xludf.DUMMYFUNCTION("""COMPUTED_VALUE"""),1.668105E8)</f>
        <v>166810500</v>
      </c>
      <c r="D108" s="84">
        <f>IFERROR(__xludf.DUMMYFUNCTION("""COMPUTED_VALUE"""),195501.92)</f>
        <v>195501.92</v>
      </c>
      <c r="H108" s="48"/>
      <c r="I108" s="38"/>
      <c r="J108" s="38"/>
      <c r="K108" s="38"/>
      <c r="M108" s="87"/>
      <c r="N108" s="38"/>
      <c r="Q108" s="38"/>
    </row>
    <row r="109">
      <c r="A109" s="46" t="str">
        <f>IFERROR(__xludf.DUMMYFUNCTION("""COMPUTED_VALUE"""),"Office Supplies")</f>
        <v>Office Supplies</v>
      </c>
      <c r="B109" s="46" t="str">
        <f>IFERROR(__xludf.DUMMYFUNCTION("""COMPUTED_VALUE"""),"Slovakia")</f>
        <v>Slovakia</v>
      </c>
      <c r="C109" s="46">
        <f>IFERROR(__xludf.DUMMYFUNCTION("""COMPUTED_VALUE"""),1.68319404E8)</f>
        <v>168319404</v>
      </c>
      <c r="D109" s="84">
        <f>IFERROR(__xludf.DUMMYFUNCTION("""COMPUTED_VALUE"""),5409601.470000001)</f>
        <v>5409601.47</v>
      </c>
      <c r="H109" s="48"/>
      <c r="I109" s="38"/>
      <c r="J109" s="38"/>
      <c r="K109" s="38"/>
      <c r="M109" s="87"/>
      <c r="N109" s="38"/>
      <c r="Q109" s="38"/>
    </row>
    <row r="110">
      <c r="A110" s="46" t="str">
        <f>IFERROR(__xludf.DUMMYFUNCTION("""COMPUTED_VALUE"""),"Office Supplies")</f>
        <v>Office Supplies</v>
      </c>
      <c r="B110" s="46" t="str">
        <f>IFERROR(__xludf.DUMMYFUNCTION("""COMPUTED_VALUE"""),"Undefined")</f>
        <v>Undefined</v>
      </c>
      <c r="C110" s="46">
        <f>IFERROR(__xludf.DUMMYFUNCTION("""COMPUTED_VALUE"""),1.68487203E8)</f>
        <v>168487203</v>
      </c>
      <c r="D110" s="84">
        <f>IFERROR(__xludf.DUMMYFUNCTION("""COMPUTED_VALUE"""),5184934.0200000005)</f>
        <v>5184934.02</v>
      </c>
      <c r="H110" s="48"/>
      <c r="I110" s="38"/>
      <c r="J110" s="38"/>
      <c r="K110" s="38"/>
      <c r="M110" s="87"/>
      <c r="N110" s="38"/>
      <c r="Q110" s="38"/>
    </row>
    <row r="111">
      <c r="A111" s="46" t="str">
        <f>IFERROR(__xludf.DUMMYFUNCTION("""COMPUTED_VALUE"""),"Baby Food")</f>
        <v>Baby Food</v>
      </c>
      <c r="B111" s="46" t="str">
        <f>IFERROR(__xludf.DUMMYFUNCTION("""COMPUTED_VALUE"""),"Georgia")</f>
        <v>Georgia</v>
      </c>
      <c r="C111" s="46">
        <f>IFERROR(__xludf.DUMMYFUNCTION("""COMPUTED_VALUE"""),1.68960559E8)</f>
        <v>168960559</v>
      </c>
      <c r="D111" s="84">
        <f>IFERROR(__xludf.DUMMYFUNCTION("""COMPUTED_VALUE"""),2052195.92)</f>
        <v>2052195.92</v>
      </c>
      <c r="H111" s="48"/>
      <c r="I111" s="38"/>
      <c r="J111" s="38"/>
      <c r="K111" s="38"/>
      <c r="M111" s="87"/>
      <c r="N111" s="38"/>
      <c r="Q111" s="38"/>
    </row>
    <row r="112">
      <c r="A112" s="46" t="str">
        <f>IFERROR(__xludf.DUMMYFUNCTION("""COMPUTED_VALUE"""),"Meat")</f>
        <v>Meat</v>
      </c>
      <c r="B112" s="46" t="str">
        <f>IFERROR(__xludf.DUMMYFUNCTION("""COMPUTED_VALUE"""),"San Marino")</f>
        <v>San Marino</v>
      </c>
      <c r="C112" s="46">
        <f>IFERROR(__xludf.DUMMYFUNCTION("""COMPUTED_VALUE"""),1.68979442E8)</f>
        <v>168979442</v>
      </c>
      <c r="D112" s="84">
        <f>IFERROR(__xludf.DUMMYFUNCTION("""COMPUTED_VALUE"""),1530195.03)</f>
        <v>1530195.03</v>
      </c>
      <c r="H112" s="48"/>
      <c r="I112" s="38"/>
      <c r="J112" s="38"/>
      <c r="K112" s="38"/>
      <c r="M112" s="87"/>
      <c r="N112" s="38"/>
      <c r="Q112" s="38"/>
    </row>
    <row r="113">
      <c r="A113" s="46" t="str">
        <f>IFERROR(__xludf.DUMMYFUNCTION("""COMPUTED_VALUE"""),"Meat")</f>
        <v>Meat</v>
      </c>
      <c r="B113" s="46" t="str">
        <f>IFERROR(__xludf.DUMMYFUNCTION("""COMPUTED_VALUE"""),"Switzerland")</f>
        <v>Switzerland</v>
      </c>
      <c r="C113" s="46">
        <f>IFERROR(__xludf.DUMMYFUNCTION("""COMPUTED_VALUE"""),1.69378983E8)</f>
        <v>169378983</v>
      </c>
      <c r="D113" s="84">
        <f>IFERROR(__xludf.DUMMYFUNCTION("""COMPUTED_VALUE"""),784715.4)</f>
        <v>784715.4</v>
      </c>
      <c r="H113" s="48"/>
      <c r="I113" s="38"/>
      <c r="J113" s="38"/>
      <c r="K113" s="38"/>
      <c r="M113" s="87"/>
      <c r="N113" s="38"/>
      <c r="Q113" s="38"/>
    </row>
    <row r="114">
      <c r="A114" s="46" t="str">
        <f>IFERROR(__xludf.DUMMYFUNCTION("""COMPUTED_VALUE"""),"Fruits")</f>
        <v>Fruits</v>
      </c>
      <c r="B114" s="46" t="str">
        <f>IFERROR(__xludf.DUMMYFUNCTION("""COMPUTED_VALUE"""),"Slovenia")</f>
        <v>Slovenia</v>
      </c>
      <c r="C114" s="46">
        <f>IFERROR(__xludf.DUMMYFUNCTION("""COMPUTED_VALUE"""),1.69799983E8)</f>
        <v>169799983</v>
      </c>
      <c r="D114" s="84">
        <f>IFERROR(__xludf.DUMMYFUNCTION("""COMPUTED_VALUE"""),60113.19)</f>
        <v>60113.19</v>
      </c>
      <c r="H114" s="48"/>
      <c r="I114" s="38"/>
      <c r="J114" s="38"/>
      <c r="K114" s="38"/>
      <c r="M114" s="87"/>
      <c r="N114" s="38"/>
      <c r="Q114" s="38"/>
    </row>
    <row r="115">
      <c r="A115" s="46" t="str">
        <f>IFERROR(__xludf.DUMMYFUNCTION("""COMPUTED_VALUE"""),"Clothes")</f>
        <v>Clothes</v>
      </c>
      <c r="B115" s="46" t="str">
        <f>IFERROR(__xludf.DUMMYFUNCTION("""COMPUTED_VALUE"""),"Belarus")</f>
        <v>Belarus</v>
      </c>
      <c r="C115" s="46">
        <f>IFERROR(__xludf.DUMMYFUNCTION("""COMPUTED_VALUE"""),1.73122918E8)</f>
        <v>173122918</v>
      </c>
      <c r="D115" s="84">
        <f>IFERROR(__xludf.DUMMYFUNCTION("""COMPUTED_VALUE"""),1067993.44)</f>
        <v>1067993.44</v>
      </c>
      <c r="H115" s="48"/>
      <c r="I115" s="38"/>
      <c r="J115" s="38"/>
      <c r="K115" s="38"/>
      <c r="M115" s="87"/>
      <c r="N115" s="38"/>
      <c r="Q115" s="38"/>
    </row>
    <row r="116">
      <c r="A116" s="46" t="str">
        <f>IFERROR(__xludf.DUMMYFUNCTION("""COMPUTED_VALUE"""),"Cereal")</f>
        <v>Cereal</v>
      </c>
      <c r="B116" s="46" t="str">
        <f>IFERROR(__xludf.DUMMYFUNCTION("""COMPUTED_VALUE"""),"Germany")</f>
        <v>Germany</v>
      </c>
      <c r="C116" s="46">
        <f>IFERROR(__xludf.DUMMYFUNCTION("""COMPUTED_VALUE"""),1.74218118E8)</f>
        <v>174218118</v>
      </c>
      <c r="D116" s="84">
        <f>IFERROR(__xludf.DUMMYFUNCTION("""COMPUTED_VALUE"""),795441.8999999999)</f>
        <v>795441.9</v>
      </c>
      <c r="H116" s="48"/>
      <c r="I116" s="38"/>
      <c r="J116" s="38"/>
      <c r="K116" s="38"/>
      <c r="M116" s="87"/>
      <c r="N116" s="38"/>
      <c r="Q116" s="38"/>
    </row>
    <row r="117">
      <c r="A117" s="46" t="str">
        <f>IFERROR(__xludf.DUMMYFUNCTION("""COMPUTED_VALUE"""),"Baby Food")</f>
        <v>Baby Food</v>
      </c>
      <c r="B117" s="46" t="str">
        <f>IFERROR(__xludf.DUMMYFUNCTION("""COMPUTED_VALUE"""),"Andorra")</f>
        <v>Andorra</v>
      </c>
      <c r="C117" s="46">
        <f>IFERROR(__xludf.DUMMYFUNCTION("""COMPUTED_VALUE"""),1.74614226E8)</f>
        <v>174614226</v>
      </c>
      <c r="D117" s="84">
        <f>IFERROR(__xludf.DUMMYFUNCTION("""COMPUTED_VALUE"""),276978.8)</f>
        <v>276978.8</v>
      </c>
      <c r="H117" s="48"/>
      <c r="I117" s="38"/>
      <c r="J117" s="38"/>
      <c r="K117" s="38"/>
      <c r="M117" s="87"/>
      <c r="N117" s="38"/>
      <c r="Q117" s="38"/>
    </row>
    <row r="118">
      <c r="A118" s="46" t="str">
        <f>IFERROR(__xludf.DUMMYFUNCTION("""COMPUTED_VALUE"""),"Cosmetics")</f>
        <v>Cosmetics</v>
      </c>
      <c r="B118" s="46" t="str">
        <f>IFERROR(__xludf.DUMMYFUNCTION("""COMPUTED_VALUE"""),"France")</f>
        <v>France</v>
      </c>
      <c r="C118" s="46">
        <f>IFERROR(__xludf.DUMMYFUNCTION("""COMPUTED_VALUE"""),1.74935233E8)</f>
        <v>174935233</v>
      </c>
      <c r="D118" s="84">
        <f>IFERROR(__xludf.DUMMYFUNCTION("""COMPUTED_VALUE"""),2657301.6)</f>
        <v>2657301.6</v>
      </c>
      <c r="H118" s="48"/>
      <c r="I118" s="38"/>
      <c r="J118" s="38"/>
      <c r="K118" s="38"/>
      <c r="M118" s="87"/>
      <c r="N118" s="38"/>
      <c r="Q118" s="38"/>
    </row>
    <row r="119">
      <c r="A119" s="46" t="str">
        <f>IFERROR(__xludf.DUMMYFUNCTION("""COMPUTED_VALUE"""),"Household")</f>
        <v>Household</v>
      </c>
      <c r="B119" s="46" t="str">
        <f>IFERROR(__xludf.DUMMYFUNCTION("""COMPUTED_VALUE"""),"Monaco")</f>
        <v>Monaco</v>
      </c>
      <c r="C119" s="46">
        <f>IFERROR(__xludf.DUMMYFUNCTION("""COMPUTED_VALUE"""),1.75723588E8)</f>
        <v>175723588</v>
      </c>
      <c r="D119" s="84">
        <f>IFERROR(__xludf.DUMMYFUNCTION("""COMPUTED_VALUE"""),6261689.899999999)</f>
        <v>6261689.9</v>
      </c>
      <c r="H119" s="48"/>
      <c r="I119" s="38"/>
      <c r="J119" s="38"/>
      <c r="K119" s="38"/>
      <c r="M119" s="87"/>
      <c r="N119" s="38"/>
      <c r="Q119" s="38"/>
    </row>
    <row r="120">
      <c r="A120" s="46" t="str">
        <f>IFERROR(__xludf.DUMMYFUNCTION("""COMPUTED_VALUE"""),"Cereal")</f>
        <v>Cereal</v>
      </c>
      <c r="B120" s="46" t="str">
        <f>IFERROR(__xludf.DUMMYFUNCTION("""COMPUTED_VALUE"""),"Poland")</f>
        <v>Poland</v>
      </c>
      <c r="C120" s="46">
        <f>IFERROR(__xludf.DUMMYFUNCTION("""COMPUTED_VALUE"""),1.76050603E8)</f>
        <v>176050603</v>
      </c>
      <c r="D120" s="84">
        <f>IFERROR(__xludf.DUMMYFUNCTION("""COMPUTED_VALUE"""),1262998.0)</f>
        <v>1262998</v>
      </c>
      <c r="H120" s="48"/>
      <c r="I120" s="38"/>
      <c r="J120" s="38"/>
      <c r="K120" s="38"/>
      <c r="M120" s="87"/>
      <c r="N120" s="38"/>
      <c r="Q120" s="38"/>
    </row>
    <row r="121">
      <c r="A121" s="46" t="str">
        <f>IFERROR(__xludf.DUMMYFUNCTION("""COMPUTED_VALUE"""),"Clothes")</f>
        <v>Clothes</v>
      </c>
      <c r="B121" s="46" t="str">
        <f>IFERROR(__xludf.DUMMYFUNCTION("""COMPUTED_VALUE"""),"Estonia")</f>
        <v>Estonia</v>
      </c>
      <c r="C121" s="46">
        <f>IFERROR(__xludf.DUMMYFUNCTION("""COMPUTED_VALUE"""),1.76722657E8)</f>
        <v>176722657</v>
      </c>
      <c r="D121" s="84">
        <f>IFERROR(__xludf.DUMMYFUNCTION("""COMPUTED_VALUE"""),548148.48)</f>
        <v>548148.48</v>
      </c>
      <c r="H121" s="48"/>
      <c r="I121" s="38"/>
      <c r="J121" s="38"/>
      <c r="K121" s="38"/>
      <c r="M121" s="87"/>
      <c r="N121" s="38"/>
      <c r="Q121" s="38"/>
    </row>
    <row r="122">
      <c r="A122" s="46" t="str">
        <f>IFERROR(__xludf.DUMMYFUNCTION("""COMPUTED_VALUE"""),"Meat")</f>
        <v>Meat</v>
      </c>
      <c r="B122" s="46" t="str">
        <f>IFERROR(__xludf.DUMMYFUNCTION("""COMPUTED_VALUE"""),"Monaco")</f>
        <v>Monaco</v>
      </c>
      <c r="C122" s="46">
        <f>IFERROR(__xludf.DUMMYFUNCTION("""COMPUTED_VALUE"""),1.7714709E8)</f>
        <v>177147090</v>
      </c>
      <c r="D122" s="84">
        <f>IFERROR(__xludf.DUMMYFUNCTION("""COMPUTED_VALUE"""),259462.35)</f>
        <v>259462.35</v>
      </c>
      <c r="H122" s="48"/>
      <c r="I122" s="38"/>
      <c r="J122" s="38"/>
      <c r="K122" s="38"/>
      <c r="M122" s="87"/>
      <c r="N122" s="38"/>
      <c r="Q122" s="38"/>
    </row>
    <row r="123">
      <c r="A123" s="46" t="str">
        <f>IFERROR(__xludf.DUMMYFUNCTION("""COMPUTED_VALUE"""),"Household")</f>
        <v>Household</v>
      </c>
      <c r="B123" s="46" t="str">
        <f>IFERROR(__xludf.DUMMYFUNCTION("""COMPUTED_VALUE"""),"Austria")</f>
        <v>Austria</v>
      </c>
      <c r="C123" s="46">
        <f>IFERROR(__xludf.DUMMYFUNCTION("""COMPUTED_VALUE"""),1.78604066E8)</f>
        <v>178604066</v>
      </c>
      <c r="D123" s="84">
        <f>IFERROR(__xludf.DUMMYFUNCTION("""COMPUTED_VALUE"""),1180833.09)</f>
        <v>1180833.09</v>
      </c>
      <c r="H123" s="48"/>
      <c r="I123" s="38"/>
      <c r="J123" s="38"/>
      <c r="K123" s="38"/>
      <c r="M123" s="87"/>
      <c r="N123" s="38"/>
      <c r="Q123" s="38"/>
    </row>
    <row r="124">
      <c r="A124" s="46" t="str">
        <f>IFERROR(__xludf.DUMMYFUNCTION("""COMPUTED_VALUE"""),"Cosmetics")</f>
        <v>Cosmetics</v>
      </c>
      <c r="B124" s="46" t="str">
        <f>IFERROR(__xludf.DUMMYFUNCTION("""COMPUTED_VALUE"""),"Bulgaria")</f>
        <v>Bulgaria</v>
      </c>
      <c r="C124" s="46">
        <f>IFERROR(__xludf.DUMMYFUNCTION("""COMPUTED_VALUE"""),1.79819428E8)</f>
        <v>179819428</v>
      </c>
      <c r="D124" s="84">
        <f>IFERROR(__xludf.DUMMYFUNCTION("""COMPUTED_VALUE"""),620824.0)</f>
        <v>620824</v>
      </c>
      <c r="H124" s="48"/>
      <c r="I124" s="38"/>
      <c r="J124" s="38"/>
      <c r="K124" s="38"/>
      <c r="M124" s="87"/>
      <c r="N124" s="38"/>
      <c r="Q124" s="38"/>
    </row>
    <row r="125">
      <c r="A125" s="46" t="str">
        <f>IFERROR(__xludf.DUMMYFUNCTION("""COMPUTED_VALUE"""),"Beverages")</f>
        <v>Beverages</v>
      </c>
      <c r="B125" s="46" t="str">
        <f>IFERROR(__xludf.DUMMYFUNCTION("""COMPUTED_VALUE"""),"Malta")</f>
        <v>Malta</v>
      </c>
      <c r="C125" s="46">
        <f>IFERROR(__xludf.DUMMYFUNCTION("""COMPUTED_VALUE"""),1.80358016E8)</f>
        <v>180358016</v>
      </c>
      <c r="D125" s="84">
        <f>IFERROR(__xludf.DUMMYFUNCTION("""COMPUTED_VALUE"""),37960.0)</f>
        <v>37960</v>
      </c>
      <c r="H125" s="48"/>
      <c r="I125" s="38"/>
      <c r="J125" s="38"/>
      <c r="K125" s="38"/>
      <c r="M125" s="87"/>
      <c r="N125" s="38"/>
      <c r="Q125" s="38"/>
    </row>
    <row r="126">
      <c r="A126" s="46" t="str">
        <f>IFERROR(__xludf.DUMMYFUNCTION("""COMPUTED_VALUE"""),"Vegetables")</f>
        <v>Vegetables</v>
      </c>
      <c r="B126" s="46" t="str">
        <f>IFERROR(__xludf.DUMMYFUNCTION("""COMPUTED_VALUE"""),"Belarus")</f>
        <v>Belarus</v>
      </c>
      <c r="C126" s="46">
        <f>IFERROR(__xludf.DUMMYFUNCTION("""COMPUTED_VALUE"""),1.80479466E8)</f>
        <v>180479466</v>
      </c>
      <c r="D126" s="84">
        <f>IFERROR(__xludf.DUMMYFUNCTION("""COMPUTED_VALUE"""),1038364.4)</f>
        <v>1038364.4</v>
      </c>
      <c r="H126" s="48"/>
      <c r="I126" s="38"/>
      <c r="J126" s="38"/>
      <c r="K126" s="38"/>
      <c r="M126" s="87"/>
      <c r="N126" s="38"/>
      <c r="Q126" s="38"/>
    </row>
    <row r="127">
      <c r="A127" s="46" t="str">
        <f>IFERROR(__xludf.DUMMYFUNCTION("""COMPUTED_VALUE"""),"Office Supplies")</f>
        <v>Office Supplies</v>
      </c>
      <c r="B127" s="46" t="str">
        <f>IFERROR(__xludf.DUMMYFUNCTION("""COMPUTED_VALUE"""),"Ukraine")</f>
        <v>Ukraine</v>
      </c>
      <c r="C127" s="46">
        <f>IFERROR(__xludf.DUMMYFUNCTION("""COMPUTED_VALUE"""),1.81260526E8)</f>
        <v>181260526</v>
      </c>
      <c r="D127" s="84">
        <f>IFERROR(__xludf.DUMMYFUNCTION("""COMPUTED_VALUE"""),5126325.12)</f>
        <v>5126325.12</v>
      </c>
      <c r="H127" s="48"/>
      <c r="I127" s="38"/>
      <c r="J127" s="38"/>
      <c r="K127" s="38"/>
      <c r="M127" s="87"/>
      <c r="N127" s="38"/>
      <c r="Q127" s="38"/>
    </row>
    <row r="128">
      <c r="A128" s="46" t="str">
        <f>IFERROR(__xludf.DUMMYFUNCTION("""COMPUTED_VALUE"""),"Fruits")</f>
        <v>Fruits</v>
      </c>
      <c r="B128" s="46" t="str">
        <f>IFERROR(__xludf.DUMMYFUNCTION("""COMPUTED_VALUE"""),"Finland")</f>
        <v>Finland</v>
      </c>
      <c r="C128" s="46">
        <f>IFERROR(__xludf.DUMMYFUNCTION("""COMPUTED_VALUE"""),1.82078921E8)</f>
        <v>182078921</v>
      </c>
      <c r="D128" s="84">
        <f>IFERROR(__xludf.DUMMYFUNCTION("""COMPUTED_VALUE"""),503.82)</f>
        <v>503.82</v>
      </c>
      <c r="H128" s="48"/>
      <c r="I128" s="38"/>
      <c r="J128" s="38"/>
      <c r="K128" s="38"/>
      <c r="M128" s="87"/>
      <c r="N128" s="38"/>
      <c r="Q128" s="38"/>
    </row>
    <row r="129">
      <c r="A129" s="46" t="str">
        <f>IFERROR(__xludf.DUMMYFUNCTION("""COMPUTED_VALUE"""),"Office Supplies")</f>
        <v>Office Supplies</v>
      </c>
      <c r="B129" s="46" t="str">
        <f>IFERROR(__xludf.DUMMYFUNCTION("""COMPUTED_VALUE"""),"Latvia")</f>
        <v>Latvia</v>
      </c>
      <c r="C129" s="46">
        <f>IFERROR(__xludf.DUMMYFUNCTION("""COMPUTED_VALUE"""),1.82228696E8)</f>
        <v>182228696</v>
      </c>
      <c r="D129" s="84">
        <f>IFERROR(__xludf.DUMMYFUNCTION("""COMPUTED_VALUE"""),2849043.75)</f>
        <v>2849043.75</v>
      </c>
      <c r="H129" s="48"/>
      <c r="I129" s="38"/>
      <c r="J129" s="38"/>
      <c r="K129" s="38"/>
      <c r="M129" s="87"/>
      <c r="N129" s="38"/>
      <c r="Q129" s="38"/>
    </row>
    <row r="130">
      <c r="A130" s="46" t="str">
        <f>IFERROR(__xludf.DUMMYFUNCTION("""COMPUTED_VALUE"""),"Snacks")</f>
        <v>Snacks</v>
      </c>
      <c r="B130" s="46" t="str">
        <f>IFERROR(__xludf.DUMMYFUNCTION("""COMPUTED_VALUE"""),"Bosnia and Herzegovina")</f>
        <v>Bosnia and Herzegovina</v>
      </c>
      <c r="C130" s="46">
        <f>IFERROR(__xludf.DUMMYFUNCTION("""COMPUTED_VALUE"""),1.83778369E8)</f>
        <v>183778369</v>
      </c>
      <c r="D130" s="84">
        <f>IFERROR(__xludf.DUMMYFUNCTION("""COMPUTED_VALUE"""),451331.64)</f>
        <v>451331.64</v>
      </c>
      <c r="H130" s="48"/>
      <c r="I130" s="38"/>
      <c r="J130" s="38"/>
      <c r="K130" s="38"/>
      <c r="M130" s="87"/>
      <c r="N130" s="38"/>
      <c r="Q130" s="38"/>
    </row>
    <row r="131">
      <c r="A131" s="46" t="str">
        <f>IFERROR(__xludf.DUMMYFUNCTION("""COMPUTED_VALUE"""),"Cosmetics")</f>
        <v>Cosmetics</v>
      </c>
      <c r="B131" s="46" t="str">
        <f>IFERROR(__xludf.DUMMYFUNCTION("""COMPUTED_VALUE"""),"Ukraine")</f>
        <v>Ukraine</v>
      </c>
      <c r="C131" s="46">
        <f>IFERROR(__xludf.DUMMYFUNCTION("""COMPUTED_VALUE"""),1.83910119E8)</f>
        <v>183910119</v>
      </c>
      <c r="D131" s="84">
        <f>IFERROR(__xludf.DUMMYFUNCTION("""COMPUTED_VALUE"""),850791.2)</f>
        <v>850791.2</v>
      </c>
      <c r="H131" s="48"/>
      <c r="I131" s="38"/>
      <c r="J131" s="38"/>
      <c r="K131" s="38"/>
      <c r="M131" s="87"/>
      <c r="N131" s="38"/>
      <c r="Q131" s="38"/>
    </row>
    <row r="132">
      <c r="A132" s="46" t="str">
        <f>IFERROR(__xludf.DUMMYFUNCTION("""COMPUTED_VALUE"""),"Clothes")</f>
        <v>Clothes</v>
      </c>
      <c r="B132" s="46" t="str">
        <f>IFERROR(__xludf.DUMMYFUNCTION("""COMPUTED_VALUE"""),"Denmark")</f>
        <v>Denmark</v>
      </c>
      <c r="C132" s="46">
        <f>IFERROR(__xludf.DUMMYFUNCTION("""COMPUTED_VALUE"""),1.84120833E8)</f>
        <v>184120833</v>
      </c>
      <c r="D132" s="84">
        <f>IFERROR(__xludf.DUMMYFUNCTION("""COMPUTED_VALUE"""),470013.28)</f>
        <v>470013.28</v>
      </c>
      <c r="H132" s="48"/>
      <c r="I132" s="38"/>
      <c r="J132" s="38"/>
      <c r="K132" s="38"/>
      <c r="M132" s="87"/>
      <c r="N132" s="38"/>
      <c r="Q132" s="38"/>
    </row>
    <row r="133">
      <c r="A133" s="46" t="str">
        <f>IFERROR(__xludf.DUMMYFUNCTION("""COMPUTED_VALUE"""),"Baby Food")</f>
        <v>Baby Food</v>
      </c>
      <c r="B133" s="46" t="str">
        <f>IFERROR(__xludf.DUMMYFUNCTION("""COMPUTED_VALUE"""),"Bosnia and Herzegovina")</f>
        <v>Bosnia and Herzegovina</v>
      </c>
      <c r="C133" s="46">
        <f>IFERROR(__xludf.DUMMYFUNCTION("""COMPUTED_VALUE"""),1.84412229E8)</f>
        <v>184412229</v>
      </c>
      <c r="D133" s="84">
        <f>IFERROR(__xludf.DUMMYFUNCTION("""COMPUTED_VALUE"""),135553.68)</f>
        <v>135553.68</v>
      </c>
      <c r="H133" s="48"/>
      <c r="I133" s="38"/>
      <c r="J133" s="38"/>
      <c r="K133" s="38"/>
      <c r="M133" s="87"/>
      <c r="N133" s="38"/>
      <c r="Q133" s="38"/>
    </row>
    <row r="134">
      <c r="A134" s="46" t="str">
        <f>IFERROR(__xludf.DUMMYFUNCTION("""COMPUTED_VALUE"""),"Vegetables")</f>
        <v>Vegetables</v>
      </c>
      <c r="B134" s="46" t="str">
        <f>IFERROR(__xludf.DUMMYFUNCTION("""COMPUTED_VALUE"""),"Bosnia and Herzegovina")</f>
        <v>Bosnia and Herzegovina</v>
      </c>
      <c r="C134" s="46">
        <f>IFERROR(__xludf.DUMMYFUNCTION("""COMPUTED_VALUE"""),1.84708344E8)</f>
        <v>184708344</v>
      </c>
      <c r="D134" s="84">
        <f>IFERROR(__xludf.DUMMYFUNCTION("""COMPUTED_VALUE"""),1256975.54)</f>
        <v>1256975.54</v>
      </c>
      <c r="H134" s="48"/>
      <c r="I134" s="38"/>
      <c r="J134" s="38"/>
      <c r="K134" s="38"/>
      <c r="M134" s="87"/>
      <c r="N134" s="38"/>
      <c r="Q134" s="38"/>
    </row>
    <row r="135">
      <c r="A135" s="46" t="str">
        <f>IFERROR(__xludf.DUMMYFUNCTION("""COMPUTED_VALUE"""),"Household")</f>
        <v>Household</v>
      </c>
      <c r="B135" s="46" t="str">
        <f>IFERROR(__xludf.DUMMYFUNCTION("""COMPUTED_VALUE"""),"Liechtenstein")</f>
        <v>Liechtenstein</v>
      </c>
      <c r="C135" s="46">
        <f>IFERROR(__xludf.DUMMYFUNCTION("""COMPUTED_VALUE"""),1.84976994E8)</f>
        <v>184976994</v>
      </c>
      <c r="D135" s="84">
        <f>IFERROR(__xludf.DUMMYFUNCTION("""COMPUTED_VALUE"""),5117611.66)</f>
        <v>5117611.66</v>
      </c>
      <c r="H135" s="48"/>
      <c r="I135" s="38"/>
      <c r="J135" s="38"/>
      <c r="K135" s="38"/>
      <c r="M135" s="87"/>
      <c r="N135" s="38"/>
      <c r="Q135" s="38"/>
    </row>
    <row r="136">
      <c r="A136" s="46" t="str">
        <f>IFERROR(__xludf.DUMMYFUNCTION("""COMPUTED_VALUE"""),"Personal Care")</f>
        <v>Personal Care</v>
      </c>
      <c r="B136" s="46" t="str">
        <f>IFERROR(__xludf.DUMMYFUNCTION("""COMPUTED_VALUE"""),"San Marino")</f>
        <v>San Marino</v>
      </c>
      <c r="C136" s="46">
        <f>IFERROR(__xludf.DUMMYFUNCTION("""COMPUTED_VALUE"""),1.8594731E8)</f>
        <v>185947310</v>
      </c>
      <c r="D136" s="84">
        <f>IFERROR(__xludf.DUMMYFUNCTION("""COMPUTED_VALUE"""),391977.08)</f>
        <v>391977.08</v>
      </c>
      <c r="H136" s="48"/>
      <c r="I136" s="38"/>
      <c r="J136" s="38"/>
      <c r="K136" s="38"/>
      <c r="M136" s="87"/>
      <c r="N136" s="38"/>
      <c r="Q136" s="38"/>
    </row>
    <row r="137">
      <c r="A137" s="46" t="str">
        <f>IFERROR(__xludf.DUMMYFUNCTION("""COMPUTED_VALUE"""),"Fruits")</f>
        <v>Fruits</v>
      </c>
      <c r="B137" s="46" t="str">
        <f>IFERROR(__xludf.DUMMYFUNCTION("""COMPUTED_VALUE"""),"Austria")</f>
        <v>Austria</v>
      </c>
      <c r="C137" s="46">
        <f>IFERROR(__xludf.DUMMYFUNCTION("""COMPUTED_VALUE"""),1.85960614E8)</f>
        <v>185960614</v>
      </c>
      <c r="D137" s="84">
        <f>IFERROR(__xludf.DUMMYFUNCTION("""COMPUTED_VALUE"""),81478.89)</f>
        <v>81478.89</v>
      </c>
      <c r="H137" s="48"/>
      <c r="I137" s="38"/>
      <c r="J137" s="38"/>
      <c r="K137" s="38"/>
      <c r="M137" s="87"/>
      <c r="N137" s="38"/>
      <c r="Q137" s="38"/>
    </row>
    <row r="138">
      <c r="A138" s="46" t="str">
        <f>IFERROR(__xludf.DUMMYFUNCTION("""COMPUTED_VALUE"""),"Vegetables")</f>
        <v>Vegetables</v>
      </c>
      <c r="B138" s="46" t="str">
        <f>IFERROR(__xludf.DUMMYFUNCTION("""COMPUTED_VALUE"""),"Denmark")</f>
        <v>Denmark</v>
      </c>
      <c r="C138" s="46">
        <f>IFERROR(__xludf.DUMMYFUNCTION("""COMPUTED_VALUE"""),1.8607949E8)</f>
        <v>186079490</v>
      </c>
      <c r="D138" s="84">
        <f>IFERROR(__xludf.DUMMYFUNCTION("""COMPUTED_VALUE"""),602528.66)</f>
        <v>602528.66</v>
      </c>
      <c r="H138" s="48"/>
      <c r="I138" s="38"/>
      <c r="J138" s="38"/>
      <c r="K138" s="38"/>
      <c r="M138" s="87"/>
      <c r="N138" s="38"/>
      <c r="Q138" s="38"/>
    </row>
    <row r="139">
      <c r="A139" s="46" t="str">
        <f>IFERROR(__xludf.DUMMYFUNCTION("""COMPUTED_VALUE"""),"Office Supplies")</f>
        <v>Office Supplies</v>
      </c>
      <c r="B139" s="46" t="str">
        <f>IFERROR(__xludf.DUMMYFUNCTION("""COMPUTED_VALUE"""),"Liechtenstein")</f>
        <v>Liechtenstein</v>
      </c>
      <c r="C139" s="46">
        <f>IFERROR(__xludf.DUMMYFUNCTION("""COMPUTED_VALUE"""),1.86597907E8)</f>
        <v>186597907</v>
      </c>
      <c r="D139" s="84">
        <f>IFERROR(__xludf.DUMMYFUNCTION("""COMPUTED_VALUE"""),4768159.62)</f>
        <v>4768159.62</v>
      </c>
      <c r="H139" s="48"/>
      <c r="I139" s="38"/>
      <c r="J139" s="38"/>
      <c r="K139" s="38"/>
      <c r="M139" s="87"/>
      <c r="N139" s="38"/>
      <c r="Q139" s="38"/>
    </row>
    <row r="140">
      <c r="A140" s="46" t="str">
        <f>IFERROR(__xludf.DUMMYFUNCTION("""COMPUTED_VALUE"""),"Cosmetics")</f>
        <v>Cosmetics</v>
      </c>
      <c r="B140" s="46" t="str">
        <f>IFERROR(__xludf.DUMMYFUNCTION("""COMPUTED_VALUE"""),"Iceland")</f>
        <v>Iceland</v>
      </c>
      <c r="C140" s="46">
        <f>IFERROR(__xludf.DUMMYFUNCTION("""COMPUTED_VALUE"""),1.86847674E8)</f>
        <v>186847674</v>
      </c>
      <c r="D140" s="84">
        <f>IFERROR(__xludf.DUMMYFUNCTION("""COMPUTED_VALUE"""),539504.7999999999)</f>
        <v>539504.8</v>
      </c>
      <c r="H140" s="48"/>
      <c r="I140" s="38"/>
      <c r="J140" s="38"/>
      <c r="K140" s="38"/>
      <c r="M140" s="87"/>
      <c r="N140" s="38"/>
      <c r="Q140" s="38"/>
    </row>
    <row r="141">
      <c r="A141" s="46" t="str">
        <f>IFERROR(__xludf.DUMMYFUNCTION("""COMPUTED_VALUE"""),"Fruits")</f>
        <v>Fruits</v>
      </c>
      <c r="B141" s="46" t="str">
        <f>IFERROR(__xludf.DUMMYFUNCTION("""COMPUTED_VALUE"""),"Belgium")</f>
        <v>Belgium</v>
      </c>
      <c r="C141" s="46">
        <f>IFERROR(__xludf.DUMMYFUNCTION("""COMPUTED_VALUE"""),1.8710345E8)</f>
        <v>187103450</v>
      </c>
      <c r="D141" s="84">
        <f>IFERROR(__xludf.DUMMYFUNCTION("""COMPUTED_VALUE"""),64600.92)</f>
        <v>64600.92</v>
      </c>
      <c r="H141" s="48"/>
      <c r="I141" s="38"/>
      <c r="J141" s="38"/>
      <c r="K141" s="38"/>
      <c r="M141" s="87"/>
      <c r="N141" s="38"/>
      <c r="Q141" s="38"/>
    </row>
    <row r="142">
      <c r="A142" s="46" t="str">
        <f>IFERROR(__xludf.DUMMYFUNCTION("""COMPUTED_VALUE"""),"Clothes")</f>
        <v>Clothes</v>
      </c>
      <c r="B142" s="46" t="str">
        <f>IFERROR(__xludf.DUMMYFUNCTION("""COMPUTED_VALUE"""),"Slovenia")</f>
        <v>Slovenia</v>
      </c>
      <c r="C142" s="46">
        <f>IFERROR(__xludf.DUMMYFUNCTION("""COMPUTED_VALUE"""),1.88866841E8)</f>
        <v>188866841</v>
      </c>
      <c r="D142" s="84">
        <f>IFERROR(__xludf.DUMMYFUNCTION("""COMPUTED_VALUE"""),956200.0)</f>
        <v>956200</v>
      </c>
      <c r="H142" s="48"/>
      <c r="I142" s="38"/>
      <c r="J142" s="38"/>
      <c r="K142" s="38"/>
      <c r="M142" s="87"/>
      <c r="N142" s="38"/>
      <c r="Q142" s="38"/>
    </row>
    <row r="143">
      <c r="A143" s="46" t="str">
        <f>IFERROR(__xludf.DUMMYFUNCTION("""COMPUTED_VALUE"""),"Office Supplies")</f>
        <v>Office Supplies</v>
      </c>
      <c r="B143" s="46" t="str">
        <f>IFERROR(__xludf.DUMMYFUNCTION("""COMPUTED_VALUE"""),"Czech Republic")</f>
        <v>Czech Republic</v>
      </c>
      <c r="C143" s="46">
        <f>IFERROR(__xludf.DUMMYFUNCTION("""COMPUTED_VALUE"""),1.89108455E8)</f>
        <v>189108455</v>
      </c>
      <c r="D143" s="84">
        <f>IFERROR(__xludf.DUMMYFUNCTION("""COMPUTED_VALUE"""),162151.29)</f>
        <v>162151.29</v>
      </c>
      <c r="H143" s="48"/>
      <c r="I143" s="38"/>
      <c r="J143" s="38"/>
      <c r="K143" s="38"/>
      <c r="M143" s="87"/>
      <c r="N143" s="38"/>
      <c r="Q143" s="38"/>
    </row>
    <row r="144">
      <c r="A144" s="46" t="str">
        <f>IFERROR(__xludf.DUMMYFUNCTION("""COMPUTED_VALUE"""),"Snacks")</f>
        <v>Snacks</v>
      </c>
      <c r="B144" s="46" t="str">
        <f>IFERROR(__xludf.DUMMYFUNCTION("""COMPUTED_VALUE"""),"Russia")</f>
        <v>Russia</v>
      </c>
      <c r="C144" s="46">
        <f>IFERROR(__xludf.DUMMYFUNCTION("""COMPUTED_VALUE"""),1.89667212E8)</f>
        <v>189667212</v>
      </c>
      <c r="D144" s="84">
        <f>IFERROR(__xludf.DUMMYFUNCTION("""COMPUTED_VALUE"""),854142.8400000001)</f>
        <v>854142.84</v>
      </c>
      <c r="H144" s="48"/>
      <c r="I144" s="38"/>
      <c r="J144" s="38"/>
      <c r="K144" s="38"/>
      <c r="M144" s="87"/>
      <c r="N144" s="38"/>
      <c r="Q144" s="38"/>
    </row>
    <row r="145">
      <c r="A145" s="46" t="str">
        <f>IFERROR(__xludf.DUMMYFUNCTION("""COMPUTED_VALUE"""),"Beverages")</f>
        <v>Beverages</v>
      </c>
      <c r="B145" s="46" t="str">
        <f>IFERROR(__xludf.DUMMYFUNCTION("""COMPUTED_VALUE"""),"Croatia")</f>
        <v>Croatia</v>
      </c>
      <c r="C145" s="46">
        <f>IFERROR(__xludf.DUMMYFUNCTION("""COMPUTED_VALUE"""),1.89924275E8)</f>
        <v>189924275</v>
      </c>
      <c r="D145" s="84">
        <f>IFERROR(__xludf.DUMMYFUNCTION("""COMPUTED_VALUE"""),79146.6)</f>
        <v>79146.6</v>
      </c>
      <c r="H145" s="48"/>
      <c r="I145" s="38"/>
      <c r="J145" s="38"/>
      <c r="K145" s="38"/>
      <c r="M145" s="87"/>
      <c r="N145" s="38"/>
      <c r="Q145" s="38"/>
    </row>
    <row r="146">
      <c r="A146" s="46" t="str">
        <f>IFERROR(__xludf.DUMMYFUNCTION("""COMPUTED_VALUE"""),"Clothes")</f>
        <v>Clothes</v>
      </c>
      <c r="B146" s="46" t="str">
        <f>IFERROR(__xludf.DUMMYFUNCTION("""COMPUTED_VALUE"""),"Andorra")</f>
        <v>Andorra</v>
      </c>
      <c r="C146" s="46">
        <f>IFERROR(__xludf.DUMMYFUNCTION("""COMPUTED_VALUE"""),1.9000281E8)</f>
        <v>190002810</v>
      </c>
      <c r="D146" s="84">
        <f>IFERROR(__xludf.DUMMYFUNCTION("""COMPUTED_VALUE"""),536455.52)</f>
        <v>536455.52</v>
      </c>
      <c r="H146" s="48"/>
      <c r="I146" s="38"/>
      <c r="J146" s="38"/>
      <c r="K146" s="38"/>
      <c r="M146" s="87"/>
      <c r="N146" s="38"/>
      <c r="Q146" s="38"/>
    </row>
    <row r="147">
      <c r="A147" s="46" t="str">
        <f>IFERROR(__xludf.DUMMYFUNCTION("""COMPUTED_VALUE"""),"Beverages")</f>
        <v>Beverages</v>
      </c>
      <c r="B147" s="46" t="str">
        <f>IFERROR(__xludf.DUMMYFUNCTION("""COMPUTED_VALUE"""),"Croatia")</f>
        <v>Croatia</v>
      </c>
      <c r="C147" s="46">
        <f>IFERROR(__xludf.DUMMYFUNCTION("""COMPUTED_VALUE"""),1.92236125E8)</f>
        <v>192236125</v>
      </c>
      <c r="D147" s="84">
        <f>IFERROR(__xludf.DUMMYFUNCTION("""COMPUTED_VALUE"""),275020.2)</f>
        <v>275020.2</v>
      </c>
      <c r="H147" s="48"/>
      <c r="I147" s="38"/>
      <c r="J147" s="38"/>
      <c r="K147" s="38"/>
      <c r="M147" s="87"/>
      <c r="N147" s="38"/>
      <c r="Q147" s="38"/>
    </row>
    <row r="148">
      <c r="A148" s="46" t="str">
        <f>IFERROR(__xludf.DUMMYFUNCTION("""COMPUTED_VALUE"""),"Fruits")</f>
        <v>Fruits</v>
      </c>
      <c r="B148" s="46" t="str">
        <f>IFERROR(__xludf.DUMMYFUNCTION("""COMPUTED_VALUE"""),"Czech Republic")</f>
        <v>Czech Republic</v>
      </c>
      <c r="C148" s="46">
        <f>IFERROR(__xludf.DUMMYFUNCTION("""COMPUTED_VALUE"""),1.92589318E8)</f>
        <v>192589318</v>
      </c>
      <c r="D148" s="84">
        <f>IFERROR(__xludf.DUMMYFUNCTION("""COMPUTED_VALUE"""),2929.62)</f>
        <v>2929.62</v>
      </c>
      <c r="H148" s="48"/>
      <c r="I148" s="38"/>
      <c r="J148" s="38"/>
      <c r="K148" s="38"/>
      <c r="M148" s="87"/>
      <c r="N148" s="38"/>
      <c r="Q148" s="38"/>
    </row>
    <row r="149">
      <c r="A149" s="46" t="str">
        <f>IFERROR(__xludf.DUMMYFUNCTION("""COMPUTED_VALUE"""),"Beverages")</f>
        <v>Beverages</v>
      </c>
      <c r="B149" s="46" t="str">
        <f>IFERROR(__xludf.DUMMYFUNCTION("""COMPUTED_VALUE"""),"Austria")</f>
        <v>Austria</v>
      </c>
      <c r="C149" s="46">
        <f>IFERROR(__xludf.DUMMYFUNCTION("""COMPUTED_VALUE"""),1.92922341E8)</f>
        <v>192922341</v>
      </c>
      <c r="D149" s="84">
        <f>IFERROR(__xludf.DUMMYFUNCTION("""COMPUTED_VALUE"""),420549.35000000003)</f>
        <v>420549.35</v>
      </c>
      <c r="H149" s="48"/>
      <c r="I149" s="38"/>
      <c r="J149" s="38"/>
      <c r="K149" s="38"/>
      <c r="M149" s="87"/>
      <c r="N149" s="38"/>
      <c r="Q149" s="38"/>
    </row>
    <row r="150">
      <c r="A150" s="46" t="str">
        <f>IFERROR(__xludf.DUMMYFUNCTION("""COMPUTED_VALUE"""),"Cosmetics")</f>
        <v>Cosmetics</v>
      </c>
      <c r="B150" s="46" t="str">
        <f>IFERROR(__xludf.DUMMYFUNCTION("""COMPUTED_VALUE"""),"Belgium")</f>
        <v>Belgium</v>
      </c>
      <c r="C150" s="46">
        <f>IFERROR(__xludf.DUMMYFUNCTION("""COMPUTED_VALUE"""),1.93472945E8)</f>
        <v>193472945</v>
      </c>
      <c r="D150" s="84">
        <f>IFERROR(__xludf.DUMMYFUNCTION("""COMPUTED_VALUE"""),786522.7999999999)</f>
        <v>786522.8</v>
      </c>
      <c r="H150" s="48"/>
      <c r="I150" s="38"/>
      <c r="J150" s="38"/>
      <c r="K150" s="38"/>
      <c r="M150" s="87"/>
      <c r="N150" s="38"/>
      <c r="Q150" s="38"/>
    </row>
    <row r="151">
      <c r="A151" s="46" t="str">
        <f>IFERROR(__xludf.DUMMYFUNCTION("""COMPUTED_VALUE"""),"Household")</f>
        <v>Household</v>
      </c>
      <c r="B151" s="46" t="str">
        <f>IFERROR(__xludf.DUMMYFUNCTION("""COMPUTED_VALUE"""),"Russia")</f>
        <v>Russia</v>
      </c>
      <c r="C151" s="46">
        <f>IFERROR(__xludf.DUMMYFUNCTION("""COMPUTED_VALUE"""),1.94176757E8)</f>
        <v>194176757</v>
      </c>
      <c r="D151" s="84">
        <f>IFERROR(__xludf.DUMMYFUNCTION("""COMPUTED_VALUE"""),48115.44)</f>
        <v>48115.44</v>
      </c>
      <c r="H151" s="48"/>
      <c r="I151" s="38"/>
      <c r="J151" s="38"/>
      <c r="K151" s="38"/>
      <c r="M151" s="87"/>
      <c r="N151" s="38"/>
      <c r="Q151" s="38"/>
    </row>
    <row r="152">
      <c r="A152" s="46" t="str">
        <f>IFERROR(__xludf.DUMMYFUNCTION("""COMPUTED_VALUE"""),"Cereal")</f>
        <v>Cereal</v>
      </c>
      <c r="B152" s="46" t="str">
        <f>IFERROR(__xludf.DUMMYFUNCTION("""COMPUTED_VALUE"""),"Liechtenstein")</f>
        <v>Liechtenstein</v>
      </c>
      <c r="C152" s="46">
        <f>IFERROR(__xludf.DUMMYFUNCTION("""COMPUTED_VALUE"""),1.94785726E8)</f>
        <v>194785726</v>
      </c>
      <c r="D152" s="84">
        <f>IFERROR(__xludf.DUMMYFUNCTION("""COMPUTED_VALUE"""),57596.0)</f>
        <v>57596</v>
      </c>
      <c r="H152" s="48"/>
      <c r="I152" s="38"/>
      <c r="J152" s="38"/>
      <c r="K152" s="38"/>
      <c r="M152" s="87"/>
      <c r="N152" s="38"/>
      <c r="Q152" s="38"/>
    </row>
    <row r="153">
      <c r="A153" s="46" t="str">
        <f>IFERROR(__xludf.DUMMYFUNCTION("""COMPUTED_VALUE"""),"Personal Care")</f>
        <v>Personal Care</v>
      </c>
      <c r="B153" s="46" t="str">
        <f>IFERROR(__xludf.DUMMYFUNCTION("""COMPUTED_VALUE"""),"Luxembourg")</f>
        <v>Luxembourg</v>
      </c>
      <c r="C153" s="46">
        <f>IFERROR(__xludf.DUMMYFUNCTION("""COMPUTED_VALUE"""),1.94858253E8)</f>
        <v>194858253</v>
      </c>
      <c r="D153" s="84">
        <f>IFERROR(__xludf.DUMMYFUNCTION("""COMPUTED_VALUE"""),142373.66)</f>
        <v>142373.66</v>
      </c>
      <c r="H153" s="48"/>
      <c r="I153" s="38"/>
      <c r="J153" s="38"/>
      <c r="K153" s="38"/>
      <c r="M153" s="87"/>
      <c r="N153" s="38"/>
      <c r="Q153" s="38"/>
    </row>
    <row r="154">
      <c r="A154" s="46" t="str">
        <f>IFERROR(__xludf.DUMMYFUNCTION("""COMPUTED_VALUE"""),"Baby Food")</f>
        <v>Baby Food</v>
      </c>
      <c r="B154" s="46" t="str">
        <f>IFERROR(__xludf.DUMMYFUNCTION("""COMPUTED_VALUE"""),"Armenia")</f>
        <v>Armenia</v>
      </c>
      <c r="C154" s="46">
        <f>IFERROR(__xludf.DUMMYFUNCTION("""COMPUTED_VALUE"""),1.94922626E8)</f>
        <v>194922626</v>
      </c>
      <c r="D154" s="84">
        <f>IFERROR(__xludf.DUMMYFUNCTION("""COMPUTED_VALUE"""),201926.48)</f>
        <v>201926.48</v>
      </c>
      <c r="H154" s="48"/>
      <c r="I154" s="38"/>
      <c r="J154" s="38"/>
      <c r="K154" s="38"/>
      <c r="M154" s="87"/>
      <c r="N154" s="38"/>
      <c r="Q154" s="38"/>
    </row>
    <row r="155">
      <c r="A155" s="46" t="str">
        <f>IFERROR(__xludf.DUMMYFUNCTION("""COMPUTED_VALUE"""),"Personal Care")</f>
        <v>Personal Care</v>
      </c>
      <c r="B155" s="46" t="str">
        <f>IFERROR(__xludf.DUMMYFUNCTION("""COMPUTED_VALUE"""),"Finland")</f>
        <v>Finland</v>
      </c>
      <c r="C155" s="46">
        <f>IFERROR(__xludf.DUMMYFUNCTION("""COMPUTED_VALUE"""),1.95171105E8)</f>
        <v>195171105</v>
      </c>
      <c r="D155" s="84">
        <f>IFERROR(__xludf.DUMMYFUNCTION("""COMPUTED_VALUE"""),353237.06)</f>
        <v>353237.06</v>
      </c>
      <c r="H155" s="48"/>
      <c r="I155" s="38"/>
      <c r="J155" s="38"/>
      <c r="K155" s="38"/>
      <c r="M155" s="87"/>
      <c r="N155" s="38"/>
      <c r="Q155" s="38"/>
    </row>
    <row r="156">
      <c r="A156" s="46" t="str">
        <f>IFERROR(__xludf.DUMMYFUNCTION("""COMPUTED_VALUE"""),"Cereal")</f>
        <v>Cereal</v>
      </c>
      <c r="B156" s="46" t="str">
        <f>IFERROR(__xludf.DUMMYFUNCTION("""COMPUTED_VALUE"""),"Estonia")</f>
        <v>Estonia</v>
      </c>
      <c r="C156" s="46">
        <f>IFERROR(__xludf.DUMMYFUNCTION("""COMPUTED_VALUE"""),1.95212733E8)</f>
        <v>195212733</v>
      </c>
      <c r="D156" s="84">
        <f>IFERROR(__xludf.DUMMYFUNCTION("""COMPUTED_VALUE"""),1366053.7)</f>
        <v>1366053.7</v>
      </c>
      <c r="H156" s="48"/>
      <c r="I156" s="38"/>
      <c r="J156" s="38"/>
      <c r="K156" s="38"/>
      <c r="M156" s="87"/>
      <c r="N156" s="38"/>
      <c r="Q156" s="38"/>
    </row>
    <row r="157">
      <c r="A157" s="46" t="str">
        <f>IFERROR(__xludf.DUMMYFUNCTION("""COMPUTED_VALUE"""),"Household")</f>
        <v>Household</v>
      </c>
      <c r="B157" s="46" t="str">
        <f>IFERROR(__xludf.DUMMYFUNCTION("""COMPUTED_VALUE"""),"Greece")</f>
        <v>Greece</v>
      </c>
      <c r="C157" s="46">
        <f>IFERROR(__xludf.DUMMYFUNCTION("""COMPUTED_VALUE"""),1.95259082E8)</f>
        <v>195259082</v>
      </c>
      <c r="D157" s="84">
        <f>IFERROR(__xludf.DUMMYFUNCTION("""COMPUTED_VALUE"""),237904.12)</f>
        <v>237904.12</v>
      </c>
      <c r="H157" s="48"/>
      <c r="I157" s="38"/>
      <c r="J157" s="38"/>
      <c r="K157" s="38"/>
      <c r="M157" s="87"/>
      <c r="N157" s="38"/>
      <c r="Q157" s="38"/>
    </row>
    <row r="158">
      <c r="A158" s="46" t="str">
        <f>IFERROR(__xludf.DUMMYFUNCTION("""COMPUTED_VALUE"""),"Snacks")</f>
        <v>Snacks</v>
      </c>
      <c r="B158" s="46" t="str">
        <f>IFERROR(__xludf.DUMMYFUNCTION("""COMPUTED_VALUE"""),"Armenia")</f>
        <v>Armenia</v>
      </c>
      <c r="C158" s="46">
        <f>IFERROR(__xludf.DUMMYFUNCTION("""COMPUTED_VALUE"""),1.96346127E8)</f>
        <v>196346127</v>
      </c>
      <c r="D158" s="84">
        <f>IFERROR(__xludf.DUMMYFUNCTION("""COMPUTED_VALUE"""),310805.46)</f>
        <v>310805.46</v>
      </c>
      <c r="H158" s="48"/>
      <c r="I158" s="38"/>
      <c r="J158" s="38"/>
      <c r="K158" s="38"/>
      <c r="M158" s="87"/>
      <c r="N158" s="38"/>
      <c r="Q158" s="38"/>
    </row>
    <row r="159">
      <c r="A159" s="46" t="str">
        <f>IFERROR(__xludf.DUMMYFUNCTION("""COMPUTED_VALUE"""),"Meat")</f>
        <v>Meat</v>
      </c>
      <c r="B159" s="46" t="str">
        <f>IFERROR(__xludf.DUMMYFUNCTION("""COMPUTED_VALUE"""),"Denmark")</f>
        <v>Denmark</v>
      </c>
      <c r="C159" s="46">
        <f>IFERROR(__xludf.DUMMYFUNCTION("""COMPUTED_VALUE"""),1.98537814E8)</f>
        <v>198537814</v>
      </c>
      <c r="D159" s="84">
        <f>IFERROR(__xludf.DUMMYFUNCTION("""COMPUTED_VALUE"""),255665.34)</f>
        <v>255665.34</v>
      </c>
      <c r="H159" s="48"/>
      <c r="I159" s="38"/>
      <c r="J159" s="38"/>
      <c r="K159" s="38"/>
      <c r="M159" s="87"/>
      <c r="N159" s="38"/>
      <c r="Q159" s="38"/>
    </row>
    <row r="160">
      <c r="A160" s="46" t="str">
        <f>IFERROR(__xludf.DUMMYFUNCTION("""COMPUTED_VALUE"""),"Baby Food")</f>
        <v>Baby Food</v>
      </c>
      <c r="B160" s="46" t="str">
        <f>IFERROR(__xludf.DUMMYFUNCTION("""COMPUTED_VALUE"""),"Macedonia")</f>
        <v>Macedonia</v>
      </c>
      <c r="C160" s="46">
        <f>IFERROR(__xludf.DUMMYFUNCTION("""COMPUTED_VALUE"""),2.0035485E8)</f>
        <v>200354850</v>
      </c>
      <c r="D160" s="84">
        <f>IFERROR(__xludf.DUMMYFUNCTION("""COMPUTED_VALUE"""),2120610.96)</f>
        <v>2120610.96</v>
      </c>
      <c r="H160" s="48"/>
      <c r="I160" s="38"/>
      <c r="J160" s="38"/>
      <c r="K160" s="38"/>
      <c r="M160" s="87"/>
      <c r="N160" s="38"/>
      <c r="Q160" s="38"/>
    </row>
    <row r="161">
      <c r="A161" s="46" t="str">
        <f>IFERROR(__xludf.DUMMYFUNCTION("""COMPUTED_VALUE"""),"Household")</f>
        <v>Household</v>
      </c>
      <c r="B161" s="46" t="str">
        <f>IFERROR(__xludf.DUMMYFUNCTION("""COMPUTED_VALUE"""),"Portugal")</f>
        <v>Portugal</v>
      </c>
      <c r="C161" s="46">
        <f>IFERROR(__xludf.DUMMYFUNCTION("""COMPUTED_VALUE"""),2.00432097E8)</f>
        <v>200432097</v>
      </c>
      <c r="D161" s="84">
        <f>IFERROR(__xludf.DUMMYFUNCTION("""COMPUTED_VALUE"""),779871.09)</f>
        <v>779871.09</v>
      </c>
      <c r="H161" s="48"/>
      <c r="I161" s="38"/>
      <c r="J161" s="38"/>
      <c r="K161" s="38"/>
      <c r="M161" s="87"/>
      <c r="N161" s="38"/>
      <c r="Q161" s="38"/>
    </row>
    <row r="162">
      <c r="A162" s="46" t="str">
        <f>IFERROR(__xludf.DUMMYFUNCTION("""COMPUTED_VALUE"""),"Office Supplies")</f>
        <v>Office Supplies</v>
      </c>
      <c r="B162" s="46" t="str">
        <f>IFERROR(__xludf.DUMMYFUNCTION("""COMPUTED_VALUE"""),"Bulgaria")</f>
        <v>Bulgaria</v>
      </c>
      <c r="C162" s="46">
        <f>IFERROR(__xludf.DUMMYFUNCTION("""COMPUTED_VALUE"""),2.00507199E8)</f>
        <v>200507199</v>
      </c>
      <c r="D162" s="84">
        <f>IFERROR(__xludf.DUMMYFUNCTION("""COMPUTED_VALUE"""),2208253.1100000003)</f>
        <v>2208253.11</v>
      </c>
      <c r="H162" s="48"/>
      <c r="I162" s="38"/>
      <c r="J162" s="38"/>
      <c r="K162" s="38"/>
      <c r="M162" s="87"/>
      <c r="N162" s="38"/>
      <c r="Q162" s="38"/>
    </row>
    <row r="163">
      <c r="A163" s="46" t="str">
        <f>IFERROR(__xludf.DUMMYFUNCTION("""COMPUTED_VALUE"""),"Snacks")</f>
        <v>Snacks</v>
      </c>
      <c r="B163" s="46" t="str">
        <f>IFERROR(__xludf.DUMMYFUNCTION("""COMPUTED_VALUE"""),"San Marino")</f>
        <v>San Marino</v>
      </c>
      <c r="C163" s="46">
        <f>IFERROR(__xludf.DUMMYFUNCTION("""COMPUTED_VALUE"""),2.01294267E8)</f>
        <v>201294267</v>
      </c>
      <c r="D163" s="84">
        <f>IFERROR(__xludf.DUMMYFUNCTION("""COMPUTED_VALUE"""),961559.16)</f>
        <v>961559.16</v>
      </c>
      <c r="H163" s="48"/>
      <c r="I163" s="38"/>
      <c r="J163" s="38"/>
      <c r="K163" s="38"/>
      <c r="M163" s="87"/>
      <c r="N163" s="38"/>
      <c r="Q163" s="38"/>
    </row>
    <row r="164">
      <c r="A164" s="46" t="str">
        <f>IFERROR(__xludf.DUMMYFUNCTION("""COMPUTED_VALUE"""),"Cosmetics")</f>
        <v>Cosmetics</v>
      </c>
      <c r="B164" s="46" t="str">
        <f>IFERROR(__xludf.DUMMYFUNCTION("""COMPUTED_VALUE"""),"Ukraine")</f>
        <v>Ukraine</v>
      </c>
      <c r="C164" s="46">
        <f>IFERROR(__xludf.DUMMYFUNCTION("""COMPUTED_VALUE"""),2.02047002E8)</f>
        <v>202047002</v>
      </c>
      <c r="D164" s="84">
        <f>IFERROR(__xludf.DUMMYFUNCTION("""COMPUTED_VALUE"""),3957971.6)</f>
        <v>3957971.6</v>
      </c>
      <c r="H164" s="48"/>
      <c r="I164" s="38"/>
      <c r="J164" s="38"/>
      <c r="K164" s="38"/>
      <c r="M164" s="87"/>
      <c r="N164" s="38"/>
      <c r="Q164" s="38"/>
    </row>
    <row r="165">
      <c r="A165" s="46" t="str">
        <f>IFERROR(__xludf.DUMMYFUNCTION("""COMPUTED_VALUE"""),"Baby Food")</f>
        <v>Baby Food</v>
      </c>
      <c r="B165" s="46" t="str">
        <f>IFERROR(__xludf.DUMMYFUNCTION("""COMPUTED_VALUE"""),"Georgia")</f>
        <v>Georgia</v>
      </c>
      <c r="C165" s="46">
        <f>IFERROR(__xludf.DUMMYFUNCTION("""COMPUTED_VALUE"""),2.0303663E8)</f>
        <v>203036630</v>
      </c>
      <c r="D165" s="84">
        <f>IFERROR(__xludf.DUMMYFUNCTION("""COMPUTED_VALUE"""),486308.4)</f>
        <v>486308.4</v>
      </c>
      <c r="H165" s="48"/>
      <c r="I165" s="38"/>
      <c r="J165" s="38"/>
      <c r="K165" s="38"/>
      <c r="M165" s="87"/>
      <c r="N165" s="38"/>
      <c r="Q165" s="38"/>
    </row>
    <row r="166">
      <c r="A166" s="46" t="str">
        <f>IFERROR(__xludf.DUMMYFUNCTION("""COMPUTED_VALUE"""),"Cereal")</f>
        <v>Cereal</v>
      </c>
      <c r="B166" s="46" t="str">
        <f>IFERROR(__xludf.DUMMYFUNCTION("""COMPUTED_VALUE"""),"Iceland")</f>
        <v>Iceland</v>
      </c>
      <c r="C166" s="46">
        <f>IFERROR(__xludf.DUMMYFUNCTION("""COMPUTED_VALUE"""),2.03955876E8)</f>
        <v>203955876</v>
      </c>
      <c r="D166" s="84">
        <f>IFERROR(__xludf.DUMMYFUNCTION("""COMPUTED_VALUE"""),808606.7)</f>
        <v>808606.7</v>
      </c>
      <c r="H166" s="48"/>
      <c r="I166" s="38"/>
      <c r="J166" s="38"/>
      <c r="K166" s="38"/>
      <c r="M166" s="87"/>
      <c r="N166" s="38"/>
      <c r="Q166" s="38"/>
    </row>
    <row r="167">
      <c r="A167" s="46" t="str">
        <f>IFERROR(__xludf.DUMMYFUNCTION("""COMPUTED_VALUE"""),"Office Supplies")</f>
        <v>Office Supplies</v>
      </c>
      <c r="B167" s="46" t="str">
        <f>IFERROR(__xludf.DUMMYFUNCTION("""COMPUTED_VALUE"""),"Hungary")</f>
        <v>Hungary</v>
      </c>
      <c r="C167" s="46">
        <f>IFERROR(__xludf.DUMMYFUNCTION("""COMPUTED_VALUE"""),2.04392325E8)</f>
        <v>204392325</v>
      </c>
      <c r="D167" s="84">
        <f>IFERROR(__xludf.DUMMYFUNCTION("""COMPUTED_VALUE"""),2009634.06)</f>
        <v>2009634.06</v>
      </c>
      <c r="H167" s="48"/>
      <c r="I167" s="38"/>
      <c r="J167" s="38"/>
      <c r="K167" s="38"/>
      <c r="M167" s="87"/>
      <c r="N167" s="38"/>
      <c r="Q167" s="38"/>
    </row>
    <row r="168">
      <c r="A168" s="46" t="str">
        <f>IFERROR(__xludf.DUMMYFUNCTION("""COMPUTED_VALUE"""),"Vegetables")</f>
        <v>Vegetables</v>
      </c>
      <c r="B168" s="46" t="str">
        <f>IFERROR(__xludf.DUMMYFUNCTION("""COMPUTED_VALUE"""),"Germany")</f>
        <v>Germany</v>
      </c>
      <c r="C168" s="46">
        <f>IFERROR(__xludf.DUMMYFUNCTION("""COMPUTED_VALUE"""),2.04418504E8)</f>
        <v>204418504</v>
      </c>
      <c r="D168" s="84">
        <f>IFERROR(__xludf.DUMMYFUNCTION("""COMPUTED_VALUE"""),128331.98)</f>
        <v>128331.98</v>
      </c>
      <c r="H168" s="48"/>
      <c r="I168" s="38"/>
      <c r="J168" s="38"/>
      <c r="K168" s="38"/>
      <c r="M168" s="87"/>
      <c r="N168" s="38"/>
      <c r="Q168" s="38"/>
    </row>
    <row r="169">
      <c r="A169" s="46" t="str">
        <f>IFERROR(__xludf.DUMMYFUNCTION("""COMPUTED_VALUE"""),"Cosmetics")</f>
        <v>Cosmetics</v>
      </c>
      <c r="B169" s="46" t="str">
        <f>IFERROR(__xludf.DUMMYFUNCTION("""COMPUTED_VALUE"""),"Bosnia and Herzegovina")</f>
        <v>Bosnia and Herzegovina</v>
      </c>
      <c r="C169" s="46">
        <f>IFERROR(__xludf.DUMMYFUNCTION("""COMPUTED_VALUE"""),2.05354487E8)</f>
        <v>205354487</v>
      </c>
      <c r="D169" s="84">
        <f>IFERROR(__xludf.DUMMYFUNCTION("""COMPUTED_VALUE"""),3414969.1999999997)</f>
        <v>3414969.2</v>
      </c>
      <c r="H169" s="48"/>
      <c r="I169" s="38"/>
      <c r="J169" s="38"/>
      <c r="K169" s="38"/>
      <c r="M169" s="87"/>
      <c r="N169" s="38"/>
      <c r="Q169" s="38"/>
    </row>
    <row r="170">
      <c r="A170" s="46" t="str">
        <f>IFERROR(__xludf.DUMMYFUNCTION("""COMPUTED_VALUE"""),"Cosmetics")</f>
        <v>Cosmetics</v>
      </c>
      <c r="B170" s="46" t="str">
        <f>IFERROR(__xludf.DUMMYFUNCTION("""COMPUTED_VALUE"""),"Albania")</f>
        <v>Albania</v>
      </c>
      <c r="C170" s="46">
        <f>IFERROR(__xludf.DUMMYFUNCTION("""COMPUTED_VALUE"""),2.08238399E8)</f>
        <v>208238399</v>
      </c>
      <c r="D170" s="84">
        <f>IFERROR(__xludf.DUMMYFUNCTION("""COMPUTED_VALUE"""),535132.7999999999)</f>
        <v>535132.8</v>
      </c>
      <c r="H170" s="48"/>
      <c r="I170" s="38"/>
      <c r="J170" s="38"/>
      <c r="K170" s="38"/>
      <c r="M170" s="87"/>
      <c r="N170" s="38"/>
      <c r="Q170" s="38"/>
    </row>
    <row r="171">
      <c r="A171" s="46" t="str">
        <f>IFERROR(__xludf.DUMMYFUNCTION("""COMPUTED_VALUE"""),"Office Supplies")</f>
        <v>Office Supplies</v>
      </c>
      <c r="B171" s="46" t="str">
        <f>IFERROR(__xludf.DUMMYFUNCTION("""COMPUTED_VALUE"""),"Poland")</f>
        <v>Poland</v>
      </c>
      <c r="C171" s="46">
        <f>IFERROR(__xludf.DUMMYFUNCTION("""COMPUTED_VALUE"""),2.08365428E8)</f>
        <v>208365428</v>
      </c>
      <c r="D171" s="84">
        <f>IFERROR(__xludf.DUMMYFUNCTION("""COMPUTED_VALUE"""),5740416.15)</f>
        <v>5740416.15</v>
      </c>
      <c r="H171" s="48"/>
      <c r="I171" s="38"/>
      <c r="J171" s="38"/>
      <c r="K171" s="38"/>
      <c r="M171" s="87"/>
      <c r="N171" s="38"/>
      <c r="Q171" s="38"/>
    </row>
    <row r="172">
      <c r="A172" s="46" t="str">
        <f>IFERROR(__xludf.DUMMYFUNCTION("""COMPUTED_VALUE"""),"Cereal")</f>
        <v>Cereal</v>
      </c>
      <c r="B172" s="46" t="str">
        <f>IFERROR(__xludf.DUMMYFUNCTION("""COMPUTED_VALUE"""),"Slovakia")</f>
        <v>Slovakia</v>
      </c>
      <c r="C172" s="46">
        <f>IFERROR(__xludf.DUMMYFUNCTION("""COMPUTED_VALUE"""),2.09357202E8)</f>
        <v>209357202</v>
      </c>
      <c r="D172" s="84">
        <f>IFERROR(__xludf.DUMMYFUNCTION("""COMPUTED_VALUE"""),473727.1)</f>
        <v>473727.1</v>
      </c>
      <c r="H172" s="48"/>
      <c r="I172" s="38"/>
      <c r="J172" s="38"/>
      <c r="K172" s="38"/>
      <c r="M172" s="87"/>
      <c r="N172" s="38"/>
      <c r="Q172" s="38"/>
    </row>
    <row r="173">
      <c r="A173" s="46" t="str">
        <f>IFERROR(__xludf.DUMMYFUNCTION("""COMPUTED_VALUE"""),"Cosmetics")</f>
        <v>Cosmetics</v>
      </c>
      <c r="B173" s="46" t="str">
        <f>IFERROR(__xludf.DUMMYFUNCTION("""COMPUTED_VALUE"""),"Switzerland")</f>
        <v>Switzerland</v>
      </c>
      <c r="C173" s="46">
        <f>IFERROR(__xludf.DUMMYFUNCTION("""COMPUTED_VALUE"""),2.09445178E8)</f>
        <v>209445178</v>
      </c>
      <c r="D173" s="84">
        <f>IFERROR(__xludf.DUMMYFUNCTION("""COMPUTED_VALUE"""),3644936.4)</f>
        <v>3644936.4</v>
      </c>
      <c r="H173" s="48"/>
      <c r="I173" s="38"/>
      <c r="J173" s="38"/>
      <c r="K173" s="38"/>
      <c r="M173" s="87"/>
      <c r="N173" s="38"/>
      <c r="Q173" s="38"/>
    </row>
    <row r="174">
      <c r="A174" s="46" t="str">
        <f>IFERROR(__xludf.DUMMYFUNCTION("""COMPUTED_VALUE"""),"Clothes")</f>
        <v>Clothes</v>
      </c>
      <c r="B174" s="46" t="str">
        <f>IFERROR(__xludf.DUMMYFUNCTION("""COMPUTED_VALUE"""),"Cyprus")</f>
        <v>Cyprus</v>
      </c>
      <c r="C174" s="46">
        <f>IFERROR(__xludf.DUMMYFUNCTION("""COMPUTED_VALUE"""),2.09598815E8)</f>
        <v>209598815</v>
      </c>
      <c r="D174" s="84">
        <f>IFERROR(__xludf.DUMMYFUNCTION("""COMPUTED_VALUE"""),415482.56)</f>
        <v>415482.56</v>
      </c>
      <c r="H174" s="48"/>
      <c r="I174" s="38"/>
      <c r="J174" s="38"/>
      <c r="K174" s="38"/>
      <c r="M174" s="87"/>
      <c r="N174" s="38"/>
      <c r="Q174" s="38"/>
    </row>
    <row r="175">
      <c r="A175" s="46" t="str">
        <f>IFERROR(__xludf.DUMMYFUNCTION("""COMPUTED_VALUE"""),"Office Supplies")</f>
        <v>Office Supplies</v>
      </c>
      <c r="B175" s="46" t="str">
        <f>IFERROR(__xludf.DUMMYFUNCTION("""COMPUTED_VALUE"""),"Serbia")</f>
        <v>Serbia</v>
      </c>
      <c r="C175" s="46">
        <f>IFERROR(__xludf.DUMMYFUNCTION("""COMPUTED_VALUE"""),2.09736573E8)</f>
        <v>209736573</v>
      </c>
      <c r="D175" s="84">
        <f>IFERROR(__xludf.DUMMYFUNCTION("""COMPUTED_VALUE"""),2974727.2800000003)</f>
        <v>2974727.28</v>
      </c>
      <c r="H175" s="48"/>
      <c r="I175" s="38"/>
      <c r="J175" s="38"/>
      <c r="K175" s="38"/>
      <c r="M175" s="87"/>
      <c r="N175" s="38"/>
      <c r="Q175" s="38"/>
    </row>
    <row r="176">
      <c r="A176" s="46" t="str">
        <f>IFERROR(__xludf.DUMMYFUNCTION("""COMPUTED_VALUE"""),"Snacks")</f>
        <v>Snacks</v>
      </c>
      <c r="B176" s="46" t="str">
        <f>IFERROR(__xludf.DUMMYFUNCTION("""COMPUTED_VALUE"""),"Bulgaria")</f>
        <v>Bulgaria</v>
      </c>
      <c r="C176" s="46">
        <f>IFERROR(__xludf.DUMMYFUNCTION("""COMPUTED_VALUE"""),2.11344611E8)</f>
        <v>211344611</v>
      </c>
      <c r="D176" s="84">
        <f>IFERROR(__xludf.DUMMYFUNCTION("""COMPUTED_VALUE"""),64388.76)</f>
        <v>64388.76</v>
      </c>
      <c r="H176" s="48"/>
      <c r="I176" s="38"/>
      <c r="J176" s="38"/>
      <c r="K176" s="38"/>
      <c r="M176" s="87"/>
      <c r="N176" s="38"/>
      <c r="Q176" s="38"/>
    </row>
    <row r="177">
      <c r="A177" s="46" t="str">
        <f>IFERROR(__xludf.DUMMYFUNCTION("""COMPUTED_VALUE"""),"Office Supplies")</f>
        <v>Office Supplies</v>
      </c>
      <c r="B177" s="46" t="str">
        <f>IFERROR(__xludf.DUMMYFUNCTION("""COMPUTED_VALUE"""),"Lithuania")</f>
        <v>Lithuania</v>
      </c>
      <c r="C177" s="46">
        <f>IFERROR(__xludf.DUMMYFUNCTION("""COMPUTED_VALUE"""),2.12106788E8)</f>
        <v>212106788</v>
      </c>
      <c r="D177" s="84">
        <f>IFERROR(__xludf.DUMMYFUNCTION("""COMPUTED_VALUE"""),3885770.0700000003)</f>
        <v>3885770.07</v>
      </c>
      <c r="H177" s="48"/>
      <c r="I177" s="38"/>
      <c r="J177" s="38"/>
      <c r="K177" s="38"/>
      <c r="M177" s="87"/>
      <c r="N177" s="38"/>
      <c r="Q177" s="38"/>
    </row>
    <row r="178">
      <c r="A178" s="46" t="str">
        <f>IFERROR(__xludf.DUMMYFUNCTION("""COMPUTED_VALUE"""),"Beverages")</f>
        <v>Beverages</v>
      </c>
      <c r="B178" s="46" t="str">
        <f>IFERROR(__xludf.DUMMYFUNCTION("""COMPUTED_VALUE"""),"Macedonia")</f>
        <v>Macedonia</v>
      </c>
      <c r="C178" s="46">
        <f>IFERROR(__xludf.DUMMYFUNCTION("""COMPUTED_VALUE"""),2.12319648E8)</f>
        <v>212319648</v>
      </c>
      <c r="D178" s="84">
        <f>IFERROR(__xludf.DUMMYFUNCTION("""COMPUTED_VALUE"""),425009.65)</f>
        <v>425009.65</v>
      </c>
      <c r="H178" s="48"/>
      <c r="I178" s="38"/>
      <c r="J178" s="38"/>
      <c r="K178" s="38"/>
      <c r="M178" s="87"/>
      <c r="N178" s="38"/>
      <c r="Q178" s="38"/>
    </row>
    <row r="179">
      <c r="A179" s="46" t="str">
        <f>IFERROR(__xludf.DUMMYFUNCTION("""COMPUTED_VALUE"""),"Meat")</f>
        <v>Meat</v>
      </c>
      <c r="B179" s="46" t="str">
        <f>IFERROR(__xludf.DUMMYFUNCTION("""COMPUTED_VALUE"""),"Andorra")</f>
        <v>Andorra</v>
      </c>
      <c r="C179" s="46">
        <f>IFERROR(__xludf.DUMMYFUNCTION("""COMPUTED_VALUE"""),2.12903726E8)</f>
        <v>212903726</v>
      </c>
      <c r="D179" s="84">
        <f>IFERROR(__xludf.DUMMYFUNCTION("""COMPUTED_VALUE"""),758558.22)</f>
        <v>758558.22</v>
      </c>
      <c r="H179" s="48"/>
      <c r="I179" s="38"/>
      <c r="J179" s="38"/>
      <c r="K179" s="38"/>
      <c r="M179" s="87"/>
      <c r="N179" s="38"/>
      <c r="Q179" s="38"/>
    </row>
    <row r="180">
      <c r="A180" s="46" t="str">
        <f>IFERROR(__xludf.DUMMYFUNCTION("""COMPUTED_VALUE"""),"Snacks")</f>
        <v>Snacks</v>
      </c>
      <c r="B180" s="46" t="str">
        <f>IFERROR(__xludf.DUMMYFUNCTION("""COMPUTED_VALUE"""),"Russia")</f>
        <v>Russia</v>
      </c>
      <c r="C180" s="46">
        <f>IFERROR(__xludf.DUMMYFUNCTION("""COMPUTED_VALUE"""),2.14033257E8)</f>
        <v>214033257</v>
      </c>
      <c r="D180" s="84">
        <f>IFERROR(__xludf.DUMMYFUNCTION("""COMPUTED_VALUE"""),923414.16)</f>
        <v>923414.16</v>
      </c>
      <c r="H180" s="48"/>
      <c r="I180" s="38"/>
      <c r="J180" s="38"/>
      <c r="K180" s="38"/>
      <c r="M180" s="87"/>
      <c r="N180" s="38"/>
      <c r="Q180" s="38"/>
    </row>
    <row r="181">
      <c r="A181" s="46" t="str">
        <f>IFERROR(__xludf.DUMMYFUNCTION("""COMPUTED_VALUE"""),"Snacks")</f>
        <v>Snacks</v>
      </c>
      <c r="B181" s="46" t="str">
        <f>IFERROR(__xludf.DUMMYFUNCTION("""COMPUTED_VALUE"""),"Switzerland")</f>
        <v>Switzerland</v>
      </c>
      <c r="C181" s="46">
        <f>IFERROR(__xludf.DUMMYFUNCTION("""COMPUTED_VALUE"""),2.14292466E8)</f>
        <v>214292466</v>
      </c>
      <c r="D181" s="84">
        <f>IFERROR(__xludf.DUMMYFUNCTION("""COMPUTED_VALUE"""),420815.64)</f>
        <v>420815.64</v>
      </c>
      <c r="H181" s="48"/>
      <c r="I181" s="38"/>
      <c r="J181" s="38"/>
      <c r="K181" s="38"/>
      <c r="M181" s="87"/>
      <c r="N181" s="38"/>
      <c r="Q181" s="38"/>
    </row>
    <row r="182">
      <c r="A182" s="46" t="str">
        <f>IFERROR(__xludf.DUMMYFUNCTION("""COMPUTED_VALUE"""),"Personal Care")</f>
        <v>Personal Care</v>
      </c>
      <c r="B182" s="46" t="str">
        <f>IFERROR(__xludf.DUMMYFUNCTION("""COMPUTED_VALUE"""),"Romania")</f>
        <v>Romania</v>
      </c>
      <c r="C182" s="46">
        <f>IFERROR(__xludf.DUMMYFUNCTION("""COMPUTED_VALUE"""),2.15540015E8)</f>
        <v>215540015</v>
      </c>
      <c r="D182" s="84">
        <f>IFERROR(__xludf.DUMMYFUNCTION("""COMPUTED_VALUE"""),158147.55000000002)</f>
        <v>158147.55</v>
      </c>
      <c r="H182" s="48"/>
      <c r="I182" s="38"/>
      <c r="J182" s="38"/>
      <c r="K182" s="38"/>
      <c r="M182" s="87"/>
      <c r="N182" s="38"/>
      <c r="Q182" s="38"/>
    </row>
    <row r="183">
      <c r="A183" s="46" t="str">
        <f>IFERROR(__xludf.DUMMYFUNCTION("""COMPUTED_VALUE"""),"Vegetables")</f>
        <v>Vegetables</v>
      </c>
      <c r="B183" s="46" t="str">
        <f>IFERROR(__xludf.DUMMYFUNCTION("""COMPUTED_VALUE"""),"Belarus")</f>
        <v>Belarus</v>
      </c>
      <c r="C183" s="46">
        <f>IFERROR(__xludf.DUMMYFUNCTION("""COMPUTED_VALUE"""),2.15584218E8)</f>
        <v>215584218</v>
      </c>
      <c r="D183" s="84">
        <f>IFERROR(__xludf.DUMMYFUNCTION("""COMPUTED_VALUE"""),772764.96)</f>
        <v>772764.96</v>
      </c>
      <c r="H183" s="48"/>
      <c r="I183" s="38"/>
      <c r="J183" s="38"/>
      <c r="K183" s="38"/>
      <c r="M183" s="87"/>
      <c r="N183" s="38"/>
      <c r="Q183" s="38"/>
    </row>
    <row r="184">
      <c r="A184" s="46" t="str">
        <f>IFERROR(__xludf.DUMMYFUNCTION("""COMPUTED_VALUE"""),"Meat")</f>
        <v>Meat</v>
      </c>
      <c r="B184" s="46" t="str">
        <f>IFERROR(__xludf.DUMMYFUNCTION("""COMPUTED_VALUE"""),"Luxembourg")</f>
        <v>Luxembourg</v>
      </c>
      <c r="C184" s="46">
        <f>IFERROR(__xludf.DUMMYFUNCTION("""COMPUTED_VALUE"""),2.16278588E8)</f>
        <v>216278588</v>
      </c>
      <c r="D184" s="84">
        <f>IFERROR(__xludf.DUMMYFUNCTION("""COMPUTED_VALUE"""),208835.55)</f>
        <v>208835.55</v>
      </c>
      <c r="H184" s="48"/>
      <c r="I184" s="38"/>
      <c r="J184" s="38"/>
      <c r="K184" s="38"/>
      <c r="M184" s="87"/>
      <c r="N184" s="38"/>
      <c r="Q184" s="38"/>
    </row>
    <row r="185">
      <c r="A185" s="46" t="str">
        <f>IFERROR(__xludf.DUMMYFUNCTION("""COMPUTED_VALUE"""),"Meat")</f>
        <v>Meat</v>
      </c>
      <c r="B185" s="46" t="str">
        <f>IFERROR(__xludf.DUMMYFUNCTION("""COMPUTED_VALUE"""),"Spain")</f>
        <v>Spain</v>
      </c>
      <c r="C185" s="46">
        <f>IFERROR(__xludf.DUMMYFUNCTION("""COMPUTED_VALUE"""),2.17165648E8)</f>
        <v>217165648</v>
      </c>
      <c r="D185" s="84">
        <f>IFERROR(__xludf.DUMMYFUNCTION("""COMPUTED_VALUE"""),2091730.6199999999)</f>
        <v>2091730.62</v>
      </c>
      <c r="H185" s="48"/>
      <c r="I185" s="38"/>
      <c r="J185" s="38"/>
      <c r="K185" s="38"/>
      <c r="M185" s="87"/>
      <c r="N185" s="38"/>
      <c r="Q185" s="38"/>
    </row>
    <row r="186">
      <c r="A186" s="46" t="str">
        <f>IFERROR(__xludf.DUMMYFUNCTION("""COMPUTED_VALUE"""),"Office Supplies")</f>
        <v>Office Supplies</v>
      </c>
      <c r="B186" s="46" t="str">
        <f>IFERROR(__xludf.DUMMYFUNCTION("""COMPUTED_VALUE"""),"Slovakia")</f>
        <v>Slovakia</v>
      </c>
      <c r="C186" s="46">
        <f>IFERROR(__xludf.DUMMYFUNCTION("""COMPUTED_VALUE"""),2.17248904E8)</f>
        <v>217248904</v>
      </c>
      <c r="D186" s="84">
        <f>IFERROR(__xludf.DUMMYFUNCTION("""COMPUTED_VALUE"""),4970685.930000001)</f>
        <v>4970685.93</v>
      </c>
      <c r="H186" s="48"/>
      <c r="I186" s="38"/>
      <c r="J186" s="38"/>
      <c r="K186" s="38"/>
      <c r="M186" s="87"/>
      <c r="N186" s="38"/>
      <c r="Q186" s="38"/>
    </row>
    <row r="187">
      <c r="A187" s="46" t="str">
        <f>IFERROR(__xludf.DUMMYFUNCTION("""COMPUTED_VALUE"""),"Beverages")</f>
        <v>Beverages</v>
      </c>
      <c r="B187" s="46" t="str">
        <f>IFERROR(__xludf.DUMMYFUNCTION("""COMPUTED_VALUE"""),"Estonia")</f>
        <v>Estonia</v>
      </c>
      <c r="C187" s="46">
        <f>IFERROR(__xludf.DUMMYFUNCTION("""COMPUTED_VALUE"""),2.1785916E8)</f>
        <v>217859160</v>
      </c>
      <c r="D187" s="84">
        <f>IFERROR(__xludf.DUMMYFUNCTION("""COMPUTED_VALUE"""),390133.9)</f>
        <v>390133.9</v>
      </c>
      <c r="H187" s="48"/>
      <c r="I187" s="38"/>
      <c r="J187" s="38"/>
      <c r="K187" s="38"/>
      <c r="M187" s="87"/>
      <c r="N187" s="38"/>
      <c r="Q187" s="38"/>
    </row>
    <row r="188">
      <c r="A188" s="46" t="str">
        <f>IFERROR(__xludf.DUMMYFUNCTION("""COMPUTED_VALUE"""),"Baby Food")</f>
        <v>Baby Food</v>
      </c>
      <c r="B188" s="46" t="str">
        <f>IFERROR(__xludf.DUMMYFUNCTION("""COMPUTED_VALUE"""),"Hungary")</f>
        <v>Hungary</v>
      </c>
      <c r="C188" s="46">
        <f>IFERROR(__xludf.DUMMYFUNCTION("""COMPUTED_VALUE"""),2.17920958E8)</f>
        <v>217920958</v>
      </c>
      <c r="D188" s="84">
        <f>IFERROR(__xludf.DUMMYFUNCTION("""COMPUTED_VALUE"""),1661617.52)</f>
        <v>1661617.52</v>
      </c>
      <c r="H188" s="48"/>
      <c r="I188" s="38"/>
      <c r="J188" s="38"/>
      <c r="K188" s="38"/>
      <c r="M188" s="87"/>
      <c r="N188" s="38"/>
      <c r="Q188" s="38"/>
    </row>
    <row r="189">
      <c r="A189" s="46" t="str">
        <f>IFERROR(__xludf.DUMMYFUNCTION("""COMPUTED_VALUE"""),"Meat")</f>
        <v>Meat</v>
      </c>
      <c r="B189" s="46" t="str">
        <f>IFERROR(__xludf.DUMMYFUNCTION("""COMPUTED_VALUE"""),"Ukraine")</f>
        <v>Ukraine</v>
      </c>
      <c r="C189" s="46">
        <f>IFERROR(__xludf.DUMMYFUNCTION("""COMPUTED_VALUE"""),2.1945132E8)</f>
        <v>219451320</v>
      </c>
      <c r="D189" s="84">
        <f>IFERROR(__xludf.DUMMYFUNCTION("""COMPUTED_VALUE"""),3956062.53)</f>
        <v>3956062.53</v>
      </c>
      <c r="H189" s="48"/>
      <c r="I189" s="38"/>
      <c r="J189" s="38"/>
      <c r="K189" s="38"/>
      <c r="M189" s="87"/>
      <c r="N189" s="38"/>
      <c r="Q189" s="38"/>
    </row>
    <row r="190">
      <c r="A190" s="46" t="str">
        <f>IFERROR(__xludf.DUMMYFUNCTION("""COMPUTED_VALUE"""),"Cereal")</f>
        <v>Cereal</v>
      </c>
      <c r="B190" s="46" t="str">
        <f>IFERROR(__xludf.DUMMYFUNCTION("""COMPUTED_VALUE"""),"Estonia")</f>
        <v>Estonia</v>
      </c>
      <c r="C190" s="46">
        <f>IFERROR(__xludf.DUMMYFUNCTION("""COMPUTED_VALUE"""),2.20607459E8)</f>
        <v>220607459</v>
      </c>
      <c r="D190" s="84">
        <f>IFERROR(__xludf.DUMMYFUNCTION("""COMPUTED_VALUE"""),309372.8)</f>
        <v>309372.8</v>
      </c>
      <c r="H190" s="48"/>
      <c r="I190" s="38"/>
      <c r="J190" s="38"/>
      <c r="K190" s="38"/>
      <c r="M190" s="87"/>
      <c r="N190" s="38"/>
      <c r="Q190" s="38"/>
    </row>
    <row r="191">
      <c r="A191" s="46" t="str">
        <f>IFERROR(__xludf.DUMMYFUNCTION("""COMPUTED_VALUE"""),"Clothes")</f>
        <v>Clothes</v>
      </c>
      <c r="B191" s="46" t="str">
        <f>IFERROR(__xludf.DUMMYFUNCTION("""COMPUTED_VALUE"""),"Russia")</f>
        <v>Russia</v>
      </c>
      <c r="C191" s="46">
        <f>IFERROR(__xludf.DUMMYFUNCTION("""COMPUTED_VALUE"""),2.21628844E8)</f>
        <v>221628844</v>
      </c>
      <c r="D191" s="84">
        <f>IFERROR(__xludf.DUMMYFUNCTION("""COMPUTED_VALUE"""),410346.4)</f>
        <v>410346.4</v>
      </c>
      <c r="H191" s="48"/>
      <c r="I191" s="38"/>
      <c r="J191" s="38"/>
      <c r="K191" s="38"/>
      <c r="M191" s="87"/>
      <c r="N191" s="38"/>
      <c r="Q191" s="38"/>
    </row>
    <row r="192">
      <c r="A192" s="46" t="str">
        <f>IFERROR(__xludf.DUMMYFUNCTION("""COMPUTED_VALUE"""),"Baby Food")</f>
        <v>Baby Food</v>
      </c>
      <c r="B192" s="46" t="str">
        <f>IFERROR(__xludf.DUMMYFUNCTION("""COMPUTED_VALUE"""),"Malta")</f>
        <v>Malta</v>
      </c>
      <c r="C192" s="46">
        <f>IFERROR(__xludf.DUMMYFUNCTION("""COMPUTED_VALUE"""),2.22720611E8)</f>
        <v>222720611</v>
      </c>
      <c r="D192" s="84">
        <f>IFERROR(__xludf.DUMMYFUNCTION("""COMPUTED_VALUE"""),1744328.24)</f>
        <v>1744328.24</v>
      </c>
      <c r="H192" s="48"/>
      <c r="I192" s="38"/>
      <c r="J192" s="38"/>
      <c r="K192" s="38"/>
      <c r="M192" s="87"/>
      <c r="N192" s="38"/>
      <c r="Q192" s="38"/>
    </row>
    <row r="193">
      <c r="A193" s="46" t="str">
        <f>IFERROR(__xludf.DUMMYFUNCTION("""COMPUTED_VALUE"""),"Beverages")</f>
        <v>Beverages</v>
      </c>
      <c r="B193" s="46" t="str">
        <f>IFERROR(__xludf.DUMMYFUNCTION("""COMPUTED_VALUE"""),"Denmark")</f>
        <v>Denmark</v>
      </c>
      <c r="C193" s="46">
        <f>IFERROR(__xludf.DUMMYFUNCTION("""COMPUTED_VALUE"""),2.23199975E8)</f>
        <v>223199975</v>
      </c>
      <c r="D193" s="84">
        <f>IFERROR(__xludf.DUMMYFUNCTION("""COMPUTED_VALUE"""),412198.15)</f>
        <v>412198.15</v>
      </c>
      <c r="H193" s="48"/>
      <c r="I193" s="38"/>
      <c r="J193" s="38"/>
      <c r="K193" s="38"/>
      <c r="M193" s="87"/>
      <c r="N193" s="38"/>
      <c r="Q193" s="38"/>
    </row>
    <row r="194">
      <c r="A194" s="46" t="str">
        <f>IFERROR(__xludf.DUMMYFUNCTION("""COMPUTED_VALUE"""),"Fruits")</f>
        <v>Fruits</v>
      </c>
      <c r="B194" s="46" t="str">
        <f>IFERROR(__xludf.DUMMYFUNCTION("""COMPUTED_VALUE"""),"Ireland")</f>
        <v>Ireland</v>
      </c>
      <c r="C194" s="46">
        <f>IFERROR(__xludf.DUMMYFUNCTION("""COMPUTED_VALUE"""),2.23869454E8)</f>
        <v>223869454</v>
      </c>
      <c r="D194" s="84">
        <f>IFERROR(__xludf.DUMMYFUNCTION("""COMPUTED_VALUE"""),63453.33)</f>
        <v>63453.33</v>
      </c>
      <c r="H194" s="48"/>
      <c r="I194" s="38"/>
      <c r="J194" s="38"/>
      <c r="K194" s="38"/>
      <c r="M194" s="87"/>
      <c r="N194" s="38"/>
      <c r="Q194" s="38"/>
    </row>
    <row r="195">
      <c r="A195" s="46" t="str">
        <f>IFERROR(__xludf.DUMMYFUNCTION("""COMPUTED_VALUE"""),"Office Supplies")</f>
        <v>Office Supplies</v>
      </c>
      <c r="B195" s="46" t="str">
        <f>IFERROR(__xludf.DUMMYFUNCTION("""COMPUTED_VALUE"""),"Slovakia")</f>
        <v>Slovakia</v>
      </c>
      <c r="C195" s="46">
        <f>IFERROR(__xludf.DUMMYFUNCTION("""COMPUTED_VALUE"""),2.2464708E8)</f>
        <v>224647080</v>
      </c>
      <c r="D195" s="84">
        <f>IFERROR(__xludf.DUMMYFUNCTION("""COMPUTED_VALUE"""),4505070.78)</f>
        <v>4505070.78</v>
      </c>
      <c r="H195" s="48"/>
      <c r="I195" s="38"/>
      <c r="J195" s="38"/>
      <c r="K195" s="38"/>
      <c r="M195" s="87"/>
      <c r="N195" s="38"/>
      <c r="Q195" s="38"/>
    </row>
    <row r="196">
      <c r="A196" s="46" t="str">
        <f>IFERROR(__xludf.DUMMYFUNCTION("""COMPUTED_VALUE"""),"Cosmetics")</f>
        <v>Cosmetics</v>
      </c>
      <c r="B196" s="46" t="str">
        <f>IFERROR(__xludf.DUMMYFUNCTION("""COMPUTED_VALUE"""),"San Marino")</f>
        <v>San Marino</v>
      </c>
      <c r="C196" s="46">
        <f>IFERROR(__xludf.DUMMYFUNCTION("""COMPUTED_VALUE"""),2.282112E8)</f>
        <v>228211200</v>
      </c>
      <c r="D196" s="84">
        <f>IFERROR(__xludf.DUMMYFUNCTION("""COMPUTED_VALUE"""),708264.0)</f>
        <v>708264</v>
      </c>
      <c r="H196" s="48"/>
      <c r="I196" s="38"/>
      <c r="J196" s="38"/>
      <c r="K196" s="38"/>
      <c r="M196" s="87"/>
      <c r="N196" s="38"/>
      <c r="Q196" s="38"/>
    </row>
    <row r="197">
      <c r="A197" s="46" t="str">
        <f>IFERROR(__xludf.DUMMYFUNCTION("""COMPUTED_VALUE"""),"Meat")</f>
        <v>Meat</v>
      </c>
      <c r="B197" s="46" t="str">
        <f>IFERROR(__xludf.DUMMYFUNCTION("""COMPUTED_VALUE"""),"Undefined")</f>
        <v>Undefined</v>
      </c>
      <c r="C197" s="46">
        <f>IFERROR(__xludf.DUMMYFUNCTION("""COMPUTED_VALUE"""),2.29105556E8)</f>
        <v>229105556</v>
      </c>
      <c r="D197" s="84">
        <f>IFERROR(__xludf.DUMMYFUNCTION("""COMPUTED_VALUE"""),2649469.1999999997)</f>
        <v>2649469.2</v>
      </c>
      <c r="H197" s="48"/>
      <c r="I197" s="38"/>
      <c r="J197" s="38"/>
      <c r="K197" s="38"/>
      <c r="M197" s="87"/>
      <c r="N197" s="38"/>
      <c r="Q197" s="38"/>
    </row>
    <row r="198">
      <c r="A198" s="46" t="str">
        <f>IFERROR(__xludf.DUMMYFUNCTION("""COMPUTED_VALUE"""),"Vegetables")</f>
        <v>Vegetables</v>
      </c>
      <c r="B198" s="46" t="str">
        <f>IFERROR(__xludf.DUMMYFUNCTION("""COMPUTED_VALUE"""),"Liechtenstein")</f>
        <v>Liechtenstein</v>
      </c>
      <c r="C198" s="46">
        <f>IFERROR(__xludf.DUMMYFUNCTION("""COMPUTED_VALUE"""),2.29355323E8)</f>
        <v>229355323</v>
      </c>
      <c r="D198" s="84">
        <f>IFERROR(__xludf.DUMMYFUNCTION("""COMPUTED_VALUE"""),29579.52)</f>
        <v>29579.52</v>
      </c>
      <c r="H198" s="48"/>
      <c r="I198" s="38"/>
      <c r="J198" s="38"/>
      <c r="K198" s="38"/>
      <c r="M198" s="87"/>
      <c r="N198" s="38"/>
      <c r="Q198" s="38"/>
    </row>
    <row r="199">
      <c r="A199" s="46" t="str">
        <f>IFERROR(__xludf.DUMMYFUNCTION("""COMPUTED_VALUE"""),"Cosmetics")</f>
        <v>Cosmetics</v>
      </c>
      <c r="B199" s="46" t="str">
        <f>IFERROR(__xludf.DUMMYFUNCTION("""COMPUTED_VALUE"""),"Liechtenstein")</f>
        <v>Liechtenstein</v>
      </c>
      <c r="C199" s="46">
        <f>IFERROR(__xludf.DUMMYFUNCTION("""COMPUTED_VALUE"""),2.29693067E8)</f>
        <v>229693067</v>
      </c>
      <c r="D199" s="84">
        <f>IFERROR(__xludf.DUMMYFUNCTION("""COMPUTED_VALUE"""),60333.6)</f>
        <v>60333.6</v>
      </c>
      <c r="H199" s="48"/>
      <c r="I199" s="38"/>
      <c r="J199" s="38"/>
      <c r="K199" s="38"/>
      <c r="M199" s="87"/>
      <c r="N199" s="38"/>
      <c r="Q199" s="38"/>
    </row>
    <row r="200">
      <c r="A200" s="46" t="str">
        <f>IFERROR(__xludf.DUMMYFUNCTION("""COMPUTED_VALUE"""),"Beverages")</f>
        <v>Beverages</v>
      </c>
      <c r="B200" s="46" t="str">
        <f>IFERROR(__xludf.DUMMYFUNCTION("""COMPUTED_VALUE"""),"Bosnia and Herzegovina")</f>
        <v>Bosnia and Herzegovina</v>
      </c>
      <c r="C200" s="46">
        <f>IFERROR(__xludf.DUMMYFUNCTION("""COMPUTED_VALUE"""),2.31341445E8)</f>
        <v>231341445</v>
      </c>
      <c r="D200" s="84">
        <f>IFERROR(__xludf.DUMMYFUNCTION("""COMPUTED_VALUE"""),376231.05000000005)</f>
        <v>376231.05</v>
      </c>
      <c r="H200" s="48"/>
      <c r="I200" s="38"/>
      <c r="J200" s="38"/>
      <c r="K200" s="38"/>
      <c r="M200" s="87"/>
      <c r="N200" s="38"/>
      <c r="Q200" s="38"/>
    </row>
    <row r="201">
      <c r="A201" s="46" t="str">
        <f>IFERROR(__xludf.DUMMYFUNCTION("""COMPUTED_VALUE"""),"Clothes")</f>
        <v>Clothes</v>
      </c>
      <c r="B201" s="46" t="str">
        <f>IFERROR(__xludf.DUMMYFUNCTION("""COMPUTED_VALUE"""),"Slovakia")</f>
        <v>Slovakia</v>
      </c>
      <c r="C201" s="46">
        <f>IFERROR(__xludf.DUMMYFUNCTION("""COMPUTED_VALUE"""),2.31369769E8)</f>
        <v>231369769</v>
      </c>
      <c r="D201" s="84">
        <f>IFERROR(__xludf.DUMMYFUNCTION("""COMPUTED_VALUE"""),689666.08)</f>
        <v>689666.08</v>
      </c>
      <c r="H201" s="48"/>
      <c r="I201" s="38"/>
      <c r="J201" s="38"/>
      <c r="K201" s="38"/>
      <c r="M201" s="87"/>
      <c r="N201" s="38"/>
      <c r="Q201" s="38"/>
    </row>
    <row r="202">
      <c r="A202" s="46" t="str">
        <f>IFERROR(__xludf.DUMMYFUNCTION("""COMPUTED_VALUE"""),"Clothes")</f>
        <v>Clothes</v>
      </c>
      <c r="B202" s="46" t="str">
        <f>IFERROR(__xludf.DUMMYFUNCTION("""COMPUTED_VALUE"""),"Armenia")</f>
        <v>Armenia</v>
      </c>
      <c r="C202" s="46">
        <f>IFERROR(__xludf.DUMMYFUNCTION("""COMPUTED_VALUE"""),2.31450879E8)</f>
        <v>231450879</v>
      </c>
      <c r="D202" s="84">
        <f>IFERROR(__xludf.DUMMYFUNCTION("""COMPUTED_VALUE"""),34204.64)</f>
        <v>34204.64</v>
      </c>
      <c r="H202" s="48"/>
      <c r="I202" s="38"/>
      <c r="J202" s="38"/>
      <c r="K202" s="38"/>
      <c r="M202" s="87"/>
      <c r="N202" s="38"/>
      <c r="Q202" s="38"/>
    </row>
    <row r="203">
      <c r="A203" s="46" t="str">
        <f>IFERROR(__xludf.DUMMYFUNCTION("""COMPUTED_VALUE"""),"Cosmetics")</f>
        <v>Cosmetics</v>
      </c>
      <c r="B203" s="46" t="str">
        <f>IFERROR(__xludf.DUMMYFUNCTION("""COMPUTED_VALUE"""),"Belarus")</f>
        <v>Belarus</v>
      </c>
      <c r="C203" s="46">
        <f>IFERROR(__xludf.DUMMYFUNCTION("""COMPUTED_VALUE"""),2.3186115E8)</f>
        <v>231861150</v>
      </c>
      <c r="D203" s="84">
        <f>IFERROR(__xludf.DUMMYFUNCTION("""COMPUTED_VALUE"""),752858.4)</f>
        <v>752858.4</v>
      </c>
      <c r="H203" s="48"/>
      <c r="I203" s="38"/>
      <c r="J203" s="38"/>
      <c r="K203" s="38"/>
      <c r="M203" s="87"/>
      <c r="N203" s="38"/>
      <c r="Q203" s="38"/>
    </row>
    <row r="204">
      <c r="A204" s="46" t="str">
        <f>IFERROR(__xludf.DUMMYFUNCTION("""COMPUTED_VALUE"""),"Household")</f>
        <v>Household</v>
      </c>
      <c r="B204" s="46" t="str">
        <f>IFERROR(__xludf.DUMMYFUNCTION("""COMPUTED_VALUE"""),"Poland")</f>
        <v>Poland</v>
      </c>
      <c r="C204" s="46">
        <f>IFERROR(__xludf.DUMMYFUNCTION("""COMPUTED_VALUE"""),2.32196319E8)</f>
        <v>232196319</v>
      </c>
      <c r="D204" s="84">
        <f>IFERROR(__xludf.DUMMYFUNCTION("""COMPUTED_VALUE"""),604784.35)</f>
        <v>604784.35</v>
      </c>
      <c r="H204" s="48"/>
      <c r="I204" s="38"/>
      <c r="J204" s="38"/>
      <c r="K204" s="38"/>
      <c r="M204" s="87"/>
      <c r="N204" s="38"/>
      <c r="Q204" s="38"/>
    </row>
    <row r="205">
      <c r="A205" s="46" t="str">
        <f>IFERROR(__xludf.DUMMYFUNCTION("""COMPUTED_VALUE"""),"Office Supplies")</f>
        <v>Office Supplies</v>
      </c>
      <c r="B205" s="46" t="str">
        <f>IFERROR(__xludf.DUMMYFUNCTION("""COMPUTED_VALUE"""),"Belgium")</f>
        <v>Belgium</v>
      </c>
      <c r="C205" s="46">
        <f>IFERROR(__xludf.DUMMYFUNCTION("""COMPUTED_VALUE"""),2.33440434E8)</f>
        <v>233440434</v>
      </c>
      <c r="D205" s="84">
        <f>IFERROR(__xludf.DUMMYFUNCTION("""COMPUTED_VALUE"""),5904521.07)</f>
        <v>5904521.07</v>
      </c>
      <c r="H205" s="48"/>
      <c r="I205" s="38"/>
      <c r="J205" s="38"/>
      <c r="K205" s="38"/>
      <c r="M205" s="87"/>
      <c r="N205" s="38"/>
      <c r="Q205" s="38"/>
    </row>
    <row r="206">
      <c r="A206" s="46" t="str">
        <f>IFERROR(__xludf.DUMMYFUNCTION("""COMPUTED_VALUE"""),"Clothes")</f>
        <v>Clothes</v>
      </c>
      <c r="B206" s="46" t="str">
        <f>IFERROR(__xludf.DUMMYFUNCTION("""COMPUTED_VALUE"""),"Latvia")</f>
        <v>Latvia</v>
      </c>
      <c r="C206" s="46">
        <f>IFERROR(__xludf.DUMMYFUNCTION("""COMPUTED_VALUE"""),2.33709084E8)</f>
        <v>233709084</v>
      </c>
      <c r="D206" s="84">
        <f>IFERROR(__xludf.DUMMYFUNCTION("""COMPUTED_VALUE"""),936092.48)</f>
        <v>936092.48</v>
      </c>
      <c r="H206" s="48"/>
      <c r="I206" s="38"/>
      <c r="J206" s="38"/>
      <c r="K206" s="38"/>
      <c r="M206" s="87"/>
      <c r="N206" s="38"/>
      <c r="Q206" s="38"/>
    </row>
    <row r="207">
      <c r="A207" s="46" t="str">
        <f>IFERROR(__xludf.DUMMYFUNCTION("""COMPUTED_VALUE"""),"Cosmetics")</f>
        <v>Cosmetics</v>
      </c>
      <c r="B207" s="46" t="str">
        <f>IFERROR(__xludf.DUMMYFUNCTION("""COMPUTED_VALUE"""),"Switzerland")</f>
        <v>Switzerland</v>
      </c>
      <c r="C207" s="46">
        <f>IFERROR(__xludf.DUMMYFUNCTION("""COMPUTED_VALUE"""),2.33811223E8)</f>
        <v>233811223</v>
      </c>
      <c r="D207" s="84">
        <f>IFERROR(__xludf.DUMMYFUNCTION("""COMPUTED_VALUE"""),3843862.4)</f>
        <v>3843862.4</v>
      </c>
      <c r="H207" s="48"/>
      <c r="I207" s="38"/>
      <c r="J207" s="38"/>
      <c r="K207" s="38"/>
      <c r="M207" s="87"/>
      <c r="N207" s="38"/>
      <c r="Q207" s="38"/>
    </row>
    <row r="208">
      <c r="A208" s="46" t="str">
        <f>IFERROR(__xludf.DUMMYFUNCTION("""COMPUTED_VALUE"""),"Clothes")</f>
        <v>Clothes</v>
      </c>
      <c r="B208" s="46" t="str">
        <f>IFERROR(__xludf.DUMMYFUNCTION("""COMPUTED_VALUE"""),"Montenegro")</f>
        <v>Montenegro</v>
      </c>
      <c r="C208" s="46">
        <f>IFERROR(__xludf.DUMMYFUNCTION("""COMPUTED_VALUE"""),2.34082448E8)</f>
        <v>234082448</v>
      </c>
      <c r="D208" s="84">
        <f>IFERROR(__xludf.DUMMYFUNCTION("""COMPUTED_VALUE"""),989311.84)</f>
        <v>989311.84</v>
      </c>
      <c r="H208" s="48"/>
      <c r="I208" s="38"/>
      <c r="J208" s="38"/>
      <c r="K208" s="38"/>
      <c r="M208" s="87"/>
      <c r="N208" s="38"/>
      <c r="Q208" s="38"/>
    </row>
    <row r="209">
      <c r="A209" s="46" t="str">
        <f>IFERROR(__xludf.DUMMYFUNCTION("""COMPUTED_VALUE"""),"Office Supplies")</f>
        <v>Office Supplies</v>
      </c>
      <c r="B209" s="46" t="str">
        <f>IFERROR(__xludf.DUMMYFUNCTION("""COMPUTED_VALUE"""),"Germany")</f>
        <v>Germany</v>
      </c>
      <c r="C209" s="46">
        <f>IFERROR(__xludf.DUMMYFUNCTION("""COMPUTED_VALUE"""),2.36042392E8)</f>
        <v>236042392</v>
      </c>
      <c r="D209" s="84">
        <f>IFERROR(__xludf.DUMMYFUNCTION("""COMPUTED_VALUE"""),5889543.24)</f>
        <v>5889543.24</v>
      </c>
      <c r="H209" s="48"/>
      <c r="I209" s="38"/>
      <c r="J209" s="38"/>
      <c r="K209" s="38"/>
      <c r="M209" s="87"/>
      <c r="N209" s="38"/>
      <c r="Q209" s="38"/>
    </row>
    <row r="210">
      <c r="A210" s="46" t="str">
        <f>IFERROR(__xludf.DUMMYFUNCTION("""COMPUTED_VALUE"""),"Beverages")</f>
        <v>Beverages</v>
      </c>
      <c r="B210" s="46" t="str">
        <f>IFERROR(__xludf.DUMMYFUNCTION("""COMPUTED_VALUE"""),"Norway")</f>
        <v>Norway</v>
      </c>
      <c r="C210" s="46">
        <f>IFERROR(__xludf.DUMMYFUNCTION("""COMPUTED_VALUE"""),2.38170993E8)</f>
        <v>238170993</v>
      </c>
      <c r="D210" s="84">
        <f>IFERROR(__xludf.DUMMYFUNCTION("""COMPUTED_VALUE"""),424392.80000000005)</f>
        <v>424392.8</v>
      </c>
      <c r="H210" s="48"/>
      <c r="I210" s="38"/>
      <c r="J210" s="38"/>
      <c r="K210" s="38"/>
      <c r="M210" s="87"/>
      <c r="N210" s="38"/>
      <c r="Q210" s="38"/>
    </row>
    <row r="211">
      <c r="A211" s="46" t="str">
        <f>IFERROR(__xludf.DUMMYFUNCTION("""COMPUTED_VALUE"""),"Personal Care")</f>
        <v>Personal Care</v>
      </c>
      <c r="B211" s="46" t="str">
        <f>IFERROR(__xludf.DUMMYFUNCTION("""COMPUTED_VALUE"""),"San Marino")</f>
        <v>San Marino</v>
      </c>
      <c r="C211" s="46">
        <f>IFERROR(__xludf.DUMMYFUNCTION("""COMPUTED_VALUE"""),2.39048612E8)</f>
        <v>239048612</v>
      </c>
      <c r="D211" s="84">
        <f>IFERROR(__xludf.DUMMYFUNCTION("""COMPUTED_VALUE"""),707046.23)</f>
        <v>707046.23</v>
      </c>
      <c r="H211" s="48"/>
      <c r="I211" s="38"/>
      <c r="J211" s="38"/>
      <c r="K211" s="38"/>
      <c r="M211" s="87"/>
      <c r="N211" s="38"/>
      <c r="Q211" s="38"/>
    </row>
    <row r="212">
      <c r="A212" s="46" t="str">
        <f>IFERROR(__xludf.DUMMYFUNCTION("""COMPUTED_VALUE"""),"Office Supplies")</f>
        <v>Office Supplies</v>
      </c>
      <c r="B212" s="46" t="str">
        <f>IFERROR(__xludf.DUMMYFUNCTION("""COMPUTED_VALUE"""),"San Marino")</f>
        <v>San Marino</v>
      </c>
      <c r="C212" s="46">
        <f>IFERROR(__xludf.DUMMYFUNCTION("""COMPUTED_VALUE"""),2.39386355E8)</f>
        <v>239386355</v>
      </c>
      <c r="D212" s="84">
        <f>IFERROR(__xludf.DUMMYFUNCTION("""COMPUTED_VALUE"""),5598452.37)</f>
        <v>5598452.37</v>
      </c>
      <c r="H212" s="48"/>
      <c r="I212" s="38"/>
      <c r="J212" s="38"/>
      <c r="K212" s="38"/>
      <c r="M212" s="87"/>
      <c r="N212" s="38"/>
      <c r="Q212" s="38"/>
    </row>
    <row r="213">
      <c r="A213" s="46" t="str">
        <f>IFERROR(__xludf.DUMMYFUNCTION("""COMPUTED_VALUE"""),"Office Supplies")</f>
        <v>Office Supplies</v>
      </c>
      <c r="B213" s="46" t="str">
        <f>IFERROR(__xludf.DUMMYFUNCTION("""COMPUTED_VALUE"""),"Iceland")</f>
        <v>Iceland</v>
      </c>
      <c r="C213" s="46">
        <f>IFERROR(__xludf.DUMMYFUNCTION("""COMPUTED_VALUE"""),2.39554154E8)</f>
        <v>239554154</v>
      </c>
      <c r="D213" s="84">
        <f>IFERROR(__xludf.DUMMYFUNCTION("""COMPUTED_VALUE"""),5374436.13)</f>
        <v>5374436.13</v>
      </c>
      <c r="H213" s="48"/>
      <c r="I213" s="38"/>
      <c r="J213" s="38"/>
      <c r="K213" s="38"/>
      <c r="M213" s="87"/>
      <c r="N213" s="38"/>
      <c r="Q213" s="38"/>
    </row>
    <row r="214">
      <c r="A214" s="46" t="str">
        <f>IFERROR(__xludf.DUMMYFUNCTION("""COMPUTED_VALUE"""),"Household")</f>
        <v>Household</v>
      </c>
      <c r="B214" s="46" t="str">
        <f>IFERROR(__xludf.DUMMYFUNCTION("""COMPUTED_VALUE"""),"Macedonia")</f>
        <v>Macedonia</v>
      </c>
      <c r="C214" s="46">
        <f>IFERROR(__xludf.DUMMYFUNCTION("""COMPUTED_VALUE"""),2.41392648E8)</f>
        <v>241392648</v>
      </c>
      <c r="D214" s="84">
        <f>IFERROR(__xludf.DUMMYFUNCTION("""COMPUTED_VALUE"""),1539694.08)</f>
        <v>1539694.08</v>
      </c>
      <c r="H214" s="48"/>
      <c r="I214" s="38"/>
      <c r="J214" s="38"/>
      <c r="K214" s="38"/>
      <c r="M214" s="87"/>
      <c r="N214" s="38"/>
      <c r="Q214" s="38"/>
    </row>
    <row r="215">
      <c r="A215" s="46" t="str">
        <f>IFERROR(__xludf.DUMMYFUNCTION("""COMPUTED_VALUE"""),"Beverages")</f>
        <v>Beverages</v>
      </c>
      <c r="B215" s="46" t="str">
        <f>IFERROR(__xludf.DUMMYFUNCTION("""COMPUTED_VALUE"""),"Czech Republic")</f>
        <v>Czech Republic</v>
      </c>
      <c r="C215" s="46">
        <f>IFERROR(__xludf.DUMMYFUNCTION("""COMPUTED_VALUE"""),2.42168128E8)</f>
        <v>242168128</v>
      </c>
      <c r="D215" s="84">
        <f>IFERROR(__xludf.DUMMYFUNCTION("""COMPUTED_VALUE"""),84698.25)</f>
        <v>84698.25</v>
      </c>
      <c r="H215" s="48"/>
      <c r="I215" s="38"/>
      <c r="J215" s="38"/>
      <c r="K215" s="38"/>
      <c r="M215" s="87"/>
      <c r="N215" s="38"/>
      <c r="Q215" s="38"/>
    </row>
    <row r="216">
      <c r="A216" s="46" t="str">
        <f>IFERROR(__xludf.DUMMYFUNCTION("""COMPUTED_VALUE"""),"Fruits")</f>
        <v>Fruits</v>
      </c>
      <c r="B216" s="46" t="str">
        <f>IFERROR(__xludf.DUMMYFUNCTION("""COMPUTED_VALUE"""),"Luxembourg")</f>
        <v>Luxembourg</v>
      </c>
      <c r="C216" s="46">
        <f>IFERROR(__xludf.DUMMYFUNCTION("""COMPUTED_VALUE"""),2.42265546E8)</f>
        <v>242265546</v>
      </c>
      <c r="D216" s="84">
        <f>IFERROR(__xludf.DUMMYFUNCTION("""COMPUTED_VALUE"""),5728.62)</f>
        <v>5728.62</v>
      </c>
      <c r="H216" s="48"/>
      <c r="I216" s="38"/>
      <c r="J216" s="38"/>
      <c r="K216" s="38"/>
      <c r="M216" s="87"/>
      <c r="N216" s="38"/>
      <c r="Q216" s="38"/>
    </row>
    <row r="217">
      <c r="A217" s="46" t="str">
        <f>IFERROR(__xludf.DUMMYFUNCTION("""COMPUTED_VALUE"""),"Office Supplies")</f>
        <v>Office Supplies</v>
      </c>
      <c r="B217" s="46" t="str">
        <f>IFERROR(__xludf.DUMMYFUNCTION("""COMPUTED_VALUE"""),"Malta")</f>
        <v>Malta</v>
      </c>
      <c r="C217" s="46">
        <f>IFERROR(__xludf.DUMMYFUNCTION("""COMPUTED_VALUE"""),2.43070638E8)</f>
        <v>243070638</v>
      </c>
      <c r="D217" s="84">
        <f>IFERROR(__xludf.DUMMYFUNCTION("""COMPUTED_VALUE"""),5768418.180000001)</f>
        <v>5768418.18</v>
      </c>
      <c r="H217" s="48"/>
      <c r="I217" s="38"/>
      <c r="J217" s="38"/>
      <c r="K217" s="38"/>
      <c r="M217" s="87"/>
      <c r="N217" s="38"/>
      <c r="Q217" s="38"/>
    </row>
    <row r="218">
      <c r="A218" s="46" t="str">
        <f>IFERROR(__xludf.DUMMYFUNCTION("""COMPUTED_VALUE"""),"Cereal")</f>
        <v>Cereal</v>
      </c>
      <c r="B218" s="46" t="str">
        <f>IFERROR(__xludf.DUMMYFUNCTION("""COMPUTED_VALUE"""),"Georgia")</f>
        <v>Georgia</v>
      </c>
      <c r="C218" s="46">
        <f>IFERROR(__xludf.DUMMYFUNCTION("""COMPUTED_VALUE"""),2.43144452E8)</f>
        <v>243144452</v>
      </c>
      <c r="D218" s="84">
        <f>IFERROR(__xludf.DUMMYFUNCTION("""COMPUTED_VALUE"""),144195.69999999998)</f>
        <v>144195.7</v>
      </c>
      <c r="H218" s="48"/>
      <c r="I218" s="38"/>
      <c r="J218" s="38"/>
      <c r="K218" s="38"/>
      <c r="M218" s="87"/>
      <c r="N218" s="38"/>
      <c r="Q218" s="38"/>
    </row>
    <row r="219">
      <c r="A219" s="46" t="str">
        <f>IFERROR(__xludf.DUMMYFUNCTION("""COMPUTED_VALUE"""),"Beverages")</f>
        <v>Beverages</v>
      </c>
      <c r="B219" s="46" t="str">
        <f>IFERROR(__xludf.DUMMYFUNCTION("""COMPUTED_VALUE"""),"Undefined")</f>
        <v>Undefined</v>
      </c>
      <c r="C219" s="46">
        <f>IFERROR(__xludf.DUMMYFUNCTION("""COMPUTED_VALUE"""),2.4322642E8)</f>
        <v>243226420</v>
      </c>
      <c r="D219" s="84">
        <f>IFERROR(__xludf.DUMMYFUNCTION("""COMPUTED_VALUE"""),235257.1)</f>
        <v>235257.1</v>
      </c>
      <c r="H219" s="48"/>
      <c r="I219" s="38"/>
      <c r="J219" s="38"/>
      <c r="K219" s="38"/>
      <c r="M219" s="87"/>
      <c r="N219" s="38"/>
      <c r="Q219" s="38"/>
    </row>
    <row r="220">
      <c r="A220" s="46" t="str">
        <f>IFERROR(__xludf.DUMMYFUNCTION("""COMPUTED_VALUE"""),"Beverages")</f>
        <v>Beverages</v>
      </c>
      <c r="B220" s="46" t="str">
        <f>IFERROR(__xludf.DUMMYFUNCTION("""COMPUTED_VALUE"""),"Montenegro")</f>
        <v>Montenegro</v>
      </c>
      <c r="C220" s="46">
        <f>IFERROR(__xludf.DUMMYFUNCTION("""COMPUTED_VALUE"""),2.43340575E8)</f>
        <v>243340575</v>
      </c>
      <c r="D220" s="84">
        <f>IFERROR(__xludf.DUMMYFUNCTION("""COMPUTED_VALUE"""),414665.55000000005)</f>
        <v>414665.55</v>
      </c>
      <c r="H220" s="48"/>
      <c r="I220" s="38"/>
      <c r="J220" s="38"/>
      <c r="K220" s="38"/>
      <c r="M220" s="87"/>
      <c r="N220" s="38"/>
      <c r="Q220" s="38"/>
    </row>
    <row r="221">
      <c r="A221" s="46" t="str">
        <f>IFERROR(__xludf.DUMMYFUNCTION("""COMPUTED_VALUE"""),"Personal Care")</f>
        <v>Personal Care</v>
      </c>
      <c r="B221" s="46" t="str">
        <f>IFERROR(__xludf.DUMMYFUNCTION("""COMPUTED_VALUE"""),"Slovenia")</f>
        <v>Slovenia</v>
      </c>
      <c r="C221" s="46">
        <f>IFERROR(__xludf.DUMMYFUNCTION("""COMPUTED_VALUE"""),2.43391644E8)</f>
        <v>243391644</v>
      </c>
      <c r="D221" s="84">
        <f>IFERROR(__xludf.DUMMYFUNCTION("""COMPUTED_VALUE"""),314742.23000000004)</f>
        <v>314742.23</v>
      </c>
      <c r="H221" s="48"/>
      <c r="I221" s="38"/>
      <c r="J221" s="38"/>
      <c r="K221" s="38"/>
      <c r="M221" s="87"/>
      <c r="N221" s="38"/>
      <c r="Q221" s="38"/>
    </row>
    <row r="222">
      <c r="A222" s="46" t="str">
        <f>IFERROR(__xludf.DUMMYFUNCTION("""COMPUTED_VALUE"""),"Cosmetics")</f>
        <v>Cosmetics</v>
      </c>
      <c r="B222" s="46" t="str">
        <f>IFERROR(__xludf.DUMMYFUNCTION("""COMPUTED_VALUE"""),"Switzerland")</f>
        <v>Switzerland</v>
      </c>
      <c r="C222" s="46">
        <f>IFERROR(__xludf.DUMMYFUNCTION("""COMPUTED_VALUE"""),2.43521249E8)</f>
        <v>243521249</v>
      </c>
      <c r="D222" s="84">
        <f>IFERROR(__xludf.DUMMYFUNCTION("""COMPUTED_VALUE"""),963588.7999999999)</f>
        <v>963588.8</v>
      </c>
      <c r="H222" s="48"/>
      <c r="I222" s="38"/>
      <c r="J222" s="38"/>
      <c r="K222" s="38"/>
      <c r="M222" s="87"/>
      <c r="N222" s="38"/>
      <c r="Q222" s="38"/>
    </row>
    <row r="223">
      <c r="A223" s="46" t="str">
        <f>IFERROR(__xludf.DUMMYFUNCTION("""COMPUTED_VALUE"""),"Baby Food")</f>
        <v>Baby Food</v>
      </c>
      <c r="B223" s="46" t="str">
        <f>IFERROR(__xludf.DUMMYFUNCTION("""COMPUTED_VALUE"""),"Ireland")</f>
        <v>Ireland</v>
      </c>
      <c r="C223" s="46">
        <f>IFERROR(__xludf.DUMMYFUNCTION("""COMPUTED_VALUE"""),2.43684327E8)</f>
        <v>243684327</v>
      </c>
      <c r="D223" s="84">
        <f>IFERROR(__xludf.DUMMYFUNCTION("""COMPUTED_VALUE"""),117939.36)</f>
        <v>117939.36</v>
      </c>
      <c r="H223" s="48"/>
      <c r="I223" s="38"/>
      <c r="J223" s="38"/>
      <c r="K223" s="38"/>
      <c r="M223" s="87"/>
      <c r="N223" s="38"/>
      <c r="Q223" s="38"/>
    </row>
    <row r="224">
      <c r="A224" s="46" t="str">
        <f>IFERROR(__xludf.DUMMYFUNCTION("""COMPUTED_VALUE"""),"Beverages")</f>
        <v>Beverages</v>
      </c>
      <c r="B224" s="46" t="str">
        <f>IFERROR(__xludf.DUMMYFUNCTION("""COMPUTED_VALUE"""),"Belgium")</f>
        <v>Belgium</v>
      </c>
      <c r="C224" s="46">
        <f>IFERROR(__xludf.DUMMYFUNCTION("""COMPUTED_VALUE"""),2.44023358E8)</f>
        <v>244023358</v>
      </c>
      <c r="D224" s="84">
        <f>IFERROR(__xludf.DUMMYFUNCTION("""COMPUTED_VALUE"""),37438.05)</f>
        <v>37438.05</v>
      </c>
      <c r="H224" s="48"/>
      <c r="I224" s="38"/>
      <c r="J224" s="38"/>
      <c r="K224" s="38"/>
      <c r="M224" s="87"/>
      <c r="N224" s="38"/>
      <c r="Q224" s="38"/>
    </row>
    <row r="225">
      <c r="A225" s="46" t="str">
        <f>IFERROR(__xludf.DUMMYFUNCTION("""COMPUTED_VALUE"""),"Meat")</f>
        <v>Meat</v>
      </c>
      <c r="B225" s="46" t="str">
        <f>IFERROR(__xludf.DUMMYFUNCTION("""COMPUTED_VALUE"""),"France")</f>
        <v>France</v>
      </c>
      <c r="C225" s="46">
        <f>IFERROR(__xludf.DUMMYFUNCTION("""COMPUTED_VALUE"""),2.45440852E8)</f>
        <v>245440852</v>
      </c>
      <c r="D225" s="84">
        <f>IFERROR(__xludf.DUMMYFUNCTION("""COMPUTED_VALUE"""),108425.73)</f>
        <v>108425.73</v>
      </c>
      <c r="H225" s="48"/>
      <c r="I225" s="38"/>
      <c r="J225" s="38"/>
      <c r="K225" s="38"/>
      <c r="M225" s="87"/>
      <c r="N225" s="38"/>
      <c r="Q225" s="38"/>
    </row>
    <row r="226">
      <c r="A226" s="46" t="str">
        <f>IFERROR(__xludf.DUMMYFUNCTION("""COMPUTED_VALUE"""),"Personal Care")</f>
        <v>Personal Care</v>
      </c>
      <c r="B226" s="46" t="str">
        <f>IFERROR(__xludf.DUMMYFUNCTION("""COMPUTED_VALUE"""),"Andorra")</f>
        <v>Andorra</v>
      </c>
      <c r="C226" s="46">
        <f>IFERROR(__xludf.DUMMYFUNCTION("""COMPUTED_VALUE"""),2.45556294E8)</f>
        <v>245556294</v>
      </c>
      <c r="D226" s="84">
        <f>IFERROR(__xludf.DUMMYFUNCTION("""COMPUTED_VALUE"""),361164.87)</f>
        <v>361164.87</v>
      </c>
      <c r="H226" s="48"/>
      <c r="I226" s="38"/>
      <c r="J226" s="38"/>
      <c r="K226" s="38"/>
      <c r="M226" s="87"/>
      <c r="N226" s="38"/>
      <c r="Q226" s="38"/>
    </row>
    <row r="227">
      <c r="A227" s="46" t="str">
        <f>IFERROR(__xludf.DUMMYFUNCTION("""COMPUTED_VALUE"""),"Cosmetics")</f>
        <v>Cosmetics</v>
      </c>
      <c r="B227" s="46" t="str">
        <f>IFERROR(__xludf.DUMMYFUNCTION("""COMPUTED_VALUE"""),"Latvia")</f>
        <v>Latvia</v>
      </c>
      <c r="C227" s="46">
        <f>IFERROR(__xludf.DUMMYFUNCTION("""COMPUTED_VALUE"""),2.46603858E8)</f>
        <v>246603858</v>
      </c>
      <c r="D227" s="84">
        <f>IFERROR(__xludf.DUMMYFUNCTION("""COMPUTED_VALUE"""),1931112.4)</f>
        <v>1931112.4</v>
      </c>
      <c r="H227" s="48"/>
      <c r="I227" s="38"/>
      <c r="J227" s="38"/>
      <c r="K227" s="38"/>
      <c r="M227" s="87"/>
      <c r="N227" s="38"/>
      <c r="Q227" s="38"/>
    </row>
    <row r="228">
      <c r="A228" s="46" t="str">
        <f>IFERROR(__xludf.DUMMYFUNCTION("""COMPUTED_VALUE"""),"Office Supplies")</f>
        <v>Office Supplies</v>
      </c>
      <c r="B228" s="46" t="str">
        <f>IFERROR(__xludf.DUMMYFUNCTION("""COMPUTED_VALUE"""),"Albania")</f>
        <v>Albania</v>
      </c>
      <c r="C228" s="46">
        <f>IFERROR(__xludf.DUMMYFUNCTION("""COMPUTED_VALUE"""),2.46922719E8)</f>
        <v>246922719</v>
      </c>
      <c r="D228" s="84">
        <f>IFERROR(__xludf.DUMMYFUNCTION("""COMPUTED_VALUE"""),5714367.75)</f>
        <v>5714367.75</v>
      </c>
      <c r="H228" s="48"/>
      <c r="I228" s="38"/>
      <c r="J228" s="38"/>
      <c r="K228" s="38"/>
      <c r="M228" s="87"/>
      <c r="N228" s="38"/>
      <c r="Q228" s="38"/>
    </row>
    <row r="229">
      <c r="A229" s="46" t="str">
        <f>IFERROR(__xludf.DUMMYFUNCTION("""COMPUTED_VALUE"""),"Vegetables")</f>
        <v>Vegetables</v>
      </c>
      <c r="B229" s="46" t="str">
        <f>IFERROR(__xludf.DUMMYFUNCTION("""COMPUTED_VALUE"""),"Russia")</f>
        <v>Russia</v>
      </c>
      <c r="C229" s="46">
        <f>IFERROR(__xludf.DUMMYFUNCTION("""COMPUTED_VALUE"""),2.49039304E8)</f>
        <v>249039304</v>
      </c>
      <c r="D229" s="84">
        <f>IFERROR(__xludf.DUMMYFUNCTION("""COMPUTED_VALUE"""),788633.14)</f>
        <v>788633.14</v>
      </c>
      <c r="H229" s="48"/>
      <c r="I229" s="38"/>
      <c r="J229" s="38"/>
      <c r="K229" s="38"/>
      <c r="M229" s="87"/>
      <c r="N229" s="38"/>
      <c r="Q229" s="38"/>
    </row>
    <row r="230">
      <c r="A230" s="46" t="str">
        <f>IFERROR(__xludf.DUMMYFUNCTION("""COMPUTED_VALUE"""),"Fruits")</f>
        <v>Fruits</v>
      </c>
      <c r="B230" s="46" t="str">
        <f>IFERROR(__xludf.DUMMYFUNCTION("""COMPUTED_VALUE"""),"Liechtenstein")</f>
        <v>Liechtenstein</v>
      </c>
      <c r="C230" s="46">
        <f>IFERROR(__xludf.DUMMYFUNCTION("""COMPUTED_VALUE"""),2.49606645E8)</f>
        <v>249606645</v>
      </c>
      <c r="D230" s="84">
        <f>IFERROR(__xludf.DUMMYFUNCTION("""COMPUTED_VALUE"""),28064.64)</f>
        <v>28064.64</v>
      </c>
      <c r="H230" s="48"/>
      <c r="I230" s="38"/>
      <c r="J230" s="38"/>
      <c r="K230" s="38"/>
      <c r="M230" s="87"/>
      <c r="N230" s="38"/>
      <c r="Q230" s="38"/>
    </row>
    <row r="231">
      <c r="A231" s="46" t="str">
        <f>IFERROR(__xludf.DUMMYFUNCTION("""COMPUTED_VALUE"""),"Clothes")</f>
        <v>Clothes</v>
      </c>
      <c r="B231" s="46" t="str">
        <f>IFERROR(__xludf.DUMMYFUNCTION("""COMPUTED_VALUE"""),"United Kingdom")</f>
        <v>United Kingdom</v>
      </c>
      <c r="C231" s="46">
        <f>IFERROR(__xludf.DUMMYFUNCTION("""COMPUTED_VALUE"""),2.49765861E8)</f>
        <v>249765861</v>
      </c>
      <c r="D231" s="84">
        <f>IFERROR(__xludf.DUMMYFUNCTION("""COMPUTED_VALUE"""),13441.44)</f>
        <v>13441.44</v>
      </c>
      <c r="H231" s="48"/>
      <c r="I231" s="38"/>
      <c r="J231" s="38"/>
      <c r="K231" s="38"/>
      <c r="M231" s="87"/>
      <c r="N231" s="38"/>
      <c r="Q231" s="38"/>
    </row>
    <row r="232">
      <c r="A232" s="46" t="str">
        <f>IFERROR(__xludf.DUMMYFUNCTION("""COMPUTED_VALUE"""),"Clothes")</f>
        <v>Clothes</v>
      </c>
      <c r="B232" s="46" t="str">
        <f>IFERROR(__xludf.DUMMYFUNCTION("""COMPUTED_VALUE"""),"Luxembourg")</f>
        <v>Luxembourg</v>
      </c>
      <c r="C232" s="46">
        <f>IFERROR(__xludf.DUMMYFUNCTION("""COMPUTED_VALUE"""),2.50848186E8)</f>
        <v>250848186</v>
      </c>
      <c r="D232" s="84">
        <f>IFERROR(__xludf.DUMMYFUNCTION("""COMPUTED_VALUE"""),44476.96)</f>
        <v>44476.96</v>
      </c>
      <c r="H232" s="48"/>
      <c r="I232" s="38"/>
      <c r="J232" s="38"/>
      <c r="K232" s="38"/>
      <c r="M232" s="87"/>
      <c r="N232" s="38"/>
      <c r="Q232" s="38"/>
    </row>
    <row r="233">
      <c r="A233" s="46" t="str">
        <f>IFERROR(__xludf.DUMMYFUNCTION("""COMPUTED_VALUE"""),"Meat")</f>
        <v>Meat</v>
      </c>
      <c r="B233" s="46" t="str">
        <f>IFERROR(__xludf.DUMMYFUNCTION("""COMPUTED_VALUE"""),"Armenia")</f>
        <v>Armenia</v>
      </c>
      <c r="C233" s="46">
        <f>IFERROR(__xludf.DUMMYFUNCTION("""COMPUTED_VALUE"""),2.51208674E8)</f>
        <v>251208674</v>
      </c>
      <c r="D233" s="84">
        <f>IFERROR(__xludf.DUMMYFUNCTION("""COMPUTED_VALUE"""),2988668.76)</f>
        <v>2988668.76</v>
      </c>
      <c r="H233" s="48"/>
      <c r="I233" s="38"/>
      <c r="J233" s="38"/>
      <c r="K233" s="38"/>
      <c r="M233" s="87"/>
      <c r="N233" s="38"/>
      <c r="Q233" s="38"/>
    </row>
    <row r="234">
      <c r="A234" s="46" t="str">
        <f>IFERROR(__xludf.DUMMYFUNCTION("""COMPUTED_VALUE"""),"Clothes")</f>
        <v>Clothes</v>
      </c>
      <c r="B234" s="46" t="str">
        <f>IFERROR(__xludf.DUMMYFUNCTION("""COMPUTED_VALUE"""),"United Kingdom")</f>
        <v>United Kingdom</v>
      </c>
      <c r="C234" s="46">
        <f>IFERROR(__xludf.DUMMYFUNCTION("""COMPUTED_VALUE"""),2.51823222E8)</f>
        <v>251823222</v>
      </c>
      <c r="D234" s="84">
        <f>IFERROR(__xludf.DUMMYFUNCTION("""COMPUTED_VALUE"""),977181.76)</f>
        <v>977181.76</v>
      </c>
      <c r="H234" s="48"/>
      <c r="I234" s="38"/>
      <c r="J234" s="38"/>
      <c r="K234" s="38"/>
      <c r="M234" s="87"/>
      <c r="N234" s="38"/>
      <c r="Q234" s="38"/>
    </row>
    <row r="235">
      <c r="A235" s="46" t="str">
        <f>IFERROR(__xludf.DUMMYFUNCTION("""COMPUTED_VALUE"""),"Snacks")</f>
        <v>Snacks</v>
      </c>
      <c r="B235" s="46" t="str">
        <f>IFERROR(__xludf.DUMMYFUNCTION("""COMPUTED_VALUE"""),"Undefined")</f>
        <v>Undefined</v>
      </c>
      <c r="C235" s="46">
        <f>IFERROR(__xludf.DUMMYFUNCTION("""COMPUTED_VALUE"""),2.51907765E8)</f>
        <v>251907765</v>
      </c>
      <c r="D235" s="84">
        <f>IFERROR(__xludf.DUMMYFUNCTION("""COMPUTED_VALUE"""),604369.38)</f>
        <v>604369.38</v>
      </c>
      <c r="H235" s="48"/>
      <c r="I235" s="38"/>
      <c r="J235" s="38"/>
      <c r="K235" s="38"/>
      <c r="M235" s="87"/>
      <c r="N235" s="38"/>
      <c r="Q235" s="38"/>
    </row>
    <row r="236">
      <c r="A236" s="46" t="str">
        <f>IFERROR(__xludf.DUMMYFUNCTION("""COMPUTED_VALUE"""),"Baby Food")</f>
        <v>Baby Food</v>
      </c>
      <c r="B236" s="46" t="str">
        <f>IFERROR(__xludf.DUMMYFUNCTION("""COMPUTED_VALUE"""),"Undefined")</f>
        <v>Undefined</v>
      </c>
      <c r="C236" s="46">
        <f>IFERROR(__xludf.DUMMYFUNCTION("""COMPUTED_VALUE"""),2.52541625E8)</f>
        <v>252541625</v>
      </c>
      <c r="D236" s="84">
        <f>IFERROR(__xludf.DUMMYFUNCTION("""COMPUTED_VALUE"""),391599.52)</f>
        <v>391599.52</v>
      </c>
      <c r="H236" s="48"/>
      <c r="I236" s="38"/>
      <c r="J236" s="38"/>
      <c r="K236" s="38"/>
      <c r="M236" s="87"/>
      <c r="N236" s="38"/>
      <c r="Q236" s="38"/>
    </row>
    <row r="237">
      <c r="A237" s="46" t="str">
        <f>IFERROR(__xludf.DUMMYFUNCTION("""COMPUTED_VALUE"""),"Beverages")</f>
        <v>Beverages</v>
      </c>
      <c r="B237" s="46" t="str">
        <f>IFERROR(__xludf.DUMMYFUNCTION("""COMPUTED_VALUE"""),"Romania")</f>
        <v>Romania</v>
      </c>
      <c r="C237" s="46">
        <f>IFERROR(__xludf.DUMMYFUNCTION("""COMPUTED_VALUE"""),2.53055322E8)</f>
        <v>253055322</v>
      </c>
      <c r="D237" s="84">
        <f>IFERROR(__xludf.DUMMYFUNCTION("""COMPUTED_VALUE"""),168352.6)</f>
        <v>168352.6</v>
      </c>
      <c r="H237" s="48"/>
      <c r="I237" s="38"/>
      <c r="J237" s="38"/>
      <c r="K237" s="38"/>
      <c r="M237" s="87"/>
      <c r="N237" s="38"/>
      <c r="Q237" s="38"/>
    </row>
    <row r="238">
      <c r="A238" s="46" t="str">
        <f>IFERROR(__xludf.DUMMYFUNCTION("""COMPUTED_VALUE"""),"Office Supplies")</f>
        <v>Office Supplies</v>
      </c>
      <c r="B238" s="46" t="str">
        <f>IFERROR(__xludf.DUMMYFUNCTION("""COMPUTED_VALUE"""),"Russia")</f>
        <v>Russia</v>
      </c>
      <c r="C238" s="46">
        <f>IFERROR(__xludf.DUMMYFUNCTION("""COMPUTED_VALUE"""),2.53211104E8)</f>
        <v>253211104</v>
      </c>
      <c r="D238" s="84">
        <f>IFERROR(__xludf.DUMMYFUNCTION("""COMPUTED_VALUE"""),6282874.08)</f>
        <v>6282874.08</v>
      </c>
      <c r="H238" s="48"/>
      <c r="I238" s="38"/>
      <c r="J238" s="38"/>
      <c r="K238" s="38"/>
      <c r="M238" s="87"/>
      <c r="N238" s="38"/>
      <c r="Q238" s="38"/>
    </row>
    <row r="239">
      <c r="A239" s="46" t="str">
        <f>IFERROR(__xludf.DUMMYFUNCTION("""COMPUTED_VALUE"""),"Snacks")</f>
        <v>Snacks</v>
      </c>
      <c r="B239" s="46" t="str">
        <f>IFERROR(__xludf.DUMMYFUNCTION("""COMPUTED_VALUE"""),"Cyprus")</f>
        <v>Cyprus</v>
      </c>
      <c r="C239" s="46">
        <f>IFERROR(__xludf.DUMMYFUNCTION("""COMPUTED_VALUE"""),2.55047452E8)</f>
        <v>255047452</v>
      </c>
      <c r="D239" s="84">
        <f>IFERROR(__xludf.DUMMYFUNCTION("""COMPUTED_VALUE"""),467505.12000000005)</f>
        <v>467505.12</v>
      </c>
      <c r="H239" s="48"/>
      <c r="I239" s="38"/>
      <c r="J239" s="38"/>
      <c r="K239" s="38"/>
      <c r="M239" s="87"/>
      <c r="N239" s="38"/>
      <c r="Q239" s="38"/>
    </row>
    <row r="240">
      <c r="A240" s="46" t="str">
        <f>IFERROR(__xludf.DUMMYFUNCTION("""COMPUTED_VALUE"""),"Office Supplies")</f>
        <v>Office Supplies</v>
      </c>
      <c r="B240" s="46" t="str">
        <f>IFERROR(__xludf.DUMMYFUNCTION("""COMPUTED_VALUE"""),"Montenegro")</f>
        <v>Montenegro</v>
      </c>
      <c r="C240" s="46">
        <f>IFERROR(__xludf.DUMMYFUNCTION("""COMPUTED_VALUE"""),2.56095016E8)</f>
        <v>256095016</v>
      </c>
      <c r="D240" s="84">
        <f>IFERROR(__xludf.DUMMYFUNCTION("""COMPUTED_VALUE"""),1993353.81)</f>
        <v>1993353.81</v>
      </c>
      <c r="H240" s="48"/>
      <c r="I240" s="38"/>
      <c r="J240" s="38"/>
      <c r="K240" s="38"/>
      <c r="M240" s="87"/>
      <c r="N240" s="38"/>
      <c r="Q240" s="38"/>
    </row>
    <row r="241">
      <c r="A241" s="46" t="str">
        <f>IFERROR(__xludf.DUMMYFUNCTION("""COMPUTED_VALUE"""),"Office Supplies")</f>
        <v>Office Supplies</v>
      </c>
      <c r="B241" s="46" t="str">
        <f>IFERROR(__xludf.DUMMYFUNCTION("""COMPUTED_VALUE"""),"Croatia")</f>
        <v>Croatia</v>
      </c>
      <c r="C241" s="46">
        <f>IFERROR(__xludf.DUMMYFUNCTION("""COMPUTED_VALUE"""),2.59006392E8)</f>
        <v>259006392</v>
      </c>
      <c r="D241" s="84">
        <f>IFERROR(__xludf.DUMMYFUNCTION("""COMPUTED_VALUE"""),2996868.4200000004)</f>
        <v>2996868.42</v>
      </c>
      <c r="H241" s="48"/>
      <c r="I241" s="38"/>
      <c r="J241" s="38"/>
      <c r="K241" s="38"/>
      <c r="M241" s="87"/>
      <c r="N241" s="38"/>
      <c r="Q241" s="38"/>
    </row>
    <row r="242">
      <c r="A242" s="46" t="str">
        <f>IFERROR(__xludf.DUMMYFUNCTION("""COMPUTED_VALUE"""),"Vegetables")</f>
        <v>Vegetables</v>
      </c>
      <c r="B242" s="46" t="str">
        <f>IFERROR(__xludf.DUMMYFUNCTION("""COMPUTED_VALUE"""),"Belgium")</f>
        <v>Belgium</v>
      </c>
      <c r="C242" s="46">
        <f>IFERROR(__xludf.DUMMYFUNCTION("""COMPUTED_VALUE"""),2.59032571E8)</f>
        <v>259032571</v>
      </c>
      <c r="D242" s="84">
        <f>IFERROR(__xludf.DUMMYFUNCTION("""COMPUTED_VALUE"""),361886.94)</f>
        <v>361886.94</v>
      </c>
      <c r="H242" s="48"/>
      <c r="I242" s="38"/>
      <c r="J242" s="38"/>
      <c r="K242" s="38"/>
      <c r="M242" s="87"/>
      <c r="N242" s="38"/>
      <c r="Q242" s="38"/>
    </row>
    <row r="243">
      <c r="A243" s="46" t="str">
        <f>IFERROR(__xludf.DUMMYFUNCTION("""COMPUTED_VALUE"""),"Cosmetics")</f>
        <v>Cosmetics</v>
      </c>
      <c r="B243" s="46" t="str">
        <f>IFERROR(__xludf.DUMMYFUNCTION("""COMPUTED_VALUE"""),"Undefined")</f>
        <v>Undefined</v>
      </c>
      <c r="C243" s="46">
        <f>IFERROR(__xludf.DUMMYFUNCTION("""COMPUTED_VALUE"""),2.60630738E8)</f>
        <v>260630738</v>
      </c>
      <c r="D243" s="84">
        <f>IFERROR(__xludf.DUMMYFUNCTION("""COMPUTED_VALUE"""),2309290.4)</f>
        <v>2309290.4</v>
      </c>
      <c r="H243" s="48"/>
      <c r="I243" s="38"/>
      <c r="J243" s="38"/>
      <c r="K243" s="38"/>
      <c r="M243" s="87"/>
      <c r="N243" s="38"/>
      <c r="Q243" s="38"/>
    </row>
    <row r="244">
      <c r="A244" s="46" t="str">
        <f>IFERROR(__xludf.DUMMYFUNCTION("""COMPUTED_VALUE"""),"Clothes")</f>
        <v>Clothes</v>
      </c>
      <c r="B244" s="46" t="str">
        <f>IFERROR(__xludf.DUMMYFUNCTION("""COMPUTED_VALUE"""),"Ireland")</f>
        <v>Ireland</v>
      </c>
      <c r="C244" s="46">
        <f>IFERROR(__xludf.DUMMYFUNCTION("""COMPUTED_VALUE"""),2.6118735E8)</f>
        <v>261187350</v>
      </c>
      <c r="D244" s="84">
        <f>IFERROR(__xludf.DUMMYFUNCTION("""COMPUTED_VALUE"""),1092362.8800000001)</f>
        <v>1092362.88</v>
      </c>
      <c r="H244" s="48"/>
      <c r="I244" s="38"/>
      <c r="J244" s="38"/>
      <c r="K244" s="38"/>
      <c r="M244" s="87"/>
      <c r="N244" s="38"/>
      <c r="Q244" s="38"/>
    </row>
    <row r="245">
      <c r="A245" s="46" t="str">
        <f>IFERROR(__xludf.DUMMYFUNCTION("""COMPUTED_VALUE"""),"Household")</f>
        <v>Household</v>
      </c>
      <c r="B245" s="46" t="str">
        <f>IFERROR(__xludf.DUMMYFUNCTION("""COMPUTED_VALUE"""),"Bosnia and Herzegovina")</f>
        <v>Bosnia and Herzegovina</v>
      </c>
      <c r="C245" s="46">
        <f>IFERROR(__xludf.DUMMYFUNCTION("""COMPUTED_VALUE"""),2.61640536E8)</f>
        <v>261640536</v>
      </c>
      <c r="D245" s="84">
        <f>IFERROR(__xludf.DUMMYFUNCTION("""COMPUTED_VALUE"""),2742580.08)</f>
        <v>2742580.08</v>
      </c>
      <c r="H245" s="48"/>
      <c r="I245" s="38"/>
      <c r="J245" s="38"/>
      <c r="K245" s="38"/>
      <c r="M245" s="87"/>
      <c r="N245" s="38"/>
      <c r="Q245" s="38"/>
    </row>
    <row r="246">
      <c r="A246" s="46" t="str">
        <f>IFERROR(__xludf.DUMMYFUNCTION("""COMPUTED_VALUE"""),"Fruits")</f>
        <v>Fruits</v>
      </c>
      <c r="B246" s="46" t="str">
        <f>IFERROR(__xludf.DUMMYFUNCTION("""COMPUTED_VALUE"""),"Spain")</f>
        <v>Spain</v>
      </c>
      <c r="C246" s="46">
        <f>IFERROR(__xludf.DUMMYFUNCTION("""COMPUTED_VALUE"""),2.62177836E8)</f>
        <v>262177836</v>
      </c>
      <c r="D246" s="84">
        <f>IFERROR(__xludf.DUMMYFUNCTION("""COMPUTED_VALUE"""),28950.99)</f>
        <v>28950.99</v>
      </c>
      <c r="H246" s="48"/>
      <c r="I246" s="38"/>
      <c r="J246" s="38"/>
      <c r="K246" s="38"/>
      <c r="M246" s="87"/>
      <c r="N246" s="38"/>
      <c r="Q246" s="38"/>
    </row>
    <row r="247">
      <c r="A247" s="46" t="str">
        <f>IFERROR(__xludf.DUMMYFUNCTION("""COMPUTED_VALUE"""),"Personal Care")</f>
        <v>Personal Care</v>
      </c>
      <c r="B247" s="46" t="str">
        <f>IFERROR(__xludf.DUMMYFUNCTION("""COMPUTED_VALUE"""),"Monaco")</f>
        <v>Monaco</v>
      </c>
      <c r="C247" s="46">
        <f>IFERROR(__xludf.DUMMYFUNCTION("""COMPUTED_VALUE"""),2.63098371E8)</f>
        <v>263098371</v>
      </c>
      <c r="D247" s="84">
        <f>IFERROR(__xludf.DUMMYFUNCTION("""COMPUTED_VALUE"""),450250.57)</f>
        <v>450250.57</v>
      </c>
      <c r="H247" s="48"/>
      <c r="I247" s="38"/>
      <c r="J247" s="38"/>
      <c r="K247" s="38"/>
      <c r="M247" s="87"/>
      <c r="N247" s="38"/>
      <c r="Q247" s="38"/>
    </row>
    <row r="248">
      <c r="A248" s="46" t="str">
        <f>IFERROR(__xludf.DUMMYFUNCTION("""COMPUTED_VALUE"""),"Fruits")</f>
        <v>Fruits</v>
      </c>
      <c r="B248" s="46" t="str">
        <f>IFERROR(__xludf.DUMMYFUNCTION("""COMPUTED_VALUE"""),"Austria")</f>
        <v>Austria</v>
      </c>
      <c r="C248" s="46">
        <f>IFERROR(__xludf.DUMMYFUNCTION("""COMPUTED_VALUE"""),2.6342796E8)</f>
        <v>263427960</v>
      </c>
      <c r="D248" s="84">
        <f>IFERROR(__xludf.DUMMYFUNCTION("""COMPUTED_VALUE"""),28381.86)</f>
        <v>28381.86</v>
      </c>
      <c r="H248" s="48"/>
      <c r="I248" s="38"/>
      <c r="J248" s="38"/>
      <c r="K248" s="38"/>
      <c r="M248" s="87"/>
      <c r="N248" s="38"/>
      <c r="Q248" s="38"/>
    </row>
    <row r="249">
      <c r="A249" s="46" t="str">
        <f>IFERROR(__xludf.DUMMYFUNCTION("""COMPUTED_VALUE"""),"Clothes")</f>
        <v>Clothes</v>
      </c>
      <c r="B249" s="46" t="str">
        <f>IFERROR(__xludf.DUMMYFUNCTION("""COMPUTED_VALUE"""),"Undefined")</f>
        <v>Undefined</v>
      </c>
      <c r="C249" s="46">
        <f>IFERROR(__xludf.DUMMYFUNCTION("""COMPUTED_VALUE"""),2.63647687E8)</f>
        <v>263647687</v>
      </c>
      <c r="D249" s="84">
        <f>IFERROR(__xludf.DUMMYFUNCTION("""COMPUTED_VALUE"""),881233.92)</f>
        <v>881233.92</v>
      </c>
      <c r="H249" s="48"/>
      <c r="I249" s="38"/>
      <c r="J249" s="38"/>
      <c r="K249" s="38"/>
      <c r="M249" s="87"/>
      <c r="N249" s="38"/>
      <c r="Q249" s="38"/>
    </row>
    <row r="250">
      <c r="A250" s="46" t="str">
        <f>IFERROR(__xludf.DUMMYFUNCTION("""COMPUTED_VALUE"""),"Baby Food")</f>
        <v>Baby Food</v>
      </c>
      <c r="B250" s="46" t="str">
        <f>IFERROR(__xludf.DUMMYFUNCTION("""COMPUTED_VALUE"""),"Undefined")</f>
        <v>Undefined</v>
      </c>
      <c r="C250" s="46">
        <f>IFERROR(__xludf.DUMMYFUNCTION("""COMPUTED_VALUE"""),2.63852393E8)</f>
        <v>263852393</v>
      </c>
      <c r="D250" s="84">
        <f>IFERROR(__xludf.DUMMYFUNCTION("""COMPUTED_VALUE"""),2205874.48)</f>
        <v>2205874.48</v>
      </c>
      <c r="H250" s="48"/>
      <c r="I250" s="38"/>
      <c r="J250" s="38"/>
      <c r="K250" s="38"/>
      <c r="M250" s="87"/>
      <c r="N250" s="38"/>
      <c r="Q250" s="38"/>
    </row>
    <row r="251">
      <c r="A251" s="46" t="str">
        <f>IFERROR(__xludf.DUMMYFUNCTION("""COMPUTED_VALUE"""),"Beverages")</f>
        <v>Beverages</v>
      </c>
      <c r="B251" s="46" t="str">
        <f>IFERROR(__xludf.DUMMYFUNCTION("""COMPUTED_VALUE"""),"Slovenia")</f>
        <v>Slovenia</v>
      </c>
      <c r="C251" s="46">
        <f>IFERROR(__xludf.DUMMYFUNCTION("""COMPUTED_VALUE"""),2.63882005E8)</f>
        <v>263882005</v>
      </c>
      <c r="D251" s="84">
        <f>IFERROR(__xludf.DUMMYFUNCTION("""COMPUTED_VALUE"""),351319.80000000005)</f>
        <v>351319.8</v>
      </c>
      <c r="H251" s="48"/>
      <c r="I251" s="38"/>
      <c r="J251" s="38"/>
      <c r="K251" s="38"/>
      <c r="M251" s="87"/>
      <c r="N251" s="38"/>
      <c r="Q251" s="38"/>
    </row>
    <row r="252">
      <c r="A252" s="46" t="str">
        <f>IFERROR(__xludf.DUMMYFUNCTION("""COMPUTED_VALUE"""),"Office Supplies")</f>
        <v>Office Supplies</v>
      </c>
      <c r="B252" s="46" t="str">
        <f>IFERROR(__xludf.DUMMYFUNCTION("""COMPUTED_VALUE"""),"Ireland")</f>
        <v>Ireland</v>
      </c>
      <c r="C252" s="46">
        <f>IFERROR(__xludf.DUMMYFUNCTION("""COMPUTED_VALUE"""),2.63977277E8)</f>
        <v>263977277</v>
      </c>
      <c r="D252" s="84">
        <f>IFERROR(__xludf.DUMMYFUNCTION("""COMPUTED_VALUE"""),3644822.37)</f>
        <v>3644822.37</v>
      </c>
      <c r="H252" s="48"/>
      <c r="I252" s="38"/>
      <c r="J252" s="38"/>
      <c r="K252" s="38"/>
      <c r="M252" s="87"/>
      <c r="N252" s="38"/>
      <c r="Q252" s="38"/>
    </row>
    <row r="253">
      <c r="A253" s="46" t="str">
        <f>IFERROR(__xludf.DUMMYFUNCTION("""COMPUTED_VALUE"""),"Beverages")</f>
        <v>Beverages</v>
      </c>
      <c r="B253" s="46" t="str">
        <f>IFERROR(__xludf.DUMMYFUNCTION("""COMPUTED_VALUE"""),"Liechtenstein")</f>
        <v>Liechtenstein</v>
      </c>
      <c r="C253" s="46">
        <f>IFERROR(__xludf.DUMMYFUNCTION("""COMPUTED_VALUE"""),2.64163959E8)</f>
        <v>264163959</v>
      </c>
      <c r="D253" s="84">
        <f>IFERROR(__xludf.DUMMYFUNCTION("""COMPUTED_VALUE"""),39858.0)</f>
        <v>39858</v>
      </c>
      <c r="H253" s="48"/>
      <c r="I253" s="38"/>
      <c r="J253" s="38"/>
      <c r="K253" s="38"/>
      <c r="M253" s="87"/>
      <c r="N253" s="38"/>
      <c r="Q253" s="38"/>
    </row>
    <row r="254">
      <c r="A254" s="46" t="str">
        <f>IFERROR(__xludf.DUMMYFUNCTION("""COMPUTED_VALUE"""),"Personal Care")</f>
        <v>Personal Care</v>
      </c>
      <c r="B254" s="46" t="str">
        <f>IFERROR(__xludf.DUMMYFUNCTION("""COMPUTED_VALUE"""),"Romania")</f>
        <v>Romania</v>
      </c>
      <c r="C254" s="46">
        <f>IFERROR(__xludf.DUMMYFUNCTION("""COMPUTED_VALUE"""),2.64526593E8)</f>
        <v>264526593</v>
      </c>
      <c r="D254" s="84">
        <f>IFERROR(__xludf.DUMMYFUNCTION("""COMPUTED_VALUE"""),666262.9600000001)</f>
        <v>666262.96</v>
      </c>
      <c r="H254" s="48"/>
      <c r="I254" s="38"/>
      <c r="J254" s="38"/>
      <c r="K254" s="38"/>
      <c r="M254" s="87"/>
      <c r="N254" s="38"/>
      <c r="Q254" s="38"/>
    </row>
    <row r="255">
      <c r="A255" s="46" t="str">
        <f>IFERROR(__xludf.DUMMYFUNCTION("""COMPUTED_VALUE"""),"Fruits")</f>
        <v>Fruits</v>
      </c>
      <c r="B255" s="46" t="str">
        <f>IFERROR(__xludf.DUMMYFUNCTION("""COMPUTED_VALUE"""),"Cyprus")</f>
        <v>Cyprus</v>
      </c>
      <c r="C255" s="46">
        <f>IFERROR(__xludf.DUMMYFUNCTION("""COMPUTED_VALUE"""),2.64856183E8)</f>
        <v>264856183</v>
      </c>
      <c r="D255" s="84">
        <f>IFERROR(__xludf.DUMMYFUNCTION("""COMPUTED_VALUE"""),53041.05)</f>
        <v>53041.05</v>
      </c>
      <c r="H255" s="48"/>
      <c r="I255" s="38"/>
      <c r="J255" s="38"/>
      <c r="K255" s="38"/>
      <c r="M255" s="87"/>
      <c r="N255" s="38"/>
      <c r="Q255" s="38"/>
    </row>
    <row r="256">
      <c r="A256" s="46" t="str">
        <f>IFERROR(__xludf.DUMMYFUNCTION("""COMPUTED_VALUE"""),"Clothes")</f>
        <v>Clothes</v>
      </c>
      <c r="B256" s="46" t="str">
        <f>IFERROR(__xludf.DUMMYFUNCTION("""COMPUTED_VALUE"""),"Estonia")</f>
        <v>Estonia</v>
      </c>
      <c r="C256" s="46">
        <f>IFERROR(__xludf.DUMMYFUNCTION("""COMPUTED_VALUE"""),2.6492871E8)</f>
        <v>264928710</v>
      </c>
      <c r="D256" s="84">
        <f>IFERROR(__xludf.DUMMYFUNCTION("""COMPUTED_VALUE"""),781024.16)</f>
        <v>781024.16</v>
      </c>
      <c r="H256" s="48"/>
      <c r="I256" s="38"/>
      <c r="J256" s="38"/>
      <c r="K256" s="38"/>
      <c r="M256" s="87"/>
      <c r="N256" s="38"/>
      <c r="Q256" s="38"/>
    </row>
    <row r="257">
      <c r="A257" s="46" t="str">
        <f>IFERROR(__xludf.DUMMYFUNCTION("""COMPUTED_VALUE"""),"Snacks")</f>
        <v>Snacks</v>
      </c>
      <c r="B257" s="46" t="str">
        <f>IFERROR(__xludf.DUMMYFUNCTION("""COMPUTED_VALUE"""),"Georgia")</f>
        <v>Georgia</v>
      </c>
      <c r="C257" s="46">
        <f>IFERROR(__xludf.DUMMYFUNCTION("""COMPUTED_VALUE"""),2.64959609E8)</f>
        <v>264959609</v>
      </c>
      <c r="D257" s="84">
        <f>IFERROR(__xludf.DUMMYFUNCTION("""COMPUTED_VALUE"""),959880.78)</f>
        <v>959880.78</v>
      </c>
      <c r="H257" s="48"/>
      <c r="I257" s="38"/>
      <c r="J257" s="38"/>
      <c r="K257" s="38"/>
      <c r="M257" s="87"/>
      <c r="N257" s="38"/>
      <c r="Q257" s="38"/>
    </row>
    <row r="258">
      <c r="A258" s="46" t="str">
        <f>IFERROR(__xludf.DUMMYFUNCTION("""COMPUTED_VALUE"""),"Snacks")</f>
        <v>Snacks</v>
      </c>
      <c r="B258" s="46" t="str">
        <f>IFERROR(__xludf.DUMMYFUNCTION("""COMPUTED_VALUE"""),"Serbia")</f>
        <v>Serbia</v>
      </c>
      <c r="C258" s="46">
        <f>IFERROR(__xludf.DUMMYFUNCTION("""COMPUTED_VALUE"""),2.65191352E8)</f>
        <v>265191352</v>
      </c>
      <c r="D258" s="84">
        <f>IFERROR(__xludf.DUMMYFUNCTION("""COMPUTED_VALUE"""),742912.02)</f>
        <v>742912.02</v>
      </c>
      <c r="H258" s="48"/>
      <c r="I258" s="38"/>
      <c r="J258" s="38"/>
      <c r="K258" s="38"/>
      <c r="M258" s="87"/>
      <c r="N258" s="38"/>
      <c r="Q258" s="38"/>
    </row>
    <row r="259">
      <c r="A259" s="46" t="str">
        <f>IFERROR(__xludf.DUMMYFUNCTION("""COMPUTED_VALUE"""),"Cosmetics")</f>
        <v>Cosmetics</v>
      </c>
      <c r="B259" s="46" t="str">
        <f>IFERROR(__xludf.DUMMYFUNCTION("""COMPUTED_VALUE"""),"Malta")</f>
        <v>Malta</v>
      </c>
      <c r="C259" s="46">
        <f>IFERROR(__xludf.DUMMYFUNCTION("""COMPUTED_VALUE"""),2.65914475E8)</f>
        <v>265914475</v>
      </c>
      <c r="D259" s="84">
        <f>IFERROR(__xludf.DUMMYFUNCTION("""COMPUTED_VALUE"""),3872280.4)</f>
        <v>3872280.4</v>
      </c>
      <c r="H259" s="48"/>
      <c r="I259" s="38"/>
      <c r="J259" s="38"/>
      <c r="K259" s="38"/>
      <c r="M259" s="87"/>
      <c r="N259" s="38"/>
      <c r="Q259" s="38"/>
    </row>
    <row r="260">
      <c r="A260" s="46" t="str">
        <f>IFERROR(__xludf.DUMMYFUNCTION("""COMPUTED_VALUE"""),"Household")</f>
        <v>Household</v>
      </c>
      <c r="B260" s="46" t="str">
        <f>IFERROR(__xludf.DUMMYFUNCTION("""COMPUTED_VALUE"""),"Serbia")</f>
        <v>Serbia</v>
      </c>
      <c r="C260" s="46">
        <f>IFERROR(__xludf.DUMMYFUNCTION("""COMPUTED_VALUE"""),2.66614854E8)</f>
        <v>266614854</v>
      </c>
      <c r="D260" s="84">
        <f>IFERROR(__xludf.DUMMYFUNCTION("""COMPUTED_VALUE"""),4086471.05)</f>
        <v>4086471.05</v>
      </c>
      <c r="H260" s="48"/>
      <c r="I260" s="38"/>
      <c r="J260" s="38"/>
      <c r="K260" s="38"/>
      <c r="M260" s="87"/>
      <c r="N260" s="38"/>
      <c r="Q260" s="38"/>
    </row>
    <row r="261">
      <c r="A261" s="46" t="str">
        <f>IFERROR(__xludf.DUMMYFUNCTION("""COMPUTED_VALUE"""),"Household")</f>
        <v>Household</v>
      </c>
      <c r="B261" s="46" t="str">
        <f>IFERROR(__xludf.DUMMYFUNCTION("""COMPUTED_VALUE"""),"Andorra")</f>
        <v>Andorra</v>
      </c>
      <c r="C261" s="46">
        <f>IFERROR(__xludf.DUMMYFUNCTION("""COMPUTED_VALUE"""),2.66638886E8)</f>
        <v>266638886</v>
      </c>
      <c r="D261" s="84">
        <f>IFERROR(__xludf.DUMMYFUNCTION("""COMPUTED_VALUE"""),2156507.29)</f>
        <v>2156507.29</v>
      </c>
      <c r="H261" s="48"/>
      <c r="I261" s="38"/>
      <c r="J261" s="38"/>
      <c r="K261" s="38"/>
      <c r="M261" s="87"/>
      <c r="N261" s="38"/>
      <c r="Q261" s="38"/>
    </row>
    <row r="262">
      <c r="A262" s="46" t="str">
        <f>IFERROR(__xludf.DUMMYFUNCTION("""COMPUTED_VALUE"""),"Office Supplies")</f>
        <v>Office Supplies</v>
      </c>
      <c r="B262" s="46" t="str">
        <f>IFERROR(__xludf.DUMMYFUNCTION("""COMPUTED_VALUE"""),"Austria")</f>
        <v>Austria</v>
      </c>
      <c r="C262" s="46">
        <f>IFERROR(__xludf.DUMMYFUNCTION("""COMPUTED_VALUE"""),2.68373954E8)</f>
        <v>268373954</v>
      </c>
      <c r="D262" s="84">
        <f>IFERROR(__xludf.DUMMYFUNCTION("""COMPUTED_VALUE"""),4344873.12)</f>
        <v>4344873.12</v>
      </c>
      <c r="H262" s="48"/>
      <c r="I262" s="38"/>
      <c r="J262" s="38"/>
      <c r="K262" s="38"/>
      <c r="M262" s="87"/>
      <c r="N262" s="38"/>
      <c r="Q262" s="38"/>
    </row>
    <row r="263">
      <c r="A263" s="46" t="str">
        <f>IFERROR(__xludf.DUMMYFUNCTION("""COMPUTED_VALUE"""),"Beverages")</f>
        <v>Beverages</v>
      </c>
      <c r="B263" s="46" t="str">
        <f>IFERROR(__xludf.DUMMYFUNCTION("""COMPUTED_VALUE"""),"Albania")</f>
        <v>Albania</v>
      </c>
      <c r="C263" s="46">
        <f>IFERROR(__xludf.DUMMYFUNCTION("""COMPUTED_VALUE"""),2.70358788E8)</f>
        <v>270358788</v>
      </c>
      <c r="D263" s="84">
        <f>IFERROR(__xludf.DUMMYFUNCTION("""COMPUTED_VALUE"""),191128.6)</f>
        <v>191128.6</v>
      </c>
      <c r="H263" s="48"/>
      <c r="I263" s="38"/>
      <c r="J263" s="38"/>
      <c r="K263" s="38"/>
      <c r="M263" s="87"/>
      <c r="N263" s="38"/>
      <c r="Q263" s="38"/>
    </row>
    <row r="264">
      <c r="A264" s="46" t="str">
        <f>IFERROR(__xludf.DUMMYFUNCTION("""COMPUTED_VALUE"""),"Snacks")</f>
        <v>Snacks</v>
      </c>
      <c r="B264" s="46" t="str">
        <f>IFERROR(__xludf.DUMMYFUNCTION("""COMPUTED_VALUE"""),"Portugal")</f>
        <v>Portugal</v>
      </c>
      <c r="C264" s="46">
        <f>IFERROR(__xludf.DUMMYFUNCTION("""COMPUTED_VALUE"""),2.72361218E8)</f>
        <v>272361218</v>
      </c>
      <c r="D264" s="84">
        <f>IFERROR(__xludf.DUMMYFUNCTION("""COMPUTED_VALUE"""),1005807.3600000001)</f>
        <v>1005807.36</v>
      </c>
      <c r="H264" s="48"/>
      <c r="I264" s="38"/>
      <c r="J264" s="38"/>
      <c r="K264" s="38"/>
      <c r="M264" s="87"/>
      <c r="N264" s="38"/>
      <c r="Q264" s="38"/>
    </row>
    <row r="265">
      <c r="A265" s="46" t="str">
        <f>IFERROR(__xludf.DUMMYFUNCTION("""COMPUTED_VALUE"""),"Fruits")</f>
        <v>Fruits</v>
      </c>
      <c r="B265" s="46" t="str">
        <f>IFERROR(__xludf.DUMMYFUNCTION("""COMPUTED_VALUE"""),"Denmark")</f>
        <v>Denmark</v>
      </c>
      <c r="C265" s="46">
        <f>IFERROR(__xludf.DUMMYFUNCTION("""COMPUTED_VALUE"""),2.72425591E8)</f>
        <v>272425591</v>
      </c>
      <c r="D265" s="84">
        <f>IFERROR(__xludf.DUMMYFUNCTION("""COMPUTED_VALUE"""),52630.53)</f>
        <v>52630.53</v>
      </c>
      <c r="H265" s="48"/>
      <c r="I265" s="38"/>
      <c r="J265" s="38"/>
      <c r="K265" s="38"/>
      <c r="M265" s="87"/>
      <c r="N265" s="38"/>
      <c r="Q265" s="38"/>
    </row>
    <row r="266">
      <c r="A266" s="46" t="str">
        <f>IFERROR(__xludf.DUMMYFUNCTION("""COMPUTED_VALUE"""),"Meat")</f>
        <v>Meat</v>
      </c>
      <c r="B266" s="46" t="str">
        <f>IFERROR(__xludf.DUMMYFUNCTION("""COMPUTED_VALUE"""),"Bulgaria")</f>
        <v>Bulgaria</v>
      </c>
      <c r="C266" s="46">
        <f>IFERROR(__xludf.DUMMYFUNCTION("""COMPUTED_VALUE"""),2.73662412E8)</f>
        <v>273662412</v>
      </c>
      <c r="D266" s="84">
        <f>IFERROR(__xludf.DUMMYFUNCTION("""COMPUTED_VALUE"""),693587.16)</f>
        <v>693587.16</v>
      </c>
      <c r="H266" s="48"/>
      <c r="I266" s="38"/>
      <c r="J266" s="38"/>
      <c r="K266" s="38"/>
      <c r="M266" s="87"/>
      <c r="N266" s="38"/>
      <c r="Q266" s="38"/>
    </row>
    <row r="267">
      <c r="A267" s="46" t="str">
        <f>IFERROR(__xludf.DUMMYFUNCTION("""COMPUTED_VALUE"""),"Cereal")</f>
        <v>Cereal</v>
      </c>
      <c r="B267" s="46" t="str">
        <f>IFERROR(__xludf.DUMMYFUNCTION("""COMPUTED_VALUE"""),"Romania")</f>
        <v>Romania</v>
      </c>
      <c r="C267" s="46">
        <f>IFERROR(__xludf.DUMMYFUNCTION("""COMPUTED_VALUE"""),2.73940503E8)</f>
        <v>273940503</v>
      </c>
      <c r="D267" s="84">
        <f>IFERROR(__xludf.DUMMYFUNCTION("""COMPUTED_VALUE"""),809840.8999999999)</f>
        <v>809840.9</v>
      </c>
      <c r="H267" s="48"/>
      <c r="I267" s="38"/>
      <c r="J267" s="38"/>
      <c r="K267" s="38"/>
      <c r="M267" s="87"/>
      <c r="N267" s="38"/>
      <c r="Q267" s="38"/>
    </row>
    <row r="268">
      <c r="A268" s="46" t="str">
        <f>IFERROR(__xludf.DUMMYFUNCTION("""COMPUTED_VALUE"""),"Personal Care")</f>
        <v>Personal Care</v>
      </c>
      <c r="B268" s="46" t="str">
        <f>IFERROR(__xludf.DUMMYFUNCTION("""COMPUTED_VALUE"""),"Malta")</f>
        <v>Malta</v>
      </c>
      <c r="C268" s="46">
        <f>IFERROR(__xludf.DUMMYFUNCTION("""COMPUTED_VALUE"""),2.74694526E8)</f>
        <v>274694526</v>
      </c>
      <c r="D268" s="84">
        <f>IFERROR(__xludf.DUMMYFUNCTION("""COMPUTED_VALUE"""),577749.37)</f>
        <v>577749.37</v>
      </c>
      <c r="H268" s="48"/>
      <c r="I268" s="38"/>
      <c r="J268" s="38"/>
      <c r="K268" s="38"/>
      <c r="M268" s="87"/>
      <c r="N268" s="38"/>
      <c r="Q268" s="38"/>
    </row>
    <row r="269">
      <c r="A269" s="46" t="str">
        <f>IFERROR(__xludf.DUMMYFUNCTION("""COMPUTED_VALUE"""),"Snacks")</f>
        <v>Snacks</v>
      </c>
      <c r="B269" s="46" t="str">
        <f>IFERROR(__xludf.DUMMYFUNCTION("""COMPUTED_VALUE"""),"Sweden")</f>
        <v>Sweden</v>
      </c>
      <c r="C269" s="46">
        <f>IFERROR(__xludf.DUMMYFUNCTION("""COMPUTED_VALUE"""),2.74989354E8)</f>
        <v>274989354</v>
      </c>
      <c r="D269" s="84">
        <f>IFERROR(__xludf.DUMMYFUNCTION("""COMPUTED_VALUE"""),658535.28)</f>
        <v>658535.28</v>
      </c>
      <c r="H269" s="48"/>
      <c r="I269" s="38"/>
      <c r="J269" s="38"/>
      <c r="K269" s="38"/>
      <c r="M269" s="87"/>
      <c r="N269" s="38"/>
      <c r="Q269" s="38"/>
    </row>
    <row r="270">
      <c r="A270" s="46" t="str">
        <f>IFERROR(__xludf.DUMMYFUNCTION("""COMPUTED_VALUE"""),"Clothes")</f>
        <v>Clothes</v>
      </c>
      <c r="B270" s="46" t="str">
        <f>IFERROR(__xludf.DUMMYFUNCTION("""COMPUTED_VALUE"""),"Germany")</f>
        <v>Germany</v>
      </c>
      <c r="C270" s="46">
        <f>IFERROR(__xludf.DUMMYFUNCTION("""COMPUTED_VALUE"""),2.76784074E8)</f>
        <v>276784074</v>
      </c>
      <c r="D270" s="84">
        <f>IFERROR(__xludf.DUMMYFUNCTION("""COMPUTED_VALUE"""),591532.64)</f>
        <v>591532.64</v>
      </c>
      <c r="H270" s="48"/>
      <c r="I270" s="38"/>
      <c r="J270" s="38"/>
      <c r="K270" s="38"/>
      <c r="M270" s="87"/>
      <c r="N270" s="38"/>
      <c r="Q270" s="38"/>
    </row>
    <row r="271">
      <c r="A271" s="46" t="str">
        <f>IFERROR(__xludf.DUMMYFUNCTION("""COMPUTED_VALUE"""),"Baby Food")</f>
        <v>Baby Food</v>
      </c>
      <c r="B271" s="46" t="str">
        <f>IFERROR(__xludf.DUMMYFUNCTION("""COMPUTED_VALUE"""),"Malta")</f>
        <v>Malta</v>
      </c>
      <c r="C271" s="46">
        <f>IFERROR(__xludf.DUMMYFUNCTION("""COMPUTED_VALUE"""),2.76850593E8)</f>
        <v>276850593</v>
      </c>
      <c r="D271" s="84">
        <f>IFERROR(__xludf.DUMMYFUNCTION("""COMPUTED_VALUE"""),1301162.16)</f>
        <v>1301162.16</v>
      </c>
      <c r="H271" s="48"/>
      <c r="I271" s="38"/>
      <c r="J271" s="38"/>
      <c r="K271" s="38"/>
      <c r="M271" s="87"/>
      <c r="N271" s="38"/>
      <c r="Q271" s="38"/>
    </row>
    <row r="272">
      <c r="A272" s="46" t="str">
        <f>IFERROR(__xludf.DUMMYFUNCTION("""COMPUTED_VALUE"""),"Fruits")</f>
        <v>Fruits</v>
      </c>
      <c r="B272" s="46" t="str">
        <f>IFERROR(__xludf.DUMMYFUNCTION("""COMPUTED_VALUE"""),"Macedonia")</f>
        <v>Macedonia</v>
      </c>
      <c r="C272" s="46">
        <f>IFERROR(__xludf.DUMMYFUNCTION("""COMPUTED_VALUE"""),2.78513133E8)</f>
        <v>278513133</v>
      </c>
      <c r="D272" s="84">
        <f>IFERROR(__xludf.DUMMYFUNCTION("""COMPUTED_VALUE"""),66056.4)</f>
        <v>66056.4</v>
      </c>
      <c r="H272" s="48"/>
      <c r="I272" s="38"/>
      <c r="J272" s="38"/>
      <c r="K272" s="38"/>
      <c r="M272" s="87"/>
      <c r="N272" s="38"/>
      <c r="Q272" s="38"/>
    </row>
    <row r="273">
      <c r="A273" s="46" t="str">
        <f>IFERROR(__xludf.DUMMYFUNCTION("""COMPUTED_VALUE"""),"Cereal")</f>
        <v>Cereal</v>
      </c>
      <c r="B273" s="46" t="str">
        <f>IFERROR(__xludf.DUMMYFUNCTION("""COMPUTED_VALUE"""),"Russia")</f>
        <v>Russia</v>
      </c>
      <c r="C273" s="46">
        <f>IFERROR(__xludf.DUMMYFUNCTION("""COMPUTED_VALUE"""),2.79338395E8)</f>
        <v>279338395</v>
      </c>
      <c r="D273" s="84">
        <f>IFERROR(__xludf.DUMMYFUNCTION("""COMPUTED_VALUE"""),265970.1)</f>
        <v>265970.1</v>
      </c>
      <c r="H273" s="48"/>
      <c r="I273" s="38"/>
      <c r="J273" s="38"/>
      <c r="K273" s="38"/>
      <c r="M273" s="87"/>
      <c r="N273" s="38"/>
      <c r="Q273" s="38"/>
    </row>
    <row r="274">
      <c r="A274" s="46" t="str">
        <f>IFERROR(__xludf.DUMMYFUNCTION("""COMPUTED_VALUE"""),"Baby Food")</f>
        <v>Baby Food</v>
      </c>
      <c r="B274" s="46" t="str">
        <f>IFERROR(__xludf.DUMMYFUNCTION("""COMPUTED_VALUE"""),"Hungary")</f>
        <v>Hungary</v>
      </c>
      <c r="C274" s="46">
        <f>IFERROR(__xludf.DUMMYFUNCTION("""COMPUTED_VALUE"""),2.79703605E8)</f>
        <v>279703605</v>
      </c>
      <c r="D274" s="84">
        <f>IFERROR(__xludf.DUMMYFUNCTION("""COMPUTED_VALUE"""),2391207.7600000002)</f>
        <v>2391207.76</v>
      </c>
      <c r="H274" s="48"/>
      <c r="I274" s="38"/>
      <c r="J274" s="38"/>
      <c r="K274" s="38"/>
      <c r="M274" s="87"/>
      <c r="N274" s="38"/>
      <c r="Q274" s="38"/>
    </row>
    <row r="275">
      <c r="A275" s="46" t="str">
        <f>IFERROR(__xludf.DUMMYFUNCTION("""COMPUTED_VALUE"""),"Snacks")</f>
        <v>Snacks</v>
      </c>
      <c r="B275" s="46" t="str">
        <f>IFERROR(__xludf.DUMMYFUNCTION("""COMPUTED_VALUE"""),"Portugal")</f>
        <v>Portugal</v>
      </c>
      <c r="C275" s="46">
        <f>IFERROR(__xludf.DUMMYFUNCTION("""COMPUTED_VALUE"""),2.79816472E8)</f>
        <v>279816472</v>
      </c>
      <c r="D275" s="84">
        <f>IFERROR(__xludf.DUMMYFUNCTION("""COMPUTED_VALUE"""),422188.86000000004)</f>
        <v>422188.86</v>
      </c>
      <c r="H275" s="48"/>
      <c r="I275" s="38"/>
      <c r="J275" s="38"/>
      <c r="K275" s="38"/>
      <c r="M275" s="87"/>
      <c r="N275" s="38"/>
      <c r="Q275" s="38"/>
    </row>
    <row r="276">
      <c r="A276" s="46" t="str">
        <f>IFERROR(__xludf.DUMMYFUNCTION("""COMPUTED_VALUE"""),"Cereal")</f>
        <v>Cereal</v>
      </c>
      <c r="B276" s="46" t="str">
        <f>IFERROR(__xludf.DUMMYFUNCTION("""COMPUTED_VALUE"""),"Finland")</f>
        <v>Finland</v>
      </c>
      <c r="C276" s="46">
        <f>IFERROR(__xludf.DUMMYFUNCTION("""COMPUTED_VALUE"""),2.8019241E8)</f>
        <v>280192410</v>
      </c>
      <c r="D276" s="84">
        <f>IFERROR(__xludf.DUMMYFUNCTION("""COMPUTED_VALUE"""),826091.2)</f>
        <v>826091.2</v>
      </c>
      <c r="H276" s="48"/>
      <c r="I276" s="38"/>
      <c r="J276" s="38"/>
      <c r="K276" s="38"/>
      <c r="M276" s="87"/>
      <c r="N276" s="38"/>
      <c r="Q276" s="38"/>
    </row>
    <row r="277">
      <c r="A277" s="46" t="str">
        <f>IFERROR(__xludf.DUMMYFUNCTION("""COMPUTED_VALUE"""),"Cereal")</f>
        <v>Cereal</v>
      </c>
      <c r="B277" s="46" t="str">
        <f>IFERROR(__xludf.DUMMYFUNCTION("""COMPUTED_VALUE"""),"Greece")</f>
        <v>Greece</v>
      </c>
      <c r="C277" s="46">
        <f>IFERROR(__xludf.DUMMYFUNCTION("""COMPUTED_VALUE"""),2.80477797E8)</f>
        <v>280477797</v>
      </c>
      <c r="D277" s="84">
        <f>IFERROR(__xludf.DUMMYFUNCTION("""COMPUTED_VALUE"""),1741867.5999999999)</f>
        <v>1741867.6</v>
      </c>
      <c r="H277" s="48"/>
      <c r="I277" s="38"/>
      <c r="J277" s="38"/>
      <c r="K277" s="38"/>
      <c r="M277" s="87"/>
      <c r="N277" s="38"/>
      <c r="Q277" s="38"/>
    </row>
    <row r="278">
      <c r="A278" s="46" t="str">
        <f>IFERROR(__xludf.DUMMYFUNCTION("""COMPUTED_VALUE"""),"Snacks")</f>
        <v>Snacks</v>
      </c>
      <c r="B278" s="46" t="str">
        <f>IFERROR(__xludf.DUMMYFUNCTION("""COMPUTED_VALUE"""),"Italy")</f>
        <v>Italy</v>
      </c>
      <c r="C278" s="46">
        <f>IFERROR(__xludf.DUMMYFUNCTION("""COMPUTED_VALUE"""),2.81100928E8)</f>
        <v>281100928</v>
      </c>
      <c r="D278" s="84">
        <f>IFERROR(__xludf.DUMMYFUNCTION("""COMPUTED_VALUE"""),437294.28)</f>
        <v>437294.28</v>
      </c>
      <c r="H278" s="48"/>
      <c r="I278" s="38"/>
      <c r="J278" s="38"/>
      <c r="K278" s="38"/>
      <c r="M278" s="87"/>
      <c r="N278" s="38"/>
      <c r="Q278" s="38"/>
    </row>
    <row r="279">
      <c r="A279" s="46" t="str">
        <f>IFERROR(__xludf.DUMMYFUNCTION("""COMPUTED_VALUE"""),"Office Supplies")</f>
        <v>Office Supplies</v>
      </c>
      <c r="B279" s="46" t="str">
        <f>IFERROR(__xludf.DUMMYFUNCTION("""COMPUTED_VALUE"""),"Russia")</f>
        <v>Russia</v>
      </c>
      <c r="C279" s="46">
        <f>IFERROR(__xludf.DUMMYFUNCTION("""COMPUTED_VALUE"""),2.82917964E8)</f>
        <v>282917964</v>
      </c>
      <c r="D279" s="84">
        <f>IFERROR(__xludf.DUMMYFUNCTION("""COMPUTED_VALUE"""),369236.07)</f>
        <v>369236.07</v>
      </c>
      <c r="H279" s="48"/>
      <c r="I279" s="38"/>
      <c r="J279" s="38"/>
      <c r="K279" s="38"/>
      <c r="M279" s="87"/>
      <c r="N279" s="38"/>
      <c r="Q279" s="38"/>
    </row>
    <row r="280">
      <c r="A280" s="46" t="str">
        <f>IFERROR(__xludf.DUMMYFUNCTION("""COMPUTED_VALUE"""),"Cosmetics")</f>
        <v>Cosmetics</v>
      </c>
      <c r="B280" s="46" t="str">
        <f>IFERROR(__xludf.DUMMYFUNCTION("""COMPUTED_VALUE"""),"Malta")</f>
        <v>Malta</v>
      </c>
      <c r="C280" s="46">
        <f>IFERROR(__xludf.DUMMYFUNCTION("""COMPUTED_VALUE"""),2.84108436E8)</f>
        <v>284108436</v>
      </c>
      <c r="D280" s="84">
        <f>IFERROR(__xludf.DUMMYFUNCTION("""COMPUTED_VALUE"""),1247768.8)</f>
        <v>1247768.8</v>
      </c>
      <c r="H280" s="48"/>
      <c r="I280" s="38"/>
      <c r="J280" s="38"/>
      <c r="K280" s="38"/>
      <c r="M280" s="87"/>
      <c r="N280" s="38"/>
      <c r="Q280" s="38"/>
    </row>
    <row r="281">
      <c r="A281" s="46" t="str">
        <f>IFERROR(__xludf.DUMMYFUNCTION("""COMPUTED_VALUE"""),"Cosmetics")</f>
        <v>Cosmetics</v>
      </c>
      <c r="B281" s="46" t="str">
        <f>IFERROR(__xludf.DUMMYFUNCTION("""COMPUTED_VALUE"""),"Poland")</f>
        <v>Poland</v>
      </c>
      <c r="C281" s="46">
        <f>IFERROR(__xludf.DUMMYFUNCTION("""COMPUTED_VALUE"""),2.84310567E8)</f>
        <v>284310567</v>
      </c>
      <c r="D281" s="84">
        <f>IFERROR(__xludf.DUMMYFUNCTION("""COMPUTED_VALUE"""),1167324.0)</f>
        <v>1167324</v>
      </c>
      <c r="H281" s="48"/>
      <c r="I281" s="38"/>
      <c r="J281" s="38"/>
      <c r="K281" s="38"/>
      <c r="M281" s="87"/>
      <c r="N281" s="38"/>
      <c r="Q281" s="38"/>
    </row>
    <row r="282">
      <c r="A282" s="46" t="str">
        <f>IFERROR(__xludf.DUMMYFUNCTION("""COMPUTED_VALUE"""),"Vegetables")</f>
        <v>Vegetables</v>
      </c>
      <c r="B282" s="46" t="str">
        <f>IFERROR(__xludf.DUMMYFUNCTION("""COMPUTED_VALUE"""),"Sweden")</f>
        <v>Sweden</v>
      </c>
      <c r="C282" s="46">
        <f>IFERROR(__xludf.DUMMYFUNCTION("""COMPUTED_VALUE"""),2.84403264E8)</f>
        <v>284403264</v>
      </c>
      <c r="D282" s="84">
        <f>IFERROR(__xludf.DUMMYFUNCTION("""COMPUTED_VALUE"""),15560.06)</f>
        <v>15560.06</v>
      </c>
      <c r="H282" s="48"/>
      <c r="I282" s="38"/>
      <c r="J282" s="38"/>
      <c r="K282" s="38"/>
      <c r="M282" s="87"/>
      <c r="N282" s="38"/>
      <c r="Q282" s="38"/>
    </row>
    <row r="283">
      <c r="A283" s="46" t="str">
        <f>IFERROR(__xludf.DUMMYFUNCTION("""COMPUTED_VALUE"""),"Personal Care")</f>
        <v>Personal Care</v>
      </c>
      <c r="B283" s="46" t="str">
        <f>IFERROR(__xludf.DUMMYFUNCTION("""COMPUTED_VALUE"""),"Montenegro")</f>
        <v>Montenegro</v>
      </c>
      <c r="C283" s="46">
        <f>IFERROR(__xludf.DUMMYFUNCTION("""COMPUTED_VALUE"""),2.84435451E8)</f>
        <v>284435451</v>
      </c>
      <c r="D283" s="84">
        <f>IFERROR(__xludf.DUMMYFUNCTION("""COMPUTED_VALUE"""),786651.25)</f>
        <v>786651.25</v>
      </c>
      <c r="H283" s="48"/>
      <c r="I283" s="38"/>
      <c r="J283" s="38"/>
      <c r="K283" s="38"/>
      <c r="M283" s="87"/>
      <c r="N283" s="38"/>
      <c r="Q283" s="38"/>
    </row>
    <row r="284">
      <c r="A284" s="46" t="str">
        <f>IFERROR(__xludf.DUMMYFUNCTION("""COMPUTED_VALUE"""),"Cosmetics")</f>
        <v>Cosmetics</v>
      </c>
      <c r="B284" s="46" t="str">
        <f>IFERROR(__xludf.DUMMYFUNCTION("""COMPUTED_VALUE"""),"San Marino")</f>
        <v>San Marino</v>
      </c>
      <c r="C284" s="46">
        <f>IFERROR(__xludf.DUMMYFUNCTION("""COMPUTED_VALUE"""),2.84595954E8)</f>
        <v>284595954</v>
      </c>
      <c r="D284" s="84">
        <f>IFERROR(__xludf.DUMMYFUNCTION("""COMPUTED_VALUE"""),3113738.4)</f>
        <v>3113738.4</v>
      </c>
      <c r="H284" s="48"/>
      <c r="I284" s="38"/>
      <c r="J284" s="38"/>
      <c r="K284" s="38"/>
      <c r="M284" s="87"/>
      <c r="N284" s="38"/>
      <c r="Q284" s="38"/>
    </row>
    <row r="285">
      <c r="A285" s="46" t="str">
        <f>IFERROR(__xludf.DUMMYFUNCTION("""COMPUTED_VALUE"""),"Vegetables")</f>
        <v>Vegetables</v>
      </c>
      <c r="B285" s="46" t="str">
        <f>IFERROR(__xludf.DUMMYFUNCTION("""COMPUTED_VALUE"""),"Serbia")</f>
        <v>Serbia</v>
      </c>
      <c r="C285" s="46">
        <f>IFERROR(__xludf.DUMMYFUNCTION("""COMPUTED_VALUE"""),2.85343968E8)</f>
        <v>285343968</v>
      </c>
      <c r="D285" s="84">
        <f>IFERROR(__xludf.DUMMYFUNCTION("""COMPUTED_VALUE"""),1305812.56)</f>
        <v>1305812.56</v>
      </c>
      <c r="H285" s="48"/>
      <c r="I285" s="38"/>
      <c r="J285" s="38"/>
      <c r="K285" s="38"/>
      <c r="M285" s="87"/>
      <c r="N285" s="38"/>
      <c r="Q285" s="38"/>
    </row>
    <row r="286">
      <c r="A286" s="46" t="str">
        <f>IFERROR(__xludf.DUMMYFUNCTION("""COMPUTED_VALUE"""),"Personal Care")</f>
        <v>Personal Care</v>
      </c>
      <c r="B286" s="46" t="str">
        <f>IFERROR(__xludf.DUMMYFUNCTION("""COMPUTED_VALUE"""),"Switzerland")</f>
        <v>Switzerland</v>
      </c>
      <c r="C286" s="46">
        <f>IFERROR(__xludf.DUMMYFUNCTION("""COMPUTED_VALUE"""),2.87151563E8)</f>
        <v>287151563</v>
      </c>
      <c r="D286" s="84">
        <f>IFERROR(__xludf.DUMMYFUNCTION("""COMPUTED_VALUE"""),276492.59)</f>
        <v>276492.59</v>
      </c>
      <c r="H286" s="48"/>
      <c r="I286" s="38"/>
      <c r="J286" s="38"/>
      <c r="K286" s="38"/>
      <c r="M286" s="87"/>
      <c r="N286" s="38"/>
      <c r="Q286" s="38"/>
    </row>
    <row r="287">
      <c r="A287" s="46" t="str">
        <f>IFERROR(__xludf.DUMMYFUNCTION("""COMPUTED_VALUE"""),"Personal Care")</f>
        <v>Personal Care</v>
      </c>
      <c r="B287" s="46" t="str">
        <f>IFERROR(__xludf.DUMMYFUNCTION("""COMPUTED_VALUE"""),"Germany")</f>
        <v>Germany</v>
      </c>
      <c r="C287" s="46">
        <f>IFERROR(__xludf.DUMMYFUNCTION("""COMPUTED_VALUE"""),2.87917602E8)</f>
        <v>287917602</v>
      </c>
      <c r="D287" s="84">
        <f>IFERROR(__xludf.DUMMYFUNCTION("""COMPUTED_VALUE"""),5802.83)</f>
        <v>5802.83</v>
      </c>
      <c r="H287" s="48"/>
      <c r="I287" s="38"/>
      <c r="J287" s="38"/>
      <c r="K287" s="38"/>
      <c r="M287" s="87"/>
      <c r="N287" s="38"/>
      <c r="Q287" s="38"/>
    </row>
    <row r="288">
      <c r="A288" s="46" t="str">
        <f>IFERROR(__xludf.DUMMYFUNCTION("""COMPUTED_VALUE"""),"Baby Food")</f>
        <v>Baby Food</v>
      </c>
      <c r="B288" s="46" t="str">
        <f>IFERROR(__xludf.DUMMYFUNCTION("""COMPUTED_VALUE"""),"Greece")</f>
        <v>Greece</v>
      </c>
      <c r="C288" s="46">
        <f>IFERROR(__xludf.DUMMYFUNCTION("""COMPUTED_VALUE"""),2.88073384E8)</f>
        <v>288073384</v>
      </c>
      <c r="D288" s="84">
        <f>IFERROR(__xludf.DUMMYFUNCTION("""COMPUTED_VALUE"""),1575332.8800000001)</f>
        <v>1575332.88</v>
      </c>
      <c r="H288" s="48"/>
      <c r="I288" s="38"/>
      <c r="J288" s="38"/>
      <c r="K288" s="38"/>
      <c r="M288" s="87"/>
      <c r="N288" s="38"/>
      <c r="Q288" s="38"/>
    </row>
    <row r="289">
      <c r="A289" s="46" t="str">
        <f>IFERROR(__xludf.DUMMYFUNCTION("""COMPUTED_VALUE"""),"Office Supplies")</f>
        <v>Office Supplies</v>
      </c>
      <c r="B289" s="46" t="str">
        <f>IFERROR(__xludf.DUMMYFUNCTION("""COMPUTED_VALUE"""),"Bosnia and Herzegovina")</f>
        <v>Bosnia and Herzegovina</v>
      </c>
      <c r="C289" s="46">
        <f>IFERROR(__xludf.DUMMYFUNCTION("""COMPUTED_VALUE"""),2.88656175E8)</f>
        <v>288656175</v>
      </c>
      <c r="D289" s="84">
        <f>IFERROR(__xludf.DUMMYFUNCTION("""COMPUTED_VALUE"""),5621244.720000001)</f>
        <v>5621244.72</v>
      </c>
      <c r="H289" s="48"/>
      <c r="I289" s="38"/>
      <c r="J289" s="38"/>
      <c r="K289" s="38"/>
      <c r="M289" s="87"/>
      <c r="N289" s="38"/>
      <c r="Q289" s="38"/>
    </row>
    <row r="290">
      <c r="A290" s="46" t="str">
        <f>IFERROR(__xludf.DUMMYFUNCTION("""COMPUTED_VALUE"""),"Meat")</f>
        <v>Meat</v>
      </c>
      <c r="B290" s="46" t="str">
        <f>IFERROR(__xludf.DUMMYFUNCTION("""COMPUTED_VALUE"""),"Italy")</f>
        <v>Italy</v>
      </c>
      <c r="C290" s="46">
        <f>IFERROR(__xludf.DUMMYFUNCTION("""COMPUTED_VALUE"""),2.90317428E8)</f>
        <v>290317428</v>
      </c>
      <c r="D290" s="84">
        <f>IFERROR(__xludf.DUMMYFUNCTION("""COMPUTED_VALUE"""),98300.37)</f>
        <v>98300.37</v>
      </c>
      <c r="H290" s="48"/>
      <c r="I290" s="38"/>
      <c r="J290" s="38"/>
      <c r="K290" s="38"/>
      <c r="M290" s="87"/>
      <c r="N290" s="38"/>
      <c r="Q290" s="38"/>
    </row>
    <row r="291">
      <c r="A291" s="46" t="str">
        <f>IFERROR(__xludf.DUMMYFUNCTION("""COMPUTED_VALUE"""),"Cosmetics")</f>
        <v>Cosmetics</v>
      </c>
      <c r="B291" s="46" t="str">
        <f>IFERROR(__xludf.DUMMYFUNCTION("""COMPUTED_VALUE"""),"Andorra")</f>
        <v>Andorra</v>
      </c>
      <c r="C291" s="46">
        <f>IFERROR(__xludf.DUMMYFUNCTION("""COMPUTED_VALUE"""),2.91160714E8)</f>
        <v>291160714</v>
      </c>
      <c r="D291" s="84">
        <f>IFERROR(__xludf.DUMMYFUNCTION("""COMPUTED_VALUE"""),4275816.0)</f>
        <v>4275816</v>
      </c>
      <c r="H291" s="48"/>
      <c r="I291" s="38"/>
      <c r="J291" s="38"/>
      <c r="K291" s="38"/>
      <c r="M291" s="87"/>
      <c r="N291" s="38"/>
      <c r="Q291" s="38"/>
    </row>
    <row r="292">
      <c r="A292" s="46" t="str">
        <f>IFERROR(__xludf.DUMMYFUNCTION("""COMPUTED_VALUE"""),"Household")</f>
        <v>Household</v>
      </c>
      <c r="B292" s="46" t="str">
        <f>IFERROR(__xludf.DUMMYFUNCTION("""COMPUTED_VALUE"""),"Liechtenstein")</f>
        <v>Liechtenstein</v>
      </c>
      <c r="C292" s="46">
        <f>IFERROR(__xludf.DUMMYFUNCTION("""COMPUTED_VALUE"""),2.91179597E8)</f>
        <v>291179597</v>
      </c>
      <c r="D292" s="84">
        <f>IFERROR(__xludf.DUMMYFUNCTION("""COMPUTED_VALUE"""),3587273.36)</f>
        <v>3587273.36</v>
      </c>
      <c r="H292" s="48"/>
      <c r="I292" s="38"/>
      <c r="J292" s="38"/>
      <c r="K292" s="38"/>
      <c r="M292" s="87"/>
      <c r="N292" s="38"/>
      <c r="Q292" s="38"/>
    </row>
    <row r="293">
      <c r="A293" s="46" t="str">
        <f>IFERROR(__xludf.DUMMYFUNCTION("""COMPUTED_VALUE"""),"Fruits")</f>
        <v>Fruits</v>
      </c>
      <c r="B293" s="46" t="str">
        <f>IFERROR(__xludf.DUMMYFUNCTION("""COMPUTED_VALUE"""),"Bosnia and Herzegovina")</f>
        <v>Bosnia and Herzegovina</v>
      </c>
      <c r="C293" s="46">
        <f>IFERROR(__xludf.DUMMYFUNCTION("""COMPUTED_VALUE"""),2.91305768E8)</f>
        <v>291305768</v>
      </c>
      <c r="D293" s="84">
        <f>IFERROR(__xludf.DUMMYFUNCTION("""COMPUTED_VALUE"""),25237.65)</f>
        <v>25237.65</v>
      </c>
      <c r="H293" s="48"/>
      <c r="I293" s="38"/>
      <c r="J293" s="38"/>
      <c r="K293" s="38"/>
      <c r="M293" s="87"/>
      <c r="N293" s="38"/>
      <c r="Q293" s="38"/>
    </row>
    <row r="294">
      <c r="A294" s="46" t="str">
        <f>IFERROR(__xludf.DUMMYFUNCTION("""COMPUTED_VALUE"""),"Beverages")</f>
        <v>Beverages</v>
      </c>
      <c r="B294" s="46" t="str">
        <f>IFERROR(__xludf.DUMMYFUNCTION("""COMPUTED_VALUE"""),"Slovakia")</f>
        <v>Slovakia</v>
      </c>
      <c r="C294" s="46">
        <f>IFERROR(__xludf.DUMMYFUNCTION("""COMPUTED_VALUE"""),2.91531503E8)</f>
        <v>291531503</v>
      </c>
      <c r="D294" s="84">
        <f>IFERROR(__xludf.DUMMYFUNCTION("""COMPUTED_VALUE"""),451012.25)</f>
        <v>451012.25</v>
      </c>
      <c r="H294" s="48"/>
      <c r="I294" s="38"/>
      <c r="J294" s="38"/>
      <c r="K294" s="38"/>
      <c r="M294" s="87"/>
      <c r="N294" s="38"/>
      <c r="Q294" s="38"/>
    </row>
    <row r="295">
      <c r="A295" s="46" t="str">
        <f>IFERROR(__xludf.DUMMYFUNCTION("""COMPUTED_VALUE"""),"Snacks")</f>
        <v>Snacks</v>
      </c>
      <c r="B295" s="46" t="str">
        <f>IFERROR(__xludf.DUMMYFUNCTION("""COMPUTED_VALUE"""),"Hungary")</f>
        <v>Hungary</v>
      </c>
      <c r="C295" s="46">
        <f>IFERROR(__xludf.DUMMYFUNCTION("""COMPUTED_VALUE"""),2.91611325E8)</f>
        <v>291611325</v>
      </c>
      <c r="D295" s="84">
        <f>IFERROR(__xludf.DUMMYFUNCTION("""COMPUTED_VALUE"""),476965.08)</f>
        <v>476965.08</v>
      </c>
      <c r="H295" s="48"/>
      <c r="I295" s="38"/>
      <c r="J295" s="38"/>
      <c r="K295" s="38"/>
      <c r="M295" s="87"/>
      <c r="N295" s="38"/>
      <c r="Q295" s="38"/>
    </row>
    <row r="296">
      <c r="A296" s="46" t="str">
        <f>IFERROR(__xludf.DUMMYFUNCTION("""COMPUTED_VALUE"""),"Fruits")</f>
        <v>Fruits</v>
      </c>
      <c r="B296" s="46" t="str">
        <f>IFERROR(__xludf.DUMMYFUNCTION("""COMPUTED_VALUE"""),"Undefined")</f>
        <v>Undefined</v>
      </c>
      <c r="C296" s="46">
        <f>IFERROR(__xludf.DUMMYFUNCTION("""COMPUTED_VALUE"""),2.91995418E8)</f>
        <v>291995418</v>
      </c>
      <c r="D296" s="84">
        <f>IFERROR(__xludf.DUMMYFUNCTION("""COMPUTED_VALUE"""),63332.04)</f>
        <v>63332.04</v>
      </c>
      <c r="H296" s="48"/>
      <c r="I296" s="38"/>
      <c r="J296" s="38"/>
      <c r="K296" s="38"/>
      <c r="M296" s="87"/>
      <c r="N296" s="38"/>
      <c r="Q296" s="38"/>
    </row>
    <row r="297">
      <c r="A297" s="46" t="str">
        <f>IFERROR(__xludf.DUMMYFUNCTION("""COMPUTED_VALUE"""),"Cosmetics")</f>
        <v>Cosmetics</v>
      </c>
      <c r="B297" s="46" t="str">
        <f>IFERROR(__xludf.DUMMYFUNCTION("""COMPUTED_VALUE"""),"Undefined")</f>
        <v>Undefined</v>
      </c>
      <c r="C297" s="46">
        <f>IFERROR(__xludf.DUMMYFUNCTION("""COMPUTED_VALUE"""),2.92424571E8)</f>
        <v>292424571</v>
      </c>
      <c r="D297" s="84">
        <f>IFERROR(__xludf.DUMMYFUNCTION("""COMPUTED_VALUE"""),1654364.8)</f>
        <v>1654364.8</v>
      </c>
      <c r="H297" s="48"/>
      <c r="I297" s="38"/>
      <c r="J297" s="38"/>
      <c r="K297" s="38"/>
      <c r="M297" s="87"/>
      <c r="N297" s="38"/>
      <c r="Q297" s="38"/>
    </row>
    <row r="298">
      <c r="A298" s="46" t="str">
        <f>IFERROR(__xludf.DUMMYFUNCTION("""COMPUTED_VALUE"""),"Personal Care")</f>
        <v>Personal Care</v>
      </c>
      <c r="B298" s="46" t="str">
        <f>IFERROR(__xludf.DUMMYFUNCTION("""COMPUTED_VALUE"""),"San Marino")</f>
        <v>San Marino</v>
      </c>
      <c r="C298" s="46">
        <f>IFERROR(__xludf.DUMMYFUNCTION("""COMPUTED_VALUE"""),2.93178594E8)</f>
        <v>293178594</v>
      </c>
      <c r="D298" s="84">
        <f>IFERROR(__xludf.DUMMYFUNCTION("""COMPUTED_VALUE"""),565244.68)</f>
        <v>565244.68</v>
      </c>
      <c r="H298" s="48"/>
      <c r="I298" s="38"/>
      <c r="J298" s="38"/>
      <c r="K298" s="38"/>
      <c r="M298" s="87"/>
      <c r="N298" s="38"/>
      <c r="Q298" s="38"/>
    </row>
    <row r="299">
      <c r="A299" s="46" t="str">
        <f>IFERROR(__xludf.DUMMYFUNCTION("""COMPUTED_VALUE"""),"Fruits")</f>
        <v>Fruits</v>
      </c>
      <c r="B299" s="46" t="str">
        <f>IFERROR(__xludf.DUMMYFUNCTION("""COMPUTED_VALUE"""),"Slovenia")</f>
        <v>Slovenia</v>
      </c>
      <c r="C299" s="46">
        <f>IFERROR(__xludf.DUMMYFUNCTION("""COMPUTED_VALUE"""),2.95168149E8)</f>
        <v>295168149</v>
      </c>
      <c r="D299" s="84">
        <f>IFERROR(__xludf.DUMMYFUNCTION("""COMPUTED_VALUE"""),52891.77)</f>
        <v>52891.77</v>
      </c>
      <c r="H299" s="48"/>
      <c r="I299" s="38"/>
      <c r="J299" s="38"/>
      <c r="K299" s="38"/>
      <c r="M299" s="87"/>
      <c r="N299" s="38"/>
      <c r="Q299" s="38"/>
    </row>
    <row r="300">
      <c r="A300" s="46" t="str">
        <f>IFERROR(__xludf.DUMMYFUNCTION("""COMPUTED_VALUE"""),"Baby Food")</f>
        <v>Baby Food</v>
      </c>
      <c r="B300" s="46" t="str">
        <f>IFERROR(__xludf.DUMMYFUNCTION("""COMPUTED_VALUE"""),"Liechtenstein")</f>
        <v>Liechtenstein</v>
      </c>
      <c r="C300" s="46">
        <f>IFERROR(__xludf.DUMMYFUNCTION("""COMPUTED_VALUE"""),2.95787847E8)</f>
        <v>295787847</v>
      </c>
      <c r="D300" s="84">
        <f>IFERROR(__xludf.DUMMYFUNCTION("""COMPUTED_VALUE"""),2310794.56)</f>
        <v>2310794.56</v>
      </c>
      <c r="H300" s="48"/>
      <c r="I300" s="38"/>
      <c r="J300" s="38"/>
      <c r="K300" s="38"/>
      <c r="M300" s="87"/>
      <c r="N300" s="38"/>
      <c r="Q300" s="38"/>
    </row>
    <row r="301">
      <c r="A301" s="46" t="str">
        <f>IFERROR(__xludf.DUMMYFUNCTION("""COMPUTED_VALUE"""),"Baby Food")</f>
        <v>Baby Food</v>
      </c>
      <c r="B301" s="46" t="str">
        <f>IFERROR(__xludf.DUMMYFUNCTION("""COMPUTED_VALUE"""),"Malta")</f>
        <v>Malta</v>
      </c>
      <c r="C301" s="46">
        <f>IFERROR(__xludf.DUMMYFUNCTION("""COMPUTED_VALUE"""),2.96073234E8)</f>
        <v>296073234</v>
      </c>
      <c r="D301" s="84">
        <f>IFERROR(__xludf.DUMMYFUNCTION("""COMPUTED_VALUE"""),894501.12)</f>
        <v>894501.12</v>
      </c>
      <c r="H301" s="48"/>
      <c r="I301" s="38"/>
      <c r="J301" s="38"/>
      <c r="K301" s="38"/>
      <c r="M301" s="87"/>
      <c r="N301" s="38"/>
      <c r="Q301" s="38"/>
    </row>
    <row r="302">
      <c r="A302" s="46" t="str">
        <f>IFERROR(__xludf.DUMMYFUNCTION("""COMPUTED_VALUE"""),"Vegetables")</f>
        <v>Vegetables</v>
      </c>
      <c r="B302" s="46" t="str">
        <f>IFERROR(__xludf.DUMMYFUNCTION("""COMPUTED_VALUE"""),"Sweden")</f>
        <v>Sweden</v>
      </c>
      <c r="C302" s="46">
        <f>IFERROR(__xludf.DUMMYFUNCTION("""COMPUTED_VALUE"""),2.98228013E8)</f>
        <v>298228013</v>
      </c>
      <c r="D302" s="84">
        <f>IFERROR(__xludf.DUMMYFUNCTION("""COMPUTED_VALUE"""),177323.06)</f>
        <v>177323.06</v>
      </c>
      <c r="H302" s="48"/>
      <c r="I302" s="38"/>
      <c r="J302" s="38"/>
      <c r="K302" s="38"/>
      <c r="M302" s="87"/>
      <c r="N302" s="38"/>
      <c r="Q302" s="38"/>
    </row>
    <row r="303">
      <c r="A303" s="46" t="str">
        <f>IFERROR(__xludf.DUMMYFUNCTION("""COMPUTED_VALUE"""),"Clothes")</f>
        <v>Clothes</v>
      </c>
      <c r="B303" s="46" t="str">
        <f>IFERROR(__xludf.DUMMYFUNCTION("""COMPUTED_VALUE"""),"France")</f>
        <v>France</v>
      </c>
      <c r="C303" s="46">
        <f>IFERROR(__xludf.DUMMYFUNCTION("""COMPUTED_VALUE"""),2.98978602E8)</f>
        <v>298978602</v>
      </c>
      <c r="D303" s="84">
        <f>IFERROR(__xludf.DUMMYFUNCTION("""COMPUTED_VALUE"""),357017.76)</f>
        <v>357017.76</v>
      </c>
      <c r="H303" s="48"/>
      <c r="I303" s="38"/>
      <c r="J303" s="38"/>
      <c r="K303" s="38"/>
      <c r="M303" s="87"/>
      <c r="N303" s="38"/>
      <c r="Q303" s="38"/>
    </row>
    <row r="304">
      <c r="A304" s="46" t="str">
        <f>IFERROR(__xludf.DUMMYFUNCTION("""COMPUTED_VALUE"""),"Cosmetics")</f>
        <v>Cosmetics</v>
      </c>
      <c r="B304" s="46" t="str">
        <f>IFERROR(__xludf.DUMMYFUNCTION("""COMPUTED_VALUE"""),"Romania")</f>
        <v>Romania</v>
      </c>
      <c r="C304" s="46">
        <f>IFERROR(__xludf.DUMMYFUNCTION("""COMPUTED_VALUE"""),2.99335229E8)</f>
        <v>299335229</v>
      </c>
      <c r="D304" s="84">
        <f>IFERROR(__xludf.DUMMYFUNCTION("""COMPUTED_VALUE"""),3847797.1999999997)</f>
        <v>3847797.2</v>
      </c>
      <c r="H304" s="48"/>
      <c r="I304" s="38"/>
      <c r="J304" s="38"/>
      <c r="K304" s="38"/>
      <c r="M304" s="87"/>
      <c r="N304" s="38"/>
      <c r="Q304" s="38"/>
    </row>
    <row r="305">
      <c r="A305" s="46" t="str">
        <f>IFERROR(__xludf.DUMMYFUNCTION("""COMPUTED_VALUE"""),"Fruits")</f>
        <v>Fruits</v>
      </c>
      <c r="B305" s="46" t="str">
        <f>IFERROR(__xludf.DUMMYFUNCTION("""COMPUTED_VALUE"""),"Undefined")</f>
        <v>Undefined</v>
      </c>
      <c r="C305" s="46">
        <f>IFERROR(__xludf.DUMMYFUNCTION("""COMPUTED_VALUE"""),2.99739491E8)</f>
        <v>299739491</v>
      </c>
      <c r="D305" s="84">
        <f>IFERROR(__xludf.DUMMYFUNCTION("""COMPUTED_VALUE"""),78661.23)</f>
        <v>78661.23</v>
      </c>
      <c r="H305" s="48"/>
      <c r="I305" s="38"/>
      <c r="J305" s="38"/>
      <c r="K305" s="38"/>
      <c r="M305" s="87"/>
      <c r="N305" s="38"/>
      <c r="Q305" s="38"/>
    </row>
    <row r="306">
      <c r="A306" s="46" t="str">
        <f>IFERROR(__xludf.DUMMYFUNCTION("""COMPUTED_VALUE"""),"Baby Food")</f>
        <v>Baby Food</v>
      </c>
      <c r="B306" s="46" t="str">
        <f>IFERROR(__xludf.DUMMYFUNCTION("""COMPUTED_VALUE"""),"Serbia")</f>
        <v>Serbia</v>
      </c>
      <c r="C306" s="46">
        <f>IFERROR(__xludf.DUMMYFUNCTION("""COMPUTED_VALUE"""),3.02015721E8)</f>
        <v>302015721</v>
      </c>
      <c r="D306" s="84">
        <f>IFERROR(__xludf.DUMMYFUNCTION("""COMPUTED_VALUE"""),515155.04)</f>
        <v>515155.04</v>
      </c>
      <c r="H306" s="48"/>
      <c r="I306" s="38"/>
      <c r="J306" s="38"/>
      <c r="K306" s="38"/>
      <c r="M306" s="87"/>
      <c r="N306" s="38"/>
      <c r="Q306" s="38"/>
    </row>
    <row r="307">
      <c r="A307" s="46" t="str">
        <f>IFERROR(__xludf.DUMMYFUNCTION("""COMPUTED_VALUE"""),"Baby Food")</f>
        <v>Baby Food</v>
      </c>
      <c r="B307" s="46" t="str">
        <f>IFERROR(__xludf.DUMMYFUNCTION("""COMPUTED_VALUE"""),"Malta")</f>
        <v>Malta</v>
      </c>
      <c r="C307" s="46">
        <f>IFERROR(__xludf.DUMMYFUNCTION("""COMPUTED_VALUE"""),3.02442729E8)</f>
        <v>302442729</v>
      </c>
      <c r="D307" s="84">
        <f>IFERROR(__xludf.DUMMYFUNCTION("""COMPUTED_VALUE"""),2138991.12)</f>
        <v>2138991.12</v>
      </c>
      <c r="H307" s="48"/>
      <c r="I307" s="38"/>
      <c r="J307" s="38"/>
      <c r="K307" s="38"/>
      <c r="M307" s="87"/>
      <c r="N307" s="38"/>
      <c r="Q307" s="38"/>
    </row>
    <row r="308">
      <c r="A308" s="46" t="str">
        <f>IFERROR(__xludf.DUMMYFUNCTION("""COMPUTED_VALUE"""),"Personal Care")</f>
        <v>Personal Care</v>
      </c>
      <c r="B308" s="46" t="str">
        <f>IFERROR(__xludf.DUMMYFUNCTION("""COMPUTED_VALUE"""),"Hungary")</f>
        <v>Hungary</v>
      </c>
      <c r="C308" s="46">
        <f>IFERROR(__xludf.DUMMYFUNCTION("""COMPUTED_VALUE"""),3.02744853E8)</f>
        <v>302744853</v>
      </c>
      <c r="D308" s="84">
        <f>IFERROR(__xludf.DUMMYFUNCTION("""COMPUTED_VALUE"""),636268.05)</f>
        <v>636268.05</v>
      </c>
      <c r="H308" s="48"/>
      <c r="I308" s="38"/>
      <c r="J308" s="38"/>
      <c r="K308" s="38"/>
      <c r="M308" s="87"/>
      <c r="N308" s="38"/>
      <c r="Q308" s="38"/>
    </row>
    <row r="309">
      <c r="A309" s="46" t="str">
        <f>IFERROR(__xludf.DUMMYFUNCTION("""COMPUTED_VALUE"""),"Fruits")</f>
        <v>Fruits</v>
      </c>
      <c r="B309" s="46" t="str">
        <f>IFERROR(__xludf.DUMMYFUNCTION("""COMPUTED_VALUE"""),"Iceland")</f>
        <v>Iceland</v>
      </c>
      <c r="C309" s="46">
        <f>IFERROR(__xludf.DUMMYFUNCTION("""COMPUTED_VALUE"""),3.03534495E8)</f>
        <v>303534495</v>
      </c>
      <c r="D309" s="84">
        <f>IFERROR(__xludf.DUMMYFUNCTION("""COMPUTED_VALUE"""),13593.81)</f>
        <v>13593.81</v>
      </c>
      <c r="H309" s="48"/>
      <c r="I309" s="38"/>
      <c r="J309" s="38"/>
      <c r="K309" s="38"/>
      <c r="M309" s="87"/>
      <c r="N309" s="38"/>
      <c r="Q309" s="38"/>
    </row>
    <row r="310">
      <c r="A310" s="46" t="str">
        <f>IFERROR(__xludf.DUMMYFUNCTION("""COMPUTED_VALUE"""),"Vegetables")</f>
        <v>Vegetables</v>
      </c>
      <c r="B310" s="46" t="str">
        <f>IFERROR(__xludf.DUMMYFUNCTION("""COMPUTED_VALUE"""),"Spain")</f>
        <v>Spain</v>
      </c>
      <c r="C310" s="46">
        <f>IFERROR(__xludf.DUMMYFUNCTION("""COMPUTED_VALUE"""),3.05569112E8)</f>
        <v>305569112</v>
      </c>
      <c r="D310" s="84">
        <f>IFERROR(__xludf.DUMMYFUNCTION("""COMPUTED_VALUE"""),546142.7)</f>
        <v>546142.7</v>
      </c>
      <c r="H310" s="48"/>
      <c r="I310" s="38"/>
      <c r="J310" s="38"/>
      <c r="K310" s="38"/>
      <c r="M310" s="87"/>
      <c r="N310" s="38"/>
      <c r="Q310" s="38"/>
    </row>
    <row r="311">
      <c r="A311" s="46" t="str">
        <f>IFERROR(__xludf.DUMMYFUNCTION("""COMPUTED_VALUE"""),"Cereal")</f>
        <v>Cereal</v>
      </c>
      <c r="B311" s="46" t="str">
        <f>IFERROR(__xludf.DUMMYFUNCTION("""COMPUTED_VALUE"""),"Montenegro")</f>
        <v>Montenegro</v>
      </c>
      <c r="C311" s="46">
        <f>IFERROR(__xludf.DUMMYFUNCTION("""COMPUTED_VALUE"""),3.05616748E8)</f>
        <v>305616748</v>
      </c>
      <c r="D311" s="84">
        <f>IFERROR(__xludf.DUMMYFUNCTION("""COMPUTED_VALUE"""),1571959.4)</f>
        <v>1571959.4</v>
      </c>
      <c r="H311" s="48"/>
      <c r="I311" s="38"/>
      <c r="J311" s="38"/>
      <c r="K311" s="38"/>
      <c r="M311" s="87"/>
      <c r="N311" s="38"/>
      <c r="Q311" s="38"/>
    </row>
    <row r="312">
      <c r="A312" s="46" t="str">
        <f>IFERROR(__xludf.DUMMYFUNCTION("""COMPUTED_VALUE"""),"Personal Care")</f>
        <v>Personal Care</v>
      </c>
      <c r="B312" s="46" t="str">
        <f>IFERROR(__xludf.DUMMYFUNCTION("""COMPUTED_VALUE"""),"Italy")</f>
        <v>Italy</v>
      </c>
      <c r="C312" s="46">
        <f>IFERROR(__xludf.DUMMYFUNCTION("""COMPUTED_VALUE"""),3.06256616E8)</f>
        <v>306256616</v>
      </c>
      <c r="D312" s="84">
        <f>IFERROR(__xludf.DUMMYFUNCTION("""COMPUTED_VALUE"""),571537.89)</f>
        <v>571537.89</v>
      </c>
      <c r="H312" s="48"/>
      <c r="I312" s="38"/>
      <c r="J312" s="38"/>
      <c r="K312" s="38"/>
      <c r="M312" s="87"/>
      <c r="N312" s="38"/>
      <c r="Q312" s="38"/>
    </row>
    <row r="313">
      <c r="A313" s="46" t="str">
        <f>IFERROR(__xludf.DUMMYFUNCTION("""COMPUTED_VALUE"""),"Baby Food")</f>
        <v>Baby Food</v>
      </c>
      <c r="B313" s="46" t="str">
        <f>IFERROR(__xludf.DUMMYFUNCTION("""COMPUTED_VALUE"""),"Denmark")</f>
        <v>Denmark</v>
      </c>
      <c r="C313" s="46">
        <f>IFERROR(__xludf.DUMMYFUNCTION("""COMPUTED_VALUE"""),3.06839406E8)</f>
        <v>306839406</v>
      </c>
      <c r="D313" s="84">
        <f>IFERROR(__xludf.DUMMYFUNCTION("""COMPUTED_VALUE"""),2413417.12)</f>
        <v>2413417.12</v>
      </c>
      <c r="H313" s="48"/>
      <c r="I313" s="38"/>
      <c r="J313" s="38"/>
      <c r="K313" s="38"/>
      <c r="M313" s="87"/>
      <c r="N313" s="38"/>
      <c r="Q313" s="38"/>
    </row>
    <row r="314">
      <c r="A314" s="46" t="str">
        <f>IFERROR(__xludf.DUMMYFUNCTION("""COMPUTED_VALUE"""),"Fruits")</f>
        <v>Fruits</v>
      </c>
      <c r="B314" s="46" t="str">
        <f>IFERROR(__xludf.DUMMYFUNCTION("""COMPUTED_VALUE"""),"Undefined")</f>
        <v>Undefined</v>
      </c>
      <c r="C314" s="46">
        <f>IFERROR(__xludf.DUMMYFUNCTION("""COMPUTED_VALUE"""),3.07305467E8)</f>
        <v>307305467</v>
      </c>
      <c r="D314" s="84">
        <f>IFERROR(__xludf.DUMMYFUNCTION("""COMPUTED_VALUE"""),68771.43000000001)</f>
        <v>68771.43</v>
      </c>
      <c r="H314" s="48"/>
      <c r="I314" s="38"/>
      <c r="J314" s="38"/>
      <c r="K314" s="38"/>
      <c r="M314" s="87"/>
      <c r="N314" s="38"/>
      <c r="Q314" s="38"/>
    </row>
    <row r="315">
      <c r="A315" s="46" t="str">
        <f>IFERROR(__xludf.DUMMYFUNCTION("""COMPUTED_VALUE"""),"Snacks")</f>
        <v>Snacks</v>
      </c>
      <c r="B315" s="46" t="str">
        <f>IFERROR(__xludf.DUMMYFUNCTION("""COMPUTED_VALUE"""),"Italy")</f>
        <v>Italy</v>
      </c>
      <c r="C315" s="46">
        <f>IFERROR(__xludf.DUMMYFUNCTION("""COMPUTED_VALUE"""),3.07721745E8)</f>
        <v>307721745</v>
      </c>
      <c r="D315" s="84">
        <f>IFERROR(__xludf.DUMMYFUNCTION("""COMPUTED_VALUE"""),85139.64000000001)</f>
        <v>85139.64</v>
      </c>
      <c r="H315" s="48"/>
      <c r="I315" s="38"/>
      <c r="J315" s="38"/>
      <c r="K315" s="38"/>
      <c r="M315" s="87"/>
      <c r="N315" s="38"/>
      <c r="Q315" s="38"/>
    </row>
    <row r="316">
      <c r="A316" s="46" t="str">
        <f>IFERROR(__xludf.DUMMYFUNCTION("""COMPUTED_VALUE"""),"Beverages")</f>
        <v>Beverages</v>
      </c>
      <c r="B316" s="46" t="str">
        <f>IFERROR(__xludf.DUMMYFUNCTION("""COMPUTED_VALUE"""),"Serbia")</f>
        <v>Serbia</v>
      </c>
      <c r="C316" s="46">
        <f>IFERROR(__xludf.DUMMYFUNCTION("""COMPUTED_VALUE"""),3.08582627E8)</f>
        <v>308582627</v>
      </c>
      <c r="D316" s="84">
        <f>IFERROR(__xludf.DUMMYFUNCTION("""COMPUTED_VALUE"""),252054.40000000002)</f>
        <v>252054.4</v>
      </c>
      <c r="H316" s="48"/>
      <c r="I316" s="38"/>
      <c r="J316" s="38"/>
      <c r="K316" s="38"/>
      <c r="M316" s="87"/>
      <c r="N316" s="38"/>
      <c r="Q316" s="38"/>
    </row>
    <row r="317">
      <c r="A317" s="46" t="str">
        <f>IFERROR(__xludf.DUMMYFUNCTION("""COMPUTED_VALUE"""),"Household")</f>
        <v>Household</v>
      </c>
      <c r="B317" s="46" t="str">
        <f>IFERROR(__xludf.DUMMYFUNCTION("""COMPUTED_VALUE"""),"Spain")</f>
        <v>Spain</v>
      </c>
      <c r="C317" s="46">
        <f>IFERROR(__xludf.DUMMYFUNCTION("""COMPUTED_VALUE"""),3.09148681E8)</f>
        <v>309148681</v>
      </c>
      <c r="D317" s="84">
        <f>IFERROR(__xludf.DUMMYFUNCTION("""COMPUTED_VALUE"""),1883853.13)</f>
        <v>1883853.13</v>
      </c>
      <c r="H317" s="48"/>
      <c r="I317" s="38"/>
      <c r="J317" s="38"/>
      <c r="K317" s="38"/>
      <c r="M317" s="87"/>
      <c r="N317" s="38"/>
      <c r="Q317" s="38"/>
    </row>
    <row r="318">
      <c r="A318" s="46" t="str">
        <f>IFERROR(__xludf.DUMMYFUNCTION("""COMPUTED_VALUE"""),"Fruits")</f>
        <v>Fruits</v>
      </c>
      <c r="B318" s="46" t="str">
        <f>IFERROR(__xludf.DUMMYFUNCTION("""COMPUTED_VALUE"""),"Belgium")</f>
        <v>Belgium</v>
      </c>
      <c r="C318" s="46">
        <f>IFERROR(__xludf.DUMMYFUNCTION("""COMPUTED_VALUE"""),3.09188163E8)</f>
        <v>309188163</v>
      </c>
      <c r="D318" s="84">
        <f>IFERROR(__xludf.DUMMYFUNCTION("""COMPUTED_VALUE"""),42012.99)</f>
        <v>42012.99</v>
      </c>
      <c r="H318" s="48"/>
      <c r="I318" s="38"/>
      <c r="J318" s="38"/>
      <c r="K318" s="38"/>
      <c r="M318" s="87"/>
      <c r="N318" s="38"/>
      <c r="Q318" s="38"/>
    </row>
    <row r="319">
      <c r="A319" s="46" t="str">
        <f>IFERROR(__xludf.DUMMYFUNCTION("""COMPUTED_VALUE"""),"Personal Care")</f>
        <v>Personal Care</v>
      </c>
      <c r="B319" s="46" t="str">
        <f>IFERROR(__xludf.DUMMYFUNCTION("""COMPUTED_VALUE"""),"Ireland")</f>
        <v>Ireland</v>
      </c>
      <c r="C319" s="46">
        <f>IFERROR(__xludf.DUMMYFUNCTION("""COMPUTED_VALUE"""),3.09285581E8)</f>
        <v>309285581</v>
      </c>
      <c r="D319" s="84">
        <f>IFERROR(__xludf.DUMMYFUNCTION("""COMPUTED_VALUE"""),272242.63)</f>
        <v>272242.63</v>
      </c>
      <c r="H319" s="48"/>
      <c r="I319" s="38"/>
      <c r="J319" s="38"/>
      <c r="K319" s="38"/>
      <c r="M319" s="87"/>
      <c r="N319" s="38"/>
      <c r="Q319" s="38"/>
    </row>
    <row r="320">
      <c r="A320" s="46" t="str">
        <f>IFERROR(__xludf.DUMMYFUNCTION("""COMPUTED_VALUE"""),"Personal Care")</f>
        <v>Personal Care</v>
      </c>
      <c r="B320" s="46" t="str">
        <f>IFERROR(__xludf.DUMMYFUNCTION("""COMPUTED_VALUE"""),"Italy")</f>
        <v>Italy</v>
      </c>
      <c r="C320" s="46">
        <f>IFERROR(__xludf.DUMMYFUNCTION("""COMPUTED_VALUE"""),3.09342658E8)</f>
        <v>309342658</v>
      </c>
      <c r="D320" s="84">
        <f>IFERROR(__xludf.DUMMYFUNCTION("""COMPUTED_VALUE"""),18144.06)</f>
        <v>18144.06</v>
      </c>
      <c r="H320" s="48"/>
      <c r="I320" s="38"/>
      <c r="J320" s="38"/>
      <c r="K320" s="38"/>
      <c r="M320" s="87"/>
      <c r="N320" s="38"/>
      <c r="Q320" s="38"/>
    </row>
    <row r="321">
      <c r="A321" s="46" t="str">
        <f>IFERROR(__xludf.DUMMYFUNCTION("""COMPUTED_VALUE"""),"Personal Care")</f>
        <v>Personal Care</v>
      </c>
      <c r="B321" s="46" t="str">
        <f>IFERROR(__xludf.DUMMYFUNCTION("""COMPUTED_VALUE"""),"Croatia")</f>
        <v>Croatia</v>
      </c>
      <c r="C321" s="46">
        <f>IFERROR(__xludf.DUMMYFUNCTION("""COMPUTED_VALUE"""),3.09655511E8)</f>
        <v>309655511</v>
      </c>
      <c r="D321" s="84">
        <f>IFERROR(__xludf.DUMMYFUNCTION("""COMPUTED_VALUE"""),405217.34)</f>
        <v>405217.34</v>
      </c>
      <c r="H321" s="48"/>
      <c r="I321" s="38"/>
      <c r="J321" s="38"/>
      <c r="K321" s="38"/>
      <c r="M321" s="87"/>
      <c r="N321" s="38"/>
      <c r="Q321" s="38"/>
    </row>
    <row r="322">
      <c r="A322" s="46" t="str">
        <f>IFERROR(__xludf.DUMMYFUNCTION("""COMPUTED_VALUE"""),"Cosmetics")</f>
        <v>Cosmetics</v>
      </c>
      <c r="B322" s="46" t="str">
        <f>IFERROR(__xludf.DUMMYFUNCTION("""COMPUTED_VALUE"""),"Malta")</f>
        <v>Malta</v>
      </c>
      <c r="C322" s="46">
        <f>IFERROR(__xludf.DUMMYFUNCTION("""COMPUTED_VALUE"""),3.1058892E8)</f>
        <v>310588920</v>
      </c>
      <c r="D322" s="84">
        <f>IFERROR(__xludf.DUMMYFUNCTION("""COMPUTED_VALUE"""),3942669.6)</f>
        <v>3942669.6</v>
      </c>
      <c r="H322" s="48"/>
      <c r="I322" s="38"/>
      <c r="J322" s="38"/>
      <c r="K322" s="38"/>
      <c r="M322" s="87"/>
      <c r="N322" s="38"/>
      <c r="Q322" s="38"/>
    </row>
    <row r="323">
      <c r="A323" s="46" t="str">
        <f>IFERROR(__xludf.DUMMYFUNCTION("""COMPUTED_VALUE"""),"Fruits")</f>
        <v>Fruits</v>
      </c>
      <c r="B323" s="46" t="str">
        <f>IFERROR(__xludf.DUMMYFUNCTION("""COMPUTED_VALUE"""),"Sweden")</f>
        <v>Sweden</v>
      </c>
      <c r="C323" s="46">
        <f>IFERROR(__xludf.DUMMYFUNCTION("""COMPUTED_VALUE"""),3.11221492E8)</f>
        <v>311221492</v>
      </c>
      <c r="D323" s="84">
        <f>IFERROR(__xludf.DUMMYFUNCTION("""COMPUTED_VALUE"""),57939.3)</f>
        <v>57939.3</v>
      </c>
      <c r="H323" s="48"/>
      <c r="I323" s="38"/>
      <c r="J323" s="38"/>
      <c r="K323" s="38"/>
      <c r="M323" s="87"/>
      <c r="N323" s="38"/>
      <c r="Q323" s="38"/>
    </row>
    <row r="324">
      <c r="A324" s="46" t="str">
        <f>IFERROR(__xludf.DUMMYFUNCTION("""COMPUTED_VALUE"""),"Personal Care")</f>
        <v>Personal Care</v>
      </c>
      <c r="B324" s="46" t="str">
        <f>IFERROR(__xludf.DUMMYFUNCTION("""COMPUTED_VALUE"""),"United Kingdom")</f>
        <v>United Kingdom</v>
      </c>
      <c r="C324" s="46">
        <f>IFERROR(__xludf.DUMMYFUNCTION("""COMPUTED_VALUE"""),3.1168884E8)</f>
        <v>311688840</v>
      </c>
      <c r="D324" s="84">
        <f>IFERROR(__xludf.DUMMYFUNCTION("""COMPUTED_VALUE"""),368520.57)</f>
        <v>368520.57</v>
      </c>
      <c r="H324" s="48"/>
      <c r="I324" s="38"/>
      <c r="J324" s="38"/>
      <c r="K324" s="38"/>
      <c r="M324" s="87"/>
      <c r="N324" s="38"/>
      <c r="Q324" s="38"/>
    </row>
    <row r="325">
      <c r="A325" s="46" t="str">
        <f>IFERROR(__xludf.DUMMYFUNCTION("""COMPUTED_VALUE"""),"Beverages")</f>
        <v>Beverages</v>
      </c>
      <c r="B325" s="46" t="str">
        <f>IFERROR(__xludf.DUMMYFUNCTION("""COMPUTED_VALUE"""),"Belarus")</f>
        <v>Belarus</v>
      </c>
      <c r="C325" s="46">
        <f>IFERROR(__xludf.DUMMYFUNCTION("""COMPUTED_VALUE"""),3.11921012E8)</f>
        <v>311921012</v>
      </c>
      <c r="D325" s="84">
        <f>IFERROR(__xludf.DUMMYFUNCTION("""COMPUTED_VALUE"""),152504.30000000002)</f>
        <v>152504.3</v>
      </c>
      <c r="H325" s="48"/>
      <c r="I325" s="38"/>
      <c r="J325" s="38"/>
      <c r="K325" s="38"/>
      <c r="M325" s="87"/>
      <c r="N325" s="38"/>
      <c r="Q325" s="38"/>
    </row>
    <row r="326">
      <c r="A326" s="46" t="str">
        <f>IFERROR(__xludf.DUMMYFUNCTION("""COMPUTED_VALUE"""),"Cosmetics")</f>
        <v>Cosmetics</v>
      </c>
      <c r="B326" s="46" t="str">
        <f>IFERROR(__xludf.DUMMYFUNCTION("""COMPUTED_VALUE"""),"Estonia")</f>
        <v>Estonia</v>
      </c>
      <c r="C326" s="46">
        <f>IFERROR(__xludf.DUMMYFUNCTION("""COMPUTED_VALUE"""),3.11956632E8)</f>
        <v>311956632</v>
      </c>
      <c r="D326" s="84">
        <f>IFERROR(__xludf.DUMMYFUNCTION("""COMPUTED_VALUE"""),1641686.0)</f>
        <v>1641686</v>
      </c>
      <c r="H326" s="48"/>
      <c r="I326" s="38"/>
      <c r="J326" s="38"/>
      <c r="K326" s="38"/>
      <c r="M326" s="87"/>
      <c r="N326" s="38"/>
      <c r="Q326" s="38"/>
    </row>
    <row r="327">
      <c r="A327" s="46" t="str">
        <f>IFERROR(__xludf.DUMMYFUNCTION("""COMPUTED_VALUE"""),"Beverages")</f>
        <v>Beverages</v>
      </c>
      <c r="B327" s="46" t="str">
        <f>IFERROR(__xludf.DUMMYFUNCTION("""COMPUTED_VALUE"""),"Bulgaria")</f>
        <v>Bulgaria</v>
      </c>
      <c r="C327" s="46">
        <f>IFERROR(__xludf.DUMMYFUNCTION("""COMPUTED_VALUE"""),3.13178002E8)</f>
        <v>313178002</v>
      </c>
      <c r="D327" s="84">
        <f>IFERROR(__xludf.DUMMYFUNCTION("""COMPUTED_VALUE"""),246028.25000000003)</f>
        <v>246028.25</v>
      </c>
      <c r="H327" s="48"/>
      <c r="I327" s="38"/>
      <c r="J327" s="38"/>
      <c r="K327" s="38"/>
      <c r="M327" s="87"/>
      <c r="N327" s="38"/>
      <c r="Q327" s="38"/>
    </row>
    <row r="328">
      <c r="A328" s="46" t="str">
        <f>IFERROR(__xludf.DUMMYFUNCTION("""COMPUTED_VALUE"""),"Fruits")</f>
        <v>Fruits</v>
      </c>
      <c r="B328" s="46" t="str">
        <f>IFERROR(__xludf.DUMMYFUNCTION("""COMPUTED_VALUE"""),"Montenegro")</f>
        <v>Montenegro</v>
      </c>
      <c r="C328" s="46">
        <f>IFERROR(__xludf.DUMMYFUNCTION("""COMPUTED_VALUE"""),3.13705861E8)</f>
        <v>313705861</v>
      </c>
      <c r="D328" s="84">
        <f>IFERROR(__xludf.DUMMYFUNCTION("""COMPUTED_VALUE"""),12968.7)</f>
        <v>12968.7</v>
      </c>
      <c r="H328" s="48"/>
      <c r="I328" s="38"/>
      <c r="J328" s="38"/>
      <c r="K328" s="38"/>
      <c r="M328" s="87"/>
      <c r="N328" s="38"/>
      <c r="Q328" s="38"/>
    </row>
    <row r="329">
      <c r="A329" s="46" t="str">
        <f>IFERROR(__xludf.DUMMYFUNCTION("""COMPUTED_VALUE"""),"Office Supplies")</f>
        <v>Office Supplies</v>
      </c>
      <c r="B329" s="46" t="str">
        <f>IFERROR(__xludf.DUMMYFUNCTION("""COMPUTED_VALUE"""),"Hungary")</f>
        <v>Hungary</v>
      </c>
      <c r="C329" s="46">
        <f>IFERROR(__xludf.DUMMYFUNCTION("""COMPUTED_VALUE"""),3.13821303E8)</f>
        <v>313821303</v>
      </c>
      <c r="D329" s="84">
        <f>IFERROR(__xludf.DUMMYFUNCTION("""COMPUTED_VALUE"""),3615517.9200000004)</f>
        <v>3615517.92</v>
      </c>
      <c r="H329" s="48"/>
      <c r="I329" s="38"/>
      <c r="J329" s="38"/>
      <c r="K329" s="38"/>
      <c r="M329" s="87"/>
      <c r="N329" s="38"/>
      <c r="Q329" s="38"/>
    </row>
    <row r="330">
      <c r="A330" s="46" t="str">
        <f>IFERROR(__xludf.DUMMYFUNCTION("""COMPUTED_VALUE"""),"Baby Food")</f>
        <v>Baby Food</v>
      </c>
      <c r="B330" s="46" t="str">
        <f>IFERROR(__xludf.DUMMYFUNCTION("""COMPUTED_VALUE"""),"Italy")</f>
        <v>Italy</v>
      </c>
      <c r="C330" s="46">
        <f>IFERROR(__xludf.DUMMYFUNCTION("""COMPUTED_VALUE"""),3.14782178E8)</f>
        <v>314782178</v>
      </c>
      <c r="D330" s="84">
        <f>IFERROR(__xludf.DUMMYFUNCTION("""COMPUTED_VALUE"""),2526250.88)</f>
        <v>2526250.88</v>
      </c>
      <c r="H330" s="48"/>
      <c r="I330" s="38"/>
      <c r="J330" s="38"/>
      <c r="K330" s="38"/>
      <c r="M330" s="87"/>
      <c r="N330" s="38"/>
      <c r="Q330" s="38"/>
    </row>
    <row r="331">
      <c r="A331" s="46" t="str">
        <f>IFERROR(__xludf.DUMMYFUNCTION("""COMPUTED_VALUE"""),"Snacks")</f>
        <v>Snacks</v>
      </c>
      <c r="B331" s="46" t="str">
        <f>IFERROR(__xludf.DUMMYFUNCTION("""COMPUTED_VALUE"""),"Slovakia")</f>
        <v>Slovakia</v>
      </c>
      <c r="C331" s="46">
        <f>IFERROR(__xludf.DUMMYFUNCTION("""COMPUTED_VALUE"""),3.15066277E8)</f>
        <v>315066277</v>
      </c>
      <c r="D331" s="84">
        <f>IFERROR(__xludf.DUMMYFUNCTION("""COMPUTED_VALUE"""),605437.4400000001)</f>
        <v>605437.44</v>
      </c>
      <c r="H331" s="48"/>
      <c r="I331" s="38"/>
      <c r="J331" s="38"/>
      <c r="K331" s="38"/>
      <c r="M331" s="87"/>
      <c r="N331" s="38"/>
      <c r="Q331" s="38"/>
    </row>
    <row r="332">
      <c r="A332" s="46" t="str">
        <f>IFERROR(__xludf.DUMMYFUNCTION("""COMPUTED_VALUE"""),"Baby Food")</f>
        <v>Baby Food</v>
      </c>
      <c r="B332" s="46" t="str">
        <f>IFERROR(__xludf.DUMMYFUNCTION("""COMPUTED_VALUE"""),"Estonia")</f>
        <v>Estonia</v>
      </c>
      <c r="C332" s="46">
        <f>IFERROR(__xludf.DUMMYFUNCTION("""COMPUTED_VALUE"""),3.16466176E8)</f>
        <v>316466176</v>
      </c>
      <c r="D332" s="84">
        <f>IFERROR(__xludf.DUMMYFUNCTION("""COMPUTED_VALUE"""),2100699.12)</f>
        <v>2100699.12</v>
      </c>
      <c r="H332" s="48"/>
      <c r="I332" s="38"/>
      <c r="J332" s="38"/>
      <c r="K332" s="38"/>
      <c r="M332" s="87"/>
      <c r="N332" s="38"/>
      <c r="Q332" s="38"/>
    </row>
    <row r="333">
      <c r="A333" s="46" t="str">
        <f>IFERROR(__xludf.DUMMYFUNCTION("""COMPUTED_VALUE"""),"Beverages")</f>
        <v>Beverages</v>
      </c>
      <c r="B333" s="46" t="str">
        <f>IFERROR(__xludf.DUMMYFUNCTION("""COMPUTED_VALUE"""),"Greece")</f>
        <v>Greece</v>
      </c>
      <c r="C333" s="46">
        <f>IFERROR(__xludf.DUMMYFUNCTION("""COMPUTED_VALUE"""),3.17006051E8)</f>
        <v>317006051</v>
      </c>
      <c r="D333" s="84">
        <f>IFERROR(__xludf.DUMMYFUNCTION("""COMPUTED_VALUE"""),379125.5)</f>
        <v>379125.5</v>
      </c>
      <c r="H333" s="48"/>
      <c r="I333" s="38"/>
      <c r="J333" s="38"/>
      <c r="K333" s="38"/>
      <c r="M333" s="87"/>
      <c r="N333" s="38"/>
      <c r="Q333" s="38"/>
    </row>
    <row r="334">
      <c r="A334" s="46" t="str">
        <f>IFERROR(__xludf.DUMMYFUNCTION("""COMPUTED_VALUE"""),"Cereal")</f>
        <v>Cereal</v>
      </c>
      <c r="B334" s="46" t="str">
        <f>IFERROR(__xludf.DUMMYFUNCTION("""COMPUTED_VALUE"""),"Estonia")</f>
        <v>Estonia</v>
      </c>
      <c r="C334" s="46">
        <f>IFERROR(__xludf.DUMMYFUNCTION("""COMPUTED_VALUE"""),3.18523538E8)</f>
        <v>318523538</v>
      </c>
      <c r="D334" s="84">
        <f>IFERROR(__xludf.DUMMYFUNCTION("""COMPUTED_VALUE"""),1449773.5999999999)</f>
        <v>1449773.6</v>
      </c>
      <c r="H334" s="48"/>
      <c r="I334" s="38"/>
      <c r="J334" s="38"/>
      <c r="K334" s="38"/>
      <c r="M334" s="87"/>
      <c r="N334" s="38"/>
      <c r="Q334" s="38"/>
    </row>
    <row r="335">
      <c r="A335" s="46" t="str">
        <f>IFERROR(__xludf.DUMMYFUNCTION("""COMPUTED_VALUE"""),"Beverages")</f>
        <v>Beverages</v>
      </c>
      <c r="B335" s="46" t="str">
        <f>IFERROR(__xludf.DUMMYFUNCTION("""COMPUTED_VALUE"""),"Andorra")</f>
        <v>Andorra</v>
      </c>
      <c r="C335" s="46">
        <f>IFERROR(__xludf.DUMMYFUNCTION("""COMPUTED_VALUE"""),3.20431125E8)</f>
        <v>320431125</v>
      </c>
      <c r="D335" s="84">
        <f>IFERROR(__xludf.DUMMYFUNCTION("""COMPUTED_VALUE"""),73310.25)</f>
        <v>73310.25</v>
      </c>
      <c r="H335" s="48"/>
      <c r="I335" s="38"/>
      <c r="J335" s="38"/>
      <c r="K335" s="38"/>
      <c r="M335" s="87"/>
      <c r="N335" s="38"/>
      <c r="Q335" s="38"/>
    </row>
    <row r="336">
      <c r="A336" s="46" t="str">
        <f>IFERROR(__xludf.DUMMYFUNCTION("""COMPUTED_VALUE"""),"Household")</f>
        <v>Household</v>
      </c>
      <c r="B336" s="46" t="str">
        <f>IFERROR(__xludf.DUMMYFUNCTION("""COMPUTED_VALUE"""),"Poland")</f>
        <v>Poland</v>
      </c>
      <c r="C336" s="46">
        <f>IFERROR(__xludf.DUMMYFUNCTION("""COMPUTED_VALUE"""),3.21628463E8)</f>
        <v>321628463</v>
      </c>
      <c r="D336" s="84">
        <f>IFERROR(__xludf.DUMMYFUNCTION("""COMPUTED_VALUE"""),3918735.28)</f>
        <v>3918735.28</v>
      </c>
      <c r="H336" s="48"/>
      <c r="I336" s="38"/>
      <c r="J336" s="38"/>
      <c r="K336" s="38"/>
      <c r="M336" s="87"/>
      <c r="N336" s="38"/>
      <c r="Q336" s="38"/>
    </row>
    <row r="337">
      <c r="A337" s="46" t="str">
        <f>IFERROR(__xludf.DUMMYFUNCTION("""COMPUTED_VALUE"""),"Cereal")</f>
        <v>Cereal</v>
      </c>
      <c r="B337" s="46" t="str">
        <f>IFERROR(__xludf.DUMMYFUNCTION("""COMPUTED_VALUE"""),"Czech Republic")</f>
        <v>Czech Republic</v>
      </c>
      <c r="C337" s="46">
        <f>IFERROR(__xludf.DUMMYFUNCTION("""COMPUTED_VALUE"""),3.22524106E8)</f>
        <v>322524106</v>
      </c>
      <c r="D337" s="84">
        <f>IFERROR(__xludf.DUMMYFUNCTION("""COMPUTED_VALUE"""),186158.5)</f>
        <v>186158.5</v>
      </c>
      <c r="H337" s="48"/>
      <c r="I337" s="38"/>
      <c r="J337" s="38"/>
      <c r="K337" s="38"/>
      <c r="M337" s="87"/>
      <c r="N337" s="38"/>
      <c r="Q337" s="38"/>
    </row>
    <row r="338">
      <c r="A338" s="46" t="str">
        <f>IFERROR(__xludf.DUMMYFUNCTION("""COMPUTED_VALUE"""),"Cereal")</f>
        <v>Cereal</v>
      </c>
      <c r="B338" s="46" t="str">
        <f>IFERROR(__xludf.DUMMYFUNCTION("""COMPUTED_VALUE"""),"Austria")</f>
        <v>Austria</v>
      </c>
      <c r="C338" s="46">
        <f>IFERROR(__xludf.DUMMYFUNCTION("""COMPUTED_VALUE"""),3.23293578E8)</f>
        <v>323293578</v>
      </c>
      <c r="D338" s="84">
        <f>IFERROR(__xludf.DUMMYFUNCTION("""COMPUTED_VALUE"""),1770871.2999999998)</f>
        <v>1770871.3</v>
      </c>
      <c r="H338" s="48"/>
      <c r="I338" s="38"/>
      <c r="J338" s="38"/>
      <c r="K338" s="38"/>
      <c r="M338" s="87"/>
      <c r="N338" s="38"/>
      <c r="Q338" s="38"/>
    </row>
    <row r="339">
      <c r="A339" s="46" t="str">
        <f>IFERROR(__xludf.DUMMYFUNCTION("""COMPUTED_VALUE"""),"Clothes")</f>
        <v>Clothes</v>
      </c>
      <c r="B339" s="46" t="str">
        <f>IFERROR(__xludf.DUMMYFUNCTION("""COMPUTED_VALUE"""),"Cyprus")</f>
        <v>Cyprus</v>
      </c>
      <c r="C339" s="46">
        <f>IFERROR(__xludf.DUMMYFUNCTION("""COMPUTED_VALUE"""),3.25314033E8)</f>
        <v>325314033</v>
      </c>
      <c r="D339" s="84">
        <f>IFERROR(__xludf.DUMMYFUNCTION("""COMPUTED_VALUE"""),710975.68)</f>
        <v>710975.68</v>
      </c>
      <c r="H339" s="48"/>
      <c r="I339" s="38"/>
      <c r="J339" s="38"/>
      <c r="K339" s="38"/>
      <c r="M339" s="87"/>
      <c r="N339" s="38"/>
      <c r="Q339" s="38"/>
    </row>
    <row r="340">
      <c r="A340" s="46" t="str">
        <f>IFERROR(__xludf.DUMMYFUNCTION("""COMPUTED_VALUE"""),"Cosmetics")</f>
        <v>Cosmetics</v>
      </c>
      <c r="B340" s="46" t="str">
        <f>IFERROR(__xludf.DUMMYFUNCTION("""COMPUTED_VALUE"""),"Slovakia")</f>
        <v>Slovakia</v>
      </c>
      <c r="C340" s="46">
        <f>IFERROR(__xludf.DUMMYFUNCTION("""COMPUTED_VALUE"""),3.27072703E8)</f>
        <v>327072703</v>
      </c>
      <c r="D340" s="84">
        <f>IFERROR(__xludf.DUMMYFUNCTION("""COMPUTED_VALUE"""),3032419.1999999997)</f>
        <v>3032419.2</v>
      </c>
      <c r="H340" s="48"/>
      <c r="I340" s="38"/>
      <c r="J340" s="38"/>
      <c r="K340" s="38"/>
      <c r="M340" s="87"/>
      <c r="N340" s="38"/>
      <c r="Q340" s="38"/>
    </row>
    <row r="341">
      <c r="A341" s="46" t="str">
        <f>IFERROR(__xludf.DUMMYFUNCTION("""COMPUTED_VALUE"""),"Beverages")</f>
        <v>Beverages</v>
      </c>
      <c r="B341" s="46" t="str">
        <f>IFERROR(__xludf.DUMMYFUNCTION("""COMPUTED_VALUE"""),"Hungary")</f>
        <v>Hungary</v>
      </c>
      <c r="C341" s="46">
        <f>IFERROR(__xludf.DUMMYFUNCTION("""COMPUTED_VALUE"""),3.27604424E8)</f>
        <v>327604424</v>
      </c>
      <c r="D341" s="84">
        <f>IFERROR(__xludf.DUMMYFUNCTION("""COMPUTED_VALUE"""),203275.80000000002)</f>
        <v>203275.8</v>
      </c>
      <c r="H341" s="48"/>
      <c r="I341" s="38"/>
      <c r="J341" s="38"/>
      <c r="K341" s="38"/>
      <c r="M341" s="87"/>
      <c r="N341" s="38"/>
      <c r="Q341" s="38"/>
    </row>
    <row r="342">
      <c r="A342" s="46" t="str">
        <f>IFERROR(__xludf.DUMMYFUNCTION("""COMPUTED_VALUE"""),"Cosmetics")</f>
        <v>Cosmetics</v>
      </c>
      <c r="B342" s="46" t="str">
        <f>IFERROR(__xludf.DUMMYFUNCTION("""COMPUTED_VALUE"""),"Andorra")</f>
        <v>Andorra</v>
      </c>
      <c r="C342" s="46">
        <f>IFERROR(__xludf.DUMMYFUNCTION("""COMPUTED_VALUE"""),3.28322827E8)</f>
        <v>328322827</v>
      </c>
      <c r="D342" s="84">
        <f>IFERROR(__xludf.DUMMYFUNCTION("""COMPUTED_VALUE"""),3006187.1999999997)</f>
        <v>3006187.2</v>
      </c>
      <c r="H342" s="48"/>
      <c r="I342" s="38"/>
      <c r="J342" s="38"/>
      <c r="K342" s="38"/>
      <c r="M342" s="87"/>
      <c r="N342" s="38"/>
      <c r="Q342" s="38"/>
    </row>
    <row r="343">
      <c r="A343" s="46" t="str">
        <f>IFERROR(__xludf.DUMMYFUNCTION("""COMPUTED_VALUE"""),"Baby Food")</f>
        <v>Baby Food</v>
      </c>
      <c r="B343" s="46" t="str">
        <f>IFERROR(__xludf.DUMMYFUNCTION("""COMPUTED_VALUE"""),"Undefined")</f>
        <v>Undefined</v>
      </c>
      <c r="C343" s="46">
        <f>IFERROR(__xludf.DUMMYFUNCTION("""COMPUTED_VALUE"""),3.28721082E8)</f>
        <v>328721082</v>
      </c>
      <c r="D343" s="84">
        <f>IFERROR(__xludf.DUMMYFUNCTION("""COMPUTED_VALUE"""),1206963.84)</f>
        <v>1206963.84</v>
      </c>
      <c r="H343" s="48"/>
      <c r="I343" s="38"/>
      <c r="J343" s="38"/>
      <c r="K343" s="38"/>
      <c r="M343" s="87"/>
      <c r="N343" s="38"/>
      <c r="Q343" s="38"/>
    </row>
    <row r="344">
      <c r="A344" s="46" t="str">
        <f>IFERROR(__xludf.DUMMYFUNCTION("""COMPUTED_VALUE"""),"Cosmetics")</f>
        <v>Cosmetics</v>
      </c>
      <c r="B344" s="46" t="str">
        <f>IFERROR(__xludf.DUMMYFUNCTION("""COMPUTED_VALUE"""),"Ukraine")</f>
        <v>Ukraine</v>
      </c>
      <c r="C344" s="46">
        <f>IFERROR(__xludf.DUMMYFUNCTION("""COMPUTED_VALUE"""),3.29529607E8)</f>
        <v>329529607</v>
      </c>
      <c r="D344" s="84">
        <f>IFERROR(__xludf.DUMMYFUNCTION("""COMPUTED_VALUE"""),1743553.5999999999)</f>
        <v>1743553.6</v>
      </c>
      <c r="H344" s="48"/>
      <c r="I344" s="38"/>
      <c r="J344" s="38"/>
      <c r="K344" s="38"/>
      <c r="M344" s="87"/>
      <c r="N344" s="38"/>
      <c r="Q344" s="38"/>
    </row>
    <row r="345">
      <c r="A345" s="46" t="str">
        <f>IFERROR(__xludf.DUMMYFUNCTION("""COMPUTED_VALUE"""),"Office Supplies")</f>
        <v>Office Supplies</v>
      </c>
      <c r="B345" s="46" t="str">
        <f>IFERROR(__xludf.DUMMYFUNCTION("""COMPUTED_VALUE"""),"Norway")</f>
        <v>Norway</v>
      </c>
      <c r="C345" s="46">
        <f>IFERROR(__xludf.DUMMYFUNCTION("""COMPUTED_VALUE"""),3.30590474E8)</f>
        <v>330590474</v>
      </c>
      <c r="D345" s="84">
        <f>IFERROR(__xludf.DUMMYFUNCTION("""COMPUTED_VALUE"""),5159536.83)</f>
        <v>5159536.83</v>
      </c>
      <c r="H345" s="48"/>
      <c r="I345" s="38"/>
      <c r="J345" s="38"/>
      <c r="K345" s="38"/>
      <c r="M345" s="87"/>
      <c r="N345" s="38"/>
      <c r="Q345" s="38"/>
    </row>
    <row r="346">
      <c r="A346" s="46" t="str">
        <f>IFERROR(__xludf.DUMMYFUNCTION("""COMPUTED_VALUE"""),"Cereal")</f>
        <v>Cereal</v>
      </c>
      <c r="B346" s="46" t="str">
        <f>IFERROR(__xludf.DUMMYFUNCTION("""COMPUTED_VALUE"""),"Poland")</f>
        <v>Poland</v>
      </c>
      <c r="C346" s="46">
        <f>IFERROR(__xludf.DUMMYFUNCTION("""COMPUTED_VALUE"""),3.32268464E8)</f>
        <v>332268464</v>
      </c>
      <c r="D346" s="84">
        <f>IFERROR(__xludf.DUMMYFUNCTION("""COMPUTED_VALUE"""),920918.8999999999)</f>
        <v>920918.9</v>
      </c>
      <c r="H346" s="48"/>
      <c r="I346" s="38"/>
      <c r="J346" s="38"/>
      <c r="K346" s="38"/>
      <c r="M346" s="87"/>
      <c r="N346" s="38"/>
      <c r="Q346" s="38"/>
    </row>
    <row r="347">
      <c r="A347" s="46" t="str">
        <f>IFERROR(__xludf.DUMMYFUNCTION("""COMPUTED_VALUE"""),"Cosmetics")</f>
        <v>Cosmetics</v>
      </c>
      <c r="B347" s="46" t="str">
        <f>IFERROR(__xludf.DUMMYFUNCTION("""COMPUTED_VALUE"""),"Hungary")</f>
        <v>Hungary</v>
      </c>
      <c r="C347" s="46">
        <f>IFERROR(__xludf.DUMMYFUNCTION("""COMPUTED_VALUE"""),3.32353007E8)</f>
        <v>332353007</v>
      </c>
      <c r="D347" s="84">
        <f>IFERROR(__xludf.DUMMYFUNCTION("""COMPUTED_VALUE"""),4151214.0)</f>
        <v>4151214</v>
      </c>
      <c r="H347" s="48"/>
      <c r="I347" s="38"/>
      <c r="J347" s="38"/>
      <c r="K347" s="38"/>
      <c r="M347" s="87"/>
      <c r="N347" s="38"/>
      <c r="Q347" s="38"/>
    </row>
    <row r="348">
      <c r="A348" s="46" t="str">
        <f>IFERROR(__xludf.DUMMYFUNCTION("""COMPUTED_VALUE"""),"Meat")</f>
        <v>Meat</v>
      </c>
      <c r="B348" s="46" t="str">
        <f>IFERROR(__xludf.DUMMYFUNCTION("""COMPUTED_VALUE"""),"Cyprus")</f>
        <v>Cyprus</v>
      </c>
      <c r="C348" s="46">
        <f>IFERROR(__xludf.DUMMYFUNCTION("""COMPUTED_VALUE"""),3.3330444E8)</f>
        <v>333304440</v>
      </c>
      <c r="D348" s="84">
        <f>IFERROR(__xludf.DUMMYFUNCTION("""COMPUTED_VALUE"""),441296.94)</f>
        <v>441296.94</v>
      </c>
      <c r="H348" s="48"/>
      <c r="I348" s="38"/>
      <c r="J348" s="38"/>
      <c r="K348" s="38"/>
      <c r="M348" s="87"/>
      <c r="N348" s="38"/>
      <c r="Q348" s="38"/>
    </row>
    <row r="349">
      <c r="A349" s="46" t="str">
        <f>IFERROR(__xludf.DUMMYFUNCTION("""COMPUTED_VALUE"""),"Clothes")</f>
        <v>Clothes</v>
      </c>
      <c r="B349" s="46" t="str">
        <f>IFERROR(__xludf.DUMMYFUNCTION("""COMPUTED_VALUE"""),"Italy")</f>
        <v>Italy</v>
      </c>
      <c r="C349" s="46">
        <f>IFERROR(__xludf.DUMMYFUNCTION("""COMPUTED_VALUE"""),3.34539973E8)</f>
        <v>334539973</v>
      </c>
      <c r="D349" s="84">
        <f>IFERROR(__xludf.DUMMYFUNCTION("""COMPUTED_VALUE"""),728569.76)</f>
        <v>728569.76</v>
      </c>
      <c r="H349" s="48"/>
      <c r="I349" s="38"/>
      <c r="J349" s="38"/>
      <c r="K349" s="38"/>
      <c r="M349" s="87"/>
      <c r="N349" s="38"/>
      <c r="Q349" s="38"/>
    </row>
    <row r="350">
      <c r="A350" s="46" t="str">
        <f>IFERROR(__xludf.DUMMYFUNCTION("""COMPUTED_VALUE"""),"Personal Care")</f>
        <v>Personal Care</v>
      </c>
      <c r="B350" s="46" t="str">
        <f>IFERROR(__xludf.DUMMYFUNCTION("""COMPUTED_VALUE"""),"Undefined")</f>
        <v>Undefined</v>
      </c>
      <c r="C350" s="46">
        <f>IFERROR(__xludf.DUMMYFUNCTION("""COMPUTED_VALUE"""),3.36111962E8)</f>
        <v>336111962</v>
      </c>
      <c r="D350" s="84">
        <f>IFERROR(__xludf.DUMMYFUNCTION("""COMPUTED_VALUE"""),151527.42)</f>
        <v>151527.42</v>
      </c>
      <c r="H350" s="48"/>
      <c r="I350" s="38"/>
      <c r="J350" s="38"/>
      <c r="K350" s="38"/>
      <c r="M350" s="87"/>
      <c r="N350" s="38"/>
      <c r="Q350" s="38"/>
    </row>
    <row r="351">
      <c r="A351" s="46" t="str">
        <f>IFERROR(__xludf.DUMMYFUNCTION("""COMPUTED_VALUE"""),"Cosmetics")</f>
        <v>Cosmetics</v>
      </c>
      <c r="B351" s="46" t="str">
        <f>IFERROR(__xludf.DUMMYFUNCTION("""COMPUTED_VALUE"""),"Sweden")</f>
        <v>Sweden</v>
      </c>
      <c r="C351" s="46">
        <f>IFERROR(__xludf.DUMMYFUNCTION("""COMPUTED_VALUE"""),3.36813628E8)</f>
        <v>336813628</v>
      </c>
      <c r="D351" s="84">
        <f>IFERROR(__xludf.DUMMYFUNCTION("""COMPUTED_VALUE"""),4149902.4)</f>
        <v>4149902.4</v>
      </c>
      <c r="H351" s="48"/>
      <c r="I351" s="38"/>
      <c r="J351" s="38"/>
      <c r="K351" s="38"/>
      <c r="M351" s="87"/>
      <c r="N351" s="38"/>
      <c r="Q351" s="38"/>
    </row>
    <row r="352">
      <c r="A352" s="46" t="str">
        <f>IFERROR(__xludf.DUMMYFUNCTION("""COMPUTED_VALUE"""),"Cosmetics")</f>
        <v>Cosmetics</v>
      </c>
      <c r="B352" s="46" t="str">
        <f>IFERROR(__xludf.DUMMYFUNCTION("""COMPUTED_VALUE"""),"Norway")</f>
        <v>Norway</v>
      </c>
      <c r="C352" s="46">
        <f>IFERROR(__xludf.DUMMYFUNCTION("""COMPUTED_VALUE"""),3.37354791E8)</f>
        <v>337354791</v>
      </c>
      <c r="D352" s="84">
        <f>IFERROR(__xludf.DUMMYFUNCTION("""COMPUTED_VALUE"""),4211984.8)</f>
        <v>4211984.8</v>
      </c>
      <c r="H352" s="48"/>
      <c r="I352" s="38"/>
      <c r="J352" s="38"/>
      <c r="K352" s="38"/>
      <c r="M352" s="87"/>
      <c r="N352" s="38"/>
      <c r="Q352" s="38"/>
    </row>
    <row r="353">
      <c r="A353" s="46" t="str">
        <f>IFERROR(__xludf.DUMMYFUNCTION("""COMPUTED_VALUE"""),"Office Supplies")</f>
        <v>Office Supplies</v>
      </c>
      <c r="B353" s="46" t="str">
        <f>IFERROR(__xludf.DUMMYFUNCTION("""COMPUTED_VALUE"""),"Luxembourg")</f>
        <v>Luxembourg</v>
      </c>
      <c r="C353" s="46">
        <f>IFERROR(__xludf.DUMMYFUNCTION("""COMPUTED_VALUE"""),3.39786803E8)</f>
        <v>339786803</v>
      </c>
      <c r="D353" s="84">
        <f>IFERROR(__xludf.DUMMYFUNCTION("""COMPUTED_VALUE"""),6069928.41)</f>
        <v>6069928.41</v>
      </c>
      <c r="H353" s="48"/>
      <c r="I353" s="38"/>
      <c r="J353" s="38"/>
      <c r="K353" s="38"/>
      <c r="M353" s="87"/>
      <c r="N353" s="38"/>
      <c r="Q353" s="38"/>
    </row>
    <row r="354">
      <c r="A354" s="46" t="str">
        <f>IFERROR(__xludf.DUMMYFUNCTION("""COMPUTED_VALUE"""),"Snacks")</f>
        <v>Snacks</v>
      </c>
      <c r="B354" s="46" t="str">
        <f>IFERROR(__xludf.DUMMYFUNCTION("""COMPUTED_VALUE"""),"Malta")</f>
        <v>Malta</v>
      </c>
      <c r="C354" s="46">
        <f>IFERROR(__xludf.DUMMYFUNCTION("""COMPUTED_VALUE"""),3.39999663E8)</f>
        <v>339999663</v>
      </c>
      <c r="D354" s="84">
        <f>IFERROR(__xludf.DUMMYFUNCTION("""COMPUTED_VALUE"""),352612.38)</f>
        <v>352612.38</v>
      </c>
      <c r="H354" s="48"/>
      <c r="I354" s="38"/>
      <c r="J354" s="38"/>
      <c r="K354" s="38"/>
      <c r="M354" s="87"/>
      <c r="N354" s="38"/>
      <c r="Q354" s="38"/>
    </row>
    <row r="355">
      <c r="A355" s="46" t="str">
        <f>IFERROR(__xludf.DUMMYFUNCTION("""COMPUTED_VALUE"""),"Office Supplies")</f>
        <v>Office Supplies</v>
      </c>
      <c r="B355" s="46" t="str">
        <f>IFERROR(__xludf.DUMMYFUNCTION("""COMPUTED_VALUE"""),"France")</f>
        <v>France</v>
      </c>
      <c r="C355" s="46">
        <f>IFERROR(__xludf.DUMMYFUNCTION("""COMPUTED_VALUE"""),3.40213811E8)</f>
        <v>340213811</v>
      </c>
      <c r="D355" s="84">
        <f>IFERROR(__xludf.DUMMYFUNCTION("""COMPUTED_VALUE"""),3700175.22)</f>
        <v>3700175.22</v>
      </c>
      <c r="H355" s="48"/>
      <c r="I355" s="38"/>
      <c r="J355" s="38"/>
      <c r="K355" s="38"/>
      <c r="M355" s="87"/>
      <c r="N355" s="38"/>
      <c r="Q355" s="38"/>
    </row>
    <row r="356">
      <c r="A356" s="46" t="str">
        <f>IFERROR(__xludf.DUMMYFUNCTION("""COMPUTED_VALUE"""),"Snacks")</f>
        <v>Snacks</v>
      </c>
      <c r="B356" s="46" t="str">
        <f>IFERROR(__xludf.DUMMYFUNCTION("""COMPUTED_VALUE"""),"Georgia")</f>
        <v>Georgia</v>
      </c>
      <c r="C356" s="46">
        <f>IFERROR(__xludf.DUMMYFUNCTION("""COMPUTED_VALUE"""),3.41398274E8)</f>
        <v>341398274</v>
      </c>
      <c r="D356" s="84">
        <f>IFERROR(__xludf.DUMMYFUNCTION("""COMPUTED_VALUE"""),944622.78)</f>
        <v>944622.78</v>
      </c>
      <c r="H356" s="48"/>
      <c r="I356" s="38"/>
      <c r="J356" s="38"/>
      <c r="K356" s="38"/>
      <c r="M356" s="87"/>
      <c r="N356" s="38"/>
      <c r="Q356" s="38"/>
    </row>
    <row r="357">
      <c r="A357" s="46" t="str">
        <f>IFERROR(__xludf.DUMMYFUNCTION("""COMPUTED_VALUE"""),"Office Supplies")</f>
        <v>Office Supplies</v>
      </c>
      <c r="B357" s="46" t="str">
        <f>IFERROR(__xludf.DUMMYFUNCTION("""COMPUTED_VALUE"""),"Estonia")</f>
        <v>Estonia</v>
      </c>
      <c r="C357" s="46">
        <f>IFERROR(__xludf.DUMMYFUNCTION("""COMPUTED_VALUE"""),3.43185698E8)</f>
        <v>343185698</v>
      </c>
      <c r="D357" s="84">
        <f>IFERROR(__xludf.DUMMYFUNCTION("""COMPUTED_VALUE"""),3340056.0900000003)</f>
        <v>3340056.09</v>
      </c>
      <c r="H357" s="48"/>
      <c r="I357" s="38"/>
      <c r="J357" s="38"/>
      <c r="K357" s="38"/>
      <c r="M357" s="87"/>
      <c r="N357" s="38"/>
      <c r="Q357" s="38"/>
    </row>
    <row r="358">
      <c r="A358" s="46" t="str">
        <f>IFERROR(__xludf.DUMMYFUNCTION("""COMPUTED_VALUE"""),"Office Supplies")</f>
        <v>Office Supplies</v>
      </c>
      <c r="B358" s="46" t="str">
        <f>IFERROR(__xludf.DUMMYFUNCTION("""COMPUTED_VALUE"""),"Latvia")</f>
        <v>Latvia</v>
      </c>
      <c r="C358" s="46">
        <f>IFERROR(__xludf.DUMMYFUNCTION("""COMPUTED_VALUE"""),3.43730294E8)</f>
        <v>343730294</v>
      </c>
      <c r="D358" s="84">
        <f>IFERROR(__xludf.DUMMYFUNCTION("""COMPUTED_VALUE"""),4094157.27)</f>
        <v>4094157.27</v>
      </c>
      <c r="H358" s="48"/>
      <c r="I358" s="38"/>
      <c r="J358" s="38"/>
      <c r="K358" s="38"/>
      <c r="M358" s="87"/>
      <c r="N358" s="38"/>
      <c r="Q358" s="38"/>
    </row>
    <row r="359">
      <c r="A359" s="46" t="str">
        <f>IFERROR(__xludf.DUMMYFUNCTION("""COMPUTED_VALUE"""),"Beverages")</f>
        <v>Beverages</v>
      </c>
      <c r="B359" s="46" t="str">
        <f>IFERROR(__xludf.DUMMYFUNCTION("""COMPUTED_VALUE"""),"Ukraine")</f>
        <v>Ukraine</v>
      </c>
      <c r="C359" s="46">
        <f>IFERROR(__xludf.DUMMYFUNCTION("""COMPUTED_VALUE"""),3.4388951E8)</f>
        <v>343889510</v>
      </c>
      <c r="D359" s="84">
        <f>IFERROR(__xludf.DUMMYFUNCTION("""COMPUTED_VALUE"""),161472.35)</f>
        <v>161472.35</v>
      </c>
      <c r="H359" s="48"/>
      <c r="I359" s="38"/>
      <c r="J359" s="38"/>
      <c r="K359" s="38"/>
      <c r="M359" s="87"/>
      <c r="N359" s="38"/>
      <c r="Q359" s="38"/>
    </row>
    <row r="360">
      <c r="A360" s="46" t="str">
        <f>IFERROR(__xludf.DUMMYFUNCTION("""COMPUTED_VALUE"""),"Meat")</f>
        <v>Meat</v>
      </c>
      <c r="B360" s="46" t="str">
        <f>IFERROR(__xludf.DUMMYFUNCTION("""COMPUTED_VALUE"""),"Netherlands")</f>
        <v>Netherlands</v>
      </c>
      <c r="C360" s="46">
        <f>IFERROR(__xludf.DUMMYFUNCTION("""COMPUTED_VALUE"""),3.44160735E8)</f>
        <v>344160735</v>
      </c>
      <c r="D360" s="84">
        <f>IFERROR(__xludf.DUMMYFUNCTION("""COMPUTED_VALUE"""),1545804.96)</f>
        <v>1545804.96</v>
      </c>
      <c r="H360" s="48"/>
      <c r="I360" s="38"/>
      <c r="J360" s="38"/>
      <c r="K360" s="38"/>
      <c r="M360" s="87"/>
      <c r="N360" s="38"/>
      <c r="Q360" s="38"/>
    </row>
    <row r="361">
      <c r="A361" s="46" t="str">
        <f>IFERROR(__xludf.DUMMYFUNCTION("""COMPUTED_VALUE"""),"Vegetables")</f>
        <v>Vegetables</v>
      </c>
      <c r="B361" s="46" t="str">
        <f>IFERROR(__xludf.DUMMYFUNCTION("""COMPUTED_VALUE"""),"Monaco")</f>
        <v>Monaco</v>
      </c>
      <c r="C361" s="46">
        <f>IFERROR(__xludf.DUMMYFUNCTION("""COMPUTED_VALUE"""),3.46498763E8)</f>
        <v>346498763</v>
      </c>
      <c r="D361" s="84">
        <f>IFERROR(__xludf.DUMMYFUNCTION("""COMPUTED_VALUE"""),853338.34)</f>
        <v>853338.34</v>
      </c>
      <c r="H361" s="48"/>
      <c r="I361" s="38"/>
      <c r="J361" s="38"/>
      <c r="K361" s="38"/>
      <c r="M361" s="87"/>
      <c r="N361" s="38"/>
      <c r="Q361" s="38"/>
    </row>
    <row r="362">
      <c r="A362" s="46" t="str">
        <f>IFERROR(__xludf.DUMMYFUNCTION("""COMPUTED_VALUE"""),"Cosmetics")</f>
        <v>Cosmetics</v>
      </c>
      <c r="B362" s="46" t="str">
        <f>IFERROR(__xludf.DUMMYFUNCTION("""COMPUTED_VALUE"""),"Switzerland")</f>
        <v>Switzerland</v>
      </c>
      <c r="C362" s="46">
        <f>IFERROR(__xludf.DUMMYFUNCTION("""COMPUTED_VALUE"""),3.47609412E8)</f>
        <v>347609412</v>
      </c>
      <c r="D362" s="84">
        <f>IFERROR(__xludf.DUMMYFUNCTION("""COMPUTED_VALUE"""),1838426.0)</f>
        <v>1838426</v>
      </c>
      <c r="H362" s="48"/>
      <c r="I362" s="38"/>
      <c r="J362" s="38"/>
      <c r="K362" s="38"/>
      <c r="M362" s="87"/>
      <c r="N362" s="38"/>
      <c r="Q362" s="38"/>
    </row>
    <row r="363">
      <c r="A363" s="46" t="str">
        <f>IFERROR(__xludf.DUMMYFUNCTION("""COMPUTED_VALUE"""),"Snacks")</f>
        <v>Snacks</v>
      </c>
      <c r="B363" s="46" t="str">
        <f>IFERROR(__xludf.DUMMYFUNCTION("""COMPUTED_VALUE"""),"Andorra")</f>
        <v>Andorra</v>
      </c>
      <c r="C363" s="46">
        <f>IFERROR(__xludf.DUMMYFUNCTION("""COMPUTED_VALUE"""),3.48080623E8)</f>
        <v>348080623</v>
      </c>
      <c r="D363" s="84">
        <f>IFERROR(__xludf.DUMMYFUNCTION("""COMPUTED_VALUE"""),556306.68)</f>
        <v>556306.68</v>
      </c>
      <c r="H363" s="48"/>
      <c r="I363" s="38"/>
      <c r="J363" s="38"/>
      <c r="K363" s="38"/>
      <c r="M363" s="87"/>
      <c r="N363" s="38"/>
      <c r="Q363" s="38"/>
    </row>
    <row r="364">
      <c r="A364" s="46" t="str">
        <f>IFERROR(__xludf.DUMMYFUNCTION("""COMPUTED_VALUE"""),"Baby Food")</f>
        <v>Baby Food</v>
      </c>
      <c r="B364" s="46" t="str">
        <f>IFERROR(__xludf.DUMMYFUNCTION("""COMPUTED_VALUE"""),"Macedonia")</f>
        <v>Macedonia</v>
      </c>
      <c r="C364" s="46">
        <f>IFERROR(__xludf.DUMMYFUNCTION("""COMPUTED_VALUE"""),3.4906038E8)</f>
        <v>349060380</v>
      </c>
      <c r="D364" s="84">
        <f>IFERROR(__xludf.DUMMYFUNCTION("""COMPUTED_VALUE"""),913391.84)</f>
        <v>913391.84</v>
      </c>
      <c r="H364" s="48"/>
      <c r="I364" s="38"/>
      <c r="J364" s="38"/>
      <c r="K364" s="38"/>
      <c r="M364" s="87"/>
      <c r="N364" s="38"/>
      <c r="Q364" s="38"/>
    </row>
    <row r="365">
      <c r="A365" s="46" t="str">
        <f>IFERROR(__xludf.DUMMYFUNCTION("""COMPUTED_VALUE"""),"Meat")</f>
        <v>Meat</v>
      </c>
      <c r="B365" s="46" t="str">
        <f>IFERROR(__xludf.DUMMYFUNCTION("""COMPUTED_VALUE"""),"Bulgaria")</f>
        <v>Bulgaria</v>
      </c>
      <c r="C365" s="46">
        <f>IFERROR(__xludf.DUMMYFUNCTION("""COMPUTED_VALUE"""),3.49212729E8)</f>
        <v>349212729</v>
      </c>
      <c r="D365" s="84">
        <f>IFERROR(__xludf.DUMMYFUNCTION("""COMPUTED_VALUE"""),3654411.1799999997)</f>
        <v>3654411.18</v>
      </c>
      <c r="H365" s="48"/>
      <c r="I365" s="38"/>
      <c r="J365" s="38"/>
      <c r="K365" s="38"/>
      <c r="M365" s="87"/>
      <c r="N365" s="38"/>
      <c r="Q365" s="38"/>
    </row>
    <row r="366">
      <c r="A366" s="46" t="str">
        <f>IFERROR(__xludf.DUMMYFUNCTION("""COMPUTED_VALUE"""),"Cosmetics")</f>
        <v>Cosmetics</v>
      </c>
      <c r="B366" s="46" t="str">
        <f>IFERROR(__xludf.DUMMYFUNCTION("""COMPUTED_VALUE"""),"Serbia")</f>
        <v>Serbia</v>
      </c>
      <c r="C366" s="46">
        <f>IFERROR(__xludf.DUMMYFUNCTION("""COMPUTED_VALUE"""),3.50550401E8)</f>
        <v>350550401</v>
      </c>
      <c r="D366" s="84">
        <f>IFERROR(__xludf.DUMMYFUNCTION("""COMPUTED_VALUE"""),1970897.5999999999)</f>
        <v>1970897.6</v>
      </c>
      <c r="H366" s="48"/>
      <c r="I366" s="38"/>
      <c r="J366" s="38"/>
      <c r="K366" s="38"/>
      <c r="M366" s="87"/>
      <c r="N366" s="38"/>
      <c r="Q366" s="38"/>
    </row>
    <row r="367">
      <c r="A367" s="46" t="str">
        <f>IFERROR(__xludf.DUMMYFUNCTION("""COMPUTED_VALUE"""),"Cosmetics")</f>
        <v>Cosmetics</v>
      </c>
      <c r="B367" s="46" t="str">
        <f>IFERROR(__xludf.DUMMYFUNCTION("""COMPUTED_VALUE"""),"Macedonia")</f>
        <v>Macedonia</v>
      </c>
      <c r="C367" s="46">
        <f>IFERROR(__xludf.DUMMYFUNCTION("""COMPUTED_VALUE"""),3.50977408E8)</f>
        <v>350977408</v>
      </c>
      <c r="D367" s="84">
        <f>IFERROR(__xludf.DUMMYFUNCTION("""COMPUTED_VALUE"""),379926.8)</f>
        <v>379926.8</v>
      </c>
      <c r="H367" s="48"/>
      <c r="I367" s="38"/>
      <c r="J367" s="38"/>
      <c r="K367" s="38"/>
      <c r="M367" s="87"/>
      <c r="N367" s="38"/>
      <c r="Q367" s="38"/>
    </row>
    <row r="368">
      <c r="A368" s="46" t="str">
        <f>IFERROR(__xludf.DUMMYFUNCTION("""COMPUTED_VALUE"""),"Personal Care")</f>
        <v>Personal Care</v>
      </c>
      <c r="B368" s="46" t="str">
        <f>IFERROR(__xludf.DUMMYFUNCTION("""COMPUTED_VALUE"""),"Monaco")</f>
        <v>Monaco</v>
      </c>
      <c r="C368" s="46">
        <f>IFERROR(__xludf.DUMMYFUNCTION("""COMPUTED_VALUE"""),3.51247346E8)</f>
        <v>351247346</v>
      </c>
      <c r="D368" s="84">
        <f>IFERROR(__xludf.DUMMYFUNCTION("""COMPUTED_VALUE"""),61297.5)</f>
        <v>61297.5</v>
      </c>
      <c r="H368" s="48"/>
      <c r="I368" s="38"/>
      <c r="J368" s="38"/>
      <c r="K368" s="38"/>
      <c r="M368" s="87"/>
      <c r="N368" s="38"/>
      <c r="Q368" s="38"/>
    </row>
    <row r="369">
      <c r="A369" s="46" t="str">
        <f>IFERROR(__xludf.DUMMYFUNCTION("""COMPUTED_VALUE"""),"Snacks")</f>
        <v>Snacks</v>
      </c>
      <c r="B369" s="46" t="str">
        <f>IFERROR(__xludf.DUMMYFUNCTION("""COMPUTED_VALUE"""),"Spain")</f>
        <v>Spain</v>
      </c>
      <c r="C369" s="46">
        <f>IFERROR(__xludf.DUMMYFUNCTION("""COMPUTED_VALUE"""),3.52342545E8)</f>
        <v>352342545</v>
      </c>
      <c r="D369" s="84">
        <f>IFERROR(__xludf.DUMMYFUNCTION("""COMPUTED_VALUE"""),739097.52)</f>
        <v>739097.52</v>
      </c>
      <c r="H369" s="48"/>
      <c r="I369" s="38"/>
      <c r="J369" s="38"/>
      <c r="K369" s="38"/>
      <c r="M369" s="87"/>
      <c r="N369" s="38"/>
      <c r="Q369" s="38"/>
    </row>
    <row r="370">
      <c r="A370" s="46" t="str">
        <f>IFERROR(__xludf.DUMMYFUNCTION("""COMPUTED_VALUE"""),"Clothes")</f>
        <v>Clothes</v>
      </c>
      <c r="B370" s="46" t="str">
        <f>IFERROR(__xludf.DUMMYFUNCTION("""COMPUTED_VALUE"""),"Estonia")</f>
        <v>Estonia</v>
      </c>
      <c r="C370" s="46">
        <f>IFERROR(__xludf.DUMMYFUNCTION("""COMPUTED_VALUE"""),3.5319184E8)</f>
        <v>353191840</v>
      </c>
      <c r="D370" s="84">
        <f>IFERROR(__xludf.DUMMYFUNCTION("""COMPUTED_VALUE"""),674148.3200000001)</f>
        <v>674148.32</v>
      </c>
      <c r="H370" s="48"/>
      <c r="I370" s="38"/>
      <c r="J370" s="38"/>
      <c r="K370" s="38"/>
      <c r="M370" s="87"/>
      <c r="N370" s="38"/>
      <c r="Q370" s="38"/>
    </row>
    <row r="371">
      <c r="A371" s="46" t="str">
        <f>IFERROR(__xludf.DUMMYFUNCTION("""COMPUTED_VALUE"""),"Cosmetics")</f>
        <v>Cosmetics</v>
      </c>
      <c r="B371" s="46" t="str">
        <f>IFERROR(__xludf.DUMMYFUNCTION("""COMPUTED_VALUE"""),"Montenegro")</f>
        <v>Montenegro</v>
      </c>
      <c r="C371" s="46">
        <f>IFERROR(__xludf.DUMMYFUNCTION("""COMPUTED_VALUE"""),3.53320157E8)</f>
        <v>353320157</v>
      </c>
      <c r="D371" s="84">
        <f>IFERROR(__xludf.DUMMYFUNCTION("""COMPUTED_VALUE"""),1810445.2)</f>
        <v>1810445.2</v>
      </c>
      <c r="H371" s="48"/>
      <c r="I371" s="38"/>
      <c r="J371" s="38"/>
      <c r="K371" s="38"/>
      <c r="M371" s="87"/>
      <c r="N371" s="38"/>
      <c r="Q371" s="38"/>
    </row>
    <row r="372">
      <c r="A372" s="46" t="str">
        <f>IFERROR(__xludf.DUMMYFUNCTION("""COMPUTED_VALUE"""),"Office Supplies")</f>
        <v>Office Supplies</v>
      </c>
      <c r="B372" s="46" t="str">
        <f>IFERROR(__xludf.DUMMYFUNCTION("""COMPUTED_VALUE"""),"Undefined")</f>
        <v>Undefined</v>
      </c>
      <c r="C372" s="46">
        <f>IFERROR(__xludf.DUMMYFUNCTION("""COMPUTED_VALUE"""),3.53383243E8)</f>
        <v>353383243</v>
      </c>
      <c r="D372" s="84">
        <f>IFERROR(__xludf.DUMMYFUNCTION("""COMPUTED_VALUE"""),1829248.8900000001)</f>
        <v>1829248.89</v>
      </c>
      <c r="H372" s="48"/>
      <c r="I372" s="38"/>
      <c r="J372" s="38"/>
      <c r="K372" s="38"/>
      <c r="M372" s="87"/>
      <c r="N372" s="38"/>
      <c r="Q372" s="38"/>
    </row>
    <row r="373">
      <c r="A373" s="46" t="str">
        <f>IFERROR(__xludf.DUMMYFUNCTION("""COMPUTED_VALUE"""),"Personal Care")</f>
        <v>Personal Care</v>
      </c>
      <c r="B373" s="46" t="str">
        <f>IFERROR(__xludf.DUMMYFUNCTION("""COMPUTED_VALUE"""),"Czech Republic")</f>
        <v>Czech Republic</v>
      </c>
      <c r="C373" s="46">
        <f>IFERROR(__xludf.DUMMYFUNCTION("""COMPUTED_VALUE"""),3.53415429E8)</f>
        <v>353415429</v>
      </c>
      <c r="D373" s="84">
        <f>IFERROR(__xludf.DUMMYFUNCTION("""COMPUTED_VALUE"""),190757.82)</f>
        <v>190757.82</v>
      </c>
      <c r="H373" s="48"/>
      <c r="I373" s="38"/>
      <c r="J373" s="38"/>
      <c r="K373" s="38"/>
      <c r="M373" s="87"/>
      <c r="N373" s="38"/>
      <c r="Q373" s="38"/>
    </row>
    <row r="374">
      <c r="A374" s="46" t="str">
        <f>IFERROR(__xludf.DUMMYFUNCTION("""COMPUTED_VALUE"""),"Personal Care")</f>
        <v>Personal Care</v>
      </c>
      <c r="B374" s="46" t="str">
        <f>IFERROR(__xludf.DUMMYFUNCTION("""COMPUTED_VALUE"""),"Netherlands")</f>
        <v>Netherlands</v>
      </c>
      <c r="C374" s="46">
        <f>IFERROR(__xludf.DUMMYFUNCTION("""COMPUTED_VALUE"""),3.5347594E8)</f>
        <v>353475940</v>
      </c>
      <c r="D374" s="84">
        <f>IFERROR(__xludf.DUMMYFUNCTION("""COMPUTED_VALUE"""),19615.2)</f>
        <v>19615.2</v>
      </c>
      <c r="H374" s="48"/>
      <c r="I374" s="38"/>
      <c r="J374" s="38"/>
      <c r="K374" s="38"/>
      <c r="M374" s="87"/>
      <c r="N374" s="38"/>
      <c r="Q374" s="38"/>
    </row>
    <row r="375">
      <c r="A375" s="46" t="str">
        <f>IFERROR(__xludf.DUMMYFUNCTION("""COMPUTED_VALUE"""),"Fruits")</f>
        <v>Fruits</v>
      </c>
      <c r="B375" s="46" t="str">
        <f>IFERROR(__xludf.DUMMYFUNCTION("""COMPUTED_VALUE"""),"Hungary")</f>
        <v>Hungary</v>
      </c>
      <c r="C375" s="46">
        <f>IFERROR(__xludf.DUMMYFUNCTION("""COMPUTED_VALUE"""),3.53492677E8)</f>
        <v>353492677</v>
      </c>
      <c r="D375" s="84">
        <f>IFERROR(__xludf.DUMMYFUNCTION("""COMPUTED_VALUE"""),48450.69)</f>
        <v>48450.69</v>
      </c>
      <c r="H375" s="48"/>
      <c r="I375" s="38"/>
      <c r="J375" s="38"/>
      <c r="K375" s="38"/>
      <c r="M375" s="87"/>
      <c r="N375" s="38"/>
      <c r="Q375" s="38"/>
    </row>
    <row r="376">
      <c r="A376" s="46" t="str">
        <f>IFERROR(__xludf.DUMMYFUNCTION("""COMPUTED_VALUE"""),"Vegetables")</f>
        <v>Vegetables</v>
      </c>
      <c r="B376" s="46" t="str">
        <f>IFERROR(__xludf.DUMMYFUNCTION("""COMPUTED_VALUE"""),"San Marino")</f>
        <v>San Marino</v>
      </c>
      <c r="C376" s="46">
        <f>IFERROR(__xludf.DUMMYFUNCTION("""COMPUTED_VALUE"""),3.54270303E8)</f>
        <v>354270303</v>
      </c>
      <c r="D376" s="84">
        <f>IFERROR(__xludf.DUMMYFUNCTION("""COMPUTED_VALUE"""),818058.6)</f>
        <v>818058.6</v>
      </c>
      <c r="H376" s="48"/>
      <c r="I376" s="38"/>
      <c r="J376" s="38"/>
      <c r="K376" s="38"/>
      <c r="M376" s="87"/>
      <c r="N376" s="38"/>
      <c r="Q376" s="38"/>
    </row>
    <row r="377">
      <c r="A377" s="46" t="str">
        <f>IFERROR(__xludf.DUMMYFUNCTION("""COMPUTED_VALUE"""),"Beverages")</f>
        <v>Beverages</v>
      </c>
      <c r="B377" s="46" t="str">
        <f>IFERROR(__xludf.DUMMYFUNCTION("""COMPUTED_VALUE"""),"Macedonia")</f>
        <v>Macedonia</v>
      </c>
      <c r="C377" s="46">
        <f>IFERROR(__xludf.DUMMYFUNCTION("""COMPUTED_VALUE"""),3.54655683E8)</f>
        <v>354655683</v>
      </c>
      <c r="D377" s="84">
        <f>IFERROR(__xludf.DUMMYFUNCTION("""COMPUTED_VALUE"""),443799.85000000003)</f>
        <v>443799.85</v>
      </c>
      <c r="H377" s="48"/>
      <c r="I377" s="38"/>
      <c r="J377" s="38"/>
      <c r="K377" s="38"/>
      <c r="M377" s="87"/>
      <c r="N377" s="38"/>
      <c r="Q377" s="38"/>
    </row>
    <row r="378">
      <c r="A378" s="46" t="str">
        <f>IFERROR(__xludf.DUMMYFUNCTION("""COMPUTED_VALUE"""),"Office Supplies")</f>
        <v>Office Supplies</v>
      </c>
      <c r="B378" s="46" t="str">
        <f>IFERROR(__xludf.DUMMYFUNCTION("""COMPUTED_VALUE"""),"Croatia")</f>
        <v>Croatia</v>
      </c>
      <c r="C378" s="46">
        <f>IFERROR(__xludf.DUMMYFUNCTION("""COMPUTED_VALUE"""),3.54667699E8)</f>
        <v>354667699</v>
      </c>
      <c r="D378" s="84">
        <f>IFERROR(__xludf.DUMMYFUNCTION("""COMPUTED_VALUE"""),1893718.6800000002)</f>
        <v>1893718.68</v>
      </c>
      <c r="H378" s="48"/>
      <c r="I378" s="38"/>
      <c r="J378" s="38"/>
      <c r="K378" s="38"/>
      <c r="M378" s="87"/>
      <c r="N378" s="38"/>
      <c r="Q378" s="38"/>
    </row>
    <row r="379">
      <c r="A379" s="46" t="str">
        <f>IFERROR(__xludf.DUMMYFUNCTION("""COMPUTED_VALUE"""),"Personal Care")</f>
        <v>Personal Care</v>
      </c>
      <c r="B379" s="46" t="str">
        <f>IFERROR(__xludf.DUMMYFUNCTION("""COMPUTED_VALUE"""),"Ireland")</f>
        <v>Ireland</v>
      </c>
      <c r="C379" s="46">
        <f>IFERROR(__xludf.DUMMYFUNCTION("""COMPUTED_VALUE"""),3.54931628E8)</f>
        <v>354931628</v>
      </c>
      <c r="D379" s="84">
        <f>IFERROR(__xludf.DUMMYFUNCTION("""COMPUTED_VALUE"""),82629.03)</f>
        <v>82629.03</v>
      </c>
      <c r="H379" s="48"/>
      <c r="I379" s="38"/>
      <c r="J379" s="38"/>
      <c r="K379" s="38"/>
      <c r="M379" s="87"/>
      <c r="N379" s="38"/>
      <c r="Q379" s="38"/>
    </row>
    <row r="380">
      <c r="A380" s="46" t="str">
        <f>IFERROR(__xludf.DUMMYFUNCTION("""COMPUTED_VALUE"""),"Clothes")</f>
        <v>Clothes</v>
      </c>
      <c r="B380" s="46" t="str">
        <f>IFERROR(__xludf.DUMMYFUNCTION("""COMPUTED_VALUE"""),"Greece")</f>
        <v>Greece</v>
      </c>
      <c r="C380" s="46">
        <f>IFERROR(__xludf.DUMMYFUNCTION("""COMPUTED_VALUE"""),3.55534589E8)</f>
        <v>355534589</v>
      </c>
      <c r="D380" s="84">
        <f>IFERROR(__xludf.DUMMYFUNCTION("""COMPUTED_VALUE"""),1031603.2)</f>
        <v>1031603.2</v>
      </c>
      <c r="H380" s="48"/>
      <c r="I380" s="38"/>
      <c r="J380" s="38"/>
      <c r="K380" s="38"/>
      <c r="M380" s="87"/>
      <c r="N380" s="38"/>
      <c r="Q380" s="38"/>
    </row>
    <row r="381">
      <c r="A381" s="46" t="str">
        <f>IFERROR(__xludf.DUMMYFUNCTION("""COMPUTED_VALUE"""),"Personal Care")</f>
        <v>Personal Care</v>
      </c>
      <c r="B381" s="46" t="str">
        <f>IFERROR(__xludf.DUMMYFUNCTION("""COMPUTED_VALUE"""),"Bosnia and Herzegovina")</f>
        <v>Bosnia and Herzegovina</v>
      </c>
      <c r="C381" s="46">
        <f>IFERROR(__xludf.DUMMYFUNCTION("""COMPUTED_VALUE"""),3.56413495E8)</f>
        <v>356413495</v>
      </c>
      <c r="D381" s="84">
        <f>IFERROR(__xludf.DUMMYFUNCTION("""COMPUTED_VALUE"""),778723.4400000001)</f>
        <v>778723.44</v>
      </c>
      <c r="H381" s="48"/>
      <c r="I381" s="38"/>
      <c r="J381" s="38"/>
      <c r="K381" s="38"/>
      <c r="M381" s="87"/>
      <c r="N381" s="38"/>
      <c r="Q381" s="38"/>
    </row>
    <row r="382">
      <c r="A382" s="46" t="str">
        <f>IFERROR(__xludf.DUMMYFUNCTION("""COMPUTED_VALUE"""),"Cosmetics")</f>
        <v>Cosmetics</v>
      </c>
      <c r="B382" s="46" t="str">
        <f>IFERROR(__xludf.DUMMYFUNCTION("""COMPUTED_VALUE"""),"Montenegro")</f>
        <v>Montenegro</v>
      </c>
      <c r="C382" s="46">
        <f>IFERROR(__xludf.DUMMYFUNCTION("""COMPUTED_VALUE"""),3.5743488E8)</f>
        <v>357434880</v>
      </c>
      <c r="D382" s="84">
        <f>IFERROR(__xludf.DUMMYFUNCTION("""COMPUTED_VALUE"""),777778.7999999999)</f>
        <v>777778.8</v>
      </c>
      <c r="H382" s="48"/>
      <c r="I382" s="38"/>
      <c r="J382" s="38"/>
      <c r="K382" s="38"/>
      <c r="M382" s="87"/>
      <c r="N382" s="38"/>
      <c r="Q382" s="38"/>
    </row>
    <row r="383">
      <c r="A383" s="46" t="str">
        <f>IFERROR(__xludf.DUMMYFUNCTION("""COMPUTED_VALUE"""),"Beverages")</f>
        <v>Beverages</v>
      </c>
      <c r="B383" s="46" t="str">
        <f>IFERROR(__xludf.DUMMYFUNCTION("""COMPUTED_VALUE"""),"Ireland")</f>
        <v>Ireland</v>
      </c>
      <c r="C383" s="46">
        <f>IFERROR(__xludf.DUMMYFUNCTION("""COMPUTED_VALUE"""),3.57482516E8)</f>
        <v>357482516</v>
      </c>
      <c r="D383" s="84">
        <f>IFERROR(__xludf.DUMMYFUNCTION("""COMPUTED_VALUE"""),278768.75)</f>
        <v>278768.75</v>
      </c>
      <c r="H383" s="48"/>
      <c r="I383" s="38"/>
      <c r="J383" s="38"/>
      <c r="K383" s="38"/>
      <c r="M383" s="87"/>
      <c r="N383" s="38"/>
      <c r="Q383" s="38"/>
    </row>
    <row r="384">
      <c r="A384" s="46" t="str">
        <f>IFERROR(__xludf.DUMMYFUNCTION("""COMPUTED_VALUE"""),"Clothes")</f>
        <v>Clothes</v>
      </c>
      <c r="B384" s="46" t="str">
        <f>IFERROR(__xludf.DUMMYFUNCTION("""COMPUTED_VALUE"""),"Albania")</f>
        <v>Albania</v>
      </c>
      <c r="C384" s="46">
        <f>IFERROR(__xludf.DUMMYFUNCTION("""COMPUTED_VALUE"""),3.57930982E8)</f>
        <v>357930982</v>
      </c>
      <c r="D384" s="84">
        <f>IFERROR(__xludf.DUMMYFUNCTION("""COMPUTED_VALUE"""),938278.08)</f>
        <v>938278.08</v>
      </c>
      <c r="H384" s="48"/>
      <c r="I384" s="38"/>
      <c r="J384" s="38"/>
      <c r="K384" s="38"/>
      <c r="M384" s="87"/>
      <c r="N384" s="38"/>
      <c r="Q384" s="38"/>
    </row>
    <row r="385">
      <c r="A385" s="46" t="str">
        <f>IFERROR(__xludf.DUMMYFUNCTION("""COMPUTED_VALUE"""),"Baby Food")</f>
        <v>Baby Food</v>
      </c>
      <c r="B385" s="46" t="str">
        <f>IFERROR(__xludf.DUMMYFUNCTION("""COMPUTED_VALUE"""),"Norway")</f>
        <v>Norway</v>
      </c>
      <c r="C385" s="46">
        <f>IFERROR(__xludf.DUMMYFUNCTION("""COMPUTED_VALUE"""),3.57943856E8)</f>
        <v>357943856</v>
      </c>
      <c r="D385" s="84">
        <f>IFERROR(__xludf.DUMMYFUNCTION("""COMPUTED_VALUE"""),611650.88)</f>
        <v>611650.88</v>
      </c>
      <c r="H385" s="48"/>
      <c r="I385" s="38"/>
      <c r="J385" s="38"/>
      <c r="K385" s="38"/>
      <c r="M385" s="87"/>
      <c r="N385" s="38"/>
      <c r="Q385" s="38"/>
    </row>
    <row r="386">
      <c r="A386" s="46" t="str">
        <f>IFERROR(__xludf.DUMMYFUNCTION("""COMPUTED_VALUE"""),"Snacks")</f>
        <v>Snacks</v>
      </c>
      <c r="B386" s="46" t="str">
        <f>IFERROR(__xludf.DUMMYFUNCTION("""COMPUTED_VALUE"""),"Iceland")</f>
        <v>Iceland</v>
      </c>
      <c r="C386" s="46">
        <f>IFERROR(__xludf.DUMMYFUNCTION("""COMPUTED_VALUE"""),3.58594453E8)</f>
        <v>358594453</v>
      </c>
      <c r="D386" s="84">
        <f>IFERROR(__xludf.DUMMYFUNCTION("""COMPUTED_VALUE"""),750998.76)</f>
        <v>750998.76</v>
      </c>
      <c r="H386" s="48"/>
      <c r="I386" s="38"/>
      <c r="J386" s="38"/>
      <c r="K386" s="38"/>
      <c r="M386" s="87"/>
      <c r="N386" s="38"/>
      <c r="Q386" s="38"/>
    </row>
    <row r="387">
      <c r="A387" s="46" t="str">
        <f>IFERROR(__xludf.DUMMYFUNCTION("""COMPUTED_VALUE"""),"Clothes")</f>
        <v>Clothes</v>
      </c>
      <c r="B387" s="46" t="str">
        <f>IFERROR(__xludf.DUMMYFUNCTION("""COMPUTED_VALUE"""),"Russia")</f>
        <v>Russia</v>
      </c>
      <c r="C387" s="46">
        <f>IFERROR(__xludf.DUMMYFUNCTION("""COMPUTED_VALUE"""),3.58624064E8)</f>
        <v>358624064</v>
      </c>
      <c r="D387" s="84">
        <f>IFERROR(__xludf.DUMMYFUNCTION("""COMPUTED_VALUE"""),402696.8)</f>
        <v>402696.8</v>
      </c>
      <c r="H387" s="48"/>
      <c r="I387" s="38"/>
      <c r="J387" s="38"/>
      <c r="K387" s="38"/>
      <c r="M387" s="87"/>
      <c r="N387" s="38"/>
      <c r="Q387" s="38"/>
    </row>
    <row r="388">
      <c r="A388" s="46" t="str">
        <f>IFERROR(__xludf.DUMMYFUNCTION("""COMPUTED_VALUE"""),"Baby Food")</f>
        <v>Baby Food</v>
      </c>
      <c r="B388" s="46" t="str">
        <f>IFERROR(__xludf.DUMMYFUNCTION("""COMPUTED_VALUE"""),"Georgia")</f>
        <v>Georgia</v>
      </c>
      <c r="C388" s="46">
        <f>IFERROR(__xludf.DUMMYFUNCTION("""COMPUTED_VALUE"""),3.59197413E8)</f>
        <v>359197413</v>
      </c>
      <c r="D388" s="84">
        <f>IFERROR(__xludf.DUMMYFUNCTION("""COMPUTED_VALUE"""),855698.56)</f>
        <v>855698.56</v>
      </c>
      <c r="H388" s="48"/>
      <c r="I388" s="38"/>
      <c r="J388" s="38"/>
      <c r="K388" s="38"/>
      <c r="M388" s="87"/>
      <c r="N388" s="38"/>
      <c r="Q388" s="38"/>
    </row>
    <row r="389">
      <c r="A389" s="46" t="str">
        <f>IFERROR(__xludf.DUMMYFUNCTION("""COMPUTED_VALUE"""),"Vegetables")</f>
        <v>Vegetables</v>
      </c>
      <c r="B389" s="46" t="str">
        <f>IFERROR(__xludf.DUMMYFUNCTION("""COMPUTED_VALUE"""),"Italy")</f>
        <v>Italy</v>
      </c>
      <c r="C389" s="46">
        <f>IFERROR(__xludf.DUMMYFUNCTION("""COMPUTED_VALUE"""),3.59893071E8)</f>
        <v>359893071</v>
      </c>
      <c r="D389" s="84">
        <f>IFERROR(__xludf.DUMMYFUNCTION("""COMPUTED_VALUE"""),1419200.72)</f>
        <v>1419200.72</v>
      </c>
      <c r="H389" s="48"/>
      <c r="I389" s="38"/>
      <c r="J389" s="38"/>
      <c r="K389" s="38"/>
      <c r="M389" s="87"/>
      <c r="N389" s="38"/>
      <c r="Q389" s="38"/>
    </row>
    <row r="390">
      <c r="A390" s="46" t="str">
        <f>IFERROR(__xludf.DUMMYFUNCTION("""COMPUTED_VALUE"""),"Baby Food")</f>
        <v>Baby Food</v>
      </c>
      <c r="B390" s="46" t="str">
        <f>IFERROR(__xludf.DUMMYFUNCTION("""COMPUTED_VALUE"""),"Germany")</f>
        <v>Germany</v>
      </c>
      <c r="C390" s="46">
        <f>IFERROR(__xludf.DUMMYFUNCTION("""COMPUTED_VALUE"""),3.61311852E8)</f>
        <v>361311852</v>
      </c>
      <c r="D390" s="84">
        <f>IFERROR(__xludf.DUMMYFUNCTION("""COMPUTED_VALUE"""),2313092.08)</f>
        <v>2313092.08</v>
      </c>
      <c r="H390" s="48"/>
      <c r="I390" s="38"/>
      <c r="J390" s="38"/>
      <c r="K390" s="38"/>
      <c r="M390" s="87"/>
      <c r="N390" s="38"/>
      <c r="Q390" s="38"/>
    </row>
    <row r="391">
      <c r="A391" s="46" t="str">
        <f>IFERROR(__xludf.DUMMYFUNCTION("""COMPUTED_VALUE"""),"Cereal")</f>
        <v>Cereal</v>
      </c>
      <c r="B391" s="46" t="str">
        <f>IFERROR(__xludf.DUMMYFUNCTION("""COMPUTED_VALUE"""),"Luxembourg")</f>
        <v>Luxembourg</v>
      </c>
      <c r="C391" s="46">
        <f>IFERROR(__xludf.DUMMYFUNCTION("""COMPUTED_VALUE"""),3.61659038E8)</f>
        <v>361659038</v>
      </c>
      <c r="D391" s="84">
        <f>IFERROR(__xludf.DUMMYFUNCTION("""COMPUTED_VALUE"""),370465.69999999995)</f>
        <v>370465.7</v>
      </c>
      <c r="H391" s="48"/>
      <c r="I391" s="38"/>
      <c r="J391" s="38"/>
      <c r="K391" s="38"/>
      <c r="M391" s="87"/>
      <c r="N391" s="38"/>
      <c r="Q391" s="38"/>
    </row>
    <row r="392">
      <c r="A392" s="46" t="str">
        <f>IFERROR(__xludf.DUMMYFUNCTION("""COMPUTED_VALUE"""),"Vegetables")</f>
        <v>Vegetables</v>
      </c>
      <c r="B392" s="46" t="str">
        <f>IFERROR(__xludf.DUMMYFUNCTION("""COMPUTED_VALUE"""),"San Marino")</f>
        <v>San Marino</v>
      </c>
      <c r="C392" s="46">
        <f>IFERROR(__xludf.DUMMYFUNCTION("""COMPUTED_VALUE"""),3.61725556E8)</f>
        <v>361725556</v>
      </c>
      <c r="D392" s="84">
        <f>IFERROR(__xludf.DUMMYFUNCTION("""COMPUTED_VALUE"""),228779.1)</f>
        <v>228779.1</v>
      </c>
      <c r="H392" s="48"/>
      <c r="I392" s="38"/>
      <c r="J392" s="38"/>
      <c r="K392" s="38"/>
      <c r="M392" s="87"/>
      <c r="N392" s="38"/>
      <c r="Q392" s="38"/>
    </row>
    <row r="393">
      <c r="A393" s="46" t="str">
        <f>IFERROR(__xludf.DUMMYFUNCTION("""COMPUTED_VALUE"""),"Fruits")</f>
        <v>Fruits</v>
      </c>
      <c r="B393" s="46" t="str">
        <f>IFERROR(__xludf.DUMMYFUNCTION("""COMPUTED_VALUE"""),"Armenia")</f>
        <v>Armenia</v>
      </c>
      <c r="C393" s="46">
        <f>IFERROR(__xludf.DUMMYFUNCTION("""COMPUTED_VALUE"""),3.62258565E8)</f>
        <v>362258565</v>
      </c>
      <c r="D393" s="84">
        <f>IFERROR(__xludf.DUMMYFUNCTION("""COMPUTED_VALUE"""),85966.62)</f>
        <v>85966.62</v>
      </c>
      <c r="H393" s="48"/>
      <c r="I393" s="38"/>
      <c r="J393" s="38"/>
      <c r="K393" s="38"/>
      <c r="M393" s="87"/>
      <c r="N393" s="38"/>
      <c r="Q393" s="38"/>
    </row>
    <row r="394">
      <c r="A394" s="46" t="str">
        <f>IFERROR(__xludf.DUMMYFUNCTION("""COMPUTED_VALUE"""),"Cosmetics")</f>
        <v>Cosmetics</v>
      </c>
      <c r="B394" s="46" t="str">
        <f>IFERROR(__xludf.DUMMYFUNCTION("""COMPUTED_VALUE"""),"Croatia")</f>
        <v>Croatia</v>
      </c>
      <c r="C394" s="46">
        <f>IFERROR(__xludf.DUMMYFUNCTION("""COMPUTED_VALUE"""),3.64715468E8)</f>
        <v>364715468</v>
      </c>
      <c r="D394" s="84">
        <f>IFERROR(__xludf.DUMMYFUNCTION("""COMPUTED_VALUE"""),2739932.4)</f>
        <v>2739932.4</v>
      </c>
      <c r="H394" s="48"/>
      <c r="I394" s="38"/>
      <c r="J394" s="38"/>
      <c r="K394" s="38"/>
      <c r="M394" s="87"/>
      <c r="N394" s="38"/>
      <c r="Q394" s="38"/>
    </row>
    <row r="395">
      <c r="A395" s="46" t="str">
        <f>IFERROR(__xludf.DUMMYFUNCTION("""COMPUTED_VALUE"""),"Baby Food")</f>
        <v>Baby Food</v>
      </c>
      <c r="B395" s="46" t="str">
        <f>IFERROR(__xludf.DUMMYFUNCTION("""COMPUTED_VALUE"""),"Undefined")</f>
        <v>Undefined</v>
      </c>
      <c r="C395" s="46">
        <f>IFERROR(__xludf.DUMMYFUNCTION("""COMPUTED_VALUE"""),3.64854514E8)</f>
        <v>364854514</v>
      </c>
      <c r="D395" s="84">
        <f>IFERROR(__xludf.DUMMYFUNCTION("""COMPUTED_VALUE"""),1892390.64)</f>
        <v>1892390.64</v>
      </c>
      <c r="H395" s="48"/>
      <c r="I395" s="38"/>
      <c r="J395" s="38"/>
      <c r="K395" s="38"/>
      <c r="M395" s="87"/>
      <c r="N395" s="38"/>
      <c r="Q395" s="38"/>
    </row>
    <row r="396">
      <c r="A396" s="46" t="str">
        <f>IFERROR(__xludf.DUMMYFUNCTION("""COMPUTED_VALUE"""),"Household")</f>
        <v>Household</v>
      </c>
      <c r="B396" s="46" t="str">
        <f>IFERROR(__xludf.DUMMYFUNCTION("""COMPUTED_VALUE"""),"France")</f>
        <v>France</v>
      </c>
      <c r="C396" s="46">
        <f>IFERROR(__xludf.DUMMYFUNCTION("""COMPUTED_VALUE"""),3.67328155E8)</f>
        <v>367328155</v>
      </c>
      <c r="D396" s="84">
        <f>IFERROR(__xludf.DUMMYFUNCTION("""COMPUTED_VALUE"""),6294435.13)</f>
        <v>6294435.13</v>
      </c>
      <c r="H396" s="48"/>
      <c r="I396" s="38"/>
      <c r="J396" s="38"/>
      <c r="K396" s="38"/>
      <c r="M396" s="87"/>
      <c r="N396" s="38"/>
      <c r="Q396" s="38"/>
    </row>
    <row r="397">
      <c r="A397" s="46" t="str">
        <f>IFERROR(__xludf.DUMMYFUNCTION("""COMPUTED_VALUE"""),"Office Supplies")</f>
        <v>Office Supplies</v>
      </c>
      <c r="B397" s="46" t="str">
        <f>IFERROR(__xludf.DUMMYFUNCTION("""COMPUTED_VALUE"""),"Germany")</f>
        <v>Germany</v>
      </c>
      <c r="C397" s="46">
        <f>IFERROR(__xludf.DUMMYFUNCTION("""COMPUTED_VALUE"""),3.68865811E8)</f>
        <v>368865811</v>
      </c>
      <c r="D397" s="84">
        <f>IFERROR(__xludf.DUMMYFUNCTION("""COMPUTED_VALUE"""),2894628.45)</f>
        <v>2894628.45</v>
      </c>
      <c r="H397" s="48"/>
      <c r="I397" s="38"/>
      <c r="J397" s="38"/>
      <c r="K397" s="38"/>
      <c r="M397" s="87"/>
      <c r="N397" s="38"/>
      <c r="Q397" s="38"/>
    </row>
    <row r="398">
      <c r="A398" s="46" t="str">
        <f>IFERROR(__xludf.DUMMYFUNCTION("""COMPUTED_VALUE"""),"Baby Food")</f>
        <v>Baby Food</v>
      </c>
      <c r="B398" s="46" t="str">
        <f>IFERROR(__xludf.DUMMYFUNCTION("""COMPUTED_VALUE"""),"Sweden")</f>
        <v>Sweden</v>
      </c>
      <c r="C398" s="46">
        <f>IFERROR(__xludf.DUMMYFUNCTION("""COMPUTED_VALUE"""),3.69170081E8)</f>
        <v>369170081</v>
      </c>
      <c r="D398" s="84">
        <f>IFERROR(__xludf.DUMMYFUNCTION("""COMPUTED_VALUE"""),1145186.08)</f>
        <v>1145186.08</v>
      </c>
      <c r="H398" s="48"/>
      <c r="I398" s="38"/>
      <c r="J398" s="38"/>
      <c r="K398" s="38"/>
      <c r="M398" s="87"/>
      <c r="N398" s="38"/>
      <c r="Q398" s="38"/>
    </row>
    <row r="399">
      <c r="A399" s="46" t="str">
        <f>IFERROR(__xludf.DUMMYFUNCTION("""COMPUTED_VALUE"""),"Beverages")</f>
        <v>Beverages</v>
      </c>
      <c r="B399" s="46" t="str">
        <f>IFERROR(__xludf.DUMMYFUNCTION("""COMPUTED_VALUE"""),"Undefined")</f>
        <v>Undefined</v>
      </c>
      <c r="C399" s="46">
        <f>IFERROR(__xludf.DUMMYFUNCTION("""COMPUTED_VALUE"""),3.70484149E8)</f>
        <v>370484149</v>
      </c>
      <c r="D399" s="84">
        <f>IFERROR(__xludf.DUMMYFUNCTION("""COMPUTED_VALUE"""),158862.6)</f>
        <v>158862.6</v>
      </c>
      <c r="H399" s="48"/>
      <c r="I399" s="38"/>
      <c r="J399" s="38"/>
      <c r="K399" s="38"/>
      <c r="M399" s="87"/>
      <c r="N399" s="38"/>
      <c r="Q399" s="38"/>
    </row>
    <row r="400">
      <c r="A400" s="46" t="str">
        <f>IFERROR(__xludf.DUMMYFUNCTION("""COMPUTED_VALUE"""),"Personal Care")</f>
        <v>Personal Care</v>
      </c>
      <c r="B400" s="46" t="str">
        <f>IFERROR(__xludf.DUMMYFUNCTION("""COMPUTED_VALUE"""),"Russia")</f>
        <v>Russia</v>
      </c>
      <c r="C400" s="46">
        <f>IFERROR(__xludf.DUMMYFUNCTION("""COMPUTED_VALUE"""),3.71814954E8)</f>
        <v>371814954</v>
      </c>
      <c r="D400" s="84">
        <f>IFERROR(__xludf.DUMMYFUNCTION("""COMPUTED_VALUE"""),585350.26)</f>
        <v>585350.26</v>
      </c>
      <c r="H400" s="48"/>
      <c r="I400" s="38"/>
      <c r="J400" s="38"/>
      <c r="K400" s="38"/>
      <c r="M400" s="87"/>
      <c r="N400" s="38"/>
      <c r="Q400" s="38"/>
    </row>
    <row r="401">
      <c r="A401" s="46" t="str">
        <f>IFERROR(__xludf.DUMMYFUNCTION("""COMPUTED_VALUE"""),"Office Supplies")</f>
        <v>Office Supplies</v>
      </c>
      <c r="B401" s="46" t="str">
        <f>IFERROR(__xludf.DUMMYFUNCTION("""COMPUTED_VALUE"""),"Undefined")</f>
        <v>Undefined</v>
      </c>
      <c r="C401" s="46">
        <f>IFERROR(__xludf.DUMMYFUNCTION("""COMPUTED_VALUE"""),3.74663245E8)</f>
        <v>374663245</v>
      </c>
      <c r="D401" s="84">
        <f>IFERROR(__xludf.DUMMYFUNCTION("""COMPUTED_VALUE"""),22792.350000000002)</f>
        <v>22792.35</v>
      </c>
      <c r="H401" s="48"/>
      <c r="I401" s="38"/>
      <c r="J401" s="38"/>
      <c r="K401" s="38"/>
      <c r="M401" s="87"/>
      <c r="N401" s="38"/>
      <c r="Q401" s="38"/>
    </row>
    <row r="402">
      <c r="A402" s="46" t="str">
        <f>IFERROR(__xludf.DUMMYFUNCTION("""COMPUTED_VALUE"""),"Clothes")</f>
        <v>Clothes</v>
      </c>
      <c r="B402" s="46" t="str">
        <f>IFERROR(__xludf.DUMMYFUNCTION("""COMPUTED_VALUE"""),"Spain")</f>
        <v>Spain</v>
      </c>
      <c r="C402" s="46">
        <f>IFERROR(__xludf.DUMMYFUNCTION("""COMPUTED_VALUE"""),3.74848639E8)</f>
        <v>374848639</v>
      </c>
      <c r="D402" s="84">
        <f>IFERROR(__xludf.DUMMYFUNCTION("""COMPUTED_VALUE"""),535144.16)</f>
        <v>535144.16</v>
      </c>
      <c r="H402" s="48"/>
      <c r="I402" s="38"/>
      <c r="J402" s="38"/>
      <c r="K402" s="38"/>
      <c r="M402" s="87"/>
      <c r="N402" s="38"/>
      <c r="Q402" s="38"/>
    </row>
    <row r="403">
      <c r="A403" s="46" t="str">
        <f>IFERROR(__xludf.DUMMYFUNCTION("""COMPUTED_VALUE"""),"Clothes")</f>
        <v>Clothes</v>
      </c>
      <c r="B403" s="46" t="str">
        <f>IFERROR(__xludf.DUMMYFUNCTION("""COMPUTED_VALUE"""),"Lithuania")</f>
        <v>Lithuania</v>
      </c>
      <c r="C403" s="46">
        <f>IFERROR(__xludf.DUMMYFUNCTION("""COMPUTED_VALUE"""),3.78216636E8)</f>
        <v>378216636</v>
      </c>
      <c r="D403" s="84">
        <f>IFERROR(__xludf.DUMMYFUNCTION("""COMPUTED_VALUE"""),170695.36000000002)</f>
        <v>170695.36</v>
      </c>
      <c r="H403" s="48"/>
      <c r="I403" s="38"/>
      <c r="J403" s="38"/>
      <c r="K403" s="38"/>
      <c r="M403" s="87"/>
      <c r="N403" s="38"/>
      <c r="Q403" s="38"/>
    </row>
    <row r="404">
      <c r="A404" s="46" t="str">
        <f>IFERROR(__xludf.DUMMYFUNCTION("""COMPUTED_VALUE"""),"Cosmetics")</f>
        <v>Cosmetics</v>
      </c>
      <c r="B404" s="46" t="str">
        <f>IFERROR(__xludf.DUMMYFUNCTION("""COMPUTED_VALUE"""),"Montenegro")</f>
        <v>Montenegro</v>
      </c>
      <c r="C404" s="46">
        <f>IFERROR(__xludf.DUMMYFUNCTION("""COMPUTED_VALUE"""),3.78714883E8)</f>
        <v>378714883</v>
      </c>
      <c r="D404" s="84">
        <f>IFERROR(__xludf.DUMMYFUNCTION("""COMPUTED_VALUE"""),3936986.0)</f>
        <v>3936986</v>
      </c>
      <c r="H404" s="48"/>
      <c r="I404" s="38"/>
      <c r="J404" s="38"/>
      <c r="K404" s="38"/>
      <c r="M404" s="87"/>
      <c r="N404" s="38"/>
      <c r="Q404" s="38"/>
    </row>
    <row r="405">
      <c r="A405" s="46" t="str">
        <f>IFERROR(__xludf.DUMMYFUNCTION("""COMPUTED_VALUE"""),"Beverages")</f>
        <v>Beverages</v>
      </c>
      <c r="B405" s="46" t="str">
        <f>IFERROR(__xludf.DUMMYFUNCTION("""COMPUTED_VALUE"""),"Andorra")</f>
        <v>Andorra</v>
      </c>
      <c r="C405" s="46">
        <f>IFERROR(__xludf.DUMMYFUNCTION("""COMPUTED_VALUE"""),3.7887324E8)</f>
        <v>378873240</v>
      </c>
      <c r="D405" s="84">
        <f>IFERROR(__xludf.DUMMYFUNCTION("""COMPUTED_VALUE"""),278341.7)</f>
        <v>278341.7</v>
      </c>
      <c r="H405" s="48"/>
      <c r="I405" s="38"/>
      <c r="J405" s="38"/>
      <c r="K405" s="38"/>
      <c r="M405" s="87"/>
      <c r="N405" s="38"/>
      <c r="Q405" s="38"/>
    </row>
    <row r="406">
      <c r="A406" s="46" t="str">
        <f>IFERROR(__xludf.DUMMYFUNCTION("""COMPUTED_VALUE"""),"Clothes")</f>
        <v>Clothes</v>
      </c>
      <c r="B406" s="46" t="str">
        <f>IFERROR(__xludf.DUMMYFUNCTION("""COMPUTED_VALUE"""),"Germany")</f>
        <v>Germany</v>
      </c>
      <c r="C406" s="46">
        <f>IFERROR(__xludf.DUMMYFUNCTION("""COMPUTED_VALUE"""),3.79900634E8)</f>
        <v>379900634</v>
      </c>
      <c r="D406" s="84">
        <f>IFERROR(__xludf.DUMMYFUNCTION("""COMPUTED_VALUE"""),1081325.6)</f>
        <v>1081325.6</v>
      </c>
      <c r="H406" s="48"/>
      <c r="I406" s="38"/>
      <c r="J406" s="38"/>
      <c r="K406" s="38"/>
      <c r="M406" s="87"/>
      <c r="N406" s="38"/>
      <c r="Q406" s="38"/>
    </row>
    <row r="407">
      <c r="A407" s="46" t="str">
        <f>IFERROR(__xludf.DUMMYFUNCTION("""COMPUTED_VALUE"""),"Household")</f>
        <v>Household</v>
      </c>
      <c r="B407" s="46" t="str">
        <f>IFERROR(__xludf.DUMMYFUNCTION("""COMPUTED_VALUE"""),"Albania")</f>
        <v>Albania</v>
      </c>
      <c r="C407" s="46">
        <f>IFERROR(__xludf.DUMMYFUNCTION("""COMPUTED_VALUE"""),3.80379998E8)</f>
        <v>380379998</v>
      </c>
      <c r="D407" s="84">
        <f>IFERROR(__xludf.DUMMYFUNCTION("""COMPUTED_VALUE"""),1168804.23)</f>
        <v>1168804.23</v>
      </c>
      <c r="H407" s="48"/>
      <c r="I407" s="38"/>
      <c r="J407" s="38"/>
      <c r="K407" s="38"/>
      <c r="M407" s="87"/>
      <c r="N407" s="38"/>
      <c r="Q407" s="38"/>
    </row>
    <row r="408">
      <c r="A408" s="46" t="str">
        <f>IFERROR(__xludf.DUMMYFUNCTION("""COMPUTED_VALUE"""),"Clothes")</f>
        <v>Clothes</v>
      </c>
      <c r="B408" s="46" t="str">
        <f>IFERROR(__xludf.DUMMYFUNCTION("""COMPUTED_VALUE"""),"Bulgaria")</f>
        <v>Bulgaria</v>
      </c>
      <c r="C408" s="46">
        <f>IFERROR(__xludf.DUMMYFUNCTION("""COMPUTED_VALUE"""),3.80498874E8)</f>
        <v>380498874</v>
      </c>
      <c r="D408" s="84">
        <f>IFERROR(__xludf.DUMMYFUNCTION("""COMPUTED_VALUE"""),756982.56)</f>
        <v>756982.56</v>
      </c>
      <c r="H408" s="48"/>
      <c r="I408" s="38"/>
      <c r="J408" s="38"/>
      <c r="K408" s="38"/>
      <c r="M408" s="87"/>
      <c r="N408" s="38"/>
      <c r="Q408" s="38"/>
    </row>
    <row r="409">
      <c r="A409" s="46" t="str">
        <f>IFERROR(__xludf.DUMMYFUNCTION("""COMPUTED_VALUE"""),"Meat")</f>
        <v>Meat</v>
      </c>
      <c r="B409" s="46" t="str">
        <f>IFERROR(__xludf.DUMMYFUNCTION("""COMPUTED_VALUE"""),"Serbia")</f>
        <v>Serbia</v>
      </c>
      <c r="C409" s="46">
        <f>IFERROR(__xludf.DUMMYFUNCTION("""COMPUTED_VALUE"""),3.80610454E8)</f>
        <v>380610454</v>
      </c>
      <c r="D409" s="84">
        <f>IFERROR(__xludf.DUMMYFUNCTION("""COMPUTED_VALUE"""),4196117.9399999995)</f>
        <v>4196117.94</v>
      </c>
      <c r="H409" s="48"/>
      <c r="I409" s="38"/>
      <c r="J409" s="38"/>
      <c r="K409" s="38"/>
      <c r="M409" s="87"/>
      <c r="N409" s="38"/>
      <c r="Q409" s="38"/>
    </row>
    <row r="410">
      <c r="A410" s="46" t="str">
        <f>IFERROR(__xludf.DUMMYFUNCTION("""COMPUTED_VALUE"""),"Cosmetics")</f>
        <v>Cosmetics</v>
      </c>
      <c r="B410" s="46" t="str">
        <f>IFERROR(__xludf.DUMMYFUNCTION("""COMPUTED_VALUE"""),"Luxembourg")</f>
        <v>Luxembourg</v>
      </c>
      <c r="C410" s="46">
        <f>IFERROR(__xludf.DUMMYFUNCTION("""COMPUTED_VALUE"""),3.80684268E8)</f>
        <v>380684268</v>
      </c>
      <c r="D410" s="84">
        <f>IFERROR(__xludf.DUMMYFUNCTION("""COMPUTED_VALUE"""),782150.7999999999)</f>
        <v>782150.8</v>
      </c>
      <c r="H410" s="48"/>
      <c r="I410" s="38"/>
      <c r="J410" s="38"/>
      <c r="K410" s="38"/>
      <c r="M410" s="87"/>
      <c r="N410" s="38"/>
      <c r="Q410" s="38"/>
    </row>
    <row r="411">
      <c r="A411" s="46" t="str">
        <f>IFERROR(__xludf.DUMMYFUNCTION("""COMPUTED_VALUE"""),"Baby Food")</f>
        <v>Baby Food</v>
      </c>
      <c r="B411" s="46" t="str">
        <f>IFERROR(__xludf.DUMMYFUNCTION("""COMPUTED_VALUE"""),"Andorra")</f>
        <v>Andorra</v>
      </c>
      <c r="C411" s="46">
        <f>IFERROR(__xludf.DUMMYFUNCTION("""COMPUTED_VALUE"""),3.80733191E8)</f>
        <v>380733191</v>
      </c>
      <c r="D411" s="84">
        <f>IFERROR(__xludf.DUMMYFUNCTION("""COMPUTED_VALUE"""),1599839.76)</f>
        <v>1599839.76</v>
      </c>
      <c r="H411" s="48"/>
      <c r="I411" s="38"/>
      <c r="J411" s="38"/>
      <c r="K411" s="38"/>
      <c r="M411" s="87"/>
      <c r="N411" s="38"/>
      <c r="Q411" s="38"/>
    </row>
    <row r="412">
      <c r="A412" s="46" t="str">
        <f>IFERROR(__xludf.DUMMYFUNCTION("""COMPUTED_VALUE"""),"Clothes")</f>
        <v>Clothes</v>
      </c>
      <c r="B412" s="46" t="str">
        <f>IFERROR(__xludf.DUMMYFUNCTION("""COMPUTED_VALUE"""),"Montenegro")</f>
        <v>Montenegro</v>
      </c>
      <c r="C412" s="46">
        <f>IFERROR(__xludf.DUMMYFUNCTION("""COMPUTED_VALUE"""),3.81759297E8)</f>
        <v>381759297</v>
      </c>
      <c r="D412" s="84">
        <f>IFERROR(__xludf.DUMMYFUNCTION("""COMPUTED_VALUE"""),1083401.92)</f>
        <v>1083401.92</v>
      </c>
      <c r="H412" s="48"/>
      <c r="I412" s="38"/>
      <c r="J412" s="38"/>
      <c r="K412" s="38"/>
      <c r="M412" s="87"/>
      <c r="N412" s="38"/>
      <c r="Q412" s="38"/>
    </row>
    <row r="413">
      <c r="A413" s="46" t="str">
        <f>IFERROR(__xludf.DUMMYFUNCTION("""COMPUTED_VALUE"""),"Fruits")</f>
        <v>Fruits</v>
      </c>
      <c r="B413" s="46" t="str">
        <f>IFERROR(__xludf.DUMMYFUNCTION("""COMPUTED_VALUE"""),"Norway")</f>
        <v>Norway</v>
      </c>
      <c r="C413" s="46">
        <f>IFERROR(__xludf.DUMMYFUNCTION("""COMPUTED_VALUE"""),3.81774747E8)</f>
        <v>381774747</v>
      </c>
      <c r="D413" s="84">
        <f>IFERROR(__xludf.DUMMYFUNCTION("""COMPUTED_VALUE"""),41854.38)</f>
        <v>41854.38</v>
      </c>
      <c r="H413" s="48"/>
      <c r="I413" s="38"/>
      <c r="J413" s="38"/>
      <c r="K413" s="38"/>
      <c r="M413" s="87"/>
      <c r="N413" s="38"/>
      <c r="Q413" s="38"/>
    </row>
    <row r="414">
      <c r="A414" s="46" t="str">
        <f>IFERROR(__xludf.DUMMYFUNCTION("""COMPUTED_VALUE"""),"Personal Care")</f>
        <v>Personal Care</v>
      </c>
      <c r="B414" s="46" t="str">
        <f>IFERROR(__xludf.DUMMYFUNCTION("""COMPUTED_VALUE"""),"Ireland")</f>
        <v>Ireland</v>
      </c>
      <c r="C414" s="46">
        <f>IFERROR(__xludf.DUMMYFUNCTION("""COMPUTED_VALUE"""),3.82581126E8)</f>
        <v>382581126</v>
      </c>
      <c r="D414" s="84">
        <f>IFERROR(__xludf.DUMMYFUNCTION("""COMPUTED_VALUE"""),254343.76)</f>
        <v>254343.76</v>
      </c>
      <c r="H414" s="48"/>
      <c r="I414" s="38"/>
      <c r="J414" s="38"/>
      <c r="K414" s="38"/>
      <c r="M414" s="87"/>
      <c r="N414" s="38"/>
      <c r="Q414" s="38"/>
    </row>
    <row r="415">
      <c r="A415" s="46" t="str">
        <f>IFERROR(__xludf.DUMMYFUNCTION("""COMPUTED_VALUE"""),"Clothes")</f>
        <v>Clothes</v>
      </c>
      <c r="B415" s="46" t="str">
        <f>IFERROR(__xludf.DUMMYFUNCTION("""COMPUTED_VALUE"""),"Belarus")</f>
        <v>Belarus</v>
      </c>
      <c r="C415" s="46">
        <f>IFERROR(__xludf.DUMMYFUNCTION("""COMPUTED_VALUE"""),3.83611094E8)</f>
        <v>383611094</v>
      </c>
      <c r="D415" s="84">
        <f>IFERROR(__xludf.DUMMYFUNCTION("""COMPUTED_VALUE"""),863530.56)</f>
        <v>863530.56</v>
      </c>
      <c r="H415" s="48"/>
      <c r="I415" s="38"/>
      <c r="J415" s="38"/>
      <c r="K415" s="38"/>
      <c r="M415" s="87"/>
      <c r="N415" s="38"/>
      <c r="Q415" s="38"/>
    </row>
    <row r="416">
      <c r="A416" s="46" t="str">
        <f>IFERROR(__xludf.DUMMYFUNCTION("""COMPUTED_VALUE"""),"Household")</f>
        <v>Household</v>
      </c>
      <c r="B416" s="46" t="str">
        <f>IFERROR(__xludf.DUMMYFUNCTION("""COMPUTED_VALUE"""),"Norway")</f>
        <v>Norway</v>
      </c>
      <c r="C416" s="46">
        <f>IFERROR(__xludf.DUMMYFUNCTION("""COMPUTED_VALUE"""),3.84128224E8)</f>
        <v>384128224</v>
      </c>
      <c r="D416" s="84">
        <f>IFERROR(__xludf.DUMMYFUNCTION("""COMPUTED_VALUE"""),623495.91)</f>
        <v>623495.91</v>
      </c>
      <c r="H416" s="48"/>
      <c r="I416" s="38"/>
      <c r="J416" s="38"/>
      <c r="K416" s="38"/>
      <c r="M416" s="87"/>
      <c r="N416" s="38"/>
      <c r="Q416" s="38"/>
    </row>
    <row r="417">
      <c r="A417" s="46" t="str">
        <f>IFERROR(__xludf.DUMMYFUNCTION("""COMPUTED_VALUE"""),"Vegetables")</f>
        <v>Vegetables</v>
      </c>
      <c r="B417" s="46" t="str">
        <f>IFERROR(__xludf.DUMMYFUNCTION("""COMPUTED_VALUE"""),"Austria")</f>
        <v>Austria</v>
      </c>
      <c r="C417" s="46">
        <f>IFERROR(__xludf.DUMMYFUNCTION("""COMPUTED_VALUE"""),3.84483993E8)</f>
        <v>384483993</v>
      </c>
      <c r="D417" s="84">
        <f>IFERROR(__xludf.DUMMYFUNCTION("""COMPUTED_VALUE"""),957020.72)</f>
        <v>957020.72</v>
      </c>
      <c r="H417" s="48"/>
      <c r="I417" s="38"/>
      <c r="J417" s="38"/>
      <c r="K417" s="38"/>
      <c r="M417" s="87"/>
      <c r="N417" s="38"/>
      <c r="Q417" s="38"/>
    </row>
    <row r="418">
      <c r="A418" s="46" t="str">
        <f>IFERROR(__xludf.DUMMYFUNCTION("""COMPUTED_VALUE"""),"Fruits")</f>
        <v>Fruits</v>
      </c>
      <c r="B418" s="46" t="str">
        <f>IFERROR(__xludf.DUMMYFUNCTION("""COMPUTED_VALUE"""),"Luxembourg")</f>
        <v>Luxembourg</v>
      </c>
      <c r="C418" s="46">
        <f>IFERROR(__xludf.DUMMYFUNCTION("""COMPUTED_VALUE"""),3.84601581E8)</f>
        <v>384601581</v>
      </c>
      <c r="D418" s="84">
        <f>IFERROR(__xludf.DUMMYFUNCTION("""COMPUTED_VALUE"""),9413.97)</f>
        <v>9413.97</v>
      </c>
      <c r="H418" s="48"/>
      <c r="I418" s="38"/>
      <c r="J418" s="38"/>
      <c r="K418" s="38"/>
      <c r="M418" s="87"/>
      <c r="N418" s="38"/>
      <c r="Q418" s="38"/>
    </row>
    <row r="419">
      <c r="A419" s="46" t="str">
        <f>IFERROR(__xludf.DUMMYFUNCTION("""COMPUTED_VALUE"""),"Office Supplies")</f>
        <v>Office Supplies</v>
      </c>
      <c r="B419" s="46" t="str">
        <f>IFERROR(__xludf.DUMMYFUNCTION("""COMPUTED_VALUE"""),"Iceland")</f>
        <v>Iceland</v>
      </c>
      <c r="C419" s="46">
        <f>IFERROR(__xludf.DUMMYFUNCTION("""COMPUTED_VALUE"""),3.84976232E8)</f>
        <v>384976232</v>
      </c>
      <c r="D419" s="84">
        <f>IFERROR(__xludf.DUMMYFUNCTION("""COMPUTED_VALUE"""),1222321.1700000002)</f>
        <v>1222321.17</v>
      </c>
      <c r="H419" s="48"/>
      <c r="I419" s="38"/>
      <c r="J419" s="38"/>
      <c r="K419" s="38"/>
      <c r="M419" s="87"/>
      <c r="N419" s="38"/>
      <c r="Q419" s="38"/>
    </row>
    <row r="420">
      <c r="A420" s="46" t="str">
        <f>IFERROR(__xludf.DUMMYFUNCTION("""COMPUTED_VALUE"""),"Cosmetics")</f>
        <v>Cosmetics</v>
      </c>
      <c r="B420" s="46" t="str">
        <f>IFERROR(__xludf.DUMMYFUNCTION("""COMPUTED_VALUE"""),"Cyprus")</f>
        <v>Cyprus</v>
      </c>
      <c r="C420" s="46">
        <f>IFERROR(__xludf.DUMMYFUNCTION("""COMPUTED_VALUE"""),3.85080945E8)</f>
        <v>385080945</v>
      </c>
      <c r="D420" s="84">
        <f>IFERROR(__xludf.DUMMYFUNCTION("""COMPUTED_VALUE"""),1252140.8)</f>
        <v>1252140.8</v>
      </c>
      <c r="H420" s="48"/>
      <c r="I420" s="38"/>
      <c r="J420" s="38"/>
      <c r="K420" s="38"/>
      <c r="M420" s="87"/>
      <c r="N420" s="38"/>
      <c r="Q420" s="38"/>
    </row>
    <row r="421">
      <c r="A421" s="46" t="str">
        <f>IFERROR(__xludf.DUMMYFUNCTION("""COMPUTED_VALUE"""),"Cosmetics")</f>
        <v>Cosmetics</v>
      </c>
      <c r="B421" s="46" t="str">
        <f>IFERROR(__xludf.DUMMYFUNCTION("""COMPUTED_VALUE"""),"Germany")</f>
        <v>Germany</v>
      </c>
      <c r="C421" s="46">
        <f>IFERROR(__xludf.DUMMYFUNCTION("""COMPUTED_VALUE"""),3.85340154E8)</f>
        <v>385340154</v>
      </c>
      <c r="D421" s="84">
        <f>IFERROR(__xludf.DUMMYFUNCTION("""COMPUTED_VALUE"""),4183566.8)</f>
        <v>4183566.8</v>
      </c>
      <c r="H421" s="48"/>
      <c r="I421" s="38"/>
      <c r="J421" s="38"/>
      <c r="K421" s="38"/>
      <c r="M421" s="87"/>
      <c r="N421" s="38"/>
      <c r="Q421" s="38"/>
    </row>
    <row r="422">
      <c r="A422" s="46" t="str">
        <f>IFERROR(__xludf.DUMMYFUNCTION("""COMPUTED_VALUE"""),"Personal Care")</f>
        <v>Personal Care</v>
      </c>
      <c r="B422" s="46" t="str">
        <f>IFERROR(__xludf.DUMMYFUNCTION("""COMPUTED_VALUE"""),"Lithuania")</f>
        <v>Lithuania</v>
      </c>
      <c r="C422" s="46">
        <f>IFERROR(__xludf.DUMMYFUNCTION("""COMPUTED_VALUE"""),3.86009633E8)</f>
        <v>386009633</v>
      </c>
      <c r="D422" s="84">
        <f>IFERROR(__xludf.DUMMYFUNCTION("""COMPUTED_VALUE"""),627931.5900000001)</f>
        <v>627931.59</v>
      </c>
      <c r="H422" s="48"/>
      <c r="I422" s="38"/>
      <c r="J422" s="38"/>
      <c r="K422" s="38"/>
      <c r="M422" s="87"/>
      <c r="N422" s="38"/>
      <c r="Q422" s="38"/>
    </row>
    <row r="423">
      <c r="A423" s="46" t="str">
        <f>IFERROR(__xludf.DUMMYFUNCTION("""COMPUTED_VALUE"""),"Vegetables")</f>
        <v>Vegetables</v>
      </c>
      <c r="B423" s="46" t="str">
        <f>IFERROR(__xludf.DUMMYFUNCTION("""COMPUTED_VALUE"""),"Spain")</f>
        <v>Spain</v>
      </c>
      <c r="C423" s="46">
        <f>IFERROR(__xludf.DUMMYFUNCTION("""COMPUTED_VALUE"""),3.86319911E8)</f>
        <v>386319911</v>
      </c>
      <c r="D423" s="84">
        <f>IFERROR(__xludf.DUMMYFUNCTION("""COMPUTED_VALUE"""),1463724.06)</f>
        <v>1463724.06</v>
      </c>
      <c r="H423" s="48"/>
      <c r="I423" s="38"/>
      <c r="J423" s="38"/>
      <c r="K423" s="38"/>
      <c r="M423" s="87"/>
      <c r="N423" s="38"/>
      <c r="Q423" s="38"/>
    </row>
    <row r="424">
      <c r="A424" s="46" t="str">
        <f>IFERROR(__xludf.DUMMYFUNCTION("""COMPUTED_VALUE"""),"Personal Care")</f>
        <v>Personal Care</v>
      </c>
      <c r="B424" s="46" t="str">
        <f>IFERROR(__xludf.DUMMYFUNCTION("""COMPUTED_VALUE"""),"Poland")</f>
        <v>Poland</v>
      </c>
      <c r="C424" s="46">
        <f>IFERROR(__xludf.DUMMYFUNCTION("""COMPUTED_VALUE"""),3.86440074E8)</f>
        <v>386440074</v>
      </c>
      <c r="D424" s="84">
        <f>IFERROR(__xludf.DUMMYFUNCTION("""COMPUTED_VALUE"""),413553.80000000005)</f>
        <v>413553.8</v>
      </c>
      <c r="H424" s="48"/>
      <c r="I424" s="38"/>
      <c r="J424" s="38"/>
      <c r="K424" s="38"/>
      <c r="M424" s="87"/>
      <c r="N424" s="38"/>
      <c r="Q424" s="38"/>
    </row>
    <row r="425">
      <c r="A425" s="46" t="str">
        <f>IFERROR(__xludf.DUMMYFUNCTION("""COMPUTED_VALUE"""),"Vegetables")</f>
        <v>Vegetables</v>
      </c>
      <c r="B425" s="46" t="str">
        <f>IFERROR(__xludf.DUMMYFUNCTION("""COMPUTED_VALUE"""),"Lithuania")</f>
        <v>Lithuania</v>
      </c>
      <c r="C425" s="46">
        <f>IFERROR(__xludf.DUMMYFUNCTION("""COMPUTED_VALUE"""),3.86601865E8)</f>
        <v>386601865</v>
      </c>
      <c r="D425" s="84">
        <f>IFERROR(__xludf.DUMMYFUNCTION("""COMPUTED_VALUE"""),452628.28)</f>
        <v>452628.28</v>
      </c>
      <c r="H425" s="48"/>
      <c r="I425" s="38"/>
      <c r="J425" s="38"/>
      <c r="K425" s="38"/>
      <c r="M425" s="87"/>
      <c r="N425" s="38"/>
      <c r="Q425" s="38"/>
    </row>
    <row r="426">
      <c r="A426" s="46" t="str">
        <f>IFERROR(__xludf.DUMMYFUNCTION("""COMPUTED_VALUE"""),"Personal Care")</f>
        <v>Personal Care</v>
      </c>
      <c r="B426" s="46" t="str">
        <f>IFERROR(__xludf.DUMMYFUNCTION("""COMPUTED_VALUE"""),"United Kingdom")</f>
        <v>United Kingdom</v>
      </c>
      <c r="C426" s="46">
        <f>IFERROR(__xludf.DUMMYFUNCTION("""COMPUTED_VALUE"""),3.87098824E8)</f>
        <v>387098824</v>
      </c>
      <c r="D426" s="84">
        <f>IFERROR(__xludf.DUMMYFUNCTION("""COMPUTED_VALUE"""),817218.27)</f>
        <v>817218.27</v>
      </c>
      <c r="H426" s="48"/>
      <c r="I426" s="38"/>
      <c r="J426" s="38"/>
      <c r="K426" s="38"/>
      <c r="M426" s="87"/>
      <c r="N426" s="38"/>
      <c r="Q426" s="38"/>
    </row>
    <row r="427">
      <c r="A427" s="46" t="str">
        <f>IFERROR(__xludf.DUMMYFUNCTION("""COMPUTED_VALUE"""),"Snacks")</f>
        <v>Snacks</v>
      </c>
      <c r="B427" s="46" t="str">
        <f>IFERROR(__xludf.DUMMYFUNCTION("""COMPUTED_VALUE"""),"Bosnia and Herzegovina")</f>
        <v>Bosnia and Herzegovina</v>
      </c>
      <c r="C427" s="46">
        <f>IFERROR(__xludf.DUMMYFUNCTION("""COMPUTED_VALUE"""),3.8872832E8)</f>
        <v>388728320</v>
      </c>
      <c r="D427" s="84">
        <f>IFERROR(__xludf.DUMMYFUNCTION("""COMPUTED_VALUE"""),336133.74000000005)</f>
        <v>336133.74</v>
      </c>
      <c r="H427" s="48"/>
      <c r="I427" s="38"/>
      <c r="J427" s="38"/>
      <c r="K427" s="38"/>
      <c r="M427" s="87"/>
      <c r="N427" s="38"/>
      <c r="Q427" s="38"/>
    </row>
    <row r="428">
      <c r="A428" s="46" t="str">
        <f>IFERROR(__xludf.DUMMYFUNCTION("""COMPUTED_VALUE"""),"Cosmetics")</f>
        <v>Cosmetics</v>
      </c>
      <c r="B428" s="46" t="str">
        <f>IFERROR(__xludf.DUMMYFUNCTION("""COMPUTED_VALUE"""),"Spain")</f>
        <v>Spain</v>
      </c>
      <c r="C428" s="46">
        <f>IFERROR(__xludf.DUMMYFUNCTION("""COMPUTED_VALUE"""),3.91026866E8)</f>
        <v>391026866</v>
      </c>
      <c r="D428" s="84">
        <f>IFERROR(__xludf.DUMMYFUNCTION("""COMPUTED_VALUE"""),1046656.7999999999)</f>
        <v>1046656.8</v>
      </c>
      <c r="H428" s="48"/>
      <c r="I428" s="38"/>
      <c r="J428" s="38"/>
      <c r="K428" s="38"/>
      <c r="M428" s="87"/>
      <c r="N428" s="38"/>
      <c r="Q428" s="38"/>
    </row>
    <row r="429">
      <c r="A429" s="46" t="str">
        <f>IFERROR(__xludf.DUMMYFUNCTION("""COMPUTED_VALUE"""),"Office Supplies")</f>
        <v>Office Supplies</v>
      </c>
      <c r="B429" s="46" t="str">
        <f>IFERROR(__xludf.DUMMYFUNCTION("""COMPUTED_VALUE"""),"France")</f>
        <v>France</v>
      </c>
      <c r="C429" s="46">
        <f>IFERROR(__xludf.DUMMYFUNCTION("""COMPUTED_VALUE"""),3.91200673E8)</f>
        <v>391200673</v>
      </c>
      <c r="D429" s="84">
        <f>IFERROR(__xludf.DUMMYFUNCTION("""COMPUTED_VALUE"""),2492180.67)</f>
        <v>2492180.67</v>
      </c>
      <c r="H429" s="48"/>
      <c r="I429" s="38"/>
      <c r="J429" s="38"/>
      <c r="K429" s="38"/>
      <c r="M429" s="87"/>
      <c r="N429" s="38"/>
      <c r="Q429" s="38"/>
    </row>
    <row r="430">
      <c r="A430" s="46" t="str">
        <f>IFERROR(__xludf.DUMMYFUNCTION("""COMPUTED_VALUE"""),"Cereal")</f>
        <v>Cereal</v>
      </c>
      <c r="B430" s="46" t="str">
        <f>IFERROR(__xludf.DUMMYFUNCTION("""COMPUTED_VALUE"""),"Georgia")</f>
        <v>Georgia</v>
      </c>
      <c r="C430" s="46">
        <f>IFERROR(__xludf.DUMMYFUNCTION("""COMPUTED_VALUE"""),3.91849982E8)</f>
        <v>391849982</v>
      </c>
      <c r="D430" s="84">
        <f>IFERROR(__xludf.DUMMYFUNCTION("""COMPUTED_VALUE"""),1228440.4)</f>
        <v>1228440.4</v>
      </c>
      <c r="H430" s="48"/>
      <c r="I430" s="38"/>
      <c r="J430" s="38"/>
      <c r="K430" s="38"/>
      <c r="M430" s="87"/>
      <c r="N430" s="38"/>
      <c r="Q430" s="38"/>
    </row>
    <row r="431">
      <c r="A431" s="46" t="str">
        <f>IFERROR(__xludf.DUMMYFUNCTION("""COMPUTED_VALUE"""),"Snacks")</f>
        <v>Snacks</v>
      </c>
      <c r="B431" s="46" t="str">
        <f>IFERROR(__xludf.DUMMYFUNCTION("""COMPUTED_VALUE"""),"Norway")</f>
        <v>Norway</v>
      </c>
      <c r="C431" s="46">
        <f>IFERROR(__xludf.DUMMYFUNCTION("""COMPUTED_VALUE"""),3.92217338E8)</f>
        <v>392217338</v>
      </c>
      <c r="D431" s="84">
        <f>IFERROR(__xludf.DUMMYFUNCTION("""COMPUTED_VALUE"""),714226.9800000001)</f>
        <v>714226.98</v>
      </c>
      <c r="H431" s="48"/>
      <c r="I431" s="38"/>
      <c r="J431" s="38"/>
      <c r="K431" s="38"/>
      <c r="M431" s="87"/>
      <c r="N431" s="38"/>
      <c r="Q431" s="38"/>
    </row>
    <row r="432">
      <c r="A432" s="46" t="str">
        <f>IFERROR(__xludf.DUMMYFUNCTION("""COMPUTED_VALUE"""),"Cereal")</f>
        <v>Cereal</v>
      </c>
      <c r="B432" s="46" t="str">
        <f>IFERROR(__xludf.DUMMYFUNCTION("""COMPUTED_VALUE"""),"Spain")</f>
        <v>Spain</v>
      </c>
      <c r="C432" s="46">
        <f>IFERROR(__xludf.DUMMYFUNCTION("""COMPUTED_VALUE"""),3.92252957E8)</f>
        <v>392252957</v>
      </c>
      <c r="D432" s="84">
        <f>IFERROR(__xludf.DUMMYFUNCTION("""COMPUTED_VALUE"""),1074165.4)</f>
        <v>1074165.4</v>
      </c>
      <c r="H432" s="48"/>
      <c r="I432" s="38"/>
      <c r="J432" s="38"/>
      <c r="K432" s="38"/>
      <c r="M432" s="87"/>
      <c r="N432" s="38"/>
      <c r="Q432" s="38"/>
    </row>
    <row r="433">
      <c r="A433" s="46" t="str">
        <f>IFERROR(__xludf.DUMMYFUNCTION("""COMPUTED_VALUE"""),"Vegetables")</f>
        <v>Vegetables</v>
      </c>
      <c r="B433" s="46" t="str">
        <f>IFERROR(__xludf.DUMMYFUNCTION("""COMPUTED_VALUE"""),"Serbia")</f>
        <v>Serbia</v>
      </c>
      <c r="C433" s="46">
        <f>IFERROR(__xludf.DUMMYFUNCTION("""COMPUTED_VALUE"""),3.92518174E8)</f>
        <v>392518174</v>
      </c>
      <c r="D433" s="84">
        <f>IFERROR(__xludf.DUMMYFUNCTION("""COMPUTED_VALUE"""),570792.3)</f>
        <v>570792.3</v>
      </c>
      <c r="H433" s="48"/>
      <c r="I433" s="38"/>
      <c r="J433" s="38"/>
      <c r="K433" s="38"/>
      <c r="M433" s="87"/>
      <c r="N433" s="38"/>
      <c r="Q433" s="38"/>
    </row>
    <row r="434">
      <c r="A434" s="46" t="str">
        <f>IFERROR(__xludf.DUMMYFUNCTION("""COMPUTED_VALUE"""),"Cereal")</f>
        <v>Cereal</v>
      </c>
      <c r="B434" s="46" t="str">
        <f>IFERROR(__xludf.DUMMYFUNCTION("""COMPUTED_VALUE"""),"Cyprus")</f>
        <v>Cyprus</v>
      </c>
      <c r="C434" s="46">
        <f>IFERROR(__xludf.DUMMYFUNCTION("""COMPUTED_VALUE"""),3.92676532E8)</f>
        <v>392676532</v>
      </c>
      <c r="D434" s="84">
        <f>IFERROR(__xludf.DUMMYFUNCTION("""COMPUTED_VALUE"""),116631.9)</f>
        <v>116631.9</v>
      </c>
      <c r="H434" s="48"/>
      <c r="I434" s="38"/>
      <c r="J434" s="38"/>
      <c r="K434" s="38"/>
      <c r="M434" s="87"/>
      <c r="N434" s="38"/>
      <c r="Q434" s="38"/>
    </row>
    <row r="435">
      <c r="A435" s="46" t="str">
        <f>IFERROR(__xludf.DUMMYFUNCTION("""COMPUTED_VALUE"""),"Personal Care")</f>
        <v>Personal Care</v>
      </c>
      <c r="B435" s="46" t="str">
        <f>IFERROR(__xludf.DUMMYFUNCTION("""COMPUTED_VALUE"""),"Netherlands")</f>
        <v>Netherlands</v>
      </c>
      <c r="C435" s="46">
        <f>IFERROR(__xludf.DUMMYFUNCTION("""COMPUTED_VALUE"""),3.92752492E8)</f>
        <v>392752492</v>
      </c>
      <c r="D435" s="84">
        <f>IFERROR(__xludf.DUMMYFUNCTION("""COMPUTED_VALUE"""),248867.85)</f>
        <v>248867.85</v>
      </c>
      <c r="H435" s="48"/>
      <c r="I435" s="38"/>
      <c r="J435" s="38"/>
      <c r="K435" s="38"/>
      <c r="M435" s="87"/>
      <c r="N435" s="38"/>
      <c r="Q435" s="38"/>
    </row>
    <row r="436">
      <c r="A436" s="46" t="str">
        <f>IFERROR(__xludf.DUMMYFUNCTION("""COMPUTED_VALUE"""),"Fruits")</f>
        <v>Fruits</v>
      </c>
      <c r="B436" s="46" t="str">
        <f>IFERROR(__xludf.DUMMYFUNCTION("""COMPUTED_VALUE"""),"France")</f>
        <v>France</v>
      </c>
      <c r="C436" s="46">
        <f>IFERROR(__xludf.DUMMYFUNCTION("""COMPUTED_VALUE"""),3.93709933E8)</f>
        <v>393709933</v>
      </c>
      <c r="D436" s="84">
        <f>IFERROR(__xludf.DUMMYFUNCTION("""COMPUTED_VALUE"""),59460.090000000004)</f>
        <v>59460.09</v>
      </c>
      <c r="H436" s="48"/>
      <c r="I436" s="38"/>
      <c r="J436" s="38"/>
      <c r="K436" s="38"/>
      <c r="M436" s="87"/>
      <c r="N436" s="38"/>
      <c r="Q436" s="38"/>
    </row>
    <row r="437">
      <c r="A437" s="46" t="str">
        <f>IFERROR(__xludf.DUMMYFUNCTION("""COMPUTED_VALUE"""),"Clothes")</f>
        <v>Clothes</v>
      </c>
      <c r="B437" s="46" t="str">
        <f>IFERROR(__xludf.DUMMYFUNCTION("""COMPUTED_VALUE"""),"Serbia")</f>
        <v>Serbia</v>
      </c>
      <c r="C437" s="46">
        <f>IFERROR(__xludf.DUMMYFUNCTION("""COMPUTED_VALUE"""),3.93842971E8)</f>
        <v>393842971</v>
      </c>
      <c r="D437" s="84">
        <f>IFERROR(__xludf.DUMMYFUNCTION("""COMPUTED_VALUE"""),627485.76)</f>
        <v>627485.76</v>
      </c>
      <c r="H437" s="48"/>
      <c r="I437" s="38"/>
      <c r="J437" s="38"/>
      <c r="K437" s="38"/>
      <c r="M437" s="87"/>
      <c r="N437" s="38"/>
      <c r="Q437" s="38"/>
    </row>
    <row r="438">
      <c r="A438" s="46" t="str">
        <f>IFERROR(__xludf.DUMMYFUNCTION("""COMPUTED_VALUE"""),"Fruits")</f>
        <v>Fruits</v>
      </c>
      <c r="B438" s="46" t="str">
        <f>IFERROR(__xludf.DUMMYFUNCTION("""COMPUTED_VALUE"""),"Slovakia")</f>
        <v>Slovakia</v>
      </c>
      <c r="C438" s="46">
        <f>IFERROR(__xludf.DUMMYFUNCTION("""COMPUTED_VALUE"""),3.9385842E8)</f>
        <v>393858420</v>
      </c>
      <c r="D438" s="84">
        <f>IFERROR(__xludf.DUMMYFUNCTION("""COMPUTED_VALUE"""),2929.62)</f>
        <v>2929.62</v>
      </c>
      <c r="H438" s="48"/>
      <c r="I438" s="38"/>
      <c r="J438" s="38"/>
      <c r="K438" s="38"/>
      <c r="M438" s="87"/>
      <c r="N438" s="38"/>
      <c r="Q438" s="38"/>
    </row>
    <row r="439">
      <c r="A439" s="46" t="str">
        <f>IFERROR(__xludf.DUMMYFUNCTION("""COMPUTED_VALUE"""),"Vegetables")</f>
        <v>Vegetables</v>
      </c>
      <c r="B439" s="46" t="str">
        <f>IFERROR(__xludf.DUMMYFUNCTION("""COMPUTED_VALUE"""),"Belgium")</f>
        <v>Belgium</v>
      </c>
      <c r="C439" s="46">
        <f>IFERROR(__xludf.DUMMYFUNCTION("""COMPUTED_VALUE"""),3.94110763E8)</f>
        <v>394110763</v>
      </c>
      <c r="D439" s="84">
        <f>IFERROR(__xludf.DUMMYFUNCTION("""COMPUTED_VALUE"""),768451.28)</f>
        <v>768451.28</v>
      </c>
      <c r="H439" s="48"/>
      <c r="I439" s="38"/>
      <c r="J439" s="38"/>
      <c r="K439" s="38"/>
      <c r="M439" s="87"/>
      <c r="N439" s="38"/>
      <c r="Q439" s="38"/>
    </row>
    <row r="440">
      <c r="A440" s="46" t="str">
        <f>IFERROR(__xludf.DUMMYFUNCTION("""COMPUTED_VALUE"""),"Household")</f>
        <v>Household</v>
      </c>
      <c r="B440" s="46" t="str">
        <f>IFERROR(__xludf.DUMMYFUNCTION("""COMPUTED_VALUE"""),"United Kingdom")</f>
        <v>United Kingdom</v>
      </c>
      <c r="C440" s="46">
        <f>IFERROR(__xludf.DUMMYFUNCTION("""COMPUTED_VALUE"""),3.94356667E8)</f>
        <v>394356667</v>
      </c>
      <c r="D440" s="84">
        <f>IFERROR(__xludf.DUMMYFUNCTION("""COMPUTED_VALUE"""),5183102.12)</f>
        <v>5183102.12</v>
      </c>
      <c r="H440" s="48"/>
      <c r="I440" s="38"/>
      <c r="J440" s="38"/>
      <c r="K440" s="38"/>
      <c r="M440" s="87"/>
      <c r="N440" s="38"/>
      <c r="Q440" s="38"/>
    </row>
    <row r="441">
      <c r="A441" s="46" t="str">
        <f>IFERROR(__xludf.DUMMYFUNCTION("""COMPUTED_VALUE"""),"Fruits")</f>
        <v>Fruits</v>
      </c>
      <c r="B441" s="46" t="str">
        <f>IFERROR(__xludf.DUMMYFUNCTION("""COMPUTED_VALUE"""),"Montenegro")</f>
        <v>Montenegro</v>
      </c>
      <c r="C441" s="46">
        <f>IFERROR(__xludf.DUMMYFUNCTION("""COMPUTED_VALUE"""),3.9445666E8)</f>
        <v>394456660</v>
      </c>
      <c r="D441" s="84">
        <f>IFERROR(__xludf.DUMMYFUNCTION("""COMPUTED_VALUE"""),68538.18000000001)</f>
        <v>68538.18</v>
      </c>
      <c r="H441" s="48"/>
      <c r="I441" s="38"/>
      <c r="J441" s="38"/>
      <c r="K441" s="38"/>
      <c r="M441" s="87"/>
      <c r="N441" s="38"/>
      <c r="Q441" s="38"/>
    </row>
    <row r="442">
      <c r="A442" s="46" t="str">
        <f>IFERROR(__xludf.DUMMYFUNCTION("""COMPUTED_VALUE"""),"Beverages")</f>
        <v>Beverages</v>
      </c>
      <c r="B442" s="46" t="str">
        <f>IFERROR(__xludf.DUMMYFUNCTION("""COMPUTED_VALUE"""),"Serbia")</f>
        <v>Serbia</v>
      </c>
      <c r="C442" s="46">
        <f>IFERROR(__xludf.DUMMYFUNCTION("""COMPUTED_VALUE"""),3.95562589E8)</f>
        <v>395562589</v>
      </c>
      <c r="D442" s="84">
        <f>IFERROR(__xludf.DUMMYFUNCTION("""COMPUTED_VALUE"""),218981.75)</f>
        <v>218981.75</v>
      </c>
      <c r="H442" s="48"/>
      <c r="I442" s="38"/>
      <c r="J442" s="38"/>
      <c r="K442" s="38"/>
      <c r="M442" s="87"/>
      <c r="N442" s="38"/>
      <c r="Q442" s="38"/>
    </row>
    <row r="443">
      <c r="A443" s="46" t="str">
        <f>IFERROR(__xludf.DUMMYFUNCTION("""COMPUTED_VALUE"""),"Personal Care")</f>
        <v>Personal Care</v>
      </c>
      <c r="B443" s="46" t="str">
        <f>IFERROR(__xludf.DUMMYFUNCTION("""COMPUTED_VALUE"""),"Ireland")</f>
        <v>Ireland</v>
      </c>
      <c r="C443" s="46">
        <f>IFERROR(__xludf.DUMMYFUNCTION("""COMPUTED_VALUE"""),3.96462953E8)</f>
        <v>396462953</v>
      </c>
      <c r="D443" s="84">
        <f>IFERROR(__xludf.DUMMYFUNCTION("""COMPUTED_VALUE"""),86061.69)</f>
        <v>86061.69</v>
      </c>
      <c r="H443" s="48"/>
      <c r="I443" s="38"/>
      <c r="J443" s="38"/>
      <c r="K443" s="38"/>
      <c r="M443" s="87"/>
      <c r="N443" s="38"/>
      <c r="Q443" s="38"/>
    </row>
    <row r="444">
      <c r="A444" s="46" t="str">
        <f>IFERROR(__xludf.DUMMYFUNCTION("""COMPUTED_VALUE"""),"Clothes")</f>
        <v>Clothes</v>
      </c>
      <c r="B444" s="46" t="str">
        <f>IFERROR(__xludf.DUMMYFUNCTION("""COMPUTED_VALUE"""),"Cyprus")</f>
        <v>Cyprus</v>
      </c>
      <c r="C444" s="46">
        <f>IFERROR(__xludf.DUMMYFUNCTION("""COMPUTED_VALUE"""),3.96552217E8)</f>
        <v>396552217</v>
      </c>
      <c r="D444" s="84">
        <f>IFERROR(__xludf.DUMMYFUNCTION("""COMPUTED_VALUE"""),816103.04)</f>
        <v>816103.04</v>
      </c>
      <c r="H444" s="48"/>
      <c r="I444" s="38"/>
      <c r="J444" s="38"/>
      <c r="K444" s="38"/>
      <c r="M444" s="87"/>
      <c r="N444" s="38"/>
      <c r="Q444" s="38"/>
    </row>
    <row r="445">
      <c r="A445" s="46" t="str">
        <f>IFERROR(__xludf.DUMMYFUNCTION("""COMPUTED_VALUE"""),"Personal Care")</f>
        <v>Personal Care</v>
      </c>
      <c r="B445" s="46" t="str">
        <f>IFERROR(__xludf.DUMMYFUNCTION("""COMPUTED_VALUE"""),"Bosnia and Herzegovina")</f>
        <v>Bosnia and Herzegovina</v>
      </c>
      <c r="C445" s="46">
        <f>IFERROR(__xludf.DUMMYFUNCTION("""COMPUTED_VALUE"""),3.96718728E8)</f>
        <v>396718728</v>
      </c>
      <c r="D445" s="84">
        <f>IFERROR(__xludf.DUMMYFUNCTION("""COMPUTED_VALUE"""),551023.66)</f>
        <v>551023.66</v>
      </c>
      <c r="H445" s="48"/>
      <c r="I445" s="38"/>
      <c r="J445" s="38"/>
      <c r="K445" s="38"/>
      <c r="M445" s="87"/>
      <c r="N445" s="38"/>
      <c r="Q445" s="38"/>
    </row>
    <row r="446">
      <c r="A446" s="46" t="str">
        <f>IFERROR(__xludf.DUMMYFUNCTION("""COMPUTED_VALUE"""),"Personal Care")</f>
        <v>Personal Care</v>
      </c>
      <c r="B446" s="46" t="str">
        <f>IFERROR(__xludf.DUMMYFUNCTION("""COMPUTED_VALUE"""),"Croatia")</f>
        <v>Croatia</v>
      </c>
      <c r="C446" s="46">
        <f>IFERROR(__xludf.DUMMYFUNCTION("""COMPUTED_VALUE"""),3.96832883E8)</f>
        <v>396832883</v>
      </c>
      <c r="D446" s="84">
        <f>IFERROR(__xludf.DUMMYFUNCTION("""COMPUTED_VALUE"""),42744.79)</f>
        <v>42744.79</v>
      </c>
      <c r="H446" s="48"/>
      <c r="I446" s="38"/>
      <c r="J446" s="38"/>
      <c r="K446" s="38"/>
      <c r="M446" s="87"/>
      <c r="N446" s="38"/>
      <c r="Q446" s="38"/>
    </row>
    <row r="447">
      <c r="A447" s="46" t="str">
        <f>IFERROR(__xludf.DUMMYFUNCTION("""COMPUTED_VALUE"""),"Beverages")</f>
        <v>Beverages</v>
      </c>
      <c r="B447" s="46" t="str">
        <f>IFERROR(__xludf.DUMMYFUNCTION("""COMPUTED_VALUE"""),"Slovakia")</f>
        <v>Slovakia</v>
      </c>
      <c r="C447" s="46">
        <f>IFERROR(__xludf.DUMMYFUNCTION("""COMPUTED_VALUE"""),3.97874438E8)</f>
        <v>397874438</v>
      </c>
      <c r="D447" s="84">
        <f>IFERROR(__xludf.DUMMYFUNCTION("""COMPUTED_VALUE"""),414855.35000000003)</f>
        <v>414855.35</v>
      </c>
      <c r="H447" s="48"/>
      <c r="I447" s="38"/>
      <c r="J447" s="38"/>
      <c r="K447" s="38"/>
      <c r="M447" s="87"/>
      <c r="N447" s="38"/>
      <c r="Q447" s="38"/>
    </row>
    <row r="448">
      <c r="A448" s="46" t="str">
        <f>IFERROR(__xludf.DUMMYFUNCTION("""COMPUTED_VALUE"""),"Baby Food")</f>
        <v>Baby Food</v>
      </c>
      <c r="B448" s="46" t="str">
        <f>IFERROR(__xludf.DUMMYFUNCTION("""COMPUTED_VALUE"""),"Malta")</f>
        <v>Malta</v>
      </c>
      <c r="C448" s="46">
        <f>IFERROR(__xludf.DUMMYFUNCTION("""COMPUTED_VALUE"""),3.98104035E8)</f>
        <v>398104035</v>
      </c>
      <c r="D448" s="84">
        <f>IFERROR(__xludf.DUMMYFUNCTION("""COMPUTED_VALUE"""),1706802.08)</f>
        <v>1706802.08</v>
      </c>
      <c r="H448" s="48"/>
      <c r="I448" s="38"/>
      <c r="J448" s="38"/>
      <c r="K448" s="38"/>
      <c r="M448" s="87"/>
      <c r="N448" s="38"/>
      <c r="Q448" s="38"/>
    </row>
    <row r="449">
      <c r="A449" s="46" t="str">
        <f>IFERROR(__xludf.DUMMYFUNCTION("""COMPUTED_VALUE"""),"Cereal")</f>
        <v>Cereal</v>
      </c>
      <c r="B449" s="46" t="str">
        <f>IFERROR(__xludf.DUMMYFUNCTION("""COMPUTED_VALUE"""),"Germany")</f>
        <v>Germany</v>
      </c>
      <c r="C449" s="46">
        <f>IFERROR(__xludf.DUMMYFUNCTION("""COMPUTED_VALUE"""),3.98333632E8)</f>
        <v>398333632</v>
      </c>
      <c r="D449" s="84">
        <f>IFERROR(__xludf.DUMMYFUNCTION("""COMPUTED_VALUE"""),952185.2999999999)</f>
        <v>952185.3</v>
      </c>
      <c r="H449" s="48"/>
      <c r="I449" s="38"/>
      <c r="J449" s="38"/>
      <c r="K449" s="38"/>
      <c r="M449" s="87"/>
      <c r="N449" s="38"/>
      <c r="Q449" s="38"/>
    </row>
    <row r="450">
      <c r="A450" s="46" t="str">
        <f>IFERROR(__xludf.DUMMYFUNCTION("""COMPUTED_VALUE"""),"Baby Food")</f>
        <v>Baby Food</v>
      </c>
      <c r="B450" s="46" t="str">
        <f>IFERROR(__xludf.DUMMYFUNCTION("""COMPUTED_VALUE"""),"Hungary")</f>
        <v>Hungary</v>
      </c>
      <c r="C450" s="46">
        <f>IFERROR(__xludf.DUMMYFUNCTION("""COMPUTED_VALUE"""),3.98645198E8)</f>
        <v>398645198</v>
      </c>
      <c r="D450" s="84">
        <f>IFERROR(__xludf.DUMMYFUNCTION("""COMPUTED_VALUE"""),1743051.84)</f>
        <v>1743051.84</v>
      </c>
      <c r="H450" s="48"/>
      <c r="I450" s="38"/>
      <c r="J450" s="38"/>
      <c r="K450" s="38"/>
      <c r="M450" s="87"/>
      <c r="N450" s="38"/>
      <c r="Q450" s="38"/>
    </row>
    <row r="451">
      <c r="A451" s="46" t="str">
        <f>IFERROR(__xludf.DUMMYFUNCTION("""COMPUTED_VALUE"""),"Vegetables")</f>
        <v>Vegetables</v>
      </c>
      <c r="B451" s="46" t="str">
        <f>IFERROR(__xludf.DUMMYFUNCTION("""COMPUTED_VALUE"""),"Spain")</f>
        <v>Spain</v>
      </c>
      <c r="C451" s="46">
        <f>IFERROR(__xludf.DUMMYFUNCTION("""COMPUTED_VALUE"""),3.99115979E8)</f>
        <v>399115979</v>
      </c>
      <c r="D451" s="84">
        <f>IFERROR(__xludf.DUMMYFUNCTION("""COMPUTED_VALUE"""),946236.52)</f>
        <v>946236.52</v>
      </c>
      <c r="H451" s="48"/>
      <c r="I451" s="38"/>
      <c r="J451" s="38"/>
      <c r="K451" s="38"/>
      <c r="M451" s="87"/>
      <c r="N451" s="38"/>
      <c r="Q451" s="38"/>
    </row>
    <row r="452">
      <c r="A452" s="46" t="str">
        <f>IFERROR(__xludf.DUMMYFUNCTION("""COMPUTED_VALUE"""),"Fruits")</f>
        <v>Fruits</v>
      </c>
      <c r="B452" s="46" t="str">
        <f>IFERROR(__xludf.DUMMYFUNCTION("""COMPUTED_VALUE"""),"Slovenia")</f>
        <v>Slovenia</v>
      </c>
      <c r="C452" s="46">
        <f>IFERROR(__xludf.DUMMYFUNCTION("""COMPUTED_VALUE"""),3.99256312E8)</f>
        <v>399256312</v>
      </c>
      <c r="D452" s="84">
        <f>IFERROR(__xludf.DUMMYFUNCTION("""COMPUTED_VALUE"""),71561.1)</f>
        <v>71561.1</v>
      </c>
      <c r="H452" s="48"/>
      <c r="I452" s="38"/>
      <c r="J452" s="38"/>
      <c r="K452" s="38"/>
      <c r="M452" s="87"/>
      <c r="N452" s="38"/>
      <c r="Q452" s="38"/>
    </row>
    <row r="453">
      <c r="A453" s="46" t="str">
        <f>IFERROR(__xludf.DUMMYFUNCTION("""COMPUTED_VALUE"""),"Snacks")</f>
        <v>Snacks</v>
      </c>
      <c r="B453" s="46" t="str">
        <f>IFERROR(__xludf.DUMMYFUNCTION("""COMPUTED_VALUE"""),"Austria")</f>
        <v>Austria</v>
      </c>
      <c r="C453" s="46">
        <f>IFERROR(__xludf.DUMMYFUNCTION("""COMPUTED_VALUE"""),4.00267398E8)</f>
        <v>400267398</v>
      </c>
      <c r="D453" s="84">
        <f>IFERROR(__xludf.DUMMYFUNCTION("""COMPUTED_VALUE"""),1048682.34)</f>
        <v>1048682.34</v>
      </c>
      <c r="H453" s="48"/>
      <c r="I453" s="38"/>
      <c r="J453" s="38"/>
      <c r="K453" s="38"/>
      <c r="M453" s="87"/>
      <c r="N453" s="38"/>
      <c r="Q453" s="38"/>
    </row>
    <row r="454">
      <c r="A454" s="46" t="str">
        <f>IFERROR(__xludf.DUMMYFUNCTION("""COMPUTED_VALUE"""),"Cereal")</f>
        <v>Cereal</v>
      </c>
      <c r="B454" s="46" t="str">
        <f>IFERROR(__xludf.DUMMYFUNCTION("""COMPUTED_VALUE"""),"Latvia")</f>
        <v>Latvia</v>
      </c>
      <c r="C454" s="46">
        <f>IFERROR(__xludf.DUMMYFUNCTION("""COMPUTED_VALUE"""),4.00904691E8)</f>
        <v>400904691</v>
      </c>
      <c r="D454" s="84">
        <f>IFERROR(__xludf.DUMMYFUNCTION("""COMPUTED_VALUE"""),1123533.4)</f>
        <v>1123533.4</v>
      </c>
      <c r="H454" s="48"/>
      <c r="I454" s="38"/>
      <c r="J454" s="38"/>
      <c r="K454" s="38"/>
      <c r="M454" s="87"/>
      <c r="N454" s="38"/>
      <c r="Q454" s="38"/>
    </row>
    <row r="455">
      <c r="A455" s="46" t="str">
        <f>IFERROR(__xludf.DUMMYFUNCTION("""COMPUTED_VALUE"""),"Cereal")</f>
        <v>Cereal</v>
      </c>
      <c r="B455" s="46" t="str">
        <f>IFERROR(__xludf.DUMMYFUNCTION("""COMPUTED_VALUE"""),"Ukraine")</f>
        <v>Ukraine</v>
      </c>
      <c r="C455" s="46">
        <f>IFERROR(__xludf.DUMMYFUNCTION("""COMPUTED_VALUE"""),4.01993882E8)</f>
        <v>401993882</v>
      </c>
      <c r="D455" s="84">
        <f>IFERROR(__xludf.DUMMYFUNCTION("""COMPUTED_VALUE"""),1599934.5999999999)</f>
        <v>1599934.6</v>
      </c>
      <c r="H455" s="48"/>
      <c r="I455" s="38"/>
      <c r="J455" s="38"/>
      <c r="K455" s="38"/>
      <c r="M455" s="87"/>
      <c r="N455" s="38"/>
      <c r="Q455" s="38"/>
    </row>
    <row r="456">
      <c r="A456" s="46" t="str">
        <f>IFERROR(__xludf.DUMMYFUNCTION("""COMPUTED_VALUE"""),"Vegetables")</f>
        <v>Vegetables</v>
      </c>
      <c r="B456" s="46" t="str">
        <f>IFERROR(__xludf.DUMMYFUNCTION("""COMPUTED_VALUE"""),"Andorra")</f>
        <v>Andorra</v>
      </c>
      <c r="C456" s="46">
        <f>IFERROR(__xludf.DUMMYFUNCTION("""COMPUTED_VALUE"""),4.03337991E8)</f>
        <v>403337991</v>
      </c>
      <c r="D456" s="84">
        <f>IFERROR(__xludf.DUMMYFUNCTION("""COMPUTED_VALUE"""),851797.74)</f>
        <v>851797.74</v>
      </c>
      <c r="H456" s="48"/>
      <c r="I456" s="38"/>
      <c r="J456" s="38"/>
      <c r="K456" s="38"/>
      <c r="M456" s="87"/>
      <c r="N456" s="38"/>
      <c r="Q456" s="38"/>
    </row>
    <row r="457">
      <c r="A457" s="46" t="str">
        <f>IFERROR(__xludf.DUMMYFUNCTION("""COMPUTED_VALUE"""),"Snacks")</f>
        <v>Snacks</v>
      </c>
      <c r="B457" s="46" t="str">
        <f>IFERROR(__xludf.DUMMYFUNCTION("""COMPUTED_VALUE"""),"Belarus")</f>
        <v>Belarus</v>
      </c>
      <c r="C457" s="46">
        <f>IFERROR(__xludf.DUMMYFUNCTION("""COMPUTED_VALUE"""),4.03665006E8)</f>
        <v>403665006</v>
      </c>
      <c r="D457" s="84">
        <f>IFERROR(__xludf.DUMMYFUNCTION("""COMPUTED_VALUE"""),350934.0)</f>
        <v>350934</v>
      </c>
      <c r="H457" s="48"/>
      <c r="I457" s="38"/>
      <c r="J457" s="38"/>
      <c r="K457" s="38"/>
      <c r="M457" s="87"/>
      <c r="N457" s="38"/>
      <c r="Q457" s="38"/>
    </row>
    <row r="458">
      <c r="A458" s="46" t="str">
        <f>IFERROR(__xludf.DUMMYFUNCTION("""COMPUTED_VALUE"""),"Baby Food")</f>
        <v>Baby Food</v>
      </c>
      <c r="B458" s="46" t="str">
        <f>IFERROR(__xludf.DUMMYFUNCTION("""COMPUTED_VALUE"""),"Portugal")</f>
        <v>Portugal</v>
      </c>
      <c r="C458" s="46">
        <f>IFERROR(__xludf.DUMMYFUNCTION("""COMPUTED_VALUE"""),4.04789817E8)</f>
        <v>404789817</v>
      </c>
      <c r="D458" s="84">
        <f>IFERROR(__xludf.DUMMYFUNCTION("""COMPUTED_VALUE"""),1316478.96)</f>
        <v>1316478.96</v>
      </c>
      <c r="H458" s="48"/>
      <c r="I458" s="38"/>
      <c r="J458" s="38"/>
      <c r="K458" s="38"/>
      <c r="M458" s="87"/>
      <c r="N458" s="38"/>
      <c r="Q458" s="38"/>
    </row>
    <row r="459">
      <c r="A459" s="46" t="str">
        <f>IFERROR(__xludf.DUMMYFUNCTION("""COMPUTED_VALUE"""),"Baby Food")</f>
        <v>Baby Food</v>
      </c>
      <c r="B459" s="46" t="str">
        <f>IFERROR(__xludf.DUMMYFUNCTION("""COMPUTED_VALUE"""),"Germany")</f>
        <v>Germany</v>
      </c>
      <c r="C459" s="46">
        <f>IFERROR(__xludf.DUMMYFUNCTION("""COMPUTED_VALUE"""),4.05986297E8)</f>
        <v>405986297</v>
      </c>
      <c r="D459" s="84">
        <f>IFERROR(__xludf.DUMMYFUNCTION("""COMPUTED_VALUE"""),2354192.16)</f>
        <v>2354192.16</v>
      </c>
      <c r="H459" s="48"/>
      <c r="I459" s="38"/>
      <c r="J459" s="38"/>
      <c r="K459" s="38"/>
      <c r="M459" s="87"/>
      <c r="N459" s="38"/>
      <c r="Q459" s="38"/>
    </row>
    <row r="460">
      <c r="A460" s="46" t="str">
        <f>IFERROR(__xludf.DUMMYFUNCTION("""COMPUTED_VALUE"""),"Snacks")</f>
        <v>Snacks</v>
      </c>
      <c r="B460" s="46" t="str">
        <f>IFERROR(__xludf.DUMMYFUNCTION("""COMPUTED_VALUE"""),"Romania")</f>
        <v>Romania</v>
      </c>
      <c r="C460" s="46">
        <f>IFERROR(__xludf.DUMMYFUNCTION("""COMPUTED_VALUE"""),4.06270396E8)</f>
        <v>406270396</v>
      </c>
      <c r="D460" s="84">
        <f>IFERROR(__xludf.DUMMYFUNCTION("""COMPUTED_VALUE"""),502445.94000000006)</f>
        <v>502445.94</v>
      </c>
      <c r="H460" s="48"/>
      <c r="I460" s="38"/>
      <c r="J460" s="38"/>
      <c r="K460" s="38"/>
      <c r="M460" s="87"/>
      <c r="N460" s="38"/>
      <c r="Q460" s="38"/>
    </row>
    <row r="461">
      <c r="A461" s="46" t="str">
        <f>IFERROR(__xludf.DUMMYFUNCTION("""COMPUTED_VALUE"""),"Vegetables")</f>
        <v>Vegetables</v>
      </c>
      <c r="B461" s="46" t="str">
        <f>IFERROR(__xludf.DUMMYFUNCTION("""COMPUTED_VALUE"""),"Albania")</f>
        <v>Albania</v>
      </c>
      <c r="C461" s="46">
        <f>IFERROR(__xludf.DUMMYFUNCTION("""COMPUTED_VALUE"""),4.06564366E8)</f>
        <v>406564366</v>
      </c>
      <c r="D461" s="84">
        <f>IFERROR(__xludf.DUMMYFUNCTION("""COMPUTED_VALUE"""),44061.16)</f>
        <v>44061.16</v>
      </c>
      <c r="H461" s="48"/>
      <c r="I461" s="38"/>
      <c r="J461" s="38"/>
      <c r="K461" s="38"/>
      <c r="M461" s="87"/>
      <c r="N461" s="38"/>
      <c r="Q461" s="38"/>
    </row>
    <row r="462">
      <c r="A462" s="46" t="str">
        <f>IFERROR(__xludf.DUMMYFUNCTION("""COMPUTED_VALUE"""),"Cereal")</f>
        <v>Cereal</v>
      </c>
      <c r="B462" s="46" t="str">
        <f>IFERROR(__xludf.DUMMYFUNCTION("""COMPUTED_VALUE"""),"Sweden")</f>
        <v>Sweden</v>
      </c>
      <c r="C462" s="46">
        <f>IFERROR(__xludf.DUMMYFUNCTION("""COMPUTED_VALUE"""),4.07220542E8)</f>
        <v>407220542</v>
      </c>
      <c r="D462" s="84">
        <f>IFERROR(__xludf.DUMMYFUNCTION("""COMPUTED_VALUE"""),918039.1)</f>
        <v>918039.1</v>
      </c>
      <c r="H462" s="48"/>
      <c r="I462" s="38"/>
      <c r="J462" s="38"/>
      <c r="K462" s="38"/>
      <c r="M462" s="87"/>
      <c r="N462" s="38"/>
      <c r="Q462" s="38"/>
    </row>
    <row r="463">
      <c r="A463" s="46" t="str">
        <f>IFERROR(__xludf.DUMMYFUNCTION("""COMPUTED_VALUE"""),"Vegetables")</f>
        <v>Vegetables</v>
      </c>
      <c r="B463" s="46" t="str">
        <f>IFERROR(__xludf.DUMMYFUNCTION("""COMPUTED_VALUE"""),"San Marino")</f>
        <v>San Marino</v>
      </c>
      <c r="C463" s="46">
        <f>IFERROR(__xludf.DUMMYFUNCTION("""COMPUTED_VALUE"""),4.08540618E8)</f>
        <v>408540618</v>
      </c>
      <c r="D463" s="84">
        <f>IFERROR(__xludf.DUMMYFUNCTION("""COMPUTED_VALUE"""),786014.12)</f>
        <v>786014.12</v>
      </c>
      <c r="H463" s="48"/>
      <c r="I463" s="38"/>
      <c r="J463" s="38"/>
      <c r="K463" s="38"/>
      <c r="M463" s="87"/>
      <c r="N463" s="38"/>
      <c r="Q463" s="38"/>
    </row>
    <row r="464">
      <c r="A464" s="46" t="str">
        <f>IFERROR(__xludf.DUMMYFUNCTION("""COMPUTED_VALUE"""),"Vegetables")</f>
        <v>Vegetables</v>
      </c>
      <c r="B464" s="46" t="str">
        <f>IFERROR(__xludf.DUMMYFUNCTION("""COMPUTED_VALUE"""),"Montenegro")</f>
        <v>Montenegro</v>
      </c>
      <c r="C464" s="46">
        <f>IFERROR(__xludf.DUMMYFUNCTION("""COMPUTED_VALUE"""),4.09112679E8)</f>
        <v>409112679</v>
      </c>
      <c r="D464" s="84">
        <f>IFERROR(__xludf.DUMMYFUNCTION("""COMPUTED_VALUE"""),676015.28)</f>
        <v>676015.28</v>
      </c>
      <c r="H464" s="48"/>
      <c r="I464" s="38"/>
      <c r="J464" s="38"/>
      <c r="K464" s="38"/>
      <c r="M464" s="87"/>
      <c r="N464" s="38"/>
      <c r="Q464" s="38"/>
    </row>
    <row r="465">
      <c r="A465" s="46" t="str">
        <f>IFERROR(__xludf.DUMMYFUNCTION("""COMPUTED_VALUE"""),"Personal Care")</f>
        <v>Personal Care</v>
      </c>
      <c r="B465" s="46" t="str">
        <f>IFERROR(__xludf.DUMMYFUNCTION("""COMPUTED_VALUE"""),"Bosnia and Herzegovina")</f>
        <v>Bosnia and Herzegovina</v>
      </c>
      <c r="C465" s="46">
        <f>IFERROR(__xludf.DUMMYFUNCTION("""COMPUTED_VALUE"""),4.09514796E8)</f>
        <v>409514796</v>
      </c>
      <c r="D465" s="84">
        <f>IFERROR(__xludf.DUMMYFUNCTION("""COMPUTED_VALUE"""),276492.59)</f>
        <v>276492.59</v>
      </c>
      <c r="H465" s="48"/>
      <c r="I465" s="38"/>
      <c r="J465" s="38"/>
      <c r="K465" s="38"/>
      <c r="M465" s="87"/>
      <c r="N465" s="38"/>
      <c r="Q465" s="38"/>
    </row>
    <row r="466">
      <c r="A466" s="46" t="str">
        <f>IFERROR(__xludf.DUMMYFUNCTION("""COMPUTED_VALUE"""),"Office Supplies")</f>
        <v>Office Supplies</v>
      </c>
      <c r="B466" s="46" t="str">
        <f>IFERROR(__xludf.DUMMYFUNCTION("""COMPUTED_VALUE"""),"Portugal")</f>
        <v>Portugal</v>
      </c>
      <c r="C466" s="46">
        <f>IFERROR(__xludf.DUMMYFUNCTION("""COMPUTED_VALUE"""),4.10229337E8)</f>
        <v>410229337</v>
      </c>
      <c r="D466" s="84">
        <f>IFERROR(__xludf.DUMMYFUNCTION("""COMPUTED_VALUE"""),3146646.72)</f>
        <v>3146646.72</v>
      </c>
      <c r="H466" s="48"/>
      <c r="I466" s="38"/>
      <c r="J466" s="38"/>
      <c r="K466" s="38"/>
      <c r="M466" s="87"/>
      <c r="N466" s="38"/>
      <c r="Q466" s="38"/>
    </row>
    <row r="467">
      <c r="A467" s="46" t="str">
        <f>IFERROR(__xludf.DUMMYFUNCTION("""COMPUTED_VALUE"""),"Personal Care")</f>
        <v>Personal Care</v>
      </c>
      <c r="B467" s="46" t="str">
        <f>IFERROR(__xludf.DUMMYFUNCTION("""COMPUTED_VALUE"""),"Slovenia")</f>
        <v>Slovenia</v>
      </c>
      <c r="C467" s="46">
        <f>IFERROR(__xludf.DUMMYFUNCTION("""COMPUTED_VALUE"""),4.10291135E8)</f>
        <v>410291135</v>
      </c>
      <c r="D467" s="84">
        <f>IFERROR(__xludf.DUMMYFUNCTION("""COMPUTED_VALUE"""),254915.87000000002)</f>
        <v>254915.87</v>
      </c>
      <c r="H467" s="48"/>
      <c r="I467" s="38"/>
      <c r="J467" s="38"/>
      <c r="K467" s="38"/>
      <c r="M467" s="87"/>
      <c r="N467" s="38"/>
      <c r="Q467" s="38"/>
    </row>
    <row r="468">
      <c r="A468" s="46" t="str">
        <f>IFERROR(__xludf.DUMMYFUNCTION("""COMPUTED_VALUE"""),"Office Supplies")</f>
        <v>Office Supplies</v>
      </c>
      <c r="B468" s="46" t="str">
        <f>IFERROR(__xludf.DUMMYFUNCTION("""COMPUTED_VALUE"""),"Serbia")</f>
        <v>Serbia</v>
      </c>
      <c r="C468" s="46">
        <f>IFERROR(__xludf.DUMMYFUNCTION("""COMPUTED_VALUE"""),4.10514724E8)</f>
        <v>410514724</v>
      </c>
      <c r="D468" s="84">
        <f>IFERROR(__xludf.DUMMYFUNCTION("""COMPUTED_VALUE"""),6045833.640000001)</f>
        <v>6045833.64</v>
      </c>
      <c r="H468" s="48"/>
      <c r="I468" s="38"/>
      <c r="J468" s="38"/>
      <c r="K468" s="38"/>
      <c r="M468" s="87"/>
      <c r="N468" s="38"/>
      <c r="Q468" s="38"/>
    </row>
    <row r="469">
      <c r="A469" s="46" t="str">
        <f>IFERROR(__xludf.DUMMYFUNCTION("""COMPUTED_VALUE"""),"Meat")</f>
        <v>Meat</v>
      </c>
      <c r="B469" s="46" t="str">
        <f>IFERROR(__xludf.DUMMYFUNCTION("""COMPUTED_VALUE"""),"Bosnia and Herzegovina")</f>
        <v>Bosnia and Herzegovina</v>
      </c>
      <c r="C469" s="46">
        <f>IFERROR(__xludf.DUMMYFUNCTION("""COMPUTED_VALUE"""),4.10740888E8)</f>
        <v>410740888</v>
      </c>
      <c r="D469" s="84">
        <f>IFERROR(__xludf.DUMMYFUNCTION("""COMPUTED_VALUE"""),2620358.79)</f>
        <v>2620358.79</v>
      </c>
      <c r="H469" s="48"/>
      <c r="I469" s="38"/>
      <c r="J469" s="38"/>
      <c r="K469" s="38"/>
      <c r="M469" s="87"/>
      <c r="N469" s="38"/>
      <c r="Q469" s="38"/>
    </row>
    <row r="470">
      <c r="A470" s="46" t="str">
        <f>IFERROR(__xludf.DUMMYFUNCTION("""COMPUTED_VALUE"""),"Cereal")</f>
        <v>Cereal</v>
      </c>
      <c r="B470" s="46" t="str">
        <f>IFERROR(__xludf.DUMMYFUNCTION("""COMPUTED_VALUE"""),"Greece")</f>
        <v>Greece</v>
      </c>
      <c r="C470" s="46">
        <f>IFERROR(__xludf.DUMMYFUNCTION("""COMPUTED_VALUE"""),4.12215459E8)</f>
        <v>412215459</v>
      </c>
      <c r="D470" s="84">
        <f>IFERROR(__xludf.DUMMYFUNCTION("""COMPUTED_VALUE"""),528443.2999999999)</f>
        <v>528443.3</v>
      </c>
      <c r="H470" s="48"/>
      <c r="I470" s="38"/>
      <c r="J470" s="38"/>
      <c r="K470" s="38"/>
      <c r="M470" s="87"/>
      <c r="N470" s="38"/>
      <c r="Q470" s="38"/>
    </row>
    <row r="471">
      <c r="A471" s="46" t="str">
        <f>IFERROR(__xludf.DUMMYFUNCTION("""COMPUTED_VALUE"""),"Baby Food")</f>
        <v>Baby Food</v>
      </c>
      <c r="B471" s="46" t="str">
        <f>IFERROR(__xludf.DUMMYFUNCTION("""COMPUTED_VALUE"""),"San Marino")</f>
        <v>San Marino</v>
      </c>
      <c r="C471" s="46">
        <f>IFERROR(__xludf.DUMMYFUNCTION("""COMPUTED_VALUE"""),4.12416303E8)</f>
        <v>412416303</v>
      </c>
      <c r="D471" s="84">
        <f>IFERROR(__xludf.DUMMYFUNCTION("""COMPUTED_VALUE"""),511581.12)</f>
        <v>511581.12</v>
      </c>
      <c r="H471" s="48"/>
      <c r="I471" s="38"/>
      <c r="J471" s="38"/>
      <c r="K471" s="38"/>
      <c r="M471" s="87"/>
      <c r="N471" s="38"/>
      <c r="Q471" s="38"/>
    </row>
    <row r="472">
      <c r="A472" s="46" t="str">
        <f>IFERROR(__xludf.DUMMYFUNCTION("""COMPUTED_VALUE"""),"Vegetables")</f>
        <v>Vegetables</v>
      </c>
      <c r="B472" s="46" t="str">
        <f>IFERROR(__xludf.DUMMYFUNCTION("""COMPUTED_VALUE"""),"Belarus")</f>
        <v>Belarus</v>
      </c>
      <c r="C472" s="46">
        <f>IFERROR(__xludf.DUMMYFUNCTION("""COMPUTED_VALUE"""),4.13078916E8)</f>
        <v>413078916</v>
      </c>
      <c r="D472" s="84">
        <f>IFERROR(__xludf.DUMMYFUNCTION("""COMPUTED_VALUE"""),1245729.16)</f>
        <v>1245729.16</v>
      </c>
      <c r="H472" s="48"/>
      <c r="I472" s="38"/>
      <c r="J472" s="38"/>
      <c r="K472" s="38"/>
      <c r="M472" s="87"/>
      <c r="N472" s="38"/>
      <c r="Q472" s="38"/>
    </row>
    <row r="473">
      <c r="A473" s="46" t="str">
        <f>IFERROR(__xludf.DUMMYFUNCTION("""COMPUTED_VALUE"""),"Fruits")</f>
        <v>Fruits</v>
      </c>
      <c r="B473" s="46" t="str">
        <f>IFERROR(__xludf.DUMMYFUNCTION("""COMPUTED_VALUE"""),"Andorra")</f>
        <v>Andorra</v>
      </c>
      <c r="C473" s="46">
        <f>IFERROR(__xludf.DUMMYFUNCTION("""COMPUTED_VALUE"""),4.13245427E8)</f>
        <v>413245427</v>
      </c>
      <c r="D473" s="84">
        <f>IFERROR(__xludf.DUMMYFUNCTION("""COMPUTED_VALUE"""),68668.8)</f>
        <v>68668.8</v>
      </c>
      <c r="H473" s="48"/>
      <c r="I473" s="38"/>
      <c r="J473" s="38"/>
      <c r="K473" s="38"/>
      <c r="M473" s="87"/>
      <c r="N473" s="38"/>
      <c r="Q473" s="38"/>
    </row>
    <row r="474">
      <c r="A474" s="46" t="str">
        <f>IFERROR(__xludf.DUMMYFUNCTION("""COMPUTED_VALUE"""),"Beverages")</f>
        <v>Beverages</v>
      </c>
      <c r="B474" s="46" t="str">
        <f>IFERROR(__xludf.DUMMYFUNCTION("""COMPUTED_VALUE"""),"Austria")</f>
        <v>Austria</v>
      </c>
      <c r="C474" s="46">
        <f>IFERROR(__xludf.DUMMYFUNCTION("""COMPUTED_VALUE"""),4.13951814E8)</f>
        <v>413951814</v>
      </c>
      <c r="D474" s="84">
        <f>IFERROR(__xludf.DUMMYFUNCTION("""COMPUTED_VALUE"""),303442.75)</f>
        <v>303442.75</v>
      </c>
      <c r="H474" s="48"/>
      <c r="I474" s="38"/>
      <c r="J474" s="38"/>
      <c r="K474" s="38"/>
      <c r="M474" s="87"/>
      <c r="N474" s="38"/>
      <c r="Q474" s="38"/>
    </row>
    <row r="475">
      <c r="A475" s="46" t="str">
        <f>IFERROR(__xludf.DUMMYFUNCTION("""COMPUTED_VALUE"""),"Baby Food")</f>
        <v>Baby Food</v>
      </c>
      <c r="B475" s="46" t="str">
        <f>IFERROR(__xludf.DUMMYFUNCTION("""COMPUTED_VALUE"""),"Romania")</f>
        <v>Romania</v>
      </c>
      <c r="C475" s="46">
        <f>IFERROR(__xludf.DUMMYFUNCTION("""COMPUTED_VALUE"""),4.14359509E8)</f>
        <v>414359509</v>
      </c>
      <c r="D475" s="84">
        <f>IFERROR(__xludf.DUMMYFUNCTION("""COMPUTED_VALUE"""),1797681.76)</f>
        <v>1797681.76</v>
      </c>
      <c r="H475" s="48"/>
      <c r="I475" s="38"/>
      <c r="J475" s="38"/>
      <c r="K475" s="38"/>
      <c r="M475" s="87"/>
      <c r="N475" s="38"/>
      <c r="Q475" s="38"/>
    </row>
    <row r="476">
      <c r="A476" s="46" t="str">
        <f>IFERROR(__xludf.DUMMYFUNCTION("""COMPUTED_VALUE"""),"Snacks")</f>
        <v>Snacks</v>
      </c>
      <c r="B476" s="46" t="str">
        <f>IFERROR(__xludf.DUMMYFUNCTION("""COMPUTED_VALUE"""),"Finland")</f>
        <v>Finland</v>
      </c>
      <c r="C476" s="46">
        <f>IFERROR(__xludf.DUMMYFUNCTION("""COMPUTED_VALUE"""),4.14579665E8)</f>
        <v>414579665</v>
      </c>
      <c r="D476" s="84">
        <f>IFERROR(__xludf.DUMMYFUNCTION("""COMPUTED_VALUE"""),334302.78)</f>
        <v>334302.78</v>
      </c>
      <c r="H476" s="48"/>
      <c r="I476" s="38"/>
      <c r="J476" s="38"/>
      <c r="K476" s="38"/>
      <c r="M476" s="87"/>
      <c r="N476" s="38"/>
      <c r="Q476" s="38"/>
    </row>
    <row r="477">
      <c r="A477" s="46" t="str">
        <f>IFERROR(__xludf.DUMMYFUNCTION("""COMPUTED_VALUE"""),"Baby Food")</f>
        <v>Baby Food</v>
      </c>
      <c r="B477" s="46" t="str">
        <f>IFERROR(__xludf.DUMMYFUNCTION("""COMPUTED_VALUE"""),"Andorra")</f>
        <v>Andorra</v>
      </c>
      <c r="C477" s="46">
        <f>IFERROR(__xludf.DUMMYFUNCTION("""COMPUTED_VALUE"""),4.15837943E8)</f>
        <v>415837943</v>
      </c>
      <c r="D477" s="84">
        <f>IFERROR(__xludf.DUMMYFUNCTION("""COMPUTED_VALUE"""),1159737.04)</f>
        <v>1159737.04</v>
      </c>
      <c r="H477" s="48"/>
      <c r="I477" s="38"/>
      <c r="J477" s="38"/>
      <c r="K477" s="38"/>
      <c r="M477" s="87"/>
      <c r="N477" s="38"/>
      <c r="Q477" s="38"/>
    </row>
    <row r="478">
      <c r="A478" s="46" t="str">
        <f>IFERROR(__xludf.DUMMYFUNCTION("""COMPUTED_VALUE"""),"Vegetables")</f>
        <v>Vegetables</v>
      </c>
      <c r="B478" s="46" t="str">
        <f>IFERROR(__xludf.DUMMYFUNCTION("""COMPUTED_VALUE"""),"Norway")</f>
        <v>Norway</v>
      </c>
      <c r="C478" s="46">
        <f>IFERROR(__xludf.DUMMYFUNCTION("""COMPUTED_VALUE"""),4.16682088E8)</f>
        <v>416682088</v>
      </c>
      <c r="D478" s="84">
        <f>IFERROR(__xludf.DUMMYFUNCTION("""COMPUTED_VALUE"""),669236.64)</f>
        <v>669236.64</v>
      </c>
      <c r="H478" s="48"/>
      <c r="I478" s="38"/>
      <c r="J478" s="38"/>
      <c r="K478" s="38"/>
      <c r="M478" s="87"/>
      <c r="N478" s="38"/>
      <c r="Q478" s="38"/>
    </row>
    <row r="479">
      <c r="A479" s="46" t="str">
        <f>IFERROR(__xludf.DUMMYFUNCTION("""COMPUTED_VALUE"""),"Beverages")</f>
        <v>Beverages</v>
      </c>
      <c r="B479" s="46" t="str">
        <f>IFERROR(__xludf.DUMMYFUNCTION("""COMPUTED_VALUE"""),"Ireland")</f>
        <v>Ireland</v>
      </c>
      <c r="C479" s="46">
        <f>IFERROR(__xludf.DUMMYFUNCTION("""COMPUTED_VALUE"""),4.16953313E8)</f>
        <v>416953313</v>
      </c>
      <c r="D479" s="84">
        <f>IFERROR(__xludf.DUMMYFUNCTION("""COMPUTED_VALUE"""),218554.7)</f>
        <v>218554.7</v>
      </c>
      <c r="H479" s="48"/>
      <c r="I479" s="38"/>
      <c r="J479" s="38"/>
      <c r="K479" s="38"/>
      <c r="M479" s="87"/>
      <c r="N479" s="38"/>
      <c r="Q479" s="38"/>
    </row>
    <row r="480">
      <c r="A480" s="46" t="str">
        <f>IFERROR(__xludf.DUMMYFUNCTION("""COMPUTED_VALUE"""),"Snacks")</f>
        <v>Snacks</v>
      </c>
      <c r="B480" s="46" t="str">
        <f>IFERROR(__xludf.DUMMYFUNCTION("""COMPUTED_VALUE"""),"Armenia")</f>
        <v>Armenia</v>
      </c>
      <c r="C480" s="46">
        <f>IFERROR(__xludf.DUMMYFUNCTION("""COMPUTED_VALUE"""),4.18404281E8)</f>
        <v>418404281</v>
      </c>
      <c r="D480" s="84">
        <f>IFERROR(__xludf.DUMMYFUNCTION("""COMPUTED_VALUE"""),607115.8200000001)</f>
        <v>607115.82</v>
      </c>
      <c r="H480" s="48"/>
      <c r="I480" s="38"/>
      <c r="J480" s="38"/>
      <c r="K480" s="38"/>
      <c r="M480" s="87"/>
      <c r="N480" s="38"/>
      <c r="Q480" s="38"/>
    </row>
    <row r="481">
      <c r="A481" s="46" t="str">
        <f>IFERROR(__xludf.DUMMYFUNCTION("""COMPUTED_VALUE"""),"Cosmetics")</f>
        <v>Cosmetics</v>
      </c>
      <c r="B481" s="46" t="str">
        <f>IFERROR(__xludf.DUMMYFUNCTION("""COMPUTED_VALUE"""),"Lithuania")</f>
        <v>Lithuania</v>
      </c>
      <c r="C481" s="46">
        <f>IFERROR(__xludf.DUMMYFUNCTION("""COMPUTED_VALUE"""),4.20875346E8)</f>
        <v>420875346</v>
      </c>
      <c r="D481" s="84">
        <f>IFERROR(__xludf.DUMMYFUNCTION("""COMPUTED_VALUE"""),2283495.6)</f>
        <v>2283495.6</v>
      </c>
      <c r="H481" s="48"/>
      <c r="I481" s="38"/>
      <c r="J481" s="38"/>
      <c r="K481" s="38"/>
      <c r="M481" s="87"/>
      <c r="N481" s="38"/>
      <c r="Q481" s="38"/>
    </row>
    <row r="482">
      <c r="A482" s="46" t="str">
        <f>IFERROR(__xludf.DUMMYFUNCTION("""COMPUTED_VALUE"""),"Meat")</f>
        <v>Meat</v>
      </c>
      <c r="B482" s="46" t="str">
        <f>IFERROR(__xludf.DUMMYFUNCTION("""COMPUTED_VALUE"""),"Undefined")</f>
        <v>Undefined</v>
      </c>
      <c r="C482" s="46">
        <f>IFERROR(__xludf.DUMMYFUNCTION("""COMPUTED_VALUE"""),4.21456849E8)</f>
        <v>421456849</v>
      </c>
      <c r="D482" s="84">
        <f>IFERROR(__xludf.DUMMYFUNCTION("""COMPUTED_VALUE"""),3080640.78)</f>
        <v>3080640.78</v>
      </c>
      <c r="H482" s="48"/>
      <c r="I482" s="38"/>
      <c r="J482" s="38"/>
      <c r="K482" s="38"/>
      <c r="M482" s="87"/>
      <c r="N482" s="38"/>
      <c r="Q482" s="38"/>
    </row>
    <row r="483">
      <c r="A483" s="46" t="str">
        <f>IFERROR(__xludf.DUMMYFUNCTION("""COMPUTED_VALUE"""),"Household")</f>
        <v>Household</v>
      </c>
      <c r="B483" s="46" t="str">
        <f>IFERROR(__xludf.DUMMYFUNCTION("""COMPUTED_VALUE"""),"Ireland")</f>
        <v>Ireland</v>
      </c>
      <c r="C483" s="46">
        <f>IFERROR(__xludf.DUMMYFUNCTION("""COMPUTED_VALUE"""),4.21660268E8)</f>
        <v>421660268</v>
      </c>
      <c r="D483" s="84">
        <f>IFERROR(__xludf.DUMMYFUNCTION("""COMPUTED_VALUE"""),5010688.46)</f>
        <v>5010688.46</v>
      </c>
      <c r="H483" s="48"/>
      <c r="I483" s="38"/>
      <c r="J483" s="38"/>
      <c r="K483" s="38"/>
      <c r="M483" s="87"/>
      <c r="N483" s="38"/>
      <c r="Q483" s="38"/>
    </row>
    <row r="484">
      <c r="A484" s="46" t="str">
        <f>IFERROR(__xludf.DUMMYFUNCTION("""COMPUTED_VALUE"""),"Meat")</f>
        <v>Meat</v>
      </c>
      <c r="B484" s="46" t="str">
        <f>IFERROR(__xludf.DUMMYFUNCTION("""COMPUTED_VALUE"""),"Malta")</f>
        <v>Malta</v>
      </c>
      <c r="C484" s="46">
        <f>IFERROR(__xludf.DUMMYFUNCTION("""COMPUTED_VALUE"""),4.22568786E8)</f>
        <v>422568786</v>
      </c>
      <c r="D484" s="84">
        <f>IFERROR(__xludf.DUMMYFUNCTION("""COMPUTED_VALUE"""),2678579.61)</f>
        <v>2678579.61</v>
      </c>
      <c r="H484" s="48"/>
      <c r="I484" s="38"/>
      <c r="J484" s="38"/>
      <c r="K484" s="38"/>
      <c r="M484" s="87"/>
      <c r="N484" s="38"/>
      <c r="Q484" s="38"/>
    </row>
    <row r="485">
      <c r="A485" s="46" t="str">
        <f>IFERROR(__xludf.DUMMYFUNCTION("""COMPUTED_VALUE"""),"Cereal")</f>
        <v>Cereal</v>
      </c>
      <c r="B485" s="46" t="str">
        <f>IFERROR(__xludf.DUMMYFUNCTION("""COMPUTED_VALUE"""),"Armenia")</f>
        <v>Armenia</v>
      </c>
      <c r="C485" s="46">
        <f>IFERROR(__xludf.DUMMYFUNCTION("""COMPUTED_VALUE"""),4.24181544E8)</f>
        <v>424181544</v>
      </c>
      <c r="D485" s="84">
        <f>IFERROR(__xludf.DUMMYFUNCTION("""COMPUTED_VALUE"""),740520.0)</f>
        <v>740520</v>
      </c>
      <c r="H485" s="48"/>
      <c r="I485" s="38"/>
      <c r="J485" s="38"/>
      <c r="K485" s="38"/>
      <c r="M485" s="87"/>
      <c r="N485" s="38"/>
      <c r="Q485" s="38"/>
    </row>
    <row r="486">
      <c r="A486" s="46" t="str">
        <f>IFERROR(__xludf.DUMMYFUNCTION("""COMPUTED_VALUE"""),"Beverages")</f>
        <v>Beverages</v>
      </c>
      <c r="B486" s="46" t="str">
        <f>IFERROR(__xludf.DUMMYFUNCTION("""COMPUTED_VALUE"""),"Serbia")</f>
        <v>Serbia</v>
      </c>
      <c r="C486" s="46">
        <f>IFERROR(__xludf.DUMMYFUNCTION("""COMPUTED_VALUE"""),4.24297845E8)</f>
        <v>424297845</v>
      </c>
      <c r="D486" s="84">
        <f>IFERROR(__xludf.DUMMYFUNCTION("""COMPUTED_VALUE"""),380359.2)</f>
        <v>380359.2</v>
      </c>
      <c r="H486" s="48"/>
      <c r="I486" s="38"/>
      <c r="J486" s="38"/>
      <c r="K486" s="38"/>
      <c r="M486" s="87"/>
      <c r="N486" s="38"/>
      <c r="Q486" s="38"/>
    </row>
    <row r="487">
      <c r="A487" s="46" t="str">
        <f>IFERROR(__xludf.DUMMYFUNCTION("""COMPUTED_VALUE"""),"Office Supplies")</f>
        <v>Office Supplies</v>
      </c>
      <c r="B487" s="46" t="str">
        <f>IFERROR(__xludf.DUMMYFUNCTION("""COMPUTED_VALUE"""),"Switzerland")</f>
        <v>Switzerland</v>
      </c>
      <c r="C487" s="46">
        <f>IFERROR(__xludf.DUMMYFUNCTION("""COMPUTED_VALUE"""),4.24541604E8)</f>
        <v>424541604</v>
      </c>
      <c r="D487" s="84">
        <f>IFERROR(__xludf.DUMMYFUNCTION("""COMPUTED_VALUE"""),97681.5)</f>
        <v>97681.5</v>
      </c>
      <c r="H487" s="48"/>
      <c r="I487" s="38"/>
      <c r="J487" s="38"/>
      <c r="K487" s="38"/>
      <c r="M487" s="87"/>
      <c r="N487" s="38"/>
      <c r="Q487" s="38"/>
    </row>
    <row r="488">
      <c r="A488" s="46" t="str">
        <f>IFERROR(__xludf.DUMMYFUNCTION("""COMPUTED_VALUE"""),"Beverages")</f>
        <v>Beverages</v>
      </c>
      <c r="B488" s="46" t="str">
        <f>IFERROR(__xludf.DUMMYFUNCTION("""COMPUTED_VALUE"""),"Andorra")</f>
        <v>Andorra</v>
      </c>
      <c r="C488" s="46">
        <f>IFERROR(__xludf.DUMMYFUNCTION("""COMPUTED_VALUE"""),4.25547969E8)</f>
        <v>425547969</v>
      </c>
      <c r="D488" s="84">
        <f>IFERROR(__xludf.DUMMYFUNCTION("""COMPUTED_VALUE"""),377464.75)</f>
        <v>377464.75</v>
      </c>
      <c r="H488" s="48"/>
      <c r="I488" s="38"/>
      <c r="J488" s="38"/>
      <c r="K488" s="38"/>
      <c r="M488" s="87"/>
      <c r="N488" s="38"/>
      <c r="Q488" s="38"/>
    </row>
    <row r="489">
      <c r="A489" s="46" t="str">
        <f>IFERROR(__xludf.DUMMYFUNCTION("""COMPUTED_VALUE"""),"Snacks")</f>
        <v>Snacks</v>
      </c>
      <c r="B489" s="46" t="str">
        <f>IFERROR(__xludf.DUMMYFUNCTION("""COMPUTED_VALUE"""),"Finland")</f>
        <v>Finland</v>
      </c>
      <c r="C489" s="46">
        <f>IFERROR(__xludf.DUMMYFUNCTION("""COMPUTED_VALUE"""),4.27432811E8)</f>
        <v>427432811</v>
      </c>
      <c r="D489" s="84">
        <f>IFERROR(__xludf.DUMMYFUNCTION("""COMPUTED_VALUE"""),873062.7600000001)</f>
        <v>873062.76</v>
      </c>
      <c r="H489" s="48"/>
      <c r="I489" s="38"/>
      <c r="J489" s="38"/>
      <c r="K489" s="38"/>
      <c r="M489" s="87"/>
      <c r="N489" s="38"/>
      <c r="Q489" s="38"/>
    </row>
    <row r="490">
      <c r="A490" s="46" t="str">
        <f>IFERROR(__xludf.DUMMYFUNCTION("""COMPUTED_VALUE"""),"Office Supplies")</f>
        <v>Office Supplies</v>
      </c>
      <c r="B490" s="46" t="str">
        <f>IFERROR(__xludf.DUMMYFUNCTION("""COMPUTED_VALUE"""),"France")</f>
        <v>France</v>
      </c>
      <c r="C490" s="46">
        <f>IFERROR(__xludf.DUMMYFUNCTION("""COMPUTED_VALUE"""),4.28419864E8)</f>
        <v>428419864</v>
      </c>
      <c r="D490" s="84">
        <f>IFERROR(__xludf.DUMMYFUNCTION("""COMPUTED_VALUE"""),5087903.73)</f>
        <v>5087903.73</v>
      </c>
      <c r="H490" s="48"/>
      <c r="I490" s="38"/>
      <c r="J490" s="38"/>
      <c r="K490" s="38"/>
      <c r="M490" s="87"/>
      <c r="N490" s="38"/>
      <c r="Q490" s="38"/>
    </row>
    <row r="491">
      <c r="A491" s="46" t="str">
        <f>IFERROR(__xludf.DUMMYFUNCTION("""COMPUTED_VALUE"""),"Snacks")</f>
        <v>Snacks</v>
      </c>
      <c r="B491" s="46" t="str">
        <f>IFERROR(__xludf.DUMMYFUNCTION("""COMPUTED_VALUE"""),"Undefined")</f>
        <v>Undefined</v>
      </c>
      <c r="C491" s="46">
        <f>IFERROR(__xludf.DUMMYFUNCTION("""COMPUTED_VALUE"""),4.29123675E8)</f>
        <v>429123675</v>
      </c>
      <c r="D491" s="84">
        <f>IFERROR(__xludf.DUMMYFUNCTION("""COMPUTED_VALUE"""),928601.8800000001)</f>
        <v>928601.88</v>
      </c>
      <c r="H491" s="48"/>
      <c r="I491" s="38"/>
      <c r="J491" s="38"/>
      <c r="K491" s="38"/>
      <c r="M491" s="87"/>
      <c r="N491" s="38"/>
      <c r="Q491" s="38"/>
    </row>
    <row r="492">
      <c r="A492" s="46" t="str">
        <f>IFERROR(__xludf.DUMMYFUNCTION("""COMPUTED_VALUE"""),"Personal Care")</f>
        <v>Personal Care</v>
      </c>
      <c r="B492" s="46" t="str">
        <f>IFERROR(__xludf.DUMMYFUNCTION("""COMPUTED_VALUE"""),"United Kingdom")</f>
        <v>United Kingdom</v>
      </c>
      <c r="C492" s="46">
        <f>IFERROR(__xludf.DUMMYFUNCTION("""COMPUTED_VALUE"""),4.3068751E8)</f>
        <v>430687510</v>
      </c>
      <c r="D492" s="84">
        <f>IFERROR(__xludf.DUMMYFUNCTION("""COMPUTED_VALUE"""),724127.8)</f>
        <v>724127.8</v>
      </c>
      <c r="H492" s="48"/>
      <c r="I492" s="38"/>
      <c r="J492" s="38"/>
      <c r="K492" s="38"/>
      <c r="M492" s="87"/>
      <c r="N492" s="38"/>
      <c r="Q492" s="38"/>
    </row>
    <row r="493">
      <c r="A493" s="46" t="str">
        <f>IFERROR(__xludf.DUMMYFUNCTION("""COMPUTED_VALUE"""),"Cereal")</f>
        <v>Cereal</v>
      </c>
      <c r="B493" s="46" t="str">
        <f>IFERROR(__xludf.DUMMYFUNCTION("""COMPUTED_VALUE"""),"Greece")</f>
        <v>Greece</v>
      </c>
      <c r="C493" s="46">
        <f>IFERROR(__xludf.DUMMYFUNCTION("""COMPUTED_VALUE"""),4.31240689E8)</f>
        <v>431240689</v>
      </c>
      <c r="D493" s="84">
        <f>IFERROR(__xludf.DUMMYFUNCTION("""COMPUTED_VALUE"""),526180.6)</f>
        <v>526180.6</v>
      </c>
      <c r="H493" s="48"/>
      <c r="I493" s="38"/>
      <c r="J493" s="38"/>
      <c r="K493" s="38"/>
      <c r="M493" s="87"/>
      <c r="N493" s="38"/>
      <c r="Q493" s="38"/>
    </row>
    <row r="494">
      <c r="A494" s="46" t="str">
        <f>IFERROR(__xludf.DUMMYFUNCTION("""COMPUTED_VALUE"""),"Clothes")</f>
        <v>Clothes</v>
      </c>
      <c r="B494" s="46" t="str">
        <f>IFERROR(__xludf.DUMMYFUNCTION("""COMPUTED_VALUE"""),"Macedonia")</f>
        <v>Macedonia</v>
      </c>
      <c r="C494" s="46">
        <f>IFERROR(__xludf.DUMMYFUNCTION("""COMPUTED_VALUE"""),4.31432092E8)</f>
        <v>431432092</v>
      </c>
      <c r="D494" s="84">
        <f>IFERROR(__xludf.DUMMYFUNCTION("""COMPUTED_VALUE"""),1005157.4400000001)</f>
        <v>1005157.44</v>
      </c>
      <c r="H494" s="48"/>
      <c r="I494" s="38"/>
      <c r="J494" s="38"/>
      <c r="K494" s="38"/>
      <c r="M494" s="87"/>
      <c r="N494" s="38"/>
      <c r="Q494" s="38"/>
    </row>
    <row r="495">
      <c r="A495" s="46" t="str">
        <f>IFERROR(__xludf.DUMMYFUNCTION("""COMPUTED_VALUE"""),"Beverages")</f>
        <v>Beverages</v>
      </c>
      <c r="B495" s="46" t="str">
        <f>IFERROR(__xludf.DUMMYFUNCTION("""COMPUTED_VALUE"""),"Slovakia")</f>
        <v>Slovakia</v>
      </c>
      <c r="C495" s="46">
        <f>IFERROR(__xludf.DUMMYFUNCTION("""COMPUTED_VALUE"""),4.31753098E8)</f>
        <v>431753098</v>
      </c>
      <c r="D495" s="84">
        <f>IFERROR(__xludf.DUMMYFUNCTION("""COMPUTED_VALUE"""),198862.95)</f>
        <v>198862.95</v>
      </c>
      <c r="H495" s="48"/>
      <c r="I495" s="38"/>
      <c r="J495" s="38"/>
      <c r="K495" s="38"/>
      <c r="M495" s="87"/>
      <c r="N495" s="38"/>
      <c r="Q495" s="38"/>
    </row>
    <row r="496">
      <c r="A496" s="46" t="str">
        <f>IFERROR(__xludf.DUMMYFUNCTION("""COMPUTED_VALUE"""),"Beverages")</f>
        <v>Beverages</v>
      </c>
      <c r="B496" s="46" t="str">
        <f>IFERROR(__xludf.DUMMYFUNCTION("""COMPUTED_VALUE"""),"Armenia")</f>
        <v>Armenia</v>
      </c>
      <c r="C496" s="46">
        <f>IFERROR(__xludf.DUMMYFUNCTION("""COMPUTED_VALUE"""),4.32031619E8)</f>
        <v>432031619</v>
      </c>
      <c r="D496" s="84">
        <f>IFERROR(__xludf.DUMMYFUNCTION("""COMPUTED_VALUE"""),313739.4)</f>
        <v>313739.4</v>
      </c>
      <c r="H496" s="48"/>
      <c r="I496" s="38"/>
      <c r="J496" s="38"/>
      <c r="K496" s="38"/>
      <c r="M496" s="87"/>
      <c r="N496" s="38"/>
      <c r="Q496" s="38"/>
    </row>
    <row r="497">
      <c r="A497" s="46" t="str">
        <f>IFERROR(__xludf.DUMMYFUNCTION("""COMPUTED_VALUE"""),"Office Supplies")</f>
        <v>Office Supplies</v>
      </c>
      <c r="B497" s="46" t="str">
        <f>IFERROR(__xludf.DUMMYFUNCTION("""COMPUTED_VALUE"""),"Lithuania")</f>
        <v>Lithuania</v>
      </c>
      <c r="C497" s="46">
        <f>IFERROR(__xludf.DUMMYFUNCTION("""COMPUTED_VALUE"""),4.33079183E8)</f>
        <v>433079183</v>
      </c>
      <c r="D497" s="84">
        <f>IFERROR(__xludf.DUMMYFUNCTION("""COMPUTED_VALUE"""),4303846.890000001)</f>
        <v>4303846.89</v>
      </c>
      <c r="H497" s="48"/>
      <c r="I497" s="38"/>
      <c r="J497" s="38"/>
      <c r="K497" s="38"/>
      <c r="M497" s="87"/>
      <c r="N497" s="38"/>
      <c r="Q497" s="38"/>
    </row>
    <row r="498">
      <c r="A498" s="46" t="str">
        <f>IFERROR(__xludf.DUMMYFUNCTION("""COMPUTED_VALUE"""),"Office Supplies")</f>
        <v>Office Supplies</v>
      </c>
      <c r="B498" s="46" t="str">
        <f>IFERROR(__xludf.DUMMYFUNCTION("""COMPUTED_VALUE"""),"Germany")</f>
        <v>Germany</v>
      </c>
      <c r="C498" s="46">
        <f>IFERROR(__xludf.DUMMYFUNCTION("""COMPUTED_VALUE"""),4.337345E8)</f>
        <v>433734500</v>
      </c>
      <c r="D498" s="84">
        <f>IFERROR(__xludf.DUMMYFUNCTION("""COMPUTED_VALUE"""),346443.72000000003)</f>
        <v>346443.72</v>
      </c>
      <c r="H498" s="48"/>
      <c r="I498" s="38"/>
      <c r="J498" s="38"/>
      <c r="K498" s="38"/>
      <c r="M498" s="87"/>
      <c r="N498" s="38"/>
      <c r="Q498" s="38"/>
    </row>
    <row r="499">
      <c r="A499" s="46" t="str">
        <f>IFERROR(__xludf.DUMMYFUNCTION("""COMPUTED_VALUE"""),"Cosmetics")</f>
        <v>Cosmetics</v>
      </c>
      <c r="B499" s="46" t="str">
        <f>IFERROR(__xludf.DUMMYFUNCTION("""COMPUTED_VALUE"""),"Monaco")</f>
        <v>Monaco</v>
      </c>
      <c r="C499" s="46">
        <f>IFERROR(__xludf.DUMMYFUNCTION("""COMPUTED_VALUE"""),4.34013879E8)</f>
        <v>434013879</v>
      </c>
      <c r="D499" s="84">
        <f>IFERROR(__xludf.DUMMYFUNCTION("""COMPUTED_VALUE"""),1401663.2)</f>
        <v>1401663.2</v>
      </c>
      <c r="H499" s="48"/>
      <c r="I499" s="38"/>
      <c r="J499" s="38"/>
      <c r="K499" s="38"/>
      <c r="M499" s="87"/>
      <c r="N499" s="38"/>
      <c r="Q499" s="38"/>
    </row>
    <row r="500">
      <c r="A500" s="46" t="str">
        <f>IFERROR(__xludf.DUMMYFUNCTION("""COMPUTED_VALUE"""),"Office Supplies")</f>
        <v>Office Supplies</v>
      </c>
      <c r="B500" s="46" t="str">
        <f>IFERROR(__xludf.DUMMYFUNCTION("""COMPUTED_VALUE"""),"Bosnia and Herzegovina")</f>
        <v>Bosnia and Herzegovina</v>
      </c>
      <c r="C500" s="46">
        <f>IFERROR(__xludf.DUMMYFUNCTION("""COMPUTED_VALUE"""),4.34275662E8)</f>
        <v>434275662</v>
      </c>
      <c r="D500" s="84">
        <f>IFERROR(__xludf.DUMMYFUNCTION("""COMPUTED_VALUE"""),438915.54000000004)</f>
        <v>438915.54</v>
      </c>
      <c r="H500" s="48"/>
      <c r="I500" s="38"/>
      <c r="J500" s="38"/>
      <c r="K500" s="38"/>
      <c r="M500" s="87"/>
      <c r="N500" s="38"/>
      <c r="Q500" s="38"/>
    </row>
    <row r="501">
      <c r="A501" s="46" t="str">
        <f>IFERROR(__xludf.DUMMYFUNCTION("""COMPUTED_VALUE"""),"Personal Care")</f>
        <v>Personal Care</v>
      </c>
      <c r="B501" s="46" t="str">
        <f>IFERROR(__xludf.DUMMYFUNCTION("""COMPUTED_VALUE"""),"San Marino")</f>
        <v>San Marino</v>
      </c>
      <c r="C501" s="46">
        <f>IFERROR(__xludf.DUMMYFUNCTION("""COMPUTED_VALUE"""),4.34485948E8)</f>
        <v>434485948</v>
      </c>
      <c r="D501" s="84">
        <f>IFERROR(__xludf.DUMMYFUNCTION("""COMPUTED_VALUE"""),237180.46000000002)</f>
        <v>237180.46</v>
      </c>
      <c r="H501" s="48"/>
      <c r="I501" s="38"/>
      <c r="J501" s="38"/>
      <c r="K501" s="38"/>
      <c r="M501" s="87"/>
      <c r="N501" s="38"/>
      <c r="Q501" s="38"/>
    </row>
    <row r="502">
      <c r="A502" s="46" t="str">
        <f>IFERROR(__xludf.DUMMYFUNCTION("""COMPUTED_VALUE"""),"Beverages")</f>
        <v>Beverages</v>
      </c>
      <c r="B502" s="46" t="str">
        <f>IFERROR(__xludf.DUMMYFUNCTION("""COMPUTED_VALUE"""),"Malta")</f>
        <v>Malta</v>
      </c>
      <c r="C502" s="46">
        <f>IFERROR(__xludf.DUMMYFUNCTION("""COMPUTED_VALUE"""),4.35463559E8)</f>
        <v>435463559</v>
      </c>
      <c r="D502" s="84">
        <f>IFERROR(__xludf.DUMMYFUNCTION("""COMPUTED_VALUE"""),104342.55)</f>
        <v>104342.55</v>
      </c>
      <c r="H502" s="48"/>
      <c r="I502" s="38"/>
      <c r="J502" s="38"/>
      <c r="K502" s="38"/>
      <c r="M502" s="87"/>
      <c r="N502" s="38"/>
      <c r="Q502" s="38"/>
    </row>
    <row r="503">
      <c r="A503" s="46" t="str">
        <f>IFERROR(__xludf.DUMMYFUNCTION("""COMPUTED_VALUE"""),"Beverages")</f>
        <v>Beverages</v>
      </c>
      <c r="B503" s="46" t="str">
        <f>IFERROR(__xludf.DUMMYFUNCTION("""COMPUTED_VALUE"""),"Undefined")</f>
        <v>Undefined</v>
      </c>
      <c r="C503" s="46">
        <f>IFERROR(__xludf.DUMMYFUNCTION("""COMPUTED_VALUE"""),4.36606395E8)</f>
        <v>436606395</v>
      </c>
      <c r="D503" s="84">
        <f>IFERROR(__xludf.DUMMYFUNCTION("""COMPUTED_VALUE"""),18458.050000000003)</f>
        <v>18458.05</v>
      </c>
      <c r="H503" s="48"/>
      <c r="I503" s="38"/>
      <c r="J503" s="38"/>
      <c r="K503" s="38"/>
      <c r="M503" s="87"/>
      <c r="N503" s="38"/>
      <c r="Q503" s="38"/>
    </row>
    <row r="504">
      <c r="A504" s="46" t="str">
        <f>IFERROR(__xludf.DUMMYFUNCTION("""COMPUTED_VALUE"""),"Meat")</f>
        <v>Meat</v>
      </c>
      <c r="B504" s="46" t="str">
        <f>IFERROR(__xludf.DUMMYFUNCTION("""COMPUTED_VALUE"""),"Spain")</f>
        <v>Spain</v>
      </c>
      <c r="C504" s="46">
        <f>IFERROR(__xludf.DUMMYFUNCTION("""COMPUTED_VALUE"""),4.36969029E8)</f>
        <v>436969029</v>
      </c>
      <c r="D504" s="84">
        <f>IFERROR(__xludf.DUMMYFUNCTION("""COMPUTED_VALUE"""),3248974.8899999997)</f>
        <v>3248974.89</v>
      </c>
      <c r="H504" s="48"/>
      <c r="I504" s="38"/>
      <c r="J504" s="38"/>
      <c r="K504" s="38"/>
      <c r="M504" s="87"/>
      <c r="N504" s="38"/>
      <c r="Q504" s="38"/>
    </row>
    <row r="505">
      <c r="A505" s="46" t="str">
        <f>IFERROR(__xludf.DUMMYFUNCTION("""COMPUTED_VALUE"""),"Meat")</f>
        <v>Meat</v>
      </c>
      <c r="B505" s="46" t="str">
        <f>IFERROR(__xludf.DUMMYFUNCTION("""COMPUTED_VALUE"""),"Sweden")</f>
        <v>Sweden</v>
      </c>
      <c r="C505" s="46">
        <f>IFERROR(__xludf.DUMMYFUNCTION("""COMPUTED_VALUE"""),4.37083184E8)</f>
        <v>437083184</v>
      </c>
      <c r="D505" s="84">
        <f>IFERROR(__xludf.DUMMYFUNCTION("""COMPUTED_VALUE"""),625240.98)</f>
        <v>625240.98</v>
      </c>
      <c r="H505" s="48"/>
      <c r="I505" s="38"/>
      <c r="J505" s="38"/>
      <c r="K505" s="38"/>
      <c r="M505" s="87"/>
      <c r="N505" s="38"/>
      <c r="Q505" s="38"/>
    </row>
    <row r="506">
      <c r="A506" s="46" t="str">
        <f>IFERROR(__xludf.DUMMYFUNCTION("""COMPUTED_VALUE"""),"Snacks")</f>
        <v>Snacks</v>
      </c>
      <c r="B506" s="46" t="str">
        <f>IFERROR(__xludf.DUMMYFUNCTION("""COMPUTED_VALUE"""),"Luxembourg")</f>
        <v>Luxembourg</v>
      </c>
      <c r="C506" s="46">
        <f>IFERROR(__xludf.DUMMYFUNCTION("""COMPUTED_VALUE"""),4.37604176E8)</f>
        <v>437604176</v>
      </c>
      <c r="D506" s="84">
        <f>IFERROR(__xludf.DUMMYFUNCTION("""COMPUTED_VALUE"""),862839.9)</f>
        <v>862839.9</v>
      </c>
      <c r="H506" s="48"/>
      <c r="I506" s="38"/>
      <c r="J506" s="38"/>
      <c r="K506" s="38"/>
      <c r="M506" s="87"/>
      <c r="N506" s="38"/>
      <c r="Q506" s="38"/>
    </row>
    <row r="507">
      <c r="A507" s="46" t="str">
        <f>IFERROR(__xludf.DUMMYFUNCTION("""COMPUTED_VALUE"""),"Personal Care")</f>
        <v>Personal Care</v>
      </c>
      <c r="B507" s="46" t="str">
        <f>IFERROR(__xludf.DUMMYFUNCTION("""COMPUTED_VALUE"""),"Romania")</f>
        <v>Romania</v>
      </c>
      <c r="C507" s="46">
        <f>IFERROR(__xludf.DUMMYFUNCTION("""COMPUTED_VALUE"""),4.38683927E8)</f>
        <v>438683927</v>
      </c>
      <c r="D507" s="84">
        <f>IFERROR(__xludf.DUMMYFUNCTION("""COMPUTED_VALUE"""),423116.21)</f>
        <v>423116.21</v>
      </c>
      <c r="H507" s="48"/>
      <c r="I507" s="38"/>
      <c r="J507" s="38"/>
      <c r="K507" s="38"/>
      <c r="M507" s="87"/>
      <c r="N507" s="38"/>
      <c r="Q507" s="38"/>
    </row>
    <row r="508">
      <c r="A508" s="46" t="str">
        <f>IFERROR(__xludf.DUMMYFUNCTION("""COMPUTED_VALUE"""),"Personal Care")</f>
        <v>Personal Care</v>
      </c>
      <c r="B508" s="46" t="str">
        <f>IFERROR(__xludf.DUMMYFUNCTION("""COMPUTED_VALUE"""),"United Kingdom")</f>
        <v>United Kingdom</v>
      </c>
      <c r="C508" s="46">
        <f>IFERROR(__xludf.DUMMYFUNCTION("""COMPUTED_VALUE"""),4.39114367E8)</f>
        <v>439114367</v>
      </c>
      <c r="D508" s="84">
        <f>IFERROR(__xludf.DUMMYFUNCTION("""COMPUTED_VALUE"""),208738.42)</f>
        <v>208738.42</v>
      </c>
      <c r="H508" s="48"/>
      <c r="I508" s="38"/>
      <c r="J508" s="38"/>
      <c r="K508" s="38"/>
      <c r="M508" s="87"/>
      <c r="N508" s="38"/>
      <c r="Q508" s="38"/>
    </row>
    <row r="509">
      <c r="A509" s="46" t="str">
        <f>IFERROR(__xludf.DUMMYFUNCTION("""COMPUTED_VALUE"""),"Beverages")</f>
        <v>Beverages</v>
      </c>
      <c r="B509" s="46" t="str">
        <f>IFERROR(__xludf.DUMMYFUNCTION("""COMPUTED_VALUE"""),"Iceland")</f>
        <v>Iceland</v>
      </c>
      <c r="C509" s="46">
        <f>IFERROR(__xludf.DUMMYFUNCTION("""COMPUTED_VALUE"""),4.39204919E8)</f>
        <v>439204919</v>
      </c>
      <c r="D509" s="84">
        <f>IFERROR(__xludf.DUMMYFUNCTION("""COMPUTED_VALUE"""),443657.5)</f>
        <v>443657.5</v>
      </c>
      <c r="H509" s="48"/>
      <c r="I509" s="38"/>
      <c r="J509" s="38"/>
      <c r="K509" s="38"/>
      <c r="M509" s="87"/>
      <c r="N509" s="38"/>
      <c r="Q509" s="38"/>
    </row>
    <row r="510">
      <c r="A510" s="46" t="str">
        <f>IFERROR(__xludf.DUMMYFUNCTION("""COMPUTED_VALUE"""),"Cereal")</f>
        <v>Cereal</v>
      </c>
      <c r="B510" s="46" t="str">
        <f>IFERROR(__xludf.DUMMYFUNCTION("""COMPUTED_VALUE"""),"Poland")</f>
        <v>Poland</v>
      </c>
      <c r="C510" s="46">
        <f>IFERROR(__xludf.DUMMYFUNCTION("""COMPUTED_VALUE"""),4.3964008E8)</f>
        <v>439640080</v>
      </c>
      <c r="D510" s="84">
        <f>IFERROR(__xludf.DUMMYFUNCTION("""COMPUTED_VALUE"""),1671106.7999999998)</f>
        <v>1671106.8</v>
      </c>
      <c r="H510" s="48"/>
      <c r="I510" s="38"/>
      <c r="J510" s="38"/>
      <c r="K510" s="38"/>
      <c r="M510" s="87"/>
      <c r="N510" s="38"/>
      <c r="Q510" s="38"/>
    </row>
    <row r="511">
      <c r="A511" s="46" t="str">
        <f>IFERROR(__xludf.DUMMYFUNCTION("""COMPUTED_VALUE"""),"Fruits")</f>
        <v>Fruits</v>
      </c>
      <c r="B511" s="46" t="str">
        <f>IFERROR(__xludf.DUMMYFUNCTION("""COMPUTED_VALUE"""),"Armenia")</f>
        <v>Armenia</v>
      </c>
      <c r="C511" s="46">
        <f>IFERROR(__xludf.DUMMYFUNCTION("""COMPUTED_VALUE"""),4.39725911E8)</f>
        <v>439725911</v>
      </c>
      <c r="D511" s="84">
        <f>IFERROR(__xludf.DUMMYFUNCTION("""COMPUTED_VALUE"""),32878.92)</f>
        <v>32878.92</v>
      </c>
      <c r="H511" s="48"/>
      <c r="I511" s="38"/>
      <c r="J511" s="38"/>
      <c r="K511" s="38"/>
      <c r="M511" s="87"/>
      <c r="N511" s="38"/>
      <c r="Q511" s="38"/>
    </row>
    <row r="512">
      <c r="A512" s="46" t="str">
        <f>IFERROR(__xludf.DUMMYFUNCTION("""COMPUTED_VALUE"""),"Baby Food")</f>
        <v>Baby Food</v>
      </c>
      <c r="B512" s="46" t="str">
        <f>IFERROR(__xludf.DUMMYFUNCTION("""COMPUTED_VALUE"""),"Andorra")</f>
        <v>Andorra</v>
      </c>
      <c r="C512" s="46">
        <f>IFERROR(__xludf.DUMMYFUNCTION("""COMPUTED_VALUE"""),4.42318427E8)</f>
        <v>442318427</v>
      </c>
      <c r="D512" s="84">
        <f>IFERROR(__xludf.DUMMYFUNCTION("""COMPUTED_VALUE"""),180482.96)</f>
        <v>180482.96</v>
      </c>
      <c r="H512" s="48"/>
      <c r="I512" s="38"/>
      <c r="J512" s="38"/>
      <c r="K512" s="38"/>
      <c r="M512" s="87"/>
      <c r="N512" s="38"/>
      <c r="Q512" s="38"/>
    </row>
    <row r="513">
      <c r="A513" s="46" t="str">
        <f>IFERROR(__xludf.DUMMYFUNCTION("""COMPUTED_VALUE"""),"Cereal")</f>
        <v>Cereal</v>
      </c>
      <c r="B513" s="46" t="str">
        <f>IFERROR(__xludf.DUMMYFUNCTION("""COMPUTED_VALUE"""),"Serbia")</f>
        <v>Serbia</v>
      </c>
      <c r="C513" s="46">
        <f>IFERROR(__xludf.DUMMYFUNCTION("""COMPUTED_VALUE"""),4.43125665E8)</f>
        <v>443125665</v>
      </c>
      <c r="D513" s="84">
        <f>IFERROR(__xludf.DUMMYFUNCTION("""COMPUTED_VALUE"""),1971840.2)</f>
        <v>1971840.2</v>
      </c>
      <c r="H513" s="48"/>
      <c r="I513" s="38"/>
      <c r="J513" s="38"/>
      <c r="K513" s="38"/>
      <c r="M513" s="87"/>
      <c r="N513" s="38"/>
      <c r="Q513" s="38"/>
    </row>
    <row r="514">
      <c r="A514" s="46" t="str">
        <f>IFERROR(__xludf.DUMMYFUNCTION("""COMPUTED_VALUE"""),"Cereal")</f>
        <v>Cereal</v>
      </c>
      <c r="B514" s="46" t="str">
        <f>IFERROR(__xludf.DUMMYFUNCTION("""COMPUTED_VALUE"""),"Andorra")</f>
        <v>Andorra</v>
      </c>
      <c r="C514" s="46">
        <f>IFERROR(__xludf.DUMMYFUNCTION("""COMPUTED_VALUE"""),4.43347108E8)</f>
        <v>443347108</v>
      </c>
      <c r="D514" s="84">
        <f>IFERROR(__xludf.DUMMYFUNCTION("""COMPUTED_VALUE"""),1052361.2)</f>
        <v>1052361.2</v>
      </c>
      <c r="H514" s="48"/>
      <c r="I514" s="38"/>
      <c r="J514" s="38"/>
      <c r="K514" s="38"/>
      <c r="M514" s="87"/>
      <c r="N514" s="38"/>
      <c r="Q514" s="38"/>
    </row>
    <row r="515">
      <c r="A515" s="46" t="str">
        <f>IFERROR(__xludf.DUMMYFUNCTION("""COMPUTED_VALUE"""),"Beverages")</f>
        <v>Beverages</v>
      </c>
      <c r="B515" s="46" t="str">
        <f>IFERROR(__xludf.DUMMYFUNCTION("""COMPUTED_VALUE"""),"Andorra")</f>
        <v>Andorra</v>
      </c>
      <c r="C515" s="46">
        <f>IFERROR(__xludf.DUMMYFUNCTION("""COMPUTED_VALUE"""),4.43544518E8)</f>
        <v>443544518</v>
      </c>
      <c r="D515" s="84">
        <f>IFERROR(__xludf.DUMMYFUNCTION("""COMPUTED_VALUE"""),167688.30000000002)</f>
        <v>167688.3</v>
      </c>
      <c r="H515" s="48"/>
      <c r="I515" s="38"/>
      <c r="J515" s="38"/>
      <c r="K515" s="38"/>
      <c r="M515" s="87"/>
      <c r="N515" s="38"/>
      <c r="Q515" s="38"/>
    </row>
    <row r="516">
      <c r="A516" s="46" t="str">
        <f>IFERROR(__xludf.DUMMYFUNCTION("""COMPUTED_VALUE"""),"Baby Food")</f>
        <v>Baby Food</v>
      </c>
      <c r="B516" s="46" t="str">
        <f>IFERROR(__xludf.DUMMYFUNCTION("""COMPUTED_VALUE"""),"Sweden")</f>
        <v>Sweden</v>
      </c>
      <c r="C516" s="46">
        <f>IFERROR(__xludf.DUMMYFUNCTION("""COMPUTED_VALUE"""),4.43551385E8)</f>
        <v>443551385</v>
      </c>
      <c r="D516" s="84">
        <f>IFERROR(__xludf.DUMMYFUNCTION("""COMPUTED_VALUE"""),1420888.48)</f>
        <v>1420888.48</v>
      </c>
      <c r="H516" s="48"/>
      <c r="I516" s="38"/>
      <c r="J516" s="38"/>
      <c r="K516" s="38"/>
      <c r="M516" s="87"/>
      <c r="N516" s="38"/>
      <c r="Q516" s="38"/>
    </row>
    <row r="517">
      <c r="A517" s="46" t="str">
        <f>IFERROR(__xludf.DUMMYFUNCTION("""COMPUTED_VALUE"""),"Baby Food")</f>
        <v>Baby Food</v>
      </c>
      <c r="B517" s="46" t="str">
        <f>IFERROR(__xludf.DUMMYFUNCTION("""COMPUTED_VALUE"""),"Greece")</f>
        <v>Greece</v>
      </c>
      <c r="C517" s="46">
        <f>IFERROR(__xludf.DUMMYFUNCTION("""COMPUTED_VALUE"""),4.44234168E8)</f>
        <v>444234168</v>
      </c>
      <c r="D517" s="84">
        <f>IFERROR(__xludf.DUMMYFUNCTION("""COMPUTED_VALUE"""),1944467.76)</f>
        <v>1944467.76</v>
      </c>
      <c r="H517" s="48"/>
      <c r="I517" s="38"/>
      <c r="J517" s="38"/>
      <c r="K517" s="38"/>
      <c r="M517" s="87"/>
      <c r="N517" s="38"/>
      <c r="Q517" s="38"/>
    </row>
    <row r="518">
      <c r="A518" s="46" t="str">
        <f>IFERROR(__xludf.DUMMYFUNCTION("""COMPUTED_VALUE"""),"Household")</f>
        <v>Household</v>
      </c>
      <c r="B518" s="46" t="str">
        <f>IFERROR(__xludf.DUMMYFUNCTION("""COMPUTED_VALUE"""),"Portugal")</f>
        <v>Portugal</v>
      </c>
      <c r="C518" s="46">
        <f>IFERROR(__xludf.DUMMYFUNCTION("""COMPUTED_VALUE"""),4.44798934E8)</f>
        <v>444798934</v>
      </c>
      <c r="D518" s="84">
        <f>IFERROR(__xludf.DUMMYFUNCTION("""COMPUTED_VALUE"""),3170272.88)</f>
        <v>3170272.88</v>
      </c>
      <c r="H518" s="48"/>
      <c r="I518" s="38"/>
      <c r="J518" s="38"/>
      <c r="K518" s="38"/>
      <c r="M518" s="87"/>
      <c r="N518" s="38"/>
      <c r="Q518" s="38"/>
    </row>
    <row r="519">
      <c r="A519" s="46" t="str">
        <f>IFERROR(__xludf.DUMMYFUNCTION("""COMPUTED_VALUE"""),"Cereal")</f>
        <v>Cereal</v>
      </c>
      <c r="B519" s="46" t="str">
        <f>IFERROR(__xludf.DUMMYFUNCTION("""COMPUTED_VALUE"""),"Czech Republic")</f>
        <v>Czech Republic</v>
      </c>
      <c r="C519" s="46">
        <f>IFERROR(__xludf.DUMMYFUNCTION("""COMPUTED_VALUE"""),4.4480623E8)</f>
        <v>444806230</v>
      </c>
      <c r="D519" s="84">
        <f>IFERROR(__xludf.DUMMYFUNCTION("""COMPUTED_VALUE"""),1419947.0999999999)</f>
        <v>1419947.1</v>
      </c>
      <c r="H519" s="48"/>
      <c r="I519" s="38"/>
      <c r="J519" s="38"/>
      <c r="K519" s="38"/>
      <c r="M519" s="87"/>
      <c r="N519" s="38"/>
      <c r="Q519" s="38"/>
    </row>
    <row r="520">
      <c r="A520" s="46" t="str">
        <f>IFERROR(__xludf.DUMMYFUNCTION("""COMPUTED_VALUE"""),"Office Supplies")</f>
        <v>Office Supplies</v>
      </c>
      <c r="B520" s="46" t="str">
        <f>IFERROR(__xludf.DUMMYFUNCTION("""COMPUTED_VALUE"""),"Finland")</f>
        <v>Finland</v>
      </c>
      <c r="C520" s="46">
        <f>IFERROR(__xludf.DUMMYFUNCTION("""COMPUTED_VALUE"""),4.45273578E8)</f>
        <v>445273578</v>
      </c>
      <c r="D520" s="84">
        <f>IFERROR(__xludf.DUMMYFUNCTION("""COMPUTED_VALUE"""),3386943.21)</f>
        <v>3386943.21</v>
      </c>
      <c r="H520" s="48"/>
      <c r="I520" s="38"/>
      <c r="J520" s="38"/>
      <c r="K520" s="38"/>
      <c r="M520" s="87"/>
      <c r="N520" s="38"/>
      <c r="Q520" s="38"/>
    </row>
    <row r="521">
      <c r="A521" s="46" t="str">
        <f>IFERROR(__xludf.DUMMYFUNCTION("""COMPUTED_VALUE"""),"Personal Care")</f>
        <v>Personal Care</v>
      </c>
      <c r="B521" s="46" t="str">
        <f>IFERROR(__xludf.DUMMYFUNCTION("""COMPUTED_VALUE"""),"Malta")</f>
        <v>Malta</v>
      </c>
      <c r="C521" s="46">
        <f>IFERROR(__xludf.DUMMYFUNCTION("""COMPUTED_VALUE"""),4.45708739E8)</f>
        <v>445708739</v>
      </c>
      <c r="D521" s="84">
        <f>IFERROR(__xludf.DUMMYFUNCTION("""COMPUTED_VALUE"""),324876.75)</f>
        <v>324876.75</v>
      </c>
      <c r="H521" s="48"/>
      <c r="I521" s="38"/>
      <c r="J521" s="38"/>
      <c r="K521" s="38"/>
      <c r="M521" s="87"/>
      <c r="N521" s="38"/>
      <c r="Q521" s="38"/>
    </row>
    <row r="522">
      <c r="A522" s="46" t="str">
        <f>IFERROR(__xludf.DUMMYFUNCTION("""COMPUTED_VALUE"""),"Cereal")</f>
        <v>Cereal</v>
      </c>
      <c r="B522" s="46" t="str">
        <f>IFERROR(__xludf.DUMMYFUNCTION("""COMPUTED_VALUE"""),"Norway")</f>
        <v>Norway</v>
      </c>
      <c r="C522" s="46">
        <f>IFERROR(__xludf.DUMMYFUNCTION("""COMPUTED_VALUE"""),4.45952498E8)</f>
        <v>445952498</v>
      </c>
      <c r="D522" s="84">
        <f>IFERROR(__xludf.DUMMYFUNCTION("""COMPUTED_VALUE"""),1256621.3)</f>
        <v>1256621.3</v>
      </c>
      <c r="H522" s="48"/>
      <c r="I522" s="38"/>
      <c r="J522" s="38"/>
      <c r="K522" s="38"/>
      <c r="M522" s="87"/>
      <c r="N522" s="38"/>
      <c r="Q522" s="38"/>
    </row>
    <row r="523">
      <c r="A523" s="46" t="str">
        <f>IFERROR(__xludf.DUMMYFUNCTION("""COMPUTED_VALUE"""),"Vegetables")</f>
        <v>Vegetables</v>
      </c>
      <c r="B523" s="46" t="str">
        <f>IFERROR(__xludf.DUMMYFUNCTION("""COMPUTED_VALUE"""),"Ukraine")</f>
        <v>Ukraine</v>
      </c>
      <c r="C523" s="46">
        <f>IFERROR(__xludf.DUMMYFUNCTION("""COMPUTED_VALUE"""),4.46019017E8)</f>
        <v>446019017</v>
      </c>
      <c r="D523" s="84">
        <f>IFERROR(__xludf.DUMMYFUNCTION("""COMPUTED_VALUE"""),892623.64)</f>
        <v>892623.64</v>
      </c>
      <c r="H523" s="48"/>
      <c r="I523" s="38"/>
      <c r="J523" s="38"/>
      <c r="K523" s="38"/>
      <c r="M523" s="87"/>
      <c r="N523" s="38"/>
      <c r="Q523" s="38"/>
    </row>
    <row r="524">
      <c r="A524" s="46" t="str">
        <f>IFERROR(__xludf.DUMMYFUNCTION("""COMPUTED_VALUE"""),"Fruits")</f>
        <v>Fruits</v>
      </c>
      <c r="B524" s="46" t="str">
        <f>IFERROR(__xludf.DUMMYFUNCTION("""COMPUTED_VALUE"""),"Spain")</f>
        <v>Spain</v>
      </c>
      <c r="C524" s="46">
        <f>IFERROR(__xludf.DUMMYFUNCTION("""COMPUTED_VALUE"""),4.46045196E8)</f>
        <v>446045196</v>
      </c>
      <c r="D524" s="84">
        <f>IFERROR(__xludf.DUMMYFUNCTION("""COMPUTED_VALUE"""),33028.2)</f>
        <v>33028.2</v>
      </c>
      <c r="H524" s="48"/>
      <c r="I524" s="38"/>
      <c r="J524" s="38"/>
      <c r="K524" s="38"/>
      <c r="M524" s="87"/>
      <c r="N524" s="38"/>
      <c r="Q524" s="38"/>
    </row>
    <row r="525">
      <c r="A525" s="46" t="str">
        <f>IFERROR(__xludf.DUMMYFUNCTION("""COMPUTED_VALUE"""),"Cosmetics")</f>
        <v>Cosmetics</v>
      </c>
      <c r="B525" s="46" t="str">
        <f>IFERROR(__xludf.DUMMYFUNCTION("""COMPUTED_VALUE"""),"San Marino")</f>
        <v>San Marino</v>
      </c>
      <c r="C525" s="46">
        <f>IFERROR(__xludf.DUMMYFUNCTION("""COMPUTED_VALUE"""),4.4718331E8)</f>
        <v>447183310</v>
      </c>
      <c r="D525" s="84">
        <f>IFERROR(__xludf.DUMMYFUNCTION("""COMPUTED_VALUE"""),146024.8)</f>
        <v>146024.8</v>
      </c>
      <c r="H525" s="48"/>
      <c r="I525" s="38"/>
      <c r="J525" s="38"/>
      <c r="K525" s="38"/>
      <c r="M525" s="87"/>
      <c r="N525" s="38"/>
      <c r="Q525" s="38"/>
    </row>
    <row r="526">
      <c r="A526" s="46" t="str">
        <f>IFERROR(__xludf.DUMMYFUNCTION("""COMPUTED_VALUE"""),"Meat")</f>
        <v>Meat</v>
      </c>
      <c r="B526" s="46" t="str">
        <f>IFERROR(__xludf.DUMMYFUNCTION("""COMPUTED_VALUE"""),"Serbia")</f>
        <v>Serbia</v>
      </c>
      <c r="C526" s="46">
        <f>IFERROR(__xludf.DUMMYFUNCTION("""COMPUTED_VALUE"""),4.47536504E8)</f>
        <v>447536504</v>
      </c>
      <c r="D526" s="84">
        <f>IFERROR(__xludf.DUMMYFUNCTION("""COMPUTED_VALUE"""),2047010.28)</f>
        <v>2047010.28</v>
      </c>
      <c r="H526" s="48"/>
      <c r="I526" s="38"/>
      <c r="J526" s="38"/>
      <c r="K526" s="38"/>
      <c r="M526" s="87"/>
      <c r="N526" s="38"/>
      <c r="Q526" s="38"/>
    </row>
    <row r="527">
      <c r="A527" s="46" t="str">
        <f>IFERROR(__xludf.DUMMYFUNCTION("""COMPUTED_VALUE"""),"Snacks")</f>
        <v>Snacks</v>
      </c>
      <c r="B527" s="46" t="str">
        <f>IFERROR(__xludf.DUMMYFUNCTION("""COMPUTED_VALUE"""),"France")</f>
        <v>France</v>
      </c>
      <c r="C527" s="46">
        <f>IFERROR(__xludf.DUMMYFUNCTION("""COMPUTED_VALUE"""),4.47684133E8)</f>
        <v>447684133</v>
      </c>
      <c r="D527" s="84">
        <f>IFERROR(__xludf.DUMMYFUNCTION("""COMPUTED_VALUE"""),1302728.04)</f>
        <v>1302728.04</v>
      </c>
      <c r="H527" s="48"/>
      <c r="I527" s="38"/>
      <c r="J527" s="38"/>
      <c r="K527" s="38"/>
      <c r="M527" s="87"/>
      <c r="N527" s="38"/>
      <c r="Q527" s="38"/>
    </row>
    <row r="528">
      <c r="A528" s="46" t="str">
        <f>IFERROR(__xludf.DUMMYFUNCTION("""COMPUTED_VALUE"""),"Cereal")</f>
        <v>Cereal</v>
      </c>
      <c r="B528" s="46" t="str">
        <f>IFERROR(__xludf.DUMMYFUNCTION("""COMPUTED_VALUE"""),"France")</f>
        <v>France</v>
      </c>
      <c r="C528" s="46">
        <f>IFERROR(__xludf.DUMMYFUNCTION("""COMPUTED_VALUE"""),4.4920634E8)</f>
        <v>449206340</v>
      </c>
      <c r="D528" s="84">
        <f>IFERROR(__xludf.DUMMYFUNCTION("""COMPUTED_VALUE"""),1849860.0999999999)</f>
        <v>1849860.1</v>
      </c>
      <c r="H528" s="48"/>
      <c r="I528" s="38"/>
      <c r="J528" s="38"/>
      <c r="K528" s="38"/>
      <c r="M528" s="87"/>
      <c r="N528" s="38"/>
      <c r="Q528" s="38"/>
    </row>
    <row r="529">
      <c r="A529" s="46" t="str">
        <f>IFERROR(__xludf.DUMMYFUNCTION("""COMPUTED_VALUE"""),"Cosmetics")</f>
        <v>Cosmetics</v>
      </c>
      <c r="B529" s="46" t="str">
        <f>IFERROR(__xludf.DUMMYFUNCTION("""COMPUTED_VALUE"""),"Portugal")</f>
        <v>Portugal</v>
      </c>
      <c r="C529" s="46">
        <f>IFERROR(__xludf.DUMMYFUNCTION("""COMPUTED_VALUE"""),4.50041043E8)</f>
        <v>450041043</v>
      </c>
      <c r="D529" s="84">
        <f>IFERROR(__xludf.DUMMYFUNCTION("""COMPUTED_VALUE"""),2623200.0)</f>
        <v>2623200</v>
      </c>
      <c r="H529" s="48"/>
      <c r="I529" s="38"/>
      <c r="J529" s="38"/>
      <c r="K529" s="38"/>
      <c r="M529" s="87"/>
      <c r="N529" s="38"/>
      <c r="Q529" s="38"/>
    </row>
    <row r="530">
      <c r="A530" s="46" t="str">
        <f>IFERROR(__xludf.DUMMYFUNCTION("""COMPUTED_VALUE"""),"Baby Food")</f>
        <v>Baby Food</v>
      </c>
      <c r="B530" s="46" t="str">
        <f>IFERROR(__xludf.DUMMYFUNCTION("""COMPUTED_VALUE"""),"Russia")</f>
        <v>Russia</v>
      </c>
      <c r="C530" s="46">
        <f>IFERROR(__xludf.DUMMYFUNCTION("""COMPUTED_VALUE"""),4.50550019E8)</f>
        <v>450550019</v>
      </c>
      <c r="D530" s="84">
        <f>IFERROR(__xludf.DUMMYFUNCTION("""COMPUTED_VALUE"""),1689443.04)</f>
        <v>1689443.04</v>
      </c>
      <c r="H530" s="48"/>
      <c r="I530" s="38"/>
      <c r="J530" s="38"/>
      <c r="K530" s="38"/>
      <c r="M530" s="87"/>
      <c r="N530" s="38"/>
      <c r="Q530" s="38"/>
    </row>
    <row r="531">
      <c r="A531" s="46" t="str">
        <f>IFERROR(__xludf.DUMMYFUNCTION("""COMPUTED_VALUE"""),"Fruits")</f>
        <v>Fruits</v>
      </c>
      <c r="B531" s="46" t="str">
        <f>IFERROR(__xludf.DUMMYFUNCTION("""COMPUTED_VALUE"""),"Sweden")</f>
        <v>Sweden</v>
      </c>
      <c r="C531" s="46">
        <f>IFERROR(__xludf.DUMMYFUNCTION("""COMPUTED_VALUE"""),4.52471768E8)</f>
        <v>452471768</v>
      </c>
      <c r="D531" s="84">
        <f>IFERROR(__xludf.DUMMYFUNCTION("""COMPUTED_VALUE"""),49504.98)</f>
        <v>49504.98</v>
      </c>
      <c r="H531" s="48"/>
      <c r="I531" s="38"/>
      <c r="J531" s="38"/>
      <c r="K531" s="38"/>
      <c r="M531" s="87"/>
      <c r="N531" s="38"/>
      <c r="Q531" s="38"/>
    </row>
    <row r="532">
      <c r="A532" s="46" t="str">
        <f>IFERROR(__xludf.DUMMYFUNCTION("""COMPUTED_VALUE"""),"Vegetables")</f>
        <v>Vegetables</v>
      </c>
      <c r="B532" s="46" t="str">
        <f>IFERROR(__xludf.DUMMYFUNCTION("""COMPUTED_VALUE"""),"Undefined")</f>
        <v>Undefined</v>
      </c>
      <c r="C532" s="46">
        <f>IFERROR(__xludf.DUMMYFUNCTION("""COMPUTED_VALUE"""),4.52559745E8)</f>
        <v>452559745</v>
      </c>
      <c r="D532" s="84">
        <f>IFERROR(__xludf.DUMMYFUNCTION("""COMPUTED_VALUE"""),206440.4)</f>
        <v>206440.4</v>
      </c>
      <c r="H532" s="48"/>
      <c r="I532" s="38"/>
      <c r="J532" s="38"/>
      <c r="K532" s="38"/>
      <c r="M532" s="87"/>
      <c r="N532" s="38"/>
      <c r="Q532" s="38"/>
    </row>
    <row r="533">
      <c r="A533" s="46" t="str">
        <f>IFERROR(__xludf.DUMMYFUNCTION("""COMPUTED_VALUE"""),"Cereal")</f>
        <v>Cereal</v>
      </c>
      <c r="B533" s="46" t="str">
        <f>IFERROR(__xludf.DUMMYFUNCTION("""COMPUTED_VALUE"""),"Poland")</f>
        <v>Poland</v>
      </c>
      <c r="C533" s="46">
        <f>IFERROR(__xludf.DUMMYFUNCTION("""COMPUTED_VALUE"""),4.54550588E8)</f>
        <v>454550588</v>
      </c>
      <c r="D533" s="84">
        <f>IFERROR(__xludf.DUMMYFUNCTION("""COMPUTED_VALUE"""),97707.5)</f>
        <v>97707.5</v>
      </c>
      <c r="H533" s="48"/>
      <c r="I533" s="38"/>
      <c r="J533" s="38"/>
      <c r="K533" s="38"/>
      <c r="M533" s="87"/>
      <c r="N533" s="38"/>
      <c r="Q533" s="38"/>
    </row>
    <row r="534">
      <c r="A534" s="46" t="str">
        <f>IFERROR(__xludf.DUMMYFUNCTION("""COMPUTED_VALUE"""),"Vegetables")</f>
        <v>Vegetables</v>
      </c>
      <c r="B534" s="46" t="str">
        <f>IFERROR(__xludf.DUMMYFUNCTION("""COMPUTED_VALUE"""),"France")</f>
        <v>France</v>
      </c>
      <c r="C534" s="46">
        <f>IFERROR(__xludf.DUMMYFUNCTION("""COMPUTED_VALUE"""),4.55040681E8)</f>
        <v>455040681</v>
      </c>
      <c r="D534" s="84">
        <f>IFERROR(__xludf.DUMMYFUNCTION("""COMPUTED_VALUE"""),847946.24)</f>
        <v>847946.24</v>
      </c>
      <c r="H534" s="48"/>
      <c r="I534" s="38"/>
      <c r="J534" s="38"/>
      <c r="K534" s="38"/>
      <c r="M534" s="87"/>
      <c r="N534" s="38"/>
      <c r="Q534" s="38"/>
    </row>
    <row r="535">
      <c r="A535" s="46" t="str">
        <f>IFERROR(__xludf.DUMMYFUNCTION("""COMPUTED_VALUE"""),"Personal Care")</f>
        <v>Personal Care</v>
      </c>
      <c r="B535" s="46" t="str">
        <f>IFERROR(__xludf.DUMMYFUNCTION("""COMPUTED_VALUE"""),"Macedonia")</f>
        <v>Macedonia</v>
      </c>
      <c r="C535" s="46">
        <f>IFERROR(__xludf.DUMMYFUNCTION("""COMPUTED_VALUE"""),4.56192958E8)</f>
        <v>456192958</v>
      </c>
      <c r="D535" s="84">
        <f>IFERROR(__xludf.DUMMYFUNCTION("""COMPUTED_VALUE"""),530345.97)</f>
        <v>530345.97</v>
      </c>
      <c r="H535" s="48"/>
      <c r="I535" s="38"/>
      <c r="J535" s="38"/>
      <c r="K535" s="38"/>
      <c r="M535" s="87"/>
      <c r="N535" s="38"/>
      <c r="Q535" s="38"/>
    </row>
    <row r="536">
      <c r="A536" s="46" t="str">
        <f>IFERROR(__xludf.DUMMYFUNCTION("""COMPUTED_VALUE"""),"Office Supplies")</f>
        <v>Office Supplies</v>
      </c>
      <c r="B536" s="46" t="str">
        <f>IFERROR(__xludf.DUMMYFUNCTION("""COMPUTED_VALUE"""),"Belgium")</f>
        <v>Belgium</v>
      </c>
      <c r="C536" s="46">
        <f>IFERROR(__xludf.DUMMYFUNCTION("""COMPUTED_VALUE"""),4.56527268E8)</f>
        <v>456527268</v>
      </c>
      <c r="D536" s="84">
        <f>IFERROR(__xludf.DUMMYFUNCTION("""COMPUTED_VALUE"""),3528906.99)</f>
        <v>3528906.99</v>
      </c>
      <c r="H536" s="48"/>
      <c r="I536" s="38"/>
      <c r="J536" s="38"/>
      <c r="K536" s="38"/>
      <c r="M536" s="87"/>
      <c r="N536" s="38"/>
      <c r="Q536" s="38"/>
    </row>
    <row r="537">
      <c r="A537" s="46" t="str">
        <f>IFERROR(__xludf.DUMMYFUNCTION("""COMPUTED_VALUE"""),"Meat")</f>
        <v>Meat</v>
      </c>
      <c r="B537" s="46" t="str">
        <f>IFERROR(__xludf.DUMMYFUNCTION("""COMPUTED_VALUE"""),"San Marino")</f>
        <v>San Marino</v>
      </c>
      <c r="C537" s="46">
        <f>IFERROR(__xludf.DUMMYFUNCTION("""COMPUTED_VALUE"""),4.56934964E8)</f>
        <v>456934964</v>
      </c>
      <c r="D537" s="84">
        <f>IFERROR(__xludf.DUMMYFUNCTION("""COMPUTED_VALUE"""),2558762.85)</f>
        <v>2558762.85</v>
      </c>
      <c r="H537" s="48"/>
      <c r="I537" s="38"/>
      <c r="J537" s="38"/>
      <c r="K537" s="38"/>
      <c r="M537" s="87"/>
      <c r="N537" s="38"/>
      <c r="Q537" s="38"/>
    </row>
    <row r="538">
      <c r="A538" s="46" t="str">
        <f>IFERROR(__xludf.DUMMYFUNCTION("""COMPUTED_VALUE"""),"Office Supplies")</f>
        <v>Office Supplies</v>
      </c>
      <c r="B538" s="46" t="str">
        <f>IFERROR(__xludf.DUMMYFUNCTION("""COMPUTED_VALUE"""),"Undefined")</f>
        <v>Undefined</v>
      </c>
      <c r="C538" s="46">
        <f>IFERROR(__xludf.DUMMYFUNCTION("""COMPUTED_VALUE"""),4.58816373E8)</f>
        <v>458816373</v>
      </c>
      <c r="D538" s="84">
        <f>IFERROR(__xludf.DUMMYFUNCTION("""COMPUTED_VALUE"""),1833156.1500000001)</f>
        <v>1833156.15</v>
      </c>
      <c r="H538" s="48"/>
      <c r="I538" s="38"/>
      <c r="J538" s="38"/>
      <c r="K538" s="38"/>
      <c r="M538" s="87"/>
      <c r="N538" s="38"/>
      <c r="Q538" s="38"/>
    </row>
    <row r="539">
      <c r="A539" s="46" t="str">
        <f>IFERROR(__xludf.DUMMYFUNCTION("""COMPUTED_VALUE"""),"Meat")</f>
        <v>Meat</v>
      </c>
      <c r="B539" s="46" t="str">
        <f>IFERROR(__xludf.DUMMYFUNCTION("""COMPUTED_VALUE"""),"Spain")</f>
        <v>Spain</v>
      </c>
      <c r="C539" s="46">
        <f>IFERROR(__xludf.DUMMYFUNCTION("""COMPUTED_VALUE"""),4.59277713E8)</f>
        <v>459277713</v>
      </c>
      <c r="D539" s="84">
        <f>IFERROR(__xludf.DUMMYFUNCTION("""COMPUTED_VALUE"""),3938765.04)</f>
        <v>3938765.04</v>
      </c>
      <c r="H539" s="48"/>
      <c r="I539" s="38"/>
      <c r="J539" s="38"/>
      <c r="K539" s="38"/>
      <c r="M539" s="87"/>
      <c r="N539" s="38"/>
      <c r="Q539" s="38"/>
    </row>
    <row r="540">
      <c r="A540" s="46" t="str">
        <f>IFERROR(__xludf.DUMMYFUNCTION("""COMPUTED_VALUE"""),"Baby Food")</f>
        <v>Baby Food</v>
      </c>
      <c r="B540" s="46" t="str">
        <f>IFERROR(__xludf.DUMMYFUNCTION("""COMPUTED_VALUE"""),"Italy")</f>
        <v>Italy</v>
      </c>
      <c r="C540" s="46">
        <f>IFERROR(__xludf.DUMMYFUNCTION("""COMPUTED_VALUE"""),4.59372985E8)</f>
        <v>459372985</v>
      </c>
      <c r="D540" s="84">
        <f>IFERROR(__xludf.DUMMYFUNCTION("""COMPUTED_VALUE"""),1922003.12)</f>
        <v>1922003.12</v>
      </c>
      <c r="H540" s="48"/>
      <c r="I540" s="38"/>
      <c r="J540" s="38"/>
      <c r="K540" s="38"/>
      <c r="M540" s="87"/>
      <c r="N540" s="38"/>
      <c r="Q540" s="38"/>
    </row>
    <row r="541">
      <c r="A541" s="46" t="str">
        <f>IFERROR(__xludf.DUMMYFUNCTION("""COMPUTED_VALUE"""),"Fruits")</f>
        <v>Fruits</v>
      </c>
      <c r="B541" s="46" t="str">
        <f>IFERROR(__xludf.DUMMYFUNCTION("""COMPUTED_VALUE"""),"Georgia")</f>
        <v>Georgia</v>
      </c>
      <c r="C541" s="46">
        <f>IFERROR(__xludf.DUMMYFUNCTION("""COMPUTED_VALUE"""),4.60693061E8)</f>
        <v>460693061</v>
      </c>
      <c r="D541" s="84">
        <f>IFERROR(__xludf.DUMMYFUNCTION("""COMPUTED_VALUE"""),76216.77)</f>
        <v>76216.77</v>
      </c>
      <c r="H541" s="48"/>
      <c r="I541" s="38"/>
      <c r="J541" s="38"/>
      <c r="K541" s="38"/>
      <c r="M541" s="87"/>
      <c r="N541" s="38"/>
      <c r="Q541" s="38"/>
    </row>
    <row r="542">
      <c r="A542" s="46" t="str">
        <f>IFERROR(__xludf.DUMMYFUNCTION("""COMPUTED_VALUE"""),"Personal Care")</f>
        <v>Personal Care</v>
      </c>
      <c r="B542" s="46" t="str">
        <f>IFERROR(__xludf.DUMMYFUNCTION("""COMPUTED_VALUE"""),"Undefined")</f>
        <v>Undefined</v>
      </c>
      <c r="C542" s="46">
        <f>IFERROR(__xludf.DUMMYFUNCTION("""COMPUTED_VALUE"""),4.61445796E8)</f>
        <v>461445796</v>
      </c>
      <c r="D542" s="84">
        <f>IFERROR(__xludf.DUMMYFUNCTION("""COMPUTED_VALUE"""),75191.6)</f>
        <v>75191.6</v>
      </c>
      <c r="H542" s="48"/>
      <c r="I542" s="38"/>
      <c r="J542" s="38"/>
      <c r="K542" s="38"/>
      <c r="M542" s="87"/>
      <c r="N542" s="38"/>
      <c r="Q542" s="38"/>
    </row>
    <row r="543">
      <c r="A543" s="46" t="str">
        <f>IFERROR(__xludf.DUMMYFUNCTION("""COMPUTED_VALUE"""),"Baby Food")</f>
        <v>Baby Food</v>
      </c>
      <c r="B543" s="46" t="str">
        <f>IFERROR(__xludf.DUMMYFUNCTION("""COMPUTED_VALUE"""),"Montenegro")</f>
        <v>Montenegro</v>
      </c>
      <c r="C543" s="46">
        <f>IFERROR(__xludf.DUMMYFUNCTION("""COMPUTED_VALUE"""),4.61917865E8)</f>
        <v>461917865</v>
      </c>
      <c r="D543" s="84">
        <f>IFERROR(__xludf.DUMMYFUNCTION("""COMPUTED_VALUE"""),157252.48)</f>
        <v>157252.48</v>
      </c>
      <c r="H543" s="48"/>
      <c r="I543" s="38"/>
      <c r="J543" s="38"/>
      <c r="K543" s="38"/>
      <c r="M543" s="87"/>
      <c r="N543" s="38"/>
      <c r="Q543" s="38"/>
    </row>
    <row r="544">
      <c r="A544" s="46" t="str">
        <f>IFERROR(__xludf.DUMMYFUNCTION("""COMPUTED_VALUE"""),"Meat")</f>
        <v>Meat</v>
      </c>
      <c r="B544" s="46" t="str">
        <f>IFERROR(__xludf.DUMMYFUNCTION("""COMPUTED_VALUE"""),"Spain")</f>
        <v>Spain</v>
      </c>
      <c r="C544" s="46">
        <f>IFERROR(__xludf.DUMMYFUNCTION("""COMPUTED_VALUE"""),4.62561166E8)</f>
        <v>462561166</v>
      </c>
      <c r="D544" s="84">
        <f>IFERROR(__xludf.DUMMYFUNCTION("""COMPUTED_VALUE"""),414717.87)</f>
        <v>414717.87</v>
      </c>
      <c r="H544" s="48"/>
      <c r="I544" s="38"/>
      <c r="J544" s="38"/>
      <c r="K544" s="38"/>
      <c r="M544" s="87"/>
      <c r="N544" s="38"/>
      <c r="Q544" s="38"/>
    </row>
    <row r="545">
      <c r="A545" s="46" t="str">
        <f>IFERROR(__xludf.DUMMYFUNCTION("""COMPUTED_VALUE"""),"Household")</f>
        <v>Household</v>
      </c>
      <c r="B545" s="46" t="str">
        <f>IFERROR(__xludf.DUMMYFUNCTION("""COMPUTED_VALUE"""),"Luxembourg")</f>
        <v>Luxembourg</v>
      </c>
      <c r="C545" s="46">
        <f>IFERROR(__xludf.DUMMYFUNCTION("""COMPUTED_VALUE"""),4.63591134E8)</f>
        <v>463591134</v>
      </c>
      <c r="D545" s="84">
        <f>IFERROR(__xludf.DUMMYFUNCTION("""COMPUTED_VALUE"""),3857922.71)</f>
        <v>3857922.71</v>
      </c>
      <c r="H545" s="48"/>
      <c r="I545" s="38"/>
      <c r="J545" s="38"/>
      <c r="K545" s="38"/>
      <c r="M545" s="87"/>
      <c r="N545" s="38"/>
      <c r="Q545" s="38"/>
    </row>
    <row r="546">
      <c r="A546" s="46" t="str">
        <f>IFERROR(__xludf.DUMMYFUNCTION("""COMPUTED_VALUE"""),"Snacks")</f>
        <v>Snacks</v>
      </c>
      <c r="B546" s="46" t="str">
        <f>IFERROR(__xludf.DUMMYFUNCTION("""COMPUTED_VALUE"""),"Italy")</f>
        <v>Italy</v>
      </c>
      <c r="C546" s="46">
        <f>IFERROR(__xludf.DUMMYFUNCTION("""COMPUTED_VALUE"""),4.6491121E8)</f>
        <v>464911210</v>
      </c>
      <c r="D546" s="84">
        <f>IFERROR(__xludf.DUMMYFUNCTION("""COMPUTED_VALUE"""),978495.54)</f>
        <v>978495.54</v>
      </c>
      <c r="H546" s="48"/>
      <c r="I546" s="38"/>
      <c r="J546" s="38"/>
      <c r="K546" s="38"/>
      <c r="M546" s="87"/>
      <c r="N546" s="38"/>
      <c r="Q546" s="38"/>
    </row>
    <row r="547">
      <c r="A547" s="46" t="str">
        <f>IFERROR(__xludf.DUMMYFUNCTION("""COMPUTED_VALUE"""),"Vegetables")</f>
        <v>Vegetables</v>
      </c>
      <c r="B547" s="46" t="str">
        <f>IFERROR(__xludf.DUMMYFUNCTION("""COMPUTED_VALUE"""),"Germany")</f>
        <v>Germany</v>
      </c>
      <c r="C547" s="46">
        <f>IFERROR(__xludf.DUMMYFUNCTION("""COMPUTED_VALUE"""),4.65753209E8)</f>
        <v>465753209</v>
      </c>
      <c r="D547" s="84">
        <f>IFERROR(__xludf.DUMMYFUNCTION("""COMPUTED_VALUE"""),859500.74)</f>
        <v>859500.74</v>
      </c>
      <c r="H547" s="48"/>
      <c r="I547" s="38"/>
      <c r="J547" s="38"/>
      <c r="K547" s="38"/>
      <c r="M547" s="87"/>
      <c r="N547" s="38"/>
      <c r="Q547" s="38"/>
    </row>
    <row r="548">
      <c r="A548" s="46" t="str">
        <f>IFERROR(__xludf.DUMMYFUNCTION("""COMPUTED_VALUE"""),"Fruits")</f>
        <v>Fruits</v>
      </c>
      <c r="B548" s="46" t="str">
        <f>IFERROR(__xludf.DUMMYFUNCTION("""COMPUTED_VALUE"""),"Belarus")</f>
        <v>Belarus</v>
      </c>
      <c r="C548" s="46">
        <f>IFERROR(__xludf.DUMMYFUNCTION("""COMPUTED_VALUE"""),4.66517961E8)</f>
        <v>466517961</v>
      </c>
      <c r="D548" s="84">
        <f>IFERROR(__xludf.DUMMYFUNCTION("""COMPUTED_VALUE"""),17596.38)</f>
        <v>17596.38</v>
      </c>
      <c r="H548" s="48"/>
      <c r="I548" s="38"/>
      <c r="J548" s="38"/>
      <c r="K548" s="38"/>
      <c r="M548" s="87"/>
      <c r="N548" s="38"/>
      <c r="Q548" s="38"/>
    </row>
    <row r="549">
      <c r="A549" s="46" t="str">
        <f>IFERROR(__xludf.DUMMYFUNCTION("""COMPUTED_VALUE"""),"Personal Care")</f>
        <v>Personal Care</v>
      </c>
      <c r="B549" s="46" t="str">
        <f>IFERROR(__xludf.DUMMYFUNCTION("""COMPUTED_VALUE"""),"Malta")</f>
        <v>Malta</v>
      </c>
      <c r="C549" s="46">
        <f>IFERROR(__xludf.DUMMYFUNCTION("""COMPUTED_VALUE"""),4.66988742E8)</f>
        <v>466988742</v>
      </c>
      <c r="D549" s="84">
        <f>IFERROR(__xludf.DUMMYFUNCTION("""COMPUTED_VALUE"""),98157.73000000001)</f>
        <v>98157.73</v>
      </c>
      <c r="H549" s="48"/>
      <c r="I549" s="38"/>
      <c r="J549" s="38"/>
      <c r="K549" s="38"/>
      <c r="M549" s="87"/>
      <c r="N549" s="38"/>
      <c r="Q549" s="38"/>
    </row>
    <row r="550">
      <c r="A550" s="46" t="str">
        <f>IFERROR(__xludf.DUMMYFUNCTION("""COMPUTED_VALUE"""),"Personal Care")</f>
        <v>Personal Care</v>
      </c>
      <c r="B550" s="46" t="str">
        <f>IFERROR(__xludf.DUMMYFUNCTION("""COMPUTED_VALUE"""),"Undefined")</f>
        <v>Undefined</v>
      </c>
      <c r="C550" s="46">
        <f>IFERROR(__xludf.DUMMYFUNCTION("""COMPUTED_VALUE"""),4.67045819E8)</f>
        <v>467045819</v>
      </c>
      <c r="D550" s="84">
        <f>IFERROR(__xludf.DUMMYFUNCTION("""COMPUTED_VALUE"""),661359.16)</f>
        <v>661359.16</v>
      </c>
      <c r="H550" s="48"/>
      <c r="I550" s="38"/>
      <c r="J550" s="38"/>
      <c r="K550" s="38"/>
      <c r="M550" s="87"/>
      <c r="N550" s="38"/>
      <c r="Q550" s="38"/>
    </row>
    <row r="551">
      <c r="A551" s="46" t="str">
        <f>IFERROR(__xludf.DUMMYFUNCTION("""COMPUTED_VALUE"""),"Clothes")</f>
        <v>Clothes</v>
      </c>
      <c r="B551" s="46" t="str">
        <f>IFERROR(__xludf.DUMMYFUNCTION("""COMPUTED_VALUE"""),"San Marino")</f>
        <v>San Marino</v>
      </c>
      <c r="C551" s="46">
        <f>IFERROR(__xludf.DUMMYFUNCTION("""COMPUTED_VALUE"""),4.67138516E8)</f>
        <v>467138516</v>
      </c>
      <c r="D551" s="84">
        <f>IFERROR(__xludf.DUMMYFUNCTION("""COMPUTED_VALUE"""),603553.4400000001)</f>
        <v>603553.44</v>
      </c>
      <c r="H551" s="48"/>
      <c r="I551" s="38"/>
      <c r="J551" s="38"/>
      <c r="K551" s="38"/>
      <c r="M551" s="87"/>
      <c r="N551" s="38"/>
      <c r="Q551" s="38"/>
    </row>
    <row r="552">
      <c r="A552" s="46" t="str">
        <f>IFERROR(__xludf.DUMMYFUNCTION("""COMPUTED_VALUE"""),"Baby Food")</f>
        <v>Baby Food</v>
      </c>
      <c r="B552" s="46" t="str">
        <f>IFERROR(__xludf.DUMMYFUNCTION("""COMPUTED_VALUE"""),"Czech Republic")</f>
        <v>Czech Republic</v>
      </c>
      <c r="C552" s="46">
        <f>IFERROR(__xludf.DUMMYFUNCTION("""COMPUTED_VALUE"""),4.67312324E8)</f>
        <v>467312324</v>
      </c>
      <c r="D552" s="84">
        <f>IFERROR(__xludf.DUMMYFUNCTION("""COMPUTED_VALUE"""),1775727.68)</f>
        <v>1775727.68</v>
      </c>
      <c r="H552" s="48"/>
      <c r="I552" s="38"/>
      <c r="J552" s="38"/>
      <c r="K552" s="38"/>
      <c r="M552" s="87"/>
      <c r="N552" s="38"/>
      <c r="Q552" s="38"/>
    </row>
    <row r="553">
      <c r="A553" s="46" t="str">
        <f>IFERROR(__xludf.DUMMYFUNCTION("""COMPUTED_VALUE"""),"Office Supplies")</f>
        <v>Office Supplies</v>
      </c>
      <c r="B553" s="46" t="str">
        <f>IFERROR(__xludf.DUMMYFUNCTION("""COMPUTED_VALUE"""),"Hungary")</f>
        <v>Hungary</v>
      </c>
      <c r="C553" s="46">
        <f>IFERROR(__xludf.DUMMYFUNCTION("""COMPUTED_VALUE"""),4.67924726E8)</f>
        <v>467924726</v>
      </c>
      <c r="D553" s="84">
        <f>IFERROR(__xludf.DUMMYFUNCTION("""COMPUTED_VALUE"""),5326246.59)</f>
        <v>5326246.59</v>
      </c>
      <c r="H553" s="48"/>
      <c r="I553" s="38"/>
      <c r="J553" s="38"/>
      <c r="K553" s="38"/>
      <c r="M553" s="87"/>
      <c r="N553" s="38"/>
      <c r="Q553" s="38"/>
    </row>
    <row r="554">
      <c r="A554" s="46" t="str">
        <f>IFERROR(__xludf.DUMMYFUNCTION("""COMPUTED_VALUE"""),"Vegetables")</f>
        <v>Vegetables</v>
      </c>
      <c r="B554" s="46" t="str">
        <f>IFERROR(__xludf.DUMMYFUNCTION("""COMPUTED_VALUE"""),"Austria")</f>
        <v>Austria</v>
      </c>
      <c r="C554" s="46">
        <f>IFERROR(__xludf.DUMMYFUNCTION("""COMPUTED_VALUE"""),4.68320834E8)</f>
        <v>468320834</v>
      </c>
      <c r="D554" s="84">
        <f>IFERROR(__xludf.DUMMYFUNCTION("""COMPUTED_VALUE"""),831461.8200000001)</f>
        <v>831461.82</v>
      </c>
      <c r="H554" s="48"/>
      <c r="I554" s="38"/>
      <c r="J554" s="38"/>
      <c r="K554" s="38"/>
      <c r="M554" s="87"/>
      <c r="N554" s="38"/>
      <c r="Q554" s="38"/>
    </row>
    <row r="555">
      <c r="A555" s="46" t="str">
        <f>IFERROR(__xludf.DUMMYFUNCTION("""COMPUTED_VALUE"""),"Fruits")</f>
        <v>Fruits</v>
      </c>
      <c r="B555" s="46" t="str">
        <f>IFERROR(__xludf.DUMMYFUNCTION("""COMPUTED_VALUE"""),"Bulgaria")</f>
        <v>Bulgaria</v>
      </c>
      <c r="C555" s="46">
        <f>IFERROR(__xludf.DUMMYFUNCTION("""COMPUTED_VALUE"""),4.68803632E8)</f>
        <v>468803632</v>
      </c>
      <c r="D555" s="84">
        <f>IFERROR(__xludf.DUMMYFUNCTION("""COMPUTED_VALUE"""),77131.11)</f>
        <v>77131.11</v>
      </c>
      <c r="H555" s="48"/>
      <c r="I555" s="38"/>
      <c r="J555" s="38"/>
      <c r="K555" s="38"/>
      <c r="M555" s="87"/>
      <c r="N555" s="38"/>
      <c r="Q555" s="38"/>
    </row>
    <row r="556">
      <c r="A556" s="46" t="str">
        <f>IFERROR(__xludf.DUMMYFUNCTION("""COMPUTED_VALUE"""),"Meat")</f>
        <v>Meat</v>
      </c>
      <c r="B556" s="46" t="str">
        <f>IFERROR(__xludf.DUMMYFUNCTION("""COMPUTED_VALUE"""),"Luxembourg")</f>
        <v>Luxembourg</v>
      </c>
      <c r="C556" s="46">
        <f>IFERROR(__xludf.DUMMYFUNCTION("""COMPUTED_VALUE"""),4.69129359E8)</f>
        <v>469129359</v>
      </c>
      <c r="D556" s="84">
        <f>IFERROR(__xludf.DUMMYFUNCTION("""COMPUTED_VALUE"""),1964741.73)</f>
        <v>1964741.73</v>
      </c>
      <c r="H556" s="48"/>
      <c r="I556" s="38"/>
      <c r="J556" s="38"/>
      <c r="K556" s="38"/>
      <c r="M556" s="87"/>
      <c r="N556" s="38"/>
      <c r="Q556" s="38"/>
    </row>
    <row r="557">
      <c r="A557" s="46" t="str">
        <f>IFERROR(__xludf.DUMMYFUNCTION("""COMPUTED_VALUE"""),"Cereal")</f>
        <v>Cereal</v>
      </c>
      <c r="B557" s="46" t="str">
        <f>IFERROR(__xludf.DUMMYFUNCTION("""COMPUTED_VALUE"""),"Malta")</f>
        <v>Malta</v>
      </c>
      <c r="C557" s="46">
        <f>IFERROR(__xludf.DUMMYFUNCTION("""COMPUTED_VALUE"""),4.69144809E8)</f>
        <v>469144809</v>
      </c>
      <c r="D557" s="84">
        <f>IFERROR(__xludf.DUMMYFUNCTION("""COMPUTED_VALUE"""),1898405.2999999998)</f>
        <v>1898405.3</v>
      </c>
      <c r="H557" s="48"/>
      <c r="I557" s="38"/>
      <c r="J557" s="38"/>
      <c r="K557" s="38"/>
      <c r="M557" s="87"/>
      <c r="N557" s="38"/>
      <c r="Q557" s="38"/>
    </row>
    <row r="558">
      <c r="A558" s="46" t="str">
        <f>IFERROR(__xludf.DUMMYFUNCTION("""COMPUTED_VALUE"""),"Beverages")</f>
        <v>Beverages</v>
      </c>
      <c r="B558" s="46" t="str">
        <f>IFERROR(__xludf.DUMMYFUNCTION("""COMPUTED_VALUE"""),"Latvia")</f>
        <v>Latvia</v>
      </c>
      <c r="C558" s="46">
        <f>IFERROR(__xludf.DUMMYFUNCTION("""COMPUTED_VALUE"""),4.69197165E8)</f>
        <v>469197165</v>
      </c>
      <c r="D558" s="84">
        <f>IFERROR(__xludf.DUMMYFUNCTION("""COMPUTED_VALUE"""),224106.35)</f>
        <v>224106.35</v>
      </c>
      <c r="H558" s="48"/>
      <c r="I558" s="38"/>
      <c r="J558" s="38"/>
      <c r="K558" s="38"/>
      <c r="M558" s="87"/>
      <c r="N558" s="38"/>
      <c r="Q558" s="38"/>
    </row>
    <row r="559">
      <c r="A559" s="46" t="str">
        <f>IFERROR(__xludf.DUMMYFUNCTION("""COMPUTED_VALUE"""),"Vegetables")</f>
        <v>Vegetables</v>
      </c>
      <c r="B559" s="46" t="str">
        <f>IFERROR(__xludf.DUMMYFUNCTION("""COMPUTED_VALUE"""),"Poland")</f>
        <v>Poland</v>
      </c>
      <c r="C559" s="46">
        <f>IFERROR(__xludf.DUMMYFUNCTION("""COMPUTED_VALUE"""),4.69840466E8)</f>
        <v>469840466</v>
      </c>
      <c r="D559" s="84">
        <f>IFERROR(__xludf.DUMMYFUNCTION("""COMPUTED_VALUE"""),784165.4)</f>
        <v>784165.4</v>
      </c>
      <c r="H559" s="48"/>
      <c r="I559" s="38"/>
      <c r="J559" s="38"/>
      <c r="K559" s="38"/>
      <c r="M559" s="87"/>
      <c r="N559" s="38"/>
      <c r="Q559" s="38"/>
    </row>
    <row r="560">
      <c r="A560" s="46" t="str">
        <f>IFERROR(__xludf.DUMMYFUNCTION("""COMPUTED_VALUE"""),"Baby Food")</f>
        <v>Baby Food</v>
      </c>
      <c r="B560" s="46" t="str">
        <f>IFERROR(__xludf.DUMMYFUNCTION("""COMPUTED_VALUE"""),"Sweden")</f>
        <v>Sweden</v>
      </c>
      <c r="C560" s="46">
        <f>IFERROR(__xludf.DUMMYFUNCTION("""COMPUTED_VALUE"""),4.69974792E8)</f>
        <v>469974792</v>
      </c>
      <c r="D560" s="84">
        <f>IFERROR(__xludf.DUMMYFUNCTION("""COMPUTED_VALUE"""),1235555.2)</f>
        <v>1235555.2</v>
      </c>
      <c r="H560" s="48"/>
      <c r="I560" s="38"/>
      <c r="J560" s="38"/>
      <c r="K560" s="38"/>
      <c r="M560" s="87"/>
      <c r="N560" s="38"/>
      <c r="Q560" s="38"/>
    </row>
    <row r="561">
      <c r="A561" s="46" t="str">
        <f>IFERROR(__xludf.DUMMYFUNCTION("""COMPUTED_VALUE"""),"Clothes")</f>
        <v>Clothes</v>
      </c>
      <c r="B561" s="46" t="str">
        <f>IFERROR(__xludf.DUMMYFUNCTION("""COMPUTED_VALUE"""),"Albania")</f>
        <v>Albania</v>
      </c>
      <c r="C561" s="46">
        <f>IFERROR(__xludf.DUMMYFUNCTION("""COMPUTED_VALUE"""),4.70503079E8)</f>
        <v>470503079</v>
      </c>
      <c r="D561" s="84">
        <f>IFERROR(__xludf.DUMMYFUNCTION("""COMPUTED_VALUE"""),128076.16)</f>
        <v>128076.16</v>
      </c>
      <c r="H561" s="48"/>
      <c r="I561" s="38"/>
      <c r="J561" s="38"/>
      <c r="K561" s="38"/>
      <c r="M561" s="87"/>
      <c r="N561" s="38"/>
      <c r="Q561" s="38"/>
    </row>
    <row r="562">
      <c r="A562" s="46" t="str">
        <f>IFERROR(__xludf.DUMMYFUNCTION("""COMPUTED_VALUE"""),"Fruits")</f>
        <v>Fruits</v>
      </c>
      <c r="B562" s="46" t="str">
        <f>IFERROR(__xludf.DUMMYFUNCTION("""COMPUTED_VALUE"""),"Greece")</f>
        <v>Greece</v>
      </c>
      <c r="C562" s="46">
        <f>IFERROR(__xludf.DUMMYFUNCTION("""COMPUTED_VALUE"""),4.71348512E8)</f>
        <v>471348512</v>
      </c>
      <c r="D562" s="84">
        <f>IFERROR(__xludf.DUMMYFUNCTION("""COMPUTED_VALUE"""),12632.82)</f>
        <v>12632.82</v>
      </c>
      <c r="H562" s="48"/>
      <c r="I562" s="38"/>
      <c r="J562" s="38"/>
      <c r="K562" s="38"/>
      <c r="M562" s="87"/>
      <c r="N562" s="38"/>
      <c r="Q562" s="38"/>
    </row>
    <row r="563">
      <c r="A563" s="46" t="str">
        <f>IFERROR(__xludf.DUMMYFUNCTION("""COMPUTED_VALUE"""),"Baby Food")</f>
        <v>Baby Food</v>
      </c>
      <c r="B563" s="46" t="str">
        <f>IFERROR(__xludf.DUMMYFUNCTION("""COMPUTED_VALUE"""),"Denmark")</f>
        <v>Denmark</v>
      </c>
      <c r="C563" s="46">
        <f>IFERROR(__xludf.DUMMYFUNCTION("""COMPUTED_VALUE"""),4.71484124E8)</f>
        <v>471484124</v>
      </c>
      <c r="D563" s="84">
        <f>IFERROR(__xludf.DUMMYFUNCTION("""COMPUTED_VALUE"""),379090.8)</f>
        <v>379090.8</v>
      </c>
      <c r="H563" s="48"/>
      <c r="I563" s="38"/>
      <c r="J563" s="38"/>
      <c r="K563" s="38"/>
      <c r="M563" s="87"/>
      <c r="N563" s="38"/>
      <c r="Q563" s="38"/>
    </row>
    <row r="564">
      <c r="A564" s="46" t="str">
        <f>IFERROR(__xludf.DUMMYFUNCTION("""COMPUTED_VALUE"""),"Personal Care")</f>
        <v>Personal Care</v>
      </c>
      <c r="B564" s="46" t="str">
        <f>IFERROR(__xludf.DUMMYFUNCTION("""COMPUTED_VALUE"""),"Russia")</f>
        <v>Russia</v>
      </c>
      <c r="C564" s="46">
        <f>IFERROR(__xludf.DUMMYFUNCTION("""COMPUTED_VALUE"""),4.73845756E8)</f>
        <v>473845756</v>
      </c>
      <c r="D564" s="84">
        <f>IFERROR(__xludf.DUMMYFUNCTION("""COMPUTED_VALUE"""),28115.120000000003)</f>
        <v>28115.12</v>
      </c>
      <c r="H564" s="48"/>
      <c r="I564" s="38"/>
      <c r="J564" s="38"/>
      <c r="K564" s="38"/>
      <c r="M564" s="87"/>
      <c r="N564" s="38"/>
      <c r="Q564" s="38"/>
    </row>
    <row r="565">
      <c r="A565" s="46" t="str">
        <f>IFERROR(__xludf.DUMMYFUNCTION("""COMPUTED_VALUE"""),"Fruits")</f>
        <v>Fruits</v>
      </c>
      <c r="B565" s="46" t="str">
        <f>IFERROR(__xludf.DUMMYFUNCTION("""COMPUTED_VALUE"""),"Malta")</f>
        <v>Malta</v>
      </c>
      <c r="C565" s="46">
        <f>IFERROR(__xludf.DUMMYFUNCTION("""COMPUTED_VALUE"""),4.7517656E8)</f>
        <v>475176560</v>
      </c>
      <c r="D565" s="84">
        <f>IFERROR(__xludf.DUMMYFUNCTION("""COMPUTED_VALUE"""),38803.47)</f>
        <v>38803.47</v>
      </c>
      <c r="H565" s="48"/>
      <c r="I565" s="38"/>
      <c r="J565" s="38"/>
      <c r="K565" s="38"/>
      <c r="M565" s="87"/>
      <c r="N565" s="38"/>
      <c r="Q565" s="38"/>
    </row>
    <row r="566">
      <c r="A566" s="46" t="str">
        <f>IFERROR(__xludf.DUMMYFUNCTION("""COMPUTED_VALUE"""),"Clothes")</f>
        <v>Clothes</v>
      </c>
      <c r="B566" s="46" t="str">
        <f>IFERROR(__xludf.DUMMYFUNCTION("""COMPUTED_VALUE"""),"Luxembourg")</f>
        <v>Luxembourg</v>
      </c>
      <c r="C566" s="46">
        <f>IFERROR(__xludf.DUMMYFUNCTION("""COMPUTED_VALUE"""),4.75992381E8)</f>
        <v>475992381</v>
      </c>
      <c r="D566" s="84">
        <f>IFERROR(__xludf.DUMMYFUNCTION("""COMPUTED_VALUE"""),609563.84)</f>
        <v>609563.84</v>
      </c>
      <c r="H566" s="48"/>
      <c r="I566" s="38"/>
      <c r="J566" s="38"/>
      <c r="K566" s="38"/>
      <c r="M566" s="87"/>
      <c r="N566" s="38"/>
      <c r="Q566" s="38"/>
    </row>
    <row r="567">
      <c r="A567" s="46" t="str">
        <f>IFERROR(__xludf.DUMMYFUNCTION("""COMPUTED_VALUE"""),"Snacks")</f>
        <v>Snacks</v>
      </c>
      <c r="B567" s="46" t="str">
        <f>IFERROR(__xludf.DUMMYFUNCTION("""COMPUTED_VALUE"""),"San Marino")</f>
        <v>San Marino</v>
      </c>
      <c r="C567" s="46">
        <f>IFERROR(__xludf.DUMMYFUNCTION("""COMPUTED_VALUE"""),4.76453721E8)</f>
        <v>476453721</v>
      </c>
      <c r="D567" s="84">
        <f>IFERROR(__xludf.DUMMYFUNCTION("""COMPUTED_VALUE"""),320265.42000000004)</f>
        <v>320265.42</v>
      </c>
      <c r="H567" s="48"/>
      <c r="I567" s="38"/>
      <c r="J567" s="38"/>
      <c r="K567" s="38"/>
      <c r="M567" s="87"/>
      <c r="N567" s="38"/>
      <c r="Q567" s="38"/>
    </row>
    <row r="568">
      <c r="A568" s="46" t="str">
        <f>IFERROR(__xludf.DUMMYFUNCTION("""COMPUTED_VALUE"""),"Vegetables")</f>
        <v>Vegetables</v>
      </c>
      <c r="B568" s="46" t="str">
        <f>IFERROR(__xludf.DUMMYFUNCTION("""COMPUTED_VALUE"""),"Albania")</f>
        <v>Albania</v>
      </c>
      <c r="C568" s="46">
        <f>IFERROR(__xludf.DUMMYFUNCTION("""COMPUTED_VALUE"""),4.76633536E8)</f>
        <v>476633536</v>
      </c>
      <c r="D568" s="84">
        <f>IFERROR(__xludf.DUMMYFUNCTION("""COMPUTED_VALUE"""),818058.6)</f>
        <v>818058.6</v>
      </c>
      <c r="H568" s="48"/>
      <c r="I568" s="38"/>
      <c r="J568" s="38"/>
      <c r="K568" s="38"/>
      <c r="M568" s="87"/>
      <c r="N568" s="38"/>
      <c r="Q568" s="38"/>
    </row>
    <row r="569">
      <c r="A569" s="46" t="str">
        <f>IFERROR(__xludf.DUMMYFUNCTION("""COMPUTED_VALUE"""),"Beverages")</f>
        <v>Beverages</v>
      </c>
      <c r="B569" s="46" t="str">
        <f>IFERROR(__xludf.DUMMYFUNCTION("""COMPUTED_VALUE"""),"Bulgaria")</f>
        <v>Bulgaria</v>
      </c>
      <c r="C569" s="46">
        <f>IFERROR(__xludf.DUMMYFUNCTION("""COMPUTED_VALUE"""),4.7679404E8)</f>
        <v>476794040</v>
      </c>
      <c r="D569" s="84">
        <f>IFERROR(__xludf.DUMMYFUNCTION("""COMPUTED_VALUE"""),133192.15)</f>
        <v>133192.15</v>
      </c>
      <c r="H569" s="48"/>
      <c r="I569" s="38"/>
      <c r="J569" s="38"/>
      <c r="K569" s="38"/>
      <c r="M569" s="87"/>
      <c r="N569" s="38"/>
      <c r="Q569" s="38"/>
    </row>
    <row r="570">
      <c r="A570" s="46" t="str">
        <f>IFERROR(__xludf.DUMMYFUNCTION("""COMPUTED_VALUE"""),"Snacks")</f>
        <v>Snacks</v>
      </c>
      <c r="B570" s="46" t="str">
        <f>IFERROR(__xludf.DUMMYFUNCTION("""COMPUTED_VALUE"""),"Bulgaria")</f>
        <v>Bulgaria</v>
      </c>
      <c r="C570" s="46">
        <f>IFERROR(__xludf.DUMMYFUNCTION("""COMPUTED_VALUE"""),4.7699145E8)</f>
        <v>476991450</v>
      </c>
      <c r="D570" s="84">
        <f>IFERROR(__xludf.DUMMYFUNCTION("""COMPUTED_VALUE"""),186910.50000000003)</f>
        <v>186910.5</v>
      </c>
      <c r="H570" s="48"/>
      <c r="I570" s="38"/>
      <c r="J570" s="38"/>
      <c r="K570" s="38"/>
      <c r="M570" s="87"/>
      <c r="N570" s="38"/>
      <c r="Q570" s="38"/>
    </row>
    <row r="571">
      <c r="A571" s="46" t="str">
        <f>IFERROR(__xludf.DUMMYFUNCTION("""COMPUTED_VALUE"""),"Cereal")</f>
        <v>Cereal</v>
      </c>
      <c r="B571" s="46" t="str">
        <f>IFERROR(__xludf.DUMMYFUNCTION("""COMPUTED_VALUE"""),"Armenia")</f>
        <v>Armenia</v>
      </c>
      <c r="C571" s="46">
        <f>IFERROR(__xludf.DUMMYFUNCTION("""COMPUTED_VALUE"""),4.77282845E8)</f>
        <v>477282845</v>
      </c>
      <c r="D571" s="84">
        <f>IFERROR(__xludf.DUMMYFUNCTION("""COMPUTED_VALUE"""),1533493.5)</f>
        <v>1533493.5</v>
      </c>
      <c r="H571" s="48"/>
      <c r="I571" s="38"/>
      <c r="J571" s="38"/>
      <c r="K571" s="38"/>
      <c r="M571" s="87"/>
      <c r="N571" s="38"/>
      <c r="Q571" s="38"/>
    </row>
    <row r="572">
      <c r="A572" s="46" t="str">
        <f>IFERROR(__xludf.DUMMYFUNCTION("""COMPUTED_VALUE"""),"Cosmetics")</f>
        <v>Cosmetics</v>
      </c>
      <c r="B572" s="46" t="str">
        <f>IFERROR(__xludf.DUMMYFUNCTION("""COMPUTED_VALUE"""),"Norway")</f>
        <v>Norway</v>
      </c>
      <c r="C572" s="46">
        <f>IFERROR(__xludf.DUMMYFUNCTION("""COMPUTED_VALUE"""),4.77633464E8)</f>
        <v>477633464</v>
      </c>
      <c r="D572" s="84">
        <f>IFERROR(__xludf.DUMMYFUNCTION("""COMPUTED_VALUE"""),529449.2)</f>
        <v>529449.2</v>
      </c>
      <c r="H572" s="48"/>
      <c r="I572" s="38"/>
      <c r="J572" s="38"/>
      <c r="K572" s="38"/>
      <c r="M572" s="87"/>
      <c r="N572" s="38"/>
      <c r="Q572" s="38"/>
    </row>
    <row r="573">
      <c r="A573" s="46" t="str">
        <f>IFERROR(__xludf.DUMMYFUNCTION("""COMPUTED_VALUE"""),"Beverages")</f>
        <v>Beverages</v>
      </c>
      <c r="B573" s="46" t="str">
        <f>IFERROR(__xludf.DUMMYFUNCTION("""COMPUTED_VALUE"""),"Czech Republic")</f>
        <v>Czech Republic</v>
      </c>
      <c r="C573" s="46">
        <f>IFERROR(__xludf.DUMMYFUNCTION("""COMPUTED_VALUE"""),4.7805103E8)</f>
        <v>478051030</v>
      </c>
      <c r="D573" s="84">
        <f>IFERROR(__xludf.DUMMYFUNCTION("""COMPUTED_VALUE"""),226716.1)</f>
        <v>226716.1</v>
      </c>
      <c r="H573" s="48"/>
      <c r="I573" s="38"/>
      <c r="J573" s="38"/>
      <c r="K573" s="38"/>
      <c r="M573" s="87"/>
      <c r="N573" s="38"/>
      <c r="Q573" s="38"/>
    </row>
    <row r="574">
      <c r="A574" s="46" t="str">
        <f>IFERROR(__xludf.DUMMYFUNCTION("""COMPUTED_VALUE"""),"Personal Care")</f>
        <v>Personal Care</v>
      </c>
      <c r="B574" s="46" t="str">
        <f>IFERROR(__xludf.DUMMYFUNCTION("""COMPUTED_VALUE"""),"Denmark")</f>
        <v>Denmark</v>
      </c>
      <c r="C574" s="46">
        <f>IFERROR(__xludf.DUMMYFUNCTION("""COMPUTED_VALUE"""),4.78840672E8)</f>
        <v>478840672</v>
      </c>
      <c r="D574" s="84">
        <f>IFERROR(__xludf.DUMMYFUNCTION("""COMPUTED_VALUE"""),690700.23)</f>
        <v>690700.23</v>
      </c>
      <c r="H574" s="48"/>
      <c r="I574" s="38"/>
      <c r="J574" s="38"/>
      <c r="K574" s="38"/>
      <c r="M574" s="87"/>
      <c r="N574" s="38"/>
      <c r="Q574" s="38"/>
    </row>
    <row r="575">
      <c r="A575" s="46" t="str">
        <f>IFERROR(__xludf.DUMMYFUNCTION("""COMPUTED_VALUE"""),"Baby Food")</f>
        <v>Baby Food</v>
      </c>
      <c r="B575" s="46" t="str">
        <f>IFERROR(__xludf.DUMMYFUNCTION("""COMPUTED_VALUE"""),"Portugal")</f>
        <v>Portugal</v>
      </c>
      <c r="C575" s="46">
        <f>IFERROR(__xludf.DUMMYFUNCTION("""COMPUTED_VALUE"""),4.79171121E8)</f>
        <v>479171121</v>
      </c>
      <c r="D575" s="84">
        <f>IFERROR(__xludf.DUMMYFUNCTION("""COMPUTED_VALUE"""),1592436.64)</f>
        <v>1592436.64</v>
      </c>
      <c r="H575" s="48"/>
      <c r="I575" s="38"/>
      <c r="J575" s="38"/>
      <c r="K575" s="38"/>
      <c r="M575" s="87"/>
      <c r="N575" s="38"/>
      <c r="Q575" s="38"/>
    </row>
    <row r="576">
      <c r="A576" s="46" t="str">
        <f>IFERROR(__xludf.DUMMYFUNCTION("""COMPUTED_VALUE"""),"Fruits")</f>
        <v>Fruits</v>
      </c>
      <c r="B576" s="46" t="str">
        <f>IFERROR(__xludf.DUMMYFUNCTION("""COMPUTED_VALUE"""),"Luxembourg")</f>
        <v>Luxembourg</v>
      </c>
      <c r="C576" s="46">
        <f>IFERROR(__xludf.DUMMYFUNCTION("""COMPUTED_VALUE"""),4.79234206E8)</f>
        <v>479234206</v>
      </c>
      <c r="D576" s="84">
        <f>IFERROR(__xludf.DUMMYFUNCTION("""COMPUTED_VALUE"""),45772.98)</f>
        <v>45772.98</v>
      </c>
      <c r="H576" s="48"/>
      <c r="I576" s="38"/>
      <c r="J576" s="38"/>
      <c r="K576" s="38"/>
      <c r="M576" s="87"/>
      <c r="N576" s="38"/>
      <c r="Q576" s="38"/>
    </row>
    <row r="577">
      <c r="A577" s="46" t="str">
        <f>IFERROR(__xludf.DUMMYFUNCTION("""COMPUTED_VALUE"""),"Baby Food")</f>
        <v>Baby Food</v>
      </c>
      <c r="B577" s="46" t="str">
        <f>IFERROR(__xludf.DUMMYFUNCTION("""COMPUTED_VALUE"""),"Italy")</f>
        <v>Italy</v>
      </c>
      <c r="C577" s="46">
        <f>IFERROR(__xludf.DUMMYFUNCTION("""COMPUTED_VALUE"""),4.80652987E8)</f>
        <v>480652987</v>
      </c>
      <c r="D577" s="84">
        <f>IFERROR(__xludf.DUMMYFUNCTION("""COMPUTED_VALUE"""),1213856.4)</f>
        <v>1213856.4</v>
      </c>
      <c r="H577" s="48"/>
      <c r="I577" s="38"/>
      <c r="J577" s="38"/>
      <c r="K577" s="38"/>
      <c r="M577" s="87"/>
      <c r="N577" s="38"/>
      <c r="Q577" s="38"/>
    </row>
    <row r="578">
      <c r="A578" s="46" t="str">
        <f>IFERROR(__xludf.DUMMYFUNCTION("""COMPUTED_VALUE"""),"Snacks")</f>
        <v>Snacks</v>
      </c>
      <c r="B578" s="46" t="str">
        <f>IFERROR(__xludf.DUMMYFUNCTION("""COMPUTED_VALUE"""),"Andorra")</f>
        <v>Andorra</v>
      </c>
      <c r="C578" s="46">
        <f>IFERROR(__xludf.DUMMYFUNCTION("""COMPUTED_VALUE"""),4.80904042E8)</f>
        <v>480904042</v>
      </c>
      <c r="D578" s="84">
        <f>IFERROR(__xludf.DUMMYFUNCTION("""COMPUTED_VALUE"""),1380543.84)</f>
        <v>1380543.84</v>
      </c>
      <c r="H578" s="48"/>
      <c r="I578" s="38"/>
      <c r="J578" s="38"/>
      <c r="K578" s="38"/>
      <c r="M578" s="87"/>
      <c r="N578" s="38"/>
      <c r="Q578" s="38"/>
    </row>
    <row r="579">
      <c r="A579" s="46" t="str">
        <f>IFERROR(__xludf.DUMMYFUNCTION("""COMPUTED_VALUE"""),"Cereal")</f>
        <v>Cereal</v>
      </c>
      <c r="B579" s="46" t="str">
        <f>IFERROR(__xludf.DUMMYFUNCTION("""COMPUTED_VALUE"""),"Norway")</f>
        <v>Norway</v>
      </c>
      <c r="C579" s="46">
        <f>IFERROR(__xludf.DUMMYFUNCTION("""COMPUTED_VALUE"""),4.81114327E8)</f>
        <v>481114327</v>
      </c>
      <c r="D579" s="84">
        <f>IFERROR(__xludf.DUMMYFUNCTION("""COMPUTED_VALUE"""),262473.2)</f>
        <v>262473.2</v>
      </c>
      <c r="H579" s="48"/>
      <c r="I579" s="38"/>
      <c r="J579" s="38"/>
      <c r="K579" s="38"/>
      <c r="M579" s="87"/>
      <c r="N579" s="38"/>
      <c r="Q579" s="38"/>
    </row>
    <row r="580">
      <c r="A580" s="46" t="str">
        <f>IFERROR(__xludf.DUMMYFUNCTION("""COMPUTED_VALUE"""),"Baby Food")</f>
        <v>Baby Food</v>
      </c>
      <c r="B580" s="46" t="str">
        <f>IFERROR(__xludf.DUMMYFUNCTION("""COMPUTED_VALUE"""),"Finland")</f>
        <v>Finland</v>
      </c>
      <c r="C580" s="46">
        <f>IFERROR(__xludf.DUMMYFUNCTION("""COMPUTED_VALUE"""),4.81308305E8)</f>
        <v>481308305</v>
      </c>
      <c r="D580" s="84">
        <f>IFERROR(__xludf.DUMMYFUNCTION("""COMPUTED_VALUE"""),2215319.84)</f>
        <v>2215319.84</v>
      </c>
      <c r="H580" s="48"/>
      <c r="I580" s="38"/>
      <c r="J580" s="38"/>
      <c r="K580" s="38"/>
      <c r="M580" s="87"/>
      <c r="N580" s="38"/>
      <c r="Q580" s="38"/>
    </row>
    <row r="581">
      <c r="A581" s="46" t="str">
        <f>IFERROR(__xludf.DUMMYFUNCTION("""COMPUTED_VALUE"""),"Fruits")</f>
        <v>Fruits</v>
      </c>
      <c r="B581" s="46" t="str">
        <f>IFERROR(__xludf.DUMMYFUNCTION("""COMPUTED_VALUE"""),"Romania")</f>
        <v>Romania</v>
      </c>
      <c r="C581" s="46">
        <f>IFERROR(__xludf.DUMMYFUNCTION("""COMPUTED_VALUE"""),4.81976497E8)</f>
        <v>481976497</v>
      </c>
      <c r="D581" s="84">
        <f>IFERROR(__xludf.DUMMYFUNCTION("""COMPUTED_VALUE"""),59814.63)</f>
        <v>59814.63</v>
      </c>
      <c r="H581" s="48"/>
      <c r="I581" s="38"/>
      <c r="J581" s="38"/>
      <c r="K581" s="38"/>
      <c r="M581" s="87"/>
      <c r="N581" s="38"/>
      <c r="Q581" s="38"/>
    </row>
    <row r="582">
      <c r="A582" s="46" t="str">
        <f>IFERROR(__xludf.DUMMYFUNCTION("""COMPUTED_VALUE"""),"Meat")</f>
        <v>Meat</v>
      </c>
      <c r="B582" s="46" t="str">
        <f>IFERROR(__xludf.DUMMYFUNCTION("""COMPUTED_VALUE"""),"Georgia")</f>
        <v>Georgia</v>
      </c>
      <c r="C582" s="46">
        <f>IFERROR(__xludf.DUMMYFUNCTION("""COMPUTED_VALUE"""),4.83438193E8)</f>
        <v>483438193</v>
      </c>
      <c r="D582" s="84">
        <f>IFERROR(__xludf.DUMMYFUNCTION("""COMPUTED_VALUE"""),3779712.51)</f>
        <v>3779712.51</v>
      </c>
      <c r="H582" s="48"/>
      <c r="I582" s="38"/>
      <c r="J582" s="38"/>
      <c r="K582" s="38"/>
      <c r="M582" s="87"/>
      <c r="N582" s="38"/>
      <c r="Q582" s="38"/>
    </row>
    <row r="583">
      <c r="A583" s="46" t="str">
        <f>IFERROR(__xludf.DUMMYFUNCTION("""COMPUTED_VALUE"""),"Cereal")</f>
        <v>Cereal</v>
      </c>
      <c r="B583" s="46" t="str">
        <f>IFERROR(__xludf.DUMMYFUNCTION("""COMPUTED_VALUE"""),"Undefined")</f>
        <v>Undefined</v>
      </c>
      <c r="C583" s="46">
        <f>IFERROR(__xludf.DUMMYFUNCTION("""COMPUTED_VALUE"""),4.83655774E8)</f>
        <v>483655774</v>
      </c>
      <c r="D583" s="84">
        <f>IFERROR(__xludf.DUMMYFUNCTION("""COMPUTED_VALUE"""),688272.2)</f>
        <v>688272.2</v>
      </c>
      <c r="H583" s="48"/>
      <c r="I583" s="38"/>
      <c r="J583" s="38"/>
      <c r="K583" s="38"/>
      <c r="M583" s="87"/>
      <c r="N583" s="38"/>
      <c r="Q583" s="38"/>
    </row>
    <row r="584">
      <c r="A584" s="46" t="str">
        <f>IFERROR(__xludf.DUMMYFUNCTION("""COMPUTED_VALUE"""),"Office Supplies")</f>
        <v>Office Supplies</v>
      </c>
      <c r="B584" s="46" t="str">
        <f>IFERROR(__xludf.DUMMYFUNCTION("""COMPUTED_VALUE"""),"Slovenia")</f>
        <v>Slovenia</v>
      </c>
      <c r="C584" s="46">
        <f>IFERROR(__xludf.DUMMYFUNCTION("""COMPUTED_VALUE"""),4.83981502E8)</f>
        <v>483981502</v>
      </c>
      <c r="D584" s="84">
        <f>IFERROR(__xludf.DUMMYFUNCTION("""COMPUTED_VALUE"""),6340180.5600000005)</f>
        <v>6340180.56</v>
      </c>
      <c r="H584" s="48"/>
      <c r="I584" s="38"/>
      <c r="J584" s="38"/>
      <c r="K584" s="38"/>
      <c r="M584" s="87"/>
      <c r="N584" s="38"/>
      <c r="Q584" s="38"/>
    </row>
    <row r="585">
      <c r="A585" s="46" t="str">
        <f>IFERROR(__xludf.DUMMYFUNCTION("""COMPUTED_VALUE"""),"Snacks")</f>
        <v>Snacks</v>
      </c>
      <c r="B585" s="46" t="str">
        <f>IFERROR(__xludf.DUMMYFUNCTION("""COMPUTED_VALUE"""),"Spain")</f>
        <v>Spain</v>
      </c>
      <c r="C585" s="46">
        <f>IFERROR(__xludf.DUMMYFUNCTION("""COMPUTED_VALUE"""),4.85165965E8)</f>
        <v>485165965</v>
      </c>
      <c r="D585" s="84">
        <f>IFERROR(__xludf.DUMMYFUNCTION("""COMPUTED_VALUE"""),37382.100000000006)</f>
        <v>37382.1</v>
      </c>
      <c r="H585" s="48"/>
      <c r="I585" s="38"/>
      <c r="J585" s="38"/>
      <c r="K585" s="38"/>
      <c r="M585" s="87"/>
      <c r="N585" s="38"/>
      <c r="Q585" s="38"/>
    </row>
    <row r="586">
      <c r="A586" s="46" t="str">
        <f>IFERROR(__xludf.DUMMYFUNCTION("""COMPUTED_VALUE"""),"Personal Care")</f>
        <v>Personal Care</v>
      </c>
      <c r="B586" s="46" t="str">
        <f>IFERROR(__xludf.DUMMYFUNCTION("""COMPUTED_VALUE"""),"Ukraine")</f>
        <v>Ukraine</v>
      </c>
      <c r="C586" s="46">
        <f>IFERROR(__xludf.DUMMYFUNCTION("""COMPUTED_VALUE"""),4.85929429E8)</f>
        <v>485929429</v>
      </c>
      <c r="D586" s="84">
        <f>IFERROR(__xludf.DUMMYFUNCTION("""COMPUTED_VALUE"""),504355.83)</f>
        <v>504355.83</v>
      </c>
      <c r="H586" s="48"/>
      <c r="I586" s="38"/>
      <c r="J586" s="38"/>
      <c r="K586" s="38"/>
      <c r="M586" s="87"/>
      <c r="N586" s="38"/>
      <c r="Q586" s="38"/>
    </row>
    <row r="587">
      <c r="A587" s="46" t="str">
        <f>IFERROR(__xludf.DUMMYFUNCTION("""COMPUTED_VALUE"""),"Cosmetics")</f>
        <v>Cosmetics</v>
      </c>
      <c r="B587" s="46" t="str">
        <f>IFERROR(__xludf.DUMMYFUNCTION("""COMPUTED_VALUE"""),"Russia")</f>
        <v>Russia</v>
      </c>
      <c r="C587" s="46">
        <f>IFERROR(__xludf.DUMMYFUNCTION("""COMPUTED_VALUE"""),4.86345708E8)</f>
        <v>486345708</v>
      </c>
      <c r="D587" s="84">
        <f>IFERROR(__xludf.DUMMYFUNCTION("""COMPUTED_VALUE"""),4090880.4)</f>
        <v>4090880.4</v>
      </c>
      <c r="H587" s="48"/>
      <c r="I587" s="38"/>
      <c r="J587" s="38"/>
      <c r="K587" s="38"/>
      <c r="M587" s="87"/>
      <c r="N587" s="38"/>
      <c r="Q587" s="38"/>
    </row>
    <row r="588">
      <c r="A588" s="46" t="str">
        <f>IFERROR(__xludf.DUMMYFUNCTION("""COMPUTED_VALUE"""),"Vegetables")</f>
        <v>Vegetables</v>
      </c>
      <c r="B588" s="46" t="str">
        <f>IFERROR(__xludf.DUMMYFUNCTION("""COMPUTED_VALUE"""),"Latvia")</f>
        <v>Latvia</v>
      </c>
      <c r="C588" s="46">
        <f>IFERROR(__xludf.DUMMYFUNCTION("""COMPUTED_VALUE"""),4.8646115E8)</f>
        <v>486461150</v>
      </c>
      <c r="D588" s="84">
        <f>IFERROR(__xludf.DUMMYFUNCTION("""COMPUTED_VALUE"""),542137.14)</f>
        <v>542137.14</v>
      </c>
      <c r="H588" s="48"/>
      <c r="I588" s="38"/>
      <c r="J588" s="38"/>
      <c r="K588" s="38"/>
      <c r="M588" s="87"/>
      <c r="N588" s="38"/>
      <c r="Q588" s="38"/>
    </row>
    <row r="589">
      <c r="A589" s="46" t="str">
        <f>IFERROR(__xludf.DUMMYFUNCTION("""COMPUTED_VALUE"""),"Fruits")</f>
        <v>Fruits</v>
      </c>
      <c r="B589" s="46" t="str">
        <f>IFERROR(__xludf.DUMMYFUNCTION("""COMPUTED_VALUE"""),"Greece")</f>
        <v>Greece</v>
      </c>
      <c r="C589" s="46">
        <f>IFERROR(__xludf.DUMMYFUNCTION("""COMPUTED_VALUE"""),4.8831638E8)</f>
        <v>488316380</v>
      </c>
      <c r="D589" s="84">
        <f>IFERROR(__xludf.DUMMYFUNCTION("""COMPUTED_VALUE"""),23539.59)</f>
        <v>23539.59</v>
      </c>
      <c r="H589" s="48"/>
      <c r="I589" s="38"/>
      <c r="J589" s="38"/>
      <c r="K589" s="38"/>
      <c r="M589" s="87"/>
      <c r="N589" s="38"/>
      <c r="Q589" s="38"/>
    </row>
    <row r="590">
      <c r="A590" s="46" t="str">
        <f>IFERROR(__xludf.DUMMYFUNCTION("""COMPUTED_VALUE"""),"Snacks")</f>
        <v>Snacks</v>
      </c>
      <c r="B590" s="46" t="str">
        <f>IFERROR(__xludf.DUMMYFUNCTION("""COMPUTED_VALUE"""),"Croatia")</f>
        <v>Croatia</v>
      </c>
      <c r="C590" s="46">
        <f>IFERROR(__xludf.DUMMYFUNCTION("""COMPUTED_VALUE"""),4.88815915E8)</f>
        <v>488815915</v>
      </c>
      <c r="D590" s="84">
        <f>IFERROR(__xludf.DUMMYFUNCTION("""COMPUTED_VALUE"""),52945.26)</f>
        <v>52945.26</v>
      </c>
      <c r="H590" s="48"/>
      <c r="I590" s="38"/>
      <c r="J590" s="38"/>
      <c r="K590" s="38"/>
      <c r="M590" s="87"/>
      <c r="N590" s="38"/>
      <c r="Q590" s="38"/>
    </row>
    <row r="591">
      <c r="A591" s="46" t="str">
        <f>IFERROR(__xludf.DUMMYFUNCTION("""COMPUTED_VALUE"""),"Vegetables")</f>
        <v>Vegetables</v>
      </c>
      <c r="B591" s="46" t="str">
        <f>IFERROR(__xludf.DUMMYFUNCTION("""COMPUTED_VALUE"""),"Austria")</f>
        <v>Austria</v>
      </c>
      <c r="C591" s="46">
        <f>IFERROR(__xludf.DUMMYFUNCTION("""COMPUTED_VALUE"""),4.89600837E8)</f>
        <v>489600837</v>
      </c>
      <c r="D591" s="84">
        <f>IFERROR(__xludf.DUMMYFUNCTION("""COMPUTED_VALUE"""),403945.32)</f>
        <v>403945.32</v>
      </c>
      <c r="H591" s="48"/>
      <c r="I591" s="38"/>
      <c r="J591" s="38"/>
      <c r="K591" s="38"/>
      <c r="M591" s="87"/>
      <c r="N591" s="38"/>
      <c r="Q591" s="38"/>
    </row>
    <row r="592">
      <c r="A592" s="46" t="str">
        <f>IFERROR(__xludf.DUMMYFUNCTION("""COMPUTED_VALUE"""),"Snacks")</f>
        <v>Snacks</v>
      </c>
      <c r="B592" s="46" t="str">
        <f>IFERROR(__xludf.DUMMYFUNCTION("""COMPUTED_VALUE"""),"Undefined")</f>
        <v>Undefined</v>
      </c>
      <c r="C592" s="46">
        <f>IFERROR(__xludf.DUMMYFUNCTION("""COMPUTED_VALUE"""),4.89848029E8)</f>
        <v>489848029</v>
      </c>
      <c r="D592" s="84">
        <f>IFERROR(__xludf.DUMMYFUNCTION("""COMPUTED_VALUE"""),880691.7600000001)</f>
        <v>880691.76</v>
      </c>
      <c r="H592" s="48"/>
      <c r="I592" s="38"/>
      <c r="J592" s="38"/>
      <c r="K592" s="38"/>
      <c r="M592" s="87"/>
      <c r="N592" s="38"/>
      <c r="Q592" s="38"/>
    </row>
    <row r="593">
      <c r="A593" s="46" t="str">
        <f>IFERROR(__xludf.DUMMYFUNCTION("""COMPUTED_VALUE"""),"Vegetables")</f>
        <v>Vegetables</v>
      </c>
      <c r="B593" s="46" t="str">
        <f>IFERROR(__xludf.DUMMYFUNCTION("""COMPUTED_VALUE"""),"Undefined")</f>
        <v>Undefined</v>
      </c>
      <c r="C593" s="46">
        <f>IFERROR(__xludf.DUMMYFUNCTION("""COMPUTED_VALUE"""),4.91547477E8)</f>
        <v>491547477</v>
      </c>
      <c r="D593" s="84">
        <f>IFERROR(__xludf.DUMMYFUNCTION("""COMPUTED_VALUE"""),1336624.56)</f>
        <v>1336624.56</v>
      </c>
      <c r="H593" s="48"/>
      <c r="I593" s="38"/>
      <c r="J593" s="38"/>
      <c r="K593" s="38"/>
      <c r="M593" s="87"/>
      <c r="N593" s="38"/>
      <c r="Q593" s="38"/>
    </row>
    <row r="594">
      <c r="A594" s="46" t="str">
        <f>IFERROR(__xludf.DUMMYFUNCTION("""COMPUTED_VALUE"""),"Household")</f>
        <v>Household</v>
      </c>
      <c r="B594" s="46" t="str">
        <f>IFERROR(__xludf.DUMMYFUNCTION("""COMPUTED_VALUE"""),"Cyprus")</f>
        <v>Cyprus</v>
      </c>
      <c r="C594" s="46">
        <f>IFERROR(__xludf.DUMMYFUNCTION("""COMPUTED_VALUE"""),4.92353856E8)</f>
        <v>492353856</v>
      </c>
      <c r="D594" s="84">
        <f>IFERROR(__xludf.DUMMYFUNCTION("""COMPUTED_VALUE"""),4879707.54)</f>
        <v>4879707.54</v>
      </c>
      <c r="H594" s="48"/>
      <c r="I594" s="38"/>
      <c r="J594" s="38"/>
      <c r="K594" s="38"/>
      <c r="M594" s="87"/>
      <c r="N594" s="38"/>
      <c r="Q594" s="38"/>
    </row>
    <row r="595">
      <c r="A595" s="46" t="str">
        <f>IFERROR(__xludf.DUMMYFUNCTION("""COMPUTED_VALUE"""),"Cereal")</f>
        <v>Cereal</v>
      </c>
      <c r="B595" s="46" t="str">
        <f>IFERROR(__xludf.DUMMYFUNCTION("""COMPUTED_VALUE"""),"Belgium")</f>
        <v>Belgium</v>
      </c>
      <c r="C595" s="46">
        <f>IFERROR(__xludf.DUMMYFUNCTION("""COMPUTED_VALUE"""),4.95450627E8)</f>
        <v>495450627</v>
      </c>
      <c r="D595" s="84">
        <f>IFERROR(__xludf.DUMMYFUNCTION("""COMPUTED_VALUE"""),762118.5)</f>
        <v>762118.5</v>
      </c>
      <c r="H595" s="48"/>
      <c r="I595" s="38"/>
      <c r="J595" s="38"/>
      <c r="K595" s="38"/>
      <c r="M595" s="87"/>
      <c r="N595" s="38"/>
      <c r="Q595" s="38"/>
    </row>
    <row r="596">
      <c r="A596" s="46" t="str">
        <f>IFERROR(__xludf.DUMMYFUNCTION("""COMPUTED_VALUE"""),"Beverages")</f>
        <v>Beverages</v>
      </c>
      <c r="B596" s="46" t="str">
        <f>IFERROR(__xludf.DUMMYFUNCTION("""COMPUTED_VALUE"""),"Slovakia")</f>
        <v>Slovakia</v>
      </c>
      <c r="C596" s="46">
        <f>IFERROR(__xludf.DUMMYFUNCTION("""COMPUTED_VALUE"""),4.95593106E8)</f>
        <v>495593106</v>
      </c>
      <c r="D596" s="84">
        <f>IFERROR(__xludf.DUMMYFUNCTION("""COMPUTED_VALUE"""),278436.60000000003)</f>
        <v>278436.6</v>
      </c>
      <c r="H596" s="48"/>
      <c r="I596" s="38"/>
      <c r="J596" s="38"/>
      <c r="K596" s="38"/>
      <c r="M596" s="87"/>
      <c r="N596" s="38"/>
      <c r="Q596" s="38"/>
    </row>
    <row r="597">
      <c r="A597" s="46" t="str">
        <f>IFERROR(__xludf.DUMMYFUNCTION("""COMPUTED_VALUE"""),"Vegetables")</f>
        <v>Vegetables</v>
      </c>
      <c r="B597" s="46" t="str">
        <f>IFERROR(__xludf.DUMMYFUNCTION("""COMPUTED_VALUE"""),"Hungary")</f>
        <v>Hungary</v>
      </c>
      <c r="C597" s="46">
        <f>IFERROR(__xludf.DUMMYFUNCTION("""COMPUTED_VALUE"""),4.95631301E8)</f>
        <v>495631301</v>
      </c>
      <c r="D597" s="84">
        <f>IFERROR(__xludf.DUMMYFUNCTION("""COMPUTED_VALUE"""),1104764.26)</f>
        <v>1104764.26</v>
      </c>
      <c r="H597" s="48"/>
      <c r="I597" s="38"/>
      <c r="J597" s="38"/>
      <c r="K597" s="38"/>
      <c r="M597" s="87"/>
      <c r="N597" s="38"/>
      <c r="Q597" s="38"/>
    </row>
    <row r="598">
      <c r="A598" s="46" t="str">
        <f>IFERROR(__xludf.DUMMYFUNCTION("""COMPUTED_VALUE"""),"Fruits")</f>
        <v>Fruits</v>
      </c>
      <c r="B598" s="46" t="str">
        <f>IFERROR(__xludf.DUMMYFUNCTION("""COMPUTED_VALUE"""),"Georgia")</f>
        <v>Georgia</v>
      </c>
      <c r="C598" s="46">
        <f>IFERROR(__xludf.DUMMYFUNCTION("""COMPUTED_VALUE"""),4.96826493E8)</f>
        <v>496826493</v>
      </c>
      <c r="D598" s="84">
        <f>IFERROR(__xludf.DUMMYFUNCTION("""COMPUTED_VALUE"""),7977.15)</f>
        <v>7977.15</v>
      </c>
      <c r="H598" s="48"/>
      <c r="I598" s="38"/>
      <c r="J598" s="38"/>
      <c r="K598" s="38"/>
      <c r="M598" s="87"/>
      <c r="N598" s="38"/>
      <c r="Q598" s="38"/>
    </row>
    <row r="599">
      <c r="A599" s="46" t="str">
        <f>IFERROR(__xludf.DUMMYFUNCTION("""COMPUTED_VALUE"""),"Household")</f>
        <v>Household</v>
      </c>
      <c r="B599" s="46" t="str">
        <f>IFERROR(__xludf.DUMMYFUNCTION("""COMPUTED_VALUE"""),"Belgium")</f>
        <v>Belgium</v>
      </c>
      <c r="C599" s="46">
        <f>IFERROR(__xludf.DUMMYFUNCTION("""COMPUTED_VALUE"""),4.97466361E8)</f>
        <v>497466361</v>
      </c>
      <c r="D599" s="84">
        <f>IFERROR(__xludf.DUMMYFUNCTION("""COMPUTED_VALUE"""),137663.62)</f>
        <v>137663.62</v>
      </c>
      <c r="H599" s="48"/>
      <c r="I599" s="38"/>
      <c r="J599" s="38"/>
      <c r="K599" s="38"/>
      <c r="M599" s="87"/>
      <c r="N599" s="38"/>
      <c r="Q599" s="38"/>
    </row>
    <row r="600">
      <c r="A600" s="46" t="str">
        <f>IFERROR(__xludf.DUMMYFUNCTION("""COMPUTED_VALUE"""),"Baby Food")</f>
        <v>Baby Food</v>
      </c>
      <c r="B600" s="46" t="str">
        <f>IFERROR(__xludf.DUMMYFUNCTION("""COMPUTED_VALUE"""),"Ireland")</f>
        <v>Ireland</v>
      </c>
      <c r="C600" s="46">
        <f>IFERROR(__xludf.DUMMYFUNCTION("""COMPUTED_VALUE"""),4.97506701E8)</f>
        <v>497506701</v>
      </c>
      <c r="D600" s="84">
        <f>IFERROR(__xludf.DUMMYFUNCTION("""COMPUTED_VALUE"""),547320.32)</f>
        <v>547320.32</v>
      </c>
      <c r="H600" s="48"/>
      <c r="I600" s="38"/>
      <c r="J600" s="38"/>
      <c r="K600" s="38"/>
      <c r="M600" s="87"/>
      <c r="N600" s="38"/>
      <c r="Q600" s="38"/>
    </row>
    <row r="601">
      <c r="A601" s="46" t="str">
        <f>IFERROR(__xludf.DUMMYFUNCTION("""COMPUTED_VALUE"""),"Clothes")</f>
        <v>Clothes</v>
      </c>
      <c r="B601" s="46" t="str">
        <f>IFERROR(__xludf.DUMMYFUNCTION("""COMPUTED_VALUE"""),"Cyprus")</f>
        <v>Cyprus</v>
      </c>
      <c r="C601" s="46">
        <f>IFERROR(__xludf.DUMMYFUNCTION("""COMPUTED_VALUE"""),4.97554337E8)</f>
        <v>497554337</v>
      </c>
      <c r="D601" s="84">
        <f>IFERROR(__xludf.DUMMYFUNCTION("""COMPUTED_VALUE"""),681907.2)</f>
        <v>681907.2</v>
      </c>
      <c r="H601" s="48"/>
      <c r="I601" s="38"/>
      <c r="J601" s="38"/>
      <c r="K601" s="38"/>
      <c r="M601" s="87"/>
      <c r="N601" s="38"/>
      <c r="Q601" s="38"/>
    </row>
    <row r="602">
      <c r="A602" s="46" t="str">
        <f>IFERROR(__xludf.DUMMYFUNCTION("""COMPUTED_VALUE"""),"Meat")</f>
        <v>Meat</v>
      </c>
      <c r="B602" s="46" t="str">
        <f>IFERROR(__xludf.DUMMYFUNCTION("""COMPUTED_VALUE"""),"Cyprus")</f>
        <v>Cyprus</v>
      </c>
      <c r="C602" s="46">
        <f>IFERROR(__xludf.DUMMYFUNCTION("""COMPUTED_VALUE"""),4.98089492E8)</f>
        <v>498089492</v>
      </c>
      <c r="D602" s="84">
        <f>IFERROR(__xludf.DUMMYFUNCTION("""COMPUTED_VALUE"""),1942381.5599999998)</f>
        <v>1942381.56</v>
      </c>
      <c r="H602" s="48"/>
      <c r="I602" s="38"/>
      <c r="J602" s="38"/>
      <c r="K602" s="38"/>
      <c r="M602" s="87"/>
      <c r="N602" s="38"/>
      <c r="Q602" s="38"/>
    </row>
    <row r="603">
      <c r="A603" s="46" t="str">
        <f>IFERROR(__xludf.DUMMYFUNCTION("""COMPUTED_VALUE"""),"Cosmetics")</f>
        <v>Cosmetics</v>
      </c>
      <c r="B603" s="46" t="str">
        <f>IFERROR(__xludf.DUMMYFUNCTION("""COMPUTED_VALUE"""),"Slovenia")</f>
        <v>Slovenia</v>
      </c>
      <c r="C603" s="46">
        <f>IFERROR(__xludf.DUMMYFUNCTION("""COMPUTED_VALUE"""),4.98201072E8)</f>
        <v>498201072</v>
      </c>
      <c r="D603" s="84">
        <f>IFERROR(__xludf.DUMMYFUNCTION("""COMPUTED_VALUE"""),3332775.6)</f>
        <v>3332775.6</v>
      </c>
      <c r="H603" s="48"/>
      <c r="I603" s="38"/>
      <c r="J603" s="38"/>
      <c r="K603" s="38"/>
      <c r="M603" s="87"/>
      <c r="N603" s="38"/>
      <c r="Q603" s="38"/>
    </row>
    <row r="604">
      <c r="A604" s="46" t="str">
        <f>IFERROR(__xludf.DUMMYFUNCTION("""COMPUTED_VALUE"""),"Meat")</f>
        <v>Meat</v>
      </c>
      <c r="B604" s="46" t="str">
        <f>IFERROR(__xludf.DUMMYFUNCTION("""COMPUTED_VALUE"""),"Bosnia and Herzegovina")</f>
        <v>Bosnia and Herzegovina</v>
      </c>
      <c r="C604" s="46">
        <f>IFERROR(__xludf.DUMMYFUNCTION("""COMPUTED_VALUE"""),4.9894694E8)</f>
        <v>498946940</v>
      </c>
      <c r="D604" s="84">
        <f>IFERROR(__xludf.DUMMYFUNCTION("""COMPUTED_VALUE"""),3519406.38)</f>
        <v>3519406.38</v>
      </c>
      <c r="H604" s="48"/>
      <c r="I604" s="38"/>
      <c r="J604" s="38"/>
      <c r="K604" s="38"/>
      <c r="M604" s="87"/>
      <c r="N604" s="38"/>
      <c r="Q604" s="38"/>
    </row>
    <row r="605">
      <c r="A605" s="46" t="str">
        <f>IFERROR(__xludf.DUMMYFUNCTION("""COMPUTED_VALUE"""),"Snacks")</f>
        <v>Snacks</v>
      </c>
      <c r="B605" s="46" t="str">
        <f>IFERROR(__xludf.DUMMYFUNCTION("""COMPUTED_VALUE"""),"Undefined")</f>
        <v>Undefined</v>
      </c>
      <c r="C605" s="46">
        <f>IFERROR(__xludf.DUMMYFUNCTION("""COMPUTED_VALUE"""),4.99101436E8)</f>
        <v>499101436</v>
      </c>
      <c r="D605" s="84">
        <f>IFERROR(__xludf.DUMMYFUNCTION("""COMPUTED_VALUE"""),619627.38)</f>
        <v>619627.38</v>
      </c>
      <c r="H605" s="48"/>
      <c r="I605" s="38"/>
      <c r="J605" s="38"/>
      <c r="K605" s="38"/>
      <c r="M605" s="87"/>
      <c r="N605" s="38"/>
      <c r="Q605" s="38"/>
    </row>
    <row r="606">
      <c r="A606" s="46" t="str">
        <f>IFERROR(__xludf.DUMMYFUNCTION("""COMPUTED_VALUE"""),"Cereal")</f>
        <v>Cereal</v>
      </c>
      <c r="B606" s="46" t="str">
        <f>IFERROR(__xludf.DUMMYFUNCTION("""COMPUTED_VALUE"""),"Ukraine")</f>
        <v>Ukraine</v>
      </c>
      <c r="C606" s="46">
        <f>IFERROR(__xludf.DUMMYFUNCTION("""COMPUTED_VALUE"""),5.04024684E8)</f>
        <v>504024684</v>
      </c>
      <c r="D606" s="84">
        <f>IFERROR(__xludf.DUMMYFUNCTION("""COMPUTED_VALUE"""),197266.3)</f>
        <v>197266.3</v>
      </c>
      <c r="H606" s="48"/>
      <c r="I606" s="38"/>
      <c r="J606" s="38"/>
      <c r="K606" s="38"/>
      <c r="M606" s="87"/>
      <c r="N606" s="38"/>
      <c r="Q606" s="38"/>
    </row>
    <row r="607">
      <c r="A607" s="46" t="str">
        <f>IFERROR(__xludf.DUMMYFUNCTION("""COMPUTED_VALUE"""),"Meat")</f>
        <v>Meat</v>
      </c>
      <c r="B607" s="46" t="str">
        <f>IFERROR(__xludf.DUMMYFUNCTION("""COMPUTED_VALUE"""),"Andorra")</f>
        <v>Andorra</v>
      </c>
      <c r="C607" s="46">
        <f>IFERROR(__xludf.DUMMYFUNCTION("""COMPUTED_VALUE"""),5.04973971E8)</f>
        <v>504973971</v>
      </c>
      <c r="D607" s="84">
        <f>IFERROR(__xludf.DUMMYFUNCTION("""COMPUTED_VALUE"""),791043.75)</f>
        <v>791043.75</v>
      </c>
      <c r="H607" s="48"/>
      <c r="I607" s="38"/>
      <c r="J607" s="38"/>
      <c r="K607" s="38"/>
      <c r="M607" s="87"/>
      <c r="N607" s="38"/>
      <c r="Q607" s="38"/>
    </row>
    <row r="608">
      <c r="A608" s="46" t="str">
        <f>IFERROR(__xludf.DUMMYFUNCTION("""COMPUTED_VALUE"""),"Clothes")</f>
        <v>Clothes</v>
      </c>
      <c r="B608" s="46" t="str">
        <f>IFERROR(__xludf.DUMMYFUNCTION("""COMPUTED_VALUE"""),"Bulgaria")</f>
        <v>Bulgaria</v>
      </c>
      <c r="C608" s="46">
        <f>IFERROR(__xludf.DUMMYFUNCTION("""COMPUTED_VALUE"""),5.0586704E8)</f>
        <v>505867040</v>
      </c>
      <c r="D608" s="84">
        <f>IFERROR(__xludf.DUMMYFUNCTION("""COMPUTED_VALUE"""),672399.84)</f>
        <v>672399.84</v>
      </c>
      <c r="H608" s="48"/>
      <c r="I608" s="38"/>
      <c r="J608" s="38"/>
      <c r="K608" s="38"/>
      <c r="M608" s="87"/>
      <c r="N608" s="38"/>
      <c r="Q608" s="38"/>
    </row>
    <row r="609">
      <c r="A609" s="46" t="str">
        <f>IFERROR(__xludf.DUMMYFUNCTION("""COMPUTED_VALUE"""),"Snacks")</f>
        <v>Snacks</v>
      </c>
      <c r="B609" s="46" t="str">
        <f>IFERROR(__xludf.DUMMYFUNCTION("""COMPUTED_VALUE"""),"Estonia")</f>
        <v>Estonia</v>
      </c>
      <c r="C609" s="46">
        <f>IFERROR(__xludf.DUMMYFUNCTION("""COMPUTED_VALUE"""),5.07040774E8)</f>
        <v>507040774</v>
      </c>
      <c r="D609" s="84">
        <f>IFERROR(__xludf.DUMMYFUNCTION("""COMPUTED_VALUE"""),532199.04)</f>
        <v>532199.04</v>
      </c>
      <c r="H609" s="48"/>
      <c r="I609" s="38"/>
      <c r="J609" s="38"/>
      <c r="K609" s="38"/>
      <c r="M609" s="87"/>
      <c r="N609" s="38"/>
      <c r="Q609" s="38"/>
    </row>
    <row r="610">
      <c r="A610" s="46" t="str">
        <f>IFERROR(__xludf.DUMMYFUNCTION("""COMPUTED_VALUE"""),"Snacks")</f>
        <v>Snacks</v>
      </c>
      <c r="B610" s="46" t="str">
        <f>IFERROR(__xludf.DUMMYFUNCTION("""COMPUTED_VALUE"""),"Sweden")</f>
        <v>Sweden</v>
      </c>
      <c r="C610" s="46">
        <f>IFERROR(__xludf.DUMMYFUNCTION("""COMPUTED_VALUE"""),5.07531726E8)</f>
        <v>507531726</v>
      </c>
      <c r="D610" s="84">
        <f>IFERROR(__xludf.DUMMYFUNCTION("""COMPUTED_VALUE"""),1338279.1800000002)</f>
        <v>1338279.18</v>
      </c>
      <c r="H610" s="48"/>
      <c r="I610" s="38"/>
      <c r="J610" s="38"/>
      <c r="K610" s="38"/>
      <c r="M610" s="87"/>
      <c r="N610" s="38"/>
      <c r="Q610" s="38"/>
    </row>
    <row r="611">
      <c r="A611" s="46" t="str">
        <f>IFERROR(__xludf.DUMMYFUNCTION("""COMPUTED_VALUE"""),"Clothes")</f>
        <v>Clothes</v>
      </c>
      <c r="B611" s="46" t="str">
        <f>IFERROR(__xludf.DUMMYFUNCTION("""COMPUTED_VALUE"""),"Undefined")</f>
        <v>Undefined</v>
      </c>
      <c r="C611" s="46">
        <f>IFERROR(__xludf.DUMMYFUNCTION("""COMPUTED_VALUE"""),5.08014523E8)</f>
        <v>508014523</v>
      </c>
      <c r="D611" s="84">
        <f>IFERROR(__xludf.DUMMYFUNCTION("""COMPUTED_VALUE"""),179437.76)</f>
        <v>179437.76</v>
      </c>
      <c r="H611" s="48"/>
      <c r="I611" s="38"/>
      <c r="J611" s="38"/>
      <c r="K611" s="38"/>
      <c r="M611" s="87"/>
      <c r="N611" s="38"/>
      <c r="Q611" s="38"/>
    </row>
    <row r="612">
      <c r="A612" s="46" t="str">
        <f>IFERROR(__xludf.DUMMYFUNCTION("""COMPUTED_VALUE"""),"Clothes")</f>
        <v>Clothes</v>
      </c>
      <c r="B612" s="46" t="str">
        <f>IFERROR(__xludf.DUMMYFUNCTION("""COMPUTED_VALUE"""),"Norway")</f>
        <v>Norway</v>
      </c>
      <c r="C612" s="46">
        <f>IFERROR(__xludf.DUMMYFUNCTION("""COMPUTED_VALUE"""),5.09356057E8)</f>
        <v>509356057</v>
      </c>
      <c r="D612" s="84">
        <f>IFERROR(__xludf.DUMMYFUNCTION("""COMPUTED_VALUE"""),943195.68)</f>
        <v>943195.68</v>
      </c>
      <c r="H612" s="48"/>
      <c r="I612" s="38"/>
      <c r="J612" s="38"/>
      <c r="K612" s="38"/>
      <c r="M612" s="87"/>
      <c r="N612" s="38"/>
      <c r="Q612" s="38"/>
    </row>
    <row r="613">
      <c r="A613" s="46" t="str">
        <f>IFERROR(__xludf.DUMMYFUNCTION("""COMPUTED_VALUE"""),"Personal Care")</f>
        <v>Personal Care</v>
      </c>
      <c r="B613" s="46" t="str">
        <f>IFERROR(__xludf.DUMMYFUNCTION("""COMPUTED_VALUE"""),"United Kingdom")</f>
        <v>United Kingdom</v>
      </c>
      <c r="C613" s="46">
        <f>IFERROR(__xludf.DUMMYFUNCTION("""COMPUTED_VALUE"""),5.09380948E8)</f>
        <v>509380948</v>
      </c>
      <c r="D613" s="84">
        <f>IFERROR(__xludf.DUMMYFUNCTION("""COMPUTED_VALUE"""),490134.81)</f>
        <v>490134.81</v>
      </c>
      <c r="H613" s="48"/>
      <c r="I613" s="38"/>
      <c r="J613" s="38"/>
      <c r="K613" s="38"/>
      <c r="M613" s="87"/>
      <c r="N613" s="38"/>
      <c r="Q613" s="38"/>
    </row>
    <row r="614">
      <c r="A614" s="46" t="str">
        <f>IFERROR(__xludf.DUMMYFUNCTION("""COMPUTED_VALUE"""),"Beverages")</f>
        <v>Beverages</v>
      </c>
      <c r="B614" s="46" t="str">
        <f>IFERROR(__xludf.DUMMYFUNCTION("""COMPUTED_VALUE"""),"Undefined")</f>
        <v>Undefined</v>
      </c>
      <c r="C614" s="46">
        <f>IFERROR(__xludf.DUMMYFUNCTION("""COMPUTED_VALUE"""),5.10762822E8)</f>
        <v>510762822</v>
      </c>
      <c r="D614" s="84">
        <f>IFERROR(__xludf.DUMMYFUNCTION("""COMPUTED_VALUE"""),233643.80000000002)</f>
        <v>233643.8</v>
      </c>
      <c r="H614" s="48"/>
      <c r="I614" s="38"/>
      <c r="J614" s="38"/>
      <c r="K614" s="38"/>
      <c r="M614" s="87"/>
      <c r="N614" s="38"/>
      <c r="Q614" s="38"/>
    </row>
    <row r="615">
      <c r="A615" s="46" t="str">
        <f>IFERROR(__xludf.DUMMYFUNCTION("""COMPUTED_VALUE"""),"Snacks")</f>
        <v>Snacks</v>
      </c>
      <c r="B615" s="46" t="str">
        <f>IFERROR(__xludf.DUMMYFUNCTION("""COMPUTED_VALUE"""),"Luxembourg")</f>
        <v>Luxembourg</v>
      </c>
      <c r="C615" s="46">
        <f>IFERROR(__xludf.DUMMYFUNCTION("""COMPUTED_VALUE"""),5.10956799E8)</f>
        <v>510956799</v>
      </c>
      <c r="D615" s="84">
        <f>IFERROR(__xludf.DUMMYFUNCTION("""COMPUTED_VALUE"""),354901.08)</f>
        <v>354901.08</v>
      </c>
      <c r="H615" s="48"/>
      <c r="I615" s="38"/>
      <c r="J615" s="38"/>
      <c r="K615" s="38"/>
      <c r="M615" s="87"/>
      <c r="N615" s="38"/>
      <c r="Q615" s="38"/>
    </row>
    <row r="616">
      <c r="A616" s="46" t="str">
        <f>IFERROR(__xludf.DUMMYFUNCTION("""COMPUTED_VALUE"""),"Beverages")</f>
        <v>Beverages</v>
      </c>
      <c r="B616" s="46" t="str">
        <f>IFERROR(__xludf.DUMMYFUNCTION("""COMPUTED_VALUE"""),"Denmark")</f>
        <v>Denmark</v>
      </c>
      <c r="C616" s="46">
        <f>IFERROR(__xludf.DUMMYFUNCTION("""COMPUTED_VALUE"""),5.11155498E8)</f>
        <v>511155498</v>
      </c>
      <c r="D616" s="84">
        <f>IFERROR(__xludf.DUMMYFUNCTION("""COMPUTED_VALUE"""),53428.700000000004)</f>
        <v>53428.7</v>
      </c>
      <c r="H616" s="48"/>
      <c r="I616" s="38"/>
      <c r="J616" s="38"/>
      <c r="K616" s="38"/>
      <c r="M616" s="87"/>
      <c r="N616" s="38"/>
      <c r="Q616" s="38"/>
    </row>
    <row r="617">
      <c r="A617" s="46" t="str">
        <f>IFERROR(__xludf.DUMMYFUNCTION("""COMPUTED_VALUE"""),"Office Supplies")</f>
        <v>Office Supplies</v>
      </c>
      <c r="B617" s="46" t="str">
        <f>IFERROR(__xludf.DUMMYFUNCTION("""COMPUTED_VALUE"""),"Austria")</f>
        <v>Austria</v>
      </c>
      <c r="C617" s="46">
        <f>IFERROR(__xludf.DUMMYFUNCTION("""COMPUTED_VALUE"""),5.1171211E8)</f>
        <v>511712110</v>
      </c>
      <c r="D617" s="84">
        <f>IFERROR(__xludf.DUMMYFUNCTION("""COMPUTED_VALUE"""),3802415.1900000004)</f>
        <v>3802415.19</v>
      </c>
      <c r="H617" s="48"/>
      <c r="I617" s="38"/>
      <c r="J617" s="38"/>
      <c r="K617" s="38"/>
      <c r="M617" s="87"/>
      <c r="N617" s="38"/>
      <c r="Q617" s="38"/>
    </row>
    <row r="618">
      <c r="A618" s="46" t="str">
        <f>IFERROR(__xludf.DUMMYFUNCTION("""COMPUTED_VALUE"""),"Household")</f>
        <v>Household</v>
      </c>
      <c r="B618" s="46" t="str">
        <f>IFERROR(__xludf.DUMMYFUNCTION("""COMPUTED_VALUE"""),"Czech Republic")</f>
        <v>Czech Republic</v>
      </c>
      <c r="C618" s="46">
        <f>IFERROR(__xludf.DUMMYFUNCTION("""COMPUTED_VALUE"""),5.12662255E8)</f>
        <v>512662255</v>
      </c>
      <c r="D618" s="84">
        <f>IFERROR(__xludf.DUMMYFUNCTION("""COMPUTED_VALUE"""),4683904.43)</f>
        <v>4683904.43</v>
      </c>
      <c r="H618" s="48"/>
      <c r="I618" s="38"/>
      <c r="J618" s="38"/>
      <c r="K618" s="38"/>
      <c r="M618" s="87"/>
      <c r="N618" s="38"/>
      <c r="Q618" s="38"/>
    </row>
    <row r="619">
      <c r="A619" s="46" t="str">
        <f>IFERROR(__xludf.DUMMYFUNCTION("""COMPUTED_VALUE"""),"Meat")</f>
        <v>Meat</v>
      </c>
      <c r="B619" s="46" t="str">
        <f>IFERROR(__xludf.DUMMYFUNCTION("""COMPUTED_VALUE"""),"Belgium")</f>
        <v>Belgium</v>
      </c>
      <c r="C619" s="46">
        <f>IFERROR(__xludf.DUMMYFUNCTION("""COMPUTED_VALUE"""),5.12714612E8)</f>
        <v>512714612</v>
      </c>
      <c r="D619" s="84">
        <f>IFERROR(__xludf.DUMMYFUNCTION("""COMPUTED_VALUE"""),1055568.78)</f>
        <v>1055568.78</v>
      </c>
      <c r="H619" s="48"/>
      <c r="I619" s="38"/>
      <c r="J619" s="38"/>
      <c r="K619" s="38"/>
      <c r="M619" s="87"/>
      <c r="N619" s="38"/>
      <c r="Q619" s="38"/>
    </row>
    <row r="620">
      <c r="A620" s="46" t="str">
        <f>IFERROR(__xludf.DUMMYFUNCTION("""COMPUTED_VALUE"""),"Office Supplies")</f>
        <v>Office Supplies</v>
      </c>
      <c r="B620" s="46" t="str">
        <f>IFERROR(__xludf.DUMMYFUNCTION("""COMPUTED_VALUE"""),"Bulgaria")</f>
        <v>Bulgaria</v>
      </c>
      <c r="C620" s="46">
        <f>IFERROR(__xludf.DUMMYFUNCTION("""COMPUTED_VALUE"""),5.13026177E8)</f>
        <v>513026177</v>
      </c>
      <c r="D620" s="84">
        <f>IFERROR(__xludf.DUMMYFUNCTION("""COMPUTED_VALUE"""),3061338.21)</f>
        <v>3061338.21</v>
      </c>
      <c r="H620" s="48"/>
      <c r="I620" s="38"/>
      <c r="J620" s="38"/>
      <c r="K620" s="38"/>
      <c r="M620" s="87"/>
      <c r="N620" s="38"/>
      <c r="Q620" s="38"/>
    </row>
    <row r="621">
      <c r="A621" s="46" t="str">
        <f>IFERROR(__xludf.DUMMYFUNCTION("""COMPUTED_VALUE"""),"Clothes")</f>
        <v>Clothes</v>
      </c>
      <c r="B621" s="46" t="str">
        <f>IFERROR(__xludf.DUMMYFUNCTION("""COMPUTED_VALUE"""),"Netherlands")</f>
        <v>Netherlands</v>
      </c>
      <c r="C621" s="46">
        <f>IFERROR(__xludf.DUMMYFUNCTION("""COMPUTED_VALUE"""),5.13611114E8)</f>
        <v>513611114</v>
      </c>
      <c r="D621" s="84">
        <f>IFERROR(__xludf.DUMMYFUNCTION("""COMPUTED_VALUE"""),852056.16)</f>
        <v>852056.16</v>
      </c>
      <c r="H621" s="48"/>
      <c r="I621" s="38"/>
      <c r="J621" s="38"/>
      <c r="K621" s="38"/>
      <c r="M621" s="87"/>
      <c r="N621" s="38"/>
      <c r="Q621" s="38"/>
    </row>
    <row r="622">
      <c r="A622" s="46" t="str">
        <f>IFERROR(__xludf.DUMMYFUNCTION("""COMPUTED_VALUE"""),"Office Supplies")</f>
        <v>Office Supplies</v>
      </c>
      <c r="B622" s="46" t="str">
        <f>IFERROR(__xludf.DUMMYFUNCTION("""COMPUTED_VALUE"""),"Spain")</f>
        <v>Spain</v>
      </c>
      <c r="C622" s="46">
        <f>IFERROR(__xludf.DUMMYFUNCTION("""COMPUTED_VALUE"""),5.13802516E8)</f>
        <v>513802516</v>
      </c>
      <c r="D622" s="84">
        <f>IFERROR(__xludf.DUMMYFUNCTION("""COMPUTED_VALUE"""),2889418.77)</f>
        <v>2889418.77</v>
      </c>
      <c r="H622" s="48"/>
      <c r="I622" s="38"/>
      <c r="J622" s="38"/>
      <c r="K622" s="38"/>
      <c r="M622" s="87"/>
      <c r="N622" s="38"/>
      <c r="Q622" s="38"/>
    </row>
    <row r="623">
      <c r="A623" s="46" t="str">
        <f>IFERROR(__xludf.DUMMYFUNCTION("""COMPUTED_VALUE"""),"Vegetables")</f>
        <v>Vegetables</v>
      </c>
      <c r="B623" s="46" t="str">
        <f>IFERROR(__xludf.DUMMYFUNCTION("""COMPUTED_VALUE"""),"San Marino")</f>
        <v>San Marino</v>
      </c>
      <c r="C623" s="46">
        <f>IFERROR(__xludf.DUMMYFUNCTION("""COMPUTED_VALUE"""),5.15771901E8)</f>
        <v>515771901</v>
      </c>
      <c r="D623" s="84">
        <f>IFERROR(__xludf.DUMMYFUNCTION("""COMPUTED_VALUE"""),1112621.32)</f>
        <v>1112621.32</v>
      </c>
      <c r="H623" s="48"/>
      <c r="I623" s="38"/>
      <c r="J623" s="38"/>
      <c r="K623" s="38"/>
      <c r="M623" s="87"/>
      <c r="N623" s="38"/>
      <c r="Q623" s="38"/>
    </row>
    <row r="624">
      <c r="A624" s="46" t="str">
        <f>IFERROR(__xludf.DUMMYFUNCTION("""COMPUTED_VALUE"""),"Meat")</f>
        <v>Meat</v>
      </c>
      <c r="B624" s="46" t="str">
        <f>IFERROR(__xludf.DUMMYFUNCTION("""COMPUTED_VALUE"""),"Undefined")</f>
        <v>Undefined</v>
      </c>
      <c r="C624" s="46">
        <f>IFERROR(__xludf.DUMMYFUNCTION("""COMPUTED_VALUE"""),5.15773189E8)</f>
        <v>515773189</v>
      </c>
      <c r="D624" s="84">
        <f>IFERROR(__xludf.DUMMYFUNCTION("""COMPUTED_VALUE"""),3207629.67)</f>
        <v>3207629.67</v>
      </c>
      <c r="H624" s="48"/>
      <c r="I624" s="38"/>
      <c r="J624" s="38"/>
      <c r="K624" s="38"/>
      <c r="M624" s="87"/>
      <c r="N624" s="38"/>
      <c r="Q624" s="38"/>
    </row>
    <row r="625">
      <c r="A625" s="46" t="str">
        <f>IFERROR(__xludf.DUMMYFUNCTION("""COMPUTED_VALUE"""),"Snacks")</f>
        <v>Snacks</v>
      </c>
      <c r="B625" s="46" t="str">
        <f>IFERROR(__xludf.DUMMYFUNCTION("""COMPUTED_VALUE"""),"Austria")</f>
        <v>Austria</v>
      </c>
      <c r="C625" s="46">
        <f>IFERROR(__xludf.DUMMYFUNCTION("""COMPUTED_VALUE"""),5.16122949E8)</f>
        <v>516122949</v>
      </c>
      <c r="D625" s="84">
        <f>IFERROR(__xludf.DUMMYFUNCTION("""COMPUTED_VALUE"""),168600.90000000002)</f>
        <v>168600.9</v>
      </c>
      <c r="H625" s="48"/>
      <c r="I625" s="38"/>
      <c r="J625" s="38"/>
      <c r="K625" s="38"/>
      <c r="M625" s="87"/>
      <c r="N625" s="38"/>
      <c r="Q625" s="38"/>
    </row>
    <row r="626">
      <c r="A626" s="46" t="str">
        <f>IFERROR(__xludf.DUMMYFUNCTION("""COMPUTED_VALUE"""),"Household")</f>
        <v>Household</v>
      </c>
      <c r="B626" s="46" t="str">
        <f>IFERROR(__xludf.DUMMYFUNCTION("""COMPUTED_VALUE"""),"Armenia")</f>
        <v>Armenia</v>
      </c>
      <c r="C626" s="46">
        <f>IFERROR(__xludf.DUMMYFUNCTION("""COMPUTED_VALUE"""),5.16460692E8)</f>
        <v>516460692</v>
      </c>
      <c r="D626" s="84">
        <f>IFERROR(__xludf.DUMMYFUNCTION("""COMPUTED_VALUE"""),702351.77)</f>
        <v>702351.77</v>
      </c>
      <c r="H626" s="48"/>
      <c r="I626" s="38"/>
      <c r="J626" s="38"/>
      <c r="K626" s="38"/>
      <c r="M626" s="87"/>
      <c r="N626" s="38"/>
      <c r="Q626" s="38"/>
    </row>
    <row r="627">
      <c r="A627" s="46" t="str">
        <f>IFERROR(__xludf.DUMMYFUNCTION("""COMPUTED_VALUE"""),"Meat")</f>
        <v>Meat</v>
      </c>
      <c r="B627" s="46" t="str">
        <f>IFERROR(__xludf.DUMMYFUNCTION("""COMPUTED_VALUE"""),"Georgia")</f>
        <v>Georgia</v>
      </c>
      <c r="C627" s="46">
        <f>IFERROR(__xludf.DUMMYFUNCTION("""COMPUTED_VALUE"""),5.16485583E8)</f>
        <v>516485583</v>
      </c>
      <c r="D627" s="84">
        <f>IFERROR(__xludf.DUMMYFUNCTION("""COMPUTED_VALUE"""),3550626.2399999998)</f>
        <v>3550626.24</v>
      </c>
      <c r="H627" s="48"/>
      <c r="I627" s="38"/>
      <c r="J627" s="38"/>
      <c r="K627" s="38"/>
      <c r="M627" s="87"/>
      <c r="N627" s="38"/>
      <c r="Q627" s="38"/>
    </row>
    <row r="628">
      <c r="A628" s="46" t="str">
        <f>IFERROR(__xludf.DUMMYFUNCTION("""COMPUTED_VALUE"""),"Office Supplies")</f>
        <v>Office Supplies</v>
      </c>
      <c r="B628" s="46" t="str">
        <f>IFERROR(__xludf.DUMMYFUNCTION("""COMPUTED_VALUE"""),"Greece")</f>
        <v>Greece</v>
      </c>
      <c r="C628" s="46">
        <f>IFERROR(__xludf.DUMMYFUNCTION("""COMPUTED_VALUE"""),5.16599738E8)</f>
        <v>516599738</v>
      </c>
      <c r="D628" s="84">
        <f>IFERROR(__xludf.DUMMYFUNCTION("""COMPUTED_VALUE"""),1430708.37)</f>
        <v>1430708.37</v>
      </c>
      <c r="H628" s="48"/>
      <c r="I628" s="38"/>
      <c r="J628" s="38"/>
      <c r="K628" s="38"/>
      <c r="M628" s="87"/>
      <c r="N628" s="38"/>
      <c r="Q628" s="38"/>
    </row>
    <row r="629">
      <c r="A629" s="46" t="str">
        <f>IFERROR(__xludf.DUMMYFUNCTION("""COMPUTED_VALUE"""),"Household")</f>
        <v>Household</v>
      </c>
      <c r="B629" s="46" t="str">
        <f>IFERROR(__xludf.DUMMYFUNCTION("""COMPUTED_VALUE"""),"Lithuania")</f>
        <v>Lithuania</v>
      </c>
      <c r="C629" s="46">
        <f>IFERROR(__xludf.DUMMYFUNCTION("""COMPUTED_VALUE"""),5.16635358E8)</f>
        <v>516635358</v>
      </c>
      <c r="D629" s="84">
        <f>IFERROR(__xludf.DUMMYFUNCTION("""COMPUTED_VALUE"""),1829723.26)</f>
        <v>1829723.26</v>
      </c>
      <c r="H629" s="48"/>
      <c r="I629" s="38"/>
      <c r="J629" s="38"/>
      <c r="K629" s="38"/>
      <c r="M629" s="87"/>
      <c r="N629" s="38"/>
      <c r="Q629" s="38"/>
    </row>
    <row r="630">
      <c r="A630" s="46" t="str">
        <f>IFERROR(__xludf.DUMMYFUNCTION("""COMPUTED_VALUE"""),"Fruits")</f>
        <v>Fruits</v>
      </c>
      <c r="B630" s="46" t="str">
        <f>IFERROR(__xludf.DUMMYFUNCTION("""COMPUTED_VALUE"""),"Greece")</f>
        <v>Greece</v>
      </c>
      <c r="C630" s="46">
        <f>IFERROR(__xludf.DUMMYFUNCTION("""COMPUTED_VALUE"""),5.16994559E8)</f>
        <v>516994559</v>
      </c>
      <c r="D630" s="84">
        <f>IFERROR(__xludf.DUMMYFUNCTION("""COMPUTED_VALUE"""),84287.22)</f>
        <v>84287.22</v>
      </c>
      <c r="H630" s="48"/>
      <c r="I630" s="38"/>
      <c r="J630" s="38"/>
      <c r="K630" s="38"/>
      <c r="M630" s="87"/>
      <c r="N630" s="38"/>
      <c r="Q630" s="38"/>
    </row>
    <row r="631">
      <c r="A631" s="46" t="str">
        <f>IFERROR(__xludf.DUMMYFUNCTION("""COMPUTED_VALUE"""),"Snacks")</f>
        <v>Snacks</v>
      </c>
      <c r="B631" s="46" t="str">
        <f>IFERROR(__xludf.DUMMYFUNCTION("""COMPUTED_VALUE"""),"Latvia")</f>
        <v>Latvia</v>
      </c>
      <c r="C631" s="46">
        <f>IFERROR(__xludf.DUMMYFUNCTION("""COMPUTED_VALUE"""),5.17097985E8)</f>
        <v>517097985</v>
      </c>
      <c r="D631" s="84">
        <f>IFERROR(__xludf.DUMMYFUNCTION("""COMPUTED_VALUE"""),1470871.2000000002)</f>
        <v>1470871.2</v>
      </c>
      <c r="H631" s="48"/>
      <c r="I631" s="38"/>
      <c r="J631" s="38"/>
      <c r="K631" s="38"/>
      <c r="M631" s="87"/>
      <c r="N631" s="38"/>
      <c r="Q631" s="38"/>
    </row>
    <row r="632">
      <c r="A632" s="46" t="str">
        <f>IFERROR(__xludf.DUMMYFUNCTION("""COMPUTED_VALUE"""),"Meat")</f>
        <v>Meat</v>
      </c>
      <c r="B632" s="46" t="str">
        <f>IFERROR(__xludf.DUMMYFUNCTION("""COMPUTED_VALUE"""),"Georgia")</f>
        <v>Georgia</v>
      </c>
      <c r="C632" s="46">
        <f>IFERROR(__xludf.DUMMYFUNCTION("""COMPUTED_VALUE"""),5.17514264E8)</f>
        <v>517514264</v>
      </c>
      <c r="D632" s="84">
        <f>IFERROR(__xludf.DUMMYFUNCTION("""COMPUTED_VALUE"""),1192261.14)</f>
        <v>1192261.14</v>
      </c>
      <c r="H632" s="48"/>
      <c r="I632" s="38"/>
      <c r="J632" s="38"/>
      <c r="K632" s="38"/>
      <c r="M632" s="87"/>
      <c r="N632" s="38"/>
      <c r="Q632" s="38"/>
    </row>
    <row r="633">
      <c r="A633" s="46" t="str">
        <f>IFERROR(__xludf.DUMMYFUNCTION("""COMPUTED_VALUE"""),"Cereal")</f>
        <v>Cereal</v>
      </c>
      <c r="B633" s="46" t="str">
        <f>IFERROR(__xludf.DUMMYFUNCTION("""COMPUTED_VALUE"""),"San Marino")</f>
        <v>San Marino</v>
      </c>
      <c r="C633" s="46">
        <f>IFERROR(__xludf.DUMMYFUNCTION("""COMPUTED_VALUE"""),5.18421494E8)</f>
        <v>518421494</v>
      </c>
      <c r="D633" s="84">
        <f>IFERROR(__xludf.DUMMYFUNCTION("""COMPUTED_VALUE"""),266587.2)</f>
        <v>266587.2</v>
      </c>
      <c r="H633" s="48"/>
      <c r="I633" s="38"/>
      <c r="J633" s="38"/>
      <c r="K633" s="38"/>
      <c r="M633" s="87"/>
      <c r="N633" s="38"/>
      <c r="Q633" s="38"/>
    </row>
    <row r="634">
      <c r="A634" s="46" t="str">
        <f>IFERROR(__xludf.DUMMYFUNCTION("""COMPUTED_VALUE"""),"Snacks")</f>
        <v>Snacks</v>
      </c>
      <c r="B634" s="46" t="str">
        <f>IFERROR(__xludf.DUMMYFUNCTION("""COMPUTED_VALUE"""),"Belgium")</f>
        <v>Belgium</v>
      </c>
      <c r="C634" s="46">
        <f>IFERROR(__xludf.DUMMYFUNCTION("""COMPUTED_VALUE"""),5.19380223E8)</f>
        <v>519380223</v>
      </c>
      <c r="D634" s="84">
        <f>IFERROR(__xludf.DUMMYFUNCTION("""COMPUTED_VALUE"""),763662.9)</f>
        <v>763662.9</v>
      </c>
      <c r="H634" s="48"/>
      <c r="I634" s="38"/>
      <c r="J634" s="38"/>
      <c r="K634" s="38"/>
      <c r="M634" s="87"/>
      <c r="N634" s="38"/>
      <c r="Q634" s="38"/>
    </row>
    <row r="635">
      <c r="A635" s="46" t="str">
        <f>IFERROR(__xludf.DUMMYFUNCTION("""COMPUTED_VALUE"""),"Cereal")</f>
        <v>Cereal</v>
      </c>
      <c r="B635" s="46" t="str">
        <f>IFERROR(__xludf.DUMMYFUNCTION("""COMPUTED_VALUE"""),"Poland")</f>
        <v>Poland</v>
      </c>
      <c r="C635" s="46">
        <f>IFERROR(__xludf.DUMMYFUNCTION("""COMPUTED_VALUE"""),5.2039088E8)</f>
        <v>520390880</v>
      </c>
      <c r="D635" s="84">
        <f>IFERROR(__xludf.DUMMYFUNCTION("""COMPUTED_VALUE"""),839256.0)</f>
        <v>839256</v>
      </c>
      <c r="H635" s="48"/>
      <c r="I635" s="38"/>
      <c r="J635" s="38"/>
      <c r="K635" s="38"/>
      <c r="M635" s="87"/>
      <c r="N635" s="38"/>
      <c r="Q635" s="38"/>
    </row>
    <row r="636">
      <c r="A636" s="46" t="str">
        <f>IFERROR(__xludf.DUMMYFUNCTION("""COMPUTED_VALUE"""),"Clothes")</f>
        <v>Clothes</v>
      </c>
      <c r="B636" s="46" t="str">
        <f>IFERROR(__xludf.DUMMYFUNCTION("""COMPUTED_VALUE"""),"Bulgaria")</f>
        <v>Bulgaria</v>
      </c>
      <c r="C636" s="46">
        <f>IFERROR(__xludf.DUMMYFUNCTION("""COMPUTED_VALUE"""),5.20777547E8)</f>
        <v>520777547</v>
      </c>
      <c r="D636" s="84">
        <f>IFERROR(__xludf.DUMMYFUNCTION("""COMPUTED_VALUE"""),929317.12)</f>
        <v>929317.12</v>
      </c>
      <c r="H636" s="48"/>
      <c r="I636" s="38"/>
      <c r="J636" s="38"/>
      <c r="K636" s="38"/>
      <c r="M636" s="87"/>
      <c r="N636" s="38"/>
      <c r="Q636" s="38"/>
    </row>
    <row r="637">
      <c r="A637" s="46" t="str">
        <f>IFERROR(__xludf.DUMMYFUNCTION("""COMPUTED_VALUE"""),"Office Supplies")</f>
        <v>Office Supplies</v>
      </c>
      <c r="B637" s="46" t="str">
        <f>IFERROR(__xludf.DUMMYFUNCTION("""COMPUTED_VALUE"""),"Russia")</f>
        <v>Russia</v>
      </c>
      <c r="C637" s="46">
        <f>IFERROR(__xludf.DUMMYFUNCTION("""COMPUTED_VALUE"""),5.20915305E8)</f>
        <v>520915305</v>
      </c>
      <c r="D637" s="84">
        <f>IFERROR(__xludf.DUMMYFUNCTION("""COMPUTED_VALUE"""),6036716.7)</f>
        <v>6036716.7</v>
      </c>
      <c r="H637" s="48"/>
      <c r="I637" s="38"/>
      <c r="J637" s="38"/>
      <c r="K637" s="38"/>
      <c r="M637" s="87"/>
      <c r="N637" s="38"/>
      <c r="Q637" s="38"/>
    </row>
    <row r="638">
      <c r="A638" s="46" t="str">
        <f>IFERROR(__xludf.DUMMYFUNCTION("""COMPUTED_VALUE"""),"Office Supplies")</f>
        <v>Office Supplies</v>
      </c>
      <c r="B638" s="46" t="str">
        <f>IFERROR(__xludf.DUMMYFUNCTION("""COMPUTED_VALUE"""),"Czech Republic")</f>
        <v>Czech Republic</v>
      </c>
      <c r="C638" s="46">
        <f>IFERROR(__xludf.DUMMYFUNCTION("""COMPUTED_VALUE"""),5.21681344E8)</f>
        <v>521681344</v>
      </c>
      <c r="D638" s="84">
        <f>IFERROR(__xludf.DUMMYFUNCTION("""COMPUTED_VALUE"""),3879257.97)</f>
        <v>3879257.97</v>
      </c>
      <c r="H638" s="48"/>
      <c r="I638" s="38"/>
      <c r="J638" s="38"/>
      <c r="K638" s="38"/>
      <c r="M638" s="87"/>
      <c r="N638" s="38"/>
      <c r="Q638" s="38"/>
    </row>
    <row r="639">
      <c r="A639" s="46" t="str">
        <f>IFERROR(__xludf.DUMMYFUNCTION("""COMPUTED_VALUE"""),"Cosmetics")</f>
        <v>Cosmetics</v>
      </c>
      <c r="B639" s="46" t="str">
        <f>IFERROR(__xludf.DUMMYFUNCTION("""COMPUTED_VALUE"""),"Belarus")</f>
        <v>Belarus</v>
      </c>
      <c r="C639" s="46">
        <f>IFERROR(__xludf.DUMMYFUNCTION("""COMPUTED_VALUE"""),5.21874034E8)</f>
        <v>521874034</v>
      </c>
      <c r="D639" s="84">
        <f>IFERROR(__xludf.DUMMYFUNCTION("""COMPUTED_VALUE"""),1302418.8)</f>
        <v>1302418.8</v>
      </c>
      <c r="H639" s="48"/>
      <c r="I639" s="38"/>
      <c r="J639" s="38"/>
      <c r="K639" s="38"/>
      <c r="M639" s="87"/>
      <c r="N639" s="38"/>
      <c r="Q639" s="38"/>
    </row>
    <row r="640">
      <c r="A640" s="46" t="str">
        <f>IFERROR(__xludf.DUMMYFUNCTION("""COMPUTED_VALUE"""),"Clothes")</f>
        <v>Clothes</v>
      </c>
      <c r="B640" s="46" t="str">
        <f>IFERROR(__xludf.DUMMYFUNCTION("""COMPUTED_VALUE"""),"Romania")</f>
        <v>Romania</v>
      </c>
      <c r="C640" s="46">
        <f>IFERROR(__xludf.DUMMYFUNCTION("""COMPUTED_VALUE"""),5.22323358E8)</f>
        <v>522323358</v>
      </c>
      <c r="D640" s="84">
        <f>IFERROR(__xludf.DUMMYFUNCTION("""COMPUTED_VALUE"""),649560.32)</f>
        <v>649560.32</v>
      </c>
      <c r="H640" s="48"/>
      <c r="I640" s="38"/>
      <c r="J640" s="38"/>
      <c r="K640" s="38"/>
      <c r="M640" s="87"/>
      <c r="N640" s="38"/>
      <c r="Q640" s="38"/>
    </row>
    <row r="641">
      <c r="A641" s="46" t="str">
        <f>IFERROR(__xludf.DUMMYFUNCTION("""COMPUTED_VALUE"""),"Clothes")</f>
        <v>Clothes</v>
      </c>
      <c r="B641" s="46" t="str">
        <f>IFERROR(__xludf.DUMMYFUNCTION("""COMPUTED_VALUE"""),"Serbia")</f>
        <v>Serbia</v>
      </c>
      <c r="C641" s="46">
        <f>IFERROR(__xludf.DUMMYFUNCTION("""COMPUTED_VALUE"""),5.23580348E8)</f>
        <v>523580348</v>
      </c>
      <c r="D641" s="84">
        <f>IFERROR(__xludf.DUMMYFUNCTION("""COMPUTED_VALUE"""),864951.2)</f>
        <v>864951.2</v>
      </c>
      <c r="H641" s="48"/>
      <c r="I641" s="38"/>
      <c r="J641" s="38"/>
      <c r="K641" s="38"/>
      <c r="M641" s="87"/>
      <c r="N641" s="38"/>
      <c r="Q641" s="38"/>
    </row>
    <row r="642">
      <c r="A642" s="46" t="str">
        <f>IFERROR(__xludf.DUMMYFUNCTION("""COMPUTED_VALUE"""),"Vegetables")</f>
        <v>Vegetables</v>
      </c>
      <c r="B642" s="46" t="str">
        <f>IFERROR(__xludf.DUMMYFUNCTION("""COMPUTED_VALUE"""),"Bosnia and Herzegovina")</f>
        <v>Bosnia and Herzegovina</v>
      </c>
      <c r="C642" s="46">
        <f>IFERROR(__xludf.DUMMYFUNCTION("""COMPUTED_VALUE"""),5.23707807E8)</f>
        <v>523707807</v>
      </c>
      <c r="D642" s="84">
        <f>IFERROR(__xludf.DUMMYFUNCTION("""COMPUTED_VALUE"""),867819.98)</f>
        <v>867819.98</v>
      </c>
      <c r="H642" s="48"/>
      <c r="I642" s="38"/>
      <c r="J642" s="38"/>
      <c r="K642" s="38"/>
      <c r="M642" s="87"/>
      <c r="N642" s="38"/>
      <c r="Q642" s="38"/>
    </row>
    <row r="643">
      <c r="A643" s="46" t="str">
        <f>IFERROR(__xludf.DUMMYFUNCTION("""COMPUTED_VALUE"""),"Clothes")</f>
        <v>Clothes</v>
      </c>
      <c r="B643" s="46" t="str">
        <f>IFERROR(__xludf.DUMMYFUNCTION("""COMPUTED_VALUE"""),"Lithuania")</f>
        <v>Lithuania</v>
      </c>
      <c r="C643" s="46">
        <f>IFERROR(__xludf.DUMMYFUNCTION("""COMPUTED_VALUE"""),5.23836123E8)</f>
        <v>523836123</v>
      </c>
      <c r="D643" s="84">
        <f>IFERROR(__xludf.DUMMYFUNCTION("""COMPUTED_VALUE"""),393954.4)</f>
        <v>393954.4</v>
      </c>
      <c r="H643" s="48"/>
      <c r="I643" s="38"/>
      <c r="J643" s="38"/>
      <c r="K643" s="38"/>
      <c r="M643" s="87"/>
      <c r="N643" s="38"/>
      <c r="Q643" s="38"/>
    </row>
    <row r="644">
      <c r="A644" s="46" t="str">
        <f>IFERROR(__xludf.DUMMYFUNCTION("""COMPUTED_VALUE"""),"Baby Food")</f>
        <v>Baby Food</v>
      </c>
      <c r="B644" s="46" t="str">
        <f>IFERROR(__xludf.DUMMYFUNCTION("""COMPUTED_VALUE"""),"Germany")</f>
        <v>Germany</v>
      </c>
      <c r="C644" s="46">
        <f>IFERROR(__xludf.DUMMYFUNCTION("""COMPUTED_VALUE"""),5.23899209E8)</f>
        <v>523899209</v>
      </c>
      <c r="D644" s="84">
        <f>IFERROR(__xludf.DUMMYFUNCTION("""COMPUTED_VALUE"""),580251.4400000001)</f>
        <v>580251.44</v>
      </c>
      <c r="H644" s="48"/>
      <c r="I644" s="38"/>
      <c r="J644" s="38"/>
      <c r="K644" s="38"/>
      <c r="M644" s="87"/>
      <c r="N644" s="38"/>
      <c r="Q644" s="38"/>
    </row>
    <row r="645">
      <c r="A645" s="46" t="str">
        <f>IFERROR(__xludf.DUMMYFUNCTION("""COMPUTED_VALUE"""),"Cereal")</f>
        <v>Cereal</v>
      </c>
      <c r="B645" s="46" t="str">
        <f>IFERROR(__xludf.DUMMYFUNCTION("""COMPUTED_VALUE"""),"Greece")</f>
        <v>Greece</v>
      </c>
      <c r="C645" s="46">
        <f>IFERROR(__xludf.DUMMYFUNCTION("""COMPUTED_VALUE"""),5.24844634E8)</f>
        <v>524844634</v>
      </c>
      <c r="D645" s="84">
        <f>IFERROR(__xludf.DUMMYFUNCTION("""COMPUTED_VALUE"""),420656.5)</f>
        <v>420656.5</v>
      </c>
      <c r="H645" s="48"/>
      <c r="I645" s="38"/>
      <c r="J645" s="38"/>
      <c r="K645" s="38"/>
      <c r="M645" s="87"/>
      <c r="N645" s="38"/>
      <c r="Q645" s="38"/>
    </row>
    <row r="646">
      <c r="A646" s="46" t="str">
        <f>IFERROR(__xludf.DUMMYFUNCTION("""COMPUTED_VALUE"""),"Meat")</f>
        <v>Meat</v>
      </c>
      <c r="B646" s="46" t="str">
        <f>IFERROR(__xludf.DUMMYFUNCTION("""COMPUTED_VALUE"""),"Romania")</f>
        <v>Romania</v>
      </c>
      <c r="C646" s="46">
        <f>IFERROR(__xludf.DUMMYFUNCTION("""COMPUTED_VALUE"""),5.24972951E8)</f>
        <v>524972951</v>
      </c>
      <c r="D646" s="84">
        <f>IFERROR(__xludf.DUMMYFUNCTION("""COMPUTED_VALUE"""),7172.13)</f>
        <v>7172.13</v>
      </c>
      <c r="H646" s="48"/>
      <c r="I646" s="38"/>
      <c r="J646" s="38"/>
      <c r="K646" s="38"/>
      <c r="M646" s="87"/>
      <c r="N646" s="38"/>
      <c r="Q646" s="38"/>
    </row>
    <row r="647">
      <c r="A647" s="46" t="str">
        <f>IFERROR(__xludf.DUMMYFUNCTION("""COMPUTED_VALUE"""),"Household")</f>
        <v>Household</v>
      </c>
      <c r="B647" s="46" t="str">
        <f>IFERROR(__xludf.DUMMYFUNCTION("""COMPUTED_VALUE"""),"Montenegro")</f>
        <v>Montenegro</v>
      </c>
      <c r="C647" s="46">
        <f>IFERROR(__xludf.DUMMYFUNCTION("""COMPUTED_VALUE"""),5.25321424E8)</f>
        <v>525321424</v>
      </c>
      <c r="D647" s="84">
        <f>IFERROR(__xludf.DUMMYFUNCTION("""COMPUTED_VALUE"""),2097031.26)</f>
        <v>2097031.26</v>
      </c>
      <c r="H647" s="48"/>
      <c r="I647" s="38"/>
      <c r="J647" s="38"/>
      <c r="K647" s="38"/>
      <c r="M647" s="87"/>
      <c r="N647" s="38"/>
      <c r="Q647" s="38"/>
    </row>
    <row r="648">
      <c r="A648" s="46" t="str">
        <f>IFERROR(__xludf.DUMMYFUNCTION("""COMPUTED_VALUE"""),"Baby Food")</f>
        <v>Baby Food</v>
      </c>
      <c r="B648" s="46" t="str">
        <f>IFERROR(__xludf.DUMMYFUNCTION("""COMPUTED_VALUE"""),"Macedonia")</f>
        <v>Macedonia</v>
      </c>
      <c r="C648" s="46">
        <f>IFERROR(__xludf.DUMMYFUNCTION("""COMPUTED_VALUE"""),5.25472486E8)</f>
        <v>525472486</v>
      </c>
      <c r="D648" s="84">
        <f>IFERROR(__xludf.DUMMYFUNCTION("""COMPUTED_VALUE"""),2001395.2)</f>
        <v>2001395.2</v>
      </c>
      <c r="H648" s="48"/>
      <c r="I648" s="38"/>
      <c r="J648" s="38"/>
      <c r="K648" s="38"/>
      <c r="M648" s="87"/>
      <c r="N648" s="38"/>
      <c r="Q648" s="38"/>
    </row>
    <row r="649">
      <c r="A649" s="46" t="str">
        <f>IFERROR(__xludf.DUMMYFUNCTION("""COMPUTED_VALUE"""),"Snacks")</f>
        <v>Snacks</v>
      </c>
      <c r="B649" s="46" t="str">
        <f>IFERROR(__xludf.DUMMYFUNCTION("""COMPUTED_VALUE"""),"Belarus")</f>
        <v>Belarus</v>
      </c>
      <c r="C649" s="46">
        <f>IFERROR(__xludf.DUMMYFUNCTION("""COMPUTED_VALUE"""),5.25749719E8)</f>
        <v>525749719</v>
      </c>
      <c r="D649" s="84">
        <f>IFERROR(__xludf.DUMMYFUNCTION("""COMPUTED_VALUE"""),1507490.4000000001)</f>
        <v>1507490.4</v>
      </c>
      <c r="H649" s="48"/>
      <c r="I649" s="38"/>
      <c r="J649" s="38"/>
      <c r="K649" s="38"/>
      <c r="M649" s="87"/>
      <c r="N649" s="38"/>
      <c r="Q649" s="38"/>
    </row>
    <row r="650">
      <c r="A650" s="46" t="str">
        <f>IFERROR(__xludf.DUMMYFUNCTION("""COMPUTED_VALUE"""),"Cosmetics")</f>
        <v>Cosmetics</v>
      </c>
      <c r="B650" s="46" t="str">
        <f>IFERROR(__xludf.DUMMYFUNCTION("""COMPUTED_VALUE"""),"Undefined")</f>
        <v>Undefined</v>
      </c>
      <c r="C650" s="46">
        <f>IFERROR(__xludf.DUMMYFUNCTION("""COMPUTED_VALUE"""),5.26018369E8)</f>
        <v>526018369</v>
      </c>
      <c r="D650" s="84">
        <f>IFERROR(__xludf.DUMMYFUNCTION("""COMPUTED_VALUE"""),4100498.8)</f>
        <v>4100498.8</v>
      </c>
      <c r="H650" s="48"/>
      <c r="I650" s="38"/>
      <c r="J650" s="38"/>
      <c r="K650" s="38"/>
      <c r="M650" s="87"/>
      <c r="N650" s="38"/>
      <c r="Q650" s="38"/>
    </row>
    <row r="651">
      <c r="A651" s="46" t="str">
        <f>IFERROR(__xludf.DUMMYFUNCTION("""COMPUTED_VALUE"""),"Clothes")</f>
        <v>Clothes</v>
      </c>
      <c r="B651" s="46" t="str">
        <f>IFERROR(__xludf.DUMMYFUNCTION("""COMPUTED_VALUE"""),"Montenegro")</f>
        <v>Montenegro</v>
      </c>
      <c r="C651" s="46">
        <f>IFERROR(__xludf.DUMMYFUNCTION("""COMPUTED_VALUE"""),5.26350104E8)</f>
        <v>526350104</v>
      </c>
      <c r="D651" s="84">
        <f>IFERROR(__xludf.DUMMYFUNCTION("""COMPUTED_VALUE"""),824736.16)</f>
        <v>824736.16</v>
      </c>
      <c r="H651" s="48"/>
      <c r="I651" s="38"/>
      <c r="J651" s="38"/>
      <c r="K651" s="38"/>
      <c r="M651" s="87"/>
      <c r="N651" s="38"/>
      <c r="Q651" s="38"/>
    </row>
    <row r="652">
      <c r="A652" s="46" t="str">
        <f>IFERROR(__xludf.DUMMYFUNCTION("""COMPUTED_VALUE"""),"Fruits")</f>
        <v>Fruits</v>
      </c>
      <c r="B652" s="46" t="str">
        <f>IFERROR(__xludf.DUMMYFUNCTION("""COMPUTED_VALUE"""),"Georgia")</f>
        <v>Georgia</v>
      </c>
      <c r="C652" s="46">
        <f>IFERROR(__xludf.DUMMYFUNCTION("""COMPUTED_VALUE"""),5.26533353E8)</f>
        <v>526533353</v>
      </c>
      <c r="D652" s="84">
        <f>IFERROR(__xludf.DUMMYFUNCTION("""COMPUTED_VALUE"""),16560.75)</f>
        <v>16560.75</v>
      </c>
      <c r="H652" s="48"/>
      <c r="I652" s="38"/>
      <c r="J652" s="38"/>
      <c r="K652" s="38"/>
      <c r="M652" s="87"/>
      <c r="N652" s="38"/>
      <c r="Q652" s="38"/>
    </row>
    <row r="653">
      <c r="A653" s="46" t="str">
        <f>IFERROR(__xludf.DUMMYFUNCTION("""COMPUTED_VALUE"""),"Vegetables")</f>
        <v>Vegetables</v>
      </c>
      <c r="B653" s="46" t="str">
        <f>IFERROR(__xludf.DUMMYFUNCTION("""COMPUTED_VALUE"""),"Czech Republic")</f>
        <v>Czech Republic</v>
      </c>
      <c r="C653" s="46">
        <f>IFERROR(__xludf.DUMMYFUNCTION("""COMPUTED_VALUE"""),5.27079236E8)</f>
        <v>527079236</v>
      </c>
      <c r="D653" s="84">
        <f>IFERROR(__xludf.DUMMYFUNCTION("""COMPUTED_VALUE"""),510554.84)</f>
        <v>510554.84</v>
      </c>
      <c r="H653" s="48"/>
      <c r="I653" s="38"/>
      <c r="J653" s="38"/>
      <c r="K653" s="38"/>
      <c r="M653" s="87"/>
      <c r="N653" s="38"/>
      <c r="Q653" s="38"/>
    </row>
    <row r="654">
      <c r="A654" s="46" t="str">
        <f>IFERROR(__xludf.DUMMYFUNCTION("""COMPUTED_VALUE"""),"Personal Care")</f>
        <v>Personal Care</v>
      </c>
      <c r="B654" s="46" t="str">
        <f>IFERROR(__xludf.DUMMYFUNCTION("""COMPUTED_VALUE"""),"Liechtenstein")</f>
        <v>Liechtenstein</v>
      </c>
      <c r="C654" s="46">
        <f>IFERROR(__xludf.DUMMYFUNCTION("""COMPUTED_VALUE"""),5.2725991E8)</f>
        <v>527259910</v>
      </c>
      <c r="D654" s="84">
        <f>IFERROR(__xludf.DUMMYFUNCTION("""COMPUTED_VALUE"""),554047.67)</f>
        <v>554047.67</v>
      </c>
      <c r="H654" s="48"/>
      <c r="I654" s="38"/>
      <c r="J654" s="38"/>
      <c r="K654" s="38"/>
      <c r="M654" s="87"/>
      <c r="N654" s="38"/>
      <c r="Q654" s="38"/>
    </row>
    <row r="655">
      <c r="A655" s="46" t="str">
        <f>IFERROR(__xludf.DUMMYFUNCTION("""COMPUTED_VALUE"""),"Office Supplies")</f>
        <v>Office Supplies</v>
      </c>
      <c r="B655" s="46" t="str">
        <f>IFERROR(__xludf.DUMMYFUNCTION("""COMPUTED_VALUE"""),"Iceland")</f>
        <v>Iceland</v>
      </c>
      <c r="C655" s="46">
        <f>IFERROR(__xludf.DUMMYFUNCTION("""COMPUTED_VALUE"""),5.27509677E8)</f>
        <v>527509677</v>
      </c>
      <c r="D655" s="84">
        <f>IFERROR(__xludf.DUMMYFUNCTION("""COMPUTED_VALUE"""),449986.11000000004)</f>
        <v>449986.11</v>
      </c>
      <c r="H655" s="48"/>
      <c r="I655" s="38"/>
      <c r="J655" s="38"/>
      <c r="K655" s="38"/>
      <c r="M655" s="87"/>
      <c r="N655" s="38"/>
      <c r="Q655" s="38"/>
    </row>
    <row r="656">
      <c r="A656" s="46" t="str">
        <f>IFERROR(__xludf.DUMMYFUNCTION("""COMPUTED_VALUE"""),"Clothes")</f>
        <v>Clothes</v>
      </c>
      <c r="B656" s="46" t="str">
        <f>IFERROR(__xludf.DUMMYFUNCTION("""COMPUTED_VALUE"""),"Lithuania")</f>
        <v>Lithuania</v>
      </c>
      <c r="C656" s="46">
        <f>IFERROR(__xludf.DUMMYFUNCTION("""COMPUTED_VALUE"""),5.30262696E8)</f>
        <v>530262696</v>
      </c>
      <c r="D656" s="84">
        <f>IFERROR(__xludf.DUMMYFUNCTION("""COMPUTED_VALUE"""),586833.6)</f>
        <v>586833.6</v>
      </c>
      <c r="H656" s="48"/>
      <c r="I656" s="38"/>
      <c r="J656" s="38"/>
      <c r="K656" s="38"/>
      <c r="M656" s="87"/>
      <c r="N656" s="38"/>
      <c r="Q656" s="38"/>
    </row>
    <row r="657">
      <c r="A657" s="46" t="str">
        <f>IFERROR(__xludf.DUMMYFUNCTION("""COMPUTED_VALUE"""),"Baby Food")</f>
        <v>Baby Food</v>
      </c>
      <c r="B657" s="46" t="str">
        <f>IFERROR(__xludf.DUMMYFUNCTION("""COMPUTED_VALUE"""),"United Kingdom")</f>
        <v>United Kingdom</v>
      </c>
      <c r="C657" s="46">
        <f>IFERROR(__xludf.DUMMYFUNCTION("""COMPUTED_VALUE"""),5.30702579E8)</f>
        <v>530702579</v>
      </c>
      <c r="D657" s="84">
        <f>IFERROR(__xludf.DUMMYFUNCTION("""COMPUTED_VALUE"""),1414506.48)</f>
        <v>1414506.48</v>
      </c>
      <c r="H657" s="48"/>
      <c r="I657" s="38"/>
      <c r="J657" s="38"/>
      <c r="K657" s="38"/>
      <c r="M657" s="87"/>
      <c r="N657" s="38"/>
      <c r="Q657" s="38"/>
    </row>
    <row r="658">
      <c r="A658" s="46" t="str">
        <f>IFERROR(__xludf.DUMMYFUNCTION("""COMPUTED_VALUE"""),"Meat")</f>
        <v>Meat</v>
      </c>
      <c r="B658" s="46" t="str">
        <f>IFERROR(__xludf.DUMMYFUNCTION("""COMPUTED_VALUE"""),"Croatia")</f>
        <v>Croatia</v>
      </c>
      <c r="C658" s="46">
        <f>IFERROR(__xludf.DUMMYFUNCTION("""COMPUTED_VALUE"""),5.30882394E8)</f>
        <v>530882394</v>
      </c>
      <c r="D658" s="84">
        <f>IFERROR(__xludf.DUMMYFUNCTION("""COMPUTED_VALUE"""),3692803.17)</f>
        <v>3692803.17</v>
      </c>
      <c r="H658" s="48"/>
      <c r="I658" s="38"/>
      <c r="J658" s="38"/>
      <c r="K658" s="38"/>
      <c r="M658" s="87"/>
      <c r="N658" s="38"/>
      <c r="Q658" s="38"/>
    </row>
    <row r="659">
      <c r="A659" s="46" t="str">
        <f>IFERROR(__xludf.DUMMYFUNCTION("""COMPUTED_VALUE"""),"Meat")</f>
        <v>Meat</v>
      </c>
      <c r="B659" s="46" t="str">
        <f>IFERROR(__xludf.DUMMYFUNCTION("""COMPUTED_VALUE"""),"France")</f>
        <v>France</v>
      </c>
      <c r="C659" s="46">
        <f>IFERROR(__xludf.DUMMYFUNCTION("""COMPUTED_VALUE"""),5.31281936E8)</f>
        <v>531281936</v>
      </c>
      <c r="D659" s="84">
        <f>IFERROR(__xludf.DUMMYFUNCTION("""COMPUTED_VALUE"""),2947323.54)</f>
        <v>2947323.54</v>
      </c>
      <c r="H659" s="48"/>
      <c r="I659" s="38"/>
      <c r="J659" s="38"/>
      <c r="K659" s="38"/>
      <c r="M659" s="87"/>
      <c r="N659" s="38"/>
      <c r="Q659" s="38"/>
    </row>
    <row r="660">
      <c r="A660" s="46" t="str">
        <f>IFERROR(__xludf.DUMMYFUNCTION("""COMPUTED_VALUE"""),"Household")</f>
        <v>Household</v>
      </c>
      <c r="B660" s="46" t="str">
        <f>IFERROR(__xludf.DUMMYFUNCTION("""COMPUTED_VALUE"""),"Andorra")</f>
        <v>Andorra</v>
      </c>
      <c r="C660" s="46">
        <f>IFERROR(__xludf.DUMMYFUNCTION("""COMPUTED_VALUE"""),5.33314406E8)</f>
        <v>533314406</v>
      </c>
      <c r="D660" s="84">
        <f>IFERROR(__xludf.DUMMYFUNCTION("""COMPUTED_VALUE"""),5639530.53)</f>
        <v>5639530.53</v>
      </c>
      <c r="H660" s="48"/>
      <c r="I660" s="38"/>
      <c r="J660" s="38"/>
      <c r="K660" s="38"/>
      <c r="M660" s="87"/>
      <c r="N660" s="38"/>
      <c r="Q660" s="38"/>
    </row>
    <row r="661">
      <c r="A661" s="46" t="str">
        <f>IFERROR(__xludf.DUMMYFUNCTION("""COMPUTED_VALUE"""),"Office Supplies")</f>
        <v>Office Supplies</v>
      </c>
      <c r="B661" s="46" t="str">
        <f>IFERROR(__xludf.DUMMYFUNCTION("""COMPUTED_VALUE"""),"Portugal")</f>
        <v>Portugal</v>
      </c>
      <c r="C661" s="46">
        <f>IFERROR(__xludf.DUMMYFUNCTION("""COMPUTED_VALUE"""),5.33597218E8)</f>
        <v>533597218</v>
      </c>
      <c r="D661" s="84">
        <f>IFERROR(__xludf.DUMMYFUNCTION("""COMPUTED_VALUE"""),1387077.3)</f>
        <v>1387077.3</v>
      </c>
      <c r="H661" s="48"/>
      <c r="I661" s="38"/>
      <c r="J661" s="38"/>
      <c r="K661" s="38"/>
      <c r="M661" s="87"/>
      <c r="N661" s="38"/>
      <c r="Q661" s="38"/>
    </row>
    <row r="662">
      <c r="A662" s="46" t="str">
        <f>IFERROR(__xludf.DUMMYFUNCTION("""COMPUTED_VALUE"""),"Beverages")</f>
        <v>Beverages</v>
      </c>
      <c r="B662" s="46" t="str">
        <f>IFERROR(__xludf.DUMMYFUNCTION("""COMPUTED_VALUE"""),"Russia")</f>
        <v>Russia</v>
      </c>
      <c r="C662" s="46">
        <f>IFERROR(__xludf.DUMMYFUNCTION("""COMPUTED_VALUE"""),5.34641349E8)</f>
        <v>534641349</v>
      </c>
      <c r="D662" s="84">
        <f>IFERROR(__xludf.DUMMYFUNCTION("""COMPUTED_VALUE"""),52716.950000000004)</f>
        <v>52716.95</v>
      </c>
      <c r="H662" s="48"/>
      <c r="I662" s="38"/>
      <c r="J662" s="38"/>
      <c r="K662" s="38"/>
      <c r="M662" s="87"/>
      <c r="N662" s="38"/>
      <c r="Q662" s="38"/>
    </row>
    <row r="663">
      <c r="A663" s="46" t="str">
        <f>IFERROR(__xludf.DUMMYFUNCTION("""COMPUTED_VALUE"""),"Vegetables")</f>
        <v>Vegetables</v>
      </c>
      <c r="B663" s="46" t="str">
        <f>IFERROR(__xludf.DUMMYFUNCTION("""COMPUTED_VALUE"""),"Poland")</f>
        <v>Poland</v>
      </c>
      <c r="C663" s="46">
        <f>IFERROR(__xludf.DUMMYFUNCTION("""COMPUTED_VALUE"""),5.34709155E8)</f>
        <v>534709155</v>
      </c>
      <c r="D663" s="84">
        <f>IFERROR(__xludf.DUMMYFUNCTION("""COMPUTED_VALUE"""),181174.56)</f>
        <v>181174.56</v>
      </c>
      <c r="H663" s="48"/>
      <c r="I663" s="38"/>
      <c r="J663" s="38"/>
      <c r="K663" s="38"/>
      <c r="M663" s="87"/>
      <c r="N663" s="38"/>
      <c r="Q663" s="38"/>
    </row>
    <row r="664">
      <c r="A664" s="46" t="str">
        <f>IFERROR(__xludf.DUMMYFUNCTION("""COMPUTED_VALUE"""),"Personal Care")</f>
        <v>Personal Care</v>
      </c>
      <c r="B664" s="46" t="str">
        <f>IFERROR(__xludf.DUMMYFUNCTION("""COMPUTED_VALUE"""),"Austria")</f>
        <v>Austria</v>
      </c>
      <c r="C664" s="46">
        <f>IFERROR(__xludf.DUMMYFUNCTION("""COMPUTED_VALUE"""),5.35740411E8)</f>
        <v>535740411</v>
      </c>
      <c r="D664" s="84">
        <f>IFERROR(__xludf.DUMMYFUNCTION("""COMPUTED_VALUE"""),518822.04000000004)</f>
        <v>518822.04</v>
      </c>
      <c r="H664" s="48"/>
      <c r="I664" s="38"/>
      <c r="J664" s="38"/>
      <c r="K664" s="38"/>
      <c r="M664" s="87"/>
      <c r="N664" s="38"/>
      <c r="Q664" s="38"/>
    </row>
    <row r="665">
      <c r="A665" s="46" t="str">
        <f>IFERROR(__xludf.DUMMYFUNCTION("""COMPUTED_VALUE"""),"Snacks")</f>
        <v>Snacks</v>
      </c>
      <c r="B665" s="46" t="str">
        <f>IFERROR(__xludf.DUMMYFUNCTION("""COMPUTED_VALUE"""),"Slovakia")</f>
        <v>Slovakia</v>
      </c>
      <c r="C665" s="46">
        <f>IFERROR(__xludf.DUMMYFUNCTION("""COMPUTED_VALUE"""),5.3609575E8)</f>
        <v>536095750</v>
      </c>
      <c r="D665" s="84">
        <f>IFERROR(__xludf.DUMMYFUNCTION("""COMPUTED_VALUE"""),228870.00000000003)</f>
        <v>228870</v>
      </c>
      <c r="H665" s="48"/>
      <c r="I665" s="38"/>
      <c r="J665" s="38"/>
      <c r="K665" s="38"/>
      <c r="M665" s="87"/>
      <c r="N665" s="38"/>
      <c r="Q665" s="38"/>
    </row>
    <row r="666">
      <c r="A666" s="46" t="str">
        <f>IFERROR(__xludf.DUMMYFUNCTION("""COMPUTED_VALUE"""),"Clothes")</f>
        <v>Clothes</v>
      </c>
      <c r="B666" s="46" t="str">
        <f>IFERROR(__xludf.DUMMYFUNCTION("""COMPUTED_VALUE"""),"Hungary")</f>
        <v>Hungary</v>
      </c>
      <c r="C666" s="46">
        <f>IFERROR(__xludf.DUMMYFUNCTION("""COMPUTED_VALUE"""),5.38430345E8)</f>
        <v>538430345</v>
      </c>
      <c r="D666" s="84">
        <f>IFERROR(__xludf.DUMMYFUNCTION("""COMPUTED_VALUE"""),257791.52)</f>
        <v>257791.52</v>
      </c>
      <c r="H666" s="48"/>
      <c r="I666" s="38"/>
      <c r="J666" s="38"/>
      <c r="K666" s="38"/>
      <c r="M666" s="87"/>
      <c r="N666" s="38"/>
      <c r="Q666" s="38"/>
    </row>
    <row r="667">
      <c r="A667" s="46" t="str">
        <f>IFERROR(__xludf.DUMMYFUNCTION("""COMPUTED_VALUE"""),"Clothes")</f>
        <v>Clothes</v>
      </c>
      <c r="B667" s="46" t="str">
        <f>IFERROR(__xludf.DUMMYFUNCTION("""COMPUTED_VALUE"""),"Denmark")</f>
        <v>Denmark</v>
      </c>
      <c r="C667" s="46">
        <f>IFERROR(__xludf.DUMMYFUNCTION("""COMPUTED_VALUE"""),5.39002406E8)</f>
        <v>539002406</v>
      </c>
      <c r="D667" s="84">
        <f>IFERROR(__xludf.DUMMYFUNCTION("""COMPUTED_VALUE"""),179765.6)</f>
        <v>179765.6</v>
      </c>
      <c r="H667" s="48"/>
      <c r="I667" s="38"/>
      <c r="J667" s="38"/>
      <c r="K667" s="38"/>
      <c r="M667" s="87"/>
      <c r="N667" s="38"/>
      <c r="Q667" s="38"/>
    </row>
    <row r="668">
      <c r="A668" s="46" t="str">
        <f>IFERROR(__xludf.DUMMYFUNCTION("""COMPUTED_VALUE"""),"Cosmetics")</f>
        <v>Cosmetics</v>
      </c>
      <c r="B668" s="46" t="str">
        <f>IFERROR(__xludf.DUMMYFUNCTION("""COMPUTED_VALUE"""),"Austria")</f>
        <v>Austria</v>
      </c>
      <c r="C668" s="46">
        <f>IFERROR(__xludf.DUMMYFUNCTION("""COMPUTED_VALUE"""),5.4098252E8)</f>
        <v>540982520</v>
      </c>
      <c r="D668" s="84">
        <f>IFERROR(__xludf.DUMMYFUNCTION("""COMPUTED_VALUE"""),3324468.8)</f>
        <v>3324468.8</v>
      </c>
      <c r="H668" s="48"/>
      <c r="I668" s="38"/>
      <c r="J668" s="38"/>
      <c r="K668" s="38"/>
      <c r="M668" s="87"/>
      <c r="N668" s="38"/>
      <c r="Q668" s="38"/>
    </row>
    <row r="669">
      <c r="A669" s="46" t="str">
        <f>IFERROR(__xludf.DUMMYFUNCTION("""COMPUTED_VALUE"""),"Beverages")</f>
        <v>Beverages</v>
      </c>
      <c r="B669" s="46" t="str">
        <f>IFERROR(__xludf.DUMMYFUNCTION("""COMPUTED_VALUE"""),"Russia")</f>
        <v>Russia</v>
      </c>
      <c r="C669" s="46">
        <f>IFERROR(__xludf.DUMMYFUNCTION("""COMPUTED_VALUE"""),5.43322694E8)</f>
        <v>543322694</v>
      </c>
      <c r="D669" s="84">
        <f>IFERROR(__xludf.DUMMYFUNCTION("""COMPUTED_VALUE"""),5409.3)</f>
        <v>5409.3</v>
      </c>
      <c r="H669" s="48"/>
      <c r="I669" s="38"/>
      <c r="J669" s="38"/>
      <c r="K669" s="38"/>
      <c r="M669" s="87"/>
      <c r="N669" s="38"/>
      <c r="Q669" s="38"/>
    </row>
    <row r="670">
      <c r="A670" s="46" t="str">
        <f>IFERROR(__xludf.DUMMYFUNCTION("""COMPUTED_VALUE"""),"Meat")</f>
        <v>Meat</v>
      </c>
      <c r="B670" s="46" t="str">
        <f>IFERROR(__xludf.DUMMYFUNCTION("""COMPUTED_VALUE"""),"Liechtenstein")</f>
        <v>Liechtenstein</v>
      </c>
      <c r="C670" s="46">
        <f>IFERROR(__xludf.DUMMYFUNCTION("""COMPUTED_VALUE"""),5.43396508E8)</f>
        <v>543396508</v>
      </c>
      <c r="D670" s="84">
        <f>IFERROR(__xludf.DUMMYFUNCTION("""COMPUTED_VALUE"""),825638.73)</f>
        <v>825638.73</v>
      </c>
      <c r="H670" s="48"/>
      <c r="I670" s="38"/>
      <c r="J670" s="38"/>
      <c r="K670" s="38"/>
      <c r="M670" s="87"/>
      <c r="N670" s="38"/>
      <c r="Q670" s="38"/>
    </row>
    <row r="671">
      <c r="A671" s="46" t="str">
        <f>IFERROR(__xludf.DUMMYFUNCTION("""COMPUTED_VALUE"""),"Household")</f>
        <v>Household</v>
      </c>
      <c r="B671" s="46" t="str">
        <f>IFERROR(__xludf.DUMMYFUNCTION("""COMPUTED_VALUE"""),"Lithuania")</f>
        <v>Lithuania</v>
      </c>
      <c r="C671" s="46">
        <f>IFERROR(__xludf.DUMMYFUNCTION("""COMPUTED_VALUE"""),5.44284856E8)</f>
        <v>544284856</v>
      </c>
      <c r="D671" s="84">
        <f>IFERROR(__xludf.DUMMYFUNCTION("""COMPUTED_VALUE"""),3233758.53)</f>
        <v>3233758.53</v>
      </c>
      <c r="H671" s="48"/>
      <c r="I671" s="38"/>
      <c r="J671" s="38"/>
      <c r="K671" s="38"/>
      <c r="M671" s="87"/>
      <c r="N671" s="38"/>
      <c r="Q671" s="38"/>
    </row>
    <row r="672">
      <c r="A672" s="46" t="str">
        <f>IFERROR(__xludf.DUMMYFUNCTION("""COMPUTED_VALUE"""),"Personal Care")</f>
        <v>Personal Care</v>
      </c>
      <c r="B672" s="46" t="str">
        <f>IFERROR(__xludf.DUMMYFUNCTION("""COMPUTED_VALUE"""),"Netherlands")</f>
        <v>Netherlands</v>
      </c>
      <c r="C672" s="46">
        <f>IFERROR(__xludf.DUMMYFUNCTION("""COMPUTED_VALUE"""),5.44741475E8)</f>
        <v>544741475</v>
      </c>
      <c r="D672" s="84">
        <f>IFERROR(__xludf.DUMMYFUNCTION("""COMPUTED_VALUE"""),814275.99)</f>
        <v>814275.99</v>
      </c>
      <c r="H672" s="48"/>
      <c r="I672" s="38"/>
      <c r="J672" s="38"/>
      <c r="K672" s="38"/>
      <c r="M672" s="87"/>
      <c r="N672" s="38"/>
      <c r="Q672" s="38"/>
    </row>
    <row r="673">
      <c r="A673" s="46" t="str">
        <f>IFERROR(__xludf.DUMMYFUNCTION("""COMPUTED_VALUE"""),"Clothes")</f>
        <v>Clothes</v>
      </c>
      <c r="B673" s="46" t="str">
        <f>IFERROR(__xludf.DUMMYFUNCTION("""COMPUTED_VALUE"""),"Liechtenstein")</f>
        <v>Liechtenstein</v>
      </c>
      <c r="C673" s="46">
        <f>IFERROR(__xludf.DUMMYFUNCTION("""COMPUTED_VALUE"""),5.45059049E8)</f>
        <v>545059049</v>
      </c>
      <c r="D673" s="84">
        <f>IFERROR(__xludf.DUMMYFUNCTION("""COMPUTED_VALUE"""),430563.2)</f>
        <v>430563.2</v>
      </c>
      <c r="H673" s="48"/>
      <c r="I673" s="38"/>
      <c r="J673" s="38"/>
      <c r="K673" s="38"/>
      <c r="M673" s="87"/>
      <c r="N673" s="38"/>
      <c r="Q673" s="38"/>
    </row>
    <row r="674">
      <c r="A674" s="46" t="str">
        <f>IFERROR(__xludf.DUMMYFUNCTION("""COMPUTED_VALUE"""),"Meat")</f>
        <v>Meat</v>
      </c>
      <c r="B674" s="46" t="str">
        <f>IFERROR(__xludf.DUMMYFUNCTION("""COMPUTED_VALUE"""),"Poland")</f>
        <v>Poland</v>
      </c>
      <c r="C674" s="46">
        <f>IFERROR(__xludf.DUMMYFUNCTION("""COMPUTED_VALUE"""),5.46081721E8)</f>
        <v>546081721</v>
      </c>
      <c r="D674" s="84">
        <f>IFERROR(__xludf.DUMMYFUNCTION("""COMPUTED_VALUE"""),2772239.19)</f>
        <v>2772239.19</v>
      </c>
      <c r="H674" s="48"/>
      <c r="I674" s="38"/>
      <c r="J674" s="38"/>
      <c r="K674" s="38"/>
      <c r="M674" s="87"/>
      <c r="N674" s="38"/>
      <c r="Q674" s="38"/>
    </row>
    <row r="675">
      <c r="A675" s="46" t="str">
        <f>IFERROR(__xludf.DUMMYFUNCTION("""COMPUTED_VALUE"""),"Personal Care")</f>
        <v>Personal Care</v>
      </c>
      <c r="B675" s="46" t="str">
        <f>IFERROR(__xludf.DUMMYFUNCTION("""COMPUTED_VALUE"""),"Iceland")</f>
        <v>Iceland</v>
      </c>
      <c r="C675" s="46">
        <f>IFERROR(__xludf.DUMMYFUNCTION("""COMPUTED_VALUE"""),5.46140086E8)</f>
        <v>546140086</v>
      </c>
      <c r="D675" s="84">
        <f>IFERROR(__xludf.DUMMYFUNCTION("""COMPUTED_VALUE"""),314088.39)</f>
        <v>314088.39</v>
      </c>
      <c r="H675" s="48"/>
      <c r="I675" s="38"/>
      <c r="J675" s="38"/>
      <c r="K675" s="38"/>
      <c r="M675" s="87"/>
      <c r="N675" s="38"/>
      <c r="Q675" s="38"/>
    </row>
    <row r="676">
      <c r="A676" s="46" t="str">
        <f>IFERROR(__xludf.DUMMYFUNCTION("""COMPUTED_VALUE"""),"Household")</f>
        <v>Household</v>
      </c>
      <c r="B676" s="46" t="str">
        <f>IFERROR(__xludf.DUMMYFUNCTION("""COMPUTED_VALUE"""),"Montenegro")</f>
        <v>Montenegro</v>
      </c>
      <c r="C676" s="46">
        <f>IFERROR(__xludf.DUMMYFUNCTION("""COMPUTED_VALUE"""),5.46544349E8)</f>
        <v>546544349</v>
      </c>
      <c r="D676" s="84">
        <f>IFERROR(__xludf.DUMMYFUNCTION("""COMPUTED_VALUE"""),2320901.71)</f>
        <v>2320901.71</v>
      </c>
      <c r="H676" s="48"/>
      <c r="I676" s="38"/>
      <c r="J676" s="38"/>
      <c r="K676" s="38"/>
      <c r="M676" s="87"/>
      <c r="N676" s="38"/>
      <c r="Q676" s="38"/>
    </row>
    <row r="677">
      <c r="A677" s="46" t="str">
        <f>IFERROR(__xludf.DUMMYFUNCTION("""COMPUTED_VALUE"""),"Personal Care")</f>
        <v>Personal Care</v>
      </c>
      <c r="B677" s="46" t="str">
        <f>IFERROR(__xludf.DUMMYFUNCTION("""COMPUTED_VALUE"""),"Ireland")</f>
        <v>Ireland</v>
      </c>
      <c r="C677" s="46">
        <f>IFERROR(__xludf.DUMMYFUNCTION("""COMPUTED_VALUE"""),5.47225844E8)</f>
        <v>547225844</v>
      </c>
      <c r="D677" s="84">
        <f>IFERROR(__xludf.DUMMYFUNCTION("""COMPUTED_VALUE"""),420337.39)</f>
        <v>420337.39</v>
      </c>
      <c r="H677" s="48"/>
      <c r="I677" s="38"/>
      <c r="J677" s="38"/>
      <c r="K677" s="38"/>
      <c r="M677" s="87"/>
      <c r="N677" s="38"/>
      <c r="Q677" s="38"/>
    </row>
    <row r="678">
      <c r="A678" s="46" t="str">
        <f>IFERROR(__xludf.DUMMYFUNCTION("""COMPUTED_VALUE"""),"Cereal")</f>
        <v>Cereal</v>
      </c>
      <c r="B678" s="46" t="str">
        <f>IFERROR(__xludf.DUMMYFUNCTION("""COMPUTED_VALUE"""),"Undefined")</f>
        <v>Undefined</v>
      </c>
      <c r="C678" s="46">
        <f>IFERROR(__xludf.DUMMYFUNCTION("""COMPUTED_VALUE"""),5.47587192E8)</f>
        <v>547587192</v>
      </c>
      <c r="D678" s="84">
        <f>IFERROR(__xludf.DUMMYFUNCTION("""COMPUTED_VALUE"""),426416.1)</f>
        <v>426416.1</v>
      </c>
      <c r="H678" s="48"/>
      <c r="I678" s="38"/>
      <c r="J678" s="38"/>
      <c r="K678" s="38"/>
      <c r="M678" s="87"/>
      <c r="N678" s="38"/>
      <c r="Q678" s="38"/>
    </row>
    <row r="679">
      <c r="A679" s="46" t="str">
        <f>IFERROR(__xludf.DUMMYFUNCTION("""COMPUTED_VALUE"""),"Personal Care")</f>
        <v>Personal Care</v>
      </c>
      <c r="B679" s="46" t="str">
        <f>IFERROR(__xludf.DUMMYFUNCTION("""COMPUTED_VALUE"""),"Luxembourg")</f>
        <v>Luxembourg</v>
      </c>
      <c r="C679" s="46">
        <f>IFERROR(__xludf.DUMMYFUNCTION("""COMPUTED_VALUE"""),5.47625386E8)</f>
        <v>547625386</v>
      </c>
      <c r="D679" s="84">
        <f>IFERROR(__xludf.DUMMYFUNCTION("""COMPUTED_VALUE"""),275920.48000000004)</f>
        <v>275920.48</v>
      </c>
      <c r="H679" s="48"/>
      <c r="I679" s="38"/>
      <c r="J679" s="38"/>
      <c r="K679" s="38"/>
      <c r="M679" s="87"/>
      <c r="N679" s="38"/>
      <c r="Q679" s="38"/>
    </row>
    <row r="680">
      <c r="A680" s="46" t="str">
        <f>IFERROR(__xludf.DUMMYFUNCTION("""COMPUTED_VALUE"""),"Fruits")</f>
        <v>Fruits</v>
      </c>
      <c r="B680" s="46" t="str">
        <f>IFERROR(__xludf.DUMMYFUNCTION("""COMPUTED_VALUE"""),"Ireland")</f>
        <v>Ireland</v>
      </c>
      <c r="C680" s="46">
        <f>IFERROR(__xludf.DUMMYFUNCTION("""COMPUTED_VALUE"""),5.48015487E8)</f>
        <v>548015487</v>
      </c>
      <c r="D680" s="84">
        <f>IFERROR(__xludf.DUMMYFUNCTION("""COMPUTED_VALUE"""),82243.95)</f>
        <v>82243.95</v>
      </c>
      <c r="H680" s="48"/>
      <c r="I680" s="38"/>
      <c r="J680" s="38"/>
      <c r="K680" s="38"/>
      <c r="M680" s="87"/>
      <c r="N680" s="38"/>
      <c r="Q680" s="38"/>
    </row>
    <row r="681">
      <c r="A681" s="46" t="str">
        <f>IFERROR(__xludf.DUMMYFUNCTION("""COMPUTED_VALUE"""),"Snacks")</f>
        <v>Snacks</v>
      </c>
      <c r="B681" s="46" t="str">
        <f>IFERROR(__xludf.DUMMYFUNCTION("""COMPUTED_VALUE"""),"Cyprus")</f>
        <v>Cyprus</v>
      </c>
      <c r="C681" s="46">
        <f>IFERROR(__xludf.DUMMYFUNCTION("""COMPUTED_VALUE"""),5.48343789E8)</f>
        <v>548343789</v>
      </c>
      <c r="D681" s="84">
        <f>IFERROR(__xludf.DUMMYFUNCTION("""COMPUTED_VALUE"""),910444.8600000001)</f>
        <v>910444.86</v>
      </c>
      <c r="H681" s="48"/>
      <c r="I681" s="38"/>
      <c r="J681" s="38"/>
      <c r="K681" s="38"/>
      <c r="M681" s="87"/>
      <c r="N681" s="38"/>
      <c r="Q681" s="38"/>
    </row>
    <row r="682">
      <c r="A682" s="46" t="str">
        <f>IFERROR(__xludf.DUMMYFUNCTION("""COMPUTED_VALUE"""),"Household")</f>
        <v>Household</v>
      </c>
      <c r="B682" s="46" t="str">
        <f>IFERROR(__xludf.DUMMYFUNCTION("""COMPUTED_VALUE"""),"United Kingdom")</f>
        <v>United Kingdom</v>
      </c>
      <c r="C682" s="46">
        <f>IFERROR(__xludf.DUMMYFUNCTION("""COMPUTED_VALUE"""),5.48403012E8)</f>
        <v>548403012</v>
      </c>
      <c r="D682" s="84">
        <f>IFERROR(__xludf.DUMMYFUNCTION("""COMPUTED_VALUE"""),2334267.11)</f>
        <v>2334267.11</v>
      </c>
      <c r="H682" s="48"/>
      <c r="I682" s="38"/>
      <c r="J682" s="38"/>
      <c r="K682" s="38"/>
      <c r="M682" s="87"/>
      <c r="N682" s="38"/>
      <c r="Q682" s="38"/>
    </row>
    <row r="683">
      <c r="A683" s="46" t="str">
        <f>IFERROR(__xludf.DUMMYFUNCTION("""COMPUTED_VALUE"""),"Office Supplies")</f>
        <v>Office Supplies</v>
      </c>
      <c r="B683" s="46" t="str">
        <f>IFERROR(__xludf.DUMMYFUNCTION("""COMPUTED_VALUE"""),"Luxembourg")</f>
        <v>Luxembourg</v>
      </c>
      <c r="C683" s="46">
        <f>IFERROR(__xludf.DUMMYFUNCTION("""COMPUTED_VALUE"""),5.49048888E8)</f>
        <v>549048888</v>
      </c>
      <c r="D683" s="84">
        <f>IFERROR(__xludf.DUMMYFUNCTION("""COMPUTED_VALUE"""),3009892.62)</f>
        <v>3009892.62</v>
      </c>
      <c r="H683" s="48"/>
      <c r="I683" s="38"/>
      <c r="J683" s="38"/>
      <c r="K683" s="38"/>
      <c r="M683" s="87"/>
      <c r="N683" s="38"/>
      <c r="Q683" s="38"/>
    </row>
    <row r="684">
      <c r="A684" s="46" t="str">
        <f>IFERROR(__xludf.DUMMYFUNCTION("""COMPUTED_VALUE"""),"Household")</f>
        <v>Household</v>
      </c>
      <c r="B684" s="46" t="str">
        <f>IFERROR(__xludf.DUMMYFUNCTION("""COMPUTED_VALUE"""),"Russia")</f>
        <v>Russia</v>
      </c>
      <c r="C684" s="46">
        <f>IFERROR(__xludf.DUMMYFUNCTION("""COMPUTED_VALUE"""),5.4905833E8)</f>
        <v>549058330</v>
      </c>
      <c r="D684" s="84">
        <f>IFERROR(__xludf.DUMMYFUNCTION("""COMPUTED_VALUE"""),4955890.32)</f>
        <v>4955890.32</v>
      </c>
      <c r="H684" s="48"/>
      <c r="I684" s="38"/>
      <c r="J684" s="38"/>
      <c r="K684" s="38"/>
      <c r="M684" s="87"/>
      <c r="N684" s="38"/>
      <c r="Q684" s="38"/>
    </row>
    <row r="685">
      <c r="A685" s="46" t="str">
        <f>IFERROR(__xludf.DUMMYFUNCTION("""COMPUTED_VALUE"""),"Cosmetics")</f>
        <v>Cosmetics</v>
      </c>
      <c r="B685" s="46" t="str">
        <f>IFERROR(__xludf.DUMMYFUNCTION("""COMPUTED_VALUE"""),"Slovakia")</f>
        <v>Slovakia</v>
      </c>
      <c r="C685" s="46">
        <f>IFERROR(__xludf.DUMMYFUNCTION("""COMPUTED_VALUE"""),5.49187934E8)</f>
        <v>549187934</v>
      </c>
      <c r="D685" s="84">
        <f>IFERROR(__xludf.DUMMYFUNCTION("""COMPUTED_VALUE"""),2522206.8)</f>
        <v>2522206.8</v>
      </c>
      <c r="H685" s="48"/>
      <c r="I685" s="38"/>
      <c r="J685" s="38"/>
      <c r="K685" s="38"/>
      <c r="M685" s="87"/>
      <c r="N685" s="38"/>
      <c r="Q685" s="38"/>
    </row>
    <row r="686">
      <c r="A686" s="46" t="str">
        <f>IFERROR(__xludf.DUMMYFUNCTION("""COMPUTED_VALUE"""),"Baby Food")</f>
        <v>Baby Food</v>
      </c>
      <c r="B686" s="46" t="str">
        <f>IFERROR(__xludf.DUMMYFUNCTION("""COMPUTED_VALUE"""),"Bosnia and Herzegovina")</f>
        <v>Bosnia and Herzegovina</v>
      </c>
      <c r="C686" s="46">
        <f>IFERROR(__xludf.DUMMYFUNCTION("""COMPUTED_VALUE"""),5.51118266E8)</f>
        <v>551118266</v>
      </c>
      <c r="D686" s="84">
        <f>IFERROR(__xludf.DUMMYFUNCTION("""COMPUTED_VALUE"""),1786194.16)</f>
        <v>1786194.16</v>
      </c>
      <c r="H686" s="48"/>
      <c r="I686" s="38"/>
      <c r="J686" s="38"/>
      <c r="K686" s="38"/>
      <c r="M686" s="87"/>
      <c r="N686" s="38"/>
      <c r="Q686" s="38"/>
    </row>
    <row r="687">
      <c r="A687" s="46" t="str">
        <f>IFERROR(__xludf.DUMMYFUNCTION("""COMPUTED_VALUE"""),"Cereal")</f>
        <v>Cereal</v>
      </c>
      <c r="B687" s="46" t="str">
        <f>IFERROR(__xludf.DUMMYFUNCTION("""COMPUTED_VALUE"""),"Czech Republic")</f>
        <v>Czech Republic</v>
      </c>
      <c r="C687" s="46">
        <f>IFERROR(__xludf.DUMMYFUNCTION("""COMPUTED_VALUE"""),5.52037513E8)</f>
        <v>552037513</v>
      </c>
      <c r="D687" s="84">
        <f>IFERROR(__xludf.DUMMYFUNCTION("""COMPUTED_VALUE"""),1855825.4)</f>
        <v>1855825.4</v>
      </c>
      <c r="H687" s="48"/>
      <c r="I687" s="38"/>
      <c r="J687" s="38"/>
      <c r="K687" s="38"/>
      <c r="M687" s="87"/>
      <c r="N687" s="38"/>
      <c r="Q687" s="38"/>
    </row>
    <row r="688">
      <c r="A688" s="46" t="str">
        <f>IFERROR(__xludf.DUMMYFUNCTION("""COMPUTED_VALUE"""),"Meat")</f>
        <v>Meat</v>
      </c>
      <c r="B688" s="46" t="str">
        <f>IFERROR(__xludf.DUMMYFUNCTION("""COMPUTED_VALUE"""),"Czech Republic")</f>
        <v>Czech Republic</v>
      </c>
      <c r="C688" s="46">
        <f>IFERROR(__xludf.DUMMYFUNCTION("""COMPUTED_VALUE"""),5.52276551E8)</f>
        <v>552276551</v>
      </c>
      <c r="D688" s="84">
        <f>IFERROR(__xludf.DUMMYFUNCTION("""COMPUTED_VALUE"""),4117224.51)</f>
        <v>4117224.51</v>
      </c>
      <c r="H688" s="48"/>
      <c r="I688" s="38"/>
      <c r="J688" s="38"/>
      <c r="K688" s="38"/>
      <c r="M688" s="87"/>
      <c r="N688" s="38"/>
      <c r="Q688" s="38"/>
    </row>
    <row r="689">
      <c r="A689" s="46" t="str">
        <f>IFERROR(__xludf.DUMMYFUNCTION("""COMPUTED_VALUE"""),"Meat")</f>
        <v>Meat</v>
      </c>
      <c r="B689" s="46" t="str">
        <f>IFERROR(__xludf.DUMMYFUNCTION("""COMPUTED_VALUE"""),"Andorra")</f>
        <v>Andorra</v>
      </c>
      <c r="C689" s="46">
        <f>IFERROR(__xludf.DUMMYFUNCTION("""COMPUTED_VALUE"""),5.52931869E8)</f>
        <v>552931869</v>
      </c>
      <c r="D689" s="84">
        <f>IFERROR(__xludf.DUMMYFUNCTION("""COMPUTED_VALUE"""),1553398.98)</f>
        <v>1553398.98</v>
      </c>
      <c r="H689" s="48"/>
      <c r="I689" s="38"/>
      <c r="J689" s="38"/>
      <c r="K689" s="38"/>
      <c r="M689" s="87"/>
      <c r="N689" s="38"/>
      <c r="Q689" s="38"/>
    </row>
    <row r="690">
      <c r="A690" s="46" t="str">
        <f>IFERROR(__xludf.DUMMYFUNCTION("""COMPUTED_VALUE"""),"Personal Care")</f>
        <v>Personal Care</v>
      </c>
      <c r="B690" s="46" t="str">
        <f>IFERROR(__xludf.DUMMYFUNCTION("""COMPUTED_VALUE"""),"Cyprus")</f>
        <v>Cyprus</v>
      </c>
      <c r="C690" s="46">
        <f>IFERROR(__xludf.DUMMYFUNCTION("""COMPUTED_VALUE"""),5.53107821E8)</f>
        <v>553107821</v>
      </c>
      <c r="D690" s="84">
        <f>IFERROR(__xludf.DUMMYFUNCTION("""COMPUTED_VALUE"""),470029.23000000004)</f>
        <v>470029.23</v>
      </c>
      <c r="H690" s="48"/>
      <c r="I690" s="38"/>
      <c r="J690" s="38"/>
      <c r="K690" s="38"/>
      <c r="M690" s="87"/>
      <c r="N690" s="38"/>
      <c r="Q690" s="38"/>
    </row>
    <row r="691">
      <c r="A691" s="46" t="str">
        <f>IFERROR(__xludf.DUMMYFUNCTION("""COMPUTED_VALUE"""),"Cereal")</f>
        <v>Cereal</v>
      </c>
      <c r="B691" s="46" t="str">
        <f>IFERROR(__xludf.DUMMYFUNCTION("""COMPUTED_VALUE"""),"San Marino")</f>
        <v>San Marino</v>
      </c>
      <c r="C691" s="46">
        <f>IFERROR(__xludf.DUMMYFUNCTION("""COMPUTED_VALUE"""),5.54554927E8)</f>
        <v>554554927</v>
      </c>
      <c r="D691" s="84">
        <f>IFERROR(__xludf.DUMMYFUNCTION("""COMPUTED_VALUE"""),818891.7)</f>
        <v>818891.7</v>
      </c>
      <c r="H691" s="48"/>
      <c r="I691" s="38"/>
      <c r="J691" s="38"/>
      <c r="K691" s="38"/>
      <c r="M691" s="87"/>
      <c r="N691" s="38"/>
      <c r="Q691" s="38"/>
    </row>
    <row r="692">
      <c r="A692" s="46" t="str">
        <f>IFERROR(__xludf.DUMMYFUNCTION("""COMPUTED_VALUE"""),"Beverages")</f>
        <v>Beverages</v>
      </c>
      <c r="B692" s="46" t="str">
        <f>IFERROR(__xludf.DUMMYFUNCTION("""COMPUTED_VALUE"""),"Portugal")</f>
        <v>Portugal</v>
      </c>
      <c r="C692" s="46">
        <f>IFERROR(__xludf.DUMMYFUNCTION("""COMPUTED_VALUE"""),5.54721438E8)</f>
        <v>554721438</v>
      </c>
      <c r="D692" s="84">
        <f>IFERROR(__xludf.DUMMYFUNCTION("""COMPUTED_VALUE"""),154497.2)</f>
        <v>154497.2</v>
      </c>
      <c r="H692" s="48"/>
      <c r="I692" s="38"/>
      <c r="J692" s="38"/>
      <c r="K692" s="38"/>
      <c r="M692" s="87"/>
      <c r="N692" s="38"/>
      <c r="Q692" s="38"/>
    </row>
    <row r="693">
      <c r="A693" s="46" t="str">
        <f>IFERROR(__xludf.DUMMYFUNCTION("""COMPUTED_VALUE"""),"Beverages")</f>
        <v>Beverages</v>
      </c>
      <c r="B693" s="46" t="str">
        <f>IFERROR(__xludf.DUMMYFUNCTION("""COMPUTED_VALUE"""),"Spain")</f>
        <v>Spain</v>
      </c>
      <c r="C693" s="46">
        <f>IFERROR(__xludf.DUMMYFUNCTION("""COMPUTED_VALUE"""),5.56263816E8)</f>
        <v>556263816</v>
      </c>
      <c r="D693" s="84">
        <f>IFERROR(__xludf.DUMMYFUNCTION("""COMPUTED_VALUE"""),459268.55000000005)</f>
        <v>459268.55</v>
      </c>
      <c r="H693" s="48"/>
      <c r="I693" s="38"/>
      <c r="J693" s="38"/>
      <c r="K693" s="38"/>
      <c r="M693" s="87"/>
      <c r="N693" s="38"/>
      <c r="Q693" s="38"/>
    </row>
    <row r="694">
      <c r="A694" s="46" t="str">
        <f>IFERROR(__xludf.DUMMYFUNCTION("""COMPUTED_VALUE"""),"Vegetables")</f>
        <v>Vegetables</v>
      </c>
      <c r="B694" s="46" t="str">
        <f>IFERROR(__xludf.DUMMYFUNCTION("""COMPUTED_VALUE"""),"United Kingdom")</f>
        <v>United Kingdom</v>
      </c>
      <c r="C694" s="46">
        <f>IFERROR(__xludf.DUMMYFUNCTION("""COMPUTED_VALUE"""),5.56647908E8)</f>
        <v>556647908</v>
      </c>
      <c r="D694" s="84">
        <f>IFERROR(__xludf.DUMMYFUNCTION("""COMPUTED_VALUE"""),514714.46)</f>
        <v>514714.46</v>
      </c>
      <c r="H694" s="48"/>
      <c r="I694" s="38"/>
      <c r="J694" s="38"/>
      <c r="K694" s="38"/>
      <c r="M694" s="87"/>
      <c r="N694" s="38"/>
      <c r="Q694" s="38"/>
    </row>
    <row r="695">
      <c r="A695" s="46" t="str">
        <f>IFERROR(__xludf.DUMMYFUNCTION("""COMPUTED_VALUE"""),"Cereal")</f>
        <v>Cereal</v>
      </c>
      <c r="B695" s="46" t="str">
        <f>IFERROR(__xludf.DUMMYFUNCTION("""COMPUTED_VALUE"""),"Andorra")</f>
        <v>Andorra</v>
      </c>
      <c r="C695" s="46">
        <f>IFERROR(__xludf.DUMMYFUNCTION("""COMPUTED_VALUE"""),5.56947886E8)</f>
        <v>556947886</v>
      </c>
      <c r="D695" s="84">
        <f>IFERROR(__xludf.DUMMYFUNCTION("""COMPUTED_VALUE"""),434232.69999999995)</f>
        <v>434232.7</v>
      </c>
      <c r="H695" s="48"/>
      <c r="I695" s="38"/>
      <c r="J695" s="38"/>
      <c r="K695" s="38"/>
      <c r="M695" s="87"/>
      <c r="N695" s="38"/>
      <c r="Q695" s="38"/>
    </row>
    <row r="696">
      <c r="A696" s="46" t="str">
        <f>IFERROR(__xludf.DUMMYFUNCTION("""COMPUTED_VALUE"""),"Cereal")</f>
        <v>Cereal</v>
      </c>
      <c r="B696" s="46" t="str">
        <f>IFERROR(__xludf.DUMMYFUNCTION("""COMPUTED_VALUE"""),"Ukraine")</f>
        <v>Ukraine</v>
      </c>
      <c r="C696" s="46">
        <f>IFERROR(__xludf.DUMMYFUNCTION("""COMPUTED_VALUE"""),5.59183347E8)</f>
        <v>559183347</v>
      </c>
      <c r="D696" s="84">
        <f>IFERROR(__xludf.DUMMYFUNCTION("""COMPUTED_VALUE"""),747308.1)</f>
        <v>747308.1</v>
      </c>
      <c r="H696" s="48"/>
      <c r="I696" s="38"/>
      <c r="J696" s="38"/>
      <c r="K696" s="38"/>
      <c r="M696" s="87"/>
      <c r="N696" s="38"/>
      <c r="Q696" s="38"/>
    </row>
    <row r="697">
      <c r="A697" s="46" t="str">
        <f>IFERROR(__xludf.DUMMYFUNCTION("""COMPUTED_VALUE"""),"Vegetables")</f>
        <v>Vegetables</v>
      </c>
      <c r="B697" s="46" t="str">
        <f>IFERROR(__xludf.DUMMYFUNCTION("""COMPUTED_VALUE"""),"Serbia")</f>
        <v>Serbia</v>
      </c>
      <c r="C697" s="46">
        <f>IFERROR(__xludf.DUMMYFUNCTION("""COMPUTED_VALUE"""),5.59417665E8)</f>
        <v>559417665</v>
      </c>
      <c r="D697" s="84">
        <f>IFERROR(__xludf.DUMMYFUNCTION("""COMPUTED_VALUE"""),458020.38)</f>
        <v>458020.38</v>
      </c>
      <c r="H697" s="48"/>
      <c r="I697" s="38"/>
      <c r="J697" s="38"/>
      <c r="K697" s="38"/>
      <c r="M697" s="87"/>
      <c r="N697" s="38"/>
      <c r="Q697" s="38"/>
    </row>
    <row r="698">
      <c r="A698" s="46" t="str">
        <f>IFERROR(__xludf.DUMMYFUNCTION("""COMPUTED_VALUE"""),"Vegetables")</f>
        <v>Vegetables</v>
      </c>
      <c r="B698" s="46" t="str">
        <f>IFERROR(__xludf.DUMMYFUNCTION("""COMPUTED_VALUE"""),"San Marino")</f>
        <v>San Marino</v>
      </c>
      <c r="C698" s="46">
        <f>IFERROR(__xludf.DUMMYFUNCTION("""COMPUTED_VALUE"""),5.60389268E8)</f>
        <v>560389268</v>
      </c>
      <c r="D698" s="84">
        <f>IFERROR(__xludf.DUMMYFUNCTION("""COMPUTED_VALUE"""),75797.52)</f>
        <v>75797.52</v>
      </c>
      <c r="H698" s="48"/>
      <c r="I698" s="38"/>
      <c r="J698" s="38"/>
      <c r="K698" s="38"/>
      <c r="M698" s="87"/>
      <c r="N698" s="38"/>
      <c r="Q698" s="38"/>
    </row>
    <row r="699">
      <c r="A699" s="46" t="str">
        <f>IFERROR(__xludf.DUMMYFUNCTION("""COMPUTED_VALUE"""),"Office Supplies")</f>
        <v>Office Supplies</v>
      </c>
      <c r="B699" s="46" t="str">
        <f>IFERROR(__xludf.DUMMYFUNCTION("""COMPUTED_VALUE"""),"United Kingdom")</f>
        <v>United Kingdom</v>
      </c>
      <c r="C699" s="46">
        <f>IFERROR(__xludf.DUMMYFUNCTION("""COMPUTED_VALUE"""),5.60762631E8)</f>
        <v>560762631</v>
      </c>
      <c r="D699" s="84">
        <f>IFERROR(__xludf.DUMMYFUNCTION("""COMPUTED_VALUE"""),637534.5900000001)</f>
        <v>637534.59</v>
      </c>
      <c r="H699" s="48"/>
      <c r="I699" s="38"/>
      <c r="J699" s="38"/>
      <c r="K699" s="38"/>
      <c r="M699" s="87"/>
      <c r="N699" s="38"/>
      <c r="Q699" s="38"/>
    </row>
    <row r="700">
      <c r="A700" s="46" t="str">
        <f>IFERROR(__xludf.DUMMYFUNCTION("""COMPUTED_VALUE"""),"Personal Care")</f>
        <v>Personal Care</v>
      </c>
      <c r="B700" s="46" t="str">
        <f>IFERROR(__xludf.DUMMYFUNCTION("""COMPUTED_VALUE"""),"Cyprus")</f>
        <v>Cyprus</v>
      </c>
      <c r="C700" s="46">
        <f>IFERROR(__xludf.DUMMYFUNCTION("""COMPUTED_VALUE"""),5.61534678E8)</f>
        <v>561534678</v>
      </c>
      <c r="D700" s="84">
        <f>IFERROR(__xludf.DUMMYFUNCTION("""COMPUTED_VALUE"""),771939.8500000001)</f>
        <v>771939.85</v>
      </c>
      <c r="H700" s="48"/>
      <c r="I700" s="38"/>
      <c r="J700" s="38"/>
      <c r="K700" s="38"/>
      <c r="M700" s="87"/>
      <c r="N700" s="38"/>
      <c r="Q700" s="38"/>
    </row>
    <row r="701">
      <c r="A701" s="46" t="str">
        <f>IFERROR(__xludf.DUMMYFUNCTION("""COMPUTED_VALUE"""),"Clothes")</f>
        <v>Clothes</v>
      </c>
      <c r="B701" s="46" t="str">
        <f>IFERROR(__xludf.DUMMYFUNCTION("""COMPUTED_VALUE"""),"Iceland")</f>
        <v>Iceland</v>
      </c>
      <c r="C701" s="46">
        <f>IFERROR(__xludf.DUMMYFUNCTION("""COMPUTED_VALUE"""),5.63939225E8)</f>
        <v>563939225</v>
      </c>
      <c r="D701" s="84">
        <f>IFERROR(__xludf.DUMMYFUNCTION("""COMPUTED_VALUE"""),109717.12)</f>
        <v>109717.12</v>
      </c>
      <c r="H701" s="48"/>
      <c r="I701" s="38"/>
      <c r="J701" s="38"/>
      <c r="K701" s="38"/>
      <c r="M701" s="87"/>
      <c r="N701" s="38"/>
      <c r="Q701" s="38"/>
    </row>
    <row r="702">
      <c r="A702" s="46" t="str">
        <f>IFERROR(__xludf.DUMMYFUNCTION("""COMPUTED_VALUE"""),"Baby Food")</f>
        <v>Baby Food</v>
      </c>
      <c r="B702" s="46" t="str">
        <f>IFERROR(__xludf.DUMMYFUNCTION("""COMPUTED_VALUE"""),"Finland")</f>
        <v>Finland</v>
      </c>
      <c r="C702" s="46">
        <f>IFERROR(__xludf.DUMMYFUNCTION("""COMPUTED_VALUE"""),5.64173543E8)</f>
        <v>564173543</v>
      </c>
      <c r="D702" s="84">
        <f>IFERROR(__xludf.DUMMYFUNCTION("""COMPUTED_VALUE"""),87561.04)</f>
        <v>87561.04</v>
      </c>
      <c r="H702" s="48"/>
      <c r="I702" s="38"/>
      <c r="J702" s="38"/>
      <c r="K702" s="38"/>
      <c r="M702" s="87"/>
      <c r="N702" s="38"/>
      <c r="Q702" s="38"/>
    </row>
    <row r="703">
      <c r="A703" s="46" t="str">
        <f>IFERROR(__xludf.DUMMYFUNCTION("""COMPUTED_VALUE"""),"Beverages")</f>
        <v>Beverages</v>
      </c>
      <c r="B703" s="46" t="str">
        <f>IFERROR(__xludf.DUMMYFUNCTION("""COMPUTED_VALUE"""),"Finland")</f>
        <v>Finland</v>
      </c>
      <c r="C703" s="46">
        <f>IFERROR(__xludf.DUMMYFUNCTION("""COMPUTED_VALUE"""),5.66428315E8)</f>
        <v>566428315</v>
      </c>
      <c r="D703" s="84">
        <f>IFERROR(__xludf.DUMMYFUNCTION("""COMPUTED_VALUE"""),359718.45)</f>
        <v>359718.45</v>
      </c>
      <c r="H703" s="48"/>
      <c r="I703" s="38"/>
      <c r="J703" s="38"/>
      <c r="K703" s="38"/>
      <c r="M703" s="87"/>
      <c r="N703" s="38"/>
      <c r="Q703" s="38"/>
    </row>
    <row r="704">
      <c r="A704" s="46" t="str">
        <f>IFERROR(__xludf.DUMMYFUNCTION("""COMPUTED_VALUE"""),"Fruits")</f>
        <v>Fruits</v>
      </c>
      <c r="B704" s="46" t="str">
        <f>IFERROR(__xludf.DUMMYFUNCTION("""COMPUTED_VALUE"""),"Switzerland")</f>
        <v>Switzerland</v>
      </c>
      <c r="C704" s="46">
        <f>IFERROR(__xludf.DUMMYFUNCTION("""COMPUTED_VALUE"""),5.67412793E8)</f>
        <v>567412793</v>
      </c>
      <c r="D704" s="84">
        <f>IFERROR(__xludf.DUMMYFUNCTION("""COMPUTED_VALUE"""),83130.3)</f>
        <v>83130.3</v>
      </c>
      <c r="H704" s="48"/>
      <c r="I704" s="38"/>
      <c r="J704" s="38"/>
      <c r="K704" s="38"/>
      <c r="M704" s="87"/>
      <c r="N704" s="38"/>
      <c r="Q704" s="38"/>
    </row>
    <row r="705">
      <c r="A705" s="46" t="str">
        <f>IFERROR(__xludf.DUMMYFUNCTION("""COMPUTED_VALUE"""),"Cosmetics")</f>
        <v>Cosmetics</v>
      </c>
      <c r="B705" s="46" t="str">
        <f>IFERROR(__xludf.DUMMYFUNCTION("""COMPUTED_VALUE"""),"Malta")</f>
        <v>Malta</v>
      </c>
      <c r="C705" s="46">
        <f>IFERROR(__xludf.DUMMYFUNCTION("""COMPUTED_VALUE"""),5.67751824E8)</f>
        <v>567751824</v>
      </c>
      <c r="D705" s="84">
        <f>IFERROR(__xludf.DUMMYFUNCTION("""COMPUTED_VALUE"""),4037979.1999999997)</f>
        <v>4037979.2</v>
      </c>
      <c r="H705" s="48"/>
      <c r="I705" s="38"/>
      <c r="J705" s="38"/>
      <c r="K705" s="38"/>
      <c r="M705" s="87"/>
      <c r="N705" s="38"/>
      <c r="Q705" s="38"/>
    </row>
    <row r="706">
      <c r="A706" s="46" t="str">
        <f>IFERROR(__xludf.DUMMYFUNCTION("""COMPUTED_VALUE"""),"Snacks")</f>
        <v>Snacks</v>
      </c>
      <c r="B706" s="46" t="str">
        <f>IFERROR(__xludf.DUMMYFUNCTION("""COMPUTED_VALUE"""),"Latvia")</f>
        <v>Latvia</v>
      </c>
      <c r="C706" s="46">
        <f>IFERROR(__xludf.DUMMYFUNCTION("""COMPUTED_VALUE"""),5.69170606E8)</f>
        <v>569170606</v>
      </c>
      <c r="D706" s="84">
        <f>IFERROR(__xludf.DUMMYFUNCTION("""COMPUTED_VALUE"""),1386189.3)</f>
        <v>1386189.3</v>
      </c>
      <c r="H706" s="48"/>
      <c r="I706" s="38"/>
      <c r="J706" s="38"/>
      <c r="K706" s="38"/>
      <c r="M706" s="87"/>
      <c r="N706" s="38"/>
      <c r="Q706" s="38"/>
    </row>
    <row r="707">
      <c r="A707" s="46" t="str">
        <f>IFERROR(__xludf.DUMMYFUNCTION("""COMPUTED_VALUE"""),"Cereal")</f>
        <v>Cereal</v>
      </c>
      <c r="B707" s="46" t="str">
        <f>IFERROR(__xludf.DUMMYFUNCTION("""COMPUTED_VALUE"""),"Switzerland")</f>
        <v>Switzerland</v>
      </c>
      <c r="C707" s="46">
        <f>IFERROR(__xludf.DUMMYFUNCTION("""COMPUTED_VALUE"""),5.69864976E8)</f>
        <v>569864976</v>
      </c>
      <c r="D707" s="84">
        <f>IFERROR(__xludf.DUMMYFUNCTION("""COMPUTED_VALUE"""),939020.5)</f>
        <v>939020.5</v>
      </c>
      <c r="H707" s="48"/>
      <c r="I707" s="38"/>
      <c r="J707" s="38"/>
      <c r="K707" s="38"/>
      <c r="M707" s="87"/>
      <c r="N707" s="38"/>
      <c r="Q707" s="38"/>
    </row>
    <row r="708">
      <c r="A708" s="46" t="str">
        <f>IFERROR(__xludf.DUMMYFUNCTION("""COMPUTED_VALUE"""),"Baby Food")</f>
        <v>Baby Food</v>
      </c>
      <c r="B708" s="46" t="str">
        <f>IFERROR(__xludf.DUMMYFUNCTION("""COMPUTED_VALUE"""),"Andorra")</f>
        <v>Andorra</v>
      </c>
      <c r="C708" s="46">
        <f>IFERROR(__xludf.DUMMYFUNCTION("""COMPUTED_VALUE"""),5.69941365E8)</f>
        <v>569941365</v>
      </c>
      <c r="D708" s="84">
        <f>IFERROR(__xludf.DUMMYFUNCTION("""COMPUTED_VALUE"""),1830357.6)</f>
        <v>1830357.6</v>
      </c>
      <c r="H708" s="48"/>
      <c r="I708" s="38"/>
      <c r="J708" s="38"/>
      <c r="K708" s="38"/>
      <c r="M708" s="87"/>
      <c r="N708" s="38"/>
      <c r="Q708" s="38"/>
    </row>
    <row r="709">
      <c r="A709" s="46" t="str">
        <f>IFERROR(__xludf.DUMMYFUNCTION("""COMPUTED_VALUE"""),"Household")</f>
        <v>Household</v>
      </c>
      <c r="B709" s="46" t="str">
        <f>IFERROR(__xludf.DUMMYFUNCTION("""COMPUTED_VALUE"""),"Albania")</f>
        <v>Albania</v>
      </c>
      <c r="C709" s="46">
        <f>IFERROR(__xludf.DUMMYFUNCTION("""COMPUTED_VALUE"""),5.7047652E8)</f>
        <v>570476520</v>
      </c>
      <c r="D709" s="84">
        <f>IFERROR(__xludf.DUMMYFUNCTION("""COMPUTED_VALUE"""),3698206.1799999997)</f>
        <v>3698206.18</v>
      </c>
      <c r="H709" s="48"/>
      <c r="I709" s="38"/>
      <c r="J709" s="38"/>
      <c r="K709" s="38"/>
      <c r="M709" s="87"/>
      <c r="N709" s="38"/>
      <c r="Q709" s="38"/>
    </row>
    <row r="710">
      <c r="A710" s="46" t="str">
        <f>IFERROR(__xludf.DUMMYFUNCTION("""COMPUTED_VALUE"""),"Personal Care")</f>
        <v>Personal Care</v>
      </c>
      <c r="B710" s="46" t="str">
        <f>IFERROR(__xludf.DUMMYFUNCTION("""COMPUTED_VALUE"""),"Iceland")</f>
        <v>Iceland</v>
      </c>
      <c r="C710" s="46">
        <f>IFERROR(__xludf.DUMMYFUNCTION("""COMPUTED_VALUE"""),5.70703542E8)</f>
        <v>570703542</v>
      </c>
      <c r="D710" s="84">
        <f>IFERROR(__xludf.DUMMYFUNCTION("""COMPUTED_VALUE"""),221896.95)</f>
        <v>221896.95</v>
      </c>
      <c r="H710" s="48"/>
      <c r="I710" s="38"/>
      <c r="J710" s="38"/>
      <c r="K710" s="38"/>
      <c r="M710" s="87"/>
      <c r="N710" s="38"/>
      <c r="Q710" s="38"/>
    </row>
    <row r="711">
      <c r="A711" s="46" t="str">
        <f>IFERROR(__xludf.DUMMYFUNCTION("""COMPUTED_VALUE"""),"Household")</f>
        <v>Household</v>
      </c>
      <c r="B711" s="46" t="str">
        <f>IFERROR(__xludf.DUMMYFUNCTION("""COMPUTED_VALUE"""),"Czech Republic")</f>
        <v>Czech Republic</v>
      </c>
      <c r="C711" s="46">
        <f>IFERROR(__xludf.DUMMYFUNCTION("""COMPUTED_VALUE"""),5.71161448E8)</f>
        <v>571161448</v>
      </c>
      <c r="D711" s="84">
        <f>IFERROR(__xludf.DUMMYFUNCTION("""COMPUTED_VALUE"""),5493179.399999999)</f>
        <v>5493179.4</v>
      </c>
      <c r="H711" s="48"/>
      <c r="I711" s="38"/>
      <c r="J711" s="38"/>
      <c r="K711" s="38"/>
      <c r="M711" s="87"/>
      <c r="N711" s="38"/>
      <c r="Q711" s="38"/>
    </row>
    <row r="712">
      <c r="A712" s="46" t="str">
        <f>IFERROR(__xludf.DUMMYFUNCTION("""COMPUTED_VALUE"""),"Vegetables")</f>
        <v>Vegetables</v>
      </c>
      <c r="B712" s="46" t="str">
        <f>IFERROR(__xludf.DUMMYFUNCTION("""COMPUTED_VALUE"""),"Armenia")</f>
        <v>Armenia</v>
      </c>
      <c r="C712" s="46">
        <f>IFERROR(__xludf.DUMMYFUNCTION("""COMPUTED_VALUE"""),5.71323239E8)</f>
        <v>571323239</v>
      </c>
      <c r="D712" s="84">
        <f>IFERROR(__xludf.DUMMYFUNCTION("""COMPUTED_VALUE"""),939303.8200000001)</f>
        <v>939303.82</v>
      </c>
      <c r="H712" s="48"/>
      <c r="I712" s="38"/>
      <c r="J712" s="38"/>
      <c r="K712" s="38"/>
      <c r="M712" s="87"/>
      <c r="N712" s="38"/>
      <c r="Q712" s="38"/>
    </row>
    <row r="713">
      <c r="A713" s="46" t="str">
        <f>IFERROR(__xludf.DUMMYFUNCTION("""COMPUTED_VALUE"""),"Cereal")</f>
        <v>Cereal</v>
      </c>
      <c r="B713" s="46" t="str">
        <f>IFERROR(__xludf.DUMMYFUNCTION("""COMPUTED_VALUE"""),"Romania")</f>
        <v>Romania</v>
      </c>
      <c r="C713" s="46">
        <f>IFERROR(__xludf.DUMMYFUNCTION("""COMPUTED_VALUE"""),5.72634732E8)</f>
        <v>572634732</v>
      </c>
      <c r="D713" s="84">
        <f>IFERROR(__xludf.DUMMYFUNCTION("""COMPUTED_VALUE"""),863322.8999999999)</f>
        <v>863322.9</v>
      </c>
      <c r="H713" s="48"/>
      <c r="I713" s="38"/>
      <c r="J713" s="38"/>
      <c r="K713" s="38"/>
      <c r="M713" s="87"/>
      <c r="N713" s="38"/>
      <c r="Q713" s="38"/>
    </row>
    <row r="714">
      <c r="A714" s="46" t="str">
        <f>IFERROR(__xludf.DUMMYFUNCTION("""COMPUTED_VALUE"""),"Household")</f>
        <v>Household</v>
      </c>
      <c r="B714" s="46" t="str">
        <f>IFERROR(__xludf.DUMMYFUNCTION("""COMPUTED_VALUE"""),"Czech Republic")</f>
        <v>Czech Republic</v>
      </c>
      <c r="C714" s="46">
        <f>IFERROR(__xludf.DUMMYFUNCTION("""COMPUTED_VALUE"""),5.74247491E8)</f>
        <v>574247491</v>
      </c>
      <c r="D714" s="84">
        <f>IFERROR(__xludf.DUMMYFUNCTION("""COMPUTED_VALUE"""),967654.96)</f>
        <v>967654.96</v>
      </c>
      <c r="H714" s="48"/>
      <c r="I714" s="38"/>
      <c r="J714" s="38"/>
      <c r="K714" s="38"/>
      <c r="M714" s="87"/>
      <c r="N714" s="38"/>
      <c r="Q714" s="38"/>
    </row>
    <row r="715">
      <c r="A715" s="46" t="str">
        <f>IFERROR(__xludf.DUMMYFUNCTION("""COMPUTED_VALUE"""),"Cosmetics")</f>
        <v>Cosmetics</v>
      </c>
      <c r="B715" s="46" t="str">
        <f>IFERROR(__xludf.DUMMYFUNCTION("""COMPUTED_VALUE"""),"Ukraine")</f>
        <v>Ukraine</v>
      </c>
      <c r="C715" s="46">
        <f>IFERROR(__xludf.DUMMYFUNCTION("""COMPUTED_VALUE"""),5.74925124E8)</f>
        <v>574925124</v>
      </c>
      <c r="D715" s="84">
        <f>IFERROR(__xludf.DUMMYFUNCTION("""COMPUTED_VALUE"""),863470.0)</f>
        <v>863470</v>
      </c>
      <c r="H715" s="48"/>
      <c r="I715" s="38"/>
      <c r="J715" s="38"/>
      <c r="K715" s="38"/>
      <c r="M715" s="87"/>
      <c r="N715" s="38"/>
      <c r="Q715" s="38"/>
    </row>
    <row r="716">
      <c r="A716" s="46" t="str">
        <f>IFERROR(__xludf.DUMMYFUNCTION("""COMPUTED_VALUE"""),"Snacks")</f>
        <v>Snacks</v>
      </c>
      <c r="B716" s="46" t="str">
        <f>IFERROR(__xludf.DUMMYFUNCTION("""COMPUTED_VALUE"""),"Andorra")</f>
        <v>Andorra</v>
      </c>
      <c r="C716" s="46">
        <f>IFERROR(__xludf.DUMMYFUNCTION("""COMPUTED_VALUE"""),5.7547959E8)</f>
        <v>575479590</v>
      </c>
      <c r="D716" s="84">
        <f>IFERROR(__xludf.DUMMYFUNCTION("""COMPUTED_VALUE"""),923719.3200000001)</f>
        <v>923719.32</v>
      </c>
      <c r="H716" s="48"/>
      <c r="I716" s="38"/>
      <c r="J716" s="38"/>
      <c r="K716" s="38"/>
      <c r="M716" s="87"/>
      <c r="N716" s="38"/>
      <c r="Q716" s="38"/>
    </row>
    <row r="717">
      <c r="A717" s="46" t="str">
        <f>IFERROR(__xludf.DUMMYFUNCTION("""COMPUTED_VALUE"""),"Office Supplies")</f>
        <v>Office Supplies</v>
      </c>
      <c r="B717" s="46" t="str">
        <f>IFERROR(__xludf.DUMMYFUNCTION("""COMPUTED_VALUE"""),"Austria")</f>
        <v>Austria</v>
      </c>
      <c r="C717" s="46">
        <f>IFERROR(__xludf.DUMMYFUNCTION("""COMPUTED_VALUE"""),5.75552117E8)</f>
        <v>575552117</v>
      </c>
      <c r="D717" s="84">
        <f>IFERROR(__xludf.DUMMYFUNCTION("""COMPUTED_VALUE"""),4894494.36)</f>
        <v>4894494.36</v>
      </c>
      <c r="H717" s="48"/>
      <c r="I717" s="38"/>
      <c r="J717" s="38"/>
      <c r="K717" s="38"/>
      <c r="M717" s="87"/>
      <c r="N717" s="38"/>
      <c r="Q717" s="38"/>
    </row>
    <row r="718">
      <c r="A718" s="46" t="str">
        <f>IFERROR(__xludf.DUMMYFUNCTION("""COMPUTED_VALUE"""),"Office Supplies")</f>
        <v>Office Supplies</v>
      </c>
      <c r="B718" s="46" t="str">
        <f>IFERROR(__xludf.DUMMYFUNCTION("""COMPUTED_VALUE"""),"Bosnia and Herzegovina")</f>
        <v>Bosnia and Herzegovina</v>
      </c>
      <c r="C718" s="46">
        <f>IFERROR(__xludf.DUMMYFUNCTION("""COMPUTED_VALUE"""),5.75583016E8)</f>
        <v>575583016</v>
      </c>
      <c r="D718" s="84">
        <f>IFERROR(__xludf.DUMMYFUNCTION("""COMPUTED_VALUE"""),4337058.600000001)</f>
        <v>4337058.6</v>
      </c>
      <c r="H718" s="48"/>
      <c r="I718" s="38"/>
      <c r="J718" s="38"/>
      <c r="K718" s="38"/>
      <c r="M718" s="87"/>
      <c r="N718" s="38"/>
      <c r="Q718" s="38"/>
    </row>
    <row r="719">
      <c r="A719" s="46" t="str">
        <f>IFERROR(__xludf.DUMMYFUNCTION("""COMPUTED_VALUE"""),"Personal Care")</f>
        <v>Personal Care</v>
      </c>
      <c r="B719" s="46" t="str">
        <f>IFERROR(__xludf.DUMMYFUNCTION("""COMPUTED_VALUE"""),"France")</f>
        <v>France</v>
      </c>
      <c r="C719" s="46">
        <f>IFERROR(__xludf.DUMMYFUNCTION("""COMPUTED_VALUE"""),5.75758969E8)</f>
        <v>575758969</v>
      </c>
      <c r="D719" s="84">
        <f>IFERROR(__xludf.DUMMYFUNCTION("""COMPUTED_VALUE"""),713421.17)</f>
        <v>713421.17</v>
      </c>
      <c r="H719" s="48"/>
      <c r="I719" s="38"/>
      <c r="J719" s="38"/>
      <c r="K719" s="38"/>
      <c r="M719" s="87"/>
      <c r="N719" s="38"/>
      <c r="Q719" s="38"/>
    </row>
    <row r="720">
      <c r="A720" s="46" t="str">
        <f>IFERROR(__xludf.DUMMYFUNCTION("""COMPUTED_VALUE"""),"Cosmetics")</f>
        <v>Cosmetics</v>
      </c>
      <c r="B720" s="46" t="str">
        <f>IFERROR(__xludf.DUMMYFUNCTION("""COMPUTED_VALUE"""),"Albania")</f>
        <v>Albania</v>
      </c>
      <c r="C720" s="46">
        <f>IFERROR(__xludf.DUMMYFUNCTION("""COMPUTED_VALUE"""),5.7694472E8)</f>
        <v>576944720</v>
      </c>
      <c r="D720" s="84">
        <f>IFERROR(__xludf.DUMMYFUNCTION("""COMPUTED_VALUE"""),4205426.8)</f>
        <v>4205426.8</v>
      </c>
      <c r="H720" s="48"/>
      <c r="I720" s="38"/>
      <c r="J720" s="38"/>
      <c r="K720" s="38"/>
      <c r="M720" s="87"/>
      <c r="N720" s="38"/>
      <c r="Q720" s="38"/>
    </row>
    <row r="721">
      <c r="A721" s="46" t="str">
        <f>IFERROR(__xludf.DUMMYFUNCTION("""COMPUTED_VALUE"""),"Personal Care")</f>
        <v>Personal Care</v>
      </c>
      <c r="B721" s="46" t="str">
        <f>IFERROR(__xludf.DUMMYFUNCTION("""COMPUTED_VALUE"""),"Czech Republic")</f>
        <v>Czech Republic</v>
      </c>
      <c r="C721" s="46">
        <f>IFERROR(__xludf.DUMMYFUNCTION("""COMPUTED_VALUE"""),5.77530944E8)</f>
        <v>577530944</v>
      </c>
      <c r="D721" s="84">
        <f>IFERROR(__xludf.DUMMYFUNCTION("""COMPUTED_VALUE"""),252954.35)</f>
        <v>252954.35</v>
      </c>
      <c r="H721" s="48"/>
      <c r="I721" s="38"/>
      <c r="J721" s="38"/>
      <c r="K721" s="38"/>
      <c r="M721" s="87"/>
      <c r="N721" s="38"/>
      <c r="Q721" s="38"/>
    </row>
    <row r="722">
      <c r="A722" s="46" t="str">
        <f>IFERROR(__xludf.DUMMYFUNCTION("""COMPUTED_VALUE"""),"Meat")</f>
        <v>Meat</v>
      </c>
      <c r="B722" s="46" t="str">
        <f>IFERROR(__xludf.DUMMYFUNCTION("""COMPUTED_VALUE"""),"Iceland")</f>
        <v>Iceland</v>
      </c>
      <c r="C722" s="46">
        <f>IFERROR(__xludf.DUMMYFUNCTION("""COMPUTED_VALUE"""),5.78356206E8)</f>
        <v>578356206</v>
      </c>
      <c r="D722" s="84">
        <f>IFERROR(__xludf.DUMMYFUNCTION("""COMPUTED_VALUE"""),3083594.01)</f>
        <v>3083594.01</v>
      </c>
      <c r="H722" s="48"/>
      <c r="I722" s="38"/>
      <c r="J722" s="38"/>
      <c r="K722" s="38"/>
      <c r="M722" s="87"/>
      <c r="N722" s="38"/>
      <c r="Q722" s="38"/>
    </row>
    <row r="723">
      <c r="A723" s="46" t="str">
        <f>IFERROR(__xludf.DUMMYFUNCTION("""COMPUTED_VALUE"""),"Fruits")</f>
        <v>Fruits</v>
      </c>
      <c r="B723" s="46" t="str">
        <f>IFERROR(__xludf.DUMMYFUNCTION("""COMPUTED_VALUE"""),"Russia")</f>
        <v>Russia</v>
      </c>
      <c r="C723" s="46">
        <f>IFERROR(__xludf.DUMMYFUNCTION("""COMPUTED_VALUE"""),5.78666484E8)</f>
        <v>578666484</v>
      </c>
      <c r="D723" s="84">
        <f>IFERROR(__xludf.DUMMYFUNCTION("""COMPUTED_VALUE"""),85154.91)</f>
        <v>85154.91</v>
      </c>
      <c r="H723" s="48"/>
      <c r="I723" s="38"/>
      <c r="J723" s="38"/>
      <c r="K723" s="38"/>
      <c r="M723" s="87"/>
      <c r="N723" s="38"/>
      <c r="Q723" s="38"/>
    </row>
    <row r="724">
      <c r="A724" s="46" t="str">
        <f>IFERROR(__xludf.DUMMYFUNCTION("""COMPUTED_VALUE"""),"Vegetables")</f>
        <v>Vegetables</v>
      </c>
      <c r="B724" s="46" t="str">
        <f>IFERROR(__xludf.DUMMYFUNCTION("""COMPUTED_VALUE"""),"Cyprus")</f>
        <v>Cyprus</v>
      </c>
      <c r="C724" s="46">
        <f>IFERROR(__xludf.DUMMYFUNCTION("""COMPUTED_VALUE"""),5.79094779E8)</f>
        <v>579094779</v>
      </c>
      <c r="D724" s="84">
        <f>IFERROR(__xludf.DUMMYFUNCTION("""COMPUTED_VALUE"""),904178.14)</f>
        <v>904178.14</v>
      </c>
      <c r="H724" s="48"/>
      <c r="I724" s="38"/>
      <c r="J724" s="38"/>
      <c r="K724" s="38"/>
      <c r="M724" s="87"/>
      <c r="N724" s="38"/>
      <c r="Q724" s="38"/>
    </row>
    <row r="725">
      <c r="A725" s="46" t="str">
        <f>IFERROR(__xludf.DUMMYFUNCTION("""COMPUTED_VALUE"""),"Fruits")</f>
        <v>Fruits</v>
      </c>
      <c r="B725" s="46" t="str">
        <f>IFERROR(__xludf.DUMMYFUNCTION("""COMPUTED_VALUE"""),"Estonia")</f>
        <v>Estonia</v>
      </c>
      <c r="C725" s="46">
        <f>IFERROR(__xludf.DUMMYFUNCTION("""COMPUTED_VALUE"""),5.79463422E8)</f>
        <v>579463422</v>
      </c>
      <c r="D725" s="84">
        <f>IFERROR(__xludf.DUMMYFUNCTION("""COMPUTED_VALUE"""),46258.14)</f>
        <v>46258.14</v>
      </c>
      <c r="H725" s="48"/>
      <c r="I725" s="38"/>
      <c r="J725" s="38"/>
      <c r="K725" s="38"/>
      <c r="M725" s="87"/>
      <c r="N725" s="38"/>
      <c r="Q725" s="38"/>
    </row>
    <row r="726">
      <c r="A726" s="46" t="str">
        <f>IFERROR(__xludf.DUMMYFUNCTION("""COMPUTED_VALUE"""),"Baby Food")</f>
        <v>Baby Food</v>
      </c>
      <c r="B726" s="46" t="str">
        <f>IFERROR(__xludf.DUMMYFUNCTION("""COMPUTED_VALUE"""),"Iceland")</f>
        <v>Iceland</v>
      </c>
      <c r="C726" s="46">
        <f>IFERROR(__xludf.DUMMYFUNCTION("""COMPUTED_VALUE"""),5.80314862E8)</f>
        <v>580314862</v>
      </c>
      <c r="D726" s="84">
        <f>IFERROR(__xludf.DUMMYFUNCTION("""COMPUTED_VALUE"""),1766027.04)</f>
        <v>1766027.04</v>
      </c>
      <c r="H726" s="48"/>
      <c r="I726" s="38"/>
      <c r="J726" s="38"/>
      <c r="K726" s="38"/>
      <c r="M726" s="87"/>
      <c r="N726" s="38"/>
      <c r="Q726" s="38"/>
    </row>
    <row r="727">
      <c r="A727" s="46" t="str">
        <f>IFERROR(__xludf.DUMMYFUNCTION("""COMPUTED_VALUE"""),"Cereal")</f>
        <v>Cereal</v>
      </c>
      <c r="B727" s="46" t="str">
        <f>IFERROR(__xludf.DUMMYFUNCTION("""COMPUTED_VALUE"""),"Armenia")</f>
        <v>Armenia</v>
      </c>
      <c r="C727" s="46">
        <f>IFERROR(__xludf.DUMMYFUNCTION("""COMPUTED_VALUE"""),5.80342328E8)</f>
        <v>580342328</v>
      </c>
      <c r="D727" s="84">
        <f>IFERROR(__xludf.DUMMYFUNCTION("""COMPUTED_VALUE"""),1037962.2)</f>
        <v>1037962.2</v>
      </c>
      <c r="H727" s="48"/>
      <c r="I727" s="38"/>
      <c r="J727" s="38"/>
      <c r="K727" s="38"/>
      <c r="M727" s="87"/>
      <c r="N727" s="38"/>
      <c r="Q727" s="38"/>
    </row>
    <row r="728">
      <c r="A728" s="46" t="str">
        <f>IFERROR(__xludf.DUMMYFUNCTION("""COMPUTED_VALUE"""),"Cereal")</f>
        <v>Cereal</v>
      </c>
      <c r="B728" s="46" t="str">
        <f>IFERROR(__xludf.DUMMYFUNCTION("""COMPUTED_VALUE"""),"Ukraine")</f>
        <v>Ukraine</v>
      </c>
      <c r="C728" s="46">
        <f>IFERROR(__xludf.DUMMYFUNCTION("""COMPUTED_VALUE"""),5.80463349E8)</f>
        <v>580463349</v>
      </c>
      <c r="D728" s="84">
        <f>IFERROR(__xludf.DUMMYFUNCTION("""COMPUTED_VALUE"""),176696.3)</f>
        <v>176696.3</v>
      </c>
      <c r="H728" s="48"/>
      <c r="I728" s="38"/>
      <c r="J728" s="38"/>
      <c r="K728" s="38"/>
      <c r="M728" s="87"/>
      <c r="N728" s="38"/>
      <c r="Q728" s="38"/>
    </row>
    <row r="729">
      <c r="A729" s="46" t="str">
        <f>IFERROR(__xludf.DUMMYFUNCTION("""COMPUTED_VALUE"""),"Beverages")</f>
        <v>Beverages</v>
      </c>
      <c r="B729" s="46" t="str">
        <f>IFERROR(__xludf.DUMMYFUNCTION("""COMPUTED_VALUE"""),"Ireland")</f>
        <v>Ireland</v>
      </c>
      <c r="C729" s="46">
        <f>IFERROR(__xludf.DUMMYFUNCTION("""COMPUTED_VALUE"""),5.8056935E8)</f>
        <v>580569350</v>
      </c>
      <c r="D729" s="84">
        <f>IFERROR(__xludf.DUMMYFUNCTION("""COMPUTED_VALUE"""),105671.15000000001)</f>
        <v>105671.15</v>
      </c>
      <c r="H729" s="48"/>
      <c r="I729" s="38"/>
      <c r="J729" s="38"/>
      <c r="K729" s="38"/>
      <c r="M729" s="87"/>
      <c r="N729" s="38"/>
      <c r="Q729" s="38"/>
    </row>
    <row r="730">
      <c r="A730" s="46" t="str">
        <f>IFERROR(__xludf.DUMMYFUNCTION("""COMPUTED_VALUE"""),"Office Supplies")</f>
        <v>Office Supplies</v>
      </c>
      <c r="B730" s="46" t="str">
        <f>IFERROR(__xludf.DUMMYFUNCTION("""COMPUTED_VALUE"""),"Undefined")</f>
        <v>Undefined</v>
      </c>
      <c r="C730" s="46">
        <f>IFERROR(__xludf.DUMMYFUNCTION("""COMPUTED_VALUE"""),5.8078221E8)</f>
        <v>580782210</v>
      </c>
      <c r="D730" s="84">
        <f>IFERROR(__xludf.DUMMYFUNCTION("""COMPUTED_VALUE"""),3397362.5700000003)</f>
        <v>3397362.57</v>
      </c>
      <c r="H730" s="48"/>
      <c r="I730" s="38"/>
      <c r="J730" s="38"/>
      <c r="K730" s="38"/>
      <c r="M730" s="87"/>
      <c r="N730" s="38"/>
      <c r="Q730" s="38"/>
    </row>
    <row r="731">
      <c r="A731" s="46" t="str">
        <f>IFERROR(__xludf.DUMMYFUNCTION("""COMPUTED_VALUE"""),"Snacks")</f>
        <v>Snacks</v>
      </c>
      <c r="B731" s="46" t="str">
        <f>IFERROR(__xludf.DUMMYFUNCTION("""COMPUTED_VALUE"""),"Cyprus")</f>
        <v>Cyprus</v>
      </c>
      <c r="C731" s="46">
        <f>IFERROR(__xludf.DUMMYFUNCTION("""COMPUTED_VALUE"""),5.81193768E8)</f>
        <v>581193768</v>
      </c>
      <c r="D731" s="84">
        <f>IFERROR(__xludf.DUMMYFUNCTION("""COMPUTED_VALUE"""),1068975.48)</f>
        <v>1068975.48</v>
      </c>
      <c r="H731" s="48"/>
      <c r="I731" s="38"/>
      <c r="J731" s="38"/>
      <c r="K731" s="38"/>
      <c r="M731" s="87"/>
      <c r="N731" s="38"/>
      <c r="Q731" s="38"/>
    </row>
    <row r="732">
      <c r="A732" s="46" t="str">
        <f>IFERROR(__xludf.DUMMYFUNCTION("""COMPUTED_VALUE"""),"Household")</f>
        <v>Household</v>
      </c>
      <c r="B732" s="46" t="str">
        <f>IFERROR(__xludf.DUMMYFUNCTION("""COMPUTED_VALUE"""),"Croatia")</f>
        <v>Croatia</v>
      </c>
      <c r="C732" s="46">
        <f>IFERROR(__xludf.DUMMYFUNCTION("""COMPUTED_VALUE"""),5.82560193E8)</f>
        <v>582560193</v>
      </c>
      <c r="D732" s="84">
        <f>IFERROR(__xludf.DUMMYFUNCTION("""COMPUTED_VALUE"""),910183.74)</f>
        <v>910183.74</v>
      </c>
      <c r="H732" s="48"/>
      <c r="I732" s="38"/>
      <c r="J732" s="38"/>
      <c r="K732" s="38"/>
      <c r="M732" s="87"/>
      <c r="N732" s="38"/>
      <c r="Q732" s="38"/>
    </row>
    <row r="733">
      <c r="A733" s="46" t="str">
        <f>IFERROR(__xludf.DUMMYFUNCTION("""COMPUTED_VALUE"""),"Household")</f>
        <v>Household</v>
      </c>
      <c r="B733" s="46" t="str">
        <f>IFERROR(__xludf.DUMMYFUNCTION("""COMPUTED_VALUE"""),"Undefined")</f>
        <v>Undefined</v>
      </c>
      <c r="C733" s="46">
        <f>IFERROR(__xludf.DUMMYFUNCTION("""COMPUTED_VALUE"""),5.82563626E8)</f>
        <v>582563626</v>
      </c>
      <c r="D733" s="84">
        <f>IFERROR(__xludf.DUMMYFUNCTION("""COMPUTED_VALUE"""),1589146.06)</f>
        <v>1589146.06</v>
      </c>
      <c r="H733" s="48"/>
      <c r="I733" s="38"/>
      <c r="J733" s="38"/>
      <c r="K733" s="38"/>
      <c r="M733" s="87"/>
      <c r="N733" s="38"/>
      <c r="Q733" s="38"/>
    </row>
    <row r="734">
      <c r="A734" s="46" t="str">
        <f>IFERROR(__xludf.DUMMYFUNCTION("""COMPUTED_VALUE"""),"Office Supplies")</f>
        <v>Office Supplies</v>
      </c>
      <c r="B734" s="46" t="str">
        <f>IFERROR(__xludf.DUMMYFUNCTION("""COMPUTED_VALUE"""),"Andorra")</f>
        <v>Andorra</v>
      </c>
      <c r="C734" s="46">
        <f>IFERROR(__xludf.DUMMYFUNCTION("""COMPUTED_VALUE"""),5.82836139E8)</f>
        <v>582836139</v>
      </c>
      <c r="D734" s="84">
        <f>IFERROR(__xludf.DUMMYFUNCTION("""COMPUTED_VALUE"""),1966654.2000000002)</f>
        <v>1966654.2</v>
      </c>
      <c r="H734" s="48"/>
      <c r="I734" s="38"/>
      <c r="J734" s="38"/>
      <c r="K734" s="38"/>
      <c r="M734" s="87"/>
      <c r="N734" s="38"/>
      <c r="Q734" s="38"/>
    </row>
    <row r="735">
      <c r="A735" s="46" t="str">
        <f>IFERROR(__xludf.DUMMYFUNCTION("""COMPUTED_VALUE"""),"Cosmetics")</f>
        <v>Cosmetics</v>
      </c>
      <c r="B735" s="46" t="str">
        <f>IFERROR(__xludf.DUMMYFUNCTION("""COMPUTED_VALUE"""),"Greece")</f>
        <v>Greece</v>
      </c>
      <c r="C735" s="46">
        <f>IFERROR(__xludf.DUMMYFUNCTION("""COMPUTED_VALUE"""),5.83089339E8)</f>
        <v>583089339</v>
      </c>
      <c r="D735" s="84">
        <f>IFERROR(__xludf.DUMMYFUNCTION("""COMPUTED_VALUE"""),3474865.6)</f>
        <v>3474865.6</v>
      </c>
      <c r="H735" s="48"/>
      <c r="I735" s="38"/>
      <c r="J735" s="38"/>
      <c r="K735" s="38"/>
      <c r="M735" s="87"/>
      <c r="N735" s="38"/>
      <c r="Q735" s="38"/>
    </row>
    <row r="736">
      <c r="A736" s="46" t="str">
        <f>IFERROR(__xludf.DUMMYFUNCTION("""COMPUTED_VALUE"""),"Snacks")</f>
        <v>Snacks</v>
      </c>
      <c r="B736" s="46" t="str">
        <f>IFERROR(__xludf.DUMMYFUNCTION("""COMPUTED_VALUE"""),"Undefined")</f>
        <v>Undefined</v>
      </c>
      <c r="C736" s="46">
        <f>IFERROR(__xludf.DUMMYFUNCTION("""COMPUTED_VALUE"""),5.83451974E8)</f>
        <v>583451974</v>
      </c>
      <c r="D736" s="84">
        <f>IFERROR(__xludf.DUMMYFUNCTION("""COMPUTED_VALUE"""),802570.8)</f>
        <v>802570.8</v>
      </c>
      <c r="H736" s="48"/>
      <c r="I736" s="38"/>
      <c r="J736" s="38"/>
      <c r="K736" s="38"/>
      <c r="M736" s="87"/>
      <c r="N736" s="38"/>
      <c r="Q736" s="38"/>
    </row>
    <row r="737">
      <c r="A737" s="46" t="str">
        <f>IFERROR(__xludf.DUMMYFUNCTION("""COMPUTED_VALUE"""),"Snacks")</f>
        <v>Snacks</v>
      </c>
      <c r="B737" s="46" t="str">
        <f>IFERROR(__xludf.DUMMYFUNCTION("""COMPUTED_VALUE"""),"Portugal")</f>
        <v>Portugal</v>
      </c>
      <c r="C737" s="46">
        <f>IFERROR(__xludf.DUMMYFUNCTION("""COMPUTED_VALUE"""),5.83654105E8)</f>
        <v>583654105</v>
      </c>
      <c r="D737" s="84">
        <f>IFERROR(__xludf.DUMMYFUNCTION("""COMPUTED_VALUE"""),774343.5000000001)</f>
        <v>774343.5</v>
      </c>
      <c r="H737" s="48"/>
      <c r="I737" s="38"/>
      <c r="J737" s="38"/>
      <c r="K737" s="38"/>
      <c r="M737" s="87"/>
      <c r="N737" s="38"/>
      <c r="Q737" s="38"/>
    </row>
    <row r="738">
      <c r="A738" s="46" t="str">
        <f>IFERROR(__xludf.DUMMYFUNCTION("""COMPUTED_VALUE"""),"Household")</f>
        <v>Household</v>
      </c>
      <c r="B738" s="46" t="str">
        <f>IFERROR(__xludf.DUMMYFUNCTION("""COMPUTED_VALUE"""),"Slovakia")</f>
        <v>Slovakia</v>
      </c>
      <c r="C738" s="46">
        <f>IFERROR(__xludf.DUMMYFUNCTION("""COMPUTED_VALUE"""),5.85362994E8)</f>
        <v>585362994</v>
      </c>
      <c r="D738" s="84">
        <f>IFERROR(__xludf.DUMMYFUNCTION("""COMPUTED_VALUE"""),516572.70999999996)</f>
        <v>516572.71</v>
      </c>
      <c r="H738" s="48"/>
      <c r="I738" s="38"/>
      <c r="J738" s="38"/>
      <c r="K738" s="38"/>
      <c r="M738" s="87"/>
      <c r="N738" s="38"/>
      <c r="Q738" s="38"/>
    </row>
    <row r="739">
      <c r="A739" s="46" t="str">
        <f>IFERROR(__xludf.DUMMYFUNCTION("""COMPUTED_VALUE"""),"Snacks")</f>
        <v>Snacks</v>
      </c>
      <c r="B739" s="46" t="str">
        <f>IFERROR(__xludf.DUMMYFUNCTION("""COMPUTED_VALUE"""),"Denmark")</f>
        <v>Denmark</v>
      </c>
      <c r="C739" s="46">
        <f>IFERROR(__xludf.DUMMYFUNCTION("""COMPUTED_VALUE"""),5.85677134E8)</f>
        <v>585677134</v>
      </c>
      <c r="D739" s="84">
        <f>IFERROR(__xludf.DUMMYFUNCTION("""COMPUTED_VALUE"""),569733.7200000001)</f>
        <v>569733.72</v>
      </c>
      <c r="H739" s="48"/>
      <c r="I739" s="38"/>
      <c r="J739" s="38"/>
      <c r="K739" s="38"/>
      <c r="M739" s="87"/>
      <c r="N739" s="38"/>
      <c r="Q739" s="38"/>
    </row>
    <row r="740">
      <c r="A740" s="46" t="str">
        <f>IFERROR(__xludf.DUMMYFUNCTION("""COMPUTED_VALUE"""),"Office Supplies")</f>
        <v>Office Supplies</v>
      </c>
      <c r="B740" s="46" t="str">
        <f>IFERROR(__xludf.DUMMYFUNCTION("""COMPUTED_VALUE"""),"Russia")</f>
        <v>Russia</v>
      </c>
      <c r="C740" s="46">
        <f>IFERROR(__xludf.DUMMYFUNCTION("""COMPUTED_VALUE"""),5.86812674E8)</f>
        <v>586812674</v>
      </c>
      <c r="D740" s="84">
        <f>IFERROR(__xludf.DUMMYFUNCTION("""COMPUTED_VALUE"""),6359716.86)</f>
        <v>6359716.86</v>
      </c>
      <c r="H740" s="48"/>
      <c r="I740" s="38"/>
      <c r="J740" s="38"/>
      <c r="K740" s="38"/>
      <c r="M740" s="87"/>
      <c r="N740" s="38"/>
      <c r="Q740" s="38"/>
    </row>
    <row r="741">
      <c r="A741" s="46" t="str">
        <f>IFERROR(__xludf.DUMMYFUNCTION("""COMPUTED_VALUE"""),"Cereal")</f>
        <v>Cereal</v>
      </c>
      <c r="B741" s="46" t="str">
        <f>IFERROR(__xludf.DUMMYFUNCTION("""COMPUTED_VALUE"""),"Greece")</f>
        <v>Greece</v>
      </c>
      <c r="C741" s="46">
        <f>IFERROR(__xludf.DUMMYFUNCTION("""COMPUTED_VALUE"""),5.87598884E8)</f>
        <v>587598884</v>
      </c>
      <c r="D741" s="84">
        <f>IFERROR(__xludf.DUMMYFUNCTION("""COMPUTED_VALUE"""),498205.39999999997)</f>
        <v>498205.4</v>
      </c>
      <c r="H741" s="48"/>
      <c r="I741" s="38"/>
      <c r="J741" s="38"/>
      <c r="K741" s="38"/>
      <c r="M741" s="87"/>
      <c r="N741" s="38"/>
      <c r="Q741" s="38"/>
    </row>
    <row r="742">
      <c r="A742" s="46" t="str">
        <f>IFERROR(__xludf.DUMMYFUNCTION("""COMPUTED_VALUE"""),"Baby Food")</f>
        <v>Baby Food</v>
      </c>
      <c r="B742" s="46" t="str">
        <f>IFERROR(__xludf.DUMMYFUNCTION("""COMPUTED_VALUE"""),"San Marino")</f>
        <v>San Marino</v>
      </c>
      <c r="C742" s="46">
        <f>IFERROR(__xludf.DUMMYFUNCTION("""COMPUTED_VALUE"""),5.87799727E8)</f>
        <v>587799727</v>
      </c>
      <c r="D742" s="84">
        <f>IFERROR(__xludf.DUMMYFUNCTION("""COMPUTED_VALUE"""),473799.68)</f>
        <v>473799.68</v>
      </c>
      <c r="H742" s="48"/>
      <c r="I742" s="38"/>
      <c r="J742" s="38"/>
      <c r="K742" s="38"/>
      <c r="M742" s="87"/>
      <c r="N742" s="38"/>
      <c r="Q742" s="38"/>
    </row>
    <row r="743">
      <c r="A743" s="46" t="str">
        <f>IFERROR(__xludf.DUMMYFUNCTION("""COMPUTED_VALUE"""),"Personal Care")</f>
        <v>Personal Care</v>
      </c>
      <c r="B743" s="46" t="str">
        <f>IFERROR(__xludf.DUMMYFUNCTION("""COMPUTED_VALUE"""),"Sweden")</f>
        <v>Sweden</v>
      </c>
      <c r="C743" s="46">
        <f>IFERROR(__xludf.DUMMYFUNCTION("""COMPUTED_VALUE"""),5.87846076E8)</f>
        <v>587846076</v>
      </c>
      <c r="D743" s="84">
        <f>IFERROR(__xludf.DUMMYFUNCTION("""COMPUTED_VALUE"""),455399.56)</f>
        <v>455399.56</v>
      </c>
      <c r="H743" s="48"/>
      <c r="I743" s="38"/>
      <c r="J743" s="38"/>
      <c r="K743" s="38"/>
      <c r="M743" s="87"/>
      <c r="N743" s="38"/>
      <c r="Q743" s="38"/>
    </row>
    <row r="744">
      <c r="A744" s="46" t="str">
        <f>IFERROR(__xludf.DUMMYFUNCTION("""COMPUTED_VALUE"""),"Personal Care")</f>
        <v>Personal Care</v>
      </c>
      <c r="B744" s="46" t="str">
        <f>IFERROR(__xludf.DUMMYFUNCTION("""COMPUTED_VALUE"""),"Greece")</f>
        <v>Greece</v>
      </c>
      <c r="C744" s="46">
        <f>IFERROR(__xludf.DUMMYFUNCTION("""COMPUTED_VALUE"""),5.88528859E8)</f>
        <v>588528859</v>
      </c>
      <c r="D744" s="84">
        <f>IFERROR(__xludf.DUMMYFUNCTION("""COMPUTED_VALUE"""),623027.79)</f>
        <v>623027.79</v>
      </c>
      <c r="H744" s="48"/>
      <c r="I744" s="38"/>
      <c r="J744" s="38"/>
      <c r="K744" s="38"/>
      <c r="M744" s="87"/>
      <c r="N744" s="38"/>
      <c r="Q744" s="38"/>
    </row>
    <row r="745">
      <c r="A745" s="46" t="str">
        <f>IFERROR(__xludf.DUMMYFUNCTION("""COMPUTED_VALUE"""),"Personal Care")</f>
        <v>Personal Care</v>
      </c>
      <c r="B745" s="46" t="str">
        <f>IFERROR(__xludf.DUMMYFUNCTION("""COMPUTED_VALUE"""),"Italy")</f>
        <v>Italy</v>
      </c>
      <c r="C745" s="46">
        <f>IFERROR(__xludf.DUMMYFUNCTION("""COMPUTED_VALUE"""),5.89842927E8)</f>
        <v>589842927</v>
      </c>
      <c r="D745" s="84">
        <f>IFERROR(__xludf.DUMMYFUNCTION("""COMPUTED_VALUE"""),530019.05)</f>
        <v>530019.05</v>
      </c>
      <c r="H745" s="48"/>
      <c r="I745" s="38"/>
      <c r="J745" s="38"/>
      <c r="K745" s="38"/>
      <c r="M745" s="87"/>
      <c r="N745" s="38"/>
      <c r="Q745" s="38"/>
    </row>
    <row r="746">
      <c r="A746" s="46" t="str">
        <f>IFERROR(__xludf.DUMMYFUNCTION("""COMPUTED_VALUE"""),"Fruits")</f>
        <v>Fruits</v>
      </c>
      <c r="B746" s="46" t="str">
        <f>IFERROR(__xludf.DUMMYFUNCTION("""COMPUTED_VALUE"""),"Finland")</f>
        <v>Finland</v>
      </c>
      <c r="C746" s="46">
        <f>IFERROR(__xludf.DUMMYFUNCTION("""COMPUTED_VALUE"""),5.91287887E8)</f>
        <v>591287887</v>
      </c>
      <c r="D746" s="84">
        <f>IFERROR(__xludf.DUMMYFUNCTION("""COMPUTED_VALUE"""),38066.4)</f>
        <v>38066.4</v>
      </c>
      <c r="H746" s="48"/>
      <c r="I746" s="38"/>
      <c r="J746" s="38"/>
      <c r="K746" s="38"/>
      <c r="M746" s="87"/>
      <c r="N746" s="38"/>
      <c r="Q746" s="38"/>
    </row>
    <row r="747">
      <c r="A747" s="46" t="str">
        <f>IFERROR(__xludf.DUMMYFUNCTION("""COMPUTED_VALUE"""),"Cereal")</f>
        <v>Cereal</v>
      </c>
      <c r="B747" s="46" t="str">
        <f>IFERROR(__xludf.DUMMYFUNCTION("""COMPUTED_VALUE"""),"San Marino")</f>
        <v>San Marino</v>
      </c>
      <c r="C747" s="46">
        <f>IFERROR(__xludf.DUMMYFUNCTION("""COMPUTED_VALUE"""),5.91774117E8)</f>
        <v>591774117</v>
      </c>
      <c r="D747" s="84">
        <f>IFERROR(__xludf.DUMMYFUNCTION("""COMPUTED_VALUE"""),1638811.9)</f>
        <v>1638811.9</v>
      </c>
      <c r="H747" s="48"/>
      <c r="I747" s="38"/>
      <c r="J747" s="38"/>
      <c r="K747" s="38"/>
      <c r="M747" s="87"/>
      <c r="N747" s="38"/>
      <c r="Q747" s="38"/>
    </row>
    <row r="748">
      <c r="A748" s="46" t="str">
        <f>IFERROR(__xludf.DUMMYFUNCTION("""COMPUTED_VALUE"""),"Snacks")</f>
        <v>Snacks</v>
      </c>
      <c r="B748" s="46" t="str">
        <f>IFERROR(__xludf.DUMMYFUNCTION("""COMPUTED_VALUE"""),"Cyprus")</f>
        <v>Cyprus</v>
      </c>
      <c r="C748" s="46">
        <f>IFERROR(__xludf.DUMMYFUNCTION("""COMPUTED_VALUE"""),5.93018233E8)</f>
        <v>593018233</v>
      </c>
      <c r="D748" s="84">
        <f>IFERROR(__xludf.DUMMYFUNCTION("""COMPUTED_VALUE"""),935010.2400000001)</f>
        <v>935010.24</v>
      </c>
      <c r="H748" s="48"/>
      <c r="I748" s="38"/>
      <c r="J748" s="38"/>
      <c r="K748" s="38"/>
      <c r="M748" s="87"/>
      <c r="N748" s="38"/>
      <c r="Q748" s="38"/>
    </row>
    <row r="749">
      <c r="A749" s="46" t="str">
        <f>IFERROR(__xludf.DUMMYFUNCTION("""COMPUTED_VALUE"""),"Clothes")</f>
        <v>Clothes</v>
      </c>
      <c r="B749" s="46" t="str">
        <f>IFERROR(__xludf.DUMMYFUNCTION("""COMPUTED_VALUE"""),"Cyprus")</f>
        <v>Cyprus</v>
      </c>
      <c r="C749" s="46">
        <f>IFERROR(__xludf.DUMMYFUNCTION("""COMPUTED_VALUE"""),5.93158566E8)</f>
        <v>593158566</v>
      </c>
      <c r="D749" s="84">
        <f>IFERROR(__xludf.DUMMYFUNCTION("""COMPUTED_VALUE"""),836647.68)</f>
        <v>836647.68</v>
      </c>
      <c r="H749" s="48"/>
      <c r="I749" s="38"/>
      <c r="J749" s="38"/>
      <c r="K749" s="38"/>
      <c r="M749" s="87"/>
      <c r="N749" s="38"/>
      <c r="Q749" s="38"/>
    </row>
    <row r="750">
      <c r="A750" s="46" t="str">
        <f>IFERROR(__xludf.DUMMYFUNCTION("""COMPUTED_VALUE"""),"Personal Care")</f>
        <v>Personal Care</v>
      </c>
      <c r="B750" s="46" t="str">
        <f>IFERROR(__xludf.DUMMYFUNCTION("""COMPUTED_VALUE"""),"Montenegro")</f>
        <v>Montenegro</v>
      </c>
      <c r="C750" s="46">
        <f>IFERROR(__xludf.DUMMYFUNCTION("""COMPUTED_VALUE"""),5.94699656E8)</f>
        <v>594699656</v>
      </c>
      <c r="D750" s="84">
        <f>IFERROR(__xludf.DUMMYFUNCTION("""COMPUTED_VALUE"""),302319.27)</f>
        <v>302319.27</v>
      </c>
      <c r="H750" s="48"/>
      <c r="I750" s="38"/>
      <c r="J750" s="38"/>
      <c r="K750" s="38"/>
      <c r="M750" s="87"/>
      <c r="N750" s="38"/>
      <c r="Q750" s="38"/>
    </row>
    <row r="751">
      <c r="A751" s="46" t="str">
        <f>IFERROR(__xludf.DUMMYFUNCTION("""COMPUTED_VALUE"""),"Personal Care")</f>
        <v>Personal Care</v>
      </c>
      <c r="B751" s="46" t="str">
        <f>IFERROR(__xludf.DUMMYFUNCTION("""COMPUTED_VALUE"""),"Norway")</f>
        <v>Norway</v>
      </c>
      <c r="C751" s="46">
        <f>IFERROR(__xludf.DUMMYFUNCTION("""COMPUTED_VALUE"""),5.94813811E8)</f>
        <v>594813811</v>
      </c>
      <c r="D751" s="84">
        <f>IFERROR(__xludf.DUMMYFUNCTION("""COMPUTED_VALUE"""),611340.4)</f>
        <v>611340.4</v>
      </c>
      <c r="H751" s="48"/>
      <c r="I751" s="38"/>
      <c r="J751" s="38"/>
      <c r="K751" s="38"/>
      <c r="M751" s="87"/>
      <c r="N751" s="38"/>
      <c r="Q751" s="38"/>
    </row>
    <row r="752">
      <c r="A752" s="46" t="str">
        <f>IFERROR(__xludf.DUMMYFUNCTION("""COMPUTED_VALUE"""),"Snacks")</f>
        <v>Snacks</v>
      </c>
      <c r="B752" s="46" t="str">
        <f>IFERROR(__xludf.DUMMYFUNCTION("""COMPUTED_VALUE"""),"Luxembourg")</f>
        <v>Luxembourg</v>
      </c>
      <c r="C752" s="46">
        <f>IFERROR(__xludf.DUMMYFUNCTION("""COMPUTED_VALUE"""),5.94991052E8)</f>
        <v>594991052</v>
      </c>
      <c r="D752" s="84">
        <f>IFERROR(__xludf.DUMMYFUNCTION("""COMPUTED_VALUE"""),1514966.82)</f>
        <v>1514966.82</v>
      </c>
      <c r="H752" s="48"/>
      <c r="I752" s="38"/>
      <c r="J752" s="38"/>
      <c r="K752" s="38"/>
      <c r="M752" s="87"/>
      <c r="N752" s="38"/>
      <c r="Q752" s="38"/>
    </row>
    <row r="753">
      <c r="A753" s="46" t="str">
        <f>IFERROR(__xludf.DUMMYFUNCTION("""COMPUTED_VALUE"""),"Personal Care")</f>
        <v>Personal Care</v>
      </c>
      <c r="B753" s="46" t="str">
        <f>IFERROR(__xludf.DUMMYFUNCTION("""COMPUTED_VALUE"""),"Luxembourg")</f>
        <v>Luxembourg</v>
      </c>
      <c r="C753" s="46">
        <f>IFERROR(__xludf.DUMMYFUNCTION("""COMPUTED_VALUE"""),5.95385873E8)</f>
        <v>595385873</v>
      </c>
      <c r="D753" s="84">
        <f>IFERROR(__xludf.DUMMYFUNCTION("""COMPUTED_VALUE"""),552903.4500000001)</f>
        <v>552903.45</v>
      </c>
      <c r="H753" s="48"/>
      <c r="I753" s="38"/>
      <c r="J753" s="38"/>
      <c r="K753" s="38"/>
      <c r="M753" s="87"/>
      <c r="N753" s="38"/>
      <c r="Q753" s="38"/>
    </row>
    <row r="754">
      <c r="A754" s="46" t="str">
        <f>IFERROR(__xludf.DUMMYFUNCTION("""COMPUTED_VALUE"""),"Beverages")</f>
        <v>Beverages</v>
      </c>
      <c r="B754" s="46" t="str">
        <f>IFERROR(__xludf.DUMMYFUNCTION("""COMPUTED_VALUE"""),"San Marino")</f>
        <v>San Marino</v>
      </c>
      <c r="C754" s="46">
        <f>IFERROR(__xludf.DUMMYFUNCTION("""COMPUTED_VALUE"""),5.95395314E8)</f>
        <v>595395314</v>
      </c>
      <c r="D754" s="84">
        <f>IFERROR(__xludf.DUMMYFUNCTION("""COMPUTED_VALUE"""),453574.55000000005)</f>
        <v>453574.55</v>
      </c>
      <c r="H754" s="48"/>
      <c r="I754" s="38"/>
      <c r="J754" s="38"/>
      <c r="K754" s="38"/>
      <c r="M754" s="87"/>
      <c r="N754" s="38"/>
      <c r="Q754" s="38"/>
    </row>
    <row r="755">
      <c r="A755" s="46" t="str">
        <f>IFERROR(__xludf.DUMMYFUNCTION("""COMPUTED_VALUE"""),"Personal Care")</f>
        <v>Personal Care</v>
      </c>
      <c r="B755" s="46" t="str">
        <f>IFERROR(__xludf.DUMMYFUNCTION("""COMPUTED_VALUE"""),"Bulgaria")</f>
        <v>Bulgaria</v>
      </c>
      <c r="C755" s="46">
        <f>IFERROR(__xludf.DUMMYFUNCTION("""COMPUTED_VALUE"""),5.95496594E8)</f>
        <v>595496594</v>
      </c>
      <c r="D755" s="84">
        <f>IFERROR(__xludf.DUMMYFUNCTION("""COMPUTED_VALUE"""),778886.9)</f>
        <v>778886.9</v>
      </c>
      <c r="H755" s="48"/>
      <c r="I755" s="38"/>
      <c r="J755" s="38"/>
      <c r="K755" s="38"/>
      <c r="M755" s="87"/>
      <c r="N755" s="38"/>
      <c r="Q755" s="38"/>
    </row>
    <row r="756">
      <c r="A756" s="46" t="str">
        <f>IFERROR(__xludf.DUMMYFUNCTION("""COMPUTED_VALUE"""),"Meat")</f>
        <v>Meat</v>
      </c>
      <c r="B756" s="46" t="str">
        <f>IFERROR(__xludf.DUMMYFUNCTION("""COMPUTED_VALUE"""),"Denmark")</f>
        <v>Denmark</v>
      </c>
      <c r="C756" s="46">
        <f>IFERROR(__xludf.DUMMYFUNCTION("""COMPUTED_VALUE"""),5.95922315E8)</f>
        <v>595922315</v>
      </c>
      <c r="D756" s="84">
        <f>IFERROR(__xludf.DUMMYFUNCTION("""COMPUTED_VALUE"""),2324613.9)</f>
        <v>2324613.9</v>
      </c>
      <c r="H756" s="48"/>
      <c r="I756" s="38"/>
      <c r="J756" s="38"/>
      <c r="K756" s="38"/>
      <c r="M756" s="87"/>
      <c r="N756" s="38"/>
      <c r="Q756" s="38"/>
    </row>
    <row r="757">
      <c r="A757" s="46" t="str">
        <f>IFERROR(__xludf.DUMMYFUNCTION("""COMPUTED_VALUE"""),"Baby Food")</f>
        <v>Baby Food</v>
      </c>
      <c r="B757" s="46" t="str">
        <f>IFERROR(__xludf.DUMMYFUNCTION("""COMPUTED_VALUE"""),"Germany")</f>
        <v>Germany</v>
      </c>
      <c r="C757" s="46">
        <f>IFERROR(__xludf.DUMMYFUNCTION("""COMPUTED_VALUE"""),5.96166074E8)</f>
        <v>596166074</v>
      </c>
      <c r="D757" s="84">
        <f>IFERROR(__xludf.DUMMYFUNCTION("""COMPUTED_VALUE"""),1951360.32)</f>
        <v>1951360.32</v>
      </c>
      <c r="H757" s="48"/>
      <c r="I757" s="38"/>
      <c r="J757" s="38"/>
      <c r="K757" s="38"/>
      <c r="M757" s="87"/>
      <c r="N757" s="38"/>
      <c r="Q757" s="38"/>
    </row>
    <row r="758">
      <c r="A758" s="46" t="str">
        <f>IFERROR(__xludf.DUMMYFUNCTION("""COMPUTED_VALUE"""),"Snacks")</f>
        <v>Snacks</v>
      </c>
      <c r="B758" s="46" t="str">
        <f>IFERROR(__xludf.DUMMYFUNCTION("""COMPUTED_VALUE"""),"Macedonia")</f>
        <v>Macedonia</v>
      </c>
      <c r="C758" s="46">
        <f>IFERROR(__xludf.DUMMYFUNCTION("""COMPUTED_VALUE"""),5.97105491E8)</f>
        <v>597105491</v>
      </c>
      <c r="D758" s="84">
        <f>IFERROR(__xludf.DUMMYFUNCTION("""COMPUTED_VALUE"""),860398.6200000001)</f>
        <v>860398.62</v>
      </c>
      <c r="H758" s="48"/>
      <c r="I758" s="38"/>
      <c r="J758" s="38"/>
      <c r="K758" s="38"/>
      <c r="M758" s="87"/>
      <c r="N758" s="38"/>
      <c r="Q758" s="38"/>
    </row>
    <row r="759">
      <c r="A759" s="46" t="str">
        <f>IFERROR(__xludf.DUMMYFUNCTION("""COMPUTED_VALUE"""),"Personal Care")</f>
        <v>Personal Care</v>
      </c>
      <c r="B759" s="46" t="str">
        <f>IFERROR(__xludf.DUMMYFUNCTION("""COMPUTED_VALUE"""),"Denmark")</f>
        <v>Denmark</v>
      </c>
      <c r="C759" s="46">
        <f>IFERROR(__xludf.DUMMYFUNCTION("""COMPUTED_VALUE"""),5.97839343E8)</f>
        <v>597839343</v>
      </c>
      <c r="D759" s="84">
        <f>IFERROR(__xludf.DUMMYFUNCTION("""COMPUTED_VALUE"""),229007.46000000002)</f>
        <v>229007.46</v>
      </c>
      <c r="H759" s="48"/>
      <c r="I759" s="38"/>
      <c r="J759" s="38"/>
      <c r="K759" s="38"/>
      <c r="M759" s="87"/>
      <c r="N759" s="38"/>
      <c r="Q759" s="38"/>
    </row>
    <row r="760">
      <c r="A760" s="46" t="str">
        <f>IFERROR(__xludf.DUMMYFUNCTION("""COMPUTED_VALUE"""),"Fruits")</f>
        <v>Fruits</v>
      </c>
      <c r="B760" s="46" t="str">
        <f>IFERROR(__xludf.DUMMYFUNCTION("""COMPUTED_VALUE"""),"Undefined")</f>
        <v>Undefined</v>
      </c>
      <c r="C760" s="46">
        <f>IFERROR(__xludf.DUMMYFUNCTION("""COMPUTED_VALUE"""),5.98404109E8)</f>
        <v>598404109</v>
      </c>
      <c r="D760" s="84">
        <f>IFERROR(__xludf.DUMMYFUNCTION("""COMPUTED_VALUE"""),92637.57)</f>
        <v>92637.57</v>
      </c>
      <c r="H760" s="48"/>
      <c r="I760" s="38"/>
      <c r="J760" s="38"/>
      <c r="K760" s="38"/>
      <c r="M760" s="87"/>
      <c r="N760" s="38"/>
      <c r="Q760" s="38"/>
    </row>
    <row r="761">
      <c r="A761" s="46" t="str">
        <f>IFERROR(__xludf.DUMMYFUNCTION("""COMPUTED_VALUE"""),"Beverages")</f>
        <v>Beverages</v>
      </c>
      <c r="B761" s="46" t="str">
        <f>IFERROR(__xludf.DUMMYFUNCTION("""COMPUTED_VALUE"""),"Serbia")</f>
        <v>Serbia</v>
      </c>
      <c r="C761" s="46">
        <f>IFERROR(__xludf.DUMMYFUNCTION("""COMPUTED_VALUE"""),5.99624192E8)</f>
        <v>599624192</v>
      </c>
      <c r="D761" s="84">
        <f>IFERROR(__xludf.DUMMYFUNCTION("""COMPUTED_VALUE"""),46406.100000000006)</f>
        <v>46406.1</v>
      </c>
      <c r="H761" s="48"/>
      <c r="I761" s="38"/>
      <c r="J761" s="38"/>
      <c r="K761" s="38"/>
      <c r="M761" s="87"/>
      <c r="N761" s="38"/>
      <c r="Q761" s="38"/>
    </row>
    <row r="762">
      <c r="A762" s="46" t="str">
        <f>IFERROR(__xludf.DUMMYFUNCTION("""COMPUTED_VALUE"""),"Beverages")</f>
        <v>Beverages</v>
      </c>
      <c r="B762" s="46" t="str">
        <f>IFERROR(__xludf.DUMMYFUNCTION("""COMPUTED_VALUE"""),"Undefined")</f>
        <v>Undefined</v>
      </c>
      <c r="C762" s="46">
        <f>IFERROR(__xludf.DUMMYFUNCTION("""COMPUTED_VALUE"""),5.99997556E8)</f>
        <v>599997556</v>
      </c>
      <c r="D762" s="84">
        <f>IFERROR(__xludf.DUMMYFUNCTION("""COMPUTED_VALUE"""),69514.25)</f>
        <v>69514.25</v>
      </c>
      <c r="H762" s="48"/>
      <c r="I762" s="38"/>
      <c r="J762" s="38"/>
      <c r="K762" s="38"/>
      <c r="M762" s="87"/>
      <c r="N762" s="38"/>
      <c r="Q762" s="38"/>
    </row>
    <row r="763">
      <c r="A763" s="46" t="str">
        <f>IFERROR(__xludf.DUMMYFUNCTION("""COMPUTED_VALUE"""),"Fruits")</f>
        <v>Fruits</v>
      </c>
      <c r="B763" s="46" t="str">
        <f>IFERROR(__xludf.DUMMYFUNCTION("""COMPUTED_VALUE"""),"Cyprus")</f>
        <v>Cyprus</v>
      </c>
      <c r="C763" s="46">
        <f>IFERROR(__xludf.DUMMYFUNCTION("""COMPUTED_VALUE"""),6.00515115E8)</f>
        <v>600515115</v>
      </c>
      <c r="D763" s="84">
        <f>IFERROR(__xludf.DUMMYFUNCTION("""COMPUTED_VALUE"""),43123.26)</f>
        <v>43123.26</v>
      </c>
      <c r="H763" s="48"/>
      <c r="I763" s="38"/>
      <c r="J763" s="38"/>
      <c r="K763" s="38"/>
      <c r="M763" s="87"/>
      <c r="N763" s="38"/>
      <c r="Q763" s="38"/>
    </row>
    <row r="764">
      <c r="A764" s="46" t="str">
        <f>IFERROR(__xludf.DUMMYFUNCTION("""COMPUTED_VALUE"""),"Beverages")</f>
        <v>Beverages</v>
      </c>
      <c r="B764" s="46" t="str">
        <f>IFERROR(__xludf.DUMMYFUNCTION("""COMPUTED_VALUE"""),"Netherlands")</f>
        <v>Netherlands</v>
      </c>
      <c r="C764" s="46">
        <f>IFERROR(__xludf.DUMMYFUNCTION("""COMPUTED_VALUE"""),6.01422345E8)</f>
        <v>601422345</v>
      </c>
      <c r="D764" s="84">
        <f>IFERROR(__xludf.DUMMYFUNCTION("""COMPUTED_VALUE"""),146715.40000000002)</f>
        <v>146715.4</v>
      </c>
      <c r="H764" s="48"/>
      <c r="I764" s="38"/>
      <c r="J764" s="38"/>
      <c r="K764" s="38"/>
      <c r="M764" s="87"/>
      <c r="N764" s="38"/>
      <c r="Q764" s="38"/>
    </row>
    <row r="765">
      <c r="A765" s="46" t="str">
        <f>IFERROR(__xludf.DUMMYFUNCTION("""COMPUTED_VALUE"""),"Clothes")</f>
        <v>Clothes</v>
      </c>
      <c r="B765" s="46" t="str">
        <f>IFERROR(__xludf.DUMMYFUNCTION("""COMPUTED_VALUE"""),"Undefined")</f>
        <v>Undefined</v>
      </c>
      <c r="C765" s="46">
        <f>IFERROR(__xludf.DUMMYFUNCTION("""COMPUTED_VALUE"""),6.01588857E8)</f>
        <v>601588857</v>
      </c>
      <c r="D765" s="84">
        <f>IFERROR(__xludf.DUMMYFUNCTION("""COMPUTED_VALUE"""),258556.48)</f>
        <v>258556.48</v>
      </c>
      <c r="H765" s="48"/>
      <c r="I765" s="38"/>
      <c r="J765" s="38"/>
      <c r="K765" s="38"/>
      <c r="M765" s="87"/>
      <c r="N765" s="38"/>
      <c r="Q765" s="38"/>
    </row>
    <row r="766">
      <c r="A766" s="46" t="str">
        <f>IFERROR(__xludf.DUMMYFUNCTION("""COMPUTED_VALUE"""),"Fruits")</f>
        <v>Fruits</v>
      </c>
      <c r="B766" s="46" t="str">
        <f>IFERROR(__xludf.DUMMYFUNCTION("""COMPUTED_VALUE"""),"France")</f>
        <v>France</v>
      </c>
      <c r="C766" s="46">
        <f>IFERROR(__xludf.DUMMYFUNCTION("""COMPUTED_VALUE"""),6.0188626E8)</f>
        <v>601886260</v>
      </c>
      <c r="D766" s="84">
        <f>IFERROR(__xludf.DUMMYFUNCTION("""COMPUTED_VALUE"""),3489.42)</f>
        <v>3489.42</v>
      </c>
      <c r="H766" s="48"/>
      <c r="I766" s="38"/>
      <c r="J766" s="38"/>
      <c r="K766" s="38"/>
      <c r="M766" s="87"/>
      <c r="N766" s="38"/>
      <c r="Q766" s="38"/>
    </row>
    <row r="767">
      <c r="A767" s="46" t="str">
        <f>IFERROR(__xludf.DUMMYFUNCTION("""COMPUTED_VALUE"""),"Office Supplies")</f>
        <v>Office Supplies</v>
      </c>
      <c r="B767" s="46" t="str">
        <f>IFERROR(__xludf.DUMMYFUNCTION("""COMPUTED_VALUE"""),"Slovakia")</f>
        <v>Slovakia</v>
      </c>
      <c r="C767" s="46">
        <f>IFERROR(__xludf.DUMMYFUNCTION("""COMPUTED_VALUE"""),6.01894414E8)</f>
        <v>601894414</v>
      </c>
      <c r="D767" s="84">
        <f>IFERROR(__xludf.DUMMYFUNCTION("""COMPUTED_VALUE"""),1814922.27)</f>
        <v>1814922.27</v>
      </c>
      <c r="H767" s="48"/>
      <c r="I767" s="38"/>
      <c r="J767" s="38"/>
      <c r="K767" s="38"/>
      <c r="M767" s="87"/>
      <c r="N767" s="38"/>
      <c r="Q767" s="38"/>
    </row>
    <row r="768">
      <c r="A768" s="46" t="str">
        <f>IFERROR(__xludf.DUMMYFUNCTION("""COMPUTED_VALUE"""),"Office Supplies")</f>
        <v>Office Supplies</v>
      </c>
      <c r="B768" s="46" t="str">
        <f>IFERROR(__xludf.DUMMYFUNCTION("""COMPUTED_VALUE"""),"Malta")</f>
        <v>Malta</v>
      </c>
      <c r="C768" s="46">
        <f>IFERROR(__xludf.DUMMYFUNCTION("""COMPUTED_VALUE"""),6.02264344E8)</f>
        <v>602264344</v>
      </c>
      <c r="D768" s="84">
        <f>IFERROR(__xludf.DUMMYFUNCTION("""COMPUTED_VALUE"""),1470432.1800000002)</f>
        <v>1470432.18</v>
      </c>
      <c r="H768" s="48"/>
      <c r="I768" s="38"/>
      <c r="J768" s="38"/>
      <c r="K768" s="38"/>
      <c r="M768" s="87"/>
      <c r="N768" s="38"/>
      <c r="Q768" s="38"/>
    </row>
    <row r="769">
      <c r="A769" s="46" t="str">
        <f>IFERROR(__xludf.DUMMYFUNCTION("""COMPUTED_VALUE"""),"Clothes")</f>
        <v>Clothes</v>
      </c>
      <c r="B769" s="46" t="str">
        <f>IFERROR(__xludf.DUMMYFUNCTION("""COMPUTED_VALUE"""),"Italy")</f>
        <v>Italy</v>
      </c>
      <c r="C769" s="46">
        <f>IFERROR(__xludf.DUMMYFUNCTION("""COMPUTED_VALUE"""),6.02301251E8)</f>
        <v>602301251</v>
      </c>
      <c r="D769" s="84">
        <f>IFERROR(__xludf.DUMMYFUNCTION("""COMPUTED_VALUE"""),347510.4)</f>
        <v>347510.4</v>
      </c>
      <c r="H769" s="48"/>
      <c r="I769" s="38"/>
      <c r="J769" s="38"/>
      <c r="K769" s="38"/>
      <c r="M769" s="87"/>
      <c r="N769" s="38"/>
      <c r="Q769" s="38"/>
    </row>
    <row r="770">
      <c r="A770" s="46" t="str">
        <f>IFERROR(__xludf.DUMMYFUNCTION("""COMPUTED_VALUE"""),"Personal Care")</f>
        <v>Personal Care</v>
      </c>
      <c r="B770" s="46" t="str">
        <f>IFERROR(__xludf.DUMMYFUNCTION("""COMPUTED_VALUE"""),"Russia")</f>
        <v>Russia</v>
      </c>
      <c r="C770" s="46">
        <f>IFERROR(__xludf.DUMMYFUNCTION("""COMPUTED_VALUE"""),6.02357041E8)</f>
        <v>602357041</v>
      </c>
      <c r="D770" s="84">
        <f>IFERROR(__xludf.DUMMYFUNCTION("""COMPUTED_VALUE"""),791881.9700000001)</f>
        <v>791881.97</v>
      </c>
      <c r="H770" s="48"/>
      <c r="I770" s="38"/>
      <c r="J770" s="38"/>
      <c r="K770" s="38"/>
      <c r="M770" s="87"/>
      <c r="N770" s="38"/>
      <c r="Q770" s="38"/>
    </row>
    <row r="771">
      <c r="A771" s="46" t="str">
        <f>IFERROR(__xludf.DUMMYFUNCTION("""COMPUTED_VALUE"""),"Meat")</f>
        <v>Meat</v>
      </c>
      <c r="B771" s="46" t="str">
        <f>IFERROR(__xludf.DUMMYFUNCTION("""COMPUTED_VALUE"""),"Macedonia")</f>
        <v>Macedonia</v>
      </c>
      <c r="C771" s="46">
        <f>IFERROR(__xludf.DUMMYFUNCTION("""COMPUTED_VALUE"""),6.04124295E8)</f>
        <v>604124295</v>
      </c>
      <c r="D771" s="84">
        <f>IFERROR(__xludf.DUMMYFUNCTION("""COMPUTED_VALUE"""),1121805.51)</f>
        <v>1121805.51</v>
      </c>
      <c r="H771" s="48"/>
      <c r="I771" s="38"/>
      <c r="J771" s="38"/>
      <c r="K771" s="38"/>
      <c r="M771" s="87"/>
      <c r="N771" s="38"/>
      <c r="Q771" s="38"/>
    </row>
    <row r="772">
      <c r="A772" s="46" t="str">
        <f>IFERROR(__xludf.DUMMYFUNCTION("""COMPUTED_VALUE"""),"Personal Care")</f>
        <v>Personal Care</v>
      </c>
      <c r="B772" s="46" t="str">
        <f>IFERROR(__xludf.DUMMYFUNCTION("""COMPUTED_VALUE"""),"Georgia")</f>
        <v>Georgia</v>
      </c>
      <c r="C772" s="46">
        <f>IFERROR(__xludf.DUMMYFUNCTION("""COMPUTED_VALUE"""),6.04494225E8)</f>
        <v>604494225</v>
      </c>
      <c r="D772" s="84">
        <f>IFERROR(__xludf.DUMMYFUNCTION("""COMPUTED_VALUE"""),174003.17)</f>
        <v>174003.17</v>
      </c>
      <c r="H772" s="48"/>
      <c r="I772" s="38"/>
      <c r="J772" s="38"/>
      <c r="K772" s="38"/>
      <c r="M772" s="87"/>
      <c r="N772" s="38"/>
      <c r="Q772" s="38"/>
    </row>
    <row r="773">
      <c r="A773" s="46" t="str">
        <f>IFERROR(__xludf.DUMMYFUNCTION("""COMPUTED_VALUE"""),"Fruits")</f>
        <v>Fruits</v>
      </c>
      <c r="B773" s="46" t="str">
        <f>IFERROR(__xludf.DUMMYFUNCTION("""COMPUTED_VALUE"""),"France")</f>
        <v>France</v>
      </c>
      <c r="C773" s="46">
        <f>IFERROR(__xludf.DUMMYFUNCTION("""COMPUTED_VALUE"""),6.0502938E8)</f>
        <v>605029380</v>
      </c>
      <c r="D773" s="84">
        <f>IFERROR(__xludf.DUMMYFUNCTION("""COMPUTED_VALUE"""),4599.69)</f>
        <v>4599.69</v>
      </c>
      <c r="H773" s="48"/>
      <c r="I773" s="38"/>
      <c r="J773" s="38"/>
      <c r="K773" s="38"/>
      <c r="M773" s="87"/>
      <c r="N773" s="38"/>
      <c r="Q773" s="38"/>
    </row>
    <row r="774">
      <c r="A774" s="46" t="str">
        <f>IFERROR(__xludf.DUMMYFUNCTION("""COMPUTED_VALUE"""),"Vegetables")</f>
        <v>Vegetables</v>
      </c>
      <c r="B774" s="46" t="str">
        <f>IFERROR(__xludf.DUMMYFUNCTION("""COMPUTED_VALUE"""),"Romania")</f>
        <v>Romania</v>
      </c>
      <c r="C774" s="46">
        <f>IFERROR(__xludf.DUMMYFUNCTION("""COMPUTED_VALUE"""),6.06118571E8)</f>
        <v>606118571</v>
      </c>
      <c r="D774" s="84">
        <f>IFERROR(__xludf.DUMMYFUNCTION("""COMPUTED_VALUE"""),432754.54)</f>
        <v>432754.54</v>
      </c>
      <c r="H774" s="48"/>
      <c r="I774" s="38"/>
      <c r="J774" s="38"/>
      <c r="K774" s="38"/>
      <c r="M774" s="87"/>
      <c r="N774" s="38"/>
      <c r="Q774" s="38"/>
    </row>
    <row r="775">
      <c r="A775" s="46" t="str">
        <f>IFERROR(__xludf.DUMMYFUNCTION("""COMPUTED_VALUE"""),"Cosmetics")</f>
        <v>Cosmetics</v>
      </c>
      <c r="B775" s="46" t="str">
        <f>IFERROR(__xludf.DUMMYFUNCTION("""COMPUTED_VALUE"""),"Denmark")</f>
        <v>Denmark</v>
      </c>
      <c r="C775" s="46">
        <f>IFERROR(__xludf.DUMMYFUNCTION("""COMPUTED_VALUE"""),6.06224572E8)</f>
        <v>606224572</v>
      </c>
      <c r="D775" s="84">
        <f>IFERROR(__xludf.DUMMYFUNCTION("""COMPUTED_VALUE"""),1826184.4)</f>
        <v>1826184.4</v>
      </c>
      <c r="H775" s="48"/>
      <c r="I775" s="38"/>
      <c r="J775" s="38"/>
      <c r="K775" s="38"/>
      <c r="M775" s="87"/>
      <c r="N775" s="38"/>
      <c r="Q775" s="38"/>
    </row>
    <row r="776">
      <c r="A776" s="46" t="str">
        <f>IFERROR(__xludf.DUMMYFUNCTION("""COMPUTED_VALUE"""),"Beverages")</f>
        <v>Beverages</v>
      </c>
      <c r="B776" s="46" t="str">
        <f>IFERROR(__xludf.DUMMYFUNCTION("""COMPUTED_VALUE"""),"Undefined")</f>
        <v>Undefined</v>
      </c>
      <c r="C776" s="46">
        <f>IFERROR(__xludf.DUMMYFUNCTION("""COMPUTED_VALUE"""),6.07620608E8)</f>
        <v>607620608</v>
      </c>
      <c r="D776" s="84">
        <f>IFERROR(__xludf.DUMMYFUNCTION("""COMPUTED_VALUE"""),346195.2)</f>
        <v>346195.2</v>
      </c>
      <c r="H776" s="48"/>
      <c r="I776" s="38"/>
      <c r="J776" s="38"/>
      <c r="K776" s="38"/>
      <c r="M776" s="87"/>
      <c r="N776" s="38"/>
      <c r="Q776" s="38"/>
    </row>
    <row r="777">
      <c r="A777" s="46" t="str">
        <f>IFERROR(__xludf.DUMMYFUNCTION("""COMPUTED_VALUE"""),"Household")</f>
        <v>Household</v>
      </c>
      <c r="B777" s="46" t="str">
        <f>IFERROR(__xludf.DUMMYFUNCTION("""COMPUTED_VALUE"""),"Latvia")</f>
        <v>Latvia</v>
      </c>
      <c r="C777" s="46">
        <f>IFERROR(__xludf.DUMMYFUNCTION("""COMPUTED_VALUE"""),6.07756221E8)</f>
        <v>607756221</v>
      </c>
      <c r="D777" s="84">
        <f>IFERROR(__xludf.DUMMYFUNCTION("""COMPUTED_VALUE"""),4962573.02)</f>
        <v>4962573.02</v>
      </c>
      <c r="H777" s="48"/>
      <c r="I777" s="38"/>
      <c r="J777" s="38"/>
      <c r="K777" s="38"/>
      <c r="M777" s="87"/>
      <c r="N777" s="38"/>
      <c r="Q777" s="38"/>
    </row>
    <row r="778">
      <c r="A778" s="46" t="str">
        <f>IFERROR(__xludf.DUMMYFUNCTION("""COMPUTED_VALUE"""),"Vegetables")</f>
        <v>Vegetables</v>
      </c>
      <c r="B778" s="46" t="str">
        <f>IFERROR(__xludf.DUMMYFUNCTION("""COMPUTED_VALUE"""),"Italy")</f>
        <v>Italy</v>
      </c>
      <c r="C778" s="46">
        <f>IFERROR(__xludf.DUMMYFUNCTION("""COMPUTED_VALUE"""),6.08374631E8)</f>
        <v>608374631</v>
      </c>
      <c r="D778" s="84">
        <f>IFERROR(__xludf.DUMMYFUNCTION("""COMPUTED_VALUE"""),65937.68000000001)</f>
        <v>65937.68</v>
      </c>
      <c r="H778" s="48"/>
      <c r="I778" s="38"/>
      <c r="J778" s="38"/>
      <c r="K778" s="38"/>
      <c r="M778" s="87"/>
      <c r="N778" s="38"/>
      <c r="Q778" s="38"/>
    </row>
    <row r="779">
      <c r="A779" s="46" t="str">
        <f>IFERROR(__xludf.DUMMYFUNCTION("""COMPUTED_VALUE"""),"Baby Food")</f>
        <v>Baby Food</v>
      </c>
      <c r="B779" s="46" t="str">
        <f>IFERROR(__xludf.DUMMYFUNCTION("""COMPUTED_VALUE"""),"Undefined")</f>
        <v>Undefined</v>
      </c>
      <c r="C779" s="46">
        <f>IFERROR(__xludf.DUMMYFUNCTION("""COMPUTED_VALUE"""),6.08451879E8)</f>
        <v>608451879</v>
      </c>
      <c r="D779" s="84">
        <f>IFERROR(__xludf.DUMMYFUNCTION("""COMPUTED_VALUE"""),839105.36)</f>
        <v>839105.36</v>
      </c>
      <c r="H779" s="48"/>
      <c r="I779" s="38"/>
      <c r="J779" s="38"/>
      <c r="K779" s="38"/>
      <c r="M779" s="87"/>
      <c r="N779" s="38"/>
      <c r="Q779" s="38"/>
    </row>
    <row r="780">
      <c r="A780" s="46" t="str">
        <f>IFERROR(__xludf.DUMMYFUNCTION("""COMPUTED_VALUE"""),"Fruits")</f>
        <v>Fruits</v>
      </c>
      <c r="B780" s="46" t="str">
        <f>IFERROR(__xludf.DUMMYFUNCTION("""COMPUTED_VALUE"""),"Belgium")</f>
        <v>Belgium</v>
      </c>
      <c r="C780" s="46">
        <f>IFERROR(__xludf.DUMMYFUNCTION("""COMPUTED_VALUE"""),6.09939754E8)</f>
        <v>609939754</v>
      </c>
      <c r="D780" s="84">
        <f>IFERROR(__xludf.DUMMYFUNCTION("""COMPUTED_VALUE"""),33420.06)</f>
        <v>33420.06</v>
      </c>
      <c r="H780" s="48"/>
      <c r="I780" s="38"/>
      <c r="J780" s="38"/>
      <c r="K780" s="38"/>
      <c r="M780" s="87"/>
      <c r="N780" s="38"/>
      <c r="Q780" s="38"/>
    </row>
    <row r="781">
      <c r="A781" s="46" t="str">
        <f>IFERROR(__xludf.DUMMYFUNCTION("""COMPUTED_VALUE"""),"Meat")</f>
        <v>Meat</v>
      </c>
      <c r="B781" s="46" t="str">
        <f>IFERROR(__xludf.DUMMYFUNCTION("""COMPUTED_VALUE"""),"Russia")</f>
        <v>Russia</v>
      </c>
      <c r="C781" s="46">
        <f>IFERROR(__xludf.DUMMYFUNCTION("""COMPUTED_VALUE"""),6.09952628E8)</f>
        <v>609952628</v>
      </c>
      <c r="D781" s="84">
        <f>IFERROR(__xludf.DUMMYFUNCTION("""COMPUTED_VALUE"""),3118610.88)</f>
        <v>3118610.88</v>
      </c>
      <c r="H781" s="48"/>
      <c r="I781" s="38"/>
      <c r="J781" s="38"/>
      <c r="K781" s="38"/>
      <c r="M781" s="87"/>
      <c r="N781" s="38"/>
      <c r="Q781" s="38"/>
    </row>
    <row r="782">
      <c r="A782" s="46" t="str">
        <f>IFERROR(__xludf.DUMMYFUNCTION("""COMPUTED_VALUE"""),"Baby Food")</f>
        <v>Baby Food</v>
      </c>
      <c r="B782" s="46" t="str">
        <f>IFERROR(__xludf.DUMMYFUNCTION("""COMPUTED_VALUE"""),"Netherlands")</f>
        <v>Netherlands</v>
      </c>
      <c r="C782" s="46">
        <f>IFERROR(__xludf.DUMMYFUNCTION("""COMPUTED_VALUE"""),6.11766231E8)</f>
        <v>611766231</v>
      </c>
      <c r="D782" s="84">
        <f>IFERROR(__xludf.DUMMYFUNCTION("""COMPUTED_VALUE"""),1040776.56)</f>
        <v>1040776.56</v>
      </c>
      <c r="H782" s="48"/>
      <c r="I782" s="38"/>
      <c r="J782" s="38"/>
      <c r="K782" s="38"/>
      <c r="M782" s="87"/>
      <c r="N782" s="38"/>
      <c r="Q782" s="38"/>
    </row>
    <row r="783">
      <c r="A783" s="46" t="str">
        <f>IFERROR(__xludf.DUMMYFUNCTION("""COMPUTED_VALUE"""),"Snacks")</f>
        <v>Snacks</v>
      </c>
      <c r="B783" s="46" t="str">
        <f>IFERROR(__xludf.DUMMYFUNCTION("""COMPUTED_VALUE"""),"Ukraine")</f>
        <v>Ukraine</v>
      </c>
      <c r="C783" s="46">
        <f>IFERROR(__xludf.DUMMYFUNCTION("""COMPUTED_VALUE"""),6.11791121E8)</f>
        <v>611791121</v>
      </c>
      <c r="D783" s="84">
        <f>IFERROR(__xludf.DUMMYFUNCTION("""COMPUTED_VALUE"""),220172.94000000003)</f>
        <v>220172.94</v>
      </c>
      <c r="H783" s="48"/>
      <c r="I783" s="38"/>
      <c r="J783" s="38"/>
      <c r="K783" s="38"/>
      <c r="M783" s="87"/>
      <c r="N783" s="38"/>
      <c r="Q783" s="38"/>
    </row>
    <row r="784">
      <c r="A784" s="46" t="str">
        <f>IFERROR(__xludf.DUMMYFUNCTION("""COMPUTED_VALUE"""),"Cosmetics")</f>
        <v>Cosmetics</v>
      </c>
      <c r="B784" s="46" t="str">
        <f>IFERROR(__xludf.DUMMYFUNCTION("""COMPUTED_VALUE"""),"Belarus")</f>
        <v>Belarus</v>
      </c>
      <c r="C784" s="46">
        <f>IFERROR(__xludf.DUMMYFUNCTION("""COMPUTED_VALUE"""),6.13166129E8)</f>
        <v>613166129</v>
      </c>
      <c r="D784" s="84">
        <f>IFERROR(__xludf.DUMMYFUNCTION("""COMPUTED_VALUE"""),3645373.6)</f>
        <v>3645373.6</v>
      </c>
      <c r="H784" s="48"/>
      <c r="I784" s="38"/>
      <c r="J784" s="38"/>
      <c r="K784" s="38"/>
      <c r="M784" s="87"/>
      <c r="N784" s="38"/>
      <c r="Q784" s="38"/>
    </row>
    <row r="785">
      <c r="A785" s="46" t="str">
        <f>IFERROR(__xludf.DUMMYFUNCTION("""COMPUTED_VALUE"""),"Vegetables")</f>
        <v>Vegetables</v>
      </c>
      <c r="B785" s="46" t="str">
        <f>IFERROR(__xludf.DUMMYFUNCTION("""COMPUTED_VALUE"""),"Belarus")</f>
        <v>Belarus</v>
      </c>
      <c r="C785" s="46">
        <f>IFERROR(__xludf.DUMMYFUNCTION("""COMPUTED_VALUE"""),6.14054477E8)</f>
        <v>614054477</v>
      </c>
      <c r="D785" s="84">
        <f>IFERROR(__xludf.DUMMYFUNCTION("""COMPUTED_VALUE"""),187953.2)</f>
        <v>187953.2</v>
      </c>
      <c r="H785" s="48"/>
      <c r="I785" s="38"/>
      <c r="J785" s="38"/>
      <c r="K785" s="38"/>
      <c r="M785" s="87"/>
      <c r="N785" s="38"/>
      <c r="Q785" s="38"/>
    </row>
    <row r="786">
      <c r="A786" s="46" t="str">
        <f>IFERROR(__xludf.DUMMYFUNCTION("""COMPUTED_VALUE"""),"Meat")</f>
        <v>Meat</v>
      </c>
      <c r="B786" s="46" t="str">
        <f>IFERROR(__xludf.DUMMYFUNCTION("""COMPUTED_VALUE"""),"San Marino")</f>
        <v>San Marino</v>
      </c>
      <c r="C786" s="46">
        <f>IFERROR(__xludf.DUMMYFUNCTION("""COMPUTED_VALUE"""),6.14321839E8)</f>
        <v>614321839</v>
      </c>
      <c r="D786" s="84">
        <f>IFERROR(__xludf.DUMMYFUNCTION("""COMPUTED_VALUE"""),143020.71)</f>
        <v>143020.71</v>
      </c>
      <c r="H786" s="48"/>
      <c r="I786" s="38"/>
      <c r="J786" s="38"/>
      <c r="K786" s="38"/>
      <c r="M786" s="87"/>
      <c r="N786" s="38"/>
      <c r="Q786" s="38"/>
    </row>
    <row r="787">
      <c r="A787" s="46" t="str">
        <f>IFERROR(__xludf.DUMMYFUNCTION("""COMPUTED_VALUE"""),"Cosmetics")</f>
        <v>Cosmetics</v>
      </c>
      <c r="B787" s="46" t="str">
        <f>IFERROR(__xludf.DUMMYFUNCTION("""COMPUTED_VALUE"""),"Montenegro")</f>
        <v>Montenegro</v>
      </c>
      <c r="C787" s="46">
        <f>IFERROR(__xludf.DUMMYFUNCTION("""COMPUTED_VALUE"""),6.14597785E8)</f>
        <v>614597785</v>
      </c>
      <c r="D787" s="84">
        <f>IFERROR(__xludf.DUMMYFUNCTION("""COMPUTED_VALUE"""),873088.4)</f>
        <v>873088.4</v>
      </c>
      <c r="H787" s="48"/>
      <c r="I787" s="38"/>
      <c r="J787" s="38"/>
      <c r="K787" s="38"/>
      <c r="M787" s="87"/>
      <c r="N787" s="38"/>
      <c r="Q787" s="38"/>
    </row>
    <row r="788">
      <c r="A788" s="46" t="str">
        <f>IFERROR(__xludf.DUMMYFUNCTION("""COMPUTED_VALUE"""),"Cereal")</f>
        <v>Cereal</v>
      </c>
      <c r="B788" s="46" t="str">
        <f>IFERROR(__xludf.DUMMYFUNCTION("""COMPUTED_VALUE"""),"Portugal")</f>
        <v>Portugal</v>
      </c>
      <c r="C788" s="46">
        <f>IFERROR(__xludf.DUMMYFUNCTION("""COMPUTED_VALUE"""),6.15080583E8)</f>
        <v>615080583</v>
      </c>
      <c r="D788" s="84">
        <f>IFERROR(__xludf.DUMMYFUNCTION("""COMPUTED_VALUE"""),1001347.6)</f>
        <v>1001347.6</v>
      </c>
      <c r="H788" s="48"/>
      <c r="I788" s="38"/>
      <c r="J788" s="38"/>
      <c r="K788" s="38"/>
      <c r="M788" s="87"/>
      <c r="N788" s="38"/>
      <c r="Q788" s="38"/>
    </row>
    <row r="789">
      <c r="A789" s="46" t="str">
        <f>IFERROR(__xludf.DUMMYFUNCTION("""COMPUTED_VALUE"""),"Meat")</f>
        <v>Meat</v>
      </c>
      <c r="B789" s="46" t="str">
        <f>IFERROR(__xludf.DUMMYFUNCTION("""COMPUTED_VALUE"""),"Germany")</f>
        <v>Germany</v>
      </c>
      <c r="C789" s="46">
        <f>IFERROR(__xludf.DUMMYFUNCTION("""COMPUTED_VALUE"""),6.15290009E8)</f>
        <v>615290009</v>
      </c>
      <c r="D789" s="84">
        <f>IFERROR(__xludf.DUMMYFUNCTION("""COMPUTED_VALUE"""),2886571.38)</f>
        <v>2886571.38</v>
      </c>
      <c r="H789" s="48"/>
      <c r="I789" s="38"/>
      <c r="J789" s="38"/>
      <c r="K789" s="38"/>
      <c r="M789" s="87"/>
      <c r="N789" s="38"/>
      <c r="Q789" s="38"/>
    </row>
    <row r="790">
      <c r="A790" s="46" t="str">
        <f>IFERROR(__xludf.DUMMYFUNCTION("""COMPUTED_VALUE"""),"Office Supplies")</f>
        <v>Office Supplies</v>
      </c>
      <c r="B790" s="46" t="str">
        <f>IFERROR(__xludf.DUMMYFUNCTION("""COMPUTED_VALUE"""),"Undefined")</f>
        <v>Undefined</v>
      </c>
      <c r="C790" s="46">
        <f>IFERROR(__xludf.DUMMYFUNCTION("""COMPUTED_VALUE"""),6.1677531E8)</f>
        <v>616775310</v>
      </c>
      <c r="D790" s="84">
        <f>IFERROR(__xludf.DUMMYFUNCTION("""COMPUTED_VALUE"""),4151463.75)</f>
        <v>4151463.75</v>
      </c>
      <c r="H790" s="48"/>
      <c r="I790" s="38"/>
      <c r="J790" s="38"/>
      <c r="K790" s="38"/>
      <c r="M790" s="87"/>
      <c r="N790" s="38"/>
      <c r="Q790" s="38"/>
    </row>
    <row r="791">
      <c r="A791" s="46" t="str">
        <f>IFERROR(__xludf.DUMMYFUNCTION("""COMPUTED_VALUE"""),"Household")</f>
        <v>Household</v>
      </c>
      <c r="B791" s="46" t="str">
        <f>IFERROR(__xludf.DUMMYFUNCTION("""COMPUTED_VALUE"""),"Armenia")</f>
        <v>Armenia</v>
      </c>
      <c r="C791" s="46">
        <f>IFERROR(__xludf.DUMMYFUNCTION("""COMPUTED_VALUE"""),6.21577537E8)</f>
        <v>621577537</v>
      </c>
      <c r="D791" s="84">
        <f>IFERROR(__xludf.DUMMYFUNCTION("""COMPUTED_VALUE"""),4985962.47)</f>
        <v>4985962.47</v>
      </c>
      <c r="H791" s="48"/>
      <c r="I791" s="38"/>
      <c r="J791" s="38"/>
      <c r="K791" s="38"/>
      <c r="M791" s="87"/>
      <c r="N791" s="38"/>
      <c r="Q791" s="38"/>
    </row>
    <row r="792">
      <c r="A792" s="46" t="str">
        <f>IFERROR(__xludf.DUMMYFUNCTION("""COMPUTED_VALUE"""),"Clothes")</f>
        <v>Clothes</v>
      </c>
      <c r="B792" s="46" t="str">
        <f>IFERROR(__xludf.DUMMYFUNCTION("""COMPUTED_VALUE"""),"Slovenia")</f>
        <v>Slovenia</v>
      </c>
      <c r="C792" s="46">
        <f>IFERROR(__xludf.DUMMYFUNCTION("""COMPUTED_VALUE"""),6.22441852E8)</f>
        <v>622441852</v>
      </c>
      <c r="D792" s="84">
        <f>IFERROR(__xludf.DUMMYFUNCTION("""COMPUTED_VALUE"""),353083.68)</f>
        <v>353083.68</v>
      </c>
      <c r="H792" s="48"/>
      <c r="I792" s="38"/>
      <c r="J792" s="38"/>
      <c r="K792" s="38"/>
      <c r="M792" s="87"/>
      <c r="N792" s="38"/>
      <c r="Q792" s="38"/>
    </row>
    <row r="793">
      <c r="A793" s="46" t="str">
        <f>IFERROR(__xludf.DUMMYFUNCTION("""COMPUTED_VALUE"""),"Fruits")</f>
        <v>Fruits</v>
      </c>
      <c r="B793" s="46" t="str">
        <f>IFERROR(__xludf.DUMMYFUNCTION("""COMPUTED_VALUE"""),"Bosnia and Herzegovina")</f>
        <v>Bosnia and Herzegovina</v>
      </c>
      <c r="C793" s="46">
        <f>IFERROR(__xludf.DUMMYFUNCTION("""COMPUTED_VALUE"""),6.2382158E8)</f>
        <v>623821580</v>
      </c>
      <c r="D793" s="84">
        <f>IFERROR(__xludf.DUMMYFUNCTION("""COMPUTED_VALUE"""),14209.59)</f>
        <v>14209.59</v>
      </c>
      <c r="H793" s="48"/>
      <c r="I793" s="38"/>
      <c r="J793" s="38"/>
      <c r="K793" s="38"/>
      <c r="M793" s="87"/>
      <c r="N793" s="38"/>
      <c r="Q793" s="38"/>
    </row>
    <row r="794">
      <c r="A794" s="46" t="str">
        <f>IFERROR(__xludf.DUMMYFUNCTION("""COMPUTED_VALUE"""),"Office Supplies")</f>
        <v>Office Supplies</v>
      </c>
      <c r="B794" s="46" t="str">
        <f>IFERROR(__xludf.DUMMYFUNCTION("""COMPUTED_VALUE"""),"Ukraine")</f>
        <v>Ukraine</v>
      </c>
      <c r="C794" s="46">
        <f>IFERROR(__xludf.DUMMYFUNCTION("""COMPUTED_VALUE"""),6.24348151E8)</f>
        <v>624348151</v>
      </c>
      <c r="D794" s="84">
        <f>IFERROR(__xludf.DUMMYFUNCTION("""COMPUTED_VALUE"""),4784439.87)</f>
        <v>4784439.87</v>
      </c>
      <c r="H794" s="48"/>
      <c r="I794" s="38"/>
      <c r="J794" s="38"/>
      <c r="K794" s="38"/>
      <c r="M794" s="87"/>
      <c r="N794" s="38"/>
      <c r="Q794" s="38"/>
    </row>
    <row r="795">
      <c r="A795" s="46" t="str">
        <f>IFERROR(__xludf.DUMMYFUNCTION("""COMPUTED_VALUE"""),"Office Supplies")</f>
        <v>Office Supplies</v>
      </c>
      <c r="B795" s="46" t="str">
        <f>IFERROR(__xludf.DUMMYFUNCTION("""COMPUTED_VALUE"""),"Belarus")</f>
        <v>Belarus</v>
      </c>
      <c r="C795" s="46">
        <f>IFERROR(__xludf.DUMMYFUNCTION("""COMPUTED_VALUE"""),6.24398362E8)</f>
        <v>624398362</v>
      </c>
      <c r="D795" s="84">
        <f>IFERROR(__xludf.DUMMYFUNCTION("""COMPUTED_VALUE"""),1436569.26)</f>
        <v>1436569.26</v>
      </c>
      <c r="H795" s="48"/>
      <c r="I795" s="38"/>
      <c r="J795" s="38"/>
      <c r="K795" s="38"/>
      <c r="M795" s="87"/>
      <c r="N795" s="38"/>
      <c r="Q795" s="38"/>
    </row>
    <row r="796">
      <c r="A796" s="46" t="str">
        <f>IFERROR(__xludf.DUMMYFUNCTION("""COMPUTED_VALUE"""),"Cosmetics")</f>
        <v>Cosmetics</v>
      </c>
      <c r="B796" s="46" t="str">
        <f>IFERROR(__xludf.DUMMYFUNCTION("""COMPUTED_VALUE"""),"United Kingdom")</f>
        <v>United Kingdom</v>
      </c>
      <c r="C796" s="46">
        <f>IFERROR(__xludf.DUMMYFUNCTION("""COMPUTED_VALUE"""),6.24940383E8)</f>
        <v>624940383</v>
      </c>
      <c r="D796" s="84">
        <f>IFERROR(__xludf.DUMMYFUNCTION("""COMPUTED_VALUE"""),1137594.4)</f>
        <v>1137594.4</v>
      </c>
      <c r="H796" s="48"/>
      <c r="I796" s="38"/>
      <c r="J796" s="38"/>
      <c r="K796" s="38"/>
      <c r="M796" s="87"/>
      <c r="N796" s="38"/>
      <c r="Q796" s="38"/>
    </row>
    <row r="797">
      <c r="A797" s="46" t="str">
        <f>IFERROR(__xludf.DUMMYFUNCTION("""COMPUTED_VALUE"""),"Personal Care")</f>
        <v>Personal Care</v>
      </c>
      <c r="B797" s="46" t="str">
        <f>IFERROR(__xludf.DUMMYFUNCTION("""COMPUTED_VALUE"""),"San Marino")</f>
        <v>San Marino</v>
      </c>
      <c r="C797" s="46">
        <f>IFERROR(__xludf.DUMMYFUNCTION("""COMPUTED_VALUE"""),6.25751483E8)</f>
        <v>625751483</v>
      </c>
      <c r="D797" s="84">
        <f>IFERROR(__xludf.DUMMYFUNCTION("""COMPUTED_VALUE"""),214459.52000000002)</f>
        <v>214459.52</v>
      </c>
      <c r="H797" s="48"/>
      <c r="I797" s="38"/>
      <c r="J797" s="38"/>
      <c r="K797" s="38"/>
      <c r="M797" s="87"/>
      <c r="N797" s="38"/>
      <c r="Q797" s="38"/>
    </row>
    <row r="798">
      <c r="A798" s="46" t="str">
        <f>IFERROR(__xludf.DUMMYFUNCTION("""COMPUTED_VALUE"""),"Clothes")</f>
        <v>Clothes</v>
      </c>
      <c r="B798" s="46" t="str">
        <f>IFERROR(__xludf.DUMMYFUNCTION("""COMPUTED_VALUE"""),"Monaco")</f>
        <v>Monaco</v>
      </c>
      <c r="C798" s="46">
        <f>IFERROR(__xludf.DUMMYFUNCTION("""COMPUTED_VALUE"""),6.26011979E8)</f>
        <v>626011979</v>
      </c>
      <c r="D798" s="84">
        <f>IFERROR(__xludf.DUMMYFUNCTION("""COMPUTED_VALUE"""),1061218.08)</f>
        <v>1061218.08</v>
      </c>
      <c r="H798" s="48"/>
      <c r="I798" s="38"/>
      <c r="J798" s="38"/>
      <c r="K798" s="38"/>
      <c r="M798" s="87"/>
      <c r="N798" s="38"/>
      <c r="Q798" s="38"/>
    </row>
    <row r="799">
      <c r="A799" s="46" t="str">
        <f>IFERROR(__xludf.DUMMYFUNCTION("""COMPUTED_VALUE"""),"Cereal")</f>
        <v>Cereal</v>
      </c>
      <c r="B799" s="46" t="str">
        <f>IFERROR(__xludf.DUMMYFUNCTION("""COMPUTED_VALUE"""),"Ukraine")</f>
        <v>Ukraine</v>
      </c>
      <c r="C799" s="46">
        <f>IFERROR(__xludf.DUMMYFUNCTION("""COMPUTED_VALUE"""),6.26109397E8)</f>
        <v>626109397</v>
      </c>
      <c r="D799" s="84">
        <f>IFERROR(__xludf.DUMMYFUNCTION("""COMPUTED_VALUE"""),1756472.2999999998)</f>
        <v>1756472.3</v>
      </c>
      <c r="H799" s="48"/>
      <c r="I799" s="38"/>
      <c r="J799" s="38"/>
      <c r="K799" s="38"/>
      <c r="M799" s="87"/>
      <c r="N799" s="38"/>
      <c r="Q799" s="38"/>
    </row>
    <row r="800">
      <c r="A800" s="46" t="str">
        <f>IFERROR(__xludf.DUMMYFUNCTION("""COMPUTED_VALUE"""),"Personal Care")</f>
        <v>Personal Care</v>
      </c>
      <c r="B800" s="46" t="str">
        <f>IFERROR(__xludf.DUMMYFUNCTION("""COMPUTED_VALUE"""),"Undefined")</f>
        <v>Undefined</v>
      </c>
      <c r="C800" s="46">
        <f>IFERROR(__xludf.DUMMYFUNCTION("""COMPUTED_VALUE"""),6.26322257E8)</f>
        <v>626322257</v>
      </c>
      <c r="D800" s="84">
        <f>IFERROR(__xludf.DUMMYFUNCTION("""COMPUTED_VALUE"""),124965.17000000001)</f>
        <v>124965.17</v>
      </c>
      <c r="H800" s="48"/>
      <c r="I800" s="38"/>
      <c r="J800" s="38"/>
      <c r="K800" s="38"/>
      <c r="M800" s="87"/>
      <c r="N800" s="38"/>
      <c r="Q800" s="38"/>
    </row>
    <row r="801">
      <c r="A801" s="46" t="str">
        <f>IFERROR(__xludf.DUMMYFUNCTION("""COMPUTED_VALUE"""),"Cosmetics")</f>
        <v>Cosmetics</v>
      </c>
      <c r="B801" s="46" t="str">
        <f>IFERROR(__xludf.DUMMYFUNCTION("""COMPUTED_VALUE"""),"Portugal")</f>
        <v>Portugal</v>
      </c>
      <c r="C801" s="46">
        <f>IFERROR(__xludf.DUMMYFUNCTION("""COMPUTED_VALUE"""),6.26453149E8)</f>
        <v>626453149</v>
      </c>
      <c r="D801" s="84">
        <f>IFERROR(__xludf.DUMMYFUNCTION("""COMPUTED_VALUE"""),114983.59999999999)</f>
        <v>114983.6</v>
      </c>
      <c r="H801" s="48"/>
      <c r="I801" s="38"/>
      <c r="J801" s="38"/>
      <c r="K801" s="38"/>
      <c r="M801" s="87"/>
      <c r="N801" s="38"/>
      <c r="Q801" s="38"/>
    </row>
    <row r="802">
      <c r="A802" s="46" t="str">
        <f>IFERROR(__xludf.DUMMYFUNCTION("""COMPUTED_VALUE"""),"Meat")</f>
        <v>Meat</v>
      </c>
      <c r="B802" s="46" t="str">
        <f>IFERROR(__xludf.DUMMYFUNCTION("""COMPUTED_VALUE"""),"Romania")</f>
        <v>Romania</v>
      </c>
      <c r="C802" s="46">
        <f>IFERROR(__xludf.DUMMYFUNCTION("""COMPUTED_VALUE"""),6.27003753E8)</f>
        <v>627003753</v>
      </c>
      <c r="D802" s="84">
        <f>IFERROR(__xludf.DUMMYFUNCTION("""COMPUTED_VALUE"""),1349626.1099999999)</f>
        <v>1349626.11</v>
      </c>
      <c r="H802" s="48"/>
      <c r="I802" s="38"/>
      <c r="J802" s="38"/>
      <c r="K802" s="38"/>
      <c r="M802" s="87"/>
      <c r="N802" s="38"/>
      <c r="Q802" s="38"/>
    </row>
    <row r="803">
      <c r="A803" s="46" t="str">
        <f>IFERROR(__xludf.DUMMYFUNCTION("""COMPUTED_VALUE"""),"Personal Care")</f>
        <v>Personal Care</v>
      </c>
      <c r="B803" s="46" t="str">
        <f>IFERROR(__xludf.DUMMYFUNCTION("""COMPUTED_VALUE"""),"Cyprus")</f>
        <v>Cyprus</v>
      </c>
      <c r="C803" s="46">
        <f>IFERROR(__xludf.DUMMYFUNCTION("""COMPUTED_VALUE"""),6.27432048E8)</f>
        <v>627432048</v>
      </c>
      <c r="D803" s="84">
        <f>IFERROR(__xludf.DUMMYFUNCTION("""COMPUTED_VALUE"""),812477.93)</f>
        <v>812477.93</v>
      </c>
      <c r="H803" s="48"/>
      <c r="I803" s="38"/>
      <c r="J803" s="38"/>
      <c r="K803" s="38"/>
      <c r="M803" s="87"/>
      <c r="N803" s="38"/>
      <c r="Q803" s="38"/>
    </row>
    <row r="804">
      <c r="A804" s="46" t="str">
        <f>IFERROR(__xludf.DUMMYFUNCTION("""COMPUTED_VALUE"""),"Office Supplies")</f>
        <v>Office Supplies</v>
      </c>
      <c r="B804" s="46" t="str">
        <f>IFERROR(__xludf.DUMMYFUNCTION("""COMPUTED_VALUE"""),"Estonia")</f>
        <v>Estonia</v>
      </c>
      <c r="C804" s="46">
        <f>IFERROR(__xludf.DUMMYFUNCTION("""COMPUTED_VALUE"""),6.28055179E8)</f>
        <v>628055179</v>
      </c>
      <c r="D804" s="84">
        <f>IFERROR(__xludf.DUMMYFUNCTION("""COMPUTED_VALUE"""),2825600.19)</f>
        <v>2825600.19</v>
      </c>
      <c r="H804" s="48"/>
      <c r="I804" s="38"/>
      <c r="J804" s="38"/>
      <c r="K804" s="38"/>
      <c r="M804" s="87"/>
      <c r="N804" s="38"/>
      <c r="Q804" s="38"/>
    </row>
    <row r="805">
      <c r="A805" s="46" t="str">
        <f>IFERROR(__xludf.DUMMYFUNCTION("""COMPUTED_VALUE"""),"Vegetables")</f>
        <v>Vegetables</v>
      </c>
      <c r="B805" s="46" t="str">
        <f>IFERROR(__xludf.DUMMYFUNCTION("""COMPUTED_VALUE"""),"Slovakia")</f>
        <v>Slovakia</v>
      </c>
      <c r="C805" s="46">
        <f>IFERROR(__xludf.DUMMYFUNCTION("""COMPUTED_VALUE"""),6.28515231E8)</f>
        <v>628515231</v>
      </c>
      <c r="D805" s="84">
        <f>IFERROR(__xludf.DUMMYFUNCTION("""COMPUTED_VALUE"""),73794.74)</f>
        <v>73794.74</v>
      </c>
      <c r="H805" s="48"/>
      <c r="I805" s="38"/>
      <c r="J805" s="38"/>
      <c r="K805" s="38"/>
      <c r="M805" s="87"/>
      <c r="N805" s="38"/>
      <c r="Q805" s="38"/>
    </row>
    <row r="806">
      <c r="A806" s="46" t="str">
        <f>IFERROR(__xludf.DUMMYFUNCTION("""COMPUTED_VALUE"""),"Fruits")</f>
        <v>Fruits</v>
      </c>
      <c r="B806" s="46" t="str">
        <f>IFERROR(__xludf.DUMMYFUNCTION("""COMPUTED_VALUE"""),"Hungary")</f>
        <v>Hungary</v>
      </c>
      <c r="C806" s="46">
        <f>IFERROR(__xludf.DUMMYFUNCTION("""COMPUTED_VALUE"""),6.28595054E8)</f>
        <v>628595054</v>
      </c>
      <c r="D806" s="84">
        <f>IFERROR(__xludf.DUMMYFUNCTION("""COMPUTED_VALUE"""),38253.0)</f>
        <v>38253</v>
      </c>
      <c r="H806" s="48"/>
      <c r="I806" s="38"/>
      <c r="J806" s="38"/>
      <c r="K806" s="38"/>
      <c r="M806" s="87"/>
      <c r="N806" s="38"/>
      <c r="Q806" s="38"/>
    </row>
    <row r="807">
      <c r="A807" s="46" t="str">
        <f>IFERROR(__xludf.DUMMYFUNCTION("""COMPUTED_VALUE"""),"Baby Food")</f>
        <v>Baby Food</v>
      </c>
      <c r="B807" s="46" t="str">
        <f>IFERROR(__xludf.DUMMYFUNCTION("""COMPUTED_VALUE"""),"Ireland")</f>
        <v>Ireland</v>
      </c>
      <c r="C807" s="46">
        <f>IFERROR(__xludf.DUMMYFUNCTION("""COMPUTED_VALUE"""),6.2930144E8)</f>
        <v>629301440</v>
      </c>
      <c r="D807" s="84">
        <f>IFERROR(__xludf.DUMMYFUNCTION("""COMPUTED_VALUE"""),800302.8)</f>
        <v>800302.8</v>
      </c>
      <c r="H807" s="48"/>
      <c r="I807" s="38"/>
      <c r="J807" s="38"/>
      <c r="K807" s="38"/>
      <c r="M807" s="87"/>
      <c r="N807" s="38"/>
      <c r="Q807" s="38"/>
    </row>
    <row r="808">
      <c r="A808" s="46" t="str">
        <f>IFERROR(__xludf.DUMMYFUNCTION("""COMPUTED_VALUE"""),"Baby Food")</f>
        <v>Baby Food</v>
      </c>
      <c r="B808" s="46" t="str">
        <f>IFERROR(__xludf.DUMMYFUNCTION("""COMPUTED_VALUE"""),"Serbia")</f>
        <v>Serbia</v>
      </c>
      <c r="C808" s="46">
        <f>IFERROR(__xludf.DUMMYFUNCTION("""COMPUTED_VALUE"""),6.30219399E8)</f>
        <v>630219399</v>
      </c>
      <c r="D808" s="84">
        <f>IFERROR(__xludf.DUMMYFUNCTION("""COMPUTED_VALUE"""),1220238.4)</f>
        <v>1220238.4</v>
      </c>
      <c r="H808" s="48"/>
      <c r="I808" s="38"/>
      <c r="J808" s="38"/>
      <c r="K808" s="38"/>
      <c r="M808" s="87"/>
      <c r="N808" s="38"/>
      <c r="Q808" s="38"/>
    </row>
    <row r="809">
      <c r="A809" s="46" t="str">
        <f>IFERROR(__xludf.DUMMYFUNCTION("""COMPUTED_VALUE"""),"Baby Food")</f>
        <v>Baby Food</v>
      </c>
      <c r="B809" s="46" t="str">
        <f>IFERROR(__xludf.DUMMYFUNCTION("""COMPUTED_VALUE"""),"Montenegro")</f>
        <v>Montenegro</v>
      </c>
      <c r="C809" s="46">
        <f>IFERROR(__xludf.DUMMYFUNCTION("""COMPUTED_VALUE"""),6.30931794E8)</f>
        <v>630931794</v>
      </c>
      <c r="D809" s="84">
        <f>IFERROR(__xludf.DUMMYFUNCTION("""COMPUTED_VALUE"""),1427781.04)</f>
        <v>1427781.04</v>
      </c>
      <c r="H809" s="48"/>
      <c r="I809" s="38"/>
      <c r="J809" s="38"/>
      <c r="K809" s="38"/>
      <c r="M809" s="87"/>
      <c r="N809" s="38"/>
      <c r="Q809" s="38"/>
    </row>
    <row r="810">
      <c r="A810" s="46" t="str">
        <f>IFERROR(__xludf.DUMMYFUNCTION("""COMPUTED_VALUE"""),"Meat")</f>
        <v>Meat</v>
      </c>
      <c r="B810" s="46" t="str">
        <f>IFERROR(__xludf.DUMMYFUNCTION("""COMPUTED_VALUE"""),"Georgia")</f>
        <v>Georgia</v>
      </c>
      <c r="C810" s="46">
        <f>IFERROR(__xludf.DUMMYFUNCTION("""COMPUTED_VALUE"""),6.3117212E8)</f>
        <v>631172120</v>
      </c>
      <c r="D810" s="84">
        <f>IFERROR(__xludf.DUMMYFUNCTION("""COMPUTED_VALUE"""),2831303.79)</f>
        <v>2831303.79</v>
      </c>
      <c r="H810" s="48"/>
      <c r="I810" s="38"/>
      <c r="J810" s="38"/>
      <c r="K810" s="38"/>
      <c r="M810" s="87"/>
      <c r="N810" s="38"/>
      <c r="Q810" s="38"/>
    </row>
    <row r="811">
      <c r="A811" s="46" t="str">
        <f>IFERROR(__xludf.DUMMYFUNCTION("""COMPUTED_VALUE"""),"Meat")</f>
        <v>Meat</v>
      </c>
      <c r="B811" s="46" t="str">
        <f>IFERROR(__xludf.DUMMYFUNCTION("""COMPUTED_VALUE"""),"Slovenia")</f>
        <v>Slovenia</v>
      </c>
      <c r="C811" s="46">
        <f>IFERROR(__xludf.DUMMYFUNCTION("""COMPUTED_VALUE"""),6.3146094E8)</f>
        <v>631460940</v>
      </c>
      <c r="D811" s="84">
        <f>IFERROR(__xludf.DUMMYFUNCTION("""COMPUTED_VALUE"""),919720.2)</f>
        <v>919720.2</v>
      </c>
      <c r="H811" s="48"/>
      <c r="I811" s="38"/>
      <c r="J811" s="38"/>
      <c r="K811" s="38"/>
      <c r="M811" s="87"/>
      <c r="N811" s="38"/>
      <c r="Q811" s="38"/>
    </row>
    <row r="812">
      <c r="A812" s="46" t="str">
        <f>IFERROR(__xludf.DUMMYFUNCTION("""COMPUTED_VALUE"""),"Clothes")</f>
        <v>Clothes</v>
      </c>
      <c r="B812" s="46" t="str">
        <f>IFERROR(__xludf.DUMMYFUNCTION("""COMPUTED_VALUE"""),"Czech Republic")</f>
        <v>Czech Republic</v>
      </c>
      <c r="C812" s="46">
        <f>IFERROR(__xludf.DUMMYFUNCTION("""COMPUTED_VALUE"""),6.31463515E8)</f>
        <v>631463515</v>
      </c>
      <c r="D812" s="84">
        <f>IFERROR(__xludf.DUMMYFUNCTION("""COMPUTED_VALUE"""),321501.76)</f>
        <v>321501.76</v>
      </c>
      <c r="H812" s="48"/>
      <c r="I812" s="38"/>
      <c r="J812" s="38"/>
      <c r="K812" s="38"/>
      <c r="M812" s="87"/>
      <c r="N812" s="38"/>
      <c r="Q812" s="38"/>
    </row>
    <row r="813">
      <c r="A813" s="46" t="str">
        <f>IFERROR(__xludf.DUMMYFUNCTION("""COMPUTED_VALUE"""),"Meat")</f>
        <v>Meat</v>
      </c>
      <c r="B813" s="46" t="str">
        <f>IFERROR(__xludf.DUMMYFUNCTION("""COMPUTED_VALUE"""),"France")</f>
        <v>France</v>
      </c>
      <c r="C813" s="46">
        <f>IFERROR(__xludf.DUMMYFUNCTION("""COMPUTED_VALUE"""),6.33312737E8)</f>
        <v>633312737</v>
      </c>
      <c r="D813" s="84">
        <f>IFERROR(__xludf.DUMMYFUNCTION("""COMPUTED_VALUE"""),70455.63)</f>
        <v>70455.63</v>
      </c>
      <c r="H813" s="48"/>
      <c r="I813" s="38"/>
      <c r="J813" s="38"/>
      <c r="K813" s="38"/>
      <c r="M813" s="87"/>
      <c r="N813" s="38"/>
      <c r="Q813" s="38"/>
    </row>
    <row r="814">
      <c r="A814" s="46" t="str">
        <f>IFERROR(__xludf.DUMMYFUNCTION("""COMPUTED_VALUE"""),"Clothes")</f>
        <v>Clothes</v>
      </c>
      <c r="B814" s="46" t="str">
        <f>IFERROR(__xludf.DUMMYFUNCTION("""COMPUTED_VALUE"""),"France")</f>
        <v>France</v>
      </c>
      <c r="C814" s="46">
        <f>IFERROR(__xludf.DUMMYFUNCTION("""COMPUTED_VALUE"""),6.33806264E8)</f>
        <v>633806264</v>
      </c>
      <c r="D814" s="84">
        <f>IFERROR(__xludf.DUMMYFUNCTION("""COMPUTED_VALUE"""),678956.64)</f>
        <v>678956.64</v>
      </c>
      <c r="H814" s="48"/>
      <c r="I814" s="38"/>
      <c r="J814" s="38"/>
      <c r="K814" s="38"/>
      <c r="M814" s="87"/>
      <c r="N814" s="38"/>
      <c r="Q814" s="38"/>
    </row>
    <row r="815">
      <c r="A815" s="46" t="str">
        <f>IFERROR(__xludf.DUMMYFUNCTION("""COMPUTED_VALUE"""),"Fruits")</f>
        <v>Fruits</v>
      </c>
      <c r="B815" s="46" t="str">
        <f>IFERROR(__xludf.DUMMYFUNCTION("""COMPUTED_VALUE"""),"Hungary")</f>
        <v>Hungary</v>
      </c>
      <c r="C815" s="46">
        <f>IFERROR(__xludf.DUMMYFUNCTION("""COMPUTED_VALUE"""),6.33992946E8)</f>
        <v>633992946</v>
      </c>
      <c r="D815" s="84">
        <f>IFERROR(__xludf.DUMMYFUNCTION("""COMPUTED_VALUE"""),13584.48)</f>
        <v>13584.48</v>
      </c>
      <c r="H815" s="48"/>
      <c r="I815" s="38"/>
      <c r="J815" s="38"/>
      <c r="K815" s="38"/>
      <c r="M815" s="87"/>
      <c r="N815" s="38"/>
      <c r="Q815" s="38"/>
    </row>
    <row r="816">
      <c r="A816" s="46" t="str">
        <f>IFERROR(__xludf.DUMMYFUNCTION("""COMPUTED_VALUE"""),"Personal Care")</f>
        <v>Personal Care</v>
      </c>
      <c r="B816" s="46" t="str">
        <f>IFERROR(__xludf.DUMMYFUNCTION("""COMPUTED_VALUE"""),"Norway")</f>
        <v>Norway</v>
      </c>
      <c r="C816" s="46">
        <f>IFERROR(__xludf.DUMMYFUNCTION("""COMPUTED_VALUE"""),6.34033286E8)</f>
        <v>634033286</v>
      </c>
      <c r="D816" s="84">
        <f>IFERROR(__xludf.DUMMYFUNCTION("""COMPUTED_VALUE"""),277391.62)</f>
        <v>277391.62</v>
      </c>
      <c r="H816" s="48"/>
      <c r="I816" s="38"/>
      <c r="J816" s="38"/>
      <c r="K816" s="38"/>
      <c r="M816" s="87"/>
      <c r="N816" s="38"/>
      <c r="Q816" s="38"/>
    </row>
    <row r="817">
      <c r="A817" s="46" t="str">
        <f>IFERROR(__xludf.DUMMYFUNCTION("""COMPUTED_VALUE"""),"Fruits")</f>
        <v>Fruits</v>
      </c>
      <c r="B817" s="46" t="str">
        <f>IFERROR(__xludf.DUMMYFUNCTION("""COMPUTED_VALUE"""),"Italy")</f>
        <v>Italy</v>
      </c>
      <c r="C817" s="46">
        <f>IFERROR(__xludf.DUMMYFUNCTION("""COMPUTED_VALUE"""),6.36278617E8)</f>
        <v>636278617</v>
      </c>
      <c r="D817" s="84">
        <f>IFERROR(__xludf.DUMMYFUNCTION("""COMPUTED_VALUE"""),73119.21)</f>
        <v>73119.21</v>
      </c>
      <c r="H817" s="48"/>
      <c r="I817" s="38"/>
      <c r="J817" s="38"/>
      <c r="K817" s="38"/>
      <c r="M817" s="87"/>
      <c r="N817" s="38"/>
      <c r="Q817" s="38"/>
    </row>
    <row r="818">
      <c r="A818" s="46" t="str">
        <f>IFERROR(__xludf.DUMMYFUNCTION("""COMPUTED_VALUE"""),"Cereal")</f>
        <v>Cereal</v>
      </c>
      <c r="B818" s="46" t="str">
        <f>IFERROR(__xludf.DUMMYFUNCTION("""COMPUTED_VALUE"""),"Portugal")</f>
        <v>Portugal</v>
      </c>
      <c r="C818" s="46">
        <f>IFERROR(__xludf.DUMMYFUNCTION("""COMPUTED_VALUE"""),6.36360585E8)</f>
        <v>636360585</v>
      </c>
      <c r="D818" s="84">
        <f>IFERROR(__xludf.DUMMYFUNCTION("""COMPUTED_VALUE"""),430530.1)</f>
        <v>430530.1</v>
      </c>
      <c r="H818" s="48"/>
      <c r="I818" s="38"/>
      <c r="J818" s="38"/>
      <c r="K818" s="38"/>
      <c r="M818" s="87"/>
      <c r="N818" s="38"/>
      <c r="Q818" s="38"/>
    </row>
    <row r="819">
      <c r="A819" s="46" t="str">
        <f>IFERROR(__xludf.DUMMYFUNCTION("""COMPUTED_VALUE"""),"Vegetables")</f>
        <v>Vegetables</v>
      </c>
      <c r="B819" s="46" t="str">
        <f>IFERROR(__xludf.DUMMYFUNCTION("""COMPUTED_VALUE"""),"Georgia")</f>
        <v>Georgia</v>
      </c>
      <c r="C819" s="46">
        <f>IFERROR(__xludf.DUMMYFUNCTION("""COMPUTED_VALUE"""),6.36907756E8)</f>
        <v>636907756</v>
      </c>
      <c r="D819" s="84">
        <f>IFERROR(__xludf.DUMMYFUNCTION("""COMPUTED_VALUE"""),618242.78)</f>
        <v>618242.78</v>
      </c>
      <c r="H819" s="48"/>
      <c r="I819" s="38"/>
      <c r="J819" s="38"/>
      <c r="K819" s="38"/>
      <c r="M819" s="87"/>
      <c r="N819" s="38"/>
      <c r="Q819" s="38"/>
    </row>
    <row r="820">
      <c r="A820" s="46" t="str">
        <f>IFERROR(__xludf.DUMMYFUNCTION("""COMPUTED_VALUE"""),"Snacks")</f>
        <v>Snacks</v>
      </c>
      <c r="B820" s="46" t="str">
        <f>IFERROR(__xludf.DUMMYFUNCTION("""COMPUTED_VALUE"""),"Slovakia")</f>
        <v>Slovakia</v>
      </c>
      <c r="C820" s="46">
        <f>IFERROR(__xludf.DUMMYFUNCTION("""COMPUTED_VALUE"""),6.37040793E8)</f>
        <v>637040793</v>
      </c>
      <c r="D820" s="84">
        <f>IFERROR(__xludf.DUMMYFUNCTION("""COMPUTED_VALUE"""),516025.56000000006)</f>
        <v>516025.56</v>
      </c>
      <c r="H820" s="48"/>
      <c r="I820" s="38"/>
      <c r="J820" s="38"/>
      <c r="K820" s="38"/>
      <c r="M820" s="87"/>
      <c r="N820" s="38"/>
      <c r="Q820" s="38"/>
    </row>
    <row r="821">
      <c r="A821" s="46" t="str">
        <f>IFERROR(__xludf.DUMMYFUNCTION("""COMPUTED_VALUE"""),"Cosmetics")</f>
        <v>Cosmetics</v>
      </c>
      <c r="B821" s="46" t="str">
        <f>IFERROR(__xludf.DUMMYFUNCTION("""COMPUTED_VALUE"""),"France")</f>
        <v>France</v>
      </c>
      <c r="C821" s="46">
        <f>IFERROR(__xludf.DUMMYFUNCTION("""COMPUTED_VALUE"""),6.37188422E8)</f>
        <v>637188422</v>
      </c>
      <c r="D821" s="84">
        <f>IFERROR(__xludf.DUMMYFUNCTION("""COMPUTED_VALUE"""),3090566.8)</f>
        <v>3090566.8</v>
      </c>
      <c r="H821" s="48"/>
      <c r="I821" s="38"/>
      <c r="J821" s="38"/>
      <c r="K821" s="38"/>
      <c r="M821" s="87"/>
      <c r="N821" s="38"/>
      <c r="Q821" s="38"/>
    </row>
    <row r="822">
      <c r="A822" s="46" t="str">
        <f>IFERROR(__xludf.DUMMYFUNCTION("""COMPUTED_VALUE"""),"Baby Food")</f>
        <v>Baby Food</v>
      </c>
      <c r="B822" s="46" t="str">
        <f>IFERROR(__xludf.DUMMYFUNCTION("""COMPUTED_VALUE"""),"Bosnia and Herzegovina")</f>
        <v>Bosnia and Herzegovina</v>
      </c>
      <c r="C822" s="46">
        <f>IFERROR(__xludf.DUMMYFUNCTION("""COMPUTED_VALUE"""),6.3804115E8)</f>
        <v>638041150</v>
      </c>
      <c r="D822" s="84">
        <f>IFERROR(__xludf.DUMMYFUNCTION("""COMPUTED_VALUE"""),2402184.8)</f>
        <v>2402184.8</v>
      </c>
      <c r="H822" s="48"/>
      <c r="I822" s="38"/>
      <c r="J822" s="38"/>
      <c r="K822" s="38"/>
      <c r="M822" s="87"/>
      <c r="N822" s="38"/>
      <c r="Q822" s="38"/>
    </row>
    <row r="823">
      <c r="A823" s="46" t="str">
        <f>IFERROR(__xludf.DUMMYFUNCTION("""COMPUTED_VALUE"""),"Meat")</f>
        <v>Meat</v>
      </c>
      <c r="B823" s="46" t="str">
        <f>IFERROR(__xludf.DUMMYFUNCTION("""COMPUTED_VALUE"""),"Undefined")</f>
        <v>Undefined</v>
      </c>
      <c r="C823" s="46">
        <f>IFERROR(__xludf.DUMMYFUNCTION("""COMPUTED_VALUE"""),6.38314521E8)</f>
        <v>638314521</v>
      </c>
      <c r="D823" s="84">
        <f>IFERROR(__xludf.DUMMYFUNCTION("""COMPUTED_VALUE"""),129098.34)</f>
        <v>129098.34</v>
      </c>
      <c r="H823" s="48"/>
      <c r="I823" s="38"/>
      <c r="J823" s="38"/>
      <c r="K823" s="38"/>
      <c r="M823" s="87"/>
      <c r="N823" s="38"/>
      <c r="Q823" s="38"/>
    </row>
    <row r="824">
      <c r="A824" s="46" t="str">
        <f>IFERROR(__xludf.DUMMYFUNCTION("""COMPUTED_VALUE"""),"Cosmetics")</f>
        <v>Cosmetics</v>
      </c>
      <c r="B824" s="46" t="str">
        <f>IFERROR(__xludf.DUMMYFUNCTION("""COMPUTED_VALUE"""),"Sweden")</f>
        <v>Sweden</v>
      </c>
      <c r="C824" s="46">
        <f>IFERROR(__xludf.DUMMYFUNCTION("""COMPUTED_VALUE"""),6.385939E8)</f>
        <v>638593900</v>
      </c>
      <c r="D824" s="84">
        <f>IFERROR(__xludf.DUMMYFUNCTION("""COMPUTED_VALUE"""),1303293.2)</f>
        <v>1303293.2</v>
      </c>
      <c r="H824" s="48"/>
      <c r="I824" s="38"/>
      <c r="J824" s="38"/>
      <c r="K824" s="38"/>
      <c r="M824" s="87"/>
      <c r="N824" s="38"/>
      <c r="Q824" s="38"/>
    </row>
    <row r="825">
      <c r="A825" s="46" t="str">
        <f>IFERROR(__xludf.DUMMYFUNCTION("""COMPUTED_VALUE"""),"Personal Care")</f>
        <v>Personal Care</v>
      </c>
      <c r="B825" s="46" t="str">
        <f>IFERROR(__xludf.DUMMYFUNCTION("""COMPUTED_VALUE"""),"Belarus")</f>
        <v>Belarus</v>
      </c>
      <c r="C825" s="46">
        <f>IFERROR(__xludf.DUMMYFUNCTION("""COMPUTED_VALUE"""),6.38856971E8)</f>
        <v>638856971</v>
      </c>
      <c r="D825" s="84">
        <f>IFERROR(__xludf.DUMMYFUNCTION("""COMPUTED_VALUE"""),67754.17)</f>
        <v>67754.17</v>
      </c>
      <c r="H825" s="48"/>
      <c r="I825" s="38"/>
      <c r="J825" s="38"/>
      <c r="K825" s="38"/>
      <c r="M825" s="87"/>
      <c r="N825" s="38"/>
      <c r="Q825" s="38"/>
    </row>
    <row r="826">
      <c r="A826" s="46" t="str">
        <f>IFERROR(__xludf.DUMMYFUNCTION("""COMPUTED_VALUE"""),"Fruits")</f>
        <v>Fruits</v>
      </c>
      <c r="B826" s="46" t="str">
        <f>IFERROR(__xludf.DUMMYFUNCTION("""COMPUTED_VALUE"""),"Norway")</f>
        <v>Norway</v>
      </c>
      <c r="C826" s="46">
        <f>IFERROR(__xludf.DUMMYFUNCTION("""COMPUTED_VALUE"""),6.38937652E8)</f>
        <v>638937652</v>
      </c>
      <c r="D826" s="84">
        <f>IFERROR(__xludf.DUMMYFUNCTION("""COMPUTED_VALUE"""),43897.65)</f>
        <v>43897.65</v>
      </c>
      <c r="H826" s="48"/>
      <c r="I826" s="38"/>
      <c r="J826" s="38"/>
      <c r="K826" s="38"/>
      <c r="M826" s="87"/>
      <c r="N826" s="38"/>
      <c r="Q826" s="38"/>
    </row>
    <row r="827">
      <c r="A827" s="46" t="str">
        <f>IFERROR(__xludf.DUMMYFUNCTION("""COMPUTED_VALUE"""),"Beverages")</f>
        <v>Beverages</v>
      </c>
      <c r="B827" s="46" t="str">
        <f>IFERROR(__xludf.DUMMYFUNCTION("""COMPUTED_VALUE"""),"Slovakia")</f>
        <v>Slovakia</v>
      </c>
      <c r="C827" s="46">
        <f>IFERROR(__xludf.DUMMYFUNCTION("""COMPUTED_VALUE"""),6.38957822E8)</f>
        <v>638957822</v>
      </c>
      <c r="D827" s="84">
        <f>IFERROR(__xludf.DUMMYFUNCTION("""COMPUTED_VALUE"""),31933.850000000002)</f>
        <v>31933.85</v>
      </c>
      <c r="H827" s="48"/>
      <c r="I827" s="38"/>
      <c r="J827" s="38"/>
      <c r="K827" s="38"/>
      <c r="M827" s="87"/>
      <c r="N827" s="38"/>
      <c r="Q827" s="38"/>
    </row>
    <row r="828">
      <c r="A828" s="46" t="str">
        <f>IFERROR(__xludf.DUMMYFUNCTION("""COMPUTED_VALUE"""),"Cereal")</f>
        <v>Cereal</v>
      </c>
      <c r="B828" s="46" t="str">
        <f>IFERROR(__xludf.DUMMYFUNCTION("""COMPUTED_VALUE"""),"Bosnia and Herzegovina")</f>
        <v>Bosnia and Herzegovina</v>
      </c>
      <c r="C828" s="46">
        <f>IFERROR(__xludf.DUMMYFUNCTION("""COMPUTED_VALUE"""),6.39126908E8)</f>
        <v>639126908</v>
      </c>
      <c r="D828" s="84">
        <f>IFERROR(__xludf.DUMMYFUNCTION("""COMPUTED_VALUE"""),146047.0)</f>
        <v>146047</v>
      </c>
      <c r="H828" s="48"/>
      <c r="I828" s="38"/>
      <c r="J828" s="38"/>
      <c r="K828" s="38"/>
      <c r="M828" s="87"/>
      <c r="N828" s="38"/>
      <c r="Q828" s="38"/>
    </row>
    <row r="829">
      <c r="A829" s="46" t="str">
        <f>IFERROR(__xludf.DUMMYFUNCTION("""COMPUTED_VALUE"""),"Baby Food")</f>
        <v>Baby Food</v>
      </c>
      <c r="B829" s="46" t="str">
        <f>IFERROR(__xludf.DUMMYFUNCTION("""COMPUTED_VALUE"""),"Bosnia and Herzegovina")</f>
        <v>Bosnia and Herzegovina</v>
      </c>
      <c r="C829" s="46">
        <f>IFERROR(__xludf.DUMMYFUNCTION("""COMPUTED_VALUE"""),6.40295922E8)</f>
        <v>640295922</v>
      </c>
      <c r="D829" s="84">
        <f>IFERROR(__xludf.DUMMYFUNCTION("""COMPUTED_VALUE"""),1696846.16)</f>
        <v>1696846.16</v>
      </c>
      <c r="H829" s="48"/>
      <c r="I829" s="38"/>
      <c r="J829" s="38"/>
      <c r="K829" s="38"/>
      <c r="M829" s="87"/>
      <c r="N829" s="38"/>
      <c r="Q829" s="38"/>
    </row>
    <row r="830">
      <c r="A830" s="46" t="str">
        <f>IFERROR(__xludf.DUMMYFUNCTION("""COMPUTED_VALUE"""),"Office Supplies")</f>
        <v>Office Supplies</v>
      </c>
      <c r="B830" s="46" t="str">
        <f>IFERROR(__xludf.DUMMYFUNCTION("""COMPUTED_VALUE"""),"Bosnia and Herzegovina")</f>
        <v>Bosnia and Herzegovina</v>
      </c>
      <c r="C830" s="46">
        <f>IFERROR(__xludf.DUMMYFUNCTION("""COMPUTED_VALUE"""),6.40394628E8)</f>
        <v>640394628</v>
      </c>
      <c r="D830" s="84">
        <f>IFERROR(__xludf.DUMMYFUNCTION("""COMPUTED_VALUE"""),3813485.7600000002)</f>
        <v>3813485.76</v>
      </c>
      <c r="H830" s="48"/>
      <c r="I830" s="38"/>
      <c r="J830" s="38"/>
      <c r="K830" s="38"/>
      <c r="M830" s="87"/>
      <c r="N830" s="38"/>
      <c r="Q830" s="38"/>
    </row>
    <row r="831">
      <c r="A831" s="46" t="str">
        <f>IFERROR(__xludf.DUMMYFUNCTION("""COMPUTED_VALUE"""),"Fruits")</f>
        <v>Fruits</v>
      </c>
      <c r="B831" s="46" t="str">
        <f>IFERROR(__xludf.DUMMYFUNCTION("""COMPUTED_VALUE"""),"Iceland")</f>
        <v>Iceland</v>
      </c>
      <c r="C831" s="46">
        <f>IFERROR(__xludf.DUMMYFUNCTION("""COMPUTED_VALUE"""),6.40476596E8)</f>
        <v>640476596</v>
      </c>
      <c r="D831" s="84">
        <f>IFERROR(__xludf.DUMMYFUNCTION("""COMPUTED_VALUE"""),1044.96)</f>
        <v>1044.96</v>
      </c>
      <c r="H831" s="48"/>
      <c r="I831" s="38"/>
      <c r="J831" s="38"/>
      <c r="K831" s="38"/>
      <c r="M831" s="87"/>
      <c r="N831" s="38"/>
      <c r="Q831" s="38"/>
    </row>
    <row r="832">
      <c r="A832" s="46" t="str">
        <f>IFERROR(__xludf.DUMMYFUNCTION("""COMPUTED_VALUE"""),"Office Supplies")</f>
        <v>Office Supplies</v>
      </c>
      <c r="B832" s="46" t="str">
        <f>IFERROR(__xludf.DUMMYFUNCTION("""COMPUTED_VALUE"""),"Bulgaria")</f>
        <v>Bulgaria</v>
      </c>
      <c r="C832" s="46">
        <f>IFERROR(__xludf.DUMMYFUNCTION("""COMPUTED_VALUE"""),6.41537463E8)</f>
        <v>641537463</v>
      </c>
      <c r="D832" s="84">
        <f>IFERROR(__xludf.DUMMYFUNCTION("""COMPUTED_VALUE"""),2635446.87)</f>
        <v>2635446.87</v>
      </c>
      <c r="H832" s="48"/>
      <c r="I832" s="38"/>
      <c r="J832" s="38"/>
      <c r="K832" s="38"/>
      <c r="M832" s="87"/>
      <c r="N832" s="38"/>
      <c r="Q832" s="38"/>
    </row>
    <row r="833">
      <c r="A833" s="46" t="str">
        <f>IFERROR(__xludf.DUMMYFUNCTION("""COMPUTED_VALUE"""),"Beverages")</f>
        <v>Beverages</v>
      </c>
      <c r="B833" s="46" t="str">
        <f>IFERROR(__xludf.DUMMYFUNCTION("""COMPUTED_VALUE"""),"Greece")</f>
        <v>Greece</v>
      </c>
      <c r="C833" s="46">
        <f>IFERROR(__xludf.DUMMYFUNCTION("""COMPUTED_VALUE"""),6.42123687E8)</f>
        <v>642123687</v>
      </c>
      <c r="D833" s="84">
        <f>IFERROR(__xludf.DUMMYFUNCTION("""COMPUTED_VALUE"""),356966.35000000003)</f>
        <v>356966.35</v>
      </c>
      <c r="H833" s="48"/>
      <c r="I833" s="38"/>
      <c r="J833" s="38"/>
      <c r="K833" s="38"/>
      <c r="M833" s="87"/>
      <c r="N833" s="38"/>
      <c r="Q833" s="38"/>
    </row>
    <row r="834">
      <c r="A834" s="46" t="str">
        <f>IFERROR(__xludf.DUMMYFUNCTION("""COMPUTED_VALUE"""),"Beverages")</f>
        <v>Beverages</v>
      </c>
      <c r="B834" s="46" t="str">
        <f>IFERROR(__xludf.DUMMYFUNCTION("""COMPUTED_VALUE"""),"Netherlands")</f>
        <v>Netherlands</v>
      </c>
      <c r="C834" s="46">
        <f>IFERROR(__xludf.DUMMYFUNCTION("""COMPUTED_VALUE"""),6.4295367E8)</f>
        <v>642953670</v>
      </c>
      <c r="D834" s="84">
        <f>IFERROR(__xludf.DUMMYFUNCTION("""COMPUTED_VALUE"""),148708.30000000002)</f>
        <v>148708.3</v>
      </c>
      <c r="H834" s="48"/>
      <c r="I834" s="38"/>
      <c r="J834" s="38"/>
      <c r="K834" s="38"/>
      <c r="M834" s="87"/>
      <c r="N834" s="38"/>
      <c r="Q834" s="38"/>
    </row>
    <row r="835">
      <c r="A835" s="46" t="str">
        <f>IFERROR(__xludf.DUMMYFUNCTION("""COMPUTED_VALUE"""),"Meat")</f>
        <v>Meat</v>
      </c>
      <c r="B835" s="46" t="str">
        <f>IFERROR(__xludf.DUMMYFUNCTION("""COMPUTED_VALUE"""),"Iceland")</f>
        <v>Iceland</v>
      </c>
      <c r="C835" s="46">
        <f>IFERROR(__xludf.DUMMYFUNCTION("""COMPUTED_VALUE"""),6.43027484E8)</f>
        <v>643027484</v>
      </c>
      <c r="D835" s="84">
        <f>IFERROR(__xludf.DUMMYFUNCTION("""COMPUTED_VALUE"""),2099746.53)</f>
        <v>2099746.53</v>
      </c>
      <c r="H835" s="48"/>
      <c r="I835" s="38"/>
      <c r="J835" s="38"/>
      <c r="K835" s="38"/>
      <c r="M835" s="87"/>
      <c r="N835" s="38"/>
      <c r="Q835" s="38"/>
    </row>
    <row r="836">
      <c r="A836" s="46" t="str">
        <f>IFERROR(__xludf.DUMMYFUNCTION("""COMPUTED_VALUE"""),"Meat")</f>
        <v>Meat</v>
      </c>
      <c r="B836" s="46" t="str">
        <f>IFERROR(__xludf.DUMMYFUNCTION("""COMPUTED_VALUE"""),"Switzerland")</f>
        <v>Switzerland</v>
      </c>
      <c r="C836" s="46">
        <f>IFERROR(__xludf.DUMMYFUNCTION("""COMPUTED_VALUE"""),6.43259227E8)</f>
        <v>643259227</v>
      </c>
      <c r="D836" s="84">
        <f>IFERROR(__xludf.DUMMYFUNCTION("""COMPUTED_VALUE"""),1499818.95)</f>
        <v>1499818.95</v>
      </c>
      <c r="H836" s="48"/>
      <c r="I836" s="38"/>
      <c r="J836" s="38"/>
      <c r="K836" s="38"/>
      <c r="M836" s="87"/>
      <c r="N836" s="38"/>
      <c r="Q836" s="38"/>
    </row>
    <row r="837">
      <c r="A837" s="46" t="str">
        <f>IFERROR(__xludf.DUMMYFUNCTION("""COMPUTED_VALUE"""),"Fruits")</f>
        <v>Fruits</v>
      </c>
      <c r="B837" s="46" t="str">
        <f>IFERROR(__xludf.DUMMYFUNCTION("""COMPUTED_VALUE"""),"Greece")</f>
        <v>Greece</v>
      </c>
      <c r="C837" s="46">
        <f>IFERROR(__xludf.DUMMYFUNCTION("""COMPUTED_VALUE"""),6.43448483E8)</f>
        <v>643448483</v>
      </c>
      <c r="D837" s="84">
        <f>IFERROR(__xludf.DUMMYFUNCTION("""COMPUTED_VALUE"""),89194.8)</f>
        <v>89194.8</v>
      </c>
      <c r="H837" s="48"/>
      <c r="I837" s="38"/>
      <c r="J837" s="38"/>
      <c r="K837" s="38"/>
      <c r="M837" s="87"/>
      <c r="N837" s="38"/>
      <c r="Q837" s="38"/>
    </row>
    <row r="838">
      <c r="A838" s="46" t="str">
        <f>IFERROR(__xludf.DUMMYFUNCTION("""COMPUTED_VALUE"""),"Personal Care")</f>
        <v>Personal Care</v>
      </c>
      <c r="B838" s="46" t="str">
        <f>IFERROR(__xludf.DUMMYFUNCTION("""COMPUTED_VALUE"""),"Georgia")</f>
        <v>Georgia</v>
      </c>
      <c r="C838" s="46">
        <f>IFERROR(__xludf.DUMMYFUNCTION("""COMPUTED_VALUE"""),6.43770778E8)</f>
        <v>643770778</v>
      </c>
      <c r="D838" s="84">
        <f>IFERROR(__xludf.DUMMYFUNCTION("""COMPUTED_VALUE"""),403255.82)</f>
        <v>403255.82</v>
      </c>
      <c r="H838" s="48"/>
      <c r="I838" s="38"/>
      <c r="J838" s="38"/>
      <c r="K838" s="38"/>
      <c r="M838" s="87"/>
      <c r="N838" s="38"/>
      <c r="Q838" s="38"/>
    </row>
    <row r="839">
      <c r="A839" s="46" t="str">
        <f>IFERROR(__xludf.DUMMYFUNCTION("""COMPUTED_VALUE"""),"Office Supplies")</f>
        <v>Office Supplies</v>
      </c>
      <c r="B839" s="46" t="str">
        <f>IFERROR(__xludf.DUMMYFUNCTION("""COMPUTED_VALUE"""),"Belarus")</f>
        <v>Belarus</v>
      </c>
      <c r="C839" s="46">
        <f>IFERROR(__xludf.DUMMYFUNCTION("""COMPUTED_VALUE"""),6.44592607E8)</f>
        <v>644592607</v>
      </c>
      <c r="D839" s="84">
        <f>IFERROR(__xludf.DUMMYFUNCTION("""COMPUTED_VALUE"""),5294988.510000001)</f>
        <v>5294988.51</v>
      </c>
      <c r="H839" s="48"/>
      <c r="I839" s="38"/>
      <c r="J839" s="38"/>
      <c r="K839" s="38"/>
      <c r="M839" s="87"/>
      <c r="N839" s="38"/>
      <c r="Q839" s="38"/>
    </row>
    <row r="840">
      <c r="A840" s="46" t="str">
        <f>IFERROR(__xludf.DUMMYFUNCTION("""COMPUTED_VALUE"""),"Meat")</f>
        <v>Meat</v>
      </c>
      <c r="B840" s="46" t="str">
        <f>IFERROR(__xludf.DUMMYFUNCTION("""COMPUTED_VALUE"""),"Greece")</f>
        <v>Greece</v>
      </c>
      <c r="C840" s="46">
        <f>IFERROR(__xludf.DUMMYFUNCTION("""COMPUTED_VALUE"""),6.45111024E8)</f>
        <v>645111024</v>
      </c>
      <c r="D840" s="84">
        <f>IFERROR(__xludf.DUMMYFUNCTION("""COMPUTED_VALUE"""),650976.27)</f>
        <v>650976.27</v>
      </c>
      <c r="H840" s="48"/>
      <c r="I840" s="38"/>
      <c r="J840" s="38"/>
      <c r="K840" s="38"/>
      <c r="M840" s="87"/>
      <c r="N840" s="38"/>
      <c r="Q840" s="38"/>
    </row>
    <row r="841">
      <c r="A841" s="46" t="str">
        <f>IFERROR(__xludf.DUMMYFUNCTION("""COMPUTED_VALUE"""),"Meat")</f>
        <v>Meat</v>
      </c>
      <c r="B841" s="46" t="str">
        <f>IFERROR(__xludf.DUMMYFUNCTION("""COMPUTED_VALUE"""),"Armenia")</f>
        <v>Armenia</v>
      </c>
      <c r="C841" s="46">
        <f>IFERROR(__xludf.DUMMYFUNCTION("""COMPUTED_VALUE"""),6.45309722E8)</f>
        <v>645309722</v>
      </c>
      <c r="D841" s="84">
        <f>IFERROR(__xludf.DUMMYFUNCTION("""COMPUTED_VALUE"""),144286.38)</f>
        <v>144286.38</v>
      </c>
      <c r="H841" s="48"/>
      <c r="I841" s="38"/>
      <c r="J841" s="38"/>
      <c r="K841" s="38"/>
      <c r="M841" s="87"/>
      <c r="N841" s="38"/>
      <c r="Q841" s="38"/>
    </row>
    <row r="842">
      <c r="A842" s="46" t="str">
        <f>IFERROR(__xludf.DUMMYFUNCTION("""COMPUTED_VALUE"""),"Cereal")</f>
        <v>Cereal</v>
      </c>
      <c r="B842" s="46" t="str">
        <f>IFERROR(__xludf.DUMMYFUNCTION("""COMPUTED_VALUE"""),"Norway")</f>
        <v>Norway</v>
      </c>
      <c r="C842" s="46">
        <f>IFERROR(__xludf.DUMMYFUNCTION("""COMPUTED_VALUE"""),6.45701968E8)</f>
        <v>645701968</v>
      </c>
      <c r="D842" s="84">
        <f>IFERROR(__xludf.DUMMYFUNCTION("""COMPUTED_VALUE"""),1319771.2)</f>
        <v>1319771.2</v>
      </c>
      <c r="H842" s="48"/>
      <c r="I842" s="38"/>
      <c r="J842" s="38"/>
      <c r="K842" s="38"/>
      <c r="M842" s="87"/>
      <c r="N842" s="38"/>
      <c r="Q842" s="38"/>
    </row>
    <row r="843">
      <c r="A843" s="46" t="str">
        <f>IFERROR(__xludf.DUMMYFUNCTION("""COMPUTED_VALUE"""),"Baby Food")</f>
        <v>Baby Food</v>
      </c>
      <c r="B843" s="46" t="str">
        <f>IFERROR(__xludf.DUMMYFUNCTION("""COMPUTED_VALUE"""),"Poland")</f>
        <v>Poland</v>
      </c>
      <c r="C843" s="46">
        <f>IFERROR(__xludf.DUMMYFUNCTION("""COMPUTED_VALUE"""),6.45956456E8)</f>
        <v>645956456</v>
      </c>
      <c r="D843" s="84">
        <f>IFERROR(__xludf.DUMMYFUNCTION("""COMPUTED_VALUE"""),440358.0)</f>
        <v>440358</v>
      </c>
      <c r="H843" s="48"/>
      <c r="I843" s="38"/>
      <c r="J843" s="38"/>
      <c r="K843" s="38"/>
      <c r="M843" s="87"/>
      <c r="N843" s="38"/>
      <c r="Q843" s="38"/>
    </row>
    <row r="844">
      <c r="A844" s="46" t="str">
        <f>IFERROR(__xludf.DUMMYFUNCTION("""COMPUTED_VALUE"""),"Beverages")</f>
        <v>Beverages</v>
      </c>
      <c r="B844" s="46" t="str">
        <f>IFERROR(__xludf.DUMMYFUNCTION("""COMPUTED_VALUE"""),"Austria")</f>
        <v>Austria</v>
      </c>
      <c r="C844" s="46">
        <f>IFERROR(__xludf.DUMMYFUNCTION("""COMPUTED_VALUE"""),6.46691596E8)</f>
        <v>646691596</v>
      </c>
      <c r="D844" s="84">
        <f>IFERROR(__xludf.DUMMYFUNCTION("""COMPUTED_VALUE"""),439814.05000000005)</f>
        <v>439814.05</v>
      </c>
      <c r="H844" s="48"/>
      <c r="I844" s="38"/>
      <c r="J844" s="38"/>
      <c r="K844" s="38"/>
      <c r="M844" s="87"/>
      <c r="N844" s="38"/>
      <c r="Q844" s="38"/>
    </row>
    <row r="845">
      <c r="A845" s="46" t="str">
        <f>IFERROR(__xludf.DUMMYFUNCTION("""COMPUTED_VALUE"""),"Baby Food")</f>
        <v>Baby Food</v>
      </c>
      <c r="B845" s="46" t="str">
        <f>IFERROR(__xludf.DUMMYFUNCTION("""COMPUTED_VALUE"""),"Finland")</f>
        <v>Finland</v>
      </c>
      <c r="C845" s="46">
        <f>IFERROR(__xludf.DUMMYFUNCTION("""COMPUTED_VALUE"""),6.46981704E8)</f>
        <v>646981704</v>
      </c>
      <c r="D845" s="84">
        <f>IFERROR(__xludf.DUMMYFUNCTION("""COMPUTED_VALUE"""),1306523.04)</f>
        <v>1306523.04</v>
      </c>
      <c r="H845" s="48"/>
      <c r="I845" s="38"/>
      <c r="J845" s="38"/>
      <c r="K845" s="38"/>
      <c r="M845" s="87"/>
      <c r="N845" s="38"/>
      <c r="Q845" s="38"/>
    </row>
    <row r="846">
      <c r="A846" s="46" t="str">
        <f>IFERROR(__xludf.DUMMYFUNCTION("""COMPUTED_VALUE"""),"Clothes")</f>
        <v>Clothes</v>
      </c>
      <c r="B846" s="46" t="str">
        <f>IFERROR(__xludf.DUMMYFUNCTION("""COMPUTED_VALUE"""),"Albania")</f>
        <v>Albania</v>
      </c>
      <c r="C846" s="46">
        <f>IFERROR(__xludf.DUMMYFUNCTION("""COMPUTED_VALUE"""),6.47943866E8)</f>
        <v>647943866</v>
      </c>
      <c r="D846" s="84">
        <f>IFERROR(__xludf.DUMMYFUNCTION("""COMPUTED_VALUE"""),1075643.04)</f>
        <v>1075643.04</v>
      </c>
      <c r="H846" s="48"/>
      <c r="I846" s="38"/>
      <c r="J846" s="38"/>
      <c r="K846" s="38"/>
      <c r="M846" s="87"/>
      <c r="N846" s="38"/>
      <c r="Q846" s="38"/>
    </row>
    <row r="847">
      <c r="A847" s="46" t="str">
        <f>IFERROR(__xludf.DUMMYFUNCTION("""COMPUTED_VALUE"""),"Office Supplies")</f>
        <v>Office Supplies</v>
      </c>
      <c r="B847" s="46" t="str">
        <f>IFERROR(__xludf.DUMMYFUNCTION("""COMPUTED_VALUE"""),"Croatia")</f>
        <v>Croatia</v>
      </c>
      <c r="C847" s="46">
        <f>IFERROR(__xludf.DUMMYFUNCTION("""COMPUTED_VALUE"""),6.50078475E8)</f>
        <v>650078475</v>
      </c>
      <c r="D847" s="84">
        <f>IFERROR(__xludf.DUMMYFUNCTION("""COMPUTED_VALUE"""),991141.6200000001)</f>
        <v>991141.62</v>
      </c>
      <c r="H847" s="48"/>
      <c r="I847" s="38"/>
      <c r="J847" s="38"/>
      <c r="K847" s="38"/>
      <c r="M847" s="87"/>
      <c r="N847" s="38"/>
      <c r="Q847" s="38"/>
    </row>
    <row r="848">
      <c r="A848" s="46" t="str">
        <f>IFERROR(__xludf.DUMMYFUNCTION("""COMPUTED_VALUE"""),"Beverages")</f>
        <v>Beverages</v>
      </c>
      <c r="B848" s="46" t="str">
        <f>IFERROR(__xludf.DUMMYFUNCTION("""COMPUTED_VALUE"""),"Estonia")</f>
        <v>Estonia</v>
      </c>
      <c r="C848" s="46">
        <f>IFERROR(__xludf.DUMMYFUNCTION("""COMPUTED_VALUE"""),6.50208079E8)</f>
        <v>650208079</v>
      </c>
      <c r="D848" s="84">
        <f>IFERROR(__xludf.DUMMYFUNCTION("""COMPUTED_VALUE"""),468568.75)</f>
        <v>468568.75</v>
      </c>
      <c r="H848" s="48"/>
      <c r="I848" s="38"/>
      <c r="J848" s="38"/>
      <c r="K848" s="38"/>
      <c r="M848" s="87"/>
      <c r="N848" s="38"/>
      <c r="Q848" s="38"/>
    </row>
    <row r="849">
      <c r="A849" s="46" t="str">
        <f>IFERROR(__xludf.DUMMYFUNCTION("""COMPUTED_VALUE"""),"Vegetables")</f>
        <v>Vegetables</v>
      </c>
      <c r="B849" s="46" t="str">
        <f>IFERROR(__xludf.DUMMYFUNCTION("""COMPUTED_VALUE"""),"Bulgaria")</f>
        <v>Bulgaria</v>
      </c>
      <c r="C849" s="46">
        <f>IFERROR(__xludf.DUMMYFUNCTION("""COMPUTED_VALUE"""),6.51247489E8)</f>
        <v>651247489</v>
      </c>
      <c r="D849" s="84">
        <f>IFERROR(__xludf.DUMMYFUNCTION("""COMPUTED_VALUE"""),1149133.54)</f>
        <v>1149133.54</v>
      </c>
      <c r="H849" s="48"/>
      <c r="I849" s="38"/>
      <c r="J849" s="38"/>
      <c r="K849" s="38"/>
      <c r="M849" s="87"/>
      <c r="N849" s="38"/>
      <c r="Q849" s="38"/>
    </row>
    <row r="850">
      <c r="A850" s="46" t="str">
        <f>IFERROR(__xludf.DUMMYFUNCTION("""COMPUTED_VALUE"""),"Baby Food")</f>
        <v>Baby Food</v>
      </c>
      <c r="B850" s="46" t="str">
        <f>IFERROR(__xludf.DUMMYFUNCTION("""COMPUTED_VALUE"""),"Liechtenstein")</f>
        <v>Liechtenstein</v>
      </c>
      <c r="C850" s="46">
        <f>IFERROR(__xludf.DUMMYFUNCTION("""COMPUTED_VALUE"""),6.51895511E8)</f>
        <v>651895511</v>
      </c>
      <c r="D850" s="84">
        <f>IFERROR(__xludf.DUMMYFUNCTION("""COMPUTED_VALUE"""),2354447.44)</f>
        <v>2354447.44</v>
      </c>
      <c r="H850" s="48"/>
      <c r="I850" s="38"/>
      <c r="J850" s="38"/>
      <c r="K850" s="38"/>
      <c r="M850" s="87"/>
      <c r="N850" s="38"/>
      <c r="Q850" s="38"/>
    </row>
    <row r="851">
      <c r="A851" s="46" t="str">
        <f>IFERROR(__xludf.DUMMYFUNCTION("""COMPUTED_VALUE"""),"Vegetables")</f>
        <v>Vegetables</v>
      </c>
      <c r="B851" s="46" t="str">
        <f>IFERROR(__xludf.DUMMYFUNCTION("""COMPUTED_VALUE"""),"United Kingdom")</f>
        <v>United Kingdom</v>
      </c>
      <c r="C851" s="46">
        <f>IFERROR(__xludf.DUMMYFUNCTION("""COMPUTED_VALUE"""),6.52252137E8)</f>
        <v>652252137</v>
      </c>
      <c r="D851" s="84">
        <f>IFERROR(__xludf.DUMMYFUNCTION("""COMPUTED_VALUE"""),732863.42)</f>
        <v>732863.42</v>
      </c>
      <c r="H851" s="48"/>
      <c r="I851" s="38"/>
      <c r="J851" s="38"/>
      <c r="K851" s="38"/>
      <c r="M851" s="87"/>
      <c r="N851" s="38"/>
      <c r="Q851" s="38"/>
    </row>
    <row r="852">
      <c r="A852" s="46" t="str">
        <f>IFERROR(__xludf.DUMMYFUNCTION("""COMPUTED_VALUE"""),"Cereal")</f>
        <v>Cereal</v>
      </c>
      <c r="B852" s="46" t="str">
        <f>IFERROR(__xludf.DUMMYFUNCTION("""COMPUTED_VALUE"""),"Slovenia")</f>
        <v>Slovenia</v>
      </c>
      <c r="C852" s="46">
        <f>IFERROR(__xludf.DUMMYFUNCTION("""COMPUTED_VALUE"""),6.52501904E8)</f>
        <v>652501904</v>
      </c>
      <c r="D852" s="84">
        <f>IFERROR(__xludf.DUMMYFUNCTION("""COMPUTED_VALUE"""),1783007.5999999999)</f>
        <v>1783007.6</v>
      </c>
      <c r="H852" s="48"/>
      <c r="I852" s="38"/>
      <c r="J852" s="38"/>
      <c r="K852" s="38"/>
      <c r="M852" s="87"/>
      <c r="N852" s="38"/>
      <c r="Q852" s="38"/>
    </row>
    <row r="853">
      <c r="A853" s="46" t="str">
        <f>IFERROR(__xludf.DUMMYFUNCTION("""COMPUTED_VALUE"""),"Snacks")</f>
        <v>Snacks</v>
      </c>
      <c r="B853" s="46" t="str">
        <f>IFERROR(__xludf.DUMMYFUNCTION("""COMPUTED_VALUE"""),"Albania")</f>
        <v>Albania</v>
      </c>
      <c r="C853" s="46">
        <f>IFERROR(__xludf.DUMMYFUNCTION("""COMPUTED_VALUE"""),6.5308727E8)</f>
        <v>653087270</v>
      </c>
      <c r="D853" s="84">
        <f>IFERROR(__xludf.DUMMYFUNCTION("""COMPUTED_VALUE"""),288528.78)</f>
        <v>288528.78</v>
      </c>
      <c r="H853" s="48"/>
      <c r="I853" s="38"/>
      <c r="J853" s="38"/>
      <c r="K853" s="38"/>
      <c r="M853" s="87"/>
      <c r="N853" s="38"/>
      <c r="Q853" s="38"/>
    </row>
    <row r="854">
      <c r="A854" s="46" t="str">
        <f>IFERROR(__xludf.DUMMYFUNCTION("""COMPUTED_VALUE"""),"Beverages")</f>
        <v>Beverages</v>
      </c>
      <c r="B854" s="46" t="str">
        <f>IFERROR(__xludf.DUMMYFUNCTION("""COMPUTED_VALUE"""),"Macedonia")</f>
        <v>Macedonia</v>
      </c>
      <c r="C854" s="46">
        <f>IFERROR(__xludf.DUMMYFUNCTION("""COMPUTED_VALUE"""),6.53152501E8)</f>
        <v>653152501</v>
      </c>
      <c r="D854" s="84">
        <f>IFERROR(__xludf.DUMMYFUNCTION("""COMPUTED_VALUE"""),56655.3)</f>
        <v>56655.3</v>
      </c>
      <c r="H854" s="48"/>
      <c r="I854" s="38"/>
      <c r="J854" s="38"/>
      <c r="K854" s="38"/>
      <c r="M854" s="87"/>
      <c r="N854" s="38"/>
      <c r="Q854" s="38"/>
    </row>
    <row r="855">
      <c r="A855" s="46" t="str">
        <f>IFERROR(__xludf.DUMMYFUNCTION("""COMPUTED_VALUE"""),"Beverages")</f>
        <v>Beverages</v>
      </c>
      <c r="B855" s="46" t="str">
        <f>IFERROR(__xludf.DUMMYFUNCTION("""COMPUTED_VALUE"""),"Estonia")</f>
        <v>Estonia</v>
      </c>
      <c r="C855" s="46">
        <f>IFERROR(__xludf.DUMMYFUNCTION("""COMPUTED_VALUE"""),6.5354861E8)</f>
        <v>653548610</v>
      </c>
      <c r="D855" s="84">
        <f>IFERROR(__xludf.DUMMYFUNCTION("""COMPUTED_VALUE"""),399149.4)</f>
        <v>399149.4</v>
      </c>
      <c r="H855" s="48"/>
      <c r="I855" s="38"/>
      <c r="J855" s="38"/>
      <c r="K855" s="38"/>
      <c r="M855" s="87"/>
      <c r="N855" s="38"/>
      <c r="Q855" s="38"/>
    </row>
    <row r="856">
      <c r="A856" s="46" t="str">
        <f>IFERROR(__xludf.DUMMYFUNCTION("""COMPUTED_VALUE"""),"Personal Care")</f>
        <v>Personal Care</v>
      </c>
      <c r="B856" s="46" t="str">
        <f>IFERROR(__xludf.DUMMYFUNCTION("""COMPUTED_VALUE"""),"Switzerland")</f>
        <v>Switzerland</v>
      </c>
      <c r="C856" s="46">
        <f>IFERROR(__xludf.DUMMYFUNCTION("""COMPUTED_VALUE"""),6.53800523E8)</f>
        <v>653800523</v>
      </c>
      <c r="D856" s="84">
        <f>IFERROR(__xludf.DUMMYFUNCTION("""COMPUTED_VALUE"""),241757.34000000003)</f>
        <v>241757.34</v>
      </c>
      <c r="H856" s="48"/>
      <c r="I856" s="38"/>
      <c r="J856" s="38"/>
      <c r="K856" s="38"/>
      <c r="M856" s="87"/>
      <c r="N856" s="38"/>
      <c r="Q856" s="38"/>
    </row>
    <row r="857">
      <c r="A857" s="46" t="str">
        <f>IFERROR(__xludf.DUMMYFUNCTION("""COMPUTED_VALUE"""),"Office Supplies")</f>
        <v>Office Supplies</v>
      </c>
      <c r="B857" s="46" t="str">
        <f>IFERROR(__xludf.DUMMYFUNCTION("""COMPUTED_VALUE"""),"Slovakia")</f>
        <v>Slovakia</v>
      </c>
      <c r="C857" s="46">
        <f>IFERROR(__xludf.DUMMYFUNCTION("""COMPUTED_VALUE"""),6.53909957E8)</f>
        <v>653909957</v>
      </c>
      <c r="D857" s="84">
        <f>IFERROR(__xludf.DUMMYFUNCTION("""COMPUTED_VALUE"""),3478763.8200000003)</f>
        <v>3478763.82</v>
      </c>
      <c r="H857" s="48"/>
      <c r="I857" s="38"/>
      <c r="J857" s="38"/>
      <c r="K857" s="38"/>
      <c r="M857" s="87"/>
      <c r="N857" s="38"/>
      <c r="Q857" s="38"/>
    </row>
    <row r="858">
      <c r="A858" s="46" t="str">
        <f>IFERROR(__xludf.DUMMYFUNCTION("""COMPUTED_VALUE"""),"Snacks")</f>
        <v>Snacks</v>
      </c>
      <c r="B858" s="46" t="str">
        <f>IFERROR(__xludf.DUMMYFUNCTION("""COMPUTED_VALUE"""),"Romania")</f>
        <v>Romania</v>
      </c>
      <c r="C858" s="46">
        <f>IFERROR(__xludf.DUMMYFUNCTION("""COMPUTED_VALUE"""),6.53920686E8)</f>
        <v>653920686</v>
      </c>
      <c r="D858" s="84">
        <f>IFERROR(__xludf.DUMMYFUNCTION("""COMPUTED_VALUE"""),1299523.86)</f>
        <v>1299523.86</v>
      </c>
      <c r="H858" s="48"/>
      <c r="I858" s="38"/>
      <c r="J858" s="38"/>
      <c r="K858" s="38"/>
      <c r="M858" s="87"/>
      <c r="N858" s="38"/>
      <c r="Q858" s="38"/>
    </row>
    <row r="859">
      <c r="A859" s="46" t="str">
        <f>IFERROR(__xludf.DUMMYFUNCTION("""COMPUTED_VALUE"""),"Household")</f>
        <v>Household</v>
      </c>
      <c r="B859" s="46" t="str">
        <f>IFERROR(__xludf.DUMMYFUNCTION("""COMPUTED_VALUE"""),"Portugal")</f>
        <v>Portugal</v>
      </c>
      <c r="C859" s="46">
        <f>IFERROR(__xludf.DUMMYFUNCTION("""COMPUTED_VALUE"""),6.5528711E8)</f>
        <v>655287110</v>
      </c>
      <c r="D859" s="84">
        <f>IFERROR(__xludf.DUMMYFUNCTION("""COMPUTED_VALUE"""),1919939.71)</f>
        <v>1919939.71</v>
      </c>
      <c r="H859" s="48"/>
      <c r="I859" s="38"/>
      <c r="J859" s="38"/>
      <c r="K859" s="38"/>
      <c r="M859" s="87"/>
      <c r="N859" s="38"/>
      <c r="Q859" s="38"/>
    </row>
    <row r="860">
      <c r="A860" s="46" t="str">
        <f>IFERROR(__xludf.DUMMYFUNCTION("""COMPUTED_VALUE"""),"Cereal")</f>
        <v>Cereal</v>
      </c>
      <c r="B860" s="46" t="str">
        <f>IFERROR(__xludf.DUMMYFUNCTION("""COMPUTED_VALUE"""),"Poland")</f>
        <v>Poland</v>
      </c>
      <c r="C860" s="46">
        <f>IFERROR(__xludf.DUMMYFUNCTION("""COMPUTED_VALUE"""),6.55328738E8)</f>
        <v>655328738</v>
      </c>
      <c r="D860" s="84">
        <f>IFERROR(__xludf.DUMMYFUNCTION("""COMPUTED_VALUE"""),1067788.7)</f>
        <v>1067788.7</v>
      </c>
      <c r="H860" s="48"/>
      <c r="I860" s="38"/>
      <c r="J860" s="38"/>
      <c r="K860" s="38"/>
      <c r="M860" s="87"/>
      <c r="N860" s="38"/>
      <c r="Q860" s="38"/>
    </row>
    <row r="861">
      <c r="A861" s="46" t="str">
        <f>IFERROR(__xludf.DUMMYFUNCTION("""COMPUTED_VALUE"""),"Fruits")</f>
        <v>Fruits</v>
      </c>
      <c r="B861" s="46" t="str">
        <f>IFERROR(__xludf.DUMMYFUNCTION("""COMPUTED_VALUE"""),"Greece")</f>
        <v>Greece</v>
      </c>
      <c r="C861" s="46">
        <f>IFERROR(__xludf.DUMMYFUNCTION("""COMPUTED_VALUE"""),6.56244552E8)</f>
        <v>656244552</v>
      </c>
      <c r="D861" s="84">
        <f>IFERROR(__xludf.DUMMYFUNCTION("""COMPUTED_VALUE"""),57855.33)</f>
        <v>57855.33</v>
      </c>
      <c r="H861" s="48"/>
      <c r="I861" s="38"/>
      <c r="J861" s="38"/>
      <c r="K861" s="38"/>
      <c r="M861" s="87"/>
      <c r="N861" s="38"/>
      <c r="Q861" s="38"/>
    </row>
    <row r="862">
      <c r="A862" s="46" t="str">
        <f>IFERROR(__xludf.DUMMYFUNCTION("""COMPUTED_VALUE"""),"Household")</f>
        <v>Household</v>
      </c>
      <c r="B862" s="46" t="str">
        <f>IFERROR(__xludf.DUMMYFUNCTION("""COMPUTED_VALUE"""),"Sweden")</f>
        <v>Sweden</v>
      </c>
      <c r="C862" s="46">
        <f>IFERROR(__xludf.DUMMYFUNCTION("""COMPUTED_VALUE"""),6.56689155E8)</f>
        <v>656689155</v>
      </c>
      <c r="D862" s="84">
        <f>IFERROR(__xludf.DUMMYFUNCTION("""COMPUTED_VALUE"""),5191789.63)</f>
        <v>5191789.63</v>
      </c>
      <c r="H862" s="48"/>
      <c r="I862" s="38"/>
      <c r="J862" s="38"/>
      <c r="K862" s="38"/>
      <c r="M862" s="87"/>
      <c r="N862" s="38"/>
      <c r="Q862" s="38"/>
    </row>
    <row r="863">
      <c r="A863" s="46" t="str">
        <f>IFERROR(__xludf.DUMMYFUNCTION("""COMPUTED_VALUE"""),"Office Supplies")</f>
        <v>Office Supplies</v>
      </c>
      <c r="B863" s="46" t="str">
        <f>IFERROR(__xludf.DUMMYFUNCTION("""COMPUTED_VALUE"""),"Serbia")</f>
        <v>Serbia</v>
      </c>
      <c r="C863" s="46">
        <f>IFERROR(__xludf.DUMMYFUNCTION("""COMPUTED_VALUE"""),6.59193694E8)</f>
        <v>659193694</v>
      </c>
      <c r="D863" s="84">
        <f>IFERROR(__xludf.DUMMYFUNCTION("""COMPUTED_VALUE"""),5807490.78)</f>
        <v>5807490.78</v>
      </c>
      <c r="H863" s="48"/>
      <c r="I863" s="38"/>
      <c r="J863" s="38"/>
      <c r="K863" s="38"/>
      <c r="M863" s="87"/>
      <c r="N863" s="38"/>
      <c r="Q863" s="38"/>
    </row>
    <row r="864">
      <c r="A864" s="46" t="str">
        <f>IFERROR(__xludf.DUMMYFUNCTION("""COMPUTED_VALUE"""),"Household")</f>
        <v>Household</v>
      </c>
      <c r="B864" s="46" t="str">
        <f>IFERROR(__xludf.DUMMYFUNCTION("""COMPUTED_VALUE"""),"Croatia")</f>
        <v>Croatia</v>
      </c>
      <c r="C864" s="46">
        <f>IFERROR(__xludf.DUMMYFUNCTION("""COMPUTED_VALUE"""),6.59196269E8)</f>
        <v>659196269</v>
      </c>
      <c r="D864" s="84">
        <f>IFERROR(__xludf.DUMMYFUNCTION("""COMPUTED_VALUE"""),6468853.6)</f>
        <v>6468853.6</v>
      </c>
      <c r="H864" s="48"/>
      <c r="I864" s="38"/>
      <c r="J864" s="38"/>
      <c r="K864" s="38"/>
      <c r="M864" s="87"/>
      <c r="N864" s="38"/>
      <c r="Q864" s="38"/>
    </row>
    <row r="865">
      <c r="A865" s="46" t="str">
        <f>IFERROR(__xludf.DUMMYFUNCTION("""COMPUTED_VALUE"""),"Cosmetics")</f>
        <v>Cosmetics</v>
      </c>
      <c r="B865" s="46" t="str">
        <f>IFERROR(__xludf.DUMMYFUNCTION("""COMPUTED_VALUE"""),"Russia")</f>
        <v>Russia</v>
      </c>
      <c r="C865" s="46">
        <f>IFERROR(__xludf.DUMMYFUNCTION("""COMPUTED_VALUE"""),6.59671771E8)</f>
        <v>659671771</v>
      </c>
      <c r="D865" s="84">
        <f>IFERROR(__xludf.DUMMYFUNCTION("""COMPUTED_VALUE"""),170945.19999999998)</f>
        <v>170945.2</v>
      </c>
      <c r="H865" s="48"/>
      <c r="I865" s="38"/>
      <c r="J865" s="38"/>
      <c r="K865" s="38"/>
      <c r="M865" s="87"/>
      <c r="N865" s="38"/>
      <c r="Q865" s="38"/>
    </row>
    <row r="866">
      <c r="A866" s="46" t="str">
        <f>IFERROR(__xludf.DUMMYFUNCTION("""COMPUTED_VALUE"""),"Clothes")</f>
        <v>Clothes</v>
      </c>
      <c r="B866" s="46" t="str">
        <f>IFERROR(__xludf.DUMMYFUNCTION("""COMPUTED_VALUE"""),"Estonia")</f>
        <v>Estonia</v>
      </c>
      <c r="C866" s="46">
        <f>IFERROR(__xludf.DUMMYFUNCTION("""COMPUTED_VALUE"""),6.60312926E8)</f>
        <v>660312926</v>
      </c>
      <c r="D866" s="84">
        <f>IFERROR(__xludf.DUMMYFUNCTION("""COMPUTED_VALUE"""),13441.44)</f>
        <v>13441.44</v>
      </c>
      <c r="H866" s="48"/>
      <c r="I866" s="38"/>
      <c r="J866" s="38"/>
      <c r="K866" s="38"/>
      <c r="M866" s="87"/>
      <c r="N866" s="38"/>
      <c r="Q866" s="38"/>
    </row>
    <row r="867">
      <c r="A867" s="46" t="str">
        <f>IFERROR(__xludf.DUMMYFUNCTION("""COMPUTED_VALUE"""),"Office Supplies")</f>
        <v>Office Supplies</v>
      </c>
      <c r="B867" s="46" t="str">
        <f>IFERROR(__xludf.DUMMYFUNCTION("""COMPUTED_VALUE"""),"Ukraine")</f>
        <v>Ukraine</v>
      </c>
      <c r="C867" s="46">
        <f>IFERROR(__xludf.DUMMYFUNCTION("""COMPUTED_VALUE"""),6.60481584E8)</f>
        <v>660481584</v>
      </c>
      <c r="D867" s="84">
        <f>IFERROR(__xludf.DUMMYFUNCTION("""COMPUTED_VALUE"""),21489.93)</f>
        <v>21489.93</v>
      </c>
      <c r="H867" s="48"/>
      <c r="I867" s="38"/>
      <c r="J867" s="38"/>
      <c r="K867" s="38"/>
      <c r="M867" s="87"/>
      <c r="N867" s="38"/>
      <c r="Q867" s="38"/>
    </row>
    <row r="868">
      <c r="A868" s="46" t="str">
        <f>IFERROR(__xludf.DUMMYFUNCTION("""COMPUTED_VALUE"""),"Meat")</f>
        <v>Meat</v>
      </c>
      <c r="B868" s="46" t="str">
        <f>IFERROR(__xludf.DUMMYFUNCTION("""COMPUTED_VALUE"""),"Malta")</f>
        <v>Malta</v>
      </c>
      <c r="C868" s="46">
        <f>IFERROR(__xludf.DUMMYFUNCTION("""COMPUTED_VALUE"""),6.62623488E8)</f>
        <v>662623488</v>
      </c>
      <c r="D868" s="84">
        <f>IFERROR(__xludf.DUMMYFUNCTION("""COMPUTED_VALUE"""),1632714.3)</f>
        <v>1632714.3</v>
      </c>
      <c r="H868" s="48"/>
      <c r="I868" s="38"/>
      <c r="J868" s="38"/>
      <c r="K868" s="38"/>
      <c r="M868" s="87"/>
      <c r="N868" s="38"/>
      <c r="Q868" s="38"/>
    </row>
    <row r="869">
      <c r="A869" s="46" t="str">
        <f>IFERROR(__xludf.DUMMYFUNCTION("""COMPUTED_VALUE"""),"Meat")</f>
        <v>Meat</v>
      </c>
      <c r="B869" s="46" t="str">
        <f>IFERROR(__xludf.DUMMYFUNCTION("""COMPUTED_VALUE"""),"Portugal")</f>
        <v>Portugal</v>
      </c>
      <c r="C869" s="46">
        <f>IFERROR(__xludf.DUMMYFUNCTION("""COMPUTED_VALUE"""),6.63080108E8)</f>
        <v>663080108</v>
      </c>
      <c r="D869" s="84">
        <f>IFERROR(__xludf.DUMMYFUNCTION("""COMPUTED_VALUE"""),3794478.6599999997)</f>
        <v>3794478.66</v>
      </c>
      <c r="H869" s="48"/>
      <c r="I869" s="38"/>
      <c r="J869" s="38"/>
      <c r="K869" s="38"/>
      <c r="M869" s="87"/>
      <c r="N869" s="38"/>
      <c r="Q869" s="38"/>
    </row>
    <row r="870">
      <c r="A870" s="46" t="str">
        <f>IFERROR(__xludf.DUMMYFUNCTION("""COMPUTED_VALUE"""),"Fruits")</f>
        <v>Fruits</v>
      </c>
      <c r="B870" s="46" t="str">
        <f>IFERROR(__xludf.DUMMYFUNCTION("""COMPUTED_VALUE"""),"Romania")</f>
        <v>Romania</v>
      </c>
      <c r="C870" s="46">
        <f>IFERROR(__xludf.DUMMYFUNCTION("""COMPUTED_VALUE"""),6.65786778E8)</f>
        <v>665786778</v>
      </c>
      <c r="D870" s="84">
        <f>IFERROR(__xludf.DUMMYFUNCTION("""COMPUTED_VALUE"""),92908.14)</f>
        <v>92908.14</v>
      </c>
      <c r="H870" s="48"/>
      <c r="I870" s="38"/>
      <c r="J870" s="38"/>
      <c r="K870" s="38"/>
      <c r="M870" s="87"/>
      <c r="N870" s="38"/>
      <c r="Q870" s="38"/>
    </row>
    <row r="871">
      <c r="A871" s="46" t="str">
        <f>IFERROR(__xludf.DUMMYFUNCTION("""COMPUTED_VALUE"""),"Fruits")</f>
        <v>Fruits</v>
      </c>
      <c r="B871" s="46" t="str">
        <f>IFERROR(__xludf.DUMMYFUNCTION("""COMPUTED_VALUE"""),"Serbia")</f>
        <v>Serbia</v>
      </c>
      <c r="C871" s="46">
        <f>IFERROR(__xludf.DUMMYFUNCTION("""COMPUTED_VALUE"""),6.65817677E8)</f>
        <v>665817677</v>
      </c>
      <c r="D871" s="84">
        <f>IFERROR(__xludf.DUMMYFUNCTION("""COMPUTED_VALUE"""),84921.66)</f>
        <v>84921.66</v>
      </c>
      <c r="H871" s="48"/>
      <c r="I871" s="38"/>
      <c r="J871" s="38"/>
      <c r="K871" s="38"/>
      <c r="M871" s="87"/>
      <c r="N871" s="38"/>
      <c r="Q871" s="38"/>
    </row>
    <row r="872">
      <c r="A872" s="46" t="str">
        <f>IFERROR(__xludf.DUMMYFUNCTION("""COMPUTED_VALUE"""),"Household")</f>
        <v>Household</v>
      </c>
      <c r="B872" s="46" t="str">
        <f>IFERROR(__xludf.DUMMYFUNCTION("""COMPUTED_VALUE"""),"Macedonia")</f>
        <v>Macedonia</v>
      </c>
      <c r="C872" s="46">
        <f>IFERROR(__xludf.DUMMYFUNCTION("""COMPUTED_VALUE"""),6.66483724E8)</f>
        <v>666483724</v>
      </c>
      <c r="D872" s="84">
        <f>IFERROR(__xludf.DUMMYFUNCTION("""COMPUTED_VALUE"""),4142605.73)</f>
        <v>4142605.73</v>
      </c>
      <c r="H872" s="48"/>
      <c r="I872" s="38"/>
      <c r="J872" s="38"/>
      <c r="K872" s="38"/>
      <c r="M872" s="87"/>
      <c r="N872" s="38"/>
      <c r="Q872" s="38"/>
    </row>
    <row r="873">
      <c r="A873" s="46" t="str">
        <f>IFERROR(__xludf.DUMMYFUNCTION("""COMPUTED_VALUE"""),"Cereal")</f>
        <v>Cereal</v>
      </c>
      <c r="B873" s="46" t="str">
        <f>IFERROR(__xludf.DUMMYFUNCTION("""COMPUTED_VALUE"""),"Denmark")</f>
        <v>Denmark</v>
      </c>
      <c r="C873" s="46">
        <f>IFERROR(__xludf.DUMMYFUNCTION("""COMPUTED_VALUE"""),6.6692146E8)</f>
        <v>666921460</v>
      </c>
      <c r="D873" s="84">
        <f>IFERROR(__xludf.DUMMYFUNCTION("""COMPUTED_VALUE"""),1179689.5)</f>
        <v>1179689.5</v>
      </c>
      <c r="H873" s="48"/>
      <c r="I873" s="38"/>
      <c r="J873" s="38"/>
      <c r="K873" s="38"/>
      <c r="M873" s="87"/>
      <c r="N873" s="38"/>
      <c r="Q873" s="38"/>
    </row>
    <row r="874">
      <c r="A874" s="46" t="str">
        <f>IFERROR(__xludf.DUMMYFUNCTION("""COMPUTED_VALUE"""),"Personal Care")</f>
        <v>Personal Care</v>
      </c>
      <c r="B874" s="46" t="str">
        <f>IFERROR(__xludf.DUMMYFUNCTION("""COMPUTED_VALUE"""),"Portugal")</f>
        <v>Portugal</v>
      </c>
      <c r="C874" s="46">
        <f>IFERROR(__xludf.DUMMYFUNCTION("""COMPUTED_VALUE"""),6.67054498E8)</f>
        <v>667054498</v>
      </c>
      <c r="D874" s="84">
        <f>IFERROR(__xludf.DUMMYFUNCTION("""COMPUTED_VALUE"""),417149.92000000004)</f>
        <v>417149.92</v>
      </c>
      <c r="H874" s="48"/>
      <c r="I874" s="38"/>
      <c r="J874" s="38"/>
      <c r="K874" s="38"/>
      <c r="M874" s="87"/>
      <c r="N874" s="38"/>
      <c r="Q874" s="38"/>
    </row>
    <row r="875">
      <c r="A875" s="46" t="str">
        <f>IFERROR(__xludf.DUMMYFUNCTION("""COMPUTED_VALUE"""),"Baby Food")</f>
        <v>Baby Food</v>
      </c>
      <c r="B875" s="46" t="str">
        <f>IFERROR(__xludf.DUMMYFUNCTION("""COMPUTED_VALUE"""),"San Marino")</f>
        <v>San Marino</v>
      </c>
      <c r="C875" s="46">
        <f>IFERROR(__xludf.DUMMYFUNCTION("""COMPUTED_VALUE"""),6.67324435E8)</f>
        <v>667324435</v>
      </c>
      <c r="D875" s="84">
        <f>IFERROR(__xludf.DUMMYFUNCTION("""COMPUTED_VALUE"""),1272570.8)</f>
        <v>1272570.8</v>
      </c>
      <c r="H875" s="48"/>
      <c r="I875" s="38"/>
      <c r="J875" s="38"/>
      <c r="K875" s="38"/>
      <c r="M875" s="87"/>
      <c r="N875" s="38"/>
      <c r="Q875" s="38"/>
    </row>
    <row r="876">
      <c r="A876" s="46" t="str">
        <f>IFERROR(__xludf.DUMMYFUNCTION("""COMPUTED_VALUE"""),"Personal Care")</f>
        <v>Personal Care</v>
      </c>
      <c r="B876" s="46" t="str">
        <f>IFERROR(__xludf.DUMMYFUNCTION("""COMPUTED_VALUE"""),"Armenia")</f>
        <v>Armenia</v>
      </c>
      <c r="C876" s="46">
        <f>IFERROR(__xludf.DUMMYFUNCTION("""COMPUTED_VALUE"""),6.67420995E8)</f>
        <v>667420995</v>
      </c>
      <c r="D876" s="84">
        <f>IFERROR(__xludf.DUMMYFUNCTION("""COMPUTED_VALUE"""),290877.07)</f>
        <v>290877.07</v>
      </c>
      <c r="H876" s="48"/>
      <c r="I876" s="38"/>
      <c r="J876" s="38"/>
      <c r="K876" s="38"/>
      <c r="M876" s="87"/>
      <c r="N876" s="38"/>
      <c r="Q876" s="38"/>
    </row>
    <row r="877">
      <c r="A877" s="46" t="str">
        <f>IFERROR(__xludf.DUMMYFUNCTION("""COMPUTED_VALUE"""),"Meat")</f>
        <v>Meat</v>
      </c>
      <c r="B877" s="46" t="str">
        <f>IFERROR(__xludf.DUMMYFUNCTION("""COMPUTED_VALUE"""),"Portugal")</f>
        <v>Portugal</v>
      </c>
      <c r="C877" s="46">
        <f>IFERROR(__xludf.DUMMYFUNCTION("""COMPUTED_VALUE"""),6.68280589E8)</f>
        <v>668280589</v>
      </c>
      <c r="D877" s="84">
        <f>IFERROR(__xludf.DUMMYFUNCTION("""COMPUTED_VALUE"""),3346431.48)</f>
        <v>3346431.48</v>
      </c>
      <c r="H877" s="48"/>
      <c r="I877" s="38"/>
      <c r="J877" s="38"/>
      <c r="K877" s="38"/>
      <c r="M877" s="87"/>
      <c r="N877" s="38"/>
      <c r="Q877" s="38"/>
    </row>
    <row r="878">
      <c r="A878" s="46" t="str">
        <f>IFERROR(__xludf.DUMMYFUNCTION("""COMPUTED_VALUE"""),"Fruits")</f>
        <v>Fruits</v>
      </c>
      <c r="B878" s="46" t="str">
        <f>IFERROR(__xludf.DUMMYFUNCTION("""COMPUTED_VALUE"""),"Belarus")</f>
        <v>Belarus</v>
      </c>
      <c r="C878" s="46">
        <f>IFERROR(__xludf.DUMMYFUNCTION("""COMPUTED_VALUE"""),6.69353473E8)</f>
        <v>669353473</v>
      </c>
      <c r="D878" s="84">
        <f>IFERROR(__xludf.DUMMYFUNCTION("""COMPUTED_VALUE"""),50587.26)</f>
        <v>50587.26</v>
      </c>
      <c r="H878" s="48"/>
      <c r="I878" s="38"/>
      <c r="J878" s="38"/>
      <c r="K878" s="38"/>
      <c r="M878" s="87"/>
      <c r="N878" s="38"/>
      <c r="Q878" s="38"/>
    </row>
    <row r="879">
      <c r="A879" s="46" t="str">
        <f>IFERROR(__xludf.DUMMYFUNCTION("""COMPUTED_VALUE"""),"Cosmetics")</f>
        <v>Cosmetics</v>
      </c>
      <c r="B879" s="46" t="str">
        <f>IFERROR(__xludf.DUMMYFUNCTION("""COMPUTED_VALUE"""),"Belarus")</f>
        <v>Belarus</v>
      </c>
      <c r="C879" s="46">
        <f>IFERROR(__xludf.DUMMYFUNCTION("""COMPUTED_VALUE"""),6.69550883E8)</f>
        <v>669550883</v>
      </c>
      <c r="D879" s="84">
        <f>IFERROR(__xludf.DUMMYFUNCTION("""COMPUTED_VALUE"""),1678848.0)</f>
        <v>1678848</v>
      </c>
      <c r="H879" s="48"/>
      <c r="I879" s="38"/>
      <c r="J879" s="38"/>
      <c r="K879" s="38"/>
      <c r="M879" s="87"/>
      <c r="N879" s="38"/>
      <c r="Q879" s="38"/>
    </row>
    <row r="880">
      <c r="A880" s="46" t="str">
        <f>IFERROR(__xludf.DUMMYFUNCTION("""COMPUTED_VALUE"""),"Vegetables")</f>
        <v>Vegetables</v>
      </c>
      <c r="B880" s="46" t="str">
        <f>IFERROR(__xludf.DUMMYFUNCTION("""COMPUTED_VALUE"""),"Switzerland")</f>
        <v>Switzerland</v>
      </c>
      <c r="C880" s="46">
        <f>IFERROR(__xludf.DUMMYFUNCTION("""COMPUTED_VALUE"""),6.70274865E8)</f>
        <v>670274865</v>
      </c>
      <c r="D880" s="84">
        <f>IFERROR(__xludf.DUMMYFUNCTION("""COMPUTED_VALUE"""),1245112.92)</f>
        <v>1245112.92</v>
      </c>
      <c r="H880" s="48"/>
      <c r="I880" s="38"/>
      <c r="J880" s="38"/>
      <c r="K880" s="38"/>
      <c r="M880" s="87"/>
      <c r="N880" s="38"/>
      <c r="Q880" s="38"/>
    </row>
    <row r="881">
      <c r="A881" s="46" t="str">
        <f>IFERROR(__xludf.DUMMYFUNCTION("""COMPUTED_VALUE"""),"Vegetables")</f>
        <v>Vegetables</v>
      </c>
      <c r="B881" s="46" t="str">
        <f>IFERROR(__xludf.DUMMYFUNCTION("""COMPUTED_VALUE"""),"Monaco")</f>
        <v>Monaco</v>
      </c>
      <c r="C881" s="46">
        <f>IFERROR(__xludf.DUMMYFUNCTION("""COMPUTED_VALUE"""),6.71616399E8)</f>
        <v>671616399</v>
      </c>
      <c r="D881" s="84">
        <f>IFERROR(__xludf.DUMMYFUNCTION("""COMPUTED_VALUE"""),781392.3200000001)</f>
        <v>781392.32</v>
      </c>
      <c r="H881" s="48"/>
      <c r="I881" s="38"/>
      <c r="J881" s="38"/>
      <c r="K881" s="38"/>
      <c r="M881" s="87"/>
      <c r="N881" s="38"/>
      <c r="Q881" s="38"/>
    </row>
    <row r="882">
      <c r="A882" s="46" t="str">
        <f>IFERROR(__xludf.DUMMYFUNCTION("""COMPUTED_VALUE"""),"Office Supplies")</f>
        <v>Office Supplies</v>
      </c>
      <c r="B882" s="46" t="str">
        <f>IFERROR(__xludf.DUMMYFUNCTION("""COMPUTED_VALUE"""),"Bulgaria")</f>
        <v>Bulgaria</v>
      </c>
      <c r="C882" s="46">
        <f>IFERROR(__xludf.DUMMYFUNCTION("""COMPUTED_VALUE"""),6.72330081E8)</f>
        <v>672330081</v>
      </c>
      <c r="D882" s="84">
        <f>IFERROR(__xludf.DUMMYFUNCTION("""COMPUTED_VALUE"""),4080481.8600000003)</f>
        <v>4080481.86</v>
      </c>
      <c r="H882" s="48"/>
      <c r="I882" s="38"/>
      <c r="J882" s="38"/>
      <c r="K882" s="38"/>
      <c r="M882" s="87"/>
      <c r="N882" s="38"/>
      <c r="Q882" s="38"/>
    </row>
    <row r="883">
      <c r="A883" s="46" t="str">
        <f>IFERROR(__xludf.DUMMYFUNCTION("""COMPUTED_VALUE"""),"Household")</f>
        <v>Household</v>
      </c>
      <c r="B883" s="46" t="str">
        <f>IFERROR(__xludf.DUMMYFUNCTION("""COMPUTED_VALUE"""),"Undefined")</f>
        <v>Undefined</v>
      </c>
      <c r="C883" s="46">
        <f>IFERROR(__xludf.DUMMYFUNCTION("""COMPUTED_VALUE"""),6.72856652E8)</f>
        <v>672856652</v>
      </c>
      <c r="D883" s="84">
        <f>IFERROR(__xludf.DUMMYFUNCTION("""COMPUTED_VALUE"""),1397352.57)</f>
        <v>1397352.57</v>
      </c>
      <c r="H883" s="48"/>
      <c r="I883" s="38"/>
      <c r="J883" s="38"/>
      <c r="K883" s="38"/>
      <c r="M883" s="87"/>
      <c r="N883" s="38"/>
      <c r="Q883" s="38"/>
    </row>
    <row r="884">
      <c r="A884" s="46" t="str">
        <f>IFERROR(__xludf.DUMMYFUNCTION("""COMPUTED_VALUE"""),"Cereal")</f>
        <v>Cereal</v>
      </c>
      <c r="B884" s="46" t="str">
        <f>IFERROR(__xludf.DUMMYFUNCTION("""COMPUTED_VALUE"""),"Belarus")</f>
        <v>Belarus</v>
      </c>
      <c r="C884" s="46">
        <f>IFERROR(__xludf.DUMMYFUNCTION("""COMPUTED_VALUE"""),6.74060428E8)</f>
        <v>674060428</v>
      </c>
      <c r="D884" s="84">
        <f>IFERROR(__xludf.DUMMYFUNCTION("""COMPUTED_VALUE"""),1710395.5)</f>
        <v>1710395.5</v>
      </c>
      <c r="H884" s="48"/>
      <c r="I884" s="38"/>
      <c r="J884" s="38"/>
      <c r="K884" s="38"/>
      <c r="M884" s="87"/>
      <c r="N884" s="38"/>
      <c r="Q884" s="38"/>
    </row>
    <row r="885">
      <c r="A885" s="46" t="str">
        <f>IFERROR(__xludf.DUMMYFUNCTION("""COMPUTED_VALUE"""),"Household")</f>
        <v>Household</v>
      </c>
      <c r="B885" s="46" t="str">
        <f>IFERROR(__xludf.DUMMYFUNCTION("""COMPUTED_VALUE"""),"Italy")</f>
        <v>Italy</v>
      </c>
      <c r="C885" s="46">
        <f>IFERROR(__xludf.DUMMYFUNCTION("""COMPUTED_VALUE"""),6.77851569E8)</f>
        <v>677851569</v>
      </c>
      <c r="D885" s="84">
        <f>IFERROR(__xludf.DUMMYFUNCTION("""COMPUTED_VALUE"""),132317.46)</f>
        <v>132317.46</v>
      </c>
      <c r="H885" s="48"/>
      <c r="I885" s="38"/>
      <c r="J885" s="38"/>
      <c r="K885" s="38"/>
      <c r="M885" s="87"/>
      <c r="N885" s="38"/>
      <c r="Q885" s="38"/>
    </row>
    <row r="886">
      <c r="A886" s="46" t="str">
        <f>IFERROR(__xludf.DUMMYFUNCTION("""COMPUTED_VALUE"""),"Cosmetics")</f>
        <v>Cosmetics</v>
      </c>
      <c r="B886" s="46" t="str">
        <f>IFERROR(__xludf.DUMMYFUNCTION("""COMPUTED_VALUE"""),"Sweden")</f>
        <v>Sweden</v>
      </c>
      <c r="C886" s="46">
        <f>IFERROR(__xludf.DUMMYFUNCTION("""COMPUTED_VALUE"""),6.79039466E8)</f>
        <v>679039466</v>
      </c>
      <c r="D886" s="84">
        <f>IFERROR(__xludf.DUMMYFUNCTION("""COMPUTED_VALUE"""),753295.6)</f>
        <v>753295.6</v>
      </c>
      <c r="H886" s="48"/>
      <c r="I886" s="38"/>
      <c r="J886" s="38"/>
      <c r="K886" s="38"/>
      <c r="M886" s="87"/>
      <c r="N886" s="38"/>
      <c r="Q886" s="38"/>
    </row>
    <row r="887">
      <c r="A887" s="46" t="str">
        <f>IFERROR(__xludf.DUMMYFUNCTION("""COMPUTED_VALUE"""),"Household")</f>
        <v>Household</v>
      </c>
      <c r="B887" s="46" t="str">
        <f>IFERROR(__xludf.DUMMYFUNCTION("""COMPUTED_VALUE"""),"Liechtenstein")</f>
        <v>Liechtenstein</v>
      </c>
      <c r="C887" s="46">
        <f>IFERROR(__xludf.DUMMYFUNCTION("""COMPUTED_VALUE"""),6.7910856E8)</f>
        <v>679108560</v>
      </c>
      <c r="D887" s="84">
        <f>IFERROR(__xludf.DUMMYFUNCTION("""COMPUTED_VALUE"""),1449477.63)</f>
        <v>1449477.63</v>
      </c>
      <c r="H887" s="48"/>
      <c r="I887" s="38"/>
      <c r="J887" s="38"/>
      <c r="K887" s="38"/>
      <c r="M887" s="87"/>
      <c r="N887" s="38"/>
      <c r="Q887" s="38"/>
    </row>
    <row r="888">
      <c r="A888" s="46" t="str">
        <f>IFERROR(__xludf.DUMMYFUNCTION("""COMPUTED_VALUE"""),"Vegetables")</f>
        <v>Vegetables</v>
      </c>
      <c r="B888" s="46" t="str">
        <f>IFERROR(__xludf.DUMMYFUNCTION("""COMPUTED_VALUE"""),"Finland")</f>
        <v>Finland</v>
      </c>
      <c r="C888" s="46">
        <f>IFERROR(__xludf.DUMMYFUNCTION("""COMPUTED_VALUE"""),6.8032521E8)</f>
        <v>680325210</v>
      </c>
      <c r="D888" s="84">
        <f>IFERROR(__xludf.DUMMYFUNCTION("""COMPUTED_VALUE"""),339394.18)</f>
        <v>339394.18</v>
      </c>
      <c r="H888" s="48"/>
      <c r="I888" s="38"/>
      <c r="J888" s="38"/>
      <c r="K888" s="38"/>
      <c r="M888" s="87"/>
      <c r="N888" s="38"/>
      <c r="Q888" s="38"/>
    </row>
    <row r="889">
      <c r="A889" s="46" t="str">
        <f>IFERROR(__xludf.DUMMYFUNCTION("""COMPUTED_VALUE"""),"Beverages")</f>
        <v>Beverages</v>
      </c>
      <c r="B889" s="46" t="str">
        <f>IFERROR(__xludf.DUMMYFUNCTION("""COMPUTED_VALUE"""),"Belarus")</f>
        <v>Belarus</v>
      </c>
      <c r="C889" s="46">
        <f>IFERROR(__xludf.DUMMYFUNCTION("""COMPUTED_VALUE"""),6.81713092E8)</f>
        <v>681713092</v>
      </c>
      <c r="D889" s="84">
        <f>IFERROR(__xludf.DUMMYFUNCTION("""COMPUTED_VALUE"""),137984.6)</f>
        <v>137984.6</v>
      </c>
      <c r="H889" s="48"/>
      <c r="I889" s="38"/>
      <c r="J889" s="38"/>
      <c r="K889" s="38"/>
      <c r="M889" s="87"/>
      <c r="N889" s="38"/>
      <c r="Q889" s="38"/>
    </row>
    <row r="890">
      <c r="A890" s="46" t="str">
        <f>IFERROR(__xludf.DUMMYFUNCTION("""COMPUTED_VALUE"""),"Vegetables")</f>
        <v>Vegetables</v>
      </c>
      <c r="B890" s="46" t="str">
        <f>IFERROR(__xludf.DUMMYFUNCTION("""COMPUTED_VALUE"""),"Belgium")</f>
        <v>Belgium</v>
      </c>
      <c r="C890" s="46">
        <f>IFERROR(__xludf.DUMMYFUNCTION("""COMPUTED_VALUE"""),6.82066285E8)</f>
        <v>682066285</v>
      </c>
      <c r="D890" s="84">
        <f>IFERROR(__xludf.DUMMYFUNCTION("""COMPUTED_VALUE"""),1144049.56)</f>
        <v>1144049.56</v>
      </c>
      <c r="H890" s="48"/>
      <c r="I890" s="38"/>
      <c r="J890" s="38"/>
      <c r="K890" s="38"/>
      <c r="M890" s="87"/>
      <c r="N890" s="38"/>
      <c r="Q890" s="38"/>
    </row>
    <row r="891">
      <c r="A891" s="46" t="str">
        <f>IFERROR(__xludf.DUMMYFUNCTION("""COMPUTED_VALUE"""),"Meat")</f>
        <v>Meat</v>
      </c>
      <c r="B891" s="46" t="str">
        <f>IFERROR(__xludf.DUMMYFUNCTION("""COMPUTED_VALUE"""),"Romania")</f>
        <v>Romania</v>
      </c>
      <c r="C891" s="46">
        <f>IFERROR(__xludf.DUMMYFUNCTION("""COMPUTED_VALUE"""),6.82162415E8)</f>
        <v>682162415</v>
      </c>
      <c r="D891" s="84">
        <f>IFERROR(__xludf.DUMMYFUNCTION("""COMPUTED_VALUE"""),2477759.9699999997)</f>
        <v>2477759.97</v>
      </c>
      <c r="H891" s="48"/>
      <c r="I891" s="38"/>
      <c r="J891" s="38"/>
      <c r="K891" s="38"/>
      <c r="M891" s="87"/>
      <c r="N891" s="38"/>
      <c r="Q891" s="38"/>
    </row>
    <row r="892">
      <c r="A892" s="46" t="str">
        <f>IFERROR(__xludf.DUMMYFUNCTION("""COMPUTED_VALUE"""),"Beverages")</f>
        <v>Beverages</v>
      </c>
      <c r="B892" s="46" t="str">
        <f>IFERROR(__xludf.DUMMYFUNCTION("""COMPUTED_VALUE"""),"Germany")</f>
        <v>Germany</v>
      </c>
      <c r="C892" s="46">
        <f>IFERROR(__xludf.DUMMYFUNCTION("""COMPUTED_VALUE"""),6.82314765E8)</f>
        <v>682314765</v>
      </c>
      <c r="D892" s="84">
        <f>IFERROR(__xludf.DUMMYFUNCTION("""COMPUTED_VALUE"""),45362.200000000004)</f>
        <v>45362.2</v>
      </c>
      <c r="H892" s="48"/>
      <c r="I892" s="38"/>
      <c r="J892" s="38"/>
      <c r="K892" s="38"/>
      <c r="M892" s="87"/>
      <c r="N892" s="38"/>
      <c r="Q892" s="38"/>
    </row>
    <row r="893">
      <c r="A893" s="46" t="str">
        <f>IFERROR(__xludf.DUMMYFUNCTION("""COMPUTED_VALUE"""),"Cosmetics")</f>
        <v>Cosmetics</v>
      </c>
      <c r="B893" s="46" t="str">
        <f>IFERROR(__xludf.DUMMYFUNCTION("""COMPUTED_VALUE"""),"Sweden")</f>
        <v>Sweden</v>
      </c>
      <c r="C893" s="46">
        <f>IFERROR(__xludf.DUMMYFUNCTION("""COMPUTED_VALUE"""),6.84239947E8)</f>
        <v>684239947</v>
      </c>
      <c r="D893" s="84">
        <f>IFERROR(__xludf.DUMMYFUNCTION("""COMPUTED_VALUE"""),288989.2)</f>
        <v>288989.2</v>
      </c>
      <c r="H893" s="48"/>
      <c r="I893" s="38"/>
      <c r="J893" s="38"/>
      <c r="K893" s="38"/>
      <c r="M893" s="87"/>
      <c r="N893" s="38"/>
      <c r="Q893" s="38"/>
    </row>
    <row r="894">
      <c r="A894" s="46" t="str">
        <f>IFERROR(__xludf.DUMMYFUNCTION("""COMPUTED_VALUE"""),"Clothes")</f>
        <v>Clothes</v>
      </c>
      <c r="B894" s="46" t="str">
        <f>IFERROR(__xludf.DUMMYFUNCTION("""COMPUTED_VALUE"""),"Portugal")</f>
        <v>Portugal</v>
      </c>
      <c r="C894" s="46">
        <f>IFERROR(__xludf.DUMMYFUNCTION("""COMPUTED_VALUE"""),6.84853637E8)</f>
        <v>684853637</v>
      </c>
      <c r="D894" s="84">
        <f>IFERROR(__xludf.DUMMYFUNCTION("""COMPUTED_VALUE"""),247519.2)</f>
        <v>247519.2</v>
      </c>
      <c r="H894" s="48"/>
      <c r="I894" s="38"/>
      <c r="J894" s="38"/>
      <c r="K894" s="38"/>
      <c r="M894" s="87"/>
      <c r="N894" s="38"/>
      <c r="Q894" s="38"/>
    </row>
    <row r="895">
      <c r="A895" s="46" t="str">
        <f>IFERROR(__xludf.DUMMYFUNCTION("""COMPUTED_VALUE"""),"Baby Food")</f>
        <v>Baby Food</v>
      </c>
      <c r="B895" s="46" t="str">
        <f>IFERROR(__xludf.DUMMYFUNCTION("""COMPUTED_VALUE"""),"Poland")</f>
        <v>Poland</v>
      </c>
      <c r="C895" s="46">
        <f>IFERROR(__xludf.DUMMYFUNCTION("""COMPUTED_VALUE"""),6.85233008E8)</f>
        <v>685233008</v>
      </c>
      <c r="D895" s="84">
        <f>IFERROR(__xludf.DUMMYFUNCTION("""COMPUTED_VALUE"""),1156163.12)</f>
        <v>1156163.12</v>
      </c>
      <c r="H895" s="48"/>
      <c r="I895" s="38"/>
      <c r="J895" s="38"/>
      <c r="K895" s="38"/>
      <c r="M895" s="87"/>
      <c r="N895" s="38"/>
      <c r="Q895" s="38"/>
    </row>
    <row r="896">
      <c r="A896" s="46" t="str">
        <f>IFERROR(__xludf.DUMMYFUNCTION("""COMPUTED_VALUE"""),"Clothes")</f>
        <v>Clothes</v>
      </c>
      <c r="B896" s="46" t="str">
        <f>IFERROR(__xludf.DUMMYFUNCTION("""COMPUTED_VALUE"""),"Montenegro")</f>
        <v>Montenegro</v>
      </c>
      <c r="C896" s="46">
        <f>IFERROR(__xludf.DUMMYFUNCTION("""COMPUTED_VALUE"""),6.8559693E8)</f>
        <v>685596930</v>
      </c>
      <c r="D896" s="84">
        <f>IFERROR(__xludf.DUMMYFUNCTION("""COMPUTED_VALUE"""),242820.16)</f>
        <v>242820.16</v>
      </c>
      <c r="H896" s="48"/>
      <c r="I896" s="38"/>
      <c r="J896" s="38"/>
      <c r="K896" s="38"/>
      <c r="M896" s="87"/>
      <c r="N896" s="38"/>
      <c r="Q896" s="38"/>
    </row>
    <row r="897">
      <c r="A897" s="46" t="str">
        <f>IFERROR(__xludf.DUMMYFUNCTION("""COMPUTED_VALUE"""),"Cereal")</f>
        <v>Cereal</v>
      </c>
      <c r="B897" s="46" t="str">
        <f>IFERROR(__xludf.DUMMYFUNCTION("""COMPUTED_VALUE"""),"Greece")</f>
        <v>Greece</v>
      </c>
      <c r="C897" s="46">
        <f>IFERROR(__xludf.DUMMYFUNCTION("""COMPUTED_VALUE"""),6.87374913E8)</f>
        <v>687374913</v>
      </c>
      <c r="D897" s="84">
        <f>IFERROR(__xludf.DUMMYFUNCTION("""COMPUTED_VALUE"""),1721091.9)</f>
        <v>1721091.9</v>
      </c>
      <c r="H897" s="48"/>
      <c r="I897" s="38"/>
      <c r="J897" s="38"/>
      <c r="K897" s="38"/>
      <c r="M897" s="87"/>
      <c r="N897" s="38"/>
      <c r="Q897" s="38"/>
    </row>
    <row r="898">
      <c r="A898" s="46" t="str">
        <f>IFERROR(__xludf.DUMMYFUNCTION("""COMPUTED_VALUE"""),"Household")</f>
        <v>Household</v>
      </c>
      <c r="B898" s="46" t="str">
        <f>IFERROR(__xludf.DUMMYFUNCTION("""COMPUTED_VALUE"""),"Sweden")</f>
        <v>Sweden</v>
      </c>
      <c r="C898" s="46">
        <f>IFERROR(__xludf.DUMMYFUNCTION("""COMPUTED_VALUE"""),6.88650786E8)</f>
        <v>688650786</v>
      </c>
      <c r="D898" s="84">
        <f>IFERROR(__xludf.DUMMYFUNCTION("""COMPUTED_VALUE"""),3960168.02)</f>
        <v>3960168.02</v>
      </c>
      <c r="H898" s="48"/>
      <c r="I898" s="38"/>
      <c r="J898" s="38"/>
      <c r="K898" s="38"/>
      <c r="M898" s="87"/>
      <c r="N898" s="38"/>
      <c r="Q898" s="38"/>
    </row>
    <row r="899">
      <c r="A899" s="46" t="str">
        <f>IFERROR(__xludf.DUMMYFUNCTION("""COMPUTED_VALUE"""),"Vegetables")</f>
        <v>Vegetables</v>
      </c>
      <c r="B899" s="46" t="str">
        <f>IFERROR(__xludf.DUMMYFUNCTION("""COMPUTED_VALUE"""),"Netherlands")</f>
        <v>Netherlands</v>
      </c>
      <c r="C899" s="46">
        <f>IFERROR(__xludf.DUMMYFUNCTION("""COMPUTED_VALUE"""),6.88698422E8)</f>
        <v>688698422</v>
      </c>
      <c r="D899" s="84">
        <f>IFERROR(__xludf.DUMMYFUNCTION("""COMPUTED_VALUE"""),3389.32)</f>
        <v>3389.32</v>
      </c>
      <c r="H899" s="48"/>
      <c r="I899" s="38"/>
      <c r="J899" s="38"/>
      <c r="K899" s="38"/>
      <c r="M899" s="87"/>
      <c r="N899" s="38"/>
      <c r="Q899" s="38"/>
    </row>
    <row r="900">
      <c r="A900" s="46" t="str">
        <f>IFERROR(__xludf.DUMMYFUNCTION("""COMPUTED_VALUE"""),"Household")</f>
        <v>Household</v>
      </c>
      <c r="B900" s="46" t="str">
        <f>IFERROR(__xludf.DUMMYFUNCTION("""COMPUTED_VALUE"""),"Bulgaria")</f>
        <v>Bulgaria</v>
      </c>
      <c r="C900" s="46">
        <f>IFERROR(__xludf.DUMMYFUNCTION("""COMPUTED_VALUE"""),6.88903129E8)</f>
        <v>688903129</v>
      </c>
      <c r="D900" s="84">
        <f>IFERROR(__xludf.DUMMYFUNCTION("""COMPUTED_VALUE"""),400962.0)</f>
        <v>400962</v>
      </c>
      <c r="H900" s="48"/>
      <c r="I900" s="38"/>
      <c r="J900" s="38"/>
      <c r="K900" s="38"/>
      <c r="M900" s="87"/>
      <c r="N900" s="38"/>
      <c r="Q900" s="38"/>
    </row>
    <row r="901">
      <c r="A901" s="46" t="str">
        <f>IFERROR(__xludf.DUMMYFUNCTION("""COMPUTED_VALUE"""),"Cosmetics")</f>
        <v>Cosmetics</v>
      </c>
      <c r="B901" s="46" t="str">
        <f>IFERROR(__xludf.DUMMYFUNCTION("""COMPUTED_VALUE"""),"Hungary")</f>
        <v>Hungary</v>
      </c>
      <c r="C901" s="46">
        <f>IFERROR(__xludf.DUMMYFUNCTION("""COMPUTED_VALUE"""),6.89349019E8)</f>
        <v>689349019</v>
      </c>
      <c r="D901" s="84">
        <f>IFERROR(__xludf.DUMMYFUNCTION("""COMPUTED_VALUE"""),1113985.5999999999)</f>
        <v>1113985.6</v>
      </c>
      <c r="H901" s="48"/>
      <c r="I901" s="38"/>
      <c r="J901" s="38"/>
      <c r="K901" s="38"/>
      <c r="M901" s="87"/>
      <c r="N901" s="38"/>
      <c r="Q901" s="38"/>
    </row>
    <row r="902">
      <c r="A902" s="46" t="str">
        <f>IFERROR(__xludf.DUMMYFUNCTION("""COMPUTED_VALUE"""),"Clothes")</f>
        <v>Clothes</v>
      </c>
      <c r="B902" s="46" t="str">
        <f>IFERROR(__xludf.DUMMYFUNCTION("""COMPUTED_VALUE"""),"Italy")</f>
        <v>Italy</v>
      </c>
      <c r="C902" s="46">
        <f>IFERROR(__xludf.DUMMYFUNCTION("""COMPUTED_VALUE"""),6.89421546E8)</f>
        <v>689421546</v>
      </c>
      <c r="D902" s="84">
        <f>IFERROR(__xludf.DUMMYFUNCTION("""COMPUTED_VALUE"""),438322.08)</f>
        <v>438322.08</v>
      </c>
      <c r="H902" s="48"/>
      <c r="I902" s="38"/>
      <c r="J902" s="38"/>
      <c r="K902" s="38"/>
      <c r="M902" s="87"/>
      <c r="N902" s="38"/>
      <c r="Q902" s="38"/>
    </row>
    <row r="903">
      <c r="A903" s="46" t="str">
        <f>IFERROR(__xludf.DUMMYFUNCTION("""COMPUTED_VALUE"""),"Household")</f>
        <v>Household</v>
      </c>
      <c r="B903" s="46" t="str">
        <f>IFERROR(__xludf.DUMMYFUNCTION("""COMPUTED_VALUE"""),"Netherlands")</f>
        <v>Netherlands</v>
      </c>
      <c r="C903" s="46">
        <f>IFERROR(__xludf.DUMMYFUNCTION("""COMPUTED_VALUE"""),6.9022063E8)</f>
        <v>690220630</v>
      </c>
      <c r="D903" s="84">
        <f>IFERROR(__xludf.DUMMYFUNCTION("""COMPUTED_VALUE"""),318764.79)</f>
        <v>318764.79</v>
      </c>
      <c r="H903" s="48"/>
      <c r="I903" s="38"/>
      <c r="J903" s="38"/>
      <c r="K903" s="38"/>
      <c r="M903" s="87"/>
      <c r="N903" s="38"/>
      <c r="Q903" s="38"/>
    </row>
    <row r="904">
      <c r="A904" s="46" t="str">
        <f>IFERROR(__xludf.DUMMYFUNCTION("""COMPUTED_VALUE"""),"Vegetables")</f>
        <v>Vegetables</v>
      </c>
      <c r="B904" s="46" t="str">
        <f>IFERROR(__xludf.DUMMYFUNCTION("""COMPUTED_VALUE"""),"Slovenia")</f>
        <v>Slovenia</v>
      </c>
      <c r="C904" s="46">
        <f>IFERROR(__xludf.DUMMYFUNCTION("""COMPUTED_VALUE"""),6.91383635E8)</f>
        <v>691383635</v>
      </c>
      <c r="D904" s="84">
        <f>IFERROR(__xludf.DUMMYFUNCTION("""COMPUTED_VALUE"""),714376.22)</f>
        <v>714376.22</v>
      </c>
      <c r="H904" s="48"/>
      <c r="I904" s="38"/>
      <c r="J904" s="38"/>
      <c r="K904" s="38"/>
      <c r="M904" s="87"/>
      <c r="N904" s="38"/>
      <c r="Q904" s="38"/>
    </row>
    <row r="905">
      <c r="A905" s="46" t="str">
        <f>IFERROR(__xludf.DUMMYFUNCTION("""COMPUTED_VALUE"""),"Clothes")</f>
        <v>Clothes</v>
      </c>
      <c r="B905" s="46" t="str">
        <f>IFERROR(__xludf.DUMMYFUNCTION("""COMPUTED_VALUE"""),"Belarus")</f>
        <v>Belarus</v>
      </c>
      <c r="C905" s="46">
        <f>IFERROR(__xludf.DUMMYFUNCTION("""COMPUTED_VALUE"""),6.91760861E8)</f>
        <v>691760861</v>
      </c>
      <c r="D905" s="84">
        <f>IFERROR(__xludf.DUMMYFUNCTION("""COMPUTED_VALUE"""),684748.48)</f>
        <v>684748.48</v>
      </c>
      <c r="H905" s="48"/>
      <c r="I905" s="38"/>
      <c r="J905" s="38"/>
      <c r="K905" s="38"/>
      <c r="M905" s="87"/>
      <c r="N905" s="38"/>
      <c r="Q905" s="38"/>
    </row>
    <row r="906">
      <c r="A906" s="46" t="str">
        <f>IFERROR(__xludf.DUMMYFUNCTION("""COMPUTED_VALUE"""),"Meat")</f>
        <v>Meat</v>
      </c>
      <c r="B906" s="46" t="str">
        <f>IFERROR(__xludf.DUMMYFUNCTION("""COMPUTED_VALUE"""),"Czech Republic")</f>
        <v>Czech Republic</v>
      </c>
      <c r="C906" s="46">
        <f>IFERROR(__xludf.DUMMYFUNCTION("""COMPUTED_VALUE"""),6.92555224E8)</f>
        <v>692555224</v>
      </c>
      <c r="D906" s="84">
        <f>IFERROR(__xludf.DUMMYFUNCTION("""COMPUTED_VALUE"""),563645.04)</f>
        <v>563645.04</v>
      </c>
      <c r="H906" s="48"/>
      <c r="I906" s="38"/>
      <c r="J906" s="38"/>
      <c r="K906" s="38"/>
      <c r="M906" s="87"/>
      <c r="N906" s="38"/>
      <c r="Q906" s="38"/>
    </row>
    <row r="907">
      <c r="A907" s="46" t="str">
        <f>IFERROR(__xludf.DUMMYFUNCTION("""COMPUTED_VALUE"""),"Household")</f>
        <v>Household</v>
      </c>
      <c r="B907" s="46" t="str">
        <f>IFERROR(__xludf.DUMMYFUNCTION("""COMPUTED_VALUE"""),"Italy")</f>
        <v>Italy</v>
      </c>
      <c r="C907" s="46">
        <f>IFERROR(__xludf.DUMMYFUNCTION("""COMPUTED_VALUE"""),6.92704999E8)</f>
        <v>692704999</v>
      </c>
      <c r="D907" s="84">
        <f>IFERROR(__xludf.DUMMYFUNCTION("""COMPUTED_VALUE"""),3780403.3899999997)</f>
        <v>3780403.39</v>
      </c>
      <c r="H907" s="48"/>
      <c r="I907" s="38"/>
      <c r="J907" s="38"/>
      <c r="K907" s="38"/>
      <c r="M907" s="87"/>
      <c r="N907" s="38"/>
      <c r="Q907" s="38"/>
    </row>
    <row r="908">
      <c r="A908" s="46" t="str">
        <f>IFERROR(__xludf.DUMMYFUNCTION("""COMPUTED_VALUE"""),"Meat")</f>
        <v>Meat</v>
      </c>
      <c r="B908" s="46" t="str">
        <f>IFERROR(__xludf.DUMMYFUNCTION("""COMPUTED_VALUE"""),"Germany")</f>
        <v>Germany</v>
      </c>
      <c r="C908" s="46">
        <f>IFERROR(__xludf.DUMMYFUNCTION("""COMPUTED_VALUE"""),6.92757356E8)</f>
        <v>692757356</v>
      </c>
      <c r="D908" s="84">
        <f>IFERROR(__xludf.DUMMYFUNCTION("""COMPUTED_VALUE"""),485595.38999999996)</f>
        <v>485595.39</v>
      </c>
      <c r="H908" s="48"/>
      <c r="I908" s="38"/>
      <c r="J908" s="38"/>
      <c r="K908" s="38"/>
      <c r="M908" s="87"/>
      <c r="N908" s="38"/>
      <c r="Q908" s="38"/>
    </row>
    <row r="909">
      <c r="A909" s="46" t="str">
        <f>IFERROR(__xludf.DUMMYFUNCTION("""COMPUTED_VALUE"""),"Cosmetics")</f>
        <v>Cosmetics</v>
      </c>
      <c r="B909" s="46" t="str">
        <f>IFERROR(__xludf.DUMMYFUNCTION("""COMPUTED_VALUE"""),"United Kingdom")</f>
        <v>United Kingdom</v>
      </c>
      <c r="C909" s="46">
        <f>IFERROR(__xludf.DUMMYFUNCTION("""COMPUTED_VALUE"""),6.92952191E8)</f>
        <v>692952191</v>
      </c>
      <c r="D909" s="84">
        <f>IFERROR(__xludf.DUMMYFUNCTION("""COMPUTED_VALUE"""),3850420.4)</f>
        <v>3850420.4</v>
      </c>
      <c r="H909" s="48"/>
      <c r="I909" s="38"/>
      <c r="J909" s="38"/>
      <c r="K909" s="38"/>
      <c r="M909" s="87"/>
      <c r="N909" s="38"/>
      <c r="Q909" s="38"/>
    </row>
    <row r="910">
      <c r="A910" s="46" t="str">
        <f>IFERROR(__xludf.DUMMYFUNCTION("""COMPUTED_VALUE"""),"Meat")</f>
        <v>Meat</v>
      </c>
      <c r="B910" s="46" t="str">
        <f>IFERROR(__xludf.DUMMYFUNCTION("""COMPUTED_VALUE"""),"Armenia")</f>
        <v>Armenia</v>
      </c>
      <c r="C910" s="46">
        <f>IFERROR(__xludf.DUMMYFUNCTION("""COMPUTED_VALUE"""),6.93210542E8)</f>
        <v>693210542</v>
      </c>
      <c r="D910" s="84">
        <f>IFERROR(__xludf.DUMMYFUNCTION("""COMPUTED_VALUE"""),2218719.51)</f>
        <v>2218719.51</v>
      </c>
      <c r="H910" s="48"/>
      <c r="I910" s="38"/>
      <c r="J910" s="38"/>
      <c r="K910" s="38"/>
      <c r="M910" s="87"/>
      <c r="N910" s="38"/>
      <c r="Q910" s="38"/>
    </row>
    <row r="911">
      <c r="A911" s="46" t="str">
        <f>IFERROR(__xludf.DUMMYFUNCTION("""COMPUTED_VALUE"""),"Meat")</f>
        <v>Meat</v>
      </c>
      <c r="B911" s="46" t="str">
        <f>IFERROR(__xludf.DUMMYFUNCTION("""COMPUTED_VALUE"""),"Czech Republic")</f>
        <v>Czech Republic</v>
      </c>
      <c r="C911" s="46">
        <f>IFERROR(__xludf.DUMMYFUNCTION("""COMPUTED_VALUE"""),6.93583905E8)</f>
        <v>693583905</v>
      </c>
      <c r="D911" s="84">
        <f>IFERROR(__xludf.DUMMYFUNCTION("""COMPUTED_VALUE"""),2423758.05)</f>
        <v>2423758.05</v>
      </c>
      <c r="H911" s="48"/>
      <c r="I911" s="38"/>
      <c r="J911" s="38"/>
      <c r="K911" s="38"/>
      <c r="M911" s="87"/>
      <c r="N911" s="38"/>
      <c r="Q911" s="38"/>
    </row>
    <row r="912">
      <c r="A912" s="46" t="str">
        <f>IFERROR(__xludf.DUMMYFUNCTION("""COMPUTED_VALUE"""),"Baby Food")</f>
        <v>Baby Food</v>
      </c>
      <c r="B912" s="46" t="str">
        <f>IFERROR(__xludf.DUMMYFUNCTION("""COMPUTED_VALUE"""),"Romania")</f>
        <v>Romania</v>
      </c>
      <c r="C912" s="46">
        <f>IFERROR(__xludf.DUMMYFUNCTION("""COMPUTED_VALUE"""),6.93831098E8)</f>
        <v>693831098</v>
      </c>
      <c r="D912" s="84">
        <f>IFERROR(__xludf.DUMMYFUNCTION("""COMPUTED_VALUE"""),2270715.6)</f>
        <v>2270715.6</v>
      </c>
      <c r="H912" s="48"/>
      <c r="I912" s="38"/>
      <c r="J912" s="38"/>
      <c r="K912" s="38"/>
      <c r="M912" s="87"/>
      <c r="N912" s="38"/>
      <c r="Q912" s="38"/>
    </row>
    <row r="913">
      <c r="A913" s="46" t="str">
        <f>IFERROR(__xludf.DUMMYFUNCTION("""COMPUTED_VALUE"""),"Baby Food")</f>
        <v>Baby Food</v>
      </c>
      <c r="B913" s="46" t="str">
        <f>IFERROR(__xludf.DUMMYFUNCTION("""COMPUTED_VALUE"""),"Netherlands")</f>
        <v>Netherlands</v>
      </c>
      <c r="C913" s="46">
        <f>IFERROR(__xludf.DUMMYFUNCTION("""COMPUTED_VALUE"""),6.94771802E8)</f>
        <v>694771802</v>
      </c>
      <c r="D913" s="84">
        <f>IFERROR(__xludf.DUMMYFUNCTION("""COMPUTED_VALUE"""),1855885.6)</f>
        <v>1855885.6</v>
      </c>
      <c r="H913" s="48"/>
      <c r="I913" s="38"/>
      <c r="J913" s="38"/>
      <c r="K913" s="38"/>
      <c r="M913" s="87"/>
      <c r="N913" s="38"/>
      <c r="Q913" s="38"/>
    </row>
    <row r="914">
      <c r="A914" s="46" t="str">
        <f>IFERROR(__xludf.DUMMYFUNCTION("""COMPUTED_VALUE"""),"Cosmetics")</f>
        <v>Cosmetics</v>
      </c>
      <c r="B914" s="46" t="str">
        <f>IFERROR(__xludf.DUMMYFUNCTION("""COMPUTED_VALUE"""),"Albania")</f>
        <v>Albania</v>
      </c>
      <c r="C914" s="46">
        <f>IFERROR(__xludf.DUMMYFUNCTION("""COMPUTED_VALUE"""),6.9491471E8)</f>
        <v>694914710</v>
      </c>
      <c r="D914" s="84">
        <f>IFERROR(__xludf.DUMMYFUNCTION("""COMPUTED_VALUE"""),4179632.0)</f>
        <v>4179632</v>
      </c>
      <c r="H914" s="48"/>
      <c r="I914" s="38"/>
      <c r="J914" s="38"/>
      <c r="K914" s="38"/>
      <c r="M914" s="87"/>
      <c r="N914" s="38"/>
      <c r="Q914" s="38"/>
    </row>
    <row r="915">
      <c r="A915" s="46" t="str">
        <f>IFERROR(__xludf.DUMMYFUNCTION("""COMPUTED_VALUE"""),"Cosmetics")</f>
        <v>Cosmetics</v>
      </c>
      <c r="B915" s="46" t="str">
        <f>IFERROR(__xludf.DUMMYFUNCTION("""COMPUTED_VALUE"""),"Belgium")</f>
        <v>Belgium</v>
      </c>
      <c r="C915" s="46">
        <f>IFERROR(__xludf.DUMMYFUNCTION("""COMPUTED_VALUE"""),6.95059764E8)</f>
        <v>695059764</v>
      </c>
      <c r="D915" s="84">
        <f>IFERROR(__xludf.DUMMYFUNCTION("""COMPUTED_VALUE"""),1086442.0)</f>
        <v>1086442</v>
      </c>
      <c r="H915" s="48"/>
      <c r="I915" s="38"/>
      <c r="J915" s="38"/>
      <c r="K915" s="38"/>
      <c r="M915" s="87"/>
      <c r="N915" s="38"/>
      <c r="Q915" s="38"/>
    </row>
    <row r="916">
      <c r="A916" s="46" t="str">
        <f>IFERROR(__xludf.DUMMYFUNCTION("""COMPUTED_VALUE"""),"Cereal")</f>
        <v>Cereal</v>
      </c>
      <c r="B916" s="46" t="str">
        <f>IFERROR(__xludf.DUMMYFUNCTION("""COMPUTED_VALUE"""),"Andorra")</f>
        <v>Andorra</v>
      </c>
      <c r="C916" s="46">
        <f>IFERROR(__xludf.DUMMYFUNCTION("""COMPUTED_VALUE"""),6.96197879E8)</f>
        <v>696197879</v>
      </c>
      <c r="D916" s="84">
        <f>IFERROR(__xludf.DUMMYFUNCTION("""COMPUTED_VALUE"""),1908484.5999999999)</f>
        <v>1908484.6</v>
      </c>
      <c r="H916" s="48"/>
      <c r="I916" s="38"/>
      <c r="J916" s="38"/>
      <c r="K916" s="38"/>
      <c r="M916" s="87"/>
      <c r="N916" s="38"/>
      <c r="Q916" s="38"/>
    </row>
    <row r="917">
      <c r="A917" s="46" t="str">
        <f>IFERROR(__xludf.DUMMYFUNCTION("""COMPUTED_VALUE"""),"Office Supplies")</f>
        <v>Office Supplies</v>
      </c>
      <c r="B917" s="46" t="str">
        <f>IFERROR(__xludf.DUMMYFUNCTION("""COMPUTED_VALUE"""),"Macedonia")</f>
        <v>Macedonia</v>
      </c>
      <c r="C917" s="46">
        <f>IFERROR(__xludf.DUMMYFUNCTION("""COMPUTED_VALUE"""),6.96839892E8)</f>
        <v>696839892</v>
      </c>
      <c r="D917" s="84">
        <f>IFERROR(__xludf.DUMMYFUNCTION("""COMPUTED_VALUE"""),6032809.44)</f>
        <v>6032809.44</v>
      </c>
      <c r="H917" s="48"/>
      <c r="I917" s="38"/>
      <c r="J917" s="38"/>
      <c r="K917" s="38"/>
      <c r="M917" s="87"/>
      <c r="N917" s="38"/>
      <c r="Q917" s="38"/>
    </row>
    <row r="918">
      <c r="A918" s="46" t="str">
        <f>IFERROR(__xludf.DUMMYFUNCTION("""COMPUTED_VALUE"""),"Meat")</f>
        <v>Meat</v>
      </c>
      <c r="B918" s="46" t="str">
        <f>IFERROR(__xludf.DUMMYFUNCTION("""COMPUTED_VALUE"""),"Norway")</f>
        <v>Norway</v>
      </c>
      <c r="C918" s="46">
        <f>IFERROR(__xludf.DUMMYFUNCTION("""COMPUTED_VALUE"""),6.96844613E8)</f>
        <v>696844613</v>
      </c>
      <c r="D918" s="84">
        <f>IFERROR(__xludf.DUMMYFUNCTION("""COMPUTED_VALUE"""),278869.29)</f>
        <v>278869.29</v>
      </c>
      <c r="H918" s="48"/>
      <c r="I918" s="38"/>
      <c r="J918" s="38"/>
      <c r="K918" s="38"/>
      <c r="M918" s="87"/>
      <c r="N918" s="38"/>
      <c r="Q918" s="38"/>
    </row>
    <row r="919">
      <c r="A919" s="46" t="str">
        <f>IFERROR(__xludf.DUMMYFUNCTION("""COMPUTED_VALUE"""),"Meat")</f>
        <v>Meat</v>
      </c>
      <c r="B919" s="46" t="str">
        <f>IFERROR(__xludf.DUMMYFUNCTION("""COMPUTED_VALUE"""),"Undefined")</f>
        <v>Undefined</v>
      </c>
      <c r="C919" s="46">
        <f>IFERROR(__xludf.DUMMYFUNCTION("""COMPUTED_VALUE"""),6.97617518E8)</f>
        <v>697617518</v>
      </c>
      <c r="D919" s="84">
        <f>IFERROR(__xludf.DUMMYFUNCTION("""COMPUTED_VALUE"""),3957750.09)</f>
        <v>3957750.09</v>
      </c>
      <c r="H919" s="48"/>
      <c r="I919" s="38"/>
      <c r="J919" s="38"/>
      <c r="K919" s="38"/>
      <c r="M919" s="87"/>
      <c r="N919" s="38"/>
      <c r="Q919" s="38"/>
    </row>
    <row r="920">
      <c r="A920" s="46" t="str">
        <f>IFERROR(__xludf.DUMMYFUNCTION("""COMPUTED_VALUE"""),"Vegetables")</f>
        <v>Vegetables</v>
      </c>
      <c r="B920" s="46" t="str">
        <f>IFERROR(__xludf.DUMMYFUNCTION("""COMPUTED_VALUE"""),"Serbia")</f>
        <v>Serbia</v>
      </c>
      <c r="C920" s="46">
        <f>IFERROR(__xludf.DUMMYFUNCTION("""COMPUTED_VALUE"""),6.97638976E8)</f>
        <v>697638976</v>
      </c>
      <c r="D920" s="84">
        <f>IFERROR(__xludf.DUMMYFUNCTION("""COMPUTED_VALUE"""),882917.86)</f>
        <v>882917.86</v>
      </c>
      <c r="H920" s="48"/>
      <c r="I920" s="38"/>
      <c r="J920" s="38"/>
      <c r="K920" s="38"/>
      <c r="M920" s="87"/>
      <c r="N920" s="38"/>
      <c r="Q920" s="38"/>
    </row>
    <row r="921">
      <c r="A921" s="46" t="str">
        <f>IFERROR(__xludf.DUMMYFUNCTION("""COMPUTED_VALUE"""),"Vegetables")</f>
        <v>Vegetables</v>
      </c>
      <c r="B921" s="46" t="str">
        <f>IFERROR(__xludf.DUMMYFUNCTION("""COMPUTED_VALUE"""),"Undefined")</f>
        <v>Undefined</v>
      </c>
      <c r="C921" s="46">
        <f>IFERROR(__xludf.DUMMYFUNCTION("""COMPUTED_VALUE"""),7.00069701E8)</f>
        <v>700069701</v>
      </c>
      <c r="D921" s="84">
        <f>IFERROR(__xludf.DUMMYFUNCTION("""COMPUTED_VALUE"""),776000.22)</f>
        <v>776000.22</v>
      </c>
      <c r="H921" s="48"/>
      <c r="I921" s="38"/>
      <c r="J921" s="38"/>
      <c r="K921" s="38"/>
      <c r="M921" s="87"/>
      <c r="N921" s="38"/>
      <c r="Q921" s="38"/>
    </row>
    <row r="922">
      <c r="A922" s="46" t="str">
        <f>IFERROR(__xludf.DUMMYFUNCTION("""COMPUTED_VALUE"""),"Personal Care")</f>
        <v>Personal Care</v>
      </c>
      <c r="B922" s="46" t="str">
        <f>IFERROR(__xludf.DUMMYFUNCTION("""COMPUTED_VALUE"""),"Slovenia")</f>
        <v>Slovenia</v>
      </c>
      <c r="C922" s="46">
        <f>IFERROR(__xludf.DUMMYFUNCTION("""COMPUTED_VALUE"""),7.00304019E8)</f>
        <v>700304019</v>
      </c>
      <c r="D922" s="84">
        <f>IFERROR(__xludf.DUMMYFUNCTION("""COMPUTED_VALUE"""),357650.48000000004)</f>
        <v>357650.48</v>
      </c>
      <c r="H922" s="48"/>
      <c r="I922" s="38"/>
      <c r="J922" s="38"/>
      <c r="K922" s="38"/>
      <c r="M922" s="87"/>
      <c r="N922" s="38"/>
      <c r="Q922" s="38"/>
    </row>
    <row r="923">
      <c r="A923" s="46" t="str">
        <f>IFERROR(__xludf.DUMMYFUNCTION("""COMPUTED_VALUE"""),"Personal Care")</f>
        <v>Personal Care</v>
      </c>
      <c r="B923" s="46" t="str">
        <f>IFERROR(__xludf.DUMMYFUNCTION("""COMPUTED_VALUE"""),"Greece")</f>
        <v>Greece</v>
      </c>
      <c r="C923" s="46">
        <f>IFERROR(__xludf.DUMMYFUNCTION("""COMPUTED_VALUE"""),7.01298367E8)</f>
        <v>701298367</v>
      </c>
      <c r="D923" s="84">
        <f>IFERROR(__xludf.DUMMYFUNCTION("""COMPUTED_VALUE"""),705002.98)</f>
        <v>705002.98</v>
      </c>
      <c r="H923" s="48"/>
      <c r="I923" s="38"/>
      <c r="J923" s="38"/>
      <c r="K923" s="38"/>
      <c r="M923" s="87"/>
      <c r="N923" s="38"/>
      <c r="Q923" s="38"/>
    </row>
    <row r="924">
      <c r="A924" s="46" t="str">
        <f>IFERROR(__xludf.DUMMYFUNCTION("""COMPUTED_VALUE"""),"Personal Care")</f>
        <v>Personal Care</v>
      </c>
      <c r="B924" s="46" t="str">
        <f>IFERROR(__xludf.DUMMYFUNCTION("""COMPUTED_VALUE"""),"Ireland")</f>
        <v>Ireland</v>
      </c>
      <c r="C924" s="46">
        <f>IFERROR(__xludf.DUMMYFUNCTION("""COMPUTED_VALUE"""),7.02357947E8)</f>
        <v>702357947</v>
      </c>
      <c r="D924" s="84">
        <f>IFERROR(__xludf.DUMMYFUNCTION("""COMPUTED_VALUE"""),178089.67)</f>
        <v>178089.67</v>
      </c>
      <c r="H924" s="48"/>
      <c r="I924" s="38"/>
      <c r="J924" s="38"/>
      <c r="K924" s="38"/>
      <c r="M924" s="87"/>
      <c r="N924" s="38"/>
      <c r="Q924" s="38"/>
    </row>
    <row r="925">
      <c r="A925" s="46" t="str">
        <f>IFERROR(__xludf.DUMMYFUNCTION("""COMPUTED_VALUE"""),"Household")</f>
        <v>Household</v>
      </c>
      <c r="B925" s="46" t="str">
        <f>IFERROR(__xludf.DUMMYFUNCTION("""COMPUTED_VALUE"""),"Denmark")</f>
        <v>Denmark</v>
      </c>
      <c r="C925" s="46">
        <f>IFERROR(__xludf.DUMMYFUNCTION("""COMPUTED_VALUE"""),7.02815854E8)</f>
        <v>702815854</v>
      </c>
      <c r="D925" s="84">
        <f>IFERROR(__xludf.DUMMYFUNCTION("""COMPUTED_VALUE"""),5134986.68)</f>
        <v>5134986.68</v>
      </c>
      <c r="H925" s="48"/>
      <c r="I925" s="38"/>
      <c r="J925" s="38"/>
      <c r="K925" s="38"/>
      <c r="M925" s="87"/>
      <c r="N925" s="38"/>
      <c r="Q925" s="38"/>
    </row>
    <row r="926">
      <c r="A926" s="46" t="str">
        <f>IFERROR(__xludf.DUMMYFUNCTION("""COMPUTED_VALUE"""),"Snacks")</f>
        <v>Snacks</v>
      </c>
      <c r="B926" s="46" t="str">
        <f>IFERROR(__xludf.DUMMYFUNCTION("""COMPUTED_VALUE"""),"Serbia")</f>
        <v>Serbia</v>
      </c>
      <c r="C926" s="46">
        <f>IFERROR(__xludf.DUMMYFUNCTION("""COMPUTED_VALUE"""),7.03966844E8)</f>
        <v>703966844</v>
      </c>
      <c r="D926" s="84">
        <f>IFERROR(__xludf.DUMMYFUNCTION("""COMPUTED_VALUE"""),1264583.04)</f>
        <v>1264583.04</v>
      </c>
      <c r="H926" s="48"/>
      <c r="I926" s="38"/>
      <c r="J926" s="38"/>
      <c r="K926" s="38"/>
      <c r="M926" s="87"/>
      <c r="N926" s="38"/>
      <c r="Q926" s="38"/>
    </row>
    <row r="927">
      <c r="A927" s="46" t="str">
        <f>IFERROR(__xludf.DUMMYFUNCTION("""COMPUTED_VALUE"""),"Beverages")</f>
        <v>Beverages</v>
      </c>
      <c r="B927" s="46" t="str">
        <f>IFERROR(__xludf.DUMMYFUNCTION("""COMPUTED_VALUE"""),"Macedonia")</f>
        <v>Macedonia</v>
      </c>
      <c r="C927" s="46">
        <f>IFERROR(__xludf.DUMMYFUNCTION("""COMPUTED_VALUE"""),7.04139363E8)</f>
        <v>704139363</v>
      </c>
      <c r="D927" s="84">
        <f>IFERROR(__xludf.DUMMYFUNCTION("""COMPUTED_VALUE"""),443183.0)</f>
        <v>443183</v>
      </c>
      <c r="H927" s="48"/>
      <c r="I927" s="38"/>
      <c r="J927" s="38"/>
      <c r="K927" s="38"/>
      <c r="M927" s="87"/>
      <c r="N927" s="38"/>
      <c r="Q927" s="38"/>
    </row>
    <row r="928">
      <c r="A928" s="46" t="str">
        <f>IFERROR(__xludf.DUMMYFUNCTION("""COMPUTED_VALUE"""),"Fruits")</f>
        <v>Fruits</v>
      </c>
      <c r="B928" s="46" t="str">
        <f>IFERROR(__xludf.DUMMYFUNCTION("""COMPUTED_VALUE"""),"Italy")</f>
        <v>Italy</v>
      </c>
      <c r="C928" s="46">
        <f>IFERROR(__xludf.DUMMYFUNCTION("""COMPUTED_VALUE"""),7.04233348E8)</f>
        <v>704233348</v>
      </c>
      <c r="D928" s="84">
        <f>IFERROR(__xludf.DUMMYFUNCTION("""COMPUTED_VALUE"""),66728.16)</f>
        <v>66728.16</v>
      </c>
      <c r="H928" s="48"/>
      <c r="I928" s="38"/>
      <c r="J928" s="38"/>
      <c r="K928" s="38"/>
      <c r="M928" s="87"/>
      <c r="N928" s="38"/>
      <c r="Q928" s="38"/>
    </row>
    <row r="929">
      <c r="A929" s="46" t="str">
        <f>IFERROR(__xludf.DUMMYFUNCTION("""COMPUTED_VALUE"""),"Household")</f>
        <v>Household</v>
      </c>
      <c r="B929" s="46" t="str">
        <f>IFERROR(__xludf.DUMMYFUNCTION("""COMPUTED_VALUE"""),"Slovakia")</f>
        <v>Slovakia</v>
      </c>
      <c r="C929" s="46">
        <f>IFERROR(__xludf.DUMMYFUNCTION("""COMPUTED_VALUE"""),7.04361665E8)</f>
        <v>704361665</v>
      </c>
      <c r="D929" s="84">
        <f>IFERROR(__xludf.DUMMYFUNCTION("""COMPUTED_VALUE"""),3424215.48)</f>
        <v>3424215.48</v>
      </c>
      <c r="H929" s="48"/>
      <c r="I929" s="38"/>
      <c r="J929" s="38"/>
      <c r="K929" s="38"/>
      <c r="M929" s="87"/>
      <c r="N929" s="38"/>
      <c r="Q929" s="38"/>
    </row>
    <row r="930">
      <c r="A930" s="46" t="str">
        <f>IFERROR(__xludf.DUMMYFUNCTION("""COMPUTED_VALUE"""),"Vegetables")</f>
        <v>Vegetables</v>
      </c>
      <c r="B930" s="46" t="str">
        <f>IFERROR(__xludf.DUMMYFUNCTION("""COMPUTED_VALUE"""),"Iceland")</f>
        <v>Iceland</v>
      </c>
      <c r="C930" s="46">
        <f>IFERROR(__xludf.DUMMYFUNCTION("""COMPUTED_VALUE"""),7.06176555E8)</f>
        <v>706176555</v>
      </c>
      <c r="D930" s="84">
        <f>IFERROR(__xludf.DUMMYFUNCTION("""COMPUTED_VALUE"""),337391.4)</f>
        <v>337391.4</v>
      </c>
      <c r="H930" s="48"/>
      <c r="I930" s="38"/>
      <c r="J930" s="38"/>
      <c r="K930" s="38"/>
      <c r="M930" s="87"/>
      <c r="N930" s="38"/>
      <c r="Q930" s="38"/>
    </row>
    <row r="931">
      <c r="A931" s="46" t="str">
        <f>IFERROR(__xludf.DUMMYFUNCTION("""COMPUTED_VALUE"""),"Household")</f>
        <v>Household</v>
      </c>
      <c r="B931" s="46" t="str">
        <f>IFERROR(__xludf.DUMMYFUNCTION("""COMPUTED_VALUE"""),"Greece")</f>
        <v>Greece</v>
      </c>
      <c r="C931" s="46">
        <f>IFERROR(__xludf.DUMMYFUNCTION("""COMPUTED_VALUE"""),7.06301438E8)</f>
        <v>706301438</v>
      </c>
      <c r="D931" s="84">
        <f>IFERROR(__xludf.DUMMYFUNCTION("""COMPUTED_VALUE"""),6111997.42)</f>
        <v>6111997.42</v>
      </c>
      <c r="H931" s="48"/>
      <c r="I931" s="38"/>
      <c r="J931" s="38"/>
      <c r="K931" s="38"/>
      <c r="M931" s="87"/>
      <c r="N931" s="38"/>
      <c r="Q931" s="38"/>
    </row>
    <row r="932">
      <c r="A932" s="46" t="str">
        <f>IFERROR(__xludf.DUMMYFUNCTION("""COMPUTED_VALUE"""),"Fruits")</f>
        <v>Fruits</v>
      </c>
      <c r="B932" s="46" t="str">
        <f>IFERROR(__xludf.DUMMYFUNCTION("""COMPUTED_VALUE"""),"Luxembourg")</f>
        <v>Luxembourg</v>
      </c>
      <c r="C932" s="46">
        <f>IFERROR(__xludf.DUMMYFUNCTION("""COMPUTED_VALUE"""),7.07661855E8)</f>
        <v>707661855</v>
      </c>
      <c r="D932" s="84">
        <f>IFERROR(__xludf.DUMMYFUNCTION("""COMPUTED_VALUE"""),16075.59)</f>
        <v>16075.59</v>
      </c>
      <c r="H932" s="48"/>
      <c r="I932" s="38"/>
      <c r="J932" s="38"/>
      <c r="K932" s="38"/>
      <c r="M932" s="87"/>
      <c r="N932" s="38"/>
      <c r="Q932" s="38"/>
    </row>
    <row r="933">
      <c r="A933" s="46" t="str">
        <f>IFERROR(__xludf.DUMMYFUNCTION("""COMPUTED_VALUE"""),"Fruits")</f>
        <v>Fruits</v>
      </c>
      <c r="B933" s="46" t="str">
        <f>IFERROR(__xludf.DUMMYFUNCTION("""COMPUTED_VALUE"""),"Macedonia")</f>
        <v>Macedonia</v>
      </c>
      <c r="C933" s="46">
        <f>IFERROR(__xludf.DUMMYFUNCTION("""COMPUTED_VALUE"""),7.07718932E8)</f>
        <v>707718932</v>
      </c>
      <c r="D933" s="84">
        <f>IFERROR(__xludf.DUMMYFUNCTION("""COMPUTED_VALUE"""),80368.62)</f>
        <v>80368.62</v>
      </c>
      <c r="H933" s="48"/>
      <c r="I933" s="38"/>
      <c r="J933" s="38"/>
      <c r="K933" s="38"/>
      <c r="M933" s="87"/>
      <c r="N933" s="38"/>
      <c r="Q933" s="38"/>
    </row>
    <row r="934">
      <c r="A934" s="46" t="str">
        <f>IFERROR(__xludf.DUMMYFUNCTION("""COMPUTED_VALUE"""),"Fruits")</f>
        <v>Fruits</v>
      </c>
      <c r="B934" s="46" t="str">
        <f>IFERROR(__xludf.DUMMYFUNCTION("""COMPUTED_VALUE"""),"San Marino")</f>
        <v>San Marino</v>
      </c>
      <c r="C934" s="46">
        <f>IFERROR(__xludf.DUMMYFUNCTION("""COMPUTED_VALUE"""),7.08320605E8)</f>
        <v>708320605</v>
      </c>
      <c r="D934" s="84">
        <f>IFERROR(__xludf.DUMMYFUNCTION("""COMPUTED_VALUE"""),62156.46)</f>
        <v>62156.46</v>
      </c>
      <c r="H934" s="48"/>
      <c r="I934" s="38"/>
      <c r="J934" s="38"/>
      <c r="K934" s="38"/>
      <c r="M934" s="87"/>
      <c r="N934" s="38"/>
      <c r="Q934" s="38"/>
    </row>
    <row r="935">
      <c r="A935" s="46" t="str">
        <f>IFERROR(__xludf.DUMMYFUNCTION("""COMPUTED_VALUE"""),"Household")</f>
        <v>Household</v>
      </c>
      <c r="B935" s="46" t="str">
        <f>IFERROR(__xludf.DUMMYFUNCTION("""COMPUTED_VALUE"""),"Cyprus")</f>
        <v>Cyprus</v>
      </c>
      <c r="C935" s="46">
        <f>IFERROR(__xludf.DUMMYFUNCTION("""COMPUTED_VALUE"""),7.09071195E8)</f>
        <v>709071195</v>
      </c>
      <c r="D935" s="84">
        <f>IFERROR(__xludf.DUMMYFUNCTION("""COMPUTED_VALUE"""),5866074.06)</f>
        <v>5866074.06</v>
      </c>
      <c r="H935" s="48"/>
      <c r="I935" s="38"/>
      <c r="J935" s="38"/>
      <c r="K935" s="38"/>
      <c r="M935" s="87"/>
      <c r="N935" s="38"/>
      <c r="Q935" s="38"/>
    </row>
    <row r="936">
      <c r="A936" s="46" t="str">
        <f>IFERROR(__xludf.DUMMYFUNCTION("""COMPUTED_VALUE"""),"Clothes")</f>
        <v>Clothes</v>
      </c>
      <c r="B936" s="46" t="str">
        <f>IFERROR(__xludf.DUMMYFUNCTION("""COMPUTED_VALUE"""),"Norway")</f>
        <v>Norway</v>
      </c>
      <c r="C936" s="46">
        <f>IFERROR(__xludf.DUMMYFUNCTION("""COMPUTED_VALUE"""),7.09105527E8)</f>
        <v>709105527</v>
      </c>
      <c r="D936" s="84">
        <f>IFERROR(__xludf.DUMMYFUNCTION("""COMPUTED_VALUE"""),976744.64)</f>
        <v>976744.64</v>
      </c>
      <c r="H936" s="48"/>
      <c r="I936" s="38"/>
      <c r="J936" s="38"/>
      <c r="K936" s="38"/>
      <c r="M936" s="87"/>
      <c r="N936" s="38"/>
      <c r="Q936" s="38"/>
    </row>
    <row r="937">
      <c r="A937" s="46" t="str">
        <f>IFERROR(__xludf.DUMMYFUNCTION("""COMPUTED_VALUE"""),"Clothes")</f>
        <v>Clothes</v>
      </c>
      <c r="B937" s="46" t="str">
        <f>IFERROR(__xludf.DUMMYFUNCTION("""COMPUTED_VALUE"""),"Romania")</f>
        <v>Romania</v>
      </c>
      <c r="C937" s="46">
        <f>IFERROR(__xludf.DUMMYFUNCTION("""COMPUTED_VALUE"""),7.09276759E8)</f>
        <v>709276759</v>
      </c>
      <c r="D937" s="84">
        <f>IFERROR(__xludf.DUMMYFUNCTION("""COMPUTED_VALUE"""),1050180.8)</f>
        <v>1050180.8</v>
      </c>
      <c r="H937" s="48"/>
      <c r="I937" s="38"/>
      <c r="J937" s="38"/>
      <c r="K937" s="38"/>
      <c r="M937" s="87"/>
      <c r="N937" s="38"/>
      <c r="Q937" s="38"/>
    </row>
    <row r="938">
      <c r="A938" s="46" t="str">
        <f>IFERROR(__xludf.DUMMYFUNCTION("""COMPUTED_VALUE"""),"Beverages")</f>
        <v>Beverages</v>
      </c>
      <c r="B938" s="46" t="str">
        <f>IFERROR(__xludf.DUMMYFUNCTION("""COMPUTED_VALUE"""),"Ukraine")</f>
        <v>Ukraine</v>
      </c>
      <c r="C938" s="46">
        <f>IFERROR(__xludf.DUMMYFUNCTION("""COMPUTED_VALUE"""),7.12595832E8)</f>
        <v>712595832</v>
      </c>
      <c r="D938" s="84">
        <f>IFERROR(__xludf.DUMMYFUNCTION("""COMPUTED_VALUE"""),85267.65000000001)</f>
        <v>85267.65</v>
      </c>
      <c r="H938" s="48"/>
      <c r="I938" s="38"/>
      <c r="J938" s="38"/>
      <c r="K938" s="38"/>
      <c r="M938" s="87"/>
      <c r="N938" s="38"/>
      <c r="Q938" s="38"/>
    </row>
    <row r="939">
      <c r="A939" s="46" t="str">
        <f>IFERROR(__xludf.DUMMYFUNCTION("""COMPUTED_VALUE"""),"Household")</f>
        <v>Household</v>
      </c>
      <c r="B939" s="46" t="str">
        <f>IFERROR(__xludf.DUMMYFUNCTION("""COMPUTED_VALUE"""),"Andorra")</f>
        <v>Andorra</v>
      </c>
      <c r="C939" s="46">
        <f>IFERROR(__xludf.DUMMYFUNCTION("""COMPUTED_VALUE"""),7.13009965E8)</f>
        <v>713009965</v>
      </c>
      <c r="D939" s="84">
        <f>IFERROR(__xludf.DUMMYFUNCTION("""COMPUTED_VALUE"""),2905637.96)</f>
        <v>2905637.96</v>
      </c>
      <c r="H939" s="48"/>
      <c r="I939" s="38"/>
      <c r="J939" s="38"/>
      <c r="K939" s="38"/>
      <c r="M939" s="87"/>
      <c r="N939" s="38"/>
      <c r="Q939" s="38"/>
    </row>
    <row r="940">
      <c r="A940" s="46" t="str">
        <f>IFERROR(__xludf.DUMMYFUNCTION("""COMPUTED_VALUE"""),"Clothes")</f>
        <v>Clothes</v>
      </c>
      <c r="B940" s="46" t="str">
        <f>IFERROR(__xludf.DUMMYFUNCTION("""COMPUTED_VALUE"""),"Denmark")</f>
        <v>Denmark</v>
      </c>
      <c r="C940" s="46">
        <f>IFERROR(__xludf.DUMMYFUNCTION("""COMPUTED_VALUE"""),7.1335715E8)</f>
        <v>713357150</v>
      </c>
      <c r="D940" s="84">
        <f>IFERROR(__xludf.DUMMYFUNCTION("""COMPUTED_VALUE"""),774576.64)</f>
        <v>774576.64</v>
      </c>
      <c r="H940" s="48"/>
      <c r="I940" s="38"/>
      <c r="J940" s="38"/>
      <c r="K940" s="38"/>
      <c r="M940" s="87"/>
      <c r="N940" s="38"/>
      <c r="Q940" s="38"/>
    </row>
    <row r="941">
      <c r="A941" s="46" t="str">
        <f>IFERROR(__xludf.DUMMYFUNCTION("""COMPUTED_VALUE"""),"Beverages")</f>
        <v>Beverages</v>
      </c>
      <c r="B941" s="46" t="str">
        <f>IFERROR(__xludf.DUMMYFUNCTION("""COMPUTED_VALUE"""),"Poland")</f>
        <v>Poland</v>
      </c>
      <c r="C941" s="46">
        <f>IFERROR(__xludf.DUMMYFUNCTION("""COMPUTED_VALUE"""),7.14165675E8)</f>
        <v>714165675</v>
      </c>
      <c r="D941" s="84">
        <f>IFERROR(__xludf.DUMMYFUNCTION("""COMPUTED_VALUE"""),301212.60000000003)</f>
        <v>301212.6</v>
      </c>
      <c r="H941" s="48"/>
      <c r="I941" s="38"/>
      <c r="J941" s="38"/>
      <c r="K941" s="38"/>
      <c r="M941" s="87"/>
      <c r="N941" s="38"/>
      <c r="Q941" s="38"/>
    </row>
    <row r="942">
      <c r="A942" s="46" t="str">
        <f>IFERROR(__xludf.DUMMYFUNCTION("""COMPUTED_VALUE"""),"Cereal")</f>
        <v>Cereal</v>
      </c>
      <c r="B942" s="46" t="str">
        <f>IFERROR(__xludf.DUMMYFUNCTION("""COMPUTED_VALUE"""),"Italy")</f>
        <v>Italy</v>
      </c>
      <c r="C942" s="46">
        <f>IFERROR(__xludf.DUMMYFUNCTION("""COMPUTED_VALUE"""),7.15309798E8)</f>
        <v>715309798</v>
      </c>
      <c r="D942" s="84">
        <f>IFERROR(__xludf.DUMMYFUNCTION("""COMPUTED_VALUE"""),1012044.0)</f>
        <v>1012044</v>
      </c>
      <c r="H942" s="48"/>
      <c r="I942" s="38"/>
      <c r="J942" s="38"/>
      <c r="K942" s="38"/>
      <c r="M942" s="87"/>
      <c r="N942" s="38"/>
      <c r="Q942" s="38"/>
    </row>
    <row r="943">
      <c r="A943" s="46" t="str">
        <f>IFERROR(__xludf.DUMMYFUNCTION("""COMPUTED_VALUE"""),"Vegetables")</f>
        <v>Vegetables</v>
      </c>
      <c r="B943" s="46" t="str">
        <f>IFERROR(__xludf.DUMMYFUNCTION("""COMPUTED_VALUE"""),"Sweden")</f>
        <v>Sweden</v>
      </c>
      <c r="C943" s="46">
        <f>IFERROR(__xludf.DUMMYFUNCTION("""COMPUTED_VALUE"""),7.15863835E8)</f>
        <v>715863835</v>
      </c>
      <c r="D943" s="84">
        <f>IFERROR(__xludf.DUMMYFUNCTION("""COMPUTED_VALUE"""),1366820.32)</f>
        <v>1366820.32</v>
      </c>
      <c r="H943" s="48"/>
      <c r="I943" s="38"/>
      <c r="J943" s="38"/>
      <c r="K943" s="38"/>
      <c r="M943" s="87"/>
      <c r="N943" s="38"/>
      <c r="Q943" s="38"/>
    </row>
    <row r="944">
      <c r="A944" s="46" t="str">
        <f>IFERROR(__xludf.DUMMYFUNCTION("""COMPUTED_VALUE"""),"Fruits")</f>
        <v>Fruits</v>
      </c>
      <c r="B944" s="46" t="str">
        <f>IFERROR(__xludf.DUMMYFUNCTION("""COMPUTED_VALUE"""),"Andorra")</f>
        <v>Andorra</v>
      </c>
      <c r="C944" s="46">
        <f>IFERROR(__xludf.DUMMYFUNCTION("""COMPUTED_VALUE"""),7.16054379E8)</f>
        <v>716054379</v>
      </c>
      <c r="D944" s="84">
        <f>IFERROR(__xludf.DUMMYFUNCTION("""COMPUTED_VALUE"""),49057.14)</f>
        <v>49057.14</v>
      </c>
      <c r="H944" s="48"/>
      <c r="I944" s="38"/>
      <c r="J944" s="38"/>
      <c r="K944" s="38"/>
      <c r="M944" s="87"/>
      <c r="N944" s="38"/>
      <c r="Q944" s="38"/>
    </row>
    <row r="945">
      <c r="A945" s="46" t="str">
        <f>IFERROR(__xludf.DUMMYFUNCTION("""COMPUTED_VALUE"""),"Personal Care")</f>
        <v>Personal Care</v>
      </c>
      <c r="B945" s="46" t="str">
        <f>IFERROR(__xludf.DUMMYFUNCTION("""COMPUTED_VALUE"""),"Latvia")</f>
        <v>Latvia</v>
      </c>
      <c r="C945" s="46">
        <f>IFERROR(__xludf.DUMMYFUNCTION("""COMPUTED_VALUE"""),7.16411006E8)</f>
        <v>716411006</v>
      </c>
      <c r="D945" s="84">
        <f>IFERROR(__xludf.DUMMYFUNCTION("""COMPUTED_VALUE"""),64730.16)</f>
        <v>64730.16</v>
      </c>
      <c r="H945" s="48"/>
      <c r="I945" s="38"/>
      <c r="J945" s="38"/>
      <c r="K945" s="38"/>
      <c r="M945" s="87"/>
      <c r="N945" s="38"/>
      <c r="Q945" s="38"/>
    </row>
    <row r="946">
      <c r="A946" s="46" t="str">
        <f>IFERROR(__xludf.DUMMYFUNCTION("""COMPUTED_VALUE"""),"Vegetables")</f>
        <v>Vegetables</v>
      </c>
      <c r="B946" s="46" t="str">
        <f>IFERROR(__xludf.DUMMYFUNCTION("""COMPUTED_VALUE"""),"Serbia")</f>
        <v>Serbia</v>
      </c>
      <c r="C946" s="46">
        <f>IFERROR(__xludf.DUMMYFUNCTION("""COMPUTED_VALUE"""),7.1783322E8)</f>
        <v>717833220</v>
      </c>
      <c r="D946" s="84">
        <f>IFERROR(__xludf.DUMMYFUNCTION("""COMPUTED_VALUE"""),255277.42)</f>
        <v>255277.42</v>
      </c>
      <c r="H946" s="48"/>
      <c r="I946" s="38"/>
      <c r="J946" s="38"/>
      <c r="K946" s="38"/>
      <c r="M946" s="87"/>
      <c r="N946" s="38"/>
      <c r="Q946" s="38"/>
    </row>
    <row r="947">
      <c r="A947" s="46" t="str">
        <f>IFERROR(__xludf.DUMMYFUNCTION("""COMPUTED_VALUE"""),"Office Supplies")</f>
        <v>Office Supplies</v>
      </c>
      <c r="B947" s="46" t="str">
        <f>IFERROR(__xludf.DUMMYFUNCTION("""COMPUTED_VALUE"""),"Netherlands")</f>
        <v>Netherlands</v>
      </c>
      <c r="C947" s="46">
        <f>IFERROR(__xludf.DUMMYFUNCTION("""COMPUTED_VALUE"""),7.1929363E8)</f>
        <v>719293630</v>
      </c>
      <c r="D947" s="84">
        <f>IFERROR(__xludf.DUMMYFUNCTION("""COMPUTED_VALUE"""),2490227.04)</f>
        <v>2490227.04</v>
      </c>
      <c r="H947" s="48"/>
      <c r="I947" s="38"/>
      <c r="J947" s="38"/>
      <c r="K947" s="38"/>
      <c r="M947" s="87"/>
      <c r="N947" s="38"/>
      <c r="Q947" s="38"/>
    </row>
    <row r="948">
      <c r="A948" s="46" t="str">
        <f>IFERROR(__xludf.DUMMYFUNCTION("""COMPUTED_VALUE"""),"Office Supplies")</f>
        <v>Office Supplies</v>
      </c>
      <c r="B948" s="46" t="str">
        <f>IFERROR(__xludf.DUMMYFUNCTION("""COMPUTED_VALUE"""),"Finland")</f>
        <v>Finland</v>
      </c>
      <c r="C948" s="46">
        <f>IFERROR(__xludf.DUMMYFUNCTION("""COMPUTED_VALUE"""),7.19404351E8)</f>
        <v>719404351</v>
      </c>
      <c r="D948" s="84">
        <f>IFERROR(__xludf.DUMMYFUNCTION("""COMPUTED_VALUE"""),4290822.69)</f>
        <v>4290822.69</v>
      </c>
      <c r="H948" s="48"/>
      <c r="I948" s="38"/>
      <c r="J948" s="38"/>
      <c r="K948" s="38"/>
      <c r="M948" s="87"/>
      <c r="N948" s="38"/>
      <c r="Q948" s="38"/>
    </row>
    <row r="949">
      <c r="A949" s="46" t="str">
        <f>IFERROR(__xludf.DUMMYFUNCTION("""COMPUTED_VALUE"""),"Clothes")</f>
        <v>Clothes</v>
      </c>
      <c r="B949" s="46" t="str">
        <f>IFERROR(__xludf.DUMMYFUNCTION("""COMPUTED_VALUE"""),"Netherlands")</f>
        <v>Netherlands</v>
      </c>
      <c r="C949" s="46">
        <f>IFERROR(__xludf.DUMMYFUNCTION("""COMPUTED_VALUE"""),7.19730079E8)</f>
        <v>719730079</v>
      </c>
      <c r="D949" s="84">
        <f>IFERROR(__xludf.DUMMYFUNCTION("""COMPUTED_VALUE"""),325545.12)</f>
        <v>325545.12</v>
      </c>
      <c r="H949" s="48"/>
      <c r="I949" s="38"/>
      <c r="J949" s="38"/>
      <c r="K949" s="38"/>
      <c r="M949" s="87"/>
      <c r="N949" s="38"/>
      <c r="Q949" s="38"/>
    </row>
    <row r="950">
      <c r="A950" s="46" t="str">
        <f>IFERROR(__xludf.DUMMYFUNCTION("""COMPUTED_VALUE"""),"Fruits")</f>
        <v>Fruits</v>
      </c>
      <c r="B950" s="46" t="str">
        <f>IFERROR(__xludf.DUMMYFUNCTION("""COMPUTED_VALUE"""),"Undefined")</f>
        <v>Undefined</v>
      </c>
      <c r="C950" s="46">
        <f>IFERROR(__xludf.DUMMYFUNCTION("""COMPUTED_VALUE"""),7.20229613E8)</f>
        <v>720229613</v>
      </c>
      <c r="D950" s="84">
        <f>IFERROR(__xludf.DUMMYFUNCTION("""COMPUTED_VALUE"""),7491.99)</f>
        <v>7491.99</v>
      </c>
      <c r="H950" s="48"/>
      <c r="I950" s="38"/>
      <c r="J950" s="38"/>
      <c r="K950" s="38"/>
      <c r="M950" s="87"/>
      <c r="N950" s="38"/>
      <c r="Q950" s="38"/>
    </row>
    <row r="951">
      <c r="A951" s="46" t="str">
        <f>IFERROR(__xludf.DUMMYFUNCTION("""COMPUTED_VALUE"""),"Baby Food")</f>
        <v>Baby Food</v>
      </c>
      <c r="B951" s="46" t="str">
        <f>IFERROR(__xludf.DUMMYFUNCTION("""COMPUTED_VALUE"""),"Liechtenstein")</f>
        <v>Liechtenstein</v>
      </c>
      <c r="C951" s="46">
        <f>IFERROR(__xludf.DUMMYFUNCTION("""COMPUTED_VALUE"""),7.20878922E8)</f>
        <v>720878922</v>
      </c>
      <c r="D951" s="84">
        <f>IFERROR(__xludf.DUMMYFUNCTION("""COMPUTED_VALUE"""),752565.4400000001)</f>
        <v>752565.44</v>
      </c>
      <c r="H951" s="48"/>
      <c r="I951" s="38"/>
      <c r="J951" s="38"/>
      <c r="K951" s="38"/>
      <c r="M951" s="87"/>
      <c r="N951" s="38"/>
      <c r="Q951" s="38"/>
    </row>
    <row r="952">
      <c r="A952" s="46" t="str">
        <f>IFERROR(__xludf.DUMMYFUNCTION("""COMPUTED_VALUE"""),"Snacks")</f>
        <v>Snacks</v>
      </c>
      <c r="B952" s="46" t="str">
        <f>IFERROR(__xludf.DUMMYFUNCTION("""COMPUTED_VALUE"""),"Iceland")</f>
        <v>Iceland</v>
      </c>
      <c r="C952" s="46">
        <f>IFERROR(__xludf.DUMMYFUNCTION("""COMPUTED_VALUE"""),7.20931279E8)</f>
        <v>720931279</v>
      </c>
      <c r="D952" s="84">
        <f>IFERROR(__xludf.DUMMYFUNCTION("""COMPUTED_VALUE"""),1287927.78)</f>
        <v>1287927.78</v>
      </c>
      <c r="H952" s="48"/>
      <c r="I952" s="38"/>
      <c r="J952" s="38"/>
      <c r="K952" s="38"/>
      <c r="M952" s="87"/>
      <c r="N952" s="38"/>
      <c r="Q952" s="38"/>
    </row>
    <row r="953">
      <c r="A953" s="46" t="str">
        <f>IFERROR(__xludf.DUMMYFUNCTION("""COMPUTED_VALUE"""),"Fruits")</f>
        <v>Fruits</v>
      </c>
      <c r="B953" s="46" t="str">
        <f>IFERROR(__xludf.DUMMYFUNCTION("""COMPUTED_VALUE"""),"Switzerland")</f>
        <v>Switzerland</v>
      </c>
      <c r="C953" s="46">
        <f>IFERROR(__xludf.DUMMYFUNCTION("""COMPUTED_VALUE"""),7.21318805E8)</f>
        <v>721318805</v>
      </c>
      <c r="D953" s="84">
        <f>IFERROR(__xludf.DUMMYFUNCTION("""COMPUTED_VALUE"""),29090.94)</f>
        <v>29090.94</v>
      </c>
      <c r="H953" s="48"/>
      <c r="I953" s="38"/>
      <c r="J953" s="38"/>
      <c r="K953" s="38"/>
      <c r="M953" s="87"/>
      <c r="N953" s="38"/>
      <c r="Q953" s="38"/>
    </row>
    <row r="954">
      <c r="A954" s="46" t="str">
        <f>IFERROR(__xludf.DUMMYFUNCTION("""COMPUTED_VALUE"""),"Vegetables")</f>
        <v>Vegetables</v>
      </c>
      <c r="B954" s="46" t="str">
        <f>IFERROR(__xludf.DUMMYFUNCTION("""COMPUTED_VALUE"""),"Spain")</f>
        <v>Spain</v>
      </c>
      <c r="C954" s="46">
        <f>IFERROR(__xludf.DUMMYFUNCTION("""COMPUTED_VALUE"""),7.22233331E8)</f>
        <v>722233331</v>
      </c>
      <c r="D954" s="84">
        <f>IFERROR(__xludf.DUMMYFUNCTION("""COMPUTED_VALUE"""),577262.8200000001)</f>
        <v>577262.82</v>
      </c>
      <c r="H954" s="48"/>
      <c r="I954" s="38"/>
      <c r="J954" s="38"/>
      <c r="K954" s="38"/>
      <c r="M954" s="87"/>
      <c r="N954" s="38"/>
      <c r="Q954" s="38"/>
    </row>
    <row r="955">
      <c r="A955" s="46" t="str">
        <f>IFERROR(__xludf.DUMMYFUNCTION("""COMPUTED_VALUE"""),"Snacks")</f>
        <v>Snacks</v>
      </c>
      <c r="B955" s="46" t="str">
        <f>IFERROR(__xludf.DUMMYFUNCTION("""COMPUTED_VALUE"""),"Switzerland")</f>
        <v>Switzerland</v>
      </c>
      <c r="C955" s="46">
        <f>IFERROR(__xludf.DUMMYFUNCTION("""COMPUTED_VALUE"""),7.2224878E8)</f>
        <v>722248780</v>
      </c>
      <c r="D955" s="84">
        <f>IFERROR(__xludf.DUMMYFUNCTION("""COMPUTED_VALUE"""),1269313.02)</f>
        <v>1269313.02</v>
      </c>
      <c r="H955" s="48"/>
      <c r="I955" s="38"/>
      <c r="J955" s="38"/>
      <c r="K955" s="38"/>
      <c r="M955" s="87"/>
      <c r="N955" s="38"/>
      <c r="Q955" s="38"/>
    </row>
    <row r="956">
      <c r="A956" s="46" t="str">
        <f>IFERROR(__xludf.DUMMYFUNCTION("""COMPUTED_VALUE"""),"Household")</f>
        <v>Household</v>
      </c>
      <c r="B956" s="46" t="str">
        <f>IFERROR(__xludf.DUMMYFUNCTION("""COMPUTED_VALUE"""),"Bosnia and Herzegovina")</f>
        <v>Bosnia and Herzegovina</v>
      </c>
      <c r="C956" s="46">
        <f>IFERROR(__xludf.DUMMYFUNCTION("""COMPUTED_VALUE"""),7.23893725E8)</f>
        <v>723893725</v>
      </c>
      <c r="D956" s="84">
        <f>IFERROR(__xludf.DUMMYFUNCTION("""COMPUTED_VALUE"""),3404835.65)</f>
        <v>3404835.65</v>
      </c>
      <c r="H956" s="48"/>
      <c r="I956" s="38"/>
      <c r="J956" s="38"/>
      <c r="K956" s="38"/>
      <c r="M956" s="87"/>
      <c r="N956" s="38"/>
      <c r="Q956" s="38"/>
    </row>
    <row r="957">
      <c r="A957" s="46" t="str">
        <f>IFERROR(__xludf.DUMMYFUNCTION("""COMPUTED_VALUE"""),"Fruits")</f>
        <v>Fruits</v>
      </c>
      <c r="B957" s="46" t="str">
        <f>IFERROR(__xludf.DUMMYFUNCTION("""COMPUTED_VALUE"""),"Georgia")</f>
        <v>Georgia</v>
      </c>
      <c r="C957" s="46">
        <f>IFERROR(__xludf.DUMMYFUNCTION("""COMPUTED_VALUE"""),7.24085128E8)</f>
        <v>724085128</v>
      </c>
      <c r="D957" s="84">
        <f>IFERROR(__xludf.DUMMYFUNCTION("""COMPUTED_VALUE"""),16187.55)</f>
        <v>16187.55</v>
      </c>
      <c r="H957" s="48"/>
      <c r="I957" s="38"/>
      <c r="J957" s="38"/>
      <c r="K957" s="38"/>
      <c r="M957" s="87"/>
      <c r="N957" s="38"/>
      <c r="Q957" s="38"/>
    </row>
    <row r="958">
      <c r="A958" s="46" t="str">
        <f>IFERROR(__xludf.DUMMYFUNCTION("""COMPUTED_VALUE"""),"Baby Food")</f>
        <v>Baby Food</v>
      </c>
      <c r="B958" s="46" t="str">
        <f>IFERROR(__xludf.DUMMYFUNCTION("""COMPUTED_VALUE"""),"Switzerland")</f>
        <v>Switzerland</v>
      </c>
      <c r="C958" s="46">
        <f>IFERROR(__xludf.DUMMYFUNCTION("""COMPUTED_VALUE"""),7.2622317E8)</f>
        <v>726223170</v>
      </c>
      <c r="D958" s="84">
        <f>IFERROR(__xludf.DUMMYFUNCTION("""COMPUTED_VALUE"""),1130635.12)</f>
        <v>1130635.12</v>
      </c>
      <c r="H958" s="48"/>
      <c r="I958" s="38"/>
      <c r="J958" s="38"/>
      <c r="K958" s="38"/>
      <c r="M958" s="87"/>
      <c r="N958" s="38"/>
      <c r="Q958" s="38"/>
    </row>
    <row r="959">
      <c r="A959" s="46" t="str">
        <f>IFERROR(__xludf.DUMMYFUNCTION("""COMPUTED_VALUE"""),"Meat")</f>
        <v>Meat</v>
      </c>
      <c r="B959" s="46" t="str">
        <f>IFERROR(__xludf.DUMMYFUNCTION("""COMPUTED_VALUE"""),"Italy")</f>
        <v>Italy</v>
      </c>
      <c r="C959" s="46">
        <f>IFERROR(__xludf.DUMMYFUNCTION("""COMPUTED_VALUE"""),7.27175891E8)</f>
        <v>727175891</v>
      </c>
      <c r="D959" s="84">
        <f>IFERROR(__xludf.DUMMYFUNCTION("""COMPUTED_VALUE"""),2683220.4)</f>
        <v>2683220.4</v>
      </c>
      <c r="H959" s="48"/>
      <c r="I959" s="38"/>
      <c r="J959" s="38"/>
      <c r="K959" s="38"/>
      <c r="M959" s="87"/>
      <c r="N959" s="38"/>
      <c r="Q959" s="38"/>
    </row>
    <row r="960">
      <c r="A960" s="46" t="str">
        <f>IFERROR(__xludf.DUMMYFUNCTION("""COMPUTED_VALUE"""),"Vegetables")</f>
        <v>Vegetables</v>
      </c>
      <c r="B960" s="46" t="str">
        <f>IFERROR(__xludf.DUMMYFUNCTION("""COMPUTED_VALUE"""),"Andorra")</f>
        <v>Andorra</v>
      </c>
      <c r="C960" s="46">
        <f>IFERROR(__xludf.DUMMYFUNCTION("""COMPUTED_VALUE"""),7.27426946E8)</f>
        <v>727426946</v>
      </c>
      <c r="D960" s="84">
        <f>IFERROR(__xludf.DUMMYFUNCTION("""COMPUTED_VALUE"""),100601.18000000001)</f>
        <v>100601.18</v>
      </c>
      <c r="H960" s="48"/>
      <c r="I960" s="38"/>
      <c r="J960" s="38"/>
      <c r="K960" s="38"/>
      <c r="M960" s="87"/>
      <c r="N960" s="38"/>
      <c r="Q960" s="38"/>
    </row>
    <row r="961">
      <c r="A961" s="46" t="str">
        <f>IFERROR(__xludf.DUMMYFUNCTION("""COMPUTED_VALUE"""),"Cosmetics")</f>
        <v>Cosmetics</v>
      </c>
      <c r="B961" s="46" t="str">
        <f>IFERROR(__xludf.DUMMYFUNCTION("""COMPUTED_VALUE"""),"Andorra")</f>
        <v>Andorra</v>
      </c>
      <c r="C961" s="46">
        <f>IFERROR(__xludf.DUMMYFUNCTION("""COMPUTED_VALUE"""),7.27821767E8)</f>
        <v>727821767</v>
      </c>
      <c r="D961" s="84">
        <f>IFERROR(__xludf.DUMMYFUNCTION("""COMPUTED_VALUE"""),3274190.8)</f>
        <v>3274190.8</v>
      </c>
      <c r="H961" s="48"/>
      <c r="I961" s="38"/>
      <c r="J961" s="38"/>
      <c r="K961" s="38"/>
      <c r="M961" s="87"/>
      <c r="N961" s="38"/>
      <c r="Q961" s="38"/>
    </row>
    <row r="962">
      <c r="A962" s="46" t="str">
        <f>IFERROR(__xludf.DUMMYFUNCTION("""COMPUTED_VALUE"""),"Vegetables")</f>
        <v>Vegetables</v>
      </c>
      <c r="B962" s="46" t="str">
        <f>IFERROR(__xludf.DUMMYFUNCTION("""COMPUTED_VALUE"""),"Cyprus")</f>
        <v>Cyprus</v>
      </c>
      <c r="C962" s="46">
        <f>IFERROR(__xludf.DUMMYFUNCTION("""COMPUTED_VALUE"""),7.2799772E8)</f>
        <v>727997720</v>
      </c>
      <c r="D962" s="84">
        <f>IFERROR(__xludf.DUMMYFUNCTION("""COMPUTED_VALUE"""),1472505.48)</f>
        <v>1472505.48</v>
      </c>
      <c r="H962" s="48"/>
      <c r="I962" s="38"/>
      <c r="J962" s="38"/>
      <c r="K962" s="38"/>
      <c r="M962" s="87"/>
      <c r="N962" s="38"/>
      <c r="Q962" s="38"/>
    </row>
    <row r="963">
      <c r="A963" s="46" t="str">
        <f>IFERROR(__xludf.DUMMYFUNCTION("""COMPUTED_VALUE"""),"Cosmetics")</f>
        <v>Cosmetics</v>
      </c>
      <c r="B963" s="46" t="str">
        <f>IFERROR(__xludf.DUMMYFUNCTION("""COMPUTED_VALUE"""),"Albania")</f>
        <v>Albania</v>
      </c>
      <c r="C963" s="46">
        <f>IFERROR(__xludf.DUMMYFUNCTION("""COMPUTED_VALUE"""),7.2879337E8)</f>
        <v>728793370</v>
      </c>
      <c r="D963" s="84">
        <f>IFERROR(__xludf.DUMMYFUNCTION("""COMPUTED_VALUE"""),2189934.8)</f>
        <v>2189934.8</v>
      </c>
      <c r="H963" s="48"/>
      <c r="I963" s="38"/>
      <c r="J963" s="38"/>
      <c r="K963" s="38"/>
      <c r="M963" s="87"/>
      <c r="N963" s="38"/>
      <c r="Q963" s="38"/>
    </row>
    <row r="964">
      <c r="A964" s="46" t="str">
        <f>IFERROR(__xludf.DUMMYFUNCTION("""COMPUTED_VALUE"""),"Office Supplies")</f>
        <v>Office Supplies</v>
      </c>
      <c r="B964" s="46" t="str">
        <f>IFERROR(__xludf.DUMMYFUNCTION("""COMPUTED_VALUE"""),"Ireland")</f>
        <v>Ireland</v>
      </c>
      <c r="C964" s="46">
        <f>IFERROR(__xludf.DUMMYFUNCTION("""COMPUTED_VALUE"""),7.29373586E8)</f>
        <v>729373586</v>
      </c>
      <c r="D964" s="84">
        <f>IFERROR(__xludf.DUMMYFUNCTION("""COMPUTED_VALUE"""),4367665.470000001)</f>
        <v>4367665.47</v>
      </c>
      <c r="H964" s="48"/>
      <c r="I964" s="38"/>
      <c r="J964" s="38"/>
      <c r="K964" s="38"/>
      <c r="M964" s="87"/>
      <c r="N964" s="38"/>
      <c r="Q964" s="38"/>
    </row>
    <row r="965">
      <c r="A965" s="46" t="str">
        <f>IFERROR(__xludf.DUMMYFUNCTION("""COMPUTED_VALUE"""),"Meat")</f>
        <v>Meat</v>
      </c>
      <c r="B965" s="46" t="str">
        <f>IFERROR(__xludf.DUMMYFUNCTION("""COMPUTED_VALUE"""),"Liechtenstein")</f>
        <v>Liechtenstein</v>
      </c>
      <c r="C965" s="46">
        <f>IFERROR(__xludf.DUMMYFUNCTION("""COMPUTED_VALUE"""),7.30490243E8)</f>
        <v>730490243</v>
      </c>
      <c r="D965" s="84">
        <f>IFERROR(__xludf.DUMMYFUNCTION("""COMPUTED_VALUE"""),3016935.39)</f>
        <v>3016935.39</v>
      </c>
      <c r="H965" s="48"/>
      <c r="I965" s="38"/>
      <c r="J965" s="38"/>
      <c r="K965" s="38"/>
      <c r="M965" s="87"/>
      <c r="N965" s="38"/>
      <c r="Q965" s="38"/>
    </row>
    <row r="966">
      <c r="A966" s="46" t="str">
        <f>IFERROR(__xludf.DUMMYFUNCTION("""COMPUTED_VALUE"""),"Beverages")</f>
        <v>Beverages</v>
      </c>
      <c r="B966" s="46" t="str">
        <f>IFERROR(__xludf.DUMMYFUNCTION("""COMPUTED_VALUE"""),"Lithuania")</f>
        <v>Lithuania</v>
      </c>
      <c r="C966" s="46">
        <f>IFERROR(__xludf.DUMMYFUNCTION("""COMPUTED_VALUE"""),7.32703387E8)</f>
        <v>732703387</v>
      </c>
      <c r="D966" s="84">
        <f>IFERROR(__xludf.DUMMYFUNCTION("""COMPUTED_VALUE"""),98174.05)</f>
        <v>98174.05</v>
      </c>
      <c r="H966" s="48"/>
      <c r="I966" s="38"/>
      <c r="J966" s="38"/>
      <c r="K966" s="38"/>
      <c r="M966" s="87"/>
      <c r="N966" s="38"/>
      <c r="Q966" s="38"/>
    </row>
    <row r="967">
      <c r="A967" s="46" t="str">
        <f>IFERROR(__xludf.DUMMYFUNCTION("""COMPUTED_VALUE"""),"Meat")</f>
        <v>Meat</v>
      </c>
      <c r="B967" s="46" t="str">
        <f>IFERROR(__xludf.DUMMYFUNCTION("""COMPUTED_VALUE"""),"Ukraine")</f>
        <v>Ukraine</v>
      </c>
      <c r="C967" s="46">
        <f>IFERROR(__xludf.DUMMYFUNCTION("""COMPUTED_VALUE"""),7.33636796E8)</f>
        <v>733636796</v>
      </c>
      <c r="D967" s="84">
        <f>IFERROR(__xludf.DUMMYFUNCTION("""COMPUTED_VALUE"""),3495780.54)</f>
        <v>3495780.54</v>
      </c>
      <c r="H967" s="48"/>
      <c r="I967" s="38"/>
      <c r="J967" s="38"/>
      <c r="K967" s="38"/>
      <c r="M967" s="87"/>
      <c r="N967" s="38"/>
      <c r="Q967" s="38"/>
    </row>
    <row r="968">
      <c r="A968" s="46" t="str">
        <f>IFERROR(__xludf.DUMMYFUNCTION("""COMPUTED_VALUE"""),"Cereal")</f>
        <v>Cereal</v>
      </c>
      <c r="B968" s="46" t="str">
        <f>IFERROR(__xludf.DUMMYFUNCTION("""COMPUTED_VALUE"""),"Luxembourg")</f>
        <v>Luxembourg</v>
      </c>
      <c r="C968" s="46">
        <f>IFERROR(__xludf.DUMMYFUNCTION("""COMPUTED_VALUE"""),7.33648812E8)</f>
        <v>733648812</v>
      </c>
      <c r="D968" s="84">
        <f>IFERROR(__xludf.DUMMYFUNCTION("""COMPUTED_VALUE"""),378899.39999999997)</f>
        <v>378899.4</v>
      </c>
      <c r="H968" s="48"/>
      <c r="I968" s="38"/>
      <c r="J968" s="38"/>
      <c r="K968" s="38"/>
      <c r="M968" s="87"/>
      <c r="N968" s="38"/>
      <c r="Q968" s="38"/>
    </row>
    <row r="969">
      <c r="A969" s="46" t="str">
        <f>IFERROR(__xludf.DUMMYFUNCTION("""COMPUTED_VALUE"""),"Cereal")</f>
        <v>Cereal</v>
      </c>
      <c r="B969" s="46" t="str">
        <f>IFERROR(__xludf.DUMMYFUNCTION("""COMPUTED_VALUE"""),"Germany")</f>
        <v>Germany</v>
      </c>
      <c r="C969" s="46">
        <f>IFERROR(__xludf.DUMMYFUNCTION("""COMPUTED_VALUE"""),7.34189975E8)</f>
        <v>734189975</v>
      </c>
      <c r="D969" s="84">
        <f>IFERROR(__xludf.DUMMYFUNCTION("""COMPUTED_VALUE"""),408108.8)</f>
        <v>408108.8</v>
      </c>
      <c r="H969" s="48"/>
      <c r="I969" s="38"/>
      <c r="J969" s="38"/>
      <c r="K969" s="38"/>
      <c r="M969" s="87"/>
      <c r="N969" s="38"/>
      <c r="Q969" s="38"/>
    </row>
    <row r="970">
      <c r="A970" s="46" t="str">
        <f>IFERROR(__xludf.DUMMYFUNCTION("""COMPUTED_VALUE"""),"Office Supplies")</f>
        <v>Office Supplies</v>
      </c>
      <c r="B970" s="46" t="str">
        <f>IFERROR(__xludf.DUMMYFUNCTION("""COMPUTED_VALUE"""),"Portugal")</f>
        <v>Portugal</v>
      </c>
      <c r="C970" s="46">
        <f>IFERROR(__xludf.DUMMYFUNCTION("""COMPUTED_VALUE"""),7.34318292E8)</f>
        <v>734318292</v>
      </c>
      <c r="D970" s="84">
        <f>IFERROR(__xludf.DUMMYFUNCTION("""COMPUTED_VALUE"""),6483446.760000001)</f>
        <v>6483446.76</v>
      </c>
      <c r="H970" s="48"/>
      <c r="I970" s="38"/>
      <c r="J970" s="38"/>
      <c r="K970" s="38"/>
      <c r="M970" s="87"/>
      <c r="N970" s="38"/>
      <c r="Q970" s="38"/>
    </row>
    <row r="971">
      <c r="A971" s="46" t="str">
        <f>IFERROR(__xludf.DUMMYFUNCTION("""COMPUTED_VALUE"""),"Beverages")</f>
        <v>Beverages</v>
      </c>
      <c r="B971" s="46" t="str">
        <f>IFERROR(__xludf.DUMMYFUNCTION("""COMPUTED_VALUE"""),"Poland")</f>
        <v>Poland</v>
      </c>
      <c r="C971" s="46">
        <f>IFERROR(__xludf.DUMMYFUNCTION("""COMPUTED_VALUE"""),7.35445678E8)</f>
        <v>735445678</v>
      </c>
      <c r="D971" s="84">
        <f>IFERROR(__xludf.DUMMYFUNCTION("""COMPUTED_VALUE"""),169586.30000000002)</f>
        <v>169586.3</v>
      </c>
      <c r="H971" s="48"/>
      <c r="I971" s="38"/>
      <c r="J971" s="38"/>
      <c r="K971" s="38"/>
      <c r="M971" s="87"/>
      <c r="N971" s="38"/>
      <c r="Q971" s="38"/>
    </row>
    <row r="972">
      <c r="A972" s="46" t="str">
        <f>IFERROR(__xludf.DUMMYFUNCTION("""COMPUTED_VALUE"""),"Household")</f>
        <v>Household</v>
      </c>
      <c r="B972" s="46" t="str">
        <f>IFERROR(__xludf.DUMMYFUNCTION("""COMPUTED_VALUE"""),"Slovenia")</f>
        <v>Slovenia</v>
      </c>
      <c r="C972" s="46">
        <f>IFERROR(__xludf.DUMMYFUNCTION("""COMPUTED_VALUE"""),7.36240041E8)</f>
        <v>736240041</v>
      </c>
      <c r="D972" s="84">
        <f>IFERROR(__xludf.DUMMYFUNCTION("""COMPUTED_VALUE"""),5776525.88)</f>
        <v>5776525.88</v>
      </c>
      <c r="H972" s="48"/>
      <c r="I972" s="38"/>
      <c r="J972" s="38"/>
      <c r="K972" s="38"/>
      <c r="M972" s="87"/>
      <c r="N972" s="38"/>
      <c r="Q972" s="38"/>
    </row>
    <row r="973">
      <c r="A973" s="46" t="str">
        <f>IFERROR(__xludf.DUMMYFUNCTION("""COMPUTED_VALUE"""),"Snacks")</f>
        <v>Snacks</v>
      </c>
      <c r="B973" s="46" t="str">
        <f>IFERROR(__xludf.DUMMYFUNCTION("""COMPUTED_VALUE"""),"Armenia")</f>
        <v>Armenia</v>
      </c>
      <c r="C973" s="46">
        <f>IFERROR(__xludf.DUMMYFUNCTION("""COMPUTED_VALUE"""),7.37095344E8)</f>
        <v>737095344</v>
      </c>
      <c r="D973" s="84">
        <f>IFERROR(__xludf.DUMMYFUNCTION("""COMPUTED_VALUE"""),266557.26)</f>
        <v>266557.26</v>
      </c>
      <c r="H973" s="48"/>
      <c r="I973" s="38"/>
      <c r="J973" s="38"/>
      <c r="K973" s="38"/>
      <c r="M973" s="87"/>
      <c r="N973" s="38"/>
      <c r="Q973" s="38"/>
    </row>
    <row r="974">
      <c r="A974" s="46" t="str">
        <f>IFERROR(__xludf.DUMMYFUNCTION("""COMPUTED_VALUE"""),"Cereal")</f>
        <v>Cereal</v>
      </c>
      <c r="B974" s="46" t="str">
        <f>IFERROR(__xludf.DUMMYFUNCTION("""COMPUTED_VALUE"""),"Sweden")</f>
        <v>Sweden</v>
      </c>
      <c r="C974" s="46">
        <f>IFERROR(__xludf.DUMMYFUNCTION("""COMPUTED_VALUE"""),7.3773607E8)</f>
        <v>737736070</v>
      </c>
      <c r="D974" s="84">
        <f>IFERROR(__xludf.DUMMYFUNCTION("""COMPUTED_VALUE"""),278106.39999999997)</f>
        <v>278106.4</v>
      </c>
      <c r="H974" s="48"/>
      <c r="I974" s="38"/>
      <c r="J974" s="38"/>
      <c r="K974" s="38"/>
      <c r="M974" s="87"/>
      <c r="N974" s="38"/>
      <c r="Q974" s="38"/>
    </row>
    <row r="975">
      <c r="A975" s="46" t="str">
        <f>IFERROR(__xludf.DUMMYFUNCTION("""COMPUTED_VALUE"""),"Baby Food")</f>
        <v>Baby Food</v>
      </c>
      <c r="B975" s="46" t="str">
        <f>IFERROR(__xludf.DUMMYFUNCTION("""COMPUTED_VALUE"""),"Cyprus")</f>
        <v>Cyprus</v>
      </c>
      <c r="C975" s="46">
        <f>IFERROR(__xludf.DUMMYFUNCTION("""COMPUTED_VALUE"""),7.40300261E8)</f>
        <v>740300261</v>
      </c>
      <c r="D975" s="84">
        <f>IFERROR(__xludf.DUMMYFUNCTION("""COMPUTED_VALUE"""),39057.840000000004)</f>
        <v>39057.84</v>
      </c>
      <c r="H975" s="48"/>
      <c r="I975" s="38"/>
      <c r="J975" s="38"/>
      <c r="K975" s="38"/>
      <c r="M975" s="87"/>
      <c r="N975" s="38"/>
      <c r="Q975" s="38"/>
    </row>
    <row r="976">
      <c r="A976" s="46" t="str">
        <f>IFERROR(__xludf.DUMMYFUNCTION("""COMPUTED_VALUE"""),"Meat")</f>
        <v>Meat</v>
      </c>
      <c r="B976" s="46" t="str">
        <f>IFERROR(__xludf.DUMMYFUNCTION("""COMPUTED_VALUE"""),"Romania")</f>
        <v>Romania</v>
      </c>
      <c r="C976" s="46">
        <f>IFERROR(__xludf.DUMMYFUNCTION("""COMPUTED_VALUE"""),7.41690289E8)</f>
        <v>741690289</v>
      </c>
      <c r="D976" s="84">
        <f>IFERROR(__xludf.DUMMYFUNCTION("""COMPUTED_VALUE"""),630303.66)</f>
        <v>630303.66</v>
      </c>
      <c r="H976" s="48"/>
      <c r="I976" s="38"/>
      <c r="J976" s="38"/>
      <c r="K976" s="38"/>
      <c r="M976" s="87"/>
      <c r="N976" s="38"/>
      <c r="Q976" s="38"/>
    </row>
    <row r="977">
      <c r="A977" s="46" t="str">
        <f>IFERROR(__xludf.DUMMYFUNCTION("""COMPUTED_VALUE"""),"Household")</f>
        <v>Household</v>
      </c>
      <c r="B977" s="46" t="str">
        <f>IFERROR(__xludf.DUMMYFUNCTION("""COMPUTED_VALUE"""),"Ukraine")</f>
        <v>Ukraine</v>
      </c>
      <c r="C977" s="46">
        <f>IFERROR(__xludf.DUMMYFUNCTION("""COMPUTED_VALUE"""),7.41866242E8)</f>
        <v>741866242</v>
      </c>
      <c r="D977" s="84">
        <f>IFERROR(__xludf.DUMMYFUNCTION("""COMPUTED_VALUE"""),2380377.7399999998)</f>
        <v>2380377.74</v>
      </c>
      <c r="H977" s="48"/>
      <c r="I977" s="38"/>
      <c r="J977" s="38"/>
      <c r="K977" s="38"/>
      <c r="M977" s="87"/>
      <c r="N977" s="38"/>
      <c r="Q977" s="38"/>
    </row>
    <row r="978">
      <c r="A978" s="46" t="str">
        <f>IFERROR(__xludf.DUMMYFUNCTION("""COMPUTED_VALUE"""),"Cereal")</f>
        <v>Cereal</v>
      </c>
      <c r="B978" s="46" t="str">
        <f>IFERROR(__xludf.DUMMYFUNCTION("""COMPUTED_VALUE"""),"Ukraine")</f>
        <v>Ukraine</v>
      </c>
      <c r="C978" s="46">
        <f>IFERROR(__xludf.DUMMYFUNCTION("""COMPUTED_VALUE"""),7.41964948E8)</f>
        <v>741964948</v>
      </c>
      <c r="D978" s="84">
        <f>IFERROR(__xludf.DUMMYFUNCTION("""COMPUTED_VALUE"""),569994.7)</f>
        <v>569994.7</v>
      </c>
      <c r="H978" s="48"/>
      <c r="I978" s="38"/>
      <c r="J978" s="38"/>
      <c r="K978" s="38"/>
      <c r="M978" s="87"/>
      <c r="N978" s="38"/>
      <c r="Q978" s="38"/>
    </row>
    <row r="979">
      <c r="A979" s="46" t="str">
        <f>IFERROR(__xludf.DUMMYFUNCTION("""COMPUTED_VALUE"""),"Snacks")</f>
        <v>Snacks</v>
      </c>
      <c r="B979" s="46" t="str">
        <f>IFERROR(__xludf.DUMMYFUNCTION("""COMPUTED_VALUE"""),"San Marino")</f>
        <v>San Marino</v>
      </c>
      <c r="C979" s="46">
        <f>IFERROR(__xludf.DUMMYFUNCTION("""COMPUTED_VALUE"""),7.4210056E8)</f>
        <v>742100560</v>
      </c>
      <c r="D979" s="84">
        <f>IFERROR(__xludf.DUMMYFUNCTION("""COMPUTED_VALUE"""),442787.16000000003)</f>
        <v>442787.16</v>
      </c>
      <c r="H979" s="48"/>
      <c r="I979" s="38"/>
      <c r="J979" s="38"/>
      <c r="K979" s="38"/>
      <c r="M979" s="87"/>
      <c r="N979" s="38"/>
      <c r="Q979" s="38"/>
    </row>
    <row r="980">
      <c r="A980" s="46" t="str">
        <f>IFERROR(__xludf.DUMMYFUNCTION("""COMPUTED_VALUE"""),"Vegetables")</f>
        <v>Vegetables</v>
      </c>
      <c r="B980" s="46" t="str">
        <f>IFERROR(__xludf.DUMMYFUNCTION("""COMPUTED_VALUE"""),"Luxembourg")</f>
        <v>Luxembourg</v>
      </c>
      <c r="C980" s="46">
        <f>IFERROR(__xludf.DUMMYFUNCTION("""COMPUTED_VALUE"""),7.42569196E8)</f>
        <v>742569196</v>
      </c>
      <c r="D980" s="84">
        <f>IFERROR(__xludf.DUMMYFUNCTION("""COMPUTED_VALUE"""),243568.86000000002)</f>
        <v>243568.86</v>
      </c>
      <c r="H980" s="48"/>
      <c r="I980" s="38"/>
      <c r="J980" s="38"/>
      <c r="K980" s="38"/>
      <c r="M980" s="87"/>
      <c r="N980" s="38"/>
      <c r="Q980" s="38"/>
    </row>
    <row r="981">
      <c r="A981" s="46" t="str">
        <f>IFERROR(__xludf.DUMMYFUNCTION("""COMPUTED_VALUE"""),"Beverages")</f>
        <v>Beverages</v>
      </c>
      <c r="B981" s="46" t="str">
        <f>IFERROR(__xludf.DUMMYFUNCTION("""COMPUTED_VALUE"""),"Poland")</f>
        <v>Poland</v>
      </c>
      <c r="C981" s="46">
        <f>IFERROR(__xludf.DUMMYFUNCTION("""COMPUTED_VALUE"""),7.42843854E8)</f>
        <v>742843854</v>
      </c>
      <c r="D981" s="84">
        <f>IFERROR(__xludf.DUMMYFUNCTION("""COMPUTED_VALUE"""),135659.55000000002)</f>
        <v>135659.55</v>
      </c>
      <c r="H981" s="48"/>
      <c r="I981" s="38"/>
      <c r="J981" s="38"/>
      <c r="K981" s="38"/>
      <c r="M981" s="87"/>
      <c r="N981" s="38"/>
      <c r="Q981" s="38"/>
    </row>
    <row r="982">
      <c r="A982" s="46" t="str">
        <f>IFERROR(__xludf.DUMMYFUNCTION("""COMPUTED_VALUE"""),"Cosmetics")</f>
        <v>Cosmetics</v>
      </c>
      <c r="B982" s="46" t="str">
        <f>IFERROR(__xludf.DUMMYFUNCTION("""COMPUTED_VALUE"""),"Hungary")</f>
        <v>Hungary</v>
      </c>
      <c r="C982" s="46">
        <f>IFERROR(__xludf.DUMMYFUNCTION("""COMPUTED_VALUE"""),7.43619334E8)</f>
        <v>743619334</v>
      </c>
      <c r="D982" s="84">
        <f>IFERROR(__xludf.DUMMYFUNCTION("""COMPUTED_VALUE"""),1023485.2)</f>
        <v>1023485.2</v>
      </c>
      <c r="H982" s="48"/>
      <c r="I982" s="38"/>
      <c r="J982" s="38"/>
      <c r="K982" s="38"/>
      <c r="M982" s="87"/>
      <c r="N982" s="38"/>
      <c r="Q982" s="38"/>
    </row>
    <row r="983">
      <c r="A983" s="46" t="str">
        <f>IFERROR(__xludf.DUMMYFUNCTION("""COMPUTED_VALUE"""),"Vegetables")</f>
        <v>Vegetables</v>
      </c>
      <c r="B983" s="46" t="str">
        <f>IFERROR(__xludf.DUMMYFUNCTION("""COMPUTED_VALUE"""),"Malta")</f>
        <v>Malta</v>
      </c>
      <c r="C983" s="46">
        <f>IFERROR(__xludf.DUMMYFUNCTION("""COMPUTED_VALUE"""),7.43769109E8)</f>
        <v>743769109</v>
      </c>
      <c r="D983" s="84">
        <f>IFERROR(__xludf.DUMMYFUNCTION("""COMPUTED_VALUE"""),1026347.72)</f>
        <v>1026347.72</v>
      </c>
      <c r="H983" s="48"/>
      <c r="I983" s="38"/>
      <c r="J983" s="38"/>
      <c r="K983" s="38"/>
      <c r="M983" s="87"/>
      <c r="N983" s="38"/>
      <c r="Q983" s="38"/>
    </row>
    <row r="984">
      <c r="A984" s="46" t="str">
        <f>IFERROR(__xludf.DUMMYFUNCTION("""COMPUTED_VALUE"""),"Clothes")</f>
        <v>Clothes</v>
      </c>
      <c r="B984" s="46" t="str">
        <f>IFERROR(__xludf.DUMMYFUNCTION("""COMPUTED_VALUE"""),"Spain")</f>
        <v>Spain</v>
      </c>
      <c r="C984" s="46">
        <f>IFERROR(__xludf.DUMMYFUNCTION("""COMPUTED_VALUE"""),7.44583642E8)</f>
        <v>744583642</v>
      </c>
      <c r="D984" s="84">
        <f>IFERROR(__xludf.DUMMYFUNCTION("""COMPUTED_VALUE"""),841565.28)</f>
        <v>841565.28</v>
      </c>
      <c r="H984" s="48"/>
      <c r="I984" s="38"/>
      <c r="J984" s="38"/>
      <c r="K984" s="38"/>
      <c r="M984" s="87"/>
      <c r="N984" s="38"/>
      <c r="Q984" s="38"/>
    </row>
    <row r="985">
      <c r="A985" s="46" t="str">
        <f>IFERROR(__xludf.DUMMYFUNCTION("""COMPUTED_VALUE"""),"Vegetables")</f>
        <v>Vegetables</v>
      </c>
      <c r="B985" s="46" t="str">
        <f>IFERROR(__xludf.DUMMYFUNCTION("""COMPUTED_VALUE"""),"Luxembourg")</f>
        <v>Luxembourg</v>
      </c>
      <c r="C985" s="46">
        <f>IFERROR(__xludf.DUMMYFUNCTION("""COMPUTED_VALUE"""),7.44683635E8)</f>
        <v>744683635</v>
      </c>
      <c r="D985" s="84">
        <f>IFERROR(__xludf.DUMMYFUNCTION("""COMPUTED_VALUE"""),1123251.46)</f>
        <v>1123251.46</v>
      </c>
      <c r="H985" s="48"/>
      <c r="I985" s="38"/>
      <c r="J985" s="38"/>
      <c r="K985" s="38"/>
      <c r="M985" s="87"/>
      <c r="N985" s="38"/>
      <c r="Q985" s="38"/>
    </row>
    <row r="986">
      <c r="A986" s="46" t="str">
        <f>IFERROR(__xludf.DUMMYFUNCTION("""COMPUTED_VALUE"""),"Clothes")</f>
        <v>Clothes</v>
      </c>
      <c r="B986" s="46" t="str">
        <f>IFERROR(__xludf.DUMMYFUNCTION("""COMPUTED_VALUE"""),"Russia")</f>
        <v>Russia</v>
      </c>
      <c r="C986" s="46">
        <f>IFERROR(__xludf.DUMMYFUNCTION("""COMPUTED_VALUE"""),7.45467269E8)</f>
        <v>745467269</v>
      </c>
      <c r="D986" s="84">
        <f>IFERROR(__xludf.DUMMYFUNCTION("""COMPUTED_VALUE"""),1003846.08)</f>
        <v>1003846.08</v>
      </c>
      <c r="H986" s="48"/>
      <c r="I986" s="38"/>
      <c r="J986" s="38"/>
      <c r="K986" s="38"/>
      <c r="M986" s="87"/>
      <c r="N986" s="38"/>
      <c r="Q986" s="38"/>
    </row>
    <row r="987">
      <c r="A987" s="46" t="str">
        <f>IFERROR(__xludf.DUMMYFUNCTION("""COMPUTED_VALUE"""),"Cosmetics")</f>
        <v>Cosmetics</v>
      </c>
      <c r="B987" s="46" t="str">
        <f>IFERROR(__xludf.DUMMYFUNCTION("""COMPUTED_VALUE"""),"Norway")</f>
        <v>Norway</v>
      </c>
      <c r="C987" s="46">
        <f>IFERROR(__xludf.DUMMYFUNCTION("""COMPUTED_VALUE"""),7.46563756E8)</f>
        <v>746563756</v>
      </c>
      <c r="D987" s="84">
        <f>IFERROR(__xludf.DUMMYFUNCTION("""COMPUTED_VALUE"""),1600589.2)</f>
        <v>1600589.2</v>
      </c>
      <c r="H987" s="48"/>
      <c r="I987" s="38"/>
      <c r="J987" s="38"/>
      <c r="K987" s="38"/>
      <c r="M987" s="87"/>
      <c r="N987" s="38"/>
      <c r="Q987" s="38"/>
    </row>
    <row r="988">
      <c r="A988" s="46" t="str">
        <f>IFERROR(__xludf.DUMMYFUNCTION("""COMPUTED_VALUE"""),"Snacks")</f>
        <v>Snacks</v>
      </c>
      <c r="B988" s="46" t="str">
        <f>IFERROR(__xludf.DUMMYFUNCTION("""COMPUTED_VALUE"""),"Romania")</f>
        <v>Romania</v>
      </c>
      <c r="C988" s="46">
        <f>IFERROR(__xludf.DUMMYFUNCTION("""COMPUTED_VALUE"""),7.4732722E8)</f>
        <v>747327220</v>
      </c>
      <c r="D988" s="84">
        <f>IFERROR(__xludf.DUMMYFUNCTION("""COMPUTED_VALUE"""),1462784.4600000002)</f>
        <v>1462784.46</v>
      </c>
      <c r="H988" s="48"/>
      <c r="I988" s="38"/>
      <c r="J988" s="38"/>
      <c r="K988" s="38"/>
      <c r="M988" s="87"/>
      <c r="N988" s="38"/>
      <c r="Q988" s="38"/>
    </row>
    <row r="989">
      <c r="A989" s="46" t="str">
        <f>IFERROR(__xludf.DUMMYFUNCTION("""COMPUTED_VALUE"""),"Meat")</f>
        <v>Meat</v>
      </c>
      <c r="B989" s="46" t="str">
        <f>IFERROR(__xludf.DUMMYFUNCTION("""COMPUTED_VALUE"""),"Netherlands")</f>
        <v>Netherlands</v>
      </c>
      <c r="C989" s="46">
        <f>IFERROR(__xludf.DUMMYFUNCTION("""COMPUTED_VALUE"""),7.47774398E8)</f>
        <v>747774398</v>
      </c>
      <c r="D989" s="84">
        <f>IFERROR(__xludf.DUMMYFUNCTION("""COMPUTED_VALUE"""),808341.24)</f>
        <v>808341.24</v>
      </c>
      <c r="H989" s="48"/>
      <c r="I989" s="38"/>
      <c r="J989" s="38"/>
      <c r="K989" s="38"/>
      <c r="M989" s="87"/>
      <c r="N989" s="38"/>
      <c r="Q989" s="38"/>
    </row>
    <row r="990">
      <c r="A990" s="46" t="str">
        <f>IFERROR(__xludf.DUMMYFUNCTION("""COMPUTED_VALUE"""),"Office Supplies")</f>
        <v>Office Supplies</v>
      </c>
      <c r="B990" s="46" t="str">
        <f>IFERROR(__xludf.DUMMYFUNCTION("""COMPUTED_VALUE"""),"Macedonia")</f>
        <v>Macedonia</v>
      </c>
      <c r="C990" s="46">
        <f>IFERROR(__xludf.DUMMYFUNCTION("""COMPUTED_VALUE"""),7.47826755E8)</f>
        <v>747826755</v>
      </c>
      <c r="D990" s="84">
        <f>IFERROR(__xludf.DUMMYFUNCTION("""COMPUTED_VALUE"""),4825466.100000001)</f>
        <v>4825466.1</v>
      </c>
      <c r="H990" s="48"/>
      <c r="I990" s="38"/>
      <c r="J990" s="38"/>
      <c r="K990" s="38"/>
      <c r="M990" s="87"/>
      <c r="N990" s="38"/>
      <c r="Q990" s="38"/>
    </row>
    <row r="991">
      <c r="A991" s="46" t="str">
        <f>IFERROR(__xludf.DUMMYFUNCTION("""COMPUTED_VALUE"""),"Clothes")</f>
        <v>Clothes</v>
      </c>
      <c r="B991" s="46" t="str">
        <f>IFERROR(__xludf.DUMMYFUNCTION("""COMPUTED_VALUE"""),"Ukraine")</f>
        <v>Ukraine</v>
      </c>
      <c r="C991" s="46">
        <f>IFERROR(__xludf.DUMMYFUNCTION("""COMPUTED_VALUE"""),7.47955071E8)</f>
        <v>747955071</v>
      </c>
      <c r="D991" s="84">
        <f>IFERROR(__xludf.DUMMYFUNCTION("""COMPUTED_VALUE"""),588144.96)</f>
        <v>588144.96</v>
      </c>
      <c r="H991" s="48"/>
      <c r="I991" s="38"/>
      <c r="J991" s="38"/>
      <c r="K991" s="38"/>
      <c r="M991" s="87"/>
      <c r="N991" s="38"/>
      <c r="Q991" s="38"/>
    </row>
    <row r="992">
      <c r="A992" s="46" t="str">
        <f>IFERROR(__xludf.DUMMYFUNCTION("""COMPUTED_VALUE"""),"Baby Food")</f>
        <v>Baby Food</v>
      </c>
      <c r="B992" s="46" t="str">
        <f>IFERROR(__xludf.DUMMYFUNCTION("""COMPUTED_VALUE"""),"Italy")</f>
        <v>Italy</v>
      </c>
      <c r="C992" s="46">
        <f>IFERROR(__xludf.DUMMYFUNCTION("""COMPUTED_VALUE"""),7.48357188E8)</f>
        <v>748357188</v>
      </c>
      <c r="D992" s="84">
        <f>IFERROR(__xludf.DUMMYFUNCTION("""COMPUTED_VALUE"""),1117360.56)</f>
        <v>1117360.56</v>
      </c>
      <c r="H992" s="48"/>
      <c r="I992" s="38"/>
      <c r="J992" s="38"/>
      <c r="K992" s="38"/>
      <c r="M992" s="87"/>
      <c r="N992" s="38"/>
      <c r="Q992" s="38"/>
    </row>
    <row r="993">
      <c r="A993" s="46" t="str">
        <f>IFERROR(__xludf.DUMMYFUNCTION("""COMPUTED_VALUE"""),"Fruits")</f>
        <v>Fruits</v>
      </c>
      <c r="B993" s="46" t="str">
        <f>IFERROR(__xludf.DUMMYFUNCTION("""COMPUTED_VALUE"""),"Austria")</f>
        <v>Austria</v>
      </c>
      <c r="C993" s="46">
        <f>IFERROR(__xludf.DUMMYFUNCTION("""COMPUTED_VALUE"""),7.50047194E8)</f>
        <v>750047194</v>
      </c>
      <c r="D993" s="84">
        <f>IFERROR(__xludf.DUMMYFUNCTION("""COMPUTED_VALUE"""),41863.71)</f>
        <v>41863.71</v>
      </c>
      <c r="H993" s="48"/>
      <c r="I993" s="38"/>
      <c r="J993" s="38"/>
      <c r="K993" s="38"/>
      <c r="M993" s="87"/>
      <c r="N993" s="38"/>
      <c r="Q993" s="38"/>
    </row>
    <row r="994">
      <c r="A994" s="46" t="str">
        <f>IFERROR(__xludf.DUMMYFUNCTION("""COMPUTED_VALUE"""),"Snacks")</f>
        <v>Snacks</v>
      </c>
      <c r="B994" s="46" t="str">
        <f>IFERROR(__xludf.DUMMYFUNCTION("""COMPUTED_VALUE"""),"Norway")</f>
        <v>Norway</v>
      </c>
      <c r="C994" s="46">
        <f>IFERROR(__xludf.DUMMYFUNCTION("""COMPUTED_VALUE"""),7.50439441E8)</f>
        <v>750439441</v>
      </c>
      <c r="D994" s="84">
        <f>IFERROR(__xludf.DUMMYFUNCTION("""COMPUTED_VALUE"""),85749.96)</f>
        <v>85749.96</v>
      </c>
      <c r="H994" s="48"/>
      <c r="I994" s="38"/>
      <c r="J994" s="38"/>
      <c r="K994" s="38"/>
      <c r="M994" s="87"/>
      <c r="N994" s="38"/>
      <c r="Q994" s="38"/>
    </row>
    <row r="995">
      <c r="A995" s="46" t="str">
        <f>IFERROR(__xludf.DUMMYFUNCTION("""COMPUTED_VALUE"""),"Baby Food")</f>
        <v>Baby Food</v>
      </c>
      <c r="B995" s="46" t="str">
        <f>IFERROR(__xludf.DUMMYFUNCTION("""COMPUTED_VALUE"""),"Montenegro")</f>
        <v>Montenegro</v>
      </c>
      <c r="C995" s="46">
        <f>IFERROR(__xludf.DUMMYFUNCTION("""COMPUTED_VALUE"""),7.50959146E8)</f>
        <v>750959146</v>
      </c>
      <c r="D995" s="84">
        <f>IFERROR(__xludf.DUMMYFUNCTION("""COMPUTED_VALUE"""),1111489.12)</f>
        <v>1111489.12</v>
      </c>
      <c r="H995" s="48"/>
      <c r="I995" s="38"/>
      <c r="J995" s="38"/>
      <c r="K995" s="38"/>
      <c r="M995" s="87"/>
      <c r="N995" s="38"/>
      <c r="Q995" s="38"/>
    </row>
    <row r="996">
      <c r="A996" s="46" t="str">
        <f>IFERROR(__xludf.DUMMYFUNCTION("""COMPUTED_VALUE"""),"Fruits")</f>
        <v>Fruits</v>
      </c>
      <c r="B996" s="46" t="str">
        <f>IFERROR(__xludf.DUMMYFUNCTION("""COMPUTED_VALUE"""),"Norway")</f>
        <v>Norway</v>
      </c>
      <c r="C996" s="46">
        <f>IFERROR(__xludf.DUMMYFUNCTION("""COMPUTED_VALUE"""),7.52792918E8)</f>
        <v>752792918</v>
      </c>
      <c r="D996" s="84">
        <f>IFERROR(__xludf.DUMMYFUNCTION("""COMPUTED_VALUE"""),65384.64)</f>
        <v>65384.64</v>
      </c>
      <c r="H996" s="48"/>
      <c r="I996" s="38"/>
      <c r="J996" s="38"/>
      <c r="K996" s="38"/>
      <c r="M996" s="87"/>
      <c r="N996" s="38"/>
      <c r="Q996" s="38"/>
    </row>
    <row r="997">
      <c r="A997" s="46" t="str">
        <f>IFERROR(__xludf.DUMMYFUNCTION("""COMPUTED_VALUE"""),"Fruits")</f>
        <v>Fruits</v>
      </c>
      <c r="B997" s="46" t="str">
        <f>IFERROR(__xludf.DUMMYFUNCTION("""COMPUTED_VALUE"""),"Spain")</f>
        <v>Spain</v>
      </c>
      <c r="C997" s="46">
        <f>IFERROR(__xludf.DUMMYFUNCTION("""COMPUTED_VALUE"""),7.53166282E8)</f>
        <v>753166282</v>
      </c>
      <c r="D997" s="84">
        <f>IFERROR(__xludf.DUMMYFUNCTION("""COMPUTED_VALUE"""),69928.35)</f>
        <v>69928.35</v>
      </c>
      <c r="H997" s="48"/>
      <c r="I997" s="38"/>
      <c r="J997" s="38"/>
      <c r="K997" s="38"/>
      <c r="M997" s="87"/>
      <c r="N997" s="38"/>
      <c r="Q997" s="38"/>
    </row>
    <row r="998">
      <c r="A998" s="46" t="str">
        <f>IFERROR(__xludf.DUMMYFUNCTION("""COMPUTED_VALUE"""),"Office Supplies")</f>
        <v>Office Supplies</v>
      </c>
      <c r="B998" s="46" t="str">
        <f>IFERROR(__xludf.DUMMYFUNCTION("""COMPUTED_VALUE"""),"Monaco")</f>
        <v>Monaco</v>
      </c>
      <c r="C998" s="46">
        <f>IFERROR(__xludf.DUMMYFUNCTION("""COMPUTED_VALUE"""),7.54227149E8)</f>
        <v>754227149</v>
      </c>
      <c r="D998" s="84">
        <f>IFERROR(__xludf.DUMMYFUNCTION("""COMPUTED_VALUE"""),930579.0900000001)</f>
        <v>930579.09</v>
      </c>
      <c r="H998" s="48"/>
      <c r="I998" s="38"/>
      <c r="J998" s="38"/>
      <c r="K998" s="38"/>
      <c r="M998" s="87"/>
      <c r="N998" s="38"/>
      <c r="Q998" s="38"/>
    </row>
    <row r="999">
      <c r="A999" s="46" t="str">
        <f>IFERROR(__xludf.DUMMYFUNCTION("""COMPUTED_VALUE"""),"Personal Care")</f>
        <v>Personal Care</v>
      </c>
      <c r="B999" s="46" t="str">
        <f>IFERROR(__xludf.DUMMYFUNCTION("""COMPUTED_VALUE"""),"Andorra")</f>
        <v>Andorra</v>
      </c>
      <c r="C999" s="46">
        <f>IFERROR(__xludf.DUMMYFUNCTION("""COMPUTED_VALUE"""),7.54541289E8)</f>
        <v>754541289</v>
      </c>
      <c r="D999" s="84">
        <f>IFERROR(__xludf.DUMMYFUNCTION("""COMPUTED_VALUE"""),358794.7)</f>
        <v>358794.7</v>
      </c>
      <c r="H999" s="48"/>
      <c r="I999" s="38"/>
      <c r="J999" s="38"/>
      <c r="K999" s="38"/>
      <c r="M999" s="87"/>
      <c r="N999" s="38"/>
      <c r="Q999" s="38"/>
    </row>
    <row r="1000">
      <c r="A1000" s="46" t="str">
        <f>IFERROR(__xludf.DUMMYFUNCTION("""COMPUTED_VALUE"""),"Clothes")</f>
        <v>Clothes</v>
      </c>
      <c r="B1000" s="46" t="str">
        <f>IFERROR(__xludf.DUMMYFUNCTION("""COMPUTED_VALUE"""),"Italy")</f>
        <v>Italy</v>
      </c>
      <c r="C1000" s="46">
        <f>IFERROR(__xludf.DUMMYFUNCTION("""COMPUTED_VALUE"""),7.55318915E8)</f>
        <v>755318915</v>
      </c>
      <c r="D1000" s="84">
        <f>IFERROR(__xludf.DUMMYFUNCTION("""COMPUTED_VALUE"""),492524.96)</f>
        <v>492524.96</v>
      </c>
      <c r="H1000" s="48"/>
      <c r="I1000" s="38"/>
      <c r="J1000" s="38"/>
      <c r="K1000" s="38"/>
      <c r="M1000" s="87"/>
      <c r="N1000" s="38"/>
      <c r="Q1000" s="38"/>
    </row>
    <row r="1001">
      <c r="A1001" s="46" t="str">
        <f>IFERROR(__xludf.DUMMYFUNCTION("""COMPUTED_VALUE"""),"Snacks")</f>
        <v>Snacks</v>
      </c>
      <c r="B1001" s="46" t="str">
        <f>IFERROR(__xludf.DUMMYFUNCTION("""COMPUTED_VALUE"""),"Czech Republic")</f>
        <v>Czech Republic</v>
      </c>
      <c r="C1001" s="46">
        <f>IFERROR(__xludf.DUMMYFUNCTION("""COMPUTED_VALUE"""),7.5560559E8)</f>
        <v>755605590</v>
      </c>
      <c r="D1001" s="84">
        <f>IFERROR(__xludf.DUMMYFUNCTION("""COMPUTED_VALUE"""),1425097.2000000002)</f>
        <v>1425097.2</v>
      </c>
      <c r="H1001" s="48"/>
      <c r="I1001" s="38"/>
      <c r="J1001" s="38"/>
      <c r="K1001" s="38"/>
      <c r="M1001" s="87"/>
      <c r="N1001" s="38"/>
      <c r="Q1001" s="38"/>
    </row>
    <row r="1002">
      <c r="A1002" s="46" t="str">
        <f>IFERROR(__xludf.DUMMYFUNCTION("""COMPUTED_VALUE"""),"Fruits")</f>
        <v>Fruits</v>
      </c>
      <c r="B1002" s="46" t="str">
        <f>IFERROR(__xludf.DUMMYFUNCTION("""COMPUTED_VALUE"""),"Slovenia")</f>
        <v>Slovenia</v>
      </c>
      <c r="C1002" s="46">
        <f>IFERROR(__xludf.DUMMYFUNCTION("""COMPUTED_VALUE"""),7.56252324E8)</f>
        <v>756252324</v>
      </c>
      <c r="D1002" s="84">
        <f>IFERROR(__xludf.DUMMYFUNCTION("""COMPUTED_VALUE"""),6745.59)</f>
        <v>6745.59</v>
      </c>
      <c r="H1002" s="48"/>
      <c r="I1002" s="38"/>
      <c r="J1002" s="38"/>
      <c r="K1002" s="38"/>
      <c r="M1002" s="87"/>
      <c r="N1002" s="38"/>
      <c r="Q1002" s="38"/>
    </row>
    <row r="1003">
      <c r="A1003" s="46" t="str">
        <f>IFERROR(__xludf.DUMMYFUNCTION("""COMPUTED_VALUE"""),"Meat")</f>
        <v>Meat</v>
      </c>
      <c r="B1003" s="46" t="str">
        <f>IFERROR(__xludf.DUMMYFUNCTION("""COMPUTED_VALUE"""),"Czech Republic")</f>
        <v>Czech Republic</v>
      </c>
      <c r="C1003" s="46">
        <f>IFERROR(__xludf.DUMMYFUNCTION("""COMPUTED_VALUE"""),7.56395232E8)</f>
        <v>756395232</v>
      </c>
      <c r="D1003" s="84">
        <f>IFERROR(__xludf.DUMMYFUNCTION("""COMPUTED_VALUE"""),1271154.57)</f>
        <v>1271154.57</v>
      </c>
      <c r="H1003" s="48"/>
      <c r="I1003" s="38"/>
      <c r="J1003" s="38"/>
      <c r="K1003" s="38"/>
      <c r="M1003" s="87"/>
      <c r="N1003" s="38"/>
      <c r="Q1003" s="38"/>
    </row>
    <row r="1004">
      <c r="A1004" s="46" t="str">
        <f>IFERROR(__xludf.DUMMYFUNCTION("""COMPUTED_VALUE"""),"Beverages")</f>
        <v>Beverages</v>
      </c>
      <c r="B1004" s="46" t="str">
        <f>IFERROR(__xludf.DUMMYFUNCTION("""COMPUTED_VALUE"""),"Monaco")</f>
        <v>Monaco</v>
      </c>
      <c r="C1004" s="46">
        <f>IFERROR(__xludf.DUMMYFUNCTION("""COMPUTED_VALUE"""),7.57468974E8)</f>
        <v>757468974</v>
      </c>
      <c r="D1004" s="84">
        <f>IFERROR(__xludf.DUMMYFUNCTION("""COMPUTED_VALUE"""),35919.65)</f>
        <v>35919.65</v>
      </c>
      <c r="H1004" s="48"/>
      <c r="I1004" s="38"/>
      <c r="J1004" s="38"/>
      <c r="K1004" s="38"/>
      <c r="M1004" s="87"/>
      <c r="N1004" s="38"/>
      <c r="Q1004" s="38"/>
    </row>
    <row r="1005">
      <c r="A1005" s="46" t="str">
        <f>IFERROR(__xludf.DUMMYFUNCTION("""COMPUTED_VALUE"""),"Household")</f>
        <v>Household</v>
      </c>
      <c r="B1005" s="46" t="str">
        <f>IFERROR(__xludf.DUMMYFUNCTION("""COMPUTED_VALUE"""),"Czech Republic")</f>
        <v>Czech Republic</v>
      </c>
      <c r="C1005" s="46">
        <f>IFERROR(__xludf.DUMMYFUNCTION("""COMPUTED_VALUE"""),7.59086453E8)</f>
        <v>759086453</v>
      </c>
      <c r="D1005" s="84">
        <f>IFERROR(__xludf.DUMMYFUNCTION("""COMPUTED_VALUE"""),6285079.35)</f>
        <v>6285079.35</v>
      </c>
      <c r="H1005" s="48"/>
      <c r="I1005" s="38"/>
      <c r="J1005" s="38"/>
      <c r="K1005" s="38"/>
      <c r="M1005" s="87"/>
      <c r="N1005" s="38"/>
      <c r="Q1005" s="38"/>
    </row>
    <row r="1006">
      <c r="A1006" s="46" t="str">
        <f>IFERROR(__xludf.DUMMYFUNCTION("""COMPUTED_VALUE"""),"Vegetables")</f>
        <v>Vegetables</v>
      </c>
      <c r="B1006" s="46" t="str">
        <f>IFERROR(__xludf.DUMMYFUNCTION("""COMPUTED_VALUE"""),"Macedonia")</f>
        <v>Macedonia</v>
      </c>
      <c r="C1006" s="46">
        <f>IFERROR(__xludf.DUMMYFUNCTION("""COMPUTED_VALUE"""),7.59594142E8)</f>
        <v>759594142</v>
      </c>
      <c r="D1006" s="84">
        <f>IFERROR(__xludf.DUMMYFUNCTION("""COMPUTED_VALUE"""),1485292.46)</f>
        <v>1485292.46</v>
      </c>
      <c r="H1006" s="48"/>
      <c r="I1006" s="38"/>
      <c r="J1006" s="38"/>
      <c r="K1006" s="38"/>
      <c r="M1006" s="87"/>
      <c r="N1006" s="38"/>
      <c r="Q1006" s="38"/>
    </row>
    <row r="1007">
      <c r="A1007" s="46" t="str">
        <f>IFERROR(__xludf.DUMMYFUNCTION("""COMPUTED_VALUE"""),"Office Supplies")</f>
        <v>Office Supplies</v>
      </c>
      <c r="B1007" s="46" t="str">
        <f>IFERROR(__xludf.DUMMYFUNCTION("""COMPUTED_VALUE"""),"Undefined")</f>
        <v>Undefined</v>
      </c>
      <c r="C1007" s="46">
        <f>IFERROR(__xludf.DUMMYFUNCTION("""COMPUTED_VALUE"""),7.60280358E8)</f>
        <v>760280358</v>
      </c>
      <c r="D1007" s="84">
        <f>IFERROR(__xludf.DUMMYFUNCTION("""COMPUTED_VALUE"""),1763476.6800000002)</f>
        <v>1763476.68</v>
      </c>
      <c r="H1007" s="48"/>
      <c r="I1007" s="38"/>
      <c r="J1007" s="38"/>
      <c r="K1007" s="38"/>
      <c r="M1007" s="87"/>
      <c r="N1007" s="38"/>
      <c r="Q1007" s="38"/>
    </row>
    <row r="1008">
      <c r="A1008" s="46" t="str">
        <f>IFERROR(__xludf.DUMMYFUNCTION("""COMPUTED_VALUE"""),"Household")</f>
        <v>Household</v>
      </c>
      <c r="B1008" s="46" t="str">
        <f>IFERROR(__xludf.DUMMYFUNCTION("""COMPUTED_VALUE"""),"Poland")</f>
        <v>Poland</v>
      </c>
      <c r="C1008" s="46">
        <f>IFERROR(__xludf.DUMMYFUNCTION("""COMPUTED_VALUE"""),7.60346877E8)</f>
        <v>760346877</v>
      </c>
      <c r="D1008" s="84">
        <f>IFERROR(__xludf.DUMMYFUNCTION("""COMPUTED_VALUE"""),1598501.8399999999)</f>
        <v>1598501.84</v>
      </c>
      <c r="H1008" s="48"/>
      <c r="I1008" s="38"/>
      <c r="J1008" s="38"/>
      <c r="K1008" s="38"/>
      <c r="M1008" s="87"/>
      <c r="N1008" s="38"/>
      <c r="Q1008" s="38"/>
    </row>
    <row r="1009">
      <c r="A1009" s="46" t="str">
        <f>IFERROR(__xludf.DUMMYFUNCTION("""COMPUTED_VALUE"""),"Vegetables")</f>
        <v>Vegetables</v>
      </c>
      <c r="B1009" s="46" t="str">
        <f>IFERROR(__xludf.DUMMYFUNCTION("""COMPUTED_VALUE"""),"Bosnia and Herzegovina")</f>
        <v>Bosnia and Herzegovina</v>
      </c>
      <c r="C1009" s="46">
        <f>IFERROR(__xludf.DUMMYFUNCTION("""COMPUTED_VALUE"""),7.6061939E8)</f>
        <v>760619390</v>
      </c>
      <c r="D1009" s="84">
        <f>IFERROR(__xludf.DUMMYFUNCTION("""COMPUTED_VALUE"""),467572.10000000003)</f>
        <v>467572.1</v>
      </c>
      <c r="H1009" s="48"/>
      <c r="I1009" s="38"/>
      <c r="J1009" s="38"/>
      <c r="K1009" s="38"/>
      <c r="M1009" s="87"/>
      <c r="N1009" s="38"/>
      <c r="Q1009" s="38"/>
    </row>
    <row r="1010">
      <c r="A1010" s="46" t="str">
        <f>IFERROR(__xludf.DUMMYFUNCTION("""COMPUTED_VALUE"""),"Beverages")</f>
        <v>Beverages</v>
      </c>
      <c r="B1010" s="46" t="str">
        <f>IFERROR(__xludf.DUMMYFUNCTION("""COMPUTED_VALUE"""),"Undefined")</f>
        <v>Undefined</v>
      </c>
      <c r="C1010" s="46">
        <f>IFERROR(__xludf.DUMMYFUNCTION("""COMPUTED_VALUE"""),7.6172403E8)</f>
        <v>761724030</v>
      </c>
      <c r="D1010" s="84">
        <f>IFERROR(__xludf.DUMMYFUNCTION("""COMPUTED_VALUE"""),470846.35000000003)</f>
        <v>470846.35</v>
      </c>
      <c r="H1010" s="48"/>
      <c r="I1010" s="38"/>
      <c r="J1010" s="38"/>
      <c r="K1010" s="38"/>
      <c r="M1010" s="87"/>
      <c r="N1010" s="38"/>
      <c r="Q1010" s="38"/>
    </row>
    <row r="1011">
      <c r="A1011" s="46" t="str">
        <f>IFERROR(__xludf.DUMMYFUNCTION("""COMPUTED_VALUE"""),"Clothes")</f>
        <v>Clothes</v>
      </c>
      <c r="B1011" s="46" t="str">
        <f>IFERROR(__xludf.DUMMYFUNCTION("""COMPUTED_VALUE"""),"Belgium")</f>
        <v>Belgium</v>
      </c>
      <c r="C1011" s="46">
        <f>IFERROR(__xludf.DUMMYFUNCTION("""COMPUTED_VALUE"""),7.61887109E8)</f>
        <v>761887109</v>
      </c>
      <c r="D1011" s="84">
        <f>IFERROR(__xludf.DUMMYFUNCTION("""COMPUTED_VALUE"""),894019.68)</f>
        <v>894019.68</v>
      </c>
      <c r="H1011" s="48"/>
      <c r="I1011" s="38"/>
      <c r="J1011" s="38"/>
      <c r="K1011" s="38"/>
      <c r="M1011" s="87"/>
      <c r="N1011" s="38"/>
      <c r="Q1011" s="38"/>
    </row>
    <row r="1012">
      <c r="A1012" s="46" t="str">
        <f>IFERROR(__xludf.DUMMYFUNCTION("""COMPUTED_VALUE"""),"Personal Care")</f>
        <v>Personal Care</v>
      </c>
      <c r="B1012" s="46" t="str">
        <f>IFERROR(__xludf.DUMMYFUNCTION("""COMPUTED_VALUE"""),"Ukraine")</f>
        <v>Ukraine</v>
      </c>
      <c r="C1012" s="46">
        <f>IFERROR(__xludf.DUMMYFUNCTION("""COMPUTED_VALUE"""),7.62117564E8)</f>
        <v>762117564</v>
      </c>
      <c r="D1012" s="84">
        <f>IFERROR(__xludf.DUMMYFUNCTION("""COMPUTED_VALUE"""),521273.94)</f>
        <v>521273.94</v>
      </c>
      <c r="H1012" s="48"/>
      <c r="I1012" s="38"/>
      <c r="J1012" s="38"/>
      <c r="K1012" s="38"/>
      <c r="M1012" s="87"/>
      <c r="N1012" s="38"/>
      <c r="Q1012" s="38"/>
    </row>
    <row r="1013">
      <c r="A1013" s="46" t="str">
        <f>IFERROR(__xludf.DUMMYFUNCTION("""COMPUTED_VALUE"""),"Personal Care")</f>
        <v>Personal Care</v>
      </c>
      <c r="B1013" s="46" t="str">
        <f>IFERROR(__xludf.DUMMYFUNCTION("""COMPUTED_VALUE"""),"France")</f>
        <v>France</v>
      </c>
      <c r="C1013" s="46">
        <f>IFERROR(__xludf.DUMMYFUNCTION("""COMPUTED_VALUE"""),7.62655293E8)</f>
        <v>762655293</v>
      </c>
      <c r="D1013" s="84">
        <f>IFERROR(__xludf.DUMMYFUNCTION("""COMPUTED_VALUE"""),449841.92000000004)</f>
        <v>449841.92</v>
      </c>
      <c r="H1013" s="48"/>
      <c r="I1013" s="38"/>
      <c r="J1013" s="38"/>
      <c r="K1013" s="38"/>
      <c r="M1013" s="87"/>
      <c r="N1013" s="38"/>
      <c r="Q1013" s="38"/>
    </row>
    <row r="1014">
      <c r="A1014" s="46" t="str">
        <f>IFERROR(__xludf.DUMMYFUNCTION("""COMPUTED_VALUE"""),"Meat")</f>
        <v>Meat</v>
      </c>
      <c r="B1014" s="46" t="str">
        <f>IFERROR(__xludf.DUMMYFUNCTION("""COMPUTED_VALUE"""),"Lithuania")</f>
        <v>Lithuania</v>
      </c>
      <c r="C1014" s="46">
        <f>IFERROR(__xludf.DUMMYFUNCTION("""COMPUTED_VALUE"""),7.64483058E8)</f>
        <v>764483058</v>
      </c>
      <c r="D1014" s="84">
        <f>IFERROR(__xludf.DUMMYFUNCTION("""COMPUTED_VALUE"""),2691658.1999999997)</f>
        <v>2691658.2</v>
      </c>
      <c r="H1014" s="48"/>
      <c r="I1014" s="38"/>
      <c r="J1014" s="38"/>
      <c r="K1014" s="38"/>
      <c r="M1014" s="87"/>
      <c r="N1014" s="38"/>
      <c r="Q1014" s="38"/>
    </row>
    <row r="1015">
      <c r="A1015" s="46" t="str">
        <f>IFERROR(__xludf.DUMMYFUNCTION("""COMPUTED_VALUE"""),"Office Supplies")</f>
        <v>Office Supplies</v>
      </c>
      <c r="B1015" s="46" t="str">
        <f>IFERROR(__xludf.DUMMYFUNCTION("""COMPUTED_VALUE"""),"Italy")</f>
        <v>Italy</v>
      </c>
      <c r="C1015" s="46">
        <f>IFERROR(__xludf.DUMMYFUNCTION("""COMPUTED_VALUE"""),7.64592492E8)</f>
        <v>764592492</v>
      </c>
      <c r="D1015" s="84">
        <f>IFERROR(__xludf.DUMMYFUNCTION("""COMPUTED_VALUE"""),5707204.44)</f>
        <v>5707204.44</v>
      </c>
      <c r="H1015" s="48"/>
      <c r="I1015" s="38"/>
      <c r="J1015" s="38"/>
      <c r="K1015" s="38"/>
      <c r="M1015" s="87"/>
      <c r="N1015" s="38"/>
      <c r="Q1015" s="38"/>
    </row>
    <row r="1016">
      <c r="A1016" s="46" t="str">
        <f>IFERROR(__xludf.DUMMYFUNCTION("""COMPUTED_VALUE"""),"Cereal")</f>
        <v>Cereal</v>
      </c>
      <c r="B1016" s="46" t="str">
        <f>IFERROR(__xludf.DUMMYFUNCTION("""COMPUTED_VALUE"""),"France")</f>
        <v>France</v>
      </c>
      <c r="C1016" s="46">
        <f>IFERROR(__xludf.DUMMYFUNCTION("""COMPUTED_VALUE"""),7.6481136E8)</f>
        <v>764811360</v>
      </c>
      <c r="D1016" s="84">
        <f>IFERROR(__xludf.DUMMYFUNCTION("""COMPUTED_VALUE"""),726532.3999999999)</f>
        <v>726532.4</v>
      </c>
      <c r="H1016" s="48"/>
      <c r="I1016" s="38"/>
      <c r="J1016" s="38"/>
      <c r="K1016" s="38"/>
      <c r="M1016" s="87"/>
      <c r="N1016" s="38"/>
      <c r="Q1016" s="38"/>
    </row>
    <row r="1017">
      <c r="A1017" s="46" t="str">
        <f>IFERROR(__xludf.DUMMYFUNCTION("""COMPUTED_VALUE"""),"Baby Food")</f>
        <v>Baby Food</v>
      </c>
      <c r="B1017" s="46" t="str">
        <f>IFERROR(__xludf.DUMMYFUNCTION("""COMPUTED_VALUE"""),"Denmark")</f>
        <v>Denmark</v>
      </c>
      <c r="C1017" s="46">
        <f>IFERROR(__xludf.DUMMYFUNCTION("""COMPUTED_VALUE"""),7.64837539E8)</f>
        <v>764837539</v>
      </c>
      <c r="D1017" s="84">
        <f>IFERROR(__xludf.DUMMYFUNCTION("""COMPUTED_VALUE"""),326503.12)</f>
        <v>326503.12</v>
      </c>
      <c r="H1017" s="48"/>
      <c r="I1017" s="38"/>
      <c r="J1017" s="38"/>
      <c r="K1017" s="38"/>
      <c r="M1017" s="87"/>
      <c r="N1017" s="38"/>
      <c r="Q1017" s="38"/>
    </row>
    <row r="1018">
      <c r="A1018" s="46" t="str">
        <f>IFERROR(__xludf.DUMMYFUNCTION("""COMPUTED_VALUE"""),"Cosmetics")</f>
        <v>Cosmetics</v>
      </c>
      <c r="B1018" s="46" t="str">
        <f>IFERROR(__xludf.DUMMYFUNCTION("""COMPUTED_VALUE"""),"Latvia")</f>
        <v>Latvia</v>
      </c>
      <c r="C1018" s="46">
        <f>IFERROR(__xludf.DUMMYFUNCTION("""COMPUTED_VALUE"""),7.65101468E8)</f>
        <v>765101468</v>
      </c>
      <c r="D1018" s="84">
        <f>IFERROR(__xludf.DUMMYFUNCTION("""COMPUTED_VALUE"""),4101810.4)</f>
        <v>4101810.4</v>
      </c>
      <c r="H1018" s="48"/>
      <c r="I1018" s="38"/>
      <c r="J1018" s="38"/>
      <c r="K1018" s="38"/>
      <c r="M1018" s="87"/>
      <c r="N1018" s="38"/>
      <c r="Q1018" s="38"/>
    </row>
    <row r="1019">
      <c r="A1019" s="46" t="str">
        <f>IFERROR(__xludf.DUMMYFUNCTION("""COMPUTED_VALUE"""),"Snacks")</f>
        <v>Snacks</v>
      </c>
      <c r="B1019" s="46" t="str">
        <f>IFERROR(__xludf.DUMMYFUNCTION("""COMPUTED_VALUE"""),"Slovakia")</f>
        <v>Slovakia</v>
      </c>
      <c r="C1019" s="46">
        <f>IFERROR(__xludf.DUMMYFUNCTION("""COMPUTED_VALUE"""),7.65552079E8)</f>
        <v>765552079</v>
      </c>
      <c r="D1019" s="84">
        <f>IFERROR(__xludf.DUMMYFUNCTION("""COMPUTED_VALUE"""),416085.66000000003)</f>
        <v>416085.66</v>
      </c>
      <c r="H1019" s="48"/>
      <c r="I1019" s="38"/>
      <c r="J1019" s="38"/>
      <c r="K1019" s="38"/>
      <c r="M1019" s="87"/>
      <c r="N1019" s="38"/>
      <c r="Q1019" s="38"/>
    </row>
    <row r="1020">
      <c r="A1020" s="46" t="str">
        <f>IFERROR(__xludf.DUMMYFUNCTION("""COMPUTED_VALUE"""),"Fruits")</f>
        <v>Fruits</v>
      </c>
      <c r="B1020" s="46" t="str">
        <f>IFERROR(__xludf.DUMMYFUNCTION("""COMPUTED_VALUE"""),"San Marino")</f>
        <v>San Marino</v>
      </c>
      <c r="C1020" s="46">
        <f>IFERROR(__xludf.DUMMYFUNCTION("""COMPUTED_VALUE"""),7.6573404E8)</f>
        <v>765734040</v>
      </c>
      <c r="D1020" s="84">
        <f>IFERROR(__xludf.DUMMYFUNCTION("""COMPUTED_VALUE"""),61335.42)</f>
        <v>61335.42</v>
      </c>
      <c r="H1020" s="48"/>
      <c r="I1020" s="38"/>
      <c r="J1020" s="38"/>
      <c r="K1020" s="38"/>
      <c r="M1020" s="87"/>
      <c r="N1020" s="38"/>
      <c r="Q1020" s="38"/>
    </row>
    <row r="1021">
      <c r="A1021" s="46" t="str">
        <f>IFERROR(__xludf.DUMMYFUNCTION("""COMPUTED_VALUE"""),"Household")</f>
        <v>Household</v>
      </c>
      <c r="B1021" s="46" t="str">
        <f>IFERROR(__xludf.DUMMYFUNCTION("""COMPUTED_VALUE"""),"Romania")</f>
        <v>Romania</v>
      </c>
      <c r="C1021" s="46">
        <f>IFERROR(__xludf.DUMMYFUNCTION("""COMPUTED_VALUE"""),7.65858924E8)</f>
        <v>765858924</v>
      </c>
      <c r="D1021" s="84">
        <f>IFERROR(__xludf.DUMMYFUNCTION("""COMPUTED_VALUE"""),2358993.1)</f>
        <v>2358993.1</v>
      </c>
      <c r="H1021" s="48"/>
      <c r="I1021" s="38"/>
      <c r="J1021" s="38"/>
      <c r="K1021" s="38"/>
      <c r="M1021" s="87"/>
      <c r="N1021" s="38"/>
      <c r="Q1021" s="38"/>
    </row>
    <row r="1022">
      <c r="A1022" s="46" t="str">
        <f>IFERROR(__xludf.DUMMYFUNCTION("""COMPUTED_VALUE"""),"Household")</f>
        <v>Household</v>
      </c>
      <c r="B1022" s="46" t="str">
        <f>IFERROR(__xludf.DUMMYFUNCTION("""COMPUTED_VALUE"""),"Sweden")</f>
        <v>Sweden</v>
      </c>
      <c r="C1022" s="46">
        <f>IFERROR(__xludf.DUMMYFUNCTION("""COMPUTED_VALUE"""),7.66118133E8)</f>
        <v>766118133</v>
      </c>
      <c r="D1022" s="84">
        <f>IFERROR(__xludf.DUMMYFUNCTION("""COMPUTED_VALUE"""),157043.44999999998)</f>
        <v>157043.45</v>
      </c>
      <c r="H1022" s="48"/>
      <c r="I1022" s="38"/>
      <c r="J1022" s="38"/>
      <c r="K1022" s="38"/>
      <c r="M1022" s="87"/>
      <c r="N1022" s="38"/>
      <c r="Q1022" s="38"/>
    </row>
    <row r="1023">
      <c r="A1023" s="46" t="str">
        <f>IFERROR(__xludf.DUMMYFUNCTION("""COMPUTED_VALUE"""),"Clothes")</f>
        <v>Clothes</v>
      </c>
      <c r="B1023" s="46" t="str">
        <f>IFERROR(__xludf.DUMMYFUNCTION("""COMPUTED_VALUE"""),"Netherlands")</f>
        <v>Netherlands</v>
      </c>
      <c r="C1023" s="46">
        <f>IFERROR(__xludf.DUMMYFUNCTION("""COMPUTED_VALUE"""),7.67490565E8)</f>
        <v>767490565</v>
      </c>
      <c r="D1023" s="84">
        <f>IFERROR(__xludf.DUMMYFUNCTION("""COMPUTED_VALUE"""),695895.04)</f>
        <v>695895.04</v>
      </c>
      <c r="H1023" s="48"/>
      <c r="I1023" s="38"/>
      <c r="J1023" s="38"/>
      <c r="K1023" s="38"/>
      <c r="M1023" s="87"/>
      <c r="N1023" s="38"/>
      <c r="Q1023" s="38"/>
    </row>
    <row r="1024">
      <c r="A1024" s="46" t="str">
        <f>IFERROR(__xludf.DUMMYFUNCTION("""COMPUTED_VALUE"""),"Snacks")</f>
        <v>Snacks</v>
      </c>
      <c r="B1024" s="46" t="str">
        <f>IFERROR(__xludf.DUMMYFUNCTION("""COMPUTED_VALUE"""),"Bulgaria")</f>
        <v>Bulgaria</v>
      </c>
      <c r="C1024" s="46">
        <f>IFERROR(__xludf.DUMMYFUNCTION("""COMPUTED_VALUE"""),7.68230426E8)</f>
        <v>768230426</v>
      </c>
      <c r="D1024" s="84">
        <f>IFERROR(__xludf.DUMMYFUNCTION("""COMPUTED_VALUE"""),810199.8)</f>
        <v>810199.8</v>
      </c>
      <c r="H1024" s="48"/>
      <c r="I1024" s="38"/>
      <c r="J1024" s="38"/>
      <c r="K1024" s="38"/>
      <c r="M1024" s="87"/>
      <c r="N1024" s="38"/>
      <c r="Q1024" s="38"/>
    </row>
    <row r="1025">
      <c r="A1025" s="46" t="str">
        <f>IFERROR(__xludf.DUMMYFUNCTION("""COMPUTED_VALUE"""),"Vegetables")</f>
        <v>Vegetables</v>
      </c>
      <c r="B1025" s="46" t="str">
        <f>IFERROR(__xludf.DUMMYFUNCTION("""COMPUTED_VALUE"""),"Hungary")</f>
        <v>Hungary</v>
      </c>
      <c r="C1025" s="46">
        <f>IFERROR(__xludf.DUMMYFUNCTION("""COMPUTED_VALUE"""),7.68676316E8)</f>
        <v>768676316</v>
      </c>
      <c r="D1025" s="84">
        <f>IFERROR(__xludf.DUMMYFUNCTION("""COMPUTED_VALUE"""),1118321.54)</f>
        <v>1118321.54</v>
      </c>
      <c r="H1025" s="48"/>
      <c r="I1025" s="38"/>
      <c r="J1025" s="38"/>
      <c r="K1025" s="38"/>
      <c r="M1025" s="87"/>
      <c r="N1025" s="38"/>
      <c r="Q1025" s="38"/>
    </row>
    <row r="1026">
      <c r="A1026" s="46" t="str">
        <f>IFERROR(__xludf.DUMMYFUNCTION("""COMPUTED_VALUE"""),"Office Supplies")</f>
        <v>Office Supplies</v>
      </c>
      <c r="B1026" s="46" t="str">
        <f>IFERROR(__xludf.DUMMYFUNCTION("""COMPUTED_VALUE"""),"Undefined")</f>
        <v>Undefined</v>
      </c>
      <c r="C1026" s="46">
        <f>IFERROR(__xludf.DUMMYFUNCTION("""COMPUTED_VALUE"""),7.70821654E8)</f>
        <v>770821654</v>
      </c>
      <c r="D1026" s="84">
        <f>IFERROR(__xludf.DUMMYFUNCTION("""COMPUTED_VALUE"""),1375355.52)</f>
        <v>1375355.52</v>
      </c>
      <c r="H1026" s="48"/>
      <c r="I1026" s="38"/>
      <c r="J1026" s="38"/>
      <c r="K1026" s="38"/>
      <c r="M1026" s="87"/>
      <c r="N1026" s="38"/>
      <c r="Q1026" s="38"/>
    </row>
    <row r="1027">
      <c r="A1027" s="46" t="str">
        <f>IFERROR(__xludf.DUMMYFUNCTION("""COMPUTED_VALUE"""),"Vegetables")</f>
        <v>Vegetables</v>
      </c>
      <c r="B1027" s="46" t="str">
        <f>IFERROR(__xludf.DUMMYFUNCTION("""COMPUTED_VALUE"""),"Finland")</f>
        <v>Finland</v>
      </c>
      <c r="C1027" s="46">
        <f>IFERROR(__xludf.DUMMYFUNCTION("""COMPUTED_VALUE"""),7.71674382E8)</f>
        <v>771674382</v>
      </c>
      <c r="D1027" s="84">
        <f>IFERROR(__xludf.DUMMYFUNCTION("""COMPUTED_VALUE"""),686029.18)</f>
        <v>686029.18</v>
      </c>
      <c r="H1027" s="48"/>
      <c r="I1027" s="38"/>
      <c r="J1027" s="38"/>
      <c r="K1027" s="38"/>
      <c r="M1027" s="87"/>
      <c r="N1027" s="38"/>
      <c r="Q1027" s="38"/>
    </row>
    <row r="1028">
      <c r="A1028" s="46" t="str">
        <f>IFERROR(__xludf.DUMMYFUNCTION("""COMPUTED_VALUE"""),"Cereal")</f>
        <v>Cereal</v>
      </c>
      <c r="B1028" s="46" t="str">
        <f>IFERROR(__xludf.DUMMYFUNCTION("""COMPUTED_VALUE"""),"Sweden")</f>
        <v>Sweden</v>
      </c>
      <c r="C1028" s="46">
        <f>IFERROR(__xludf.DUMMYFUNCTION("""COMPUTED_VALUE"""),7.72643411E8)</f>
        <v>772643411</v>
      </c>
      <c r="D1028" s="84">
        <f>IFERROR(__xludf.DUMMYFUNCTION("""COMPUTED_VALUE"""),248897.0)</f>
        <v>248897</v>
      </c>
      <c r="H1028" s="48"/>
      <c r="I1028" s="38"/>
      <c r="J1028" s="38"/>
      <c r="K1028" s="38"/>
      <c r="M1028" s="87"/>
      <c r="N1028" s="38"/>
      <c r="Q1028" s="38"/>
    </row>
    <row r="1029">
      <c r="A1029" s="46" t="str">
        <f>IFERROR(__xludf.DUMMYFUNCTION("""COMPUTED_VALUE"""),"Beverages")</f>
        <v>Beverages</v>
      </c>
      <c r="B1029" s="46" t="str">
        <f>IFERROR(__xludf.DUMMYFUNCTION("""COMPUTED_VALUE"""),"San Marino")</f>
        <v>San Marino</v>
      </c>
      <c r="C1029" s="46">
        <f>IFERROR(__xludf.DUMMYFUNCTION("""COMPUTED_VALUE"""),7.72893178E8)</f>
        <v>772893178</v>
      </c>
      <c r="D1029" s="84">
        <f>IFERROR(__xludf.DUMMYFUNCTION("""COMPUTED_VALUE"""),243038.90000000002)</f>
        <v>243038.9</v>
      </c>
      <c r="H1029" s="48"/>
      <c r="I1029" s="38"/>
      <c r="J1029" s="38"/>
      <c r="K1029" s="38"/>
      <c r="M1029" s="87"/>
      <c r="N1029" s="38"/>
      <c r="Q1029" s="38"/>
    </row>
    <row r="1030">
      <c r="A1030" s="46" t="str">
        <f>IFERROR(__xludf.DUMMYFUNCTION("""COMPUTED_VALUE"""),"Cosmetics")</f>
        <v>Cosmetics</v>
      </c>
      <c r="B1030" s="46" t="str">
        <f>IFERROR(__xludf.DUMMYFUNCTION("""COMPUTED_VALUE"""),"Ukraine")</f>
        <v>Ukraine</v>
      </c>
      <c r="C1030" s="46">
        <f>IFERROR(__xludf.DUMMYFUNCTION("""COMPUTED_VALUE"""),7.73645913E8)</f>
        <v>773645913</v>
      </c>
      <c r="D1030" s="84">
        <f>IFERROR(__xludf.DUMMYFUNCTION("""COMPUTED_VALUE"""),3442075.6)</f>
        <v>3442075.6</v>
      </c>
      <c r="H1030" s="48"/>
      <c r="I1030" s="38"/>
      <c r="J1030" s="38"/>
      <c r="K1030" s="38"/>
      <c r="M1030" s="87"/>
      <c r="N1030" s="38"/>
      <c r="Q1030" s="38"/>
    </row>
    <row r="1031">
      <c r="A1031" s="46" t="str">
        <f>IFERROR(__xludf.DUMMYFUNCTION("""COMPUTED_VALUE"""),"Fruits")</f>
        <v>Fruits</v>
      </c>
      <c r="B1031" s="46" t="str">
        <f>IFERROR(__xludf.DUMMYFUNCTION("""COMPUTED_VALUE"""),"Bulgaria")</f>
        <v>Bulgaria</v>
      </c>
      <c r="C1031" s="46">
        <f>IFERROR(__xludf.DUMMYFUNCTION("""COMPUTED_VALUE"""),7.74698626E8)</f>
        <v>774698626</v>
      </c>
      <c r="D1031" s="84">
        <f>IFERROR(__xludf.DUMMYFUNCTION("""COMPUTED_VALUE"""),87646.02)</f>
        <v>87646.02</v>
      </c>
      <c r="H1031" s="48"/>
      <c r="I1031" s="38"/>
      <c r="J1031" s="38"/>
      <c r="K1031" s="38"/>
      <c r="M1031" s="87"/>
      <c r="N1031" s="38"/>
      <c r="Q1031" s="38"/>
    </row>
    <row r="1032">
      <c r="A1032" s="46" t="str">
        <f>IFERROR(__xludf.DUMMYFUNCTION("""COMPUTED_VALUE"""),"Fruits")</f>
        <v>Fruits</v>
      </c>
      <c r="B1032" s="46" t="str">
        <f>IFERROR(__xludf.DUMMYFUNCTION("""COMPUTED_VALUE"""),"Czech Republic")</f>
        <v>Czech Republic</v>
      </c>
      <c r="C1032" s="46">
        <f>IFERROR(__xludf.DUMMYFUNCTION("""COMPUTED_VALUE"""),7.74926936E8)</f>
        <v>774926936</v>
      </c>
      <c r="D1032" s="84">
        <f>IFERROR(__xludf.DUMMYFUNCTION("""COMPUTED_VALUE"""),64899.48)</f>
        <v>64899.48</v>
      </c>
      <c r="H1032" s="48"/>
      <c r="I1032" s="38"/>
      <c r="J1032" s="38"/>
      <c r="K1032" s="38"/>
      <c r="M1032" s="87"/>
      <c r="N1032" s="38"/>
      <c r="Q1032" s="38"/>
    </row>
    <row r="1033">
      <c r="A1033" s="46" t="str">
        <f>IFERROR(__xludf.DUMMYFUNCTION("""COMPUTED_VALUE"""),"Baby Food")</f>
        <v>Baby Food</v>
      </c>
      <c r="B1033" s="46" t="str">
        <f>IFERROR(__xludf.DUMMYFUNCTION("""COMPUTED_VALUE"""),"Liechtenstein")</f>
        <v>Liechtenstein</v>
      </c>
      <c r="C1033" s="46">
        <f>IFERROR(__xludf.DUMMYFUNCTION("""COMPUTED_VALUE"""),7.75008904E8)</f>
        <v>775008904</v>
      </c>
      <c r="D1033" s="84">
        <f>IFERROR(__xludf.DUMMYFUNCTION("""COMPUTED_VALUE"""),309399.36)</f>
        <v>309399.36</v>
      </c>
      <c r="H1033" s="48"/>
      <c r="I1033" s="38"/>
      <c r="J1033" s="38"/>
      <c r="K1033" s="38"/>
      <c r="M1033" s="87"/>
      <c r="N1033" s="38"/>
      <c r="Q1033" s="38"/>
    </row>
    <row r="1034">
      <c r="A1034" s="46" t="str">
        <f>IFERROR(__xludf.DUMMYFUNCTION("""COMPUTED_VALUE"""),"Baby Food")</f>
        <v>Baby Food</v>
      </c>
      <c r="B1034" s="46" t="str">
        <f>IFERROR(__xludf.DUMMYFUNCTION("""COMPUTED_VALUE"""),"Croatia")</f>
        <v>Croatia</v>
      </c>
      <c r="C1034" s="46">
        <f>IFERROR(__xludf.DUMMYFUNCTION("""COMPUTED_VALUE"""),7.75347936E8)</f>
        <v>775347936</v>
      </c>
      <c r="D1034" s="84">
        <f>IFERROR(__xludf.DUMMYFUNCTION("""COMPUTED_VALUE"""),392875.92)</f>
        <v>392875.92</v>
      </c>
      <c r="H1034" s="48"/>
      <c r="I1034" s="38"/>
      <c r="J1034" s="38"/>
      <c r="K1034" s="38"/>
      <c r="M1034" s="87"/>
      <c r="N1034" s="38"/>
      <c r="Q1034" s="38"/>
    </row>
    <row r="1035">
      <c r="A1035" s="46" t="str">
        <f>IFERROR(__xludf.DUMMYFUNCTION("""COMPUTED_VALUE"""),"Office Supplies")</f>
        <v>Office Supplies</v>
      </c>
      <c r="B1035" s="46" t="str">
        <f>IFERROR(__xludf.DUMMYFUNCTION("""COMPUTED_VALUE"""),"Portugal")</f>
        <v>Portugal</v>
      </c>
      <c r="C1035" s="46">
        <f>IFERROR(__xludf.DUMMYFUNCTION("""COMPUTED_VALUE"""),7.75849616E8)</f>
        <v>775849616</v>
      </c>
      <c r="D1035" s="84">
        <f>IFERROR(__xludf.DUMMYFUNCTION("""COMPUTED_VALUE"""),6510146.37)</f>
        <v>6510146.37</v>
      </c>
      <c r="H1035" s="48"/>
      <c r="I1035" s="38"/>
      <c r="J1035" s="38"/>
      <c r="K1035" s="38"/>
      <c r="M1035" s="87"/>
      <c r="N1035" s="38"/>
      <c r="Q1035" s="38"/>
    </row>
    <row r="1036">
      <c r="A1036" s="46" t="str">
        <f>IFERROR(__xludf.DUMMYFUNCTION("""COMPUTED_VALUE"""),"Vegetables")</f>
        <v>Vegetables</v>
      </c>
      <c r="B1036" s="46" t="str">
        <f>IFERROR(__xludf.DUMMYFUNCTION("""COMPUTED_VALUE"""),"Poland")</f>
        <v>Poland</v>
      </c>
      <c r="C1036" s="46">
        <f>IFERROR(__xludf.DUMMYFUNCTION("""COMPUTED_VALUE"""),7.7701863E8)</f>
        <v>777018630</v>
      </c>
      <c r="D1036" s="84">
        <f>IFERROR(__xludf.DUMMYFUNCTION("""COMPUTED_VALUE"""),914346.1)</f>
        <v>914346.1</v>
      </c>
      <c r="H1036" s="48"/>
      <c r="I1036" s="38"/>
      <c r="J1036" s="38"/>
      <c r="K1036" s="38"/>
      <c r="M1036" s="87"/>
      <c r="N1036" s="38"/>
      <c r="Q1036" s="38"/>
    </row>
    <row r="1037">
      <c r="A1037" s="46" t="str">
        <f>IFERROR(__xludf.DUMMYFUNCTION("""COMPUTED_VALUE"""),"Meat")</f>
        <v>Meat</v>
      </c>
      <c r="B1037" s="46" t="str">
        <f>IFERROR(__xludf.DUMMYFUNCTION("""COMPUTED_VALUE"""),"Bulgaria")</f>
        <v>Bulgaria</v>
      </c>
      <c r="C1037" s="46">
        <f>IFERROR(__xludf.DUMMYFUNCTION("""COMPUTED_VALUE"""),7.80590045E8)</f>
        <v>780590045</v>
      </c>
      <c r="D1037" s="84">
        <f>IFERROR(__xludf.DUMMYFUNCTION("""COMPUTED_VALUE"""),1179604.44)</f>
        <v>1179604.44</v>
      </c>
      <c r="H1037" s="48"/>
      <c r="I1037" s="38"/>
      <c r="J1037" s="38"/>
      <c r="K1037" s="38"/>
      <c r="M1037" s="87"/>
      <c r="N1037" s="38"/>
      <c r="Q1037" s="38"/>
    </row>
    <row r="1038">
      <c r="A1038" s="46" t="str">
        <f>IFERROR(__xludf.DUMMYFUNCTION("""COMPUTED_VALUE"""),"Cosmetics")</f>
        <v>Cosmetics</v>
      </c>
      <c r="B1038" s="46" t="str">
        <f>IFERROR(__xludf.DUMMYFUNCTION("""COMPUTED_VALUE"""),"Slovakia")</f>
        <v>Slovakia</v>
      </c>
      <c r="C1038" s="46">
        <f>IFERROR(__xludf.DUMMYFUNCTION("""COMPUTED_VALUE"""),7.80899035E8)</f>
        <v>780899035</v>
      </c>
      <c r="D1038" s="84">
        <f>IFERROR(__xludf.DUMMYFUNCTION("""COMPUTED_VALUE"""),1850667.5999999999)</f>
        <v>1850667.6</v>
      </c>
      <c r="H1038" s="48"/>
      <c r="I1038" s="38"/>
      <c r="J1038" s="38"/>
      <c r="K1038" s="38"/>
      <c r="M1038" s="87"/>
      <c r="N1038" s="38"/>
      <c r="Q1038" s="38"/>
    </row>
    <row r="1039">
      <c r="A1039" s="46" t="str">
        <f>IFERROR(__xludf.DUMMYFUNCTION("""COMPUTED_VALUE"""),"Clothes")</f>
        <v>Clothes</v>
      </c>
      <c r="B1039" s="46" t="str">
        <f>IFERROR(__xludf.DUMMYFUNCTION("""COMPUTED_VALUE"""),"Croatia")</f>
        <v>Croatia</v>
      </c>
      <c r="C1039" s="46">
        <f>IFERROR(__xludf.DUMMYFUNCTION("""COMPUTED_VALUE"""),7.81083571E8)</f>
        <v>781083571</v>
      </c>
      <c r="D1039" s="84">
        <f>IFERROR(__xludf.DUMMYFUNCTION("""COMPUTED_VALUE"""),966144.48)</f>
        <v>966144.48</v>
      </c>
      <c r="H1039" s="48"/>
      <c r="I1039" s="38"/>
      <c r="J1039" s="38"/>
      <c r="K1039" s="38"/>
      <c r="M1039" s="87"/>
      <c r="N1039" s="38"/>
      <c r="Q1039" s="38"/>
    </row>
    <row r="1040">
      <c r="A1040" s="46" t="str">
        <f>IFERROR(__xludf.DUMMYFUNCTION("""COMPUTED_VALUE"""),"Meat")</f>
        <v>Meat</v>
      </c>
      <c r="B1040" s="46" t="str">
        <f>IFERROR(__xludf.DUMMYFUNCTION("""COMPUTED_VALUE"""),"Armenia")</f>
        <v>Armenia</v>
      </c>
      <c r="C1040" s="46">
        <f>IFERROR(__xludf.DUMMYFUNCTION("""COMPUTED_VALUE"""),7.81416594E8)</f>
        <v>781416594</v>
      </c>
      <c r="D1040" s="84">
        <f>IFERROR(__xludf.DUMMYFUNCTION("""COMPUTED_VALUE"""),3117767.1)</f>
        <v>3117767.1</v>
      </c>
      <c r="H1040" s="48"/>
      <c r="I1040" s="38"/>
      <c r="J1040" s="38"/>
      <c r="K1040" s="38"/>
      <c r="M1040" s="87"/>
      <c r="N1040" s="38"/>
      <c r="Q1040" s="38"/>
    </row>
    <row r="1041">
      <c r="A1041" s="46" t="str">
        <f>IFERROR(__xludf.DUMMYFUNCTION("""COMPUTED_VALUE"""),"Clothes")</f>
        <v>Clothes</v>
      </c>
      <c r="B1041" s="46" t="str">
        <f>IFERROR(__xludf.DUMMYFUNCTION("""COMPUTED_VALUE"""),"United Kingdom")</f>
        <v>United Kingdom</v>
      </c>
      <c r="C1041" s="46">
        <f>IFERROR(__xludf.DUMMYFUNCTION("""COMPUTED_VALUE"""),7.831169E8)</f>
        <v>783116900</v>
      </c>
      <c r="D1041" s="84">
        <f>IFERROR(__xludf.DUMMYFUNCTION("""COMPUTED_VALUE"""),59885.44)</f>
        <v>59885.44</v>
      </c>
      <c r="H1041" s="48"/>
      <c r="I1041" s="38"/>
      <c r="J1041" s="38"/>
      <c r="K1041" s="38"/>
      <c r="M1041" s="87"/>
      <c r="N1041" s="38"/>
      <c r="Q1041" s="38"/>
    </row>
    <row r="1042">
      <c r="A1042" s="46" t="str">
        <f>IFERROR(__xludf.DUMMYFUNCTION("""COMPUTED_VALUE"""),"Meat")</f>
        <v>Meat</v>
      </c>
      <c r="B1042" s="46" t="str">
        <f>IFERROR(__xludf.DUMMYFUNCTION("""COMPUTED_VALUE"""),"Ukraine")</f>
        <v>Ukraine</v>
      </c>
      <c r="C1042" s="46">
        <f>IFERROR(__xludf.DUMMYFUNCTION("""COMPUTED_VALUE"""),7.83594977E8)</f>
        <v>783594977</v>
      </c>
      <c r="D1042" s="84">
        <f>IFERROR(__xludf.DUMMYFUNCTION("""COMPUTED_VALUE"""),853061.58)</f>
        <v>853061.58</v>
      </c>
      <c r="H1042" s="48"/>
      <c r="I1042" s="38"/>
      <c r="J1042" s="38"/>
      <c r="K1042" s="38"/>
      <c r="M1042" s="87"/>
      <c r="N1042" s="38"/>
      <c r="Q1042" s="38"/>
    </row>
    <row r="1043">
      <c r="A1043" s="46" t="str">
        <f>IFERROR(__xludf.DUMMYFUNCTION("""COMPUTED_VALUE"""),"Snacks")</f>
        <v>Snacks</v>
      </c>
      <c r="B1043" s="46" t="str">
        <f>IFERROR(__xludf.DUMMYFUNCTION("""COMPUTED_VALUE"""),"Undefined")</f>
        <v>Undefined</v>
      </c>
      <c r="C1043" s="46">
        <f>IFERROR(__xludf.DUMMYFUNCTION("""COMPUTED_VALUE"""),7.83913838E8)</f>
        <v>783913838</v>
      </c>
      <c r="D1043" s="84">
        <f>IFERROR(__xludf.DUMMYFUNCTION("""COMPUTED_VALUE"""),973460.4)</f>
        <v>973460.4</v>
      </c>
      <c r="H1043" s="48"/>
      <c r="I1043" s="38"/>
      <c r="J1043" s="38"/>
      <c r="K1043" s="38"/>
      <c r="M1043" s="87"/>
      <c r="N1043" s="38"/>
      <c r="Q1043" s="38"/>
    </row>
    <row r="1044">
      <c r="A1044" s="46" t="str">
        <f>IFERROR(__xludf.DUMMYFUNCTION("""COMPUTED_VALUE"""),"Snacks")</f>
        <v>Snacks</v>
      </c>
      <c r="B1044" s="46" t="str">
        <f>IFERROR(__xludf.DUMMYFUNCTION("""COMPUTED_VALUE"""),"Denmark")</f>
        <v>Denmark</v>
      </c>
      <c r="C1044" s="46">
        <f>IFERROR(__xludf.DUMMYFUNCTION("""COMPUTED_VALUE"""),7.84397923E8)</f>
        <v>784397923</v>
      </c>
      <c r="D1044" s="84">
        <f>IFERROR(__xludf.DUMMYFUNCTION("""COMPUTED_VALUE"""),1469497.9800000002)</f>
        <v>1469497.98</v>
      </c>
      <c r="H1044" s="48"/>
      <c r="I1044" s="38"/>
      <c r="J1044" s="38"/>
      <c r="K1044" s="38"/>
      <c r="M1044" s="87"/>
      <c r="N1044" s="38"/>
      <c r="Q1044" s="38"/>
    </row>
    <row r="1045">
      <c r="A1045" s="46" t="str">
        <f>IFERROR(__xludf.DUMMYFUNCTION("""COMPUTED_VALUE"""),"Household")</f>
        <v>Household</v>
      </c>
      <c r="B1045" s="46" t="str">
        <f>IFERROR(__xludf.DUMMYFUNCTION("""COMPUTED_VALUE"""),"Belarus")</f>
        <v>Belarus</v>
      </c>
      <c r="C1045" s="46">
        <f>IFERROR(__xludf.DUMMYFUNCTION("""COMPUTED_VALUE"""),7.85364806E8)</f>
        <v>785364806</v>
      </c>
      <c r="D1045" s="84">
        <f>IFERROR(__xludf.DUMMYFUNCTION("""COMPUTED_VALUE"""),3845225.58)</f>
        <v>3845225.58</v>
      </c>
      <c r="H1045" s="48"/>
      <c r="I1045" s="38"/>
      <c r="J1045" s="38"/>
      <c r="K1045" s="38"/>
      <c r="M1045" s="87"/>
      <c r="N1045" s="38"/>
      <c r="Q1045" s="38"/>
    </row>
    <row r="1046">
      <c r="A1046" s="46" t="str">
        <f>IFERROR(__xludf.DUMMYFUNCTION("""COMPUTED_VALUE"""),"Beverages")</f>
        <v>Beverages</v>
      </c>
      <c r="B1046" s="46" t="str">
        <f>IFERROR(__xludf.DUMMYFUNCTION("""COMPUTED_VALUE"""),"Netherlands")</f>
        <v>Netherlands</v>
      </c>
      <c r="C1046" s="46">
        <f>IFERROR(__xludf.DUMMYFUNCTION("""COMPUTED_VALUE"""),7.86318385E8)</f>
        <v>786318385</v>
      </c>
      <c r="D1046" s="84">
        <f>IFERROR(__xludf.DUMMYFUNCTION("""COMPUTED_VALUE"""),376705.55000000005)</f>
        <v>376705.55</v>
      </c>
      <c r="H1046" s="48"/>
      <c r="I1046" s="38"/>
      <c r="J1046" s="38"/>
      <c r="K1046" s="38"/>
      <c r="M1046" s="87"/>
      <c r="N1046" s="38"/>
      <c r="Q1046" s="38"/>
    </row>
    <row r="1047">
      <c r="A1047" s="46" t="str">
        <f>IFERROR(__xludf.DUMMYFUNCTION("""COMPUTED_VALUE"""),"Snacks")</f>
        <v>Snacks</v>
      </c>
      <c r="B1047" s="46" t="str">
        <f>IFERROR(__xludf.DUMMYFUNCTION("""COMPUTED_VALUE"""),"Czech Republic")</f>
        <v>Czech Republic</v>
      </c>
      <c r="C1047" s="46">
        <f>IFERROR(__xludf.DUMMYFUNCTION("""COMPUTED_VALUE"""),7.8948425E8)</f>
        <v>789484250</v>
      </c>
      <c r="D1047" s="84">
        <f>IFERROR(__xludf.DUMMYFUNCTION("""COMPUTED_VALUE"""),730705.6200000001)</f>
        <v>730705.62</v>
      </c>
      <c r="H1047" s="48"/>
      <c r="I1047" s="38"/>
      <c r="J1047" s="38"/>
      <c r="K1047" s="38"/>
      <c r="M1047" s="87"/>
      <c r="N1047" s="38"/>
      <c r="Q1047" s="38"/>
    </row>
    <row r="1048">
      <c r="A1048" s="46" t="str">
        <f>IFERROR(__xludf.DUMMYFUNCTION("""COMPUTED_VALUE"""),"Personal Care")</f>
        <v>Personal Care</v>
      </c>
      <c r="B1048" s="46" t="str">
        <f>IFERROR(__xludf.DUMMYFUNCTION("""COMPUTED_VALUE"""),"Armenia")</f>
        <v>Armenia</v>
      </c>
      <c r="C1048" s="46">
        <f>IFERROR(__xludf.DUMMYFUNCTION("""COMPUTED_VALUE"""),7.89760196E8)</f>
        <v>789760196</v>
      </c>
      <c r="D1048" s="84">
        <f>IFERROR(__xludf.DUMMYFUNCTION("""COMPUTED_VALUE"""),526913.31)</f>
        <v>526913.31</v>
      </c>
      <c r="H1048" s="48"/>
      <c r="I1048" s="38"/>
      <c r="J1048" s="38"/>
      <c r="K1048" s="38"/>
      <c r="M1048" s="87"/>
      <c r="N1048" s="38"/>
      <c r="Q1048" s="38"/>
    </row>
    <row r="1049">
      <c r="A1049" s="46" t="str">
        <f>IFERROR(__xludf.DUMMYFUNCTION("""COMPUTED_VALUE"""),"Cosmetics")</f>
        <v>Cosmetics</v>
      </c>
      <c r="B1049" s="46" t="str">
        <f>IFERROR(__xludf.DUMMYFUNCTION("""COMPUTED_VALUE"""),"Estonia")</f>
        <v>Estonia</v>
      </c>
      <c r="C1049" s="46">
        <f>IFERROR(__xludf.DUMMYFUNCTION("""COMPUTED_VALUE"""),7.90149009E8)</f>
        <v>790149009</v>
      </c>
      <c r="D1049" s="84">
        <f>IFERROR(__xludf.DUMMYFUNCTION("""COMPUTED_VALUE"""),657986.0)</f>
        <v>657986</v>
      </c>
      <c r="H1049" s="48"/>
      <c r="I1049" s="38"/>
      <c r="J1049" s="38"/>
      <c r="K1049" s="38"/>
      <c r="M1049" s="87"/>
      <c r="N1049" s="38"/>
      <c r="Q1049" s="38"/>
    </row>
    <row r="1050">
      <c r="A1050" s="46" t="str">
        <f>IFERROR(__xludf.DUMMYFUNCTION("""COMPUTED_VALUE"""),"Fruits")</f>
        <v>Fruits</v>
      </c>
      <c r="B1050" s="46" t="str">
        <f>IFERROR(__xludf.DUMMYFUNCTION("""COMPUTED_VALUE"""),"Belgium")</f>
        <v>Belgium</v>
      </c>
      <c r="C1050" s="46">
        <f>IFERROR(__xludf.DUMMYFUNCTION("""COMPUTED_VALUE"""),7.91692674E8)</f>
        <v>791692674</v>
      </c>
      <c r="D1050" s="84">
        <f>IFERROR(__xludf.DUMMYFUNCTION("""COMPUTED_VALUE"""),77532.3)</f>
        <v>77532.3</v>
      </c>
      <c r="H1050" s="48"/>
      <c r="I1050" s="38"/>
      <c r="J1050" s="38"/>
      <c r="K1050" s="38"/>
      <c r="M1050" s="87"/>
      <c r="N1050" s="38"/>
      <c r="Q1050" s="38"/>
    </row>
    <row r="1051">
      <c r="A1051" s="46" t="str">
        <f>IFERROR(__xludf.DUMMYFUNCTION("""COMPUTED_VALUE"""),"Cereal")</f>
        <v>Cereal</v>
      </c>
      <c r="B1051" s="46" t="str">
        <f>IFERROR(__xludf.DUMMYFUNCTION("""COMPUTED_VALUE"""),"Belgium")</f>
        <v>Belgium</v>
      </c>
      <c r="C1051" s="46">
        <f>IFERROR(__xludf.DUMMYFUNCTION("""COMPUTED_VALUE"""),7.91890084E8)</f>
        <v>791890084</v>
      </c>
      <c r="D1051" s="84">
        <f>IFERROR(__xludf.DUMMYFUNCTION("""COMPUTED_VALUE"""),1383949.5999999999)</f>
        <v>1383949.6</v>
      </c>
      <c r="H1051" s="48"/>
      <c r="I1051" s="38"/>
      <c r="J1051" s="38"/>
      <c r="K1051" s="38"/>
      <c r="M1051" s="87"/>
      <c r="N1051" s="38"/>
      <c r="Q1051" s="38"/>
    </row>
    <row r="1052">
      <c r="A1052" s="46" t="str">
        <f>IFERROR(__xludf.DUMMYFUNCTION("""COMPUTED_VALUE"""),"Cereal")</f>
        <v>Cereal</v>
      </c>
      <c r="B1052" s="46" t="str">
        <f>IFERROR(__xludf.DUMMYFUNCTION("""COMPUTED_VALUE"""),"Monaco")</f>
        <v>Monaco</v>
      </c>
      <c r="C1052" s="46">
        <f>IFERROR(__xludf.DUMMYFUNCTION("""COMPUTED_VALUE"""),7.92178905E8)</f>
        <v>792178905</v>
      </c>
      <c r="D1052" s="84">
        <f>IFERROR(__xludf.DUMMYFUNCTION("""COMPUTED_VALUE"""),451922.89999999997)</f>
        <v>451922.9</v>
      </c>
      <c r="H1052" s="48"/>
      <c r="I1052" s="38"/>
      <c r="J1052" s="38"/>
      <c r="K1052" s="38"/>
      <c r="M1052" s="87"/>
      <c r="N1052" s="38"/>
      <c r="Q1052" s="38"/>
    </row>
    <row r="1053">
      <c r="A1053" s="46" t="str">
        <f>IFERROR(__xludf.DUMMYFUNCTION("""COMPUTED_VALUE"""),"Household")</f>
        <v>Household</v>
      </c>
      <c r="B1053" s="46" t="str">
        <f>IFERROR(__xludf.DUMMYFUNCTION("""COMPUTED_VALUE"""),"Undefined")</f>
        <v>Undefined</v>
      </c>
      <c r="C1053" s="46">
        <f>IFERROR(__xludf.DUMMYFUNCTION("""COMPUTED_VALUE"""),7.92792594E8)</f>
        <v>792792594</v>
      </c>
      <c r="D1053" s="84">
        <f>IFERROR(__xludf.DUMMYFUNCTION("""COMPUTED_VALUE"""),2540094.27)</f>
        <v>2540094.27</v>
      </c>
      <c r="H1053" s="48"/>
      <c r="I1053" s="38"/>
      <c r="J1053" s="38"/>
      <c r="K1053" s="38"/>
      <c r="M1053" s="87"/>
      <c r="N1053" s="38"/>
      <c r="Q1053" s="38"/>
    </row>
    <row r="1054">
      <c r="A1054" s="46" t="str">
        <f>IFERROR(__xludf.DUMMYFUNCTION("""COMPUTED_VALUE"""),"Beverages")</f>
        <v>Beverages</v>
      </c>
      <c r="B1054" s="46" t="str">
        <f>IFERROR(__xludf.DUMMYFUNCTION("""COMPUTED_VALUE"""),"Greece")</f>
        <v>Greece</v>
      </c>
      <c r="C1054" s="46">
        <f>IFERROR(__xludf.DUMMYFUNCTION("""COMPUTED_VALUE"""),7.95141351E8)</f>
        <v>795141351</v>
      </c>
      <c r="D1054" s="84">
        <f>IFERROR(__xludf.DUMMYFUNCTION("""COMPUTED_VALUE"""),419932.5)</f>
        <v>419932.5</v>
      </c>
      <c r="H1054" s="48"/>
      <c r="I1054" s="38"/>
      <c r="J1054" s="38"/>
      <c r="K1054" s="38"/>
      <c r="M1054" s="87"/>
      <c r="N1054" s="38"/>
      <c r="Q1054" s="38"/>
    </row>
    <row r="1055">
      <c r="A1055" s="46" t="str">
        <f>IFERROR(__xludf.DUMMYFUNCTION("""COMPUTED_VALUE"""),"Meat")</f>
        <v>Meat</v>
      </c>
      <c r="B1055" s="46" t="str">
        <f>IFERROR(__xludf.DUMMYFUNCTION("""COMPUTED_VALUE"""),"Macedonia")</f>
        <v>Macedonia</v>
      </c>
      <c r="C1055" s="46">
        <f>IFERROR(__xludf.DUMMYFUNCTION("""COMPUTED_VALUE"""),7.96418511E8)</f>
        <v>796418511</v>
      </c>
      <c r="D1055" s="84">
        <f>IFERROR(__xludf.DUMMYFUNCTION("""COMPUTED_VALUE"""),2865054.9899999998)</f>
        <v>2865054.99</v>
      </c>
      <c r="H1055" s="48"/>
      <c r="I1055" s="38"/>
      <c r="J1055" s="38"/>
      <c r="K1055" s="38"/>
      <c r="M1055" s="87"/>
      <c r="N1055" s="38"/>
      <c r="Q1055" s="38"/>
    </row>
    <row r="1056">
      <c r="A1056" s="46" t="str">
        <f>IFERROR(__xludf.DUMMYFUNCTION("""COMPUTED_VALUE"""),"Beverages")</f>
        <v>Beverages</v>
      </c>
      <c r="B1056" s="46" t="str">
        <f>IFERROR(__xludf.DUMMYFUNCTION("""COMPUTED_VALUE"""),"Russia")</f>
        <v>Russia</v>
      </c>
      <c r="C1056" s="46">
        <f>IFERROR(__xludf.DUMMYFUNCTION("""COMPUTED_VALUE"""),7.97202146E8)</f>
        <v>797202146</v>
      </c>
      <c r="D1056" s="84">
        <f>IFERROR(__xludf.DUMMYFUNCTION("""COMPUTED_VALUE"""),412103.25)</f>
        <v>412103.25</v>
      </c>
      <c r="H1056" s="48"/>
      <c r="I1056" s="38"/>
      <c r="J1056" s="38"/>
      <c r="K1056" s="38"/>
      <c r="M1056" s="87"/>
      <c r="N1056" s="38"/>
      <c r="Q1056" s="38"/>
    </row>
    <row r="1057">
      <c r="A1057" s="46" t="str">
        <f>IFERROR(__xludf.DUMMYFUNCTION("""COMPUTED_VALUE"""),"Beverages")</f>
        <v>Beverages</v>
      </c>
      <c r="B1057" s="46" t="str">
        <f>IFERROR(__xludf.DUMMYFUNCTION("""COMPUTED_VALUE"""),"Serbia")</f>
        <v>Serbia</v>
      </c>
      <c r="C1057" s="46">
        <f>IFERROR(__xludf.DUMMYFUNCTION("""COMPUTED_VALUE"""),7.973163E8)</f>
        <v>797316300</v>
      </c>
      <c r="D1057" s="84">
        <f>IFERROR(__xludf.DUMMYFUNCTION("""COMPUTED_VALUE"""),117011.70000000001)</f>
        <v>117011.7</v>
      </c>
      <c r="H1057" s="48"/>
      <c r="I1057" s="38"/>
      <c r="J1057" s="38"/>
      <c r="K1057" s="38"/>
      <c r="M1057" s="87"/>
      <c r="N1057" s="38"/>
      <c r="Q1057" s="38"/>
    </row>
    <row r="1058">
      <c r="A1058" s="46" t="str">
        <f>IFERROR(__xludf.DUMMYFUNCTION("""COMPUTED_VALUE"""),"Beverages")</f>
        <v>Beverages</v>
      </c>
      <c r="B1058" s="46" t="str">
        <f>IFERROR(__xludf.DUMMYFUNCTION("""COMPUTED_VALUE"""),"Switzerland")</f>
        <v>Switzerland</v>
      </c>
      <c r="C1058" s="46">
        <f>IFERROR(__xludf.DUMMYFUNCTION("""COMPUTED_VALUE"""),7.97461354E8)</f>
        <v>797461354</v>
      </c>
      <c r="D1058" s="84">
        <f>IFERROR(__xludf.DUMMYFUNCTION("""COMPUTED_VALUE"""),255802.95)</f>
        <v>255802.95</v>
      </c>
      <c r="H1058" s="48"/>
      <c r="I1058" s="38"/>
      <c r="J1058" s="38"/>
      <c r="K1058" s="38"/>
      <c r="M1058" s="87"/>
      <c r="N1058" s="38"/>
      <c r="Q1058" s="38"/>
    </row>
    <row r="1059">
      <c r="A1059" s="46" t="str">
        <f>IFERROR(__xludf.DUMMYFUNCTION("""COMPUTED_VALUE"""),"Cereal")</f>
        <v>Cereal</v>
      </c>
      <c r="B1059" s="46" t="str">
        <f>IFERROR(__xludf.DUMMYFUNCTION("""COMPUTED_VALUE"""),"France")</f>
        <v>France</v>
      </c>
      <c r="C1059" s="46">
        <f>IFERROR(__xludf.DUMMYFUNCTION("""COMPUTED_VALUE"""),7.97718417E8)</f>
        <v>797718417</v>
      </c>
      <c r="D1059" s="84">
        <f>IFERROR(__xludf.DUMMYFUNCTION("""COMPUTED_VALUE"""),300733.39999999997)</f>
        <v>300733.4</v>
      </c>
      <c r="H1059" s="48"/>
      <c r="I1059" s="38"/>
      <c r="J1059" s="38"/>
      <c r="K1059" s="38"/>
      <c r="M1059" s="87"/>
      <c r="N1059" s="38"/>
      <c r="Q1059" s="38"/>
    </row>
    <row r="1060">
      <c r="A1060" s="46" t="str">
        <f>IFERROR(__xludf.DUMMYFUNCTION("""COMPUTED_VALUE"""),"Office Supplies")</f>
        <v>Office Supplies</v>
      </c>
      <c r="B1060" s="46" t="str">
        <f>IFERROR(__xludf.DUMMYFUNCTION("""COMPUTED_VALUE"""),"Undefined")</f>
        <v>Undefined</v>
      </c>
      <c r="C1060" s="46">
        <f>IFERROR(__xludf.DUMMYFUNCTION("""COMPUTED_VALUE"""),7.97788369E8)</f>
        <v>797788369</v>
      </c>
      <c r="D1060" s="84">
        <f>IFERROR(__xludf.DUMMYFUNCTION("""COMPUTED_VALUE"""),1407916.02)</f>
        <v>1407916.02</v>
      </c>
      <c r="H1060" s="48"/>
      <c r="I1060" s="38"/>
      <c r="J1060" s="38"/>
      <c r="K1060" s="38"/>
      <c r="M1060" s="87"/>
      <c r="N1060" s="38"/>
      <c r="Q1060" s="38"/>
    </row>
    <row r="1061">
      <c r="A1061" s="46" t="str">
        <f>IFERROR(__xludf.DUMMYFUNCTION("""COMPUTED_VALUE"""),"Clothes")</f>
        <v>Clothes</v>
      </c>
      <c r="B1061" s="46" t="str">
        <f>IFERROR(__xludf.DUMMYFUNCTION("""COMPUTED_VALUE"""),"Macedonia")</f>
        <v>Macedonia</v>
      </c>
      <c r="C1061" s="46">
        <f>IFERROR(__xludf.DUMMYFUNCTION("""COMPUTED_VALUE"""),7.99109733E8)</f>
        <v>799109733</v>
      </c>
      <c r="D1061" s="84">
        <f>IFERROR(__xludf.DUMMYFUNCTION("""COMPUTED_VALUE"""),347838.24)</f>
        <v>347838.24</v>
      </c>
      <c r="H1061" s="48"/>
      <c r="I1061" s="38"/>
      <c r="J1061" s="38"/>
      <c r="K1061" s="38"/>
      <c r="M1061" s="87"/>
      <c r="N1061" s="38"/>
      <c r="Q1061" s="38"/>
    </row>
    <row r="1062">
      <c r="A1062" s="46" t="str">
        <f>IFERROR(__xludf.DUMMYFUNCTION("""COMPUTED_VALUE"""),"Household")</f>
        <v>Household</v>
      </c>
      <c r="B1062" s="46" t="str">
        <f>IFERROR(__xludf.DUMMYFUNCTION("""COMPUTED_VALUE"""),"Greece")</f>
        <v>Greece</v>
      </c>
      <c r="C1062" s="46">
        <f>IFERROR(__xludf.DUMMYFUNCTION("""COMPUTED_VALUE"""),7.99848306E8)</f>
        <v>799848306</v>
      </c>
      <c r="D1062" s="84">
        <f>IFERROR(__xludf.DUMMYFUNCTION("""COMPUTED_VALUE"""),1164794.6099999999)</f>
        <v>1164794.61</v>
      </c>
      <c r="H1062" s="48"/>
      <c r="I1062" s="38"/>
      <c r="J1062" s="38"/>
      <c r="K1062" s="38"/>
      <c r="M1062" s="87"/>
      <c r="N1062" s="38"/>
      <c r="Q1062" s="38"/>
    </row>
    <row r="1063">
      <c r="A1063" s="46" t="str">
        <f>IFERROR(__xludf.DUMMYFUNCTION("""COMPUTED_VALUE"""),"Personal Care")</f>
        <v>Personal Care</v>
      </c>
      <c r="B1063" s="46" t="str">
        <f>IFERROR(__xludf.DUMMYFUNCTION("""COMPUTED_VALUE"""),"Greece")</f>
        <v>Greece</v>
      </c>
      <c r="C1063" s="46">
        <f>IFERROR(__xludf.DUMMYFUNCTION("""COMPUTED_VALUE"""),8.00045716E8)</f>
        <v>800045716</v>
      </c>
      <c r="D1063" s="84">
        <f>IFERROR(__xludf.DUMMYFUNCTION("""COMPUTED_VALUE"""),13158.53)</f>
        <v>13158.53</v>
      </c>
      <c r="H1063" s="48"/>
      <c r="I1063" s="38"/>
      <c r="J1063" s="38"/>
      <c r="K1063" s="38"/>
      <c r="M1063" s="87"/>
      <c r="N1063" s="38"/>
      <c r="Q1063" s="38"/>
    </row>
    <row r="1064">
      <c r="A1064" s="46" t="str">
        <f>IFERROR(__xludf.DUMMYFUNCTION("""COMPUTED_VALUE"""),"Vegetables")</f>
        <v>Vegetables</v>
      </c>
      <c r="B1064" s="46" t="str">
        <f>IFERROR(__xludf.DUMMYFUNCTION("""COMPUTED_VALUE"""),"Finland")</f>
        <v>Finland</v>
      </c>
      <c r="C1064" s="46">
        <f>IFERROR(__xludf.DUMMYFUNCTION("""COMPUTED_VALUE"""),8.00352561E8)</f>
        <v>800352561</v>
      </c>
      <c r="D1064" s="84">
        <f>IFERROR(__xludf.DUMMYFUNCTION("""COMPUTED_VALUE"""),148359.78)</f>
        <v>148359.78</v>
      </c>
      <c r="H1064" s="48"/>
      <c r="I1064" s="38"/>
      <c r="J1064" s="38"/>
      <c r="K1064" s="38"/>
      <c r="M1064" s="87"/>
      <c r="N1064" s="38"/>
      <c r="Q1064" s="38"/>
    </row>
    <row r="1065">
      <c r="A1065" s="46" t="str">
        <f>IFERROR(__xludf.DUMMYFUNCTION("""COMPUTED_VALUE"""),"Cosmetics")</f>
        <v>Cosmetics</v>
      </c>
      <c r="B1065" s="46" t="str">
        <f>IFERROR(__xludf.DUMMYFUNCTION("""COMPUTED_VALUE"""),"United Kingdom")</f>
        <v>United Kingdom</v>
      </c>
      <c r="C1065" s="46">
        <f>IFERROR(__xludf.DUMMYFUNCTION("""COMPUTED_VALUE"""),8.01352488E8)</f>
        <v>801352488</v>
      </c>
      <c r="D1065" s="84">
        <f>IFERROR(__xludf.DUMMYFUNCTION("""COMPUTED_VALUE"""),3000940.8)</f>
        <v>3000940.8</v>
      </c>
      <c r="H1065" s="48"/>
      <c r="I1065" s="38"/>
      <c r="J1065" s="38"/>
      <c r="K1065" s="38"/>
      <c r="M1065" s="87"/>
      <c r="N1065" s="38"/>
      <c r="Q1065" s="38"/>
    </row>
    <row r="1066">
      <c r="A1066" s="46" t="str">
        <f>IFERROR(__xludf.DUMMYFUNCTION("""COMPUTED_VALUE"""),"Vegetables")</f>
        <v>Vegetables</v>
      </c>
      <c r="B1066" s="46" t="str">
        <f>IFERROR(__xludf.DUMMYFUNCTION("""COMPUTED_VALUE"""),"Liechtenstein")</f>
        <v>Liechtenstein</v>
      </c>
      <c r="C1066" s="46">
        <f>IFERROR(__xludf.DUMMYFUNCTION("""COMPUTED_VALUE"""),8.01925837E8)</f>
        <v>801925837</v>
      </c>
      <c r="D1066" s="84">
        <f>IFERROR(__xludf.DUMMYFUNCTION("""COMPUTED_VALUE"""),1006165.86)</f>
        <v>1006165.86</v>
      </c>
      <c r="H1066" s="48"/>
      <c r="I1066" s="38"/>
      <c r="J1066" s="38"/>
      <c r="K1066" s="38"/>
      <c r="M1066" s="87"/>
      <c r="N1066" s="38"/>
      <c r="Q1066" s="38"/>
    </row>
    <row r="1067">
      <c r="A1067" s="46" t="str">
        <f>IFERROR(__xludf.DUMMYFUNCTION("""COMPUTED_VALUE"""),"Vegetables")</f>
        <v>Vegetables</v>
      </c>
      <c r="B1067" s="46" t="str">
        <f>IFERROR(__xludf.DUMMYFUNCTION("""COMPUTED_VALUE"""),"Undefined")</f>
        <v>Undefined</v>
      </c>
      <c r="C1067" s="46">
        <f>IFERROR(__xludf.DUMMYFUNCTION("""COMPUTED_VALUE"""),8.05095136E8)</f>
        <v>805095136</v>
      </c>
      <c r="D1067" s="84">
        <f>IFERROR(__xludf.DUMMYFUNCTION("""COMPUTED_VALUE"""),677247.76)</f>
        <v>677247.76</v>
      </c>
      <c r="H1067" s="48"/>
      <c r="I1067" s="38"/>
      <c r="J1067" s="38"/>
      <c r="K1067" s="38"/>
      <c r="M1067" s="87"/>
      <c r="N1067" s="38"/>
      <c r="Q1067" s="38"/>
    </row>
    <row r="1068">
      <c r="A1068" s="46" t="str">
        <f>IFERROR(__xludf.DUMMYFUNCTION("""COMPUTED_VALUE"""),"Cosmetics")</f>
        <v>Cosmetics</v>
      </c>
      <c r="B1068" s="46" t="str">
        <f>IFERROR(__xludf.DUMMYFUNCTION("""COMPUTED_VALUE"""),"Denmark")</f>
        <v>Denmark</v>
      </c>
      <c r="C1068" s="46">
        <f>IFERROR(__xludf.DUMMYFUNCTION("""COMPUTED_VALUE"""),8.05974042E8)</f>
        <v>805974042</v>
      </c>
      <c r="D1068" s="84">
        <f>IFERROR(__xludf.DUMMYFUNCTION("""COMPUTED_VALUE"""),1960404.8)</f>
        <v>1960404.8</v>
      </c>
      <c r="H1068" s="48"/>
      <c r="I1068" s="38"/>
      <c r="J1068" s="38"/>
      <c r="K1068" s="38"/>
      <c r="M1068" s="87"/>
      <c r="N1068" s="38"/>
      <c r="Q1068" s="38"/>
    </row>
    <row r="1069">
      <c r="A1069" s="46" t="str">
        <f>IFERROR(__xludf.DUMMYFUNCTION("""COMPUTED_VALUE"""),"Baby Food")</f>
        <v>Baby Food</v>
      </c>
      <c r="B1069" s="46" t="str">
        <f>IFERROR(__xludf.DUMMYFUNCTION("""COMPUTED_VALUE"""),"Cyprus")</f>
        <v>Cyprus</v>
      </c>
      <c r="C1069" s="46">
        <f>IFERROR(__xludf.DUMMYFUNCTION("""COMPUTED_VALUE"""),8.06197631E8)</f>
        <v>806197631</v>
      </c>
      <c r="D1069" s="84">
        <f>IFERROR(__xludf.DUMMYFUNCTION("""COMPUTED_VALUE"""),165676.72)</f>
        <v>165676.72</v>
      </c>
      <c r="H1069" s="48"/>
      <c r="I1069" s="38"/>
      <c r="J1069" s="38"/>
      <c r="K1069" s="38"/>
      <c r="M1069" s="87"/>
      <c r="N1069" s="38"/>
      <c r="Q1069" s="38"/>
    </row>
    <row r="1070">
      <c r="A1070" s="46" t="str">
        <f>IFERROR(__xludf.DUMMYFUNCTION("""COMPUTED_VALUE"""),"Cereal")</f>
        <v>Cereal</v>
      </c>
      <c r="B1070" s="46" t="str">
        <f>IFERROR(__xludf.DUMMYFUNCTION("""COMPUTED_VALUE"""),"Spain")</f>
        <v>Spain</v>
      </c>
      <c r="C1070" s="46">
        <f>IFERROR(__xludf.DUMMYFUNCTION("""COMPUTED_VALUE"""),8.06662404E8)</f>
        <v>806662404</v>
      </c>
      <c r="D1070" s="84">
        <f>IFERROR(__xludf.DUMMYFUNCTION("""COMPUTED_VALUE"""),1683860.2)</f>
        <v>1683860.2</v>
      </c>
      <c r="H1070" s="48"/>
      <c r="I1070" s="38"/>
      <c r="J1070" s="38"/>
      <c r="K1070" s="38"/>
      <c r="M1070" s="87"/>
      <c r="N1070" s="38"/>
      <c r="Q1070" s="38"/>
    </row>
    <row r="1071">
      <c r="A1071" s="46" t="str">
        <f>IFERROR(__xludf.DUMMYFUNCTION("""COMPUTED_VALUE"""),"Vegetables")</f>
        <v>Vegetables</v>
      </c>
      <c r="B1071" s="46" t="str">
        <f>IFERROR(__xludf.DUMMYFUNCTION("""COMPUTED_VALUE"""),"Undefined")</f>
        <v>Undefined</v>
      </c>
      <c r="C1071" s="46">
        <f>IFERROR(__xludf.DUMMYFUNCTION("""COMPUTED_VALUE"""),8.10752236E8)</f>
        <v>810752236</v>
      </c>
      <c r="D1071" s="84">
        <f>IFERROR(__xludf.DUMMYFUNCTION("""COMPUTED_VALUE"""),1303039.48)</f>
        <v>1303039.48</v>
      </c>
      <c r="H1071" s="48"/>
      <c r="I1071" s="38"/>
      <c r="J1071" s="38"/>
      <c r="K1071" s="38"/>
      <c r="M1071" s="87"/>
      <c r="N1071" s="38"/>
      <c r="Q1071" s="38"/>
    </row>
    <row r="1072">
      <c r="A1072" s="46" t="str">
        <f>IFERROR(__xludf.DUMMYFUNCTION("""COMPUTED_VALUE"""),"Cosmetics")</f>
        <v>Cosmetics</v>
      </c>
      <c r="B1072" s="46" t="str">
        <f>IFERROR(__xludf.DUMMYFUNCTION("""COMPUTED_VALUE"""),"Switzerland")</f>
        <v>Switzerland</v>
      </c>
      <c r="C1072" s="46">
        <f>IFERROR(__xludf.DUMMYFUNCTION("""COMPUTED_VALUE"""),8.1197704E8)</f>
        <v>811977040</v>
      </c>
      <c r="D1072" s="84">
        <f>IFERROR(__xludf.DUMMYFUNCTION("""COMPUTED_VALUE"""),395666.0)</f>
        <v>395666</v>
      </c>
      <c r="H1072" s="48"/>
      <c r="I1072" s="38"/>
      <c r="J1072" s="38"/>
      <c r="K1072" s="38"/>
      <c r="M1072" s="87"/>
      <c r="N1072" s="38"/>
      <c r="Q1072" s="38"/>
    </row>
    <row r="1073">
      <c r="A1073" s="46" t="str">
        <f>IFERROR(__xludf.DUMMYFUNCTION("""COMPUTED_VALUE"""),"Cereal")</f>
        <v>Cereal</v>
      </c>
      <c r="B1073" s="46" t="str">
        <f>IFERROR(__xludf.DUMMYFUNCTION("""COMPUTED_VALUE"""),"Romania")</f>
        <v>Romania</v>
      </c>
      <c r="C1073" s="46">
        <f>IFERROR(__xludf.DUMMYFUNCTION("""COMPUTED_VALUE"""),8.12632358E8)</f>
        <v>812632358</v>
      </c>
      <c r="D1073" s="84">
        <f>IFERROR(__xludf.DUMMYFUNCTION("""COMPUTED_VALUE"""),993119.6)</f>
        <v>993119.6</v>
      </c>
      <c r="H1073" s="48"/>
      <c r="I1073" s="38"/>
      <c r="J1073" s="38"/>
      <c r="K1073" s="38"/>
      <c r="M1073" s="87"/>
      <c r="N1073" s="38"/>
      <c r="Q1073" s="38"/>
    </row>
    <row r="1074">
      <c r="A1074" s="46" t="str">
        <f>IFERROR(__xludf.DUMMYFUNCTION("""COMPUTED_VALUE"""),"Fruits")</f>
        <v>Fruits</v>
      </c>
      <c r="B1074" s="46" t="str">
        <f>IFERROR(__xludf.DUMMYFUNCTION("""COMPUTED_VALUE"""),"Slovenia")</f>
        <v>Slovenia</v>
      </c>
      <c r="C1074" s="46">
        <f>IFERROR(__xludf.DUMMYFUNCTION("""COMPUTED_VALUE"""),8.12637078E8)</f>
        <v>812637078</v>
      </c>
      <c r="D1074" s="84">
        <f>IFERROR(__xludf.DUMMYFUNCTION("""COMPUTED_VALUE"""),58079.25)</f>
        <v>58079.25</v>
      </c>
      <c r="H1074" s="48"/>
      <c r="I1074" s="38"/>
      <c r="J1074" s="38"/>
      <c r="K1074" s="38"/>
      <c r="M1074" s="87"/>
      <c r="N1074" s="38"/>
      <c r="Q1074" s="38"/>
    </row>
    <row r="1075">
      <c r="A1075" s="46" t="str">
        <f>IFERROR(__xludf.DUMMYFUNCTION("""COMPUTED_VALUE"""),"Cosmetics")</f>
        <v>Cosmetics</v>
      </c>
      <c r="B1075" s="46" t="str">
        <f>IFERROR(__xludf.DUMMYFUNCTION("""COMPUTED_VALUE"""),"Undefined")</f>
        <v>Undefined</v>
      </c>
      <c r="C1075" s="46">
        <f>IFERROR(__xludf.DUMMYFUNCTION("""COMPUTED_VALUE"""),8.13973891E8)</f>
        <v>813973891</v>
      </c>
      <c r="D1075" s="84">
        <f>IFERROR(__xludf.DUMMYFUNCTION("""COMPUTED_VALUE"""),794829.6)</f>
        <v>794829.6</v>
      </c>
      <c r="H1075" s="48"/>
      <c r="I1075" s="38"/>
      <c r="J1075" s="38"/>
      <c r="K1075" s="38"/>
      <c r="M1075" s="87"/>
      <c r="N1075" s="38"/>
      <c r="Q1075" s="38"/>
    </row>
    <row r="1076">
      <c r="A1076" s="46" t="str">
        <f>IFERROR(__xludf.DUMMYFUNCTION("""COMPUTED_VALUE"""),"Meat")</f>
        <v>Meat</v>
      </c>
      <c r="B1076" s="46" t="str">
        <f>IFERROR(__xludf.DUMMYFUNCTION("""COMPUTED_VALUE"""),"Undefined")</f>
        <v>Undefined</v>
      </c>
      <c r="C1076" s="46">
        <f>IFERROR(__xludf.DUMMYFUNCTION("""COMPUTED_VALUE"""),8.15755307E8)</f>
        <v>815755307</v>
      </c>
      <c r="D1076" s="84">
        <f>IFERROR(__xludf.DUMMYFUNCTION("""COMPUTED_VALUE"""),3787728.42)</f>
        <v>3787728.42</v>
      </c>
      <c r="H1076" s="48"/>
      <c r="I1076" s="38"/>
      <c r="J1076" s="38"/>
      <c r="K1076" s="38"/>
      <c r="M1076" s="87"/>
      <c r="N1076" s="38"/>
      <c r="Q1076" s="38"/>
    </row>
    <row r="1077">
      <c r="A1077" s="46" t="str">
        <f>IFERROR(__xludf.DUMMYFUNCTION("""COMPUTED_VALUE"""),"Cosmetics")</f>
        <v>Cosmetics</v>
      </c>
      <c r="B1077" s="46" t="str">
        <f>IFERROR(__xludf.DUMMYFUNCTION("""COMPUTED_VALUE"""),"Ireland")</f>
        <v>Ireland</v>
      </c>
      <c r="C1077" s="46">
        <f>IFERROR(__xludf.DUMMYFUNCTION("""COMPUTED_VALUE"""),8.15917098E8)</f>
        <v>815917098</v>
      </c>
      <c r="D1077" s="84">
        <f>IFERROR(__xludf.DUMMYFUNCTION("""COMPUTED_VALUE"""),2997443.1999999997)</f>
        <v>2997443.2</v>
      </c>
      <c r="H1077" s="48"/>
      <c r="I1077" s="38"/>
      <c r="J1077" s="38"/>
      <c r="K1077" s="38"/>
      <c r="M1077" s="87"/>
      <c r="N1077" s="38"/>
      <c r="Q1077" s="38"/>
    </row>
    <row r="1078">
      <c r="A1078" s="46" t="str">
        <f>IFERROR(__xludf.DUMMYFUNCTION("""COMPUTED_VALUE"""),"Fruits")</f>
        <v>Fruits</v>
      </c>
      <c r="B1078" s="46" t="str">
        <f>IFERROR(__xludf.DUMMYFUNCTION("""COMPUTED_VALUE"""),"Spain")</f>
        <v>Spain</v>
      </c>
      <c r="C1078" s="46">
        <f>IFERROR(__xludf.DUMMYFUNCTION("""COMPUTED_VALUE"""),8.17006289E8)</f>
        <v>817006289</v>
      </c>
      <c r="D1078" s="84">
        <f>IFERROR(__xludf.DUMMYFUNCTION("""COMPUTED_VALUE"""),85574.76)</f>
        <v>85574.76</v>
      </c>
      <c r="H1078" s="48"/>
      <c r="I1078" s="38"/>
      <c r="J1078" s="38"/>
      <c r="K1078" s="38"/>
      <c r="M1078" s="87"/>
      <c r="N1078" s="38"/>
      <c r="Q1078" s="38"/>
    </row>
    <row r="1079">
      <c r="A1079" s="46" t="str">
        <f>IFERROR(__xludf.DUMMYFUNCTION("""COMPUTED_VALUE"""),"Vegetables")</f>
        <v>Vegetables</v>
      </c>
      <c r="B1079" s="46" t="str">
        <f>IFERROR(__xludf.DUMMYFUNCTION("""COMPUTED_VALUE"""),"Bulgaria")</f>
        <v>Bulgaria</v>
      </c>
      <c r="C1079" s="46">
        <f>IFERROR(__xludf.DUMMYFUNCTION("""COMPUTED_VALUE"""),8.17061221E8)</f>
        <v>817061221</v>
      </c>
      <c r="D1079" s="84">
        <f>IFERROR(__xludf.DUMMYFUNCTION("""COMPUTED_VALUE"""),836083.62)</f>
        <v>836083.62</v>
      </c>
      <c r="H1079" s="48"/>
      <c r="I1079" s="38"/>
      <c r="J1079" s="38"/>
      <c r="K1079" s="38"/>
      <c r="M1079" s="87"/>
      <c r="N1079" s="38"/>
      <c r="Q1079" s="38"/>
    </row>
    <row r="1080">
      <c r="A1080" s="46" t="str">
        <f>IFERROR(__xludf.DUMMYFUNCTION("""COMPUTED_VALUE"""),"Vegetables")</f>
        <v>Vegetables</v>
      </c>
      <c r="B1080" s="46" t="str">
        <f>IFERROR(__xludf.DUMMYFUNCTION("""COMPUTED_VALUE"""),"Undefined")</f>
        <v>Undefined</v>
      </c>
      <c r="C1080" s="46">
        <f>IFERROR(__xludf.DUMMYFUNCTION("""COMPUTED_VALUE"""),8.18976962E8)</f>
        <v>818976962</v>
      </c>
      <c r="D1080" s="84">
        <f>IFERROR(__xludf.DUMMYFUNCTION("""COMPUTED_VALUE"""),360038.22000000003)</f>
        <v>360038.22</v>
      </c>
      <c r="H1080" s="48"/>
      <c r="I1080" s="38"/>
      <c r="J1080" s="38"/>
      <c r="K1080" s="38"/>
      <c r="M1080" s="87"/>
      <c r="N1080" s="38"/>
      <c r="Q1080" s="38"/>
    </row>
    <row r="1081">
      <c r="A1081" s="46" t="str">
        <f>IFERROR(__xludf.DUMMYFUNCTION("""COMPUTED_VALUE"""),"Vegetables")</f>
        <v>Vegetables</v>
      </c>
      <c r="B1081" s="46" t="str">
        <f>IFERROR(__xludf.DUMMYFUNCTION("""COMPUTED_VALUE"""),"Switzerland")</f>
        <v>Switzerland</v>
      </c>
      <c r="C1081" s="46">
        <f>IFERROR(__xludf.DUMMYFUNCTION("""COMPUTED_VALUE"""),8.19037473E8)</f>
        <v>819037473</v>
      </c>
      <c r="D1081" s="84">
        <f>IFERROR(__xludf.DUMMYFUNCTION("""COMPUTED_VALUE"""),37590.64)</f>
        <v>37590.64</v>
      </c>
      <c r="H1081" s="48"/>
      <c r="I1081" s="38"/>
      <c r="J1081" s="38"/>
      <c r="K1081" s="38"/>
      <c r="M1081" s="87"/>
      <c r="N1081" s="38"/>
      <c r="Q1081" s="38"/>
    </row>
    <row r="1082">
      <c r="A1082" s="46" t="str">
        <f>IFERROR(__xludf.DUMMYFUNCTION("""COMPUTED_VALUE"""),"Office Supplies")</f>
        <v>Office Supplies</v>
      </c>
      <c r="B1082" s="46" t="str">
        <f>IFERROR(__xludf.DUMMYFUNCTION("""COMPUTED_VALUE"""),"Montenegro")</f>
        <v>Montenegro</v>
      </c>
      <c r="C1082" s="46">
        <f>IFERROR(__xludf.DUMMYFUNCTION("""COMPUTED_VALUE"""),8.19152915E8)</f>
        <v>819152915</v>
      </c>
      <c r="D1082" s="84">
        <f>IFERROR(__xludf.DUMMYFUNCTION("""COMPUTED_VALUE"""),2869231.2600000002)</f>
        <v>2869231.26</v>
      </c>
      <c r="H1082" s="48"/>
      <c r="I1082" s="38"/>
      <c r="J1082" s="38"/>
      <c r="K1082" s="38"/>
      <c r="M1082" s="87"/>
      <c r="N1082" s="38"/>
      <c r="Q1082" s="38"/>
    </row>
    <row r="1083">
      <c r="A1083" s="46" t="str">
        <f>IFERROR(__xludf.DUMMYFUNCTION("""COMPUTED_VALUE"""),"Cosmetics")</f>
        <v>Cosmetics</v>
      </c>
      <c r="B1083" s="46" t="str">
        <f>IFERROR(__xludf.DUMMYFUNCTION("""COMPUTED_VALUE"""),"Malta")</f>
        <v>Malta</v>
      </c>
      <c r="C1083" s="46">
        <f>IFERROR(__xludf.DUMMYFUNCTION("""COMPUTED_VALUE"""),8.19516837E8)</f>
        <v>819516837</v>
      </c>
      <c r="D1083" s="84">
        <f>IFERROR(__xludf.DUMMYFUNCTION("""COMPUTED_VALUE"""),917245.6)</f>
        <v>917245.6</v>
      </c>
      <c r="H1083" s="48"/>
      <c r="I1083" s="38"/>
      <c r="J1083" s="38"/>
      <c r="K1083" s="38"/>
      <c r="M1083" s="87"/>
      <c r="N1083" s="38"/>
      <c r="Q1083" s="38"/>
    </row>
    <row r="1084">
      <c r="A1084" s="46" t="str">
        <f>IFERROR(__xludf.DUMMYFUNCTION("""COMPUTED_VALUE"""),"Snacks")</f>
        <v>Snacks</v>
      </c>
      <c r="B1084" s="46" t="str">
        <f>IFERROR(__xludf.DUMMYFUNCTION("""COMPUTED_VALUE"""),"Undefined")</f>
        <v>Undefined</v>
      </c>
      <c r="C1084" s="46">
        <f>IFERROR(__xludf.DUMMYFUNCTION("""COMPUTED_VALUE"""),8.20195758E8)</f>
        <v>820195758</v>
      </c>
      <c r="D1084" s="84">
        <f>IFERROR(__xludf.DUMMYFUNCTION("""COMPUTED_VALUE"""),458655.48000000004)</f>
        <v>458655.48</v>
      </c>
      <c r="H1084" s="48"/>
      <c r="I1084" s="38"/>
      <c r="J1084" s="38"/>
      <c r="K1084" s="38"/>
      <c r="M1084" s="87"/>
      <c r="N1084" s="38"/>
      <c r="Q1084" s="38"/>
    </row>
    <row r="1085">
      <c r="A1085" s="46" t="str">
        <f>IFERROR(__xludf.DUMMYFUNCTION("""COMPUTED_VALUE"""),"Meat")</f>
        <v>Meat</v>
      </c>
      <c r="B1085" s="46" t="str">
        <f>IFERROR(__xludf.DUMMYFUNCTION("""COMPUTED_VALUE"""),"Germany")</f>
        <v>Germany</v>
      </c>
      <c r="C1085" s="46">
        <f>IFERROR(__xludf.DUMMYFUNCTION("""COMPUTED_VALUE"""),8.20437371E8)</f>
        <v>820437371</v>
      </c>
      <c r="D1085" s="84">
        <f>IFERROR(__xludf.DUMMYFUNCTION("""COMPUTED_VALUE"""),1900614.45)</f>
        <v>1900614.45</v>
      </c>
      <c r="H1085" s="48"/>
      <c r="I1085" s="38"/>
      <c r="J1085" s="38"/>
      <c r="K1085" s="38"/>
      <c r="M1085" s="87"/>
      <c r="N1085" s="38"/>
      <c r="Q1085" s="38"/>
    </row>
    <row r="1086">
      <c r="A1086" s="46" t="str">
        <f>IFERROR(__xludf.DUMMYFUNCTION("""COMPUTED_VALUE"""),"Household")</f>
        <v>Household</v>
      </c>
      <c r="B1086" s="46" t="str">
        <f>IFERROR(__xludf.DUMMYFUNCTION("""COMPUTED_VALUE"""),"San Marino")</f>
        <v>San Marino</v>
      </c>
      <c r="C1086" s="46">
        <f>IFERROR(__xludf.DUMMYFUNCTION("""COMPUTED_VALUE"""),8.21131742E8)</f>
        <v>821131742</v>
      </c>
      <c r="D1086" s="84">
        <f>IFERROR(__xludf.DUMMYFUNCTION("""COMPUTED_VALUE"""),6672675.95)</f>
        <v>6672675.95</v>
      </c>
      <c r="H1086" s="48"/>
      <c r="I1086" s="38"/>
      <c r="J1086" s="38"/>
      <c r="K1086" s="38"/>
      <c r="M1086" s="87"/>
      <c r="N1086" s="38"/>
      <c r="Q1086" s="38"/>
    </row>
    <row r="1087">
      <c r="A1087" s="46" t="str">
        <f>IFERROR(__xludf.DUMMYFUNCTION("""COMPUTED_VALUE"""),"Cosmetics")</f>
        <v>Cosmetics</v>
      </c>
      <c r="B1087" s="46" t="str">
        <f>IFERROR(__xludf.DUMMYFUNCTION("""COMPUTED_VALUE"""),"Norway")</f>
        <v>Norway</v>
      </c>
      <c r="C1087" s="46">
        <f>IFERROR(__xludf.DUMMYFUNCTION("""COMPUTED_VALUE"""),8.21916663E8)</f>
        <v>821916663</v>
      </c>
      <c r="D1087" s="84">
        <f>IFERROR(__xludf.DUMMYFUNCTION("""COMPUTED_VALUE"""),988072.0)</f>
        <v>988072</v>
      </c>
      <c r="H1087" s="48"/>
      <c r="I1087" s="38"/>
      <c r="J1087" s="38"/>
      <c r="K1087" s="38"/>
      <c r="M1087" s="87"/>
      <c r="N1087" s="38"/>
      <c r="Q1087" s="38"/>
    </row>
    <row r="1088">
      <c r="A1088" s="46" t="str">
        <f>IFERROR(__xludf.DUMMYFUNCTION("""COMPUTED_VALUE"""),"Office Supplies")</f>
        <v>Office Supplies</v>
      </c>
      <c r="B1088" s="46" t="str">
        <f>IFERROR(__xludf.DUMMYFUNCTION("""COMPUTED_VALUE"""),"Macedonia")</f>
        <v>Macedonia</v>
      </c>
      <c r="C1088" s="46">
        <f>IFERROR(__xludf.DUMMYFUNCTION("""COMPUTED_VALUE"""),8.23236739E8)</f>
        <v>823236739</v>
      </c>
      <c r="D1088" s="84">
        <f>IFERROR(__xludf.DUMMYFUNCTION("""COMPUTED_VALUE"""),1888509.0)</f>
        <v>1888509</v>
      </c>
      <c r="H1088" s="48"/>
      <c r="I1088" s="38"/>
      <c r="J1088" s="38"/>
      <c r="K1088" s="38"/>
      <c r="M1088" s="87"/>
      <c r="N1088" s="38"/>
      <c r="Q1088" s="38"/>
    </row>
    <row r="1089">
      <c r="A1089" s="46" t="str">
        <f>IFERROR(__xludf.DUMMYFUNCTION("""COMPUTED_VALUE"""),"Clothes")</f>
        <v>Clothes</v>
      </c>
      <c r="B1089" s="46" t="str">
        <f>IFERROR(__xludf.DUMMYFUNCTION("""COMPUTED_VALUE"""),"Ukraine")</f>
        <v>Ukraine</v>
      </c>
      <c r="C1089" s="46">
        <f>IFERROR(__xludf.DUMMYFUNCTION("""COMPUTED_VALUE"""),8.23505389E8)</f>
        <v>823505389</v>
      </c>
      <c r="D1089" s="84">
        <f>IFERROR(__xludf.DUMMYFUNCTION("""COMPUTED_VALUE"""),262272.0)</f>
        <v>262272</v>
      </c>
      <c r="H1089" s="48"/>
      <c r="I1089" s="38"/>
      <c r="J1089" s="38"/>
      <c r="K1089" s="38"/>
      <c r="M1089" s="87"/>
      <c r="N1089" s="38"/>
      <c r="Q1089" s="38"/>
    </row>
    <row r="1090">
      <c r="A1090" s="46" t="str">
        <f>IFERROR(__xludf.DUMMYFUNCTION("""COMPUTED_VALUE"""),"Meat")</f>
        <v>Meat</v>
      </c>
      <c r="B1090" s="46" t="str">
        <f>IFERROR(__xludf.DUMMYFUNCTION("""COMPUTED_VALUE"""),"Latvia")</f>
        <v>Latvia</v>
      </c>
      <c r="C1090" s="46">
        <f>IFERROR(__xludf.DUMMYFUNCTION("""COMPUTED_VALUE"""),8.25065791E8)</f>
        <v>825065791</v>
      </c>
      <c r="D1090" s="84">
        <f>IFERROR(__xludf.DUMMYFUNCTION("""COMPUTED_VALUE"""),1753796.73)</f>
        <v>1753796.73</v>
      </c>
      <c r="H1090" s="48"/>
      <c r="I1090" s="38"/>
      <c r="J1090" s="38"/>
      <c r="K1090" s="38"/>
      <c r="M1090" s="87"/>
      <c r="N1090" s="38"/>
      <c r="Q1090" s="38"/>
    </row>
    <row r="1091">
      <c r="A1091" s="46" t="str">
        <f>IFERROR(__xludf.DUMMYFUNCTION("""COMPUTED_VALUE"""),"Beverages")</f>
        <v>Beverages</v>
      </c>
      <c r="B1091" s="46" t="str">
        <f>IFERROR(__xludf.DUMMYFUNCTION("""COMPUTED_VALUE"""),"Estonia")</f>
        <v>Estonia</v>
      </c>
      <c r="C1091" s="46">
        <f>IFERROR(__xludf.DUMMYFUNCTION("""COMPUTED_VALUE"""),8.26677262E8)</f>
        <v>826677262</v>
      </c>
      <c r="D1091" s="84">
        <f>IFERROR(__xludf.DUMMYFUNCTION("""COMPUTED_VALUE"""),48731.15)</f>
        <v>48731.15</v>
      </c>
      <c r="H1091" s="48"/>
      <c r="I1091" s="38"/>
      <c r="J1091" s="38"/>
      <c r="K1091" s="38"/>
      <c r="M1091" s="87"/>
      <c r="N1091" s="38"/>
      <c r="Q1091" s="38"/>
    </row>
    <row r="1092">
      <c r="A1092" s="46" t="str">
        <f>IFERROR(__xludf.DUMMYFUNCTION("""COMPUTED_VALUE"""),"Baby Food")</f>
        <v>Baby Food</v>
      </c>
      <c r="B1092" s="46" t="str">
        <f>IFERROR(__xludf.DUMMYFUNCTION("""COMPUTED_VALUE"""),"Iceland")</f>
        <v>Iceland</v>
      </c>
      <c r="C1092" s="46">
        <f>IFERROR(__xludf.DUMMYFUNCTION("""COMPUTED_VALUE"""),8.26936471E8)</f>
        <v>826936471</v>
      </c>
      <c r="D1092" s="84">
        <f>IFERROR(__xludf.DUMMYFUNCTION("""COMPUTED_VALUE"""),1974080.24)</f>
        <v>1974080.24</v>
      </c>
      <c r="H1092" s="48"/>
      <c r="I1092" s="38"/>
      <c r="J1092" s="38"/>
      <c r="K1092" s="38"/>
      <c r="M1092" s="87"/>
      <c r="N1092" s="38"/>
      <c r="Q1092" s="38"/>
    </row>
    <row r="1093">
      <c r="A1093" s="46" t="str">
        <f>IFERROR(__xludf.DUMMYFUNCTION("""COMPUTED_VALUE"""),"Cosmetics")</f>
        <v>Cosmetics</v>
      </c>
      <c r="B1093" s="46" t="str">
        <f>IFERROR(__xludf.DUMMYFUNCTION("""COMPUTED_VALUE"""),"Bulgaria")</f>
        <v>Bulgaria</v>
      </c>
      <c r="C1093" s="46">
        <f>IFERROR(__xludf.DUMMYFUNCTION("""COMPUTED_VALUE"""),8.26968657E8)</f>
        <v>826968657</v>
      </c>
      <c r="D1093" s="84">
        <f>IFERROR(__xludf.DUMMYFUNCTION("""COMPUTED_VALUE"""),3173197.6)</f>
        <v>3173197.6</v>
      </c>
      <c r="H1093" s="48"/>
      <c r="I1093" s="38"/>
      <c r="J1093" s="38"/>
      <c r="K1093" s="38"/>
      <c r="M1093" s="87"/>
      <c r="N1093" s="38"/>
      <c r="Q1093" s="38"/>
    </row>
    <row r="1094">
      <c r="A1094" s="46" t="str">
        <f>IFERROR(__xludf.DUMMYFUNCTION("""COMPUTED_VALUE"""),"Baby Food")</f>
        <v>Baby Food</v>
      </c>
      <c r="B1094" s="46" t="str">
        <f>IFERROR(__xludf.DUMMYFUNCTION("""COMPUTED_VALUE"""),"Iceland")</f>
        <v>Iceland</v>
      </c>
      <c r="C1094" s="46">
        <f>IFERROR(__xludf.DUMMYFUNCTION("""COMPUTED_VALUE"""),8.28993833E8)</f>
        <v>828993833</v>
      </c>
      <c r="D1094" s="84">
        <f>IFERROR(__xludf.DUMMYFUNCTION("""COMPUTED_VALUE"""),1672594.56)</f>
        <v>1672594.56</v>
      </c>
      <c r="H1094" s="48"/>
      <c r="I1094" s="38"/>
      <c r="J1094" s="38"/>
      <c r="K1094" s="38"/>
      <c r="M1094" s="87"/>
      <c r="N1094" s="38"/>
      <c r="Q1094" s="38"/>
    </row>
    <row r="1095">
      <c r="A1095" s="46" t="str">
        <f>IFERROR(__xludf.DUMMYFUNCTION("""COMPUTED_VALUE"""),"Household")</f>
        <v>Household</v>
      </c>
      <c r="B1095" s="46" t="str">
        <f>IFERROR(__xludf.DUMMYFUNCTION("""COMPUTED_VALUE"""),"Montenegro")</f>
        <v>Montenegro</v>
      </c>
      <c r="C1095" s="46">
        <f>IFERROR(__xludf.DUMMYFUNCTION("""COMPUTED_VALUE"""),8.29356467E8)</f>
        <v>829356467</v>
      </c>
      <c r="D1095" s="84">
        <f>IFERROR(__xludf.DUMMYFUNCTION("""COMPUTED_VALUE"""),2582195.28)</f>
        <v>2582195.28</v>
      </c>
      <c r="H1095" s="48"/>
      <c r="I1095" s="38"/>
      <c r="J1095" s="38"/>
      <c r="K1095" s="38"/>
      <c r="M1095" s="87"/>
      <c r="N1095" s="38"/>
      <c r="Q1095" s="38"/>
    </row>
    <row r="1096">
      <c r="A1096" s="46" t="str">
        <f>IFERROR(__xludf.DUMMYFUNCTION("""COMPUTED_VALUE"""),"Cosmetics")</f>
        <v>Cosmetics</v>
      </c>
      <c r="B1096" s="46" t="str">
        <f>IFERROR(__xludf.DUMMYFUNCTION("""COMPUTED_VALUE"""),"Undefined")</f>
        <v>Undefined</v>
      </c>
      <c r="C1096" s="46">
        <f>IFERROR(__xludf.DUMMYFUNCTION("""COMPUTED_VALUE"""),8.30172288E8)</f>
        <v>830172288</v>
      </c>
      <c r="D1096" s="84">
        <f>IFERROR(__xludf.DUMMYFUNCTION("""COMPUTED_VALUE"""),2309727.6)</f>
        <v>2309727.6</v>
      </c>
      <c r="H1096" s="48"/>
      <c r="I1096" s="38"/>
      <c r="J1096" s="38"/>
      <c r="K1096" s="38"/>
      <c r="M1096" s="87"/>
      <c r="N1096" s="38"/>
      <c r="Q1096" s="38"/>
    </row>
    <row r="1097">
      <c r="A1097" s="46" t="str">
        <f>IFERROR(__xludf.DUMMYFUNCTION("""COMPUTED_VALUE"""),"Fruits")</f>
        <v>Fruits</v>
      </c>
      <c r="B1097" s="46" t="str">
        <f>IFERROR(__xludf.DUMMYFUNCTION("""COMPUTED_VALUE"""),"Malta")</f>
        <v>Malta</v>
      </c>
      <c r="C1097" s="46">
        <f>IFERROR(__xludf.DUMMYFUNCTION("""COMPUTED_VALUE"""),8.31143891E8)</f>
        <v>831143891</v>
      </c>
      <c r="D1097" s="84">
        <f>IFERROR(__xludf.DUMMYFUNCTION("""COMPUTED_VALUE"""),26142.66)</f>
        <v>26142.66</v>
      </c>
      <c r="H1097" s="48"/>
      <c r="I1097" s="38"/>
      <c r="J1097" s="38"/>
      <c r="K1097" s="38"/>
      <c r="M1097" s="87"/>
      <c r="N1097" s="38"/>
      <c r="Q1097" s="38"/>
    </row>
    <row r="1098">
      <c r="A1098" s="46" t="str">
        <f>IFERROR(__xludf.DUMMYFUNCTION("""COMPUTED_VALUE"""),"Cosmetics")</f>
        <v>Cosmetics</v>
      </c>
      <c r="B1098" s="46" t="str">
        <f>IFERROR(__xludf.DUMMYFUNCTION("""COMPUTED_VALUE"""),"Spain")</f>
        <v>Spain</v>
      </c>
      <c r="C1098" s="46">
        <f>IFERROR(__xludf.DUMMYFUNCTION("""COMPUTED_VALUE"""),8.3205713E8)</f>
        <v>832057130</v>
      </c>
      <c r="D1098" s="84">
        <f>IFERROR(__xludf.DUMMYFUNCTION("""COMPUTED_VALUE"""),1333460.0)</f>
        <v>1333460</v>
      </c>
      <c r="H1098" s="48"/>
      <c r="I1098" s="38"/>
      <c r="J1098" s="38"/>
      <c r="K1098" s="38"/>
      <c r="M1098" s="87"/>
      <c r="N1098" s="38"/>
      <c r="Q1098" s="38"/>
    </row>
    <row r="1099">
      <c r="A1099" s="46" t="str">
        <f>IFERROR(__xludf.DUMMYFUNCTION("""COMPUTED_VALUE"""),"Beverages")</f>
        <v>Beverages</v>
      </c>
      <c r="B1099" s="46" t="str">
        <f>IFERROR(__xludf.DUMMYFUNCTION("""COMPUTED_VALUE"""),"Albania")</f>
        <v>Albania</v>
      </c>
      <c r="C1099" s="46">
        <f>IFERROR(__xludf.DUMMYFUNCTION("""COMPUTED_VALUE"""),8.33473765E8)</f>
        <v>833473765</v>
      </c>
      <c r="D1099" s="84">
        <f>IFERROR(__xludf.DUMMYFUNCTION("""COMPUTED_VALUE"""),107426.8)</f>
        <v>107426.8</v>
      </c>
      <c r="H1099" s="48"/>
      <c r="I1099" s="38"/>
      <c r="J1099" s="38"/>
      <c r="K1099" s="38"/>
      <c r="M1099" s="87"/>
      <c r="N1099" s="38"/>
      <c r="Q1099" s="38"/>
    </row>
    <row r="1100">
      <c r="A1100" s="46" t="str">
        <f>IFERROR(__xludf.DUMMYFUNCTION("""COMPUTED_VALUE"""),"Cereal")</f>
        <v>Cereal</v>
      </c>
      <c r="B1100" s="46" t="str">
        <f>IFERROR(__xludf.DUMMYFUNCTION("""COMPUTED_VALUE"""),"Cyprus")</f>
        <v>Cyprus</v>
      </c>
      <c r="C1100" s="46">
        <f>IFERROR(__xludf.DUMMYFUNCTION("""COMPUTED_VALUE"""),8.33706796E8)</f>
        <v>833706796</v>
      </c>
      <c r="D1100" s="84">
        <f>IFERROR(__xludf.DUMMYFUNCTION("""COMPUTED_VALUE"""),251571.09999999998)</f>
        <v>251571.1</v>
      </c>
      <c r="H1100" s="48"/>
      <c r="I1100" s="38"/>
      <c r="J1100" s="38"/>
      <c r="K1100" s="38"/>
      <c r="M1100" s="87"/>
      <c r="N1100" s="38"/>
      <c r="Q1100" s="38"/>
    </row>
    <row r="1101">
      <c r="A1101" s="46" t="str">
        <f>IFERROR(__xludf.DUMMYFUNCTION("""COMPUTED_VALUE"""),"Household")</f>
        <v>Household</v>
      </c>
      <c r="B1101" s="46" t="str">
        <f>IFERROR(__xludf.DUMMYFUNCTION("""COMPUTED_VALUE"""),"Andorra")</f>
        <v>Andorra</v>
      </c>
      <c r="C1101" s="46">
        <f>IFERROR(__xludf.DUMMYFUNCTION("""COMPUTED_VALUE"""),8.34065997E8)</f>
        <v>834065997</v>
      </c>
      <c r="D1101" s="84">
        <f>IFERROR(__xludf.DUMMYFUNCTION("""COMPUTED_VALUE"""),5024053.859999999)</f>
        <v>5024053.86</v>
      </c>
      <c r="H1101" s="48"/>
      <c r="I1101" s="38"/>
      <c r="J1101" s="38"/>
      <c r="K1101" s="38"/>
      <c r="M1101" s="87"/>
      <c r="N1101" s="38"/>
      <c r="Q1101" s="38"/>
    </row>
    <row r="1102">
      <c r="A1102" s="46" t="str">
        <f>IFERROR(__xludf.DUMMYFUNCTION("""COMPUTED_VALUE"""),"Personal Care")</f>
        <v>Personal Care</v>
      </c>
      <c r="B1102" s="46" t="str">
        <f>IFERROR(__xludf.DUMMYFUNCTION("""COMPUTED_VALUE"""),"Germany")</f>
        <v>Germany</v>
      </c>
      <c r="C1102" s="46">
        <f>IFERROR(__xludf.DUMMYFUNCTION("""COMPUTED_VALUE"""),8.3509339E8)</f>
        <v>835093390</v>
      </c>
      <c r="D1102" s="84">
        <f>IFERROR(__xludf.DUMMYFUNCTION("""COMPUTED_VALUE"""),126436.31000000001)</f>
        <v>126436.31</v>
      </c>
      <c r="H1102" s="48"/>
      <c r="I1102" s="38"/>
      <c r="J1102" s="38"/>
      <c r="K1102" s="38"/>
      <c r="M1102" s="87"/>
      <c r="N1102" s="38"/>
      <c r="Q1102" s="38"/>
    </row>
    <row r="1103">
      <c r="A1103" s="46" t="str">
        <f>IFERROR(__xludf.DUMMYFUNCTION("""COMPUTED_VALUE"""),"Household")</f>
        <v>Household</v>
      </c>
      <c r="B1103" s="46" t="str">
        <f>IFERROR(__xludf.DUMMYFUNCTION("""COMPUTED_VALUE"""),"Austria")</f>
        <v>Austria</v>
      </c>
      <c r="C1103" s="46">
        <f>IFERROR(__xludf.DUMMYFUNCTION("""COMPUTED_VALUE"""),8.3526591E8)</f>
        <v>835265910</v>
      </c>
      <c r="D1103" s="84">
        <f>IFERROR(__xludf.DUMMYFUNCTION("""COMPUTED_VALUE"""),1736833.73)</f>
        <v>1736833.73</v>
      </c>
      <c r="H1103" s="48"/>
      <c r="I1103" s="38"/>
      <c r="J1103" s="38"/>
      <c r="K1103" s="38"/>
      <c r="M1103" s="87"/>
      <c r="N1103" s="38"/>
      <c r="Q1103" s="38"/>
    </row>
    <row r="1104">
      <c r="A1104" s="46" t="str">
        <f>IFERROR(__xludf.DUMMYFUNCTION("""COMPUTED_VALUE"""),"Cosmetics")</f>
        <v>Cosmetics</v>
      </c>
      <c r="B1104" s="46" t="str">
        <f>IFERROR(__xludf.DUMMYFUNCTION("""COMPUTED_VALUE"""),"Luxembourg")</f>
        <v>Luxembourg</v>
      </c>
      <c r="C1104" s="46">
        <f>IFERROR(__xludf.DUMMYFUNCTION("""COMPUTED_VALUE"""),8.3534187E8)</f>
        <v>835341870</v>
      </c>
      <c r="D1104" s="84">
        <f>IFERROR(__xludf.DUMMYFUNCTION("""COMPUTED_VALUE"""),2219664.4)</f>
        <v>2219664.4</v>
      </c>
      <c r="H1104" s="48"/>
      <c r="I1104" s="38"/>
      <c r="J1104" s="38"/>
      <c r="K1104" s="38"/>
      <c r="M1104" s="87"/>
      <c r="N1104" s="38"/>
      <c r="Q1104" s="38"/>
    </row>
    <row r="1105">
      <c r="A1105" s="46" t="str">
        <f>IFERROR(__xludf.DUMMYFUNCTION("""COMPUTED_VALUE"""),"Household")</f>
        <v>Household</v>
      </c>
      <c r="B1105" s="46" t="str">
        <f>IFERROR(__xludf.DUMMYFUNCTION("""COMPUTED_VALUE"""),"Bulgaria")</f>
        <v>Bulgaria</v>
      </c>
      <c r="C1105" s="46">
        <f>IFERROR(__xludf.DUMMYFUNCTION("""COMPUTED_VALUE"""),8.37608659E8)</f>
        <v>837608659</v>
      </c>
      <c r="D1105" s="84">
        <f>IFERROR(__xludf.DUMMYFUNCTION("""COMPUTED_VALUE"""),3923413.17)</f>
        <v>3923413.17</v>
      </c>
      <c r="H1105" s="48"/>
      <c r="I1105" s="38"/>
      <c r="J1105" s="38"/>
      <c r="K1105" s="38"/>
      <c r="M1105" s="87"/>
      <c r="N1105" s="38"/>
      <c r="Q1105" s="38"/>
    </row>
    <row r="1106">
      <c r="A1106" s="46" t="str">
        <f>IFERROR(__xludf.DUMMYFUNCTION("""COMPUTED_VALUE"""),"Beverages")</f>
        <v>Beverages</v>
      </c>
      <c r="B1106" s="46" t="str">
        <f>IFERROR(__xludf.DUMMYFUNCTION("""COMPUTED_VALUE"""),"Switzerland")</f>
        <v>Switzerland</v>
      </c>
      <c r="C1106" s="46">
        <f>IFERROR(__xludf.DUMMYFUNCTION("""COMPUTED_VALUE"""),8.3790692E8)</f>
        <v>837906920</v>
      </c>
      <c r="D1106" s="84">
        <f>IFERROR(__xludf.DUMMYFUNCTION("""COMPUTED_VALUE"""),196110.85)</f>
        <v>196110.85</v>
      </c>
      <c r="H1106" s="48"/>
      <c r="I1106" s="38"/>
      <c r="J1106" s="38"/>
      <c r="K1106" s="38"/>
      <c r="M1106" s="87"/>
      <c r="N1106" s="38"/>
      <c r="Q1106" s="38"/>
    </row>
    <row r="1107">
      <c r="A1107" s="46" t="str">
        <f>IFERROR(__xludf.DUMMYFUNCTION("""COMPUTED_VALUE"""),"Baby Food")</f>
        <v>Baby Food</v>
      </c>
      <c r="B1107" s="46" t="str">
        <f>IFERROR(__xludf.DUMMYFUNCTION("""COMPUTED_VALUE"""),"Armenia")</f>
        <v>Armenia</v>
      </c>
      <c r="C1107" s="46">
        <f>IFERROR(__xludf.DUMMYFUNCTION("""COMPUTED_VALUE"""),8.38788402E8)</f>
        <v>838788402</v>
      </c>
      <c r="D1107" s="84">
        <f>IFERROR(__xludf.DUMMYFUNCTION("""COMPUTED_VALUE"""),1272060.24)</f>
        <v>1272060.24</v>
      </c>
      <c r="H1107" s="48"/>
      <c r="I1107" s="38"/>
      <c r="J1107" s="38"/>
      <c r="K1107" s="38"/>
      <c r="M1107" s="87"/>
      <c r="N1107" s="38"/>
      <c r="Q1107" s="38"/>
    </row>
    <row r="1108">
      <c r="A1108" s="46" t="str">
        <f>IFERROR(__xludf.DUMMYFUNCTION("""COMPUTED_VALUE"""),"Personal Care")</f>
        <v>Personal Care</v>
      </c>
      <c r="B1108" s="46" t="str">
        <f>IFERROR(__xludf.DUMMYFUNCTION("""COMPUTED_VALUE"""),"Undefined")</f>
        <v>Undefined</v>
      </c>
      <c r="C1108" s="46">
        <f>IFERROR(__xludf.DUMMYFUNCTION("""COMPUTED_VALUE"""),8.38895261E8)</f>
        <v>838895261</v>
      </c>
      <c r="D1108" s="84">
        <f>IFERROR(__xludf.DUMMYFUNCTION("""COMPUTED_VALUE"""),539826.65)</f>
        <v>539826.65</v>
      </c>
      <c r="H1108" s="48"/>
      <c r="I1108" s="38"/>
      <c r="J1108" s="38"/>
      <c r="K1108" s="38"/>
      <c r="M1108" s="87"/>
      <c r="N1108" s="38"/>
      <c r="Q1108" s="38"/>
    </row>
    <row r="1109">
      <c r="A1109" s="46" t="str">
        <f>IFERROR(__xludf.DUMMYFUNCTION("""COMPUTED_VALUE"""),"Clothes")</f>
        <v>Clothes</v>
      </c>
      <c r="B1109" s="46" t="str">
        <f>IFERROR(__xludf.DUMMYFUNCTION("""COMPUTED_VALUE"""),"Belarus")</f>
        <v>Belarus</v>
      </c>
      <c r="C1109" s="46">
        <f>IFERROR(__xludf.DUMMYFUNCTION("""COMPUTED_VALUE"""),8.39437711E8)</f>
        <v>839437711</v>
      </c>
      <c r="D1109" s="84">
        <f>IFERROR(__xludf.DUMMYFUNCTION("""COMPUTED_VALUE"""),778947.84)</f>
        <v>778947.84</v>
      </c>
      <c r="H1109" s="48"/>
      <c r="I1109" s="38"/>
      <c r="J1109" s="38"/>
      <c r="K1109" s="38"/>
      <c r="M1109" s="87"/>
      <c r="N1109" s="38"/>
      <c r="Q1109" s="38"/>
    </row>
    <row r="1110">
      <c r="A1110" s="46" t="str">
        <f>IFERROR(__xludf.DUMMYFUNCTION("""COMPUTED_VALUE"""),"Personal Care")</f>
        <v>Personal Care</v>
      </c>
      <c r="B1110" s="46" t="str">
        <f>IFERROR(__xludf.DUMMYFUNCTION("""COMPUTED_VALUE"""),"Armenia")</f>
        <v>Armenia</v>
      </c>
      <c r="C1110" s="46">
        <f>IFERROR(__xludf.DUMMYFUNCTION("""COMPUTED_VALUE"""),8.40747058E8)</f>
        <v>840747058</v>
      </c>
      <c r="D1110" s="84">
        <f>IFERROR(__xludf.DUMMYFUNCTION("""COMPUTED_VALUE"""),375385.89)</f>
        <v>375385.89</v>
      </c>
      <c r="H1110" s="48"/>
      <c r="I1110" s="38"/>
      <c r="J1110" s="38"/>
      <c r="K1110" s="38"/>
      <c r="M1110" s="87"/>
      <c r="N1110" s="38"/>
      <c r="Q1110" s="38"/>
    </row>
    <row r="1111">
      <c r="A1111" s="46" t="str">
        <f>IFERROR(__xludf.DUMMYFUNCTION("""COMPUTED_VALUE"""),"Household")</f>
        <v>Household</v>
      </c>
      <c r="B1111" s="46" t="str">
        <f>IFERROR(__xludf.DUMMYFUNCTION("""COMPUTED_VALUE"""),"Luxembourg")</f>
        <v>Luxembourg</v>
      </c>
      <c r="C1111" s="46">
        <f>IFERROR(__xludf.DUMMYFUNCTION("""COMPUTED_VALUE"""),8.4078139E8)</f>
        <v>840781390</v>
      </c>
      <c r="D1111" s="84">
        <f>IFERROR(__xludf.DUMMYFUNCTION("""COMPUTED_VALUE"""),3175619.04)</f>
        <v>3175619.04</v>
      </c>
      <c r="H1111" s="48"/>
      <c r="I1111" s="38"/>
      <c r="J1111" s="38"/>
      <c r="K1111" s="38"/>
      <c r="M1111" s="87"/>
      <c r="N1111" s="38"/>
      <c r="Q1111" s="38"/>
    </row>
    <row r="1112">
      <c r="A1112" s="46" t="str">
        <f>IFERROR(__xludf.DUMMYFUNCTION("""COMPUTED_VALUE"""),"Vegetables")</f>
        <v>Vegetables</v>
      </c>
      <c r="B1112" s="46" t="str">
        <f>IFERROR(__xludf.DUMMYFUNCTION("""COMPUTED_VALUE"""),"Montenegro")</f>
        <v>Montenegro</v>
      </c>
      <c r="C1112" s="46">
        <f>IFERROR(__xludf.DUMMYFUNCTION("""COMPUTED_VALUE"""),8.4268769E8)</f>
        <v>842687690</v>
      </c>
      <c r="D1112" s="84">
        <f>IFERROR(__xludf.DUMMYFUNCTION("""COMPUTED_VALUE"""),1366358.1400000001)</f>
        <v>1366358.14</v>
      </c>
      <c r="H1112" s="48"/>
      <c r="I1112" s="38"/>
      <c r="J1112" s="38"/>
      <c r="K1112" s="38"/>
      <c r="M1112" s="87"/>
      <c r="N1112" s="38"/>
      <c r="Q1112" s="38"/>
    </row>
    <row r="1113">
      <c r="A1113" s="46" t="str">
        <f>IFERROR(__xludf.DUMMYFUNCTION("""COMPUTED_VALUE"""),"Snacks")</f>
        <v>Snacks</v>
      </c>
      <c r="B1113" s="46" t="str">
        <f>IFERROR(__xludf.DUMMYFUNCTION("""COMPUTED_VALUE"""),"Cyprus")</f>
        <v>Cyprus</v>
      </c>
      <c r="C1113" s="46">
        <f>IFERROR(__xludf.DUMMYFUNCTION("""COMPUTED_VALUE"""),8.42725884E8)</f>
        <v>842725884</v>
      </c>
      <c r="D1113" s="84">
        <f>IFERROR(__xludf.DUMMYFUNCTION("""COMPUTED_VALUE"""),26091.180000000004)</f>
        <v>26091.18</v>
      </c>
      <c r="H1113" s="48"/>
      <c r="I1113" s="38"/>
      <c r="J1113" s="38"/>
      <c r="K1113" s="38"/>
      <c r="M1113" s="87"/>
      <c r="N1113" s="38"/>
      <c r="Q1113" s="38"/>
    </row>
    <row r="1114">
      <c r="A1114" s="46" t="str">
        <f>IFERROR(__xludf.DUMMYFUNCTION("""COMPUTED_VALUE"""),"Beverages")</f>
        <v>Beverages</v>
      </c>
      <c r="B1114" s="46" t="str">
        <f>IFERROR(__xludf.DUMMYFUNCTION("""COMPUTED_VALUE"""),"Slovenia")</f>
        <v>Slovenia</v>
      </c>
      <c r="C1114" s="46">
        <f>IFERROR(__xludf.DUMMYFUNCTION("""COMPUTED_VALUE"""),8.44105184E8)</f>
        <v>844105184</v>
      </c>
      <c r="D1114" s="84">
        <f>IFERROR(__xludf.DUMMYFUNCTION("""COMPUTED_VALUE"""),395590.65)</f>
        <v>395590.65</v>
      </c>
      <c r="H1114" s="48"/>
      <c r="I1114" s="38"/>
      <c r="J1114" s="38"/>
      <c r="K1114" s="38"/>
      <c r="M1114" s="87"/>
      <c r="N1114" s="38"/>
      <c r="Q1114" s="38"/>
    </row>
    <row r="1115">
      <c r="A1115" s="46" t="str">
        <f>IFERROR(__xludf.DUMMYFUNCTION("""COMPUTED_VALUE"""),"Baby Food")</f>
        <v>Baby Food</v>
      </c>
      <c r="B1115" s="46" t="str">
        <f>IFERROR(__xludf.DUMMYFUNCTION("""COMPUTED_VALUE"""),"United Kingdom")</f>
        <v>United Kingdom</v>
      </c>
      <c r="C1115" s="46">
        <f>IFERROR(__xludf.DUMMYFUNCTION("""COMPUTED_VALUE"""),8.44307315E8)</f>
        <v>844307315</v>
      </c>
      <c r="D1115" s="84">
        <f>IFERROR(__xludf.DUMMYFUNCTION("""COMPUTED_VALUE"""),2081042.56)</f>
        <v>2081042.56</v>
      </c>
      <c r="H1115" s="48"/>
      <c r="I1115" s="38"/>
      <c r="J1115" s="38"/>
      <c r="K1115" s="38"/>
      <c r="M1115" s="87"/>
      <c r="N1115" s="38"/>
      <c r="Q1115" s="38"/>
    </row>
    <row r="1116">
      <c r="A1116" s="46" t="str">
        <f>IFERROR(__xludf.DUMMYFUNCTION("""COMPUTED_VALUE"""),"Meat")</f>
        <v>Meat</v>
      </c>
      <c r="B1116" s="46" t="str">
        <f>IFERROR(__xludf.DUMMYFUNCTION("""COMPUTED_VALUE"""),"Finland")</f>
        <v>Finland</v>
      </c>
      <c r="C1116" s="46">
        <f>IFERROR(__xludf.DUMMYFUNCTION("""COMPUTED_VALUE"""),8.44575107E8)</f>
        <v>844575107</v>
      </c>
      <c r="D1116" s="84">
        <f>IFERROR(__xludf.DUMMYFUNCTION("""COMPUTED_VALUE"""),3120720.33)</f>
        <v>3120720.33</v>
      </c>
      <c r="H1116" s="48"/>
      <c r="I1116" s="38"/>
      <c r="J1116" s="38"/>
      <c r="K1116" s="38"/>
      <c r="M1116" s="87"/>
      <c r="N1116" s="38"/>
      <c r="Q1116" s="38"/>
    </row>
    <row r="1117">
      <c r="A1117" s="46" t="str">
        <f>IFERROR(__xludf.DUMMYFUNCTION("""COMPUTED_VALUE"""),"Household")</f>
        <v>Household</v>
      </c>
      <c r="B1117" s="46" t="str">
        <f>IFERROR(__xludf.DUMMYFUNCTION("""COMPUTED_VALUE"""),"Malta")</f>
        <v>Malta</v>
      </c>
      <c r="C1117" s="46">
        <f>IFERROR(__xludf.DUMMYFUNCTION("""COMPUTED_VALUE"""),8.45067346E8)</f>
        <v>845067346</v>
      </c>
      <c r="D1117" s="84">
        <f>IFERROR(__xludf.DUMMYFUNCTION("""COMPUTED_VALUE"""),2046242.74)</f>
        <v>2046242.74</v>
      </c>
      <c r="H1117" s="48"/>
      <c r="I1117" s="38"/>
      <c r="J1117" s="38"/>
      <c r="K1117" s="38"/>
      <c r="M1117" s="87"/>
      <c r="N1117" s="38"/>
      <c r="Q1117" s="38"/>
    </row>
    <row r="1118">
      <c r="A1118" s="46" t="str">
        <f>IFERROR(__xludf.DUMMYFUNCTION("""COMPUTED_VALUE"""),"Cosmetics")</f>
        <v>Cosmetics</v>
      </c>
      <c r="B1118" s="46" t="str">
        <f>IFERROR(__xludf.DUMMYFUNCTION("""COMPUTED_VALUE"""),"Undefined")</f>
        <v>Undefined</v>
      </c>
      <c r="C1118" s="46">
        <f>IFERROR(__xludf.DUMMYFUNCTION("""COMPUTED_VALUE"""),8.45738112E8)</f>
        <v>845738112</v>
      </c>
      <c r="D1118" s="84">
        <f>IFERROR(__xludf.DUMMYFUNCTION("""COMPUTED_VALUE"""),680720.4)</f>
        <v>680720.4</v>
      </c>
      <c r="H1118" s="48"/>
      <c r="I1118" s="38"/>
      <c r="J1118" s="38"/>
      <c r="K1118" s="38"/>
      <c r="M1118" s="87"/>
      <c r="N1118" s="38"/>
      <c r="Q1118" s="38"/>
    </row>
    <row r="1119">
      <c r="A1119" s="46" t="str">
        <f>IFERROR(__xludf.DUMMYFUNCTION("""COMPUTED_VALUE"""),"Snacks")</f>
        <v>Snacks</v>
      </c>
      <c r="B1119" s="46" t="str">
        <f>IFERROR(__xludf.DUMMYFUNCTION("""COMPUTED_VALUE"""),"Ireland")</f>
        <v>Ireland</v>
      </c>
      <c r="C1119" s="46">
        <f>IFERROR(__xludf.DUMMYFUNCTION("""COMPUTED_VALUE"""),8.464136E8)</f>
        <v>846413600</v>
      </c>
      <c r="D1119" s="84">
        <f>IFERROR(__xludf.DUMMYFUNCTION("""COMPUTED_VALUE"""),220935.84000000003)</f>
        <v>220935.84</v>
      </c>
      <c r="H1119" s="48"/>
      <c r="I1119" s="38"/>
      <c r="J1119" s="38"/>
      <c r="K1119" s="38"/>
      <c r="M1119" s="87"/>
      <c r="N1119" s="38"/>
      <c r="Q1119" s="38"/>
    </row>
    <row r="1120">
      <c r="A1120" s="46" t="str">
        <f>IFERROR(__xludf.DUMMYFUNCTION("""COMPUTED_VALUE"""),"Meat")</f>
        <v>Meat</v>
      </c>
      <c r="B1120" s="46" t="str">
        <f>IFERROR(__xludf.DUMMYFUNCTION("""COMPUTED_VALUE"""),"Latvia")</f>
        <v>Latvia</v>
      </c>
      <c r="C1120" s="46">
        <f>IFERROR(__xludf.DUMMYFUNCTION("""COMPUTED_VALUE"""),8.47317397E8)</f>
        <v>847317397</v>
      </c>
      <c r="D1120" s="84">
        <f>IFERROR(__xludf.DUMMYFUNCTION("""COMPUTED_VALUE"""),3755664.78)</f>
        <v>3755664.78</v>
      </c>
      <c r="H1120" s="48"/>
      <c r="I1120" s="38"/>
      <c r="J1120" s="38"/>
      <c r="K1120" s="38"/>
      <c r="M1120" s="87"/>
      <c r="N1120" s="38"/>
      <c r="Q1120" s="38"/>
    </row>
    <row r="1121">
      <c r="A1121" s="46" t="str">
        <f>IFERROR(__xludf.DUMMYFUNCTION("""COMPUTED_VALUE"""),"Vegetables")</f>
        <v>Vegetables</v>
      </c>
      <c r="B1121" s="46" t="str">
        <f>IFERROR(__xludf.DUMMYFUNCTION("""COMPUTED_VALUE"""),"Armenia")</f>
        <v>Armenia</v>
      </c>
      <c r="C1121" s="46">
        <f>IFERROR(__xludf.DUMMYFUNCTION("""COMPUTED_VALUE"""),8.48737466E8)</f>
        <v>848737466</v>
      </c>
      <c r="D1121" s="84">
        <f>IFERROR(__xludf.DUMMYFUNCTION("""COMPUTED_VALUE"""),1406875.92)</f>
        <v>1406875.92</v>
      </c>
      <c r="H1121" s="48"/>
      <c r="I1121" s="38"/>
      <c r="J1121" s="38"/>
      <c r="K1121" s="38"/>
      <c r="M1121" s="87"/>
      <c r="N1121" s="38"/>
      <c r="Q1121" s="38"/>
    </row>
    <row r="1122">
      <c r="A1122" s="46" t="str">
        <f>IFERROR(__xludf.DUMMYFUNCTION("""COMPUTED_VALUE"""),"Meat")</f>
        <v>Meat</v>
      </c>
      <c r="B1122" s="46" t="str">
        <f>IFERROR(__xludf.DUMMYFUNCTION("""COMPUTED_VALUE"""),"Latvia")</f>
        <v>Latvia</v>
      </c>
      <c r="C1122" s="46">
        <f>IFERROR(__xludf.DUMMYFUNCTION("""COMPUTED_VALUE"""),8.49431836E8)</f>
        <v>849431836</v>
      </c>
      <c r="D1122" s="84">
        <f>IFERROR(__xludf.DUMMYFUNCTION("""COMPUTED_VALUE"""),1945334.79)</f>
        <v>1945334.79</v>
      </c>
      <c r="H1122" s="48"/>
      <c r="I1122" s="38"/>
      <c r="J1122" s="38"/>
      <c r="K1122" s="38"/>
      <c r="M1122" s="87"/>
      <c r="N1122" s="38"/>
      <c r="Q1122" s="38"/>
    </row>
    <row r="1123">
      <c r="A1123" s="46" t="str">
        <f>IFERROR(__xludf.DUMMYFUNCTION("""COMPUTED_VALUE"""),"Office Supplies")</f>
        <v>Office Supplies</v>
      </c>
      <c r="B1123" s="46" t="str">
        <f>IFERROR(__xludf.DUMMYFUNCTION("""COMPUTED_VALUE"""),"Albania")</f>
        <v>Albania</v>
      </c>
      <c r="C1123" s="46">
        <f>IFERROR(__xludf.DUMMYFUNCTION("""COMPUTED_VALUE"""),8.49454581E8)</f>
        <v>849454581</v>
      </c>
      <c r="D1123" s="84">
        <f>IFERROR(__xludf.DUMMYFUNCTION("""COMPUTED_VALUE"""),873923.8200000001)</f>
        <v>873923.82</v>
      </c>
      <c r="H1123" s="48"/>
      <c r="I1123" s="38"/>
      <c r="J1123" s="38"/>
      <c r="K1123" s="38"/>
      <c r="M1123" s="87"/>
      <c r="N1123" s="38"/>
      <c r="Q1123" s="38"/>
    </row>
    <row r="1124">
      <c r="A1124" s="46" t="str">
        <f>IFERROR(__xludf.DUMMYFUNCTION("""COMPUTED_VALUE"""),"Fruits")</f>
        <v>Fruits</v>
      </c>
      <c r="B1124" s="46" t="str">
        <f>IFERROR(__xludf.DUMMYFUNCTION("""COMPUTED_VALUE"""),"Cyprus")</f>
        <v>Cyprus</v>
      </c>
      <c r="C1124" s="46">
        <f>IFERROR(__xludf.DUMMYFUNCTION("""COMPUTED_VALUE"""),8.50279843E8)</f>
        <v>850279843</v>
      </c>
      <c r="D1124" s="84">
        <f>IFERROR(__xludf.DUMMYFUNCTION("""COMPUTED_VALUE"""),51837.48)</f>
        <v>51837.48</v>
      </c>
      <c r="H1124" s="48"/>
      <c r="I1124" s="38"/>
      <c r="J1124" s="38"/>
      <c r="K1124" s="38"/>
      <c r="M1124" s="87"/>
      <c r="N1124" s="38"/>
      <c r="Q1124" s="38"/>
    </row>
    <row r="1125">
      <c r="A1125" s="46" t="str">
        <f>IFERROR(__xludf.DUMMYFUNCTION("""COMPUTED_VALUE"""),"Baby Food")</f>
        <v>Baby Food</v>
      </c>
      <c r="B1125" s="46" t="str">
        <f>IFERROR(__xludf.DUMMYFUNCTION("""COMPUTED_VALUE"""),"Switzerland")</f>
        <v>Switzerland</v>
      </c>
      <c r="C1125" s="46">
        <f>IFERROR(__xludf.DUMMYFUNCTION("""COMPUTED_VALUE"""),8.50562655E8)</f>
        <v>850562655</v>
      </c>
      <c r="D1125" s="84">
        <f>IFERROR(__xludf.DUMMYFUNCTION("""COMPUTED_VALUE"""),2360318.88)</f>
        <v>2360318.88</v>
      </c>
      <c r="H1125" s="48"/>
      <c r="I1125" s="38"/>
      <c r="J1125" s="38"/>
      <c r="K1125" s="38"/>
      <c r="M1125" s="87"/>
      <c r="N1125" s="38"/>
      <c r="Q1125" s="38"/>
    </row>
    <row r="1126">
      <c r="A1126" s="46" t="str">
        <f>IFERROR(__xludf.DUMMYFUNCTION("""COMPUTED_VALUE"""),"Baby Food")</f>
        <v>Baby Food</v>
      </c>
      <c r="B1126" s="46" t="str">
        <f>IFERROR(__xludf.DUMMYFUNCTION("""COMPUTED_VALUE"""),"Czech Republic")</f>
        <v>Czech Republic</v>
      </c>
      <c r="C1126" s="46">
        <f>IFERROR(__xludf.DUMMYFUNCTION("""COMPUTED_VALUE"""),8.50872075E8)</f>
        <v>850872075</v>
      </c>
      <c r="D1126" s="84">
        <f>IFERROR(__xludf.DUMMYFUNCTION("""COMPUTED_VALUE"""),206776.8)</f>
        <v>206776.8</v>
      </c>
      <c r="H1126" s="48"/>
      <c r="I1126" s="38"/>
      <c r="J1126" s="38"/>
      <c r="K1126" s="38"/>
      <c r="M1126" s="87"/>
      <c r="N1126" s="38"/>
      <c r="Q1126" s="38"/>
    </row>
    <row r="1127">
      <c r="A1127" s="46" t="str">
        <f>IFERROR(__xludf.DUMMYFUNCTION("""COMPUTED_VALUE"""),"Cosmetics")</f>
        <v>Cosmetics</v>
      </c>
      <c r="B1127" s="46" t="str">
        <f>IFERROR(__xludf.DUMMYFUNCTION("""COMPUTED_VALUE"""),"Lithuania")</f>
        <v>Lithuania</v>
      </c>
      <c r="C1127" s="46">
        <f>IFERROR(__xludf.DUMMYFUNCTION("""COMPUTED_VALUE"""),8.52392995E8)</f>
        <v>852392995</v>
      </c>
      <c r="D1127" s="84">
        <f>IFERROR(__xludf.DUMMYFUNCTION("""COMPUTED_VALUE"""),386484.8)</f>
        <v>386484.8</v>
      </c>
      <c r="H1127" s="48"/>
      <c r="I1127" s="38"/>
      <c r="J1127" s="38"/>
      <c r="K1127" s="38"/>
      <c r="M1127" s="87"/>
      <c r="N1127" s="38"/>
      <c r="Q1127" s="38"/>
    </row>
    <row r="1128">
      <c r="A1128" s="46" t="str">
        <f>IFERROR(__xludf.DUMMYFUNCTION("""COMPUTED_VALUE"""),"Personal Care")</f>
        <v>Personal Care</v>
      </c>
      <c r="B1128" s="46" t="str">
        <f>IFERROR(__xludf.DUMMYFUNCTION("""COMPUTED_VALUE"""),"Romania")</f>
        <v>Romania</v>
      </c>
      <c r="C1128" s="46">
        <f>IFERROR(__xludf.DUMMYFUNCTION("""COMPUTED_VALUE"""),8.53036296E8)</f>
        <v>853036296</v>
      </c>
      <c r="D1128" s="84">
        <f>IFERROR(__xludf.DUMMYFUNCTION("""COMPUTED_VALUE"""),102244.23000000001)</f>
        <v>102244.23</v>
      </c>
      <c r="H1128" s="48"/>
      <c r="I1128" s="38"/>
      <c r="J1128" s="38"/>
      <c r="K1128" s="38"/>
      <c r="M1128" s="87"/>
      <c r="N1128" s="38"/>
      <c r="Q1128" s="38"/>
    </row>
    <row r="1129">
      <c r="A1129" s="46" t="str">
        <f>IFERROR(__xludf.DUMMYFUNCTION("""COMPUTED_VALUE"""),"Cereal")</f>
        <v>Cereal</v>
      </c>
      <c r="B1129" s="46" t="str">
        <f>IFERROR(__xludf.DUMMYFUNCTION("""COMPUTED_VALUE"""),"Liechtenstein")</f>
        <v>Liechtenstein</v>
      </c>
      <c r="C1129" s="46">
        <f>IFERROR(__xludf.DUMMYFUNCTION("""COMPUTED_VALUE"""),8.56648051E8)</f>
        <v>856648051</v>
      </c>
      <c r="D1129" s="84">
        <f>IFERROR(__xludf.DUMMYFUNCTION("""COMPUTED_VALUE"""),10285.0)</f>
        <v>10285</v>
      </c>
      <c r="H1129" s="48"/>
      <c r="I1129" s="38"/>
      <c r="J1129" s="38"/>
      <c r="K1129" s="38"/>
      <c r="M1129" s="87"/>
      <c r="N1129" s="38"/>
      <c r="Q1129" s="38"/>
    </row>
    <row r="1130">
      <c r="A1130" s="46" t="str">
        <f>IFERROR(__xludf.DUMMYFUNCTION("""COMPUTED_VALUE"""),"Office Supplies")</f>
        <v>Office Supplies</v>
      </c>
      <c r="B1130" s="46" t="str">
        <f>IFERROR(__xludf.DUMMYFUNCTION("""COMPUTED_VALUE"""),"Netherlands")</f>
        <v>Netherlands</v>
      </c>
      <c r="C1130" s="46">
        <f>IFERROR(__xludf.DUMMYFUNCTION("""COMPUTED_VALUE"""),8.57457864E8)</f>
        <v>857457864</v>
      </c>
      <c r="D1130" s="84">
        <f>IFERROR(__xludf.DUMMYFUNCTION("""COMPUTED_VALUE"""),6310876.11)</f>
        <v>6310876.11</v>
      </c>
      <c r="H1130" s="48"/>
      <c r="I1130" s="38"/>
      <c r="J1130" s="38"/>
      <c r="K1130" s="38"/>
      <c r="M1130" s="87"/>
      <c r="N1130" s="38"/>
      <c r="Q1130" s="38"/>
    </row>
    <row r="1131">
      <c r="A1131" s="46" t="str">
        <f>IFERROR(__xludf.DUMMYFUNCTION("""COMPUTED_VALUE"""),"Office Supplies")</f>
        <v>Office Supplies</v>
      </c>
      <c r="B1131" s="46" t="str">
        <f>IFERROR(__xludf.DUMMYFUNCTION("""COMPUTED_VALUE"""),"San Marino")</f>
        <v>San Marino</v>
      </c>
      <c r="C1131" s="46">
        <f>IFERROR(__xludf.DUMMYFUNCTION("""COMPUTED_VALUE"""),8.59914767E8)</f>
        <v>859914767</v>
      </c>
      <c r="D1131" s="84">
        <f>IFERROR(__xludf.DUMMYFUNCTION("""COMPUTED_VALUE"""),4391760.24)</f>
        <v>4391760.24</v>
      </c>
      <c r="H1131" s="48"/>
      <c r="I1131" s="38"/>
      <c r="J1131" s="38"/>
      <c r="K1131" s="38"/>
      <c r="M1131" s="87"/>
      <c r="N1131" s="38"/>
      <c r="Q1131" s="38"/>
    </row>
    <row r="1132">
      <c r="A1132" s="46" t="str">
        <f>IFERROR(__xludf.DUMMYFUNCTION("""COMPUTED_VALUE"""),"Cosmetics")</f>
        <v>Cosmetics</v>
      </c>
      <c r="B1132" s="46" t="str">
        <f>IFERROR(__xludf.DUMMYFUNCTION("""COMPUTED_VALUE"""),"Denmark")</f>
        <v>Denmark</v>
      </c>
      <c r="C1132" s="46">
        <f>IFERROR(__xludf.DUMMYFUNCTION("""COMPUTED_VALUE"""),8.60104024E8)</f>
        <v>860104024</v>
      </c>
      <c r="D1132" s="84">
        <f>IFERROR(__xludf.DUMMYFUNCTION("""COMPUTED_VALUE"""),1201862.8)</f>
        <v>1201862.8</v>
      </c>
      <c r="H1132" s="48"/>
      <c r="I1132" s="38"/>
      <c r="J1132" s="38"/>
      <c r="K1132" s="38"/>
      <c r="M1132" s="87"/>
      <c r="N1132" s="38"/>
      <c r="Q1132" s="38"/>
    </row>
    <row r="1133">
      <c r="A1133" s="46" t="str">
        <f>IFERROR(__xludf.DUMMYFUNCTION("""COMPUTED_VALUE"""),"Beverages")</f>
        <v>Beverages</v>
      </c>
      <c r="B1133" s="46" t="str">
        <f>IFERROR(__xludf.DUMMYFUNCTION("""COMPUTED_VALUE"""),"Andorra")</f>
        <v>Andorra</v>
      </c>
      <c r="C1133" s="46">
        <f>IFERROR(__xludf.DUMMYFUNCTION("""COMPUTED_VALUE"""),8.61180341E8)</f>
        <v>861180341</v>
      </c>
      <c r="D1133" s="84">
        <f>IFERROR(__xludf.DUMMYFUNCTION("""COMPUTED_VALUE"""),59549.75)</f>
        <v>59549.75</v>
      </c>
      <c r="H1133" s="48"/>
      <c r="I1133" s="38"/>
      <c r="J1133" s="38"/>
      <c r="K1133" s="38"/>
      <c r="M1133" s="87"/>
      <c r="N1133" s="38"/>
      <c r="Q1133" s="38"/>
    </row>
    <row r="1134">
      <c r="A1134" s="46" t="str">
        <f>IFERROR(__xludf.DUMMYFUNCTION("""COMPUTED_VALUE"""),"Office Supplies")</f>
        <v>Office Supplies</v>
      </c>
      <c r="B1134" s="46" t="str">
        <f>IFERROR(__xludf.DUMMYFUNCTION("""COMPUTED_VALUE"""),"Austria")</f>
        <v>Austria</v>
      </c>
      <c r="C1134" s="46">
        <f>IFERROR(__xludf.DUMMYFUNCTION("""COMPUTED_VALUE"""),8.61252868E8)</f>
        <v>861252868</v>
      </c>
      <c r="D1134" s="84">
        <f>IFERROR(__xludf.DUMMYFUNCTION("""COMPUTED_VALUE"""),1769337.57)</f>
        <v>1769337.57</v>
      </c>
      <c r="H1134" s="48"/>
      <c r="I1134" s="38"/>
      <c r="J1134" s="38"/>
      <c r="K1134" s="38"/>
      <c r="M1134" s="87"/>
      <c r="N1134" s="38"/>
      <c r="Q1134" s="38"/>
    </row>
    <row r="1135">
      <c r="A1135" s="46" t="str">
        <f>IFERROR(__xludf.DUMMYFUNCTION("""COMPUTED_VALUE"""),"Personal Care")</f>
        <v>Personal Care</v>
      </c>
      <c r="B1135" s="46" t="str">
        <f>IFERROR(__xludf.DUMMYFUNCTION("""COMPUTED_VALUE"""),"Sweden")</f>
        <v>Sweden</v>
      </c>
      <c r="C1135" s="46">
        <f>IFERROR(__xludf.DUMMYFUNCTION("""COMPUTED_VALUE"""),8.6197685E8)</f>
        <v>861976850</v>
      </c>
      <c r="D1135" s="84">
        <f>IFERROR(__xludf.DUMMYFUNCTION("""COMPUTED_VALUE"""),568840.8)</f>
        <v>568840.8</v>
      </c>
      <c r="H1135" s="48"/>
      <c r="I1135" s="38"/>
      <c r="J1135" s="38"/>
      <c r="K1135" s="38"/>
      <c r="M1135" s="87"/>
      <c r="N1135" s="38"/>
      <c r="Q1135" s="38"/>
    </row>
    <row r="1136">
      <c r="A1136" s="46" t="str">
        <f>IFERROR(__xludf.DUMMYFUNCTION("""COMPUTED_VALUE"""),"Snacks")</f>
        <v>Snacks</v>
      </c>
      <c r="B1136" s="46" t="str">
        <f>IFERROR(__xludf.DUMMYFUNCTION("""COMPUTED_VALUE"""),"Norway")</f>
        <v>Norway</v>
      </c>
      <c r="C1136" s="46">
        <f>IFERROR(__xludf.DUMMYFUNCTION("""COMPUTED_VALUE"""),8.61982858E8)</f>
        <v>861982858</v>
      </c>
      <c r="D1136" s="84">
        <f>IFERROR(__xludf.DUMMYFUNCTION("""COMPUTED_VALUE"""),1333244.04)</f>
        <v>1333244.04</v>
      </c>
      <c r="H1136" s="48"/>
      <c r="I1136" s="38"/>
      <c r="J1136" s="38"/>
      <c r="K1136" s="38"/>
      <c r="M1136" s="87"/>
      <c r="N1136" s="38"/>
      <c r="Q1136" s="38"/>
    </row>
    <row r="1137">
      <c r="A1137" s="46" t="str">
        <f>IFERROR(__xludf.DUMMYFUNCTION("""COMPUTED_VALUE"""),"Beverages")</f>
        <v>Beverages</v>
      </c>
      <c r="B1137" s="46" t="str">
        <f>IFERROR(__xludf.DUMMYFUNCTION("""COMPUTED_VALUE"""),"Latvia")</f>
        <v>Latvia</v>
      </c>
      <c r="C1137" s="46">
        <f>IFERROR(__xludf.DUMMYFUNCTION("""COMPUTED_VALUE"""),8.6232661E8)</f>
        <v>862326610</v>
      </c>
      <c r="D1137" s="84">
        <f>IFERROR(__xludf.DUMMYFUNCTION("""COMPUTED_VALUE"""),21874.45)</f>
        <v>21874.45</v>
      </c>
      <c r="H1137" s="48"/>
      <c r="I1137" s="38"/>
      <c r="J1137" s="38"/>
      <c r="K1137" s="38"/>
      <c r="M1137" s="87"/>
      <c r="N1137" s="38"/>
      <c r="Q1137" s="38"/>
    </row>
    <row r="1138">
      <c r="A1138" s="46" t="str">
        <f>IFERROR(__xludf.DUMMYFUNCTION("""COMPUTED_VALUE"""),"Office Supplies")</f>
        <v>Office Supplies</v>
      </c>
      <c r="B1138" s="46" t="str">
        <f>IFERROR(__xludf.DUMMYFUNCTION("""COMPUTED_VALUE"""),"Ukraine")</f>
        <v>Ukraine</v>
      </c>
      <c r="C1138" s="46">
        <f>IFERROR(__xludf.DUMMYFUNCTION("""COMPUTED_VALUE"""),8.62485826E8)</f>
        <v>862485826</v>
      </c>
      <c r="D1138" s="84">
        <f>IFERROR(__xludf.DUMMYFUNCTION("""COMPUTED_VALUE"""),4934218.17)</f>
        <v>4934218.17</v>
      </c>
      <c r="H1138" s="48"/>
      <c r="I1138" s="38"/>
      <c r="J1138" s="38"/>
      <c r="K1138" s="38"/>
      <c r="M1138" s="87"/>
      <c r="N1138" s="38"/>
      <c r="Q1138" s="38"/>
    </row>
    <row r="1139">
      <c r="A1139" s="46" t="str">
        <f>IFERROR(__xludf.DUMMYFUNCTION("""COMPUTED_VALUE"""),"Meat")</f>
        <v>Meat</v>
      </c>
      <c r="B1139" s="46" t="str">
        <f>IFERROR(__xludf.DUMMYFUNCTION("""COMPUTED_VALUE"""),"Albania")</f>
        <v>Albania</v>
      </c>
      <c r="C1139" s="46">
        <f>IFERROR(__xludf.DUMMYFUNCTION("""COMPUTED_VALUE"""),8.63138997E8)</f>
        <v>863138997</v>
      </c>
      <c r="D1139" s="84">
        <f>IFERROR(__xludf.DUMMYFUNCTION("""COMPUTED_VALUE"""),364934.85)</f>
        <v>364934.85</v>
      </c>
      <c r="H1139" s="48"/>
      <c r="I1139" s="38"/>
      <c r="J1139" s="38"/>
      <c r="K1139" s="38"/>
      <c r="M1139" s="87"/>
      <c r="N1139" s="38"/>
      <c r="Q1139" s="38"/>
    </row>
    <row r="1140">
      <c r="A1140" s="46" t="str">
        <f>IFERROR(__xludf.DUMMYFUNCTION("""COMPUTED_VALUE"""),"Meat")</f>
        <v>Meat</v>
      </c>
      <c r="B1140" s="46" t="str">
        <f>IFERROR(__xludf.DUMMYFUNCTION("""COMPUTED_VALUE"""),"Sweden")</f>
        <v>Sweden</v>
      </c>
      <c r="C1140" s="46">
        <f>IFERROR(__xludf.DUMMYFUNCTION("""COMPUTED_VALUE"""),8.63202941E8)</f>
        <v>863202941</v>
      </c>
      <c r="D1140" s="84">
        <f>IFERROR(__xludf.DUMMYFUNCTION("""COMPUTED_VALUE"""),4129037.4299999997)</f>
        <v>4129037.43</v>
      </c>
      <c r="H1140" s="48"/>
      <c r="I1140" s="38"/>
      <c r="J1140" s="38"/>
      <c r="K1140" s="38"/>
      <c r="M1140" s="87"/>
      <c r="N1140" s="38"/>
      <c r="Q1140" s="38"/>
    </row>
    <row r="1141">
      <c r="A1141" s="46" t="str">
        <f>IFERROR(__xludf.DUMMYFUNCTION("""COMPUTED_VALUE"""),"Household")</f>
        <v>Household</v>
      </c>
      <c r="B1141" s="46" t="str">
        <f>IFERROR(__xludf.DUMMYFUNCTION("""COMPUTED_VALUE"""),"Latvia")</f>
        <v>Latvia</v>
      </c>
      <c r="C1141" s="46">
        <f>IFERROR(__xludf.DUMMYFUNCTION("""COMPUTED_VALUE"""),8.63890445E8)</f>
        <v>863890445</v>
      </c>
      <c r="D1141" s="84">
        <f>IFERROR(__xludf.DUMMYFUNCTION("""COMPUTED_VALUE"""),2161853.4499999997)</f>
        <v>2161853.45</v>
      </c>
      <c r="H1141" s="48"/>
      <c r="I1141" s="38"/>
      <c r="J1141" s="38"/>
      <c r="K1141" s="38"/>
      <c r="M1141" s="87"/>
      <c r="N1141" s="38"/>
      <c r="Q1141" s="38"/>
    </row>
    <row r="1142">
      <c r="A1142" s="46" t="str">
        <f>IFERROR(__xludf.DUMMYFUNCTION("""COMPUTED_VALUE"""),"Beverages")</f>
        <v>Beverages</v>
      </c>
      <c r="B1142" s="46" t="str">
        <f>IFERROR(__xludf.DUMMYFUNCTION("""COMPUTED_VALUE"""),"Romania")</f>
        <v>Romania</v>
      </c>
      <c r="C1142" s="46">
        <f>IFERROR(__xludf.DUMMYFUNCTION("""COMPUTED_VALUE"""),8.64071118E8)</f>
        <v>864071118</v>
      </c>
      <c r="D1142" s="84">
        <f>IFERROR(__xludf.DUMMYFUNCTION("""COMPUTED_VALUE"""),317915.0)</f>
        <v>317915</v>
      </c>
      <c r="H1142" s="48"/>
      <c r="I1142" s="38"/>
      <c r="J1142" s="38"/>
      <c r="K1142" s="38"/>
      <c r="M1142" s="87"/>
      <c r="N1142" s="38"/>
      <c r="Q1142" s="38"/>
    </row>
    <row r="1143">
      <c r="A1143" s="46" t="str">
        <f>IFERROR(__xludf.DUMMYFUNCTION("""COMPUTED_VALUE"""),"Office Supplies")</f>
        <v>Office Supplies</v>
      </c>
      <c r="B1143" s="46" t="str">
        <f>IFERROR(__xludf.DUMMYFUNCTION("""COMPUTED_VALUE"""),"Czech Republic")</f>
        <v>Czech Republic</v>
      </c>
      <c r="C1143" s="46">
        <f>IFERROR(__xludf.DUMMYFUNCTION("""COMPUTED_VALUE"""),8.6582421E8)</f>
        <v>865824210</v>
      </c>
      <c r="D1143" s="84">
        <f>IFERROR(__xludf.DUMMYFUNCTION("""COMPUTED_VALUE"""),3567979.5900000003)</f>
        <v>3567979.59</v>
      </c>
      <c r="H1143" s="48"/>
      <c r="I1143" s="38"/>
      <c r="J1143" s="38"/>
      <c r="K1143" s="38"/>
      <c r="M1143" s="87"/>
      <c r="N1143" s="38"/>
      <c r="Q1143" s="38"/>
    </row>
    <row r="1144">
      <c r="A1144" s="46" t="str">
        <f>IFERROR(__xludf.DUMMYFUNCTION("""COMPUTED_VALUE"""),"Meat")</f>
        <v>Meat</v>
      </c>
      <c r="B1144" s="46" t="str">
        <f>IFERROR(__xludf.DUMMYFUNCTION("""COMPUTED_VALUE"""),"Austria")</f>
        <v>Austria</v>
      </c>
      <c r="C1144" s="46">
        <f>IFERROR(__xludf.DUMMYFUNCTION("""COMPUTED_VALUE"""),8.66396272E8)</f>
        <v>866396272</v>
      </c>
      <c r="D1144" s="84">
        <f>IFERROR(__xludf.DUMMYFUNCTION("""COMPUTED_VALUE"""),2010305.8499999999)</f>
        <v>2010305.85</v>
      </c>
      <c r="H1144" s="48"/>
      <c r="I1144" s="38"/>
      <c r="J1144" s="38"/>
      <c r="K1144" s="38"/>
      <c r="M1144" s="87"/>
      <c r="N1144" s="38"/>
      <c r="Q1144" s="38"/>
    </row>
    <row r="1145">
      <c r="A1145" s="46" t="str">
        <f>IFERROR(__xludf.DUMMYFUNCTION("""COMPUTED_VALUE"""),"Office Supplies")</f>
        <v>Office Supplies</v>
      </c>
      <c r="B1145" s="46" t="str">
        <f>IFERROR(__xludf.DUMMYFUNCTION("""COMPUTED_VALUE"""),"France")</f>
        <v>France</v>
      </c>
      <c r="C1145" s="46">
        <f>IFERROR(__xludf.DUMMYFUNCTION("""COMPUTED_VALUE"""),8.67138278E8)</f>
        <v>867138278</v>
      </c>
      <c r="D1145" s="84">
        <f>IFERROR(__xludf.DUMMYFUNCTION("""COMPUTED_VALUE"""),2826902.6100000003)</f>
        <v>2826902.61</v>
      </c>
      <c r="H1145" s="48"/>
      <c r="I1145" s="38"/>
      <c r="J1145" s="38"/>
      <c r="K1145" s="38"/>
      <c r="M1145" s="87"/>
      <c r="N1145" s="38"/>
      <c r="Q1145" s="38"/>
    </row>
    <row r="1146">
      <c r="A1146" s="46" t="str">
        <f>IFERROR(__xludf.DUMMYFUNCTION("""COMPUTED_VALUE"""),"Household")</f>
        <v>Household</v>
      </c>
      <c r="B1146" s="46" t="str">
        <f>IFERROR(__xludf.DUMMYFUNCTION("""COMPUTED_VALUE"""),"Switzerland")</f>
        <v>Switzerland</v>
      </c>
      <c r="C1146" s="46">
        <f>IFERROR(__xludf.DUMMYFUNCTION("""COMPUTED_VALUE"""),8.6929177E8)</f>
        <v>869291770</v>
      </c>
      <c r="D1146" s="84">
        <f>IFERROR(__xludf.DUMMYFUNCTION("""COMPUTED_VALUE"""),1073909.89)</f>
        <v>1073909.89</v>
      </c>
      <c r="H1146" s="48"/>
      <c r="I1146" s="38"/>
      <c r="J1146" s="38"/>
      <c r="K1146" s="38"/>
      <c r="M1146" s="87"/>
      <c r="N1146" s="38"/>
      <c r="Q1146" s="38"/>
    </row>
    <row r="1147">
      <c r="A1147" s="46" t="str">
        <f>IFERROR(__xludf.DUMMYFUNCTION("""COMPUTED_VALUE"""),"Clothes")</f>
        <v>Clothes</v>
      </c>
      <c r="B1147" s="46" t="str">
        <f>IFERROR(__xludf.DUMMYFUNCTION("""COMPUTED_VALUE"""),"Austria")</f>
        <v>Austria</v>
      </c>
      <c r="C1147" s="46">
        <f>IFERROR(__xludf.DUMMYFUNCTION("""COMPUTED_VALUE"""),8.70173251E8)</f>
        <v>870173251</v>
      </c>
      <c r="D1147" s="84">
        <f>IFERROR(__xludf.DUMMYFUNCTION("""COMPUTED_VALUE"""),268500.96)</f>
        <v>268500.96</v>
      </c>
      <c r="H1147" s="48"/>
      <c r="I1147" s="38"/>
      <c r="J1147" s="38"/>
      <c r="K1147" s="38"/>
      <c r="M1147" s="87"/>
      <c r="N1147" s="38"/>
      <c r="Q1147" s="38"/>
    </row>
    <row r="1148">
      <c r="A1148" s="46" t="str">
        <f>IFERROR(__xludf.DUMMYFUNCTION("""COMPUTED_VALUE"""),"Fruits")</f>
        <v>Fruits</v>
      </c>
      <c r="B1148" s="46" t="str">
        <f>IFERROR(__xludf.DUMMYFUNCTION("""COMPUTED_VALUE"""),"Latvia")</f>
        <v>Latvia</v>
      </c>
      <c r="C1148" s="46">
        <f>IFERROR(__xludf.DUMMYFUNCTION("""COMPUTED_VALUE"""),8.70218312E8)</f>
        <v>870218312</v>
      </c>
      <c r="D1148" s="84">
        <f>IFERROR(__xludf.DUMMYFUNCTION("""COMPUTED_VALUE"""),54039.36)</f>
        <v>54039.36</v>
      </c>
      <c r="H1148" s="48"/>
      <c r="I1148" s="38"/>
      <c r="J1148" s="38"/>
      <c r="K1148" s="38"/>
      <c r="M1148" s="87"/>
      <c r="N1148" s="38"/>
      <c r="Q1148" s="38"/>
    </row>
    <row r="1149">
      <c r="A1149" s="46" t="str">
        <f>IFERROR(__xludf.DUMMYFUNCTION("""COMPUTED_VALUE"""),"Household")</f>
        <v>Household</v>
      </c>
      <c r="B1149" s="46" t="str">
        <f>IFERROR(__xludf.DUMMYFUNCTION("""COMPUTED_VALUE"""),"San Marino")</f>
        <v>San Marino</v>
      </c>
      <c r="C1149" s="46">
        <f>IFERROR(__xludf.DUMMYFUNCTION("""COMPUTED_VALUE"""),8.71147E8)</f>
        <v>871147000</v>
      </c>
      <c r="D1149" s="84">
        <f>IFERROR(__xludf.DUMMYFUNCTION("""COMPUTED_VALUE"""),408312.97)</f>
        <v>408312.97</v>
      </c>
      <c r="H1149" s="48"/>
      <c r="I1149" s="38"/>
      <c r="J1149" s="38"/>
      <c r="K1149" s="38"/>
      <c r="M1149" s="87"/>
      <c r="N1149" s="38"/>
      <c r="Q1149" s="38"/>
    </row>
    <row r="1150">
      <c r="A1150" s="46" t="str">
        <f>IFERROR(__xludf.DUMMYFUNCTION("""COMPUTED_VALUE"""),"Baby Food")</f>
        <v>Baby Food</v>
      </c>
      <c r="B1150" s="46" t="str">
        <f>IFERROR(__xludf.DUMMYFUNCTION("""COMPUTED_VALUE"""),"Bosnia and Herzegovina")</f>
        <v>Bosnia and Herzegovina</v>
      </c>
      <c r="C1150" s="46">
        <f>IFERROR(__xludf.DUMMYFUNCTION("""COMPUTED_VALUE"""),8.71923768E8)</f>
        <v>871923768</v>
      </c>
      <c r="D1150" s="84">
        <f>IFERROR(__xludf.DUMMYFUNCTION("""COMPUTED_VALUE"""),121002.72)</f>
        <v>121002.72</v>
      </c>
      <c r="H1150" s="48"/>
      <c r="I1150" s="38"/>
      <c r="J1150" s="38"/>
      <c r="K1150" s="38"/>
      <c r="M1150" s="87"/>
      <c r="N1150" s="38"/>
      <c r="Q1150" s="38"/>
    </row>
    <row r="1151">
      <c r="A1151" s="46" t="str">
        <f>IFERROR(__xludf.DUMMYFUNCTION("""COMPUTED_VALUE"""),"Household")</f>
        <v>Household</v>
      </c>
      <c r="B1151" s="46" t="str">
        <f>IFERROR(__xludf.DUMMYFUNCTION("""COMPUTED_VALUE"""),"Slovenia")</f>
        <v>Slovenia</v>
      </c>
      <c r="C1151" s="46">
        <f>IFERROR(__xludf.DUMMYFUNCTION("""COMPUTED_VALUE"""),8.73432672E8)</f>
        <v>873432672</v>
      </c>
      <c r="D1151" s="84">
        <f>IFERROR(__xludf.DUMMYFUNCTION("""COMPUTED_VALUE"""),4672543.84)</f>
        <v>4672543.84</v>
      </c>
      <c r="H1151" s="48"/>
      <c r="I1151" s="38"/>
      <c r="J1151" s="38"/>
      <c r="K1151" s="38"/>
      <c r="M1151" s="87"/>
      <c r="N1151" s="38"/>
      <c r="Q1151" s="38"/>
    </row>
    <row r="1152">
      <c r="A1152" s="46" t="str">
        <f>IFERROR(__xludf.DUMMYFUNCTION("""COMPUTED_VALUE"""),"Household")</f>
        <v>Household</v>
      </c>
      <c r="B1152" s="46" t="str">
        <f>IFERROR(__xludf.DUMMYFUNCTION("""COMPUTED_VALUE"""),"Germany")</f>
        <v>Germany</v>
      </c>
      <c r="C1152" s="46">
        <f>IFERROR(__xludf.DUMMYFUNCTION("""COMPUTED_VALUE"""),8.74172532E8)</f>
        <v>874172532</v>
      </c>
      <c r="D1152" s="84">
        <f>IFERROR(__xludf.DUMMYFUNCTION("""COMPUTED_VALUE"""),3964845.9099999997)</f>
        <v>3964845.91</v>
      </c>
      <c r="H1152" s="48"/>
      <c r="I1152" s="38"/>
      <c r="J1152" s="38"/>
      <c r="K1152" s="38"/>
      <c r="M1152" s="87"/>
      <c r="N1152" s="38"/>
      <c r="Q1152" s="38"/>
    </row>
    <row r="1153">
      <c r="A1153" s="46" t="str">
        <f>IFERROR(__xludf.DUMMYFUNCTION("""COMPUTED_VALUE"""),"Beverages")</f>
        <v>Beverages</v>
      </c>
      <c r="B1153" s="46" t="str">
        <f>IFERROR(__xludf.DUMMYFUNCTION("""COMPUTED_VALUE"""),"Cyprus")</f>
        <v>Cyprus</v>
      </c>
      <c r="C1153" s="46">
        <f>IFERROR(__xludf.DUMMYFUNCTION("""COMPUTED_VALUE"""),8.74349772E8)</f>
        <v>874349772</v>
      </c>
      <c r="D1153" s="84">
        <f>IFERROR(__xludf.DUMMYFUNCTION("""COMPUTED_VALUE"""),397773.35000000003)</f>
        <v>397773.35</v>
      </c>
      <c r="H1153" s="48"/>
      <c r="I1153" s="38"/>
      <c r="J1153" s="38"/>
      <c r="K1153" s="38"/>
      <c r="M1153" s="87"/>
      <c r="N1153" s="38"/>
      <c r="Q1153" s="38"/>
    </row>
    <row r="1154">
      <c r="A1154" s="46" t="str">
        <f>IFERROR(__xludf.DUMMYFUNCTION("""COMPUTED_VALUE"""),"Fruits")</f>
        <v>Fruits</v>
      </c>
      <c r="B1154" s="46" t="str">
        <f>IFERROR(__xludf.DUMMYFUNCTION("""COMPUTED_VALUE"""),"San Marino")</f>
        <v>San Marino</v>
      </c>
      <c r="C1154" s="46">
        <f>IFERROR(__xludf.DUMMYFUNCTION("""COMPUTED_VALUE"""),8.75220096E8)</f>
        <v>875220096</v>
      </c>
      <c r="D1154" s="84">
        <f>IFERROR(__xludf.DUMMYFUNCTION("""COMPUTED_VALUE"""),55326.9)</f>
        <v>55326.9</v>
      </c>
      <c r="H1154" s="48"/>
      <c r="I1154" s="38"/>
      <c r="J1154" s="38"/>
      <c r="K1154" s="38"/>
      <c r="M1154" s="87"/>
      <c r="N1154" s="38"/>
      <c r="Q1154" s="38"/>
    </row>
    <row r="1155">
      <c r="A1155" s="46" t="str">
        <f>IFERROR(__xludf.DUMMYFUNCTION("""COMPUTED_VALUE"""),"Meat")</f>
        <v>Meat</v>
      </c>
      <c r="B1155" s="46" t="str">
        <f>IFERROR(__xludf.DUMMYFUNCTION("""COMPUTED_VALUE"""),"Slovakia")</f>
        <v>Slovakia</v>
      </c>
      <c r="C1155" s="46">
        <f>IFERROR(__xludf.DUMMYFUNCTION("""COMPUTED_VALUE"""),8.76856458E8)</f>
        <v>876856458</v>
      </c>
      <c r="D1155" s="84">
        <f>IFERROR(__xludf.DUMMYFUNCTION("""COMPUTED_VALUE"""),70033.73999999999)</f>
        <v>70033.74</v>
      </c>
      <c r="H1155" s="48"/>
      <c r="I1155" s="38"/>
      <c r="J1155" s="38"/>
      <c r="K1155" s="38"/>
      <c r="M1155" s="87"/>
      <c r="N1155" s="38"/>
      <c r="Q1155" s="38"/>
    </row>
    <row r="1156">
      <c r="A1156" s="46" t="str">
        <f>IFERROR(__xludf.DUMMYFUNCTION("""COMPUTED_VALUE"""),"Beverages")</f>
        <v>Beverages</v>
      </c>
      <c r="B1156" s="46" t="str">
        <f>IFERROR(__xludf.DUMMYFUNCTION("""COMPUTED_VALUE"""),"Albania")</f>
        <v>Albania</v>
      </c>
      <c r="C1156" s="46">
        <f>IFERROR(__xludf.DUMMYFUNCTION("""COMPUTED_VALUE"""),8.77062451E8)</f>
        <v>877062451</v>
      </c>
      <c r="D1156" s="84">
        <f>IFERROR(__xludf.DUMMYFUNCTION("""COMPUTED_VALUE"""),53333.8)</f>
        <v>53333.8</v>
      </c>
      <c r="H1156" s="48"/>
      <c r="I1156" s="38"/>
      <c r="J1156" s="38"/>
      <c r="K1156" s="38"/>
      <c r="M1156" s="87"/>
      <c r="N1156" s="38"/>
      <c r="Q1156" s="38"/>
    </row>
    <row r="1157">
      <c r="A1157" s="46" t="str">
        <f>IFERROR(__xludf.DUMMYFUNCTION("""COMPUTED_VALUE"""),"Meat")</f>
        <v>Meat</v>
      </c>
      <c r="B1157" s="46" t="str">
        <f>IFERROR(__xludf.DUMMYFUNCTION("""COMPUTED_VALUE"""),"Switzerland")</f>
        <v>Switzerland</v>
      </c>
      <c r="C1157" s="46">
        <f>IFERROR(__xludf.DUMMYFUNCTION("""COMPUTED_VALUE"""),8.77084767E8)</f>
        <v>877084767</v>
      </c>
      <c r="D1157" s="84">
        <f>IFERROR(__xludf.DUMMYFUNCTION("""COMPUTED_VALUE"""),3260365.92)</f>
        <v>3260365.92</v>
      </c>
      <c r="H1157" s="48"/>
      <c r="I1157" s="38"/>
      <c r="J1157" s="38"/>
      <c r="K1157" s="38"/>
      <c r="M1157" s="87"/>
      <c r="N1157" s="38"/>
      <c r="Q1157" s="38"/>
    </row>
    <row r="1158">
      <c r="A1158" s="46" t="str">
        <f>IFERROR(__xludf.DUMMYFUNCTION("""COMPUTED_VALUE"""),"Personal Care")</f>
        <v>Personal Care</v>
      </c>
      <c r="B1158" s="46" t="str">
        <f>IFERROR(__xludf.DUMMYFUNCTION("""COMPUTED_VALUE"""),"Slovakia")</f>
        <v>Slovakia</v>
      </c>
      <c r="C1158" s="46">
        <f>IFERROR(__xludf.DUMMYFUNCTION("""COMPUTED_VALUE"""),8.77687728E8)</f>
        <v>877687728</v>
      </c>
      <c r="D1158" s="84">
        <f>IFERROR(__xludf.DUMMYFUNCTION("""COMPUTED_VALUE"""),503293.34)</f>
        <v>503293.34</v>
      </c>
      <c r="H1158" s="48"/>
      <c r="I1158" s="38"/>
      <c r="J1158" s="38"/>
      <c r="K1158" s="38"/>
      <c r="M1158" s="87"/>
      <c r="N1158" s="38"/>
      <c r="Q1158" s="38"/>
    </row>
    <row r="1159">
      <c r="A1159" s="46" t="str">
        <f>IFERROR(__xludf.DUMMYFUNCTION("""COMPUTED_VALUE"""),"Cosmetics")</f>
        <v>Cosmetics</v>
      </c>
      <c r="B1159" s="46" t="str">
        <f>IFERROR(__xludf.DUMMYFUNCTION("""COMPUTED_VALUE"""),"Iceland")</f>
        <v>Iceland</v>
      </c>
      <c r="C1159" s="46">
        <f>IFERROR(__xludf.DUMMYFUNCTION("""COMPUTED_VALUE"""),8.7861427E8)</f>
        <v>878614270</v>
      </c>
      <c r="D1159" s="84">
        <f>IFERROR(__xludf.DUMMYFUNCTION("""COMPUTED_VALUE"""),149522.4)</f>
        <v>149522.4</v>
      </c>
      <c r="H1159" s="48"/>
      <c r="I1159" s="38"/>
      <c r="J1159" s="38"/>
      <c r="K1159" s="38"/>
      <c r="M1159" s="87"/>
      <c r="N1159" s="38"/>
      <c r="Q1159" s="38"/>
    </row>
    <row r="1160">
      <c r="A1160" s="46" t="str">
        <f>IFERROR(__xludf.DUMMYFUNCTION("""COMPUTED_VALUE"""),"Beverages")</f>
        <v>Beverages</v>
      </c>
      <c r="B1160" s="46" t="str">
        <f>IFERROR(__xludf.DUMMYFUNCTION("""COMPUTED_VALUE"""),"Belarus")</f>
        <v>Belarus</v>
      </c>
      <c r="C1160" s="46">
        <f>IFERROR(__xludf.DUMMYFUNCTION("""COMPUTED_VALUE"""),8.794052E8)</f>
        <v>879405200</v>
      </c>
      <c r="D1160" s="84">
        <f>IFERROR(__xludf.DUMMYFUNCTION("""COMPUTED_VALUE"""),208590.2)</f>
        <v>208590.2</v>
      </c>
      <c r="H1160" s="48"/>
      <c r="I1160" s="38"/>
      <c r="J1160" s="38"/>
      <c r="K1160" s="38"/>
      <c r="M1160" s="87"/>
      <c r="N1160" s="38"/>
      <c r="Q1160" s="38"/>
    </row>
    <row r="1161">
      <c r="A1161" s="46" t="str">
        <f>IFERROR(__xludf.DUMMYFUNCTION("""COMPUTED_VALUE"""),"Fruits")</f>
        <v>Fruits</v>
      </c>
      <c r="B1161" s="46" t="str">
        <f>IFERROR(__xludf.DUMMYFUNCTION("""COMPUTED_VALUE"""),"Lithuania")</f>
        <v>Lithuania</v>
      </c>
      <c r="C1161" s="46">
        <f>IFERROR(__xludf.DUMMYFUNCTION("""COMPUTED_VALUE"""),8.79845082E8)</f>
        <v>879845082</v>
      </c>
      <c r="D1161" s="84">
        <f>IFERROR(__xludf.DUMMYFUNCTION("""COMPUTED_VALUE"""),42610.11)</f>
        <v>42610.11</v>
      </c>
      <c r="H1161" s="48"/>
      <c r="I1161" s="38"/>
      <c r="J1161" s="38"/>
      <c r="K1161" s="38"/>
      <c r="M1161" s="87"/>
      <c r="N1161" s="38"/>
      <c r="Q1161" s="38"/>
    </row>
    <row r="1162">
      <c r="A1162" s="46" t="str">
        <f>IFERROR(__xludf.DUMMYFUNCTION("""COMPUTED_VALUE"""),"Baby Food")</f>
        <v>Baby Food</v>
      </c>
      <c r="B1162" s="46" t="str">
        <f>IFERROR(__xludf.DUMMYFUNCTION("""COMPUTED_VALUE"""),"Hungary")</f>
        <v>Hungary</v>
      </c>
      <c r="C1162" s="46">
        <f>IFERROR(__xludf.DUMMYFUNCTION("""COMPUTED_VALUE"""),8.79923617E8)</f>
        <v>879923617</v>
      </c>
      <c r="D1162" s="84">
        <f>IFERROR(__xludf.DUMMYFUNCTION("""COMPUTED_VALUE"""),1992970.96)</f>
        <v>1992970.96</v>
      </c>
      <c r="H1162" s="48"/>
      <c r="I1162" s="38"/>
      <c r="J1162" s="38"/>
      <c r="K1162" s="38"/>
      <c r="M1162" s="87"/>
      <c r="N1162" s="38"/>
      <c r="Q1162" s="38"/>
    </row>
    <row r="1163">
      <c r="A1163" s="46" t="str">
        <f>IFERROR(__xludf.DUMMYFUNCTION("""COMPUTED_VALUE"""),"Clothes")</f>
        <v>Clothes</v>
      </c>
      <c r="B1163" s="46" t="str">
        <f>IFERROR(__xludf.DUMMYFUNCTION("""COMPUTED_VALUE"""),"Poland")</f>
        <v>Poland</v>
      </c>
      <c r="C1163" s="46">
        <f>IFERROR(__xludf.DUMMYFUNCTION("""COMPUTED_VALUE"""),8.80176818E8)</f>
        <v>880176818</v>
      </c>
      <c r="D1163" s="84">
        <f>IFERROR(__xludf.DUMMYFUNCTION("""COMPUTED_VALUE"""),298880.8)</f>
        <v>298880.8</v>
      </c>
      <c r="H1163" s="48"/>
      <c r="I1163" s="38"/>
      <c r="J1163" s="38"/>
      <c r="K1163" s="38"/>
      <c r="M1163" s="87"/>
      <c r="N1163" s="38"/>
      <c r="Q1163" s="38"/>
    </row>
    <row r="1164">
      <c r="A1164" s="46" t="str">
        <f>IFERROR(__xludf.DUMMYFUNCTION("""COMPUTED_VALUE"""),"Office Supplies")</f>
        <v>Office Supplies</v>
      </c>
      <c r="B1164" s="46" t="str">
        <f>IFERROR(__xludf.DUMMYFUNCTION("""COMPUTED_VALUE"""),"San Marino")</f>
        <v>San Marino</v>
      </c>
      <c r="C1164" s="46">
        <f>IFERROR(__xludf.DUMMYFUNCTION("""COMPUTED_VALUE"""),8.8119477E8)</f>
        <v>881194770</v>
      </c>
      <c r="D1164" s="84">
        <f>IFERROR(__xludf.DUMMYFUNCTION("""COMPUTED_VALUE"""),2584652.49)</f>
        <v>2584652.49</v>
      </c>
      <c r="H1164" s="48"/>
      <c r="I1164" s="38"/>
      <c r="J1164" s="38"/>
      <c r="K1164" s="38"/>
      <c r="M1164" s="87"/>
      <c r="N1164" s="38"/>
      <c r="Q1164" s="38"/>
    </row>
    <row r="1165">
      <c r="A1165" s="46" t="str">
        <f>IFERROR(__xludf.DUMMYFUNCTION("""COMPUTED_VALUE"""),"Snacks")</f>
        <v>Snacks</v>
      </c>
      <c r="B1165" s="46" t="str">
        <f>IFERROR(__xludf.DUMMYFUNCTION("""COMPUTED_VALUE"""),"Belgium")</f>
        <v>Belgium</v>
      </c>
      <c r="C1165" s="46">
        <f>IFERROR(__xludf.DUMMYFUNCTION("""COMPUTED_VALUE"""),8.8171705E8)</f>
        <v>881717050</v>
      </c>
      <c r="D1165" s="84">
        <f>IFERROR(__xludf.DUMMYFUNCTION("""COMPUTED_VALUE"""),1300591.9200000002)</f>
        <v>1300591.92</v>
      </c>
      <c r="H1165" s="48"/>
      <c r="I1165" s="38"/>
      <c r="J1165" s="38"/>
      <c r="K1165" s="38"/>
      <c r="M1165" s="87"/>
      <c r="N1165" s="38"/>
      <c r="Q1165" s="38"/>
    </row>
    <row r="1166">
      <c r="A1166" s="46" t="str">
        <f>IFERROR(__xludf.DUMMYFUNCTION("""COMPUTED_VALUE"""),"Office Supplies")</f>
        <v>Office Supplies</v>
      </c>
      <c r="B1166" s="46" t="str">
        <f>IFERROR(__xludf.DUMMYFUNCTION("""COMPUTED_VALUE"""),"Armenia")</f>
        <v>Armenia</v>
      </c>
      <c r="C1166" s="46">
        <f>IFERROR(__xludf.DUMMYFUNCTION("""COMPUTED_VALUE"""),8.83504474E8)</f>
        <v>883504474</v>
      </c>
      <c r="D1166" s="84">
        <f>IFERROR(__xludf.DUMMYFUNCTION("""COMPUTED_VALUE"""),4859329.0200000005)</f>
        <v>4859329.02</v>
      </c>
      <c r="H1166" s="48"/>
      <c r="I1166" s="38"/>
      <c r="J1166" s="38"/>
      <c r="K1166" s="38"/>
      <c r="M1166" s="87"/>
      <c r="N1166" s="38"/>
      <c r="Q1166" s="38"/>
    </row>
    <row r="1167">
      <c r="A1167" s="46" t="str">
        <f>IFERROR(__xludf.DUMMYFUNCTION("""COMPUTED_VALUE"""),"Beverages")</f>
        <v>Beverages</v>
      </c>
      <c r="B1167" s="46" t="str">
        <f>IFERROR(__xludf.DUMMYFUNCTION("""COMPUTED_VALUE"""),"Finland")</f>
        <v>Finland</v>
      </c>
      <c r="C1167" s="46">
        <f>IFERROR(__xludf.DUMMYFUNCTION("""COMPUTED_VALUE"""),8.84147775E8)</f>
        <v>884147775</v>
      </c>
      <c r="D1167" s="84">
        <f>IFERROR(__xludf.DUMMYFUNCTION("""COMPUTED_VALUE"""),371486.05000000005)</f>
        <v>371486.05</v>
      </c>
      <c r="H1167" s="48"/>
      <c r="I1167" s="38"/>
      <c r="J1167" s="38"/>
      <c r="K1167" s="38"/>
      <c r="M1167" s="87"/>
      <c r="N1167" s="38"/>
      <c r="Q1167" s="38"/>
    </row>
    <row r="1168">
      <c r="A1168" s="46" t="str">
        <f>IFERROR(__xludf.DUMMYFUNCTION("""COMPUTED_VALUE"""),"Office Supplies")</f>
        <v>Office Supplies</v>
      </c>
      <c r="B1168" s="46" t="str">
        <f>IFERROR(__xludf.DUMMYFUNCTION("""COMPUTED_VALUE"""),"Norway")</f>
        <v>Norway</v>
      </c>
      <c r="C1168" s="46">
        <f>IFERROR(__xludf.DUMMYFUNCTION("""COMPUTED_VALUE"""),8.84192836E8)</f>
        <v>884192836</v>
      </c>
      <c r="D1168" s="84">
        <f>IFERROR(__xludf.DUMMYFUNCTION("""COMPUTED_VALUE"""),758008.4400000001)</f>
        <v>758008.44</v>
      </c>
      <c r="H1168" s="48"/>
      <c r="I1168" s="38"/>
      <c r="J1168" s="38"/>
      <c r="K1168" s="38"/>
      <c r="M1168" s="87"/>
      <c r="N1168" s="38"/>
      <c r="Q1168" s="38"/>
    </row>
    <row r="1169">
      <c r="A1169" s="46" t="str">
        <f>IFERROR(__xludf.DUMMYFUNCTION("""COMPUTED_VALUE"""),"Snacks")</f>
        <v>Snacks</v>
      </c>
      <c r="B1169" s="46" t="str">
        <f>IFERROR(__xludf.DUMMYFUNCTION("""COMPUTED_VALUE"""),"Romania")</f>
        <v>Romania</v>
      </c>
      <c r="C1169" s="46">
        <f>IFERROR(__xludf.DUMMYFUNCTION("""COMPUTED_VALUE"""),8.84462773E8)</f>
        <v>884462773</v>
      </c>
      <c r="D1169" s="84">
        <f>IFERROR(__xludf.DUMMYFUNCTION("""COMPUTED_VALUE"""),159293.52000000002)</f>
        <v>159293.52</v>
      </c>
      <c r="H1169" s="48"/>
      <c r="I1169" s="38"/>
      <c r="J1169" s="38"/>
      <c r="K1169" s="38"/>
      <c r="M1169" s="87"/>
      <c r="N1169" s="38"/>
      <c r="Q1169" s="38"/>
    </row>
    <row r="1170">
      <c r="A1170" s="46" t="str">
        <f>IFERROR(__xludf.DUMMYFUNCTION("""COMPUTED_VALUE"""),"Office Supplies")</f>
        <v>Office Supplies</v>
      </c>
      <c r="B1170" s="46" t="str">
        <f>IFERROR(__xludf.DUMMYFUNCTION("""COMPUTED_VALUE"""),"Czech Republic")</f>
        <v>Czech Republic</v>
      </c>
      <c r="C1170" s="46">
        <f>IFERROR(__xludf.DUMMYFUNCTION("""COMPUTED_VALUE"""),8.85046851E8)</f>
        <v>885046851</v>
      </c>
      <c r="D1170" s="84">
        <f>IFERROR(__xludf.DUMMYFUNCTION("""COMPUTED_VALUE"""),2530602.06)</f>
        <v>2530602.06</v>
      </c>
      <c r="H1170" s="48"/>
      <c r="I1170" s="38"/>
      <c r="J1170" s="38"/>
      <c r="K1170" s="38"/>
      <c r="M1170" s="87"/>
      <c r="N1170" s="38"/>
      <c r="Q1170" s="38"/>
    </row>
    <row r="1171">
      <c r="A1171" s="46" t="str">
        <f>IFERROR(__xludf.DUMMYFUNCTION("""COMPUTED_VALUE"""),"Meat")</f>
        <v>Meat</v>
      </c>
      <c r="B1171" s="46" t="str">
        <f>IFERROR(__xludf.DUMMYFUNCTION("""COMPUTED_VALUE"""),"Slovenia")</f>
        <v>Slovenia</v>
      </c>
      <c r="C1171" s="46">
        <f>IFERROR(__xludf.DUMMYFUNCTION("""COMPUTED_VALUE"""),8.85397469E8)</f>
        <v>885397469</v>
      </c>
      <c r="D1171" s="84">
        <f>IFERROR(__xludf.DUMMYFUNCTION("""COMPUTED_VALUE"""),3224083.38)</f>
        <v>3224083.38</v>
      </c>
      <c r="H1171" s="48"/>
      <c r="I1171" s="38"/>
      <c r="J1171" s="38"/>
      <c r="K1171" s="38"/>
      <c r="M1171" s="87"/>
      <c r="N1171" s="38"/>
      <c r="Q1171" s="38"/>
    </row>
    <row r="1172">
      <c r="A1172" s="46" t="str">
        <f>IFERROR(__xludf.DUMMYFUNCTION("""COMPUTED_VALUE"""),"Clothes")</f>
        <v>Clothes</v>
      </c>
      <c r="B1172" s="46" t="str">
        <f>IFERROR(__xludf.DUMMYFUNCTION("""COMPUTED_VALUE"""),"Armenia")</f>
        <v>Armenia</v>
      </c>
      <c r="C1172" s="46">
        <f>IFERROR(__xludf.DUMMYFUNCTION("""COMPUTED_VALUE"""),8.85998284E8)</f>
        <v>885998284</v>
      </c>
      <c r="D1172" s="84">
        <f>IFERROR(__xludf.DUMMYFUNCTION("""COMPUTED_VALUE"""),594046.08)</f>
        <v>594046.08</v>
      </c>
      <c r="H1172" s="48"/>
      <c r="I1172" s="38"/>
      <c r="J1172" s="38"/>
      <c r="K1172" s="38"/>
      <c r="M1172" s="87"/>
      <c r="N1172" s="38"/>
      <c r="Q1172" s="38"/>
    </row>
    <row r="1173">
      <c r="A1173" s="46" t="str">
        <f>IFERROR(__xludf.DUMMYFUNCTION("""COMPUTED_VALUE"""),"Office Supplies")</f>
        <v>Office Supplies</v>
      </c>
      <c r="B1173" s="46" t="str">
        <f>IFERROR(__xludf.DUMMYFUNCTION("""COMPUTED_VALUE"""),"Italy")</f>
        <v>Italy</v>
      </c>
      <c r="C1173" s="46">
        <f>IFERROR(__xludf.DUMMYFUNCTION("""COMPUTED_VALUE"""),8.86620128E8)</f>
        <v>886620128</v>
      </c>
      <c r="D1173" s="84">
        <f>IFERROR(__xludf.DUMMYFUNCTION("""COMPUTED_VALUE"""),6155888.13)</f>
        <v>6155888.13</v>
      </c>
      <c r="H1173" s="48"/>
      <c r="I1173" s="38"/>
      <c r="J1173" s="38"/>
      <c r="K1173" s="38"/>
      <c r="M1173" s="87"/>
      <c r="N1173" s="38"/>
      <c r="Q1173" s="38"/>
    </row>
    <row r="1174">
      <c r="A1174" s="46" t="str">
        <f>IFERROR(__xludf.DUMMYFUNCTION("""COMPUTED_VALUE"""),"Vegetables")</f>
        <v>Vegetables</v>
      </c>
      <c r="B1174" s="46" t="str">
        <f>IFERROR(__xludf.DUMMYFUNCTION("""COMPUTED_VALUE"""),"Slovenia")</f>
        <v>Slovenia</v>
      </c>
      <c r="C1174" s="46">
        <f>IFERROR(__xludf.DUMMYFUNCTION("""COMPUTED_VALUE"""),8.86763894E8)</f>
        <v>886763894</v>
      </c>
      <c r="D1174" s="84">
        <f>IFERROR(__xludf.DUMMYFUNCTION("""COMPUTED_VALUE"""),307657.82)</f>
        <v>307657.82</v>
      </c>
      <c r="H1174" s="48"/>
      <c r="I1174" s="38"/>
      <c r="J1174" s="38"/>
      <c r="K1174" s="38"/>
      <c r="M1174" s="87"/>
      <c r="N1174" s="38"/>
      <c r="Q1174" s="38"/>
    </row>
    <row r="1175">
      <c r="A1175" s="46" t="str">
        <f>IFERROR(__xludf.DUMMYFUNCTION("""COMPUTED_VALUE"""),"Cosmetics")</f>
        <v>Cosmetics</v>
      </c>
      <c r="B1175" s="46" t="str">
        <f>IFERROR(__xludf.DUMMYFUNCTION("""COMPUTED_VALUE"""),"United Kingdom")</f>
        <v>United Kingdom</v>
      </c>
      <c r="C1175" s="46">
        <f>IFERROR(__xludf.DUMMYFUNCTION("""COMPUTED_VALUE"""),8.8750118E8)</f>
        <v>887501180</v>
      </c>
      <c r="D1175" s="84">
        <f>IFERROR(__xludf.DUMMYFUNCTION("""COMPUTED_VALUE"""),76947.2)</f>
        <v>76947.2</v>
      </c>
      <c r="H1175" s="48"/>
      <c r="I1175" s="38"/>
      <c r="J1175" s="38"/>
      <c r="K1175" s="38"/>
      <c r="M1175" s="87"/>
      <c r="N1175" s="38"/>
      <c r="Q1175" s="38"/>
    </row>
    <row r="1176">
      <c r="A1176" s="46" t="str">
        <f>IFERROR(__xludf.DUMMYFUNCTION("""COMPUTED_VALUE"""),"Cereal")</f>
        <v>Cereal</v>
      </c>
      <c r="B1176" s="46" t="str">
        <f>IFERROR(__xludf.DUMMYFUNCTION("""COMPUTED_VALUE"""),"Finland")</f>
        <v>Finland</v>
      </c>
      <c r="C1176" s="46">
        <f>IFERROR(__xludf.DUMMYFUNCTION("""COMPUTED_VALUE"""),8.89093768E8)</f>
        <v>889093768</v>
      </c>
      <c r="D1176" s="84">
        <f>IFERROR(__xludf.DUMMYFUNCTION("""COMPUTED_VALUE"""),299910.6)</f>
        <v>299910.6</v>
      </c>
      <c r="H1176" s="48"/>
      <c r="I1176" s="38"/>
      <c r="J1176" s="38"/>
      <c r="K1176" s="38"/>
      <c r="M1176" s="87"/>
      <c r="N1176" s="38"/>
      <c r="Q1176" s="38"/>
    </row>
    <row r="1177">
      <c r="A1177" s="46" t="str">
        <f>IFERROR(__xludf.DUMMYFUNCTION("""COMPUTED_VALUE"""),"Fruits")</f>
        <v>Fruits</v>
      </c>
      <c r="B1177" s="46" t="str">
        <f>IFERROR(__xludf.DUMMYFUNCTION("""COMPUTED_VALUE"""),"Andorra")</f>
        <v>Andorra</v>
      </c>
      <c r="C1177" s="46">
        <f>IFERROR(__xludf.DUMMYFUNCTION("""COMPUTED_VALUE"""),8.89125955E8)</f>
        <v>889125955</v>
      </c>
      <c r="D1177" s="84">
        <f>IFERROR(__xludf.DUMMYFUNCTION("""COMPUTED_VALUE"""),9171.39)</f>
        <v>9171.39</v>
      </c>
      <c r="H1177" s="48"/>
      <c r="I1177" s="38"/>
      <c r="J1177" s="38"/>
      <c r="K1177" s="38"/>
      <c r="M1177" s="87"/>
      <c r="N1177" s="38"/>
      <c r="Q1177" s="38"/>
    </row>
    <row r="1178">
      <c r="A1178" s="46" t="str">
        <f>IFERROR(__xludf.DUMMYFUNCTION("""COMPUTED_VALUE"""),"Household")</f>
        <v>Household</v>
      </c>
      <c r="B1178" s="46" t="str">
        <f>IFERROR(__xludf.DUMMYFUNCTION("""COMPUTED_VALUE"""),"Bosnia and Herzegovina")</f>
        <v>Bosnia and Herzegovina</v>
      </c>
      <c r="C1178" s="46">
        <f>IFERROR(__xludf.DUMMYFUNCTION("""COMPUTED_VALUE"""),8.91681563E8)</f>
        <v>891681563</v>
      </c>
      <c r="D1178" s="84">
        <f>IFERROR(__xludf.DUMMYFUNCTION("""COMPUTED_VALUE"""),4841616.149999999)</f>
        <v>4841616.15</v>
      </c>
      <c r="H1178" s="48"/>
      <c r="I1178" s="38"/>
      <c r="J1178" s="38"/>
      <c r="K1178" s="38"/>
      <c r="M1178" s="87"/>
      <c r="N1178" s="38"/>
      <c r="Q1178" s="38"/>
    </row>
    <row r="1179">
      <c r="A1179" s="46" t="str">
        <f>IFERROR(__xludf.DUMMYFUNCTION("""COMPUTED_VALUE"""),"Baby Food")</f>
        <v>Baby Food</v>
      </c>
      <c r="B1179" s="46" t="str">
        <f>IFERROR(__xludf.DUMMYFUNCTION("""COMPUTED_VALUE"""),"Slovakia")</f>
        <v>Slovakia</v>
      </c>
      <c r="C1179" s="46">
        <f>IFERROR(__xludf.DUMMYFUNCTION("""COMPUTED_VALUE"""),8.91808593E8)</f>
        <v>891808593</v>
      </c>
      <c r="D1179" s="84">
        <f>IFERROR(__xludf.DUMMYFUNCTION("""COMPUTED_VALUE"""),1234278.8)</f>
        <v>1234278.8</v>
      </c>
      <c r="H1179" s="48"/>
      <c r="I1179" s="38"/>
      <c r="J1179" s="38"/>
      <c r="K1179" s="38"/>
      <c r="M1179" s="87"/>
      <c r="N1179" s="38"/>
      <c r="Q1179" s="38"/>
    </row>
    <row r="1180">
      <c r="A1180" s="46" t="str">
        <f>IFERROR(__xludf.DUMMYFUNCTION("""COMPUTED_VALUE"""),"Cosmetics")</f>
        <v>Cosmetics</v>
      </c>
      <c r="B1180" s="46" t="str">
        <f>IFERROR(__xludf.DUMMYFUNCTION("""COMPUTED_VALUE"""),"Poland")</f>
        <v>Poland</v>
      </c>
      <c r="C1180" s="46">
        <f>IFERROR(__xludf.DUMMYFUNCTION("""COMPUTED_VALUE"""),8.92042911E8)</f>
        <v>892042911</v>
      </c>
      <c r="D1180" s="84">
        <f>IFERROR(__xludf.DUMMYFUNCTION("""COMPUTED_VALUE"""),1825310.0)</f>
        <v>1825310</v>
      </c>
      <c r="H1180" s="48"/>
      <c r="I1180" s="38"/>
      <c r="J1180" s="38"/>
      <c r="K1180" s="38"/>
      <c r="M1180" s="87"/>
      <c r="N1180" s="38"/>
      <c r="Q1180" s="38"/>
    </row>
    <row r="1181">
      <c r="A1181" s="46" t="str">
        <f>IFERROR(__xludf.DUMMYFUNCTION("""COMPUTED_VALUE"""),"Vegetables")</f>
        <v>Vegetables</v>
      </c>
      <c r="B1181" s="46" t="str">
        <f>IFERROR(__xludf.DUMMYFUNCTION("""COMPUTED_VALUE"""),"Malta")</f>
        <v>Malta</v>
      </c>
      <c r="C1181" s="46">
        <f>IFERROR(__xludf.DUMMYFUNCTION("""COMPUTED_VALUE"""),8.94589078E8)</f>
        <v>894589078</v>
      </c>
      <c r="D1181" s="84">
        <f>IFERROR(__xludf.DUMMYFUNCTION("""COMPUTED_VALUE"""),1177480.58)</f>
        <v>1177480.58</v>
      </c>
      <c r="H1181" s="48"/>
      <c r="I1181" s="38"/>
      <c r="J1181" s="38"/>
      <c r="K1181" s="38"/>
      <c r="M1181" s="87"/>
      <c r="N1181" s="38"/>
      <c r="Q1181" s="38"/>
    </row>
    <row r="1182">
      <c r="A1182" s="46" t="str">
        <f>IFERROR(__xludf.DUMMYFUNCTION("""COMPUTED_VALUE"""),"Beverages")</f>
        <v>Beverages</v>
      </c>
      <c r="B1182" s="46" t="str">
        <f>IFERROR(__xludf.DUMMYFUNCTION("""COMPUTED_VALUE"""),"Italy")</f>
        <v>Italy</v>
      </c>
      <c r="C1182" s="46">
        <f>IFERROR(__xludf.DUMMYFUNCTION("""COMPUTED_VALUE"""),8.97317206E8)</f>
        <v>897317206</v>
      </c>
      <c r="D1182" s="84">
        <f>IFERROR(__xludf.DUMMYFUNCTION("""COMPUTED_VALUE"""),235209.65000000002)</f>
        <v>235209.65</v>
      </c>
      <c r="H1182" s="48"/>
      <c r="I1182" s="38"/>
      <c r="J1182" s="38"/>
      <c r="K1182" s="38"/>
      <c r="M1182" s="87"/>
      <c r="N1182" s="38"/>
      <c r="Q1182" s="38"/>
    </row>
    <row r="1183">
      <c r="A1183" s="46" t="str">
        <f>IFERROR(__xludf.DUMMYFUNCTION("""COMPUTED_VALUE"""),"Cereal")</f>
        <v>Cereal</v>
      </c>
      <c r="B1183" s="46" t="str">
        <f>IFERROR(__xludf.DUMMYFUNCTION("""COMPUTED_VALUE"""),"Portugal")</f>
        <v>Portugal</v>
      </c>
      <c r="C1183" s="46">
        <f>IFERROR(__xludf.DUMMYFUNCTION("""COMPUTED_VALUE"""),8.97638213E8)</f>
        <v>897638213</v>
      </c>
      <c r="D1183" s="84">
        <f>IFERROR(__xludf.DUMMYFUNCTION("""COMPUTED_VALUE"""),2046715.0)</f>
        <v>2046715</v>
      </c>
      <c r="H1183" s="48"/>
      <c r="I1183" s="38"/>
      <c r="J1183" s="38"/>
      <c r="K1183" s="38"/>
      <c r="M1183" s="87"/>
      <c r="N1183" s="38"/>
      <c r="Q1183" s="38"/>
    </row>
    <row r="1184">
      <c r="A1184" s="46" t="str">
        <f>IFERROR(__xludf.DUMMYFUNCTION("""COMPUTED_VALUE"""),"Office Supplies")</f>
        <v>Office Supplies</v>
      </c>
      <c r="B1184" s="46" t="str">
        <f>IFERROR(__xludf.DUMMYFUNCTION("""COMPUTED_VALUE"""),"Cyprus")</f>
        <v>Cyprus</v>
      </c>
      <c r="C1184" s="46">
        <f>IFERROR(__xludf.DUMMYFUNCTION("""COMPUTED_VALUE"""),8.97785842E8)</f>
        <v>897785842</v>
      </c>
      <c r="D1184" s="84">
        <f>IFERROR(__xludf.DUMMYFUNCTION("""COMPUTED_VALUE"""),2367799.56)</f>
        <v>2367799.56</v>
      </c>
      <c r="H1184" s="48"/>
      <c r="I1184" s="38"/>
      <c r="J1184" s="38"/>
      <c r="K1184" s="38"/>
      <c r="M1184" s="87"/>
      <c r="N1184" s="38"/>
      <c r="Q1184" s="38"/>
    </row>
    <row r="1185">
      <c r="A1185" s="46" t="str">
        <f>IFERROR(__xludf.DUMMYFUNCTION("""COMPUTED_VALUE"""),"Fruits")</f>
        <v>Fruits</v>
      </c>
      <c r="B1185" s="46" t="str">
        <f>IFERROR(__xludf.DUMMYFUNCTION("""COMPUTED_VALUE"""),"Estonia")</f>
        <v>Estonia</v>
      </c>
      <c r="C1185" s="46">
        <f>IFERROR(__xludf.DUMMYFUNCTION("""COMPUTED_VALUE"""),8.98211562E8)</f>
        <v>898211562</v>
      </c>
      <c r="D1185" s="84">
        <f>IFERROR(__xludf.DUMMYFUNCTION("""COMPUTED_VALUE"""),89717.28)</f>
        <v>89717.28</v>
      </c>
      <c r="H1185" s="48"/>
      <c r="I1185" s="38"/>
      <c r="J1185" s="38"/>
      <c r="K1185" s="38"/>
      <c r="M1185" s="87"/>
      <c r="N1185" s="38"/>
      <c r="Q1185" s="38"/>
    </row>
    <row r="1186">
      <c r="A1186" s="46" t="str">
        <f>IFERROR(__xludf.DUMMYFUNCTION("""COMPUTED_VALUE"""),"Fruits")</f>
        <v>Fruits</v>
      </c>
      <c r="B1186" s="46" t="str">
        <f>IFERROR(__xludf.DUMMYFUNCTION("""COMPUTED_VALUE"""),"Undefined")</f>
        <v>Undefined</v>
      </c>
      <c r="C1186" s="46">
        <f>IFERROR(__xludf.DUMMYFUNCTION("""COMPUTED_VALUE"""),8.99868094E8)</f>
        <v>899868094</v>
      </c>
      <c r="D1186" s="84">
        <f>IFERROR(__xludf.DUMMYFUNCTION("""COMPUTED_VALUE"""),91629.93000000001)</f>
        <v>91629.93</v>
      </c>
      <c r="H1186" s="48"/>
      <c r="I1186" s="38"/>
      <c r="J1186" s="38"/>
      <c r="K1186" s="38"/>
      <c r="M1186" s="87"/>
      <c r="N1186" s="38"/>
      <c r="Q1186" s="38"/>
    </row>
    <row r="1187">
      <c r="A1187" s="46" t="str">
        <f>IFERROR(__xludf.DUMMYFUNCTION("""COMPUTED_VALUE"""),"Cosmetics")</f>
        <v>Cosmetics</v>
      </c>
      <c r="B1187" s="46" t="str">
        <f>IFERROR(__xludf.DUMMYFUNCTION("""COMPUTED_VALUE"""),"Greece")</f>
        <v>Greece</v>
      </c>
      <c r="C1187" s="46">
        <f>IFERROR(__xludf.DUMMYFUNCTION("""COMPUTED_VALUE"""),9.00808799E8)</f>
        <v>900808799</v>
      </c>
      <c r="D1187" s="84">
        <f>IFERROR(__xludf.DUMMYFUNCTION("""COMPUTED_VALUE"""),3583291.1999999997)</f>
        <v>3583291.2</v>
      </c>
      <c r="H1187" s="48"/>
      <c r="I1187" s="38"/>
      <c r="J1187" s="38"/>
      <c r="K1187" s="38"/>
      <c r="M1187" s="87"/>
      <c r="N1187" s="38"/>
      <c r="Q1187" s="38"/>
    </row>
    <row r="1188">
      <c r="A1188" s="46" t="str">
        <f>IFERROR(__xludf.DUMMYFUNCTION("""COMPUTED_VALUE"""),"Vegetables")</f>
        <v>Vegetables</v>
      </c>
      <c r="B1188" s="46" t="str">
        <f>IFERROR(__xludf.DUMMYFUNCTION("""COMPUTED_VALUE"""),"Ireland")</f>
        <v>Ireland</v>
      </c>
      <c r="C1188" s="46">
        <f>IFERROR(__xludf.DUMMYFUNCTION("""COMPUTED_VALUE"""),9.01670968E8)</f>
        <v>901670968</v>
      </c>
      <c r="D1188" s="84">
        <f>IFERROR(__xludf.DUMMYFUNCTION("""COMPUTED_VALUE"""),513173.86)</f>
        <v>513173.86</v>
      </c>
      <c r="H1188" s="48"/>
      <c r="I1188" s="38"/>
      <c r="J1188" s="38"/>
      <c r="K1188" s="38"/>
      <c r="M1188" s="87"/>
      <c r="N1188" s="38"/>
      <c r="Q1188" s="38"/>
    </row>
    <row r="1189">
      <c r="A1189" s="46" t="str">
        <f>IFERROR(__xludf.DUMMYFUNCTION("""COMPUTED_VALUE"""),"Meat")</f>
        <v>Meat</v>
      </c>
      <c r="B1189" s="46" t="str">
        <f>IFERROR(__xludf.DUMMYFUNCTION("""COMPUTED_VALUE"""),"Malta")</f>
        <v>Malta</v>
      </c>
      <c r="C1189" s="46">
        <f>IFERROR(__xludf.DUMMYFUNCTION("""COMPUTED_VALUE"""),9.01789844E8)</f>
        <v>901789844</v>
      </c>
      <c r="D1189" s="84">
        <f>IFERROR(__xludf.DUMMYFUNCTION("""COMPUTED_VALUE"""),3589862.01)</f>
        <v>3589862.01</v>
      </c>
      <c r="H1189" s="48"/>
      <c r="I1189" s="38"/>
      <c r="J1189" s="38"/>
      <c r="K1189" s="38"/>
      <c r="M1189" s="87"/>
      <c r="N1189" s="38"/>
      <c r="Q1189" s="38"/>
    </row>
    <row r="1190">
      <c r="A1190" s="46" t="str">
        <f>IFERROR(__xludf.DUMMYFUNCTION("""COMPUTED_VALUE"""),"Office Supplies")</f>
        <v>Office Supplies</v>
      </c>
      <c r="B1190" s="46" t="str">
        <f>IFERROR(__xludf.DUMMYFUNCTION("""COMPUTED_VALUE"""),"San Marino")</f>
        <v>San Marino</v>
      </c>
      <c r="C1190" s="46">
        <f>IFERROR(__xludf.DUMMYFUNCTION("""COMPUTED_VALUE"""),9.04589211E8)</f>
        <v>904589211</v>
      </c>
      <c r="D1190" s="84">
        <f>IFERROR(__xludf.DUMMYFUNCTION("""COMPUTED_VALUE"""),4496605.05)</f>
        <v>4496605.05</v>
      </c>
      <c r="H1190" s="48"/>
      <c r="I1190" s="38"/>
      <c r="J1190" s="38"/>
      <c r="K1190" s="38"/>
      <c r="M1190" s="87"/>
      <c r="N1190" s="38"/>
      <c r="Q1190" s="38"/>
    </row>
    <row r="1191">
      <c r="A1191" s="46" t="str">
        <f>IFERROR(__xludf.DUMMYFUNCTION("""COMPUTED_VALUE"""),"Fruits")</f>
        <v>Fruits</v>
      </c>
      <c r="B1191" s="46" t="str">
        <f>IFERROR(__xludf.DUMMYFUNCTION("""COMPUTED_VALUE"""),"Romania")</f>
        <v>Romania</v>
      </c>
      <c r="C1191" s="46">
        <f>IFERROR(__xludf.DUMMYFUNCTION("""COMPUTED_VALUE"""),9.048128E8)</f>
        <v>904812800</v>
      </c>
      <c r="D1191" s="84">
        <f>IFERROR(__xludf.DUMMYFUNCTION("""COMPUTED_VALUE"""),28633.77)</f>
        <v>28633.77</v>
      </c>
      <c r="H1191" s="48"/>
      <c r="I1191" s="38"/>
      <c r="J1191" s="38"/>
      <c r="K1191" s="38"/>
      <c r="M1191" s="87"/>
      <c r="N1191" s="38"/>
      <c r="Q1191" s="38"/>
    </row>
    <row r="1192">
      <c r="A1192" s="46" t="str">
        <f>IFERROR(__xludf.DUMMYFUNCTION("""COMPUTED_VALUE"""),"Cereal")</f>
        <v>Cereal</v>
      </c>
      <c r="B1192" s="46" t="str">
        <f>IFERROR(__xludf.DUMMYFUNCTION("""COMPUTED_VALUE"""),"Poland")</f>
        <v>Poland</v>
      </c>
      <c r="C1192" s="46">
        <f>IFERROR(__xludf.DUMMYFUNCTION("""COMPUTED_VALUE"""),9.05036389E8)</f>
        <v>905036389</v>
      </c>
      <c r="D1192" s="84">
        <f>IFERROR(__xludf.DUMMYFUNCTION("""COMPUTED_VALUE"""),1899433.7999999998)</f>
        <v>1899433.8</v>
      </c>
      <c r="H1192" s="48"/>
      <c r="I1192" s="38"/>
      <c r="J1192" s="38"/>
      <c r="K1192" s="38"/>
      <c r="M1192" s="87"/>
      <c r="N1192" s="38"/>
      <c r="Q1192" s="38"/>
    </row>
    <row r="1193">
      <c r="A1193" s="46" t="str">
        <f>IFERROR(__xludf.DUMMYFUNCTION("""COMPUTED_VALUE"""),"Household")</f>
        <v>Household</v>
      </c>
      <c r="B1193" s="46" t="str">
        <f>IFERROR(__xludf.DUMMYFUNCTION("""COMPUTED_VALUE"""),"Macedonia")</f>
        <v>Macedonia</v>
      </c>
      <c r="C1193" s="46">
        <f>IFERROR(__xludf.DUMMYFUNCTION("""COMPUTED_VALUE"""),9.05509746E8)</f>
        <v>905509746</v>
      </c>
      <c r="D1193" s="84">
        <f>IFERROR(__xludf.DUMMYFUNCTION("""COMPUTED_VALUE"""),6222261.97)</f>
        <v>6222261.97</v>
      </c>
      <c r="H1193" s="48"/>
      <c r="I1193" s="38"/>
      <c r="J1193" s="38"/>
      <c r="K1193" s="38"/>
      <c r="M1193" s="87"/>
      <c r="N1193" s="38"/>
      <c r="Q1193" s="38"/>
    </row>
    <row r="1194">
      <c r="A1194" s="46" t="str">
        <f>IFERROR(__xludf.DUMMYFUNCTION("""COMPUTED_VALUE"""),"Cereal")</f>
        <v>Cereal</v>
      </c>
      <c r="B1194" s="46" t="str">
        <f>IFERROR(__xludf.DUMMYFUNCTION("""COMPUTED_VALUE"""),"Denmark")</f>
        <v>Denmark</v>
      </c>
      <c r="C1194" s="46">
        <f>IFERROR(__xludf.DUMMYFUNCTION("""COMPUTED_VALUE"""),9.05947482E8)</f>
        <v>905947482</v>
      </c>
      <c r="D1194" s="84">
        <f>IFERROR(__xludf.DUMMYFUNCTION("""COMPUTED_VALUE"""),1819827.9)</f>
        <v>1819827.9</v>
      </c>
      <c r="H1194" s="48"/>
      <c r="I1194" s="38"/>
      <c r="J1194" s="38"/>
      <c r="K1194" s="38"/>
      <c r="M1194" s="87"/>
      <c r="N1194" s="38"/>
      <c r="Q1194" s="38"/>
    </row>
    <row r="1195">
      <c r="A1195" s="46" t="str">
        <f>IFERROR(__xludf.DUMMYFUNCTION("""COMPUTED_VALUE"""),"Beverages")</f>
        <v>Beverages</v>
      </c>
      <c r="B1195" s="46" t="str">
        <f>IFERROR(__xludf.DUMMYFUNCTION("""COMPUTED_VALUE"""),"Netherlands")</f>
        <v>Netherlands</v>
      </c>
      <c r="C1195" s="46">
        <f>IFERROR(__xludf.DUMMYFUNCTION("""COMPUTED_VALUE"""),9.06345736E8)</f>
        <v>906345736</v>
      </c>
      <c r="D1195" s="84">
        <f>IFERROR(__xludf.DUMMYFUNCTION("""COMPUTED_VALUE"""),317867.55000000005)</f>
        <v>317867.55</v>
      </c>
      <c r="H1195" s="48"/>
      <c r="I1195" s="38"/>
      <c r="J1195" s="38"/>
      <c r="K1195" s="38"/>
      <c r="M1195" s="87"/>
      <c r="N1195" s="38"/>
      <c r="Q1195" s="38"/>
    </row>
    <row r="1196">
      <c r="A1196" s="46" t="str">
        <f>IFERROR(__xludf.DUMMYFUNCTION("""COMPUTED_VALUE"""),"Clothes")</f>
        <v>Clothes</v>
      </c>
      <c r="B1196" s="46" t="str">
        <f>IFERROR(__xludf.DUMMYFUNCTION("""COMPUTED_VALUE"""),"Croatia")</f>
        <v>Croatia</v>
      </c>
      <c r="C1196" s="46">
        <f>IFERROR(__xludf.DUMMYFUNCTION("""COMPUTED_VALUE"""),9.06508815E8)</f>
        <v>906508815</v>
      </c>
      <c r="D1196" s="84">
        <f>IFERROR(__xludf.DUMMYFUNCTION("""COMPUTED_VALUE"""),541810.24)</f>
        <v>541810.24</v>
      </c>
      <c r="H1196" s="48"/>
      <c r="I1196" s="38"/>
      <c r="J1196" s="38"/>
      <c r="K1196" s="38"/>
      <c r="M1196" s="87"/>
      <c r="N1196" s="38"/>
      <c r="Q1196" s="38"/>
    </row>
    <row r="1197">
      <c r="A1197" s="46" t="str">
        <f>IFERROR(__xludf.DUMMYFUNCTION("""COMPUTED_VALUE"""),"Clothes")</f>
        <v>Clothes</v>
      </c>
      <c r="B1197" s="46" t="str">
        <f>IFERROR(__xludf.DUMMYFUNCTION("""COMPUTED_VALUE"""),"Finland")</f>
        <v>Finland</v>
      </c>
      <c r="C1197" s="46">
        <f>IFERROR(__xludf.DUMMYFUNCTION("""COMPUTED_VALUE"""),9.06794202E8)</f>
        <v>906794202</v>
      </c>
      <c r="D1197" s="84">
        <f>IFERROR(__xludf.DUMMYFUNCTION("""COMPUTED_VALUE"""),1028324.8)</f>
        <v>1028324.8</v>
      </c>
      <c r="H1197" s="48"/>
      <c r="I1197" s="38"/>
      <c r="J1197" s="38"/>
      <c r="K1197" s="38"/>
      <c r="M1197" s="87"/>
      <c r="N1197" s="38"/>
      <c r="Q1197" s="38"/>
    </row>
    <row r="1198">
      <c r="A1198" s="46" t="str">
        <f>IFERROR(__xludf.DUMMYFUNCTION("""COMPUTED_VALUE"""),"Meat")</f>
        <v>Meat</v>
      </c>
      <c r="B1198" s="46" t="str">
        <f>IFERROR(__xludf.DUMMYFUNCTION("""COMPUTED_VALUE"""),"Undefined")</f>
        <v>Undefined</v>
      </c>
      <c r="C1198" s="46">
        <f>IFERROR(__xludf.DUMMYFUNCTION("""COMPUTED_VALUE"""),9.07047402E8)</f>
        <v>907047402</v>
      </c>
      <c r="D1198" s="84">
        <f>IFERROR(__xludf.DUMMYFUNCTION("""COMPUTED_VALUE"""),1830158.8199999998)</f>
        <v>1830158.82</v>
      </c>
      <c r="H1198" s="48"/>
      <c r="I1198" s="38"/>
      <c r="J1198" s="38"/>
      <c r="K1198" s="38"/>
      <c r="M1198" s="87"/>
      <c r="N1198" s="38"/>
      <c r="Q1198" s="38"/>
    </row>
    <row r="1199">
      <c r="A1199" s="46" t="str">
        <f>IFERROR(__xludf.DUMMYFUNCTION("""COMPUTED_VALUE"""),"Cosmetics")</f>
        <v>Cosmetics</v>
      </c>
      <c r="B1199" s="46" t="str">
        <f>IFERROR(__xludf.DUMMYFUNCTION("""COMPUTED_VALUE"""),"Iceland")</f>
        <v>Iceland</v>
      </c>
      <c r="C1199" s="46">
        <f>IFERROR(__xludf.DUMMYFUNCTION("""COMPUTED_VALUE"""),9.07349526E8)</f>
        <v>907349526</v>
      </c>
      <c r="D1199" s="84">
        <f>IFERROR(__xludf.DUMMYFUNCTION("""COMPUTED_VALUE"""),1636439.5999999999)</f>
        <v>1636439.6</v>
      </c>
      <c r="H1199" s="48"/>
      <c r="I1199" s="38"/>
      <c r="J1199" s="38"/>
      <c r="K1199" s="38"/>
      <c r="M1199" s="87"/>
      <c r="N1199" s="38"/>
      <c r="Q1199" s="38"/>
    </row>
    <row r="1200">
      <c r="A1200" s="46" t="str">
        <f>IFERROR(__xludf.DUMMYFUNCTION("""COMPUTED_VALUE"""),"Cereal")</f>
        <v>Cereal</v>
      </c>
      <c r="B1200" s="46" t="str">
        <f>IFERROR(__xludf.DUMMYFUNCTION("""COMPUTED_VALUE"""),"Lithuania")</f>
        <v>Lithuania</v>
      </c>
      <c r="C1200" s="46">
        <f>IFERROR(__xludf.DUMMYFUNCTION("""COMPUTED_VALUE"""),9.07691991E8)</f>
        <v>907691991</v>
      </c>
      <c r="D1200" s="84">
        <f>IFERROR(__xludf.DUMMYFUNCTION("""COMPUTED_VALUE"""),1046190.2)</f>
        <v>1046190.2</v>
      </c>
      <c r="H1200" s="48"/>
      <c r="I1200" s="38"/>
      <c r="J1200" s="38"/>
      <c r="K1200" s="38"/>
      <c r="M1200" s="87"/>
      <c r="N1200" s="38"/>
      <c r="Q1200" s="38"/>
    </row>
    <row r="1201">
      <c r="A1201" s="46" t="str">
        <f>IFERROR(__xludf.DUMMYFUNCTION("""COMPUTED_VALUE"""),"Cosmetics")</f>
        <v>Cosmetics</v>
      </c>
      <c r="B1201" s="46" t="str">
        <f>IFERROR(__xludf.DUMMYFUNCTION("""COMPUTED_VALUE"""),"Sweden")</f>
        <v>Sweden</v>
      </c>
      <c r="C1201" s="46">
        <f>IFERROR(__xludf.DUMMYFUNCTION("""COMPUTED_VALUE"""),9.10610234E8)</f>
        <v>910610234</v>
      </c>
      <c r="D1201" s="84">
        <f>IFERROR(__xludf.DUMMYFUNCTION("""COMPUTED_VALUE"""),3785714.8)</f>
        <v>3785714.8</v>
      </c>
      <c r="H1201" s="48"/>
      <c r="I1201" s="38"/>
      <c r="J1201" s="38"/>
      <c r="K1201" s="38"/>
      <c r="M1201" s="87"/>
      <c r="N1201" s="38"/>
      <c r="Q1201" s="38"/>
    </row>
    <row r="1202">
      <c r="A1202" s="46" t="str">
        <f>IFERROR(__xludf.DUMMYFUNCTION("""COMPUTED_VALUE"""),"Beverages")</f>
        <v>Beverages</v>
      </c>
      <c r="B1202" s="46" t="str">
        <f>IFERROR(__xludf.DUMMYFUNCTION("""COMPUTED_VALUE"""),"Romania")</f>
        <v>Romania</v>
      </c>
      <c r="C1202" s="46">
        <f>IFERROR(__xludf.DUMMYFUNCTION("""COMPUTED_VALUE"""),9.1088618E8)</f>
        <v>910886180</v>
      </c>
      <c r="D1202" s="84">
        <f>IFERROR(__xludf.DUMMYFUNCTION("""COMPUTED_VALUE"""),15041.650000000001)</f>
        <v>15041.65</v>
      </c>
      <c r="H1202" s="48"/>
      <c r="I1202" s="38"/>
      <c r="J1202" s="38"/>
      <c r="K1202" s="38"/>
      <c r="M1202" s="87"/>
      <c r="N1202" s="38"/>
      <c r="Q1202" s="38"/>
    </row>
    <row r="1203">
      <c r="A1203" s="46" t="str">
        <f>IFERROR(__xludf.DUMMYFUNCTION("""COMPUTED_VALUE"""),"Fruits")</f>
        <v>Fruits</v>
      </c>
      <c r="B1203" s="46" t="str">
        <f>IFERROR(__xludf.DUMMYFUNCTION("""COMPUTED_VALUE"""),"Bulgaria")</f>
        <v>Bulgaria</v>
      </c>
      <c r="C1203" s="46">
        <f>IFERROR(__xludf.DUMMYFUNCTION("""COMPUTED_VALUE"""),9.11891257E8)</f>
        <v>911891257</v>
      </c>
      <c r="D1203" s="84">
        <f>IFERROR(__xludf.DUMMYFUNCTION("""COMPUTED_VALUE"""),72232.86)</f>
        <v>72232.86</v>
      </c>
      <c r="H1203" s="48"/>
      <c r="I1203" s="38"/>
      <c r="J1203" s="38"/>
      <c r="K1203" s="38"/>
      <c r="M1203" s="87"/>
      <c r="N1203" s="38"/>
      <c r="Q1203" s="38"/>
    </row>
    <row r="1204">
      <c r="A1204" s="46" t="str">
        <f>IFERROR(__xludf.DUMMYFUNCTION("""COMPUTED_VALUE"""),"Personal Care")</f>
        <v>Personal Care</v>
      </c>
      <c r="B1204" s="46" t="str">
        <f>IFERROR(__xludf.DUMMYFUNCTION("""COMPUTED_VALUE"""),"Latvia")</f>
        <v>Latvia</v>
      </c>
      <c r="C1204" s="46">
        <f>IFERROR(__xludf.DUMMYFUNCTION("""COMPUTED_VALUE"""),9.13074433E8)</f>
        <v>913074433</v>
      </c>
      <c r="D1204" s="84">
        <f>IFERROR(__xludf.DUMMYFUNCTION("""COMPUTED_VALUE"""),643215.1)</f>
        <v>643215.1</v>
      </c>
      <c r="H1204" s="48"/>
      <c r="I1204" s="38"/>
      <c r="J1204" s="38"/>
      <c r="K1204" s="38"/>
      <c r="M1204" s="87"/>
      <c r="N1204" s="38"/>
      <c r="Q1204" s="38"/>
    </row>
    <row r="1205">
      <c r="A1205" s="46" t="str">
        <f>IFERROR(__xludf.DUMMYFUNCTION("""COMPUTED_VALUE"""),"Meat")</f>
        <v>Meat</v>
      </c>
      <c r="B1205" s="46" t="str">
        <f>IFERROR(__xludf.DUMMYFUNCTION("""COMPUTED_VALUE"""),"Georgia")</f>
        <v>Georgia</v>
      </c>
      <c r="C1205" s="46">
        <f>IFERROR(__xludf.DUMMYFUNCTION("""COMPUTED_VALUE"""),9.13729751E8)</f>
        <v>913729751</v>
      </c>
      <c r="D1205" s="84">
        <f>IFERROR(__xludf.DUMMYFUNCTION("""COMPUTED_VALUE"""),756448.77)</f>
        <v>756448.77</v>
      </c>
      <c r="H1205" s="48"/>
      <c r="I1205" s="38"/>
      <c r="J1205" s="38"/>
      <c r="K1205" s="38"/>
      <c r="M1205" s="87"/>
      <c r="N1205" s="38"/>
      <c r="Q1205" s="38"/>
    </row>
    <row r="1206">
      <c r="A1206" s="46" t="str">
        <f>IFERROR(__xludf.DUMMYFUNCTION("""COMPUTED_VALUE"""),"Cosmetics")</f>
        <v>Cosmetics</v>
      </c>
      <c r="B1206" s="46" t="str">
        <f>IFERROR(__xludf.DUMMYFUNCTION("""COMPUTED_VALUE"""),"Belgium")</f>
        <v>Belgium</v>
      </c>
      <c r="C1206" s="46">
        <f>IFERROR(__xludf.DUMMYFUNCTION("""COMPUTED_VALUE"""),9.16089236E8)</f>
        <v>916089236</v>
      </c>
      <c r="D1206" s="84">
        <f>IFERROR(__xludf.DUMMYFUNCTION("""COMPUTED_VALUE"""),7432.4)</f>
        <v>7432.4</v>
      </c>
      <c r="H1206" s="48"/>
      <c r="I1206" s="38"/>
      <c r="J1206" s="38"/>
      <c r="K1206" s="38"/>
      <c r="M1206" s="87"/>
      <c r="N1206" s="38"/>
      <c r="Q1206" s="38"/>
    </row>
    <row r="1207">
      <c r="A1207" s="46" t="str">
        <f>IFERROR(__xludf.DUMMYFUNCTION("""COMPUTED_VALUE"""),"Baby Food")</f>
        <v>Baby Food</v>
      </c>
      <c r="B1207" s="46" t="str">
        <f>IFERROR(__xludf.DUMMYFUNCTION("""COMPUTED_VALUE"""),"Latvia")</f>
        <v>Latvia</v>
      </c>
      <c r="C1207" s="46">
        <f>IFERROR(__xludf.DUMMYFUNCTION("""COMPUTED_VALUE"""),9.17485272E8)</f>
        <v>917485272</v>
      </c>
      <c r="D1207" s="84">
        <f>IFERROR(__xludf.DUMMYFUNCTION("""COMPUTED_VALUE"""),800558.08)</f>
        <v>800558.08</v>
      </c>
      <c r="H1207" s="48"/>
      <c r="I1207" s="38"/>
      <c r="J1207" s="38"/>
      <c r="K1207" s="38"/>
      <c r="M1207" s="87"/>
      <c r="N1207" s="38"/>
      <c r="Q1207" s="38"/>
    </row>
    <row r="1208">
      <c r="A1208" s="46" t="str">
        <f>IFERROR(__xludf.DUMMYFUNCTION("""COMPUTED_VALUE"""),"Vegetables")</f>
        <v>Vegetables</v>
      </c>
      <c r="B1208" s="46" t="str">
        <f>IFERROR(__xludf.DUMMYFUNCTION("""COMPUTED_VALUE"""),"Serbia")</f>
        <v>Serbia</v>
      </c>
      <c r="C1208" s="46">
        <f>IFERROR(__xludf.DUMMYFUNCTION("""COMPUTED_VALUE"""),9.17639768E8)</f>
        <v>917639768</v>
      </c>
      <c r="D1208" s="84">
        <f>IFERROR(__xludf.DUMMYFUNCTION("""COMPUTED_VALUE"""),1364047.24)</f>
        <v>1364047.24</v>
      </c>
      <c r="H1208" s="48"/>
      <c r="I1208" s="38"/>
      <c r="J1208" s="38"/>
      <c r="K1208" s="38"/>
      <c r="M1208" s="87"/>
      <c r="N1208" s="38"/>
      <c r="Q1208" s="38"/>
    </row>
    <row r="1209">
      <c r="A1209" s="46" t="str">
        <f>IFERROR(__xludf.DUMMYFUNCTION("""COMPUTED_VALUE"""),"Clothes")</f>
        <v>Clothes</v>
      </c>
      <c r="B1209" s="46" t="str">
        <f>IFERROR(__xludf.DUMMYFUNCTION("""COMPUTED_VALUE"""),"Iceland")</f>
        <v>Iceland</v>
      </c>
      <c r="C1209" s="46">
        <f>IFERROR(__xludf.DUMMYFUNCTION("""COMPUTED_VALUE"""),9.17792117E8)</f>
        <v>917792117</v>
      </c>
      <c r="D1209" s="84">
        <f>IFERROR(__xludf.DUMMYFUNCTION("""COMPUTED_VALUE"""),430344.64)</f>
        <v>430344.64</v>
      </c>
      <c r="H1209" s="48"/>
      <c r="I1209" s="38"/>
      <c r="J1209" s="38"/>
      <c r="K1209" s="38"/>
      <c r="M1209" s="87"/>
      <c r="N1209" s="38"/>
      <c r="Q1209" s="38"/>
    </row>
    <row r="1210">
      <c r="A1210" s="46" t="str">
        <f>IFERROR(__xludf.DUMMYFUNCTION("""COMPUTED_VALUE"""),"Vegetables")</f>
        <v>Vegetables</v>
      </c>
      <c r="B1210" s="46" t="str">
        <f>IFERROR(__xludf.DUMMYFUNCTION("""COMPUTED_VALUE"""),"Austria")</f>
        <v>Austria</v>
      </c>
      <c r="C1210" s="46">
        <f>IFERROR(__xludf.DUMMYFUNCTION("""COMPUTED_VALUE"""),9.17835032E8)</f>
        <v>917835032</v>
      </c>
      <c r="D1210" s="84">
        <f>IFERROR(__xludf.DUMMYFUNCTION("""COMPUTED_VALUE"""),1022496.22)</f>
        <v>1022496.22</v>
      </c>
      <c r="H1210" s="48"/>
      <c r="I1210" s="38"/>
      <c r="J1210" s="38"/>
      <c r="K1210" s="38"/>
      <c r="M1210" s="87"/>
      <c r="N1210" s="38"/>
      <c r="Q1210" s="38"/>
    </row>
    <row r="1211">
      <c r="A1211" s="46" t="str">
        <f>IFERROR(__xludf.DUMMYFUNCTION("""COMPUTED_VALUE"""),"Meat")</f>
        <v>Meat</v>
      </c>
      <c r="B1211" s="46" t="str">
        <f>IFERROR(__xludf.DUMMYFUNCTION("""COMPUTED_VALUE"""),"Norway")</f>
        <v>Norway</v>
      </c>
      <c r="C1211" s="46">
        <f>IFERROR(__xludf.DUMMYFUNCTION("""COMPUTED_VALUE"""),9.17874085E8)</f>
        <v>917874085</v>
      </c>
      <c r="D1211" s="84">
        <f>IFERROR(__xludf.DUMMYFUNCTION("""COMPUTED_VALUE"""),3456966.6599999997)</f>
        <v>3456966.66</v>
      </c>
      <c r="H1211" s="48"/>
      <c r="I1211" s="38"/>
      <c r="J1211" s="38"/>
      <c r="K1211" s="38"/>
      <c r="M1211" s="87"/>
      <c r="N1211" s="38"/>
      <c r="Q1211" s="38"/>
    </row>
    <row r="1212">
      <c r="A1212" s="46" t="str">
        <f>IFERROR(__xludf.DUMMYFUNCTION("""COMPUTED_VALUE"""),"Personal Care")</f>
        <v>Personal Care</v>
      </c>
      <c r="B1212" s="46" t="str">
        <f>IFERROR(__xludf.DUMMYFUNCTION("""COMPUTED_VALUE"""),"Romania")</f>
        <v>Romania</v>
      </c>
      <c r="C1212" s="46">
        <f>IFERROR(__xludf.DUMMYFUNCTION("""COMPUTED_VALUE"""),9.17904984E8)</f>
        <v>917904984</v>
      </c>
      <c r="D1212" s="84">
        <f>IFERROR(__xludf.DUMMYFUNCTION("""COMPUTED_VALUE"""),599734.74)</f>
        <v>599734.74</v>
      </c>
      <c r="H1212" s="48"/>
      <c r="I1212" s="38"/>
      <c r="J1212" s="38"/>
      <c r="K1212" s="38"/>
      <c r="M1212" s="87"/>
      <c r="N1212" s="38"/>
      <c r="Q1212" s="38"/>
    </row>
    <row r="1213">
      <c r="A1213" s="46" t="str">
        <f>IFERROR(__xludf.DUMMYFUNCTION("""COMPUTED_VALUE"""),"Snacks")</f>
        <v>Snacks</v>
      </c>
      <c r="B1213" s="46" t="str">
        <f>IFERROR(__xludf.DUMMYFUNCTION("""COMPUTED_VALUE"""),"Finland")</f>
        <v>Finland</v>
      </c>
      <c r="C1213" s="46">
        <f>IFERROR(__xludf.DUMMYFUNCTION("""COMPUTED_VALUE"""),9.18364179E8)</f>
        <v>918364179</v>
      </c>
      <c r="D1213" s="84">
        <f>IFERROR(__xludf.DUMMYFUNCTION("""COMPUTED_VALUE"""),491765.34)</f>
        <v>491765.34</v>
      </c>
      <c r="H1213" s="48"/>
      <c r="I1213" s="38"/>
      <c r="J1213" s="38"/>
      <c r="K1213" s="38"/>
      <c r="M1213" s="87"/>
      <c r="N1213" s="38"/>
      <c r="Q1213" s="38"/>
    </row>
    <row r="1214">
      <c r="A1214" s="46" t="str">
        <f>IFERROR(__xludf.DUMMYFUNCTION("""COMPUTED_VALUE"""),"Clothes")</f>
        <v>Clothes</v>
      </c>
      <c r="B1214" s="46" t="str">
        <f>IFERROR(__xludf.DUMMYFUNCTION("""COMPUTED_VALUE"""),"Bosnia and Herzegovina")</f>
        <v>Bosnia and Herzegovina</v>
      </c>
      <c r="C1214" s="46">
        <f>IFERROR(__xludf.DUMMYFUNCTION("""COMPUTED_VALUE"""),9.19133651E8)</f>
        <v>919133651</v>
      </c>
      <c r="D1214" s="84">
        <f>IFERROR(__xludf.DUMMYFUNCTION("""COMPUTED_VALUE"""),101302.56)</f>
        <v>101302.56</v>
      </c>
      <c r="H1214" s="48"/>
      <c r="I1214" s="38"/>
      <c r="J1214" s="38"/>
      <c r="K1214" s="38"/>
      <c r="M1214" s="87"/>
      <c r="N1214" s="38"/>
      <c r="Q1214" s="38"/>
    </row>
    <row r="1215">
      <c r="A1215" s="46" t="str">
        <f>IFERROR(__xludf.DUMMYFUNCTION("""COMPUTED_VALUE"""),"Fruits")</f>
        <v>Fruits</v>
      </c>
      <c r="B1215" s="46" t="str">
        <f>IFERROR(__xludf.DUMMYFUNCTION("""COMPUTED_VALUE"""),"Undefined")</f>
        <v>Undefined</v>
      </c>
      <c r="C1215" s="46">
        <f>IFERROR(__xludf.DUMMYFUNCTION("""COMPUTED_VALUE"""),9.19922006E8)</f>
        <v>919922006</v>
      </c>
      <c r="D1215" s="84">
        <f>IFERROR(__xludf.DUMMYFUNCTION("""COMPUTED_VALUE"""),39363.27)</f>
        <v>39363.27</v>
      </c>
      <c r="H1215" s="48"/>
      <c r="I1215" s="38"/>
      <c r="J1215" s="38"/>
      <c r="K1215" s="38"/>
      <c r="M1215" s="87"/>
      <c r="N1215" s="38"/>
      <c r="Q1215" s="38"/>
    </row>
    <row r="1216">
      <c r="A1216" s="46" t="str">
        <f>IFERROR(__xludf.DUMMYFUNCTION("""COMPUTED_VALUE"""),"Meat")</f>
        <v>Meat</v>
      </c>
      <c r="B1216" s="46" t="str">
        <f>IFERROR(__xludf.DUMMYFUNCTION("""COMPUTED_VALUE"""),"Czech Republic")</f>
        <v>Czech Republic</v>
      </c>
      <c r="C1216" s="46">
        <f>IFERROR(__xludf.DUMMYFUNCTION("""COMPUTED_VALUE"""),9.2001127E8)</f>
        <v>920011270</v>
      </c>
      <c r="D1216" s="84">
        <f>IFERROR(__xludf.DUMMYFUNCTION("""COMPUTED_VALUE"""),267478.26)</f>
        <v>267478.26</v>
      </c>
      <c r="H1216" s="48"/>
      <c r="I1216" s="38"/>
      <c r="J1216" s="38"/>
      <c r="K1216" s="38"/>
      <c r="M1216" s="87"/>
      <c r="N1216" s="38"/>
      <c r="Q1216" s="38"/>
    </row>
    <row r="1217">
      <c r="A1217" s="46" t="str">
        <f>IFERROR(__xludf.DUMMYFUNCTION("""COMPUTED_VALUE"""),"Baby Food")</f>
        <v>Baby Food</v>
      </c>
      <c r="B1217" s="46" t="str">
        <f>IFERROR(__xludf.DUMMYFUNCTION("""COMPUTED_VALUE"""),"Ukraine")</f>
        <v>Ukraine</v>
      </c>
      <c r="C1217" s="46">
        <f>IFERROR(__xludf.DUMMYFUNCTION("""COMPUTED_VALUE"""),9.20688903E8)</f>
        <v>920688903</v>
      </c>
      <c r="D1217" s="84">
        <f>IFERROR(__xludf.DUMMYFUNCTION("""COMPUTED_VALUE"""),296380.08)</f>
        <v>296380.08</v>
      </c>
      <c r="H1217" s="48"/>
      <c r="I1217" s="38"/>
      <c r="J1217" s="38"/>
      <c r="K1217" s="38"/>
      <c r="M1217" s="87"/>
      <c r="N1217" s="38"/>
      <c r="Q1217" s="38"/>
    </row>
    <row r="1218">
      <c r="A1218" s="46" t="str">
        <f>IFERROR(__xludf.DUMMYFUNCTION("""COMPUTED_VALUE"""),"Snacks")</f>
        <v>Snacks</v>
      </c>
      <c r="B1218" s="46" t="str">
        <f>IFERROR(__xludf.DUMMYFUNCTION("""COMPUTED_VALUE"""),"Belgium")</f>
        <v>Belgium</v>
      </c>
      <c r="C1218" s="46">
        <f>IFERROR(__xludf.DUMMYFUNCTION("""COMPUTED_VALUE"""),9.21133935E8)</f>
        <v>921133935</v>
      </c>
      <c r="D1218" s="84">
        <f>IFERROR(__xludf.DUMMYFUNCTION("""COMPUTED_VALUE"""),435768.48000000004)</f>
        <v>435768.48</v>
      </c>
      <c r="H1218" s="48"/>
      <c r="I1218" s="38"/>
      <c r="J1218" s="38"/>
      <c r="K1218" s="38"/>
      <c r="M1218" s="87"/>
      <c r="N1218" s="38"/>
      <c r="Q1218" s="38"/>
    </row>
    <row r="1219">
      <c r="A1219" s="46" t="str">
        <f>IFERROR(__xludf.DUMMYFUNCTION("""COMPUTED_VALUE"""),"Baby Food")</f>
        <v>Baby Food</v>
      </c>
      <c r="B1219" s="46" t="str">
        <f>IFERROR(__xludf.DUMMYFUNCTION("""COMPUTED_VALUE"""),"Portugal")</f>
        <v>Portugal</v>
      </c>
      <c r="C1219" s="46">
        <f>IFERROR(__xludf.DUMMYFUNCTION("""COMPUTED_VALUE"""),9.21230065E8)</f>
        <v>921230065</v>
      </c>
      <c r="D1219" s="84">
        <f>IFERROR(__xludf.DUMMYFUNCTION("""COMPUTED_VALUE"""),332629.84)</f>
        <v>332629.84</v>
      </c>
      <c r="H1219" s="48"/>
      <c r="I1219" s="38"/>
      <c r="J1219" s="38"/>
      <c r="K1219" s="38"/>
      <c r="M1219" s="87"/>
      <c r="N1219" s="38"/>
      <c r="Q1219" s="38"/>
    </row>
    <row r="1220">
      <c r="A1220" s="46" t="str">
        <f>IFERROR(__xludf.DUMMYFUNCTION("""COMPUTED_VALUE"""),"Vegetables")</f>
        <v>Vegetables</v>
      </c>
      <c r="B1220" s="46" t="str">
        <f>IFERROR(__xludf.DUMMYFUNCTION("""COMPUTED_VALUE"""),"Greece")</f>
        <v>Greece</v>
      </c>
      <c r="C1220" s="46">
        <f>IFERROR(__xludf.DUMMYFUNCTION("""COMPUTED_VALUE"""),9.2169398E8)</f>
        <v>921693980</v>
      </c>
      <c r="D1220" s="84">
        <f>IFERROR(__xludf.DUMMYFUNCTION("""COMPUTED_VALUE"""),1322759.16)</f>
        <v>1322759.16</v>
      </c>
      <c r="H1220" s="48"/>
      <c r="I1220" s="38"/>
      <c r="J1220" s="38"/>
      <c r="K1220" s="38"/>
      <c r="M1220" s="87"/>
      <c r="N1220" s="38"/>
      <c r="Q1220" s="38"/>
    </row>
    <row r="1221">
      <c r="A1221" s="46" t="str">
        <f>IFERROR(__xludf.DUMMYFUNCTION("""COMPUTED_VALUE"""),"Clothes")</f>
        <v>Clothes</v>
      </c>
      <c r="B1221" s="46" t="str">
        <f>IFERROR(__xludf.DUMMYFUNCTION("""COMPUTED_VALUE"""),"Luxembourg")</f>
        <v>Luxembourg</v>
      </c>
      <c r="C1221" s="46">
        <f>IFERROR(__xludf.DUMMYFUNCTION("""COMPUTED_VALUE"""),9.2236346E8)</f>
        <v>922363460</v>
      </c>
      <c r="D1221" s="84">
        <f>IFERROR(__xludf.DUMMYFUNCTION("""COMPUTED_VALUE"""),732176.0)</f>
        <v>732176</v>
      </c>
      <c r="H1221" s="48"/>
      <c r="I1221" s="38"/>
      <c r="J1221" s="38"/>
      <c r="K1221" s="38"/>
      <c r="M1221" s="87"/>
      <c r="N1221" s="38"/>
      <c r="Q1221" s="38"/>
    </row>
    <row r="1222">
      <c r="A1222" s="46" t="str">
        <f>IFERROR(__xludf.DUMMYFUNCTION("""COMPUTED_VALUE"""),"Household")</f>
        <v>Household</v>
      </c>
      <c r="B1222" s="46" t="str">
        <f>IFERROR(__xludf.DUMMYFUNCTION("""COMPUTED_VALUE"""),"Undefined")</f>
        <v>Undefined</v>
      </c>
      <c r="C1222" s="46">
        <f>IFERROR(__xludf.DUMMYFUNCTION("""COMPUTED_VALUE"""),9.22564303E8)</f>
        <v>922564303</v>
      </c>
      <c r="D1222" s="84">
        <f>IFERROR(__xludf.DUMMYFUNCTION("""COMPUTED_VALUE"""),4099168.1799999997)</f>
        <v>4099168.18</v>
      </c>
      <c r="H1222" s="48"/>
      <c r="I1222" s="38"/>
      <c r="J1222" s="38"/>
      <c r="K1222" s="38"/>
      <c r="M1222" s="87"/>
      <c r="N1222" s="38"/>
      <c r="Q1222" s="38"/>
    </row>
    <row r="1223">
      <c r="A1223" s="46" t="str">
        <f>IFERROR(__xludf.DUMMYFUNCTION("""COMPUTED_VALUE"""),"Clothes")</f>
        <v>Clothes</v>
      </c>
      <c r="B1223" s="46" t="str">
        <f>IFERROR(__xludf.DUMMYFUNCTION("""COMPUTED_VALUE"""),"Andorra")</f>
        <v>Andorra</v>
      </c>
      <c r="C1223" s="46">
        <f>IFERROR(__xludf.DUMMYFUNCTION("""COMPUTED_VALUE"""),9.23160398E8)</f>
        <v>923160398</v>
      </c>
      <c r="D1223" s="84">
        <f>IFERROR(__xludf.DUMMYFUNCTION("""COMPUTED_VALUE"""),276587.68)</f>
        <v>276587.68</v>
      </c>
      <c r="H1223" s="48"/>
      <c r="I1223" s="38"/>
      <c r="J1223" s="38"/>
      <c r="K1223" s="38"/>
      <c r="M1223" s="87"/>
      <c r="N1223" s="38"/>
      <c r="Q1223" s="38"/>
    </row>
    <row r="1224">
      <c r="A1224" s="46" t="str">
        <f>IFERROR(__xludf.DUMMYFUNCTION("""COMPUTED_VALUE"""),"Vegetables")</f>
        <v>Vegetables</v>
      </c>
      <c r="B1224" s="46" t="str">
        <f>IFERROR(__xludf.DUMMYFUNCTION("""COMPUTED_VALUE"""),"Ireland")</f>
        <v>Ireland</v>
      </c>
      <c r="C1224" s="46">
        <f>IFERROR(__xludf.DUMMYFUNCTION("""COMPUTED_VALUE"""),9.23922574E8)</f>
        <v>923922574</v>
      </c>
      <c r="D1224" s="84">
        <f>IFERROR(__xludf.DUMMYFUNCTION("""COMPUTED_VALUE"""),1244188.56)</f>
        <v>1244188.56</v>
      </c>
      <c r="H1224" s="48"/>
      <c r="I1224" s="38"/>
      <c r="J1224" s="38"/>
      <c r="K1224" s="38"/>
      <c r="M1224" s="87"/>
      <c r="N1224" s="38"/>
      <c r="Q1224" s="38"/>
    </row>
    <row r="1225">
      <c r="A1225" s="46" t="str">
        <f>IFERROR(__xludf.DUMMYFUNCTION("""COMPUTED_VALUE"""),"Office Supplies")</f>
        <v>Office Supplies</v>
      </c>
      <c r="B1225" s="46" t="str">
        <f>IFERROR(__xludf.DUMMYFUNCTION("""COMPUTED_VALUE"""),"Austria")</f>
        <v>Austria</v>
      </c>
      <c r="C1225" s="46">
        <f>IFERROR(__xludf.DUMMYFUNCTION("""COMPUTED_VALUE"""),9.26064479E8)</f>
        <v>926064479</v>
      </c>
      <c r="D1225" s="84">
        <f>IFERROR(__xludf.DUMMYFUNCTION("""COMPUTED_VALUE"""),1245764.73)</f>
        <v>1245764.73</v>
      </c>
      <c r="H1225" s="48"/>
      <c r="I1225" s="38"/>
      <c r="J1225" s="38"/>
      <c r="K1225" s="38"/>
      <c r="M1225" s="87"/>
      <c r="N1225" s="38"/>
      <c r="Q1225" s="38"/>
    </row>
    <row r="1226">
      <c r="A1226" s="46" t="str">
        <f>IFERROR(__xludf.DUMMYFUNCTION("""COMPUTED_VALUE"""),"Beverages")</f>
        <v>Beverages</v>
      </c>
      <c r="B1226" s="46" t="str">
        <f>IFERROR(__xludf.DUMMYFUNCTION("""COMPUTED_VALUE"""),"Lithuania")</f>
        <v>Lithuania</v>
      </c>
      <c r="C1226" s="46">
        <f>IFERROR(__xludf.DUMMYFUNCTION("""COMPUTED_VALUE"""),9.26280772E8)</f>
        <v>926280772</v>
      </c>
      <c r="D1226" s="84">
        <f>IFERROR(__xludf.DUMMYFUNCTION("""COMPUTED_VALUE"""),280856.55)</f>
        <v>280856.55</v>
      </c>
      <c r="H1226" s="48"/>
      <c r="I1226" s="38"/>
      <c r="J1226" s="38"/>
      <c r="K1226" s="38"/>
      <c r="M1226" s="87"/>
      <c r="N1226" s="38"/>
      <c r="Q1226" s="38"/>
    </row>
    <row r="1227">
      <c r="A1227" s="46" t="str">
        <f>IFERROR(__xludf.DUMMYFUNCTION("""COMPUTED_VALUE"""),"Clothes")</f>
        <v>Clothes</v>
      </c>
      <c r="B1227" s="46" t="str">
        <f>IFERROR(__xludf.DUMMYFUNCTION("""COMPUTED_VALUE"""),"Monaco")</f>
        <v>Monaco</v>
      </c>
      <c r="C1227" s="46">
        <f>IFERROR(__xludf.DUMMYFUNCTION("""COMPUTED_VALUE"""),9.2676357E8)</f>
        <v>926763570</v>
      </c>
      <c r="D1227" s="84">
        <f>IFERROR(__xludf.DUMMYFUNCTION("""COMPUTED_VALUE"""),960571.2)</f>
        <v>960571.2</v>
      </c>
      <c r="H1227" s="48"/>
      <c r="I1227" s="38"/>
      <c r="J1227" s="38"/>
      <c r="K1227" s="38"/>
      <c r="M1227" s="87"/>
      <c r="N1227" s="38"/>
      <c r="Q1227" s="38"/>
    </row>
    <row r="1228">
      <c r="A1228" s="46" t="str">
        <f>IFERROR(__xludf.DUMMYFUNCTION("""COMPUTED_VALUE"""),"Baby Food")</f>
        <v>Baby Food</v>
      </c>
      <c r="B1228" s="46" t="str">
        <f>IFERROR(__xludf.DUMMYFUNCTION("""COMPUTED_VALUE"""),"Italy")</f>
        <v>Italy</v>
      </c>
      <c r="C1228" s="46">
        <f>IFERROR(__xludf.DUMMYFUNCTION("""COMPUTED_VALUE"""),9.26826655E8)</f>
        <v>926826655</v>
      </c>
      <c r="D1228" s="84">
        <f>IFERROR(__xludf.DUMMYFUNCTION("""COMPUTED_VALUE"""),1903878.24)</f>
        <v>1903878.24</v>
      </c>
      <c r="H1228" s="48"/>
      <c r="I1228" s="38"/>
      <c r="J1228" s="38"/>
      <c r="K1228" s="38"/>
      <c r="M1228" s="87"/>
      <c r="N1228" s="38"/>
      <c r="Q1228" s="38"/>
    </row>
    <row r="1229">
      <c r="A1229" s="46" t="str">
        <f>IFERROR(__xludf.DUMMYFUNCTION("""COMPUTED_VALUE"""),"Vegetables")</f>
        <v>Vegetables</v>
      </c>
      <c r="B1229" s="46" t="str">
        <f>IFERROR(__xludf.DUMMYFUNCTION("""COMPUTED_VALUE"""),"Liechtenstein")</f>
        <v>Liechtenstein</v>
      </c>
      <c r="C1229" s="46">
        <f>IFERROR(__xludf.DUMMYFUNCTION("""COMPUTED_VALUE"""),9.27351081E8)</f>
        <v>927351081</v>
      </c>
      <c r="D1229" s="84">
        <f>IFERROR(__xludf.DUMMYFUNCTION("""COMPUTED_VALUE"""),407796.82)</f>
        <v>407796.82</v>
      </c>
      <c r="H1229" s="48"/>
      <c r="I1229" s="38"/>
      <c r="J1229" s="38"/>
      <c r="K1229" s="38"/>
      <c r="M1229" s="87"/>
      <c r="N1229" s="38"/>
      <c r="Q1229" s="38"/>
    </row>
    <row r="1230">
      <c r="A1230" s="46" t="str">
        <f>IFERROR(__xludf.DUMMYFUNCTION("""COMPUTED_VALUE"""),"Cereal")</f>
        <v>Cereal</v>
      </c>
      <c r="B1230" s="46" t="str">
        <f>IFERROR(__xludf.DUMMYFUNCTION("""COMPUTED_VALUE"""),"Bulgaria")</f>
        <v>Bulgaria</v>
      </c>
      <c r="C1230" s="46">
        <f>IFERROR(__xludf.DUMMYFUNCTION("""COMPUTED_VALUE"""),9.28168189E8)</f>
        <v>928168189</v>
      </c>
      <c r="D1230" s="84">
        <f>IFERROR(__xludf.DUMMYFUNCTION("""COMPUTED_VALUE"""),914953.6)</f>
        <v>914953.6</v>
      </c>
      <c r="H1230" s="48"/>
      <c r="I1230" s="38"/>
      <c r="J1230" s="38"/>
      <c r="K1230" s="38"/>
      <c r="M1230" s="87"/>
      <c r="N1230" s="38"/>
      <c r="Q1230" s="38"/>
    </row>
    <row r="1231">
      <c r="A1231" s="46" t="str">
        <f>IFERROR(__xludf.DUMMYFUNCTION("""COMPUTED_VALUE"""),"Meat")</f>
        <v>Meat</v>
      </c>
      <c r="B1231" s="46" t="str">
        <f>IFERROR(__xludf.DUMMYFUNCTION("""COMPUTED_VALUE"""),"Romania")</f>
        <v>Romania</v>
      </c>
      <c r="C1231" s="46">
        <f>IFERROR(__xludf.DUMMYFUNCTION("""COMPUTED_VALUE"""),9.29812705E8)</f>
        <v>929812705</v>
      </c>
      <c r="D1231" s="84">
        <f>IFERROR(__xludf.DUMMYFUNCTION("""COMPUTED_VALUE"""),462813.32999999996)</f>
        <v>462813.33</v>
      </c>
      <c r="H1231" s="48"/>
      <c r="I1231" s="38"/>
      <c r="J1231" s="38"/>
      <c r="K1231" s="38"/>
      <c r="M1231" s="87"/>
      <c r="N1231" s="38"/>
      <c r="Q1231" s="38"/>
    </row>
    <row r="1232">
      <c r="A1232" s="46" t="str">
        <f>IFERROR(__xludf.DUMMYFUNCTION("""COMPUTED_VALUE"""),"Beverages")</f>
        <v>Beverages</v>
      </c>
      <c r="B1232" s="46" t="str">
        <f>IFERROR(__xludf.DUMMYFUNCTION("""COMPUTED_VALUE"""),"Hungary")</f>
        <v>Hungary</v>
      </c>
      <c r="C1232" s="46">
        <f>IFERROR(__xludf.DUMMYFUNCTION("""COMPUTED_VALUE"""),9.30136287E8)</f>
        <v>930136287</v>
      </c>
      <c r="D1232" s="84">
        <f>IFERROR(__xludf.DUMMYFUNCTION("""COMPUTED_VALUE"""),325127.4)</f>
        <v>325127.4</v>
      </c>
      <c r="H1232" s="48"/>
      <c r="I1232" s="38"/>
      <c r="J1232" s="38"/>
      <c r="K1232" s="38"/>
      <c r="M1232" s="87"/>
      <c r="N1232" s="38"/>
      <c r="Q1232" s="38"/>
    </row>
    <row r="1233">
      <c r="A1233" s="46" t="str">
        <f>IFERROR(__xludf.DUMMYFUNCTION("""COMPUTED_VALUE"""),"Meat")</f>
        <v>Meat</v>
      </c>
      <c r="B1233" s="46" t="str">
        <f>IFERROR(__xludf.DUMMYFUNCTION("""COMPUTED_VALUE"""),"Lithuania")</f>
        <v>Lithuania</v>
      </c>
      <c r="C1233" s="46">
        <f>IFERROR(__xludf.DUMMYFUNCTION("""COMPUTED_VALUE"""),9.3029679E8)</f>
        <v>930296790</v>
      </c>
      <c r="D1233" s="84">
        <f>IFERROR(__xludf.DUMMYFUNCTION("""COMPUTED_VALUE"""),1834377.72)</f>
        <v>1834377.72</v>
      </c>
      <c r="H1233" s="48"/>
      <c r="I1233" s="38"/>
      <c r="J1233" s="38"/>
      <c r="K1233" s="38"/>
      <c r="M1233" s="87"/>
      <c r="N1233" s="38"/>
      <c r="Q1233" s="38"/>
    </row>
    <row r="1234">
      <c r="A1234" s="46" t="str">
        <f>IFERROR(__xludf.DUMMYFUNCTION("""COMPUTED_VALUE"""),"Cereal")</f>
        <v>Cereal</v>
      </c>
      <c r="B1234" s="46" t="str">
        <f>IFERROR(__xludf.DUMMYFUNCTION("""COMPUTED_VALUE"""),"Montenegro")</f>
        <v>Montenegro</v>
      </c>
      <c r="C1234" s="46">
        <f>IFERROR(__xludf.DUMMYFUNCTION("""COMPUTED_VALUE"""),9.30457293E8)</f>
        <v>930457293</v>
      </c>
      <c r="D1234" s="84">
        <f>IFERROR(__xludf.DUMMYFUNCTION("""COMPUTED_VALUE"""),379516.5)</f>
        <v>379516.5</v>
      </c>
      <c r="H1234" s="48"/>
      <c r="I1234" s="38"/>
      <c r="J1234" s="38"/>
      <c r="K1234" s="38"/>
      <c r="M1234" s="87"/>
      <c r="N1234" s="38"/>
      <c r="Q1234" s="38"/>
    </row>
    <row r="1235">
      <c r="A1235" s="46" t="str">
        <f>IFERROR(__xludf.DUMMYFUNCTION("""COMPUTED_VALUE"""),"Meat")</f>
        <v>Meat</v>
      </c>
      <c r="B1235" s="46" t="str">
        <f>IFERROR(__xludf.DUMMYFUNCTION("""COMPUTED_VALUE"""),"Norway")</f>
        <v>Norway</v>
      </c>
      <c r="C1235" s="46">
        <f>IFERROR(__xludf.DUMMYFUNCTION("""COMPUTED_VALUE"""),9.30670154E8)</f>
        <v>930670154</v>
      </c>
      <c r="D1235" s="84">
        <f>IFERROR(__xludf.DUMMYFUNCTION("""COMPUTED_VALUE"""),2039838.15)</f>
        <v>2039838.15</v>
      </c>
      <c r="H1235" s="48"/>
      <c r="I1235" s="38"/>
      <c r="J1235" s="38"/>
      <c r="K1235" s="38"/>
      <c r="M1235" s="87"/>
      <c r="N1235" s="38"/>
      <c r="Q1235" s="38"/>
    </row>
    <row r="1236">
      <c r="A1236" s="46" t="str">
        <f>IFERROR(__xludf.DUMMYFUNCTION("""COMPUTED_VALUE"""),"Beverages")</f>
        <v>Beverages</v>
      </c>
      <c r="B1236" s="46" t="str">
        <f>IFERROR(__xludf.DUMMYFUNCTION("""COMPUTED_VALUE"""),"Belgium")</f>
        <v>Belgium</v>
      </c>
      <c r="C1236" s="46">
        <f>IFERROR(__xludf.DUMMYFUNCTION("""COMPUTED_VALUE"""),9.3147782E8)</f>
        <v>931477820</v>
      </c>
      <c r="D1236" s="84">
        <f>IFERROR(__xludf.DUMMYFUNCTION("""COMPUTED_VALUE"""),182255.45)</f>
        <v>182255.45</v>
      </c>
      <c r="H1236" s="48"/>
      <c r="I1236" s="38"/>
      <c r="J1236" s="38"/>
      <c r="K1236" s="38"/>
      <c r="M1236" s="87"/>
      <c r="N1236" s="38"/>
      <c r="Q1236" s="38"/>
    </row>
    <row r="1237">
      <c r="A1237" s="46" t="str">
        <f>IFERROR(__xludf.DUMMYFUNCTION("""COMPUTED_VALUE"""),"Clothes")</f>
        <v>Clothes</v>
      </c>
      <c r="B1237" s="46" t="str">
        <f>IFERROR(__xludf.DUMMYFUNCTION("""COMPUTED_VALUE"""),"Hungary")</f>
        <v>Hungary</v>
      </c>
      <c r="C1237" s="46">
        <f>IFERROR(__xludf.DUMMYFUNCTION("""COMPUTED_VALUE"""),9.31559789E8)</f>
        <v>931559789</v>
      </c>
      <c r="D1237" s="84">
        <f>IFERROR(__xludf.DUMMYFUNCTION("""COMPUTED_VALUE"""),884949.4400000001)</f>
        <v>884949.44</v>
      </c>
      <c r="H1237" s="48"/>
      <c r="I1237" s="38"/>
      <c r="J1237" s="38"/>
      <c r="K1237" s="38"/>
      <c r="M1237" s="87"/>
      <c r="N1237" s="38"/>
      <c r="Q1237" s="38"/>
    </row>
    <row r="1238">
      <c r="A1238" s="46" t="str">
        <f>IFERROR(__xludf.DUMMYFUNCTION("""COMPUTED_VALUE"""),"Beverages")</f>
        <v>Beverages</v>
      </c>
      <c r="B1238" s="46" t="str">
        <f>IFERROR(__xludf.DUMMYFUNCTION("""COMPUTED_VALUE"""),"Andorra")</f>
        <v>Andorra</v>
      </c>
      <c r="C1238" s="46">
        <f>IFERROR(__xludf.DUMMYFUNCTION("""COMPUTED_VALUE"""),9.32475602E8)</f>
        <v>932475602</v>
      </c>
      <c r="D1238" s="84">
        <f>IFERROR(__xludf.DUMMYFUNCTION("""COMPUTED_VALUE"""),432127.15)</f>
        <v>432127.15</v>
      </c>
      <c r="H1238" s="48"/>
      <c r="I1238" s="38"/>
      <c r="J1238" s="38"/>
      <c r="K1238" s="38"/>
      <c r="M1238" s="87"/>
      <c r="N1238" s="38"/>
      <c r="Q1238" s="38"/>
    </row>
    <row r="1239">
      <c r="A1239" s="46" t="str">
        <f>IFERROR(__xludf.DUMMYFUNCTION("""COMPUTED_VALUE"""),"Personal Care")</f>
        <v>Personal Care</v>
      </c>
      <c r="B1239" s="46" t="str">
        <f>IFERROR(__xludf.DUMMYFUNCTION("""COMPUTED_VALUE"""),"Montenegro")</f>
        <v>Montenegro</v>
      </c>
      <c r="C1239" s="46">
        <f>IFERROR(__xludf.DUMMYFUNCTION("""COMPUTED_VALUE"""),9.33642041E8)</f>
        <v>933642041</v>
      </c>
      <c r="D1239" s="84">
        <f>IFERROR(__xludf.DUMMYFUNCTION("""COMPUTED_VALUE"""),349967.86000000004)</f>
        <v>349967.86</v>
      </c>
      <c r="H1239" s="48"/>
      <c r="I1239" s="38"/>
      <c r="J1239" s="38"/>
      <c r="K1239" s="38"/>
      <c r="M1239" s="87"/>
      <c r="N1239" s="38"/>
      <c r="Q1239" s="38"/>
    </row>
    <row r="1240">
      <c r="A1240" s="46" t="str">
        <f>IFERROR(__xludf.DUMMYFUNCTION("""COMPUTED_VALUE"""),"Personal Care")</f>
        <v>Personal Care</v>
      </c>
      <c r="B1240" s="46" t="str">
        <f>IFERROR(__xludf.DUMMYFUNCTION("""COMPUTED_VALUE"""),"Netherlands")</f>
        <v>Netherlands</v>
      </c>
      <c r="C1240" s="46">
        <f>IFERROR(__xludf.DUMMYFUNCTION("""COMPUTED_VALUE"""),9.33699119E8)</f>
        <v>933699119</v>
      </c>
      <c r="D1240" s="84">
        <f>IFERROR(__xludf.DUMMYFUNCTION("""COMPUTED_VALUE"""),95869.29000000001)</f>
        <v>95869.29</v>
      </c>
      <c r="H1240" s="48"/>
      <c r="I1240" s="38"/>
      <c r="J1240" s="38"/>
      <c r="K1240" s="38"/>
      <c r="M1240" s="87"/>
      <c r="N1240" s="38"/>
      <c r="Q1240" s="38"/>
    </row>
    <row r="1241">
      <c r="A1241" s="46" t="str">
        <f>IFERROR(__xludf.DUMMYFUNCTION("""COMPUTED_VALUE"""),"Vegetables")</f>
        <v>Vegetables</v>
      </c>
      <c r="B1241" s="46" t="str">
        <f>IFERROR(__xludf.DUMMYFUNCTION("""COMPUTED_VALUE"""),"Liechtenstein")</f>
        <v>Liechtenstein</v>
      </c>
      <c r="C1241" s="46">
        <f>IFERROR(__xludf.DUMMYFUNCTION("""COMPUTED_VALUE"""),9.33720576E8)</f>
        <v>933720576</v>
      </c>
      <c r="D1241" s="84">
        <f>IFERROR(__xludf.DUMMYFUNCTION("""COMPUTED_VALUE"""),1158993.3800000001)</f>
        <v>1158993.38</v>
      </c>
      <c r="H1241" s="48"/>
      <c r="I1241" s="38"/>
      <c r="J1241" s="38"/>
      <c r="K1241" s="38"/>
      <c r="M1241" s="87"/>
      <c r="N1241" s="38"/>
      <c r="Q1241" s="38"/>
    </row>
    <row r="1242">
      <c r="A1242" s="46" t="str">
        <f>IFERROR(__xludf.DUMMYFUNCTION("""COMPUTED_VALUE"""),"Clothes")</f>
        <v>Clothes</v>
      </c>
      <c r="B1242" s="46" t="str">
        <f>IFERROR(__xludf.DUMMYFUNCTION("""COMPUTED_VALUE"""),"Switzerland")</f>
        <v>Switzerland</v>
      </c>
      <c r="C1242" s="46">
        <f>IFERROR(__xludf.DUMMYFUNCTION("""COMPUTED_VALUE"""),9.33963048E8)</f>
        <v>933963048</v>
      </c>
      <c r="D1242" s="84">
        <f>IFERROR(__xludf.DUMMYFUNCTION("""COMPUTED_VALUE"""),1013572.0)</f>
        <v>1013572</v>
      </c>
      <c r="H1242" s="48"/>
      <c r="I1242" s="38"/>
      <c r="J1242" s="38"/>
      <c r="K1242" s="38"/>
      <c r="M1242" s="87"/>
      <c r="N1242" s="38"/>
      <c r="Q1242" s="38"/>
    </row>
    <row r="1243">
      <c r="A1243" s="46" t="str">
        <f>IFERROR(__xludf.DUMMYFUNCTION("""COMPUTED_VALUE"""),"Vegetables")</f>
        <v>Vegetables</v>
      </c>
      <c r="B1243" s="46" t="str">
        <f>IFERROR(__xludf.DUMMYFUNCTION("""COMPUTED_VALUE"""),"Ireland")</f>
        <v>Ireland</v>
      </c>
      <c r="C1243" s="46">
        <f>IFERROR(__xludf.DUMMYFUNCTION("""COMPUTED_VALUE"""),9.34718358E8)</f>
        <v>934718358</v>
      </c>
      <c r="D1243" s="84">
        <f>IFERROR(__xludf.DUMMYFUNCTION("""COMPUTED_VALUE"""),429673.34)</f>
        <v>429673.34</v>
      </c>
      <c r="H1243" s="48"/>
      <c r="I1243" s="38"/>
      <c r="J1243" s="38"/>
      <c r="K1243" s="38"/>
      <c r="M1243" s="87"/>
      <c r="N1243" s="38"/>
      <c r="Q1243" s="38"/>
    </row>
    <row r="1244">
      <c r="A1244" s="46" t="str">
        <f>IFERROR(__xludf.DUMMYFUNCTION("""COMPUTED_VALUE"""),"Beverages")</f>
        <v>Beverages</v>
      </c>
      <c r="B1244" s="46" t="str">
        <f>IFERROR(__xludf.DUMMYFUNCTION("""COMPUTED_VALUE"""),"Belarus")</f>
        <v>Belarus</v>
      </c>
      <c r="C1244" s="46">
        <f>IFERROR(__xludf.DUMMYFUNCTION("""COMPUTED_VALUE"""),9.35789954E8)</f>
        <v>935789954</v>
      </c>
      <c r="D1244" s="84">
        <f>IFERROR(__xludf.DUMMYFUNCTION("""COMPUTED_VALUE"""),469660.10000000003)</f>
        <v>469660.1</v>
      </c>
      <c r="H1244" s="48"/>
      <c r="I1244" s="38"/>
      <c r="J1244" s="38"/>
      <c r="K1244" s="38"/>
      <c r="M1244" s="87"/>
      <c r="N1244" s="38"/>
      <c r="Q1244" s="38"/>
    </row>
    <row r="1245">
      <c r="A1245" s="46" t="str">
        <f>IFERROR(__xludf.DUMMYFUNCTION("""COMPUTED_VALUE"""),"Beverages")</f>
        <v>Beverages</v>
      </c>
      <c r="B1245" s="46" t="str">
        <f>IFERROR(__xludf.DUMMYFUNCTION("""COMPUTED_VALUE"""),"Macedonia")</f>
        <v>Macedonia</v>
      </c>
      <c r="C1245" s="46">
        <f>IFERROR(__xludf.DUMMYFUNCTION("""COMPUTED_VALUE"""),9.35907542E8)</f>
        <v>935907542</v>
      </c>
      <c r="D1245" s="84">
        <f>IFERROR(__xludf.DUMMYFUNCTION("""COMPUTED_VALUE"""),222777.75)</f>
        <v>222777.75</v>
      </c>
      <c r="H1245" s="48"/>
      <c r="I1245" s="38"/>
      <c r="J1245" s="38"/>
      <c r="K1245" s="38"/>
      <c r="M1245" s="87"/>
      <c r="N1245" s="38"/>
      <c r="Q1245" s="38"/>
    </row>
    <row r="1246">
      <c r="A1246" s="46" t="str">
        <f>IFERROR(__xludf.DUMMYFUNCTION("""COMPUTED_VALUE"""),"Personal Care")</f>
        <v>Personal Care</v>
      </c>
      <c r="B1246" s="46" t="str">
        <f>IFERROR(__xludf.DUMMYFUNCTION("""COMPUTED_VALUE"""),"Latvia")</f>
        <v>Latvia</v>
      </c>
      <c r="C1246" s="46">
        <f>IFERROR(__xludf.DUMMYFUNCTION("""COMPUTED_VALUE"""),9.36411798E8)</f>
        <v>936411798</v>
      </c>
      <c r="D1246" s="84">
        <f>IFERROR(__xludf.DUMMYFUNCTION("""COMPUTED_VALUE"""),319972.95)</f>
        <v>319972.95</v>
      </c>
      <c r="H1246" s="48"/>
      <c r="I1246" s="38"/>
      <c r="J1246" s="38"/>
      <c r="K1246" s="38"/>
      <c r="M1246" s="87"/>
      <c r="N1246" s="38"/>
      <c r="Q1246" s="38"/>
    </row>
    <row r="1247">
      <c r="A1247" s="46" t="str">
        <f>IFERROR(__xludf.DUMMYFUNCTION("""COMPUTED_VALUE"""),"Vegetables")</f>
        <v>Vegetables</v>
      </c>
      <c r="B1247" s="46" t="str">
        <f>IFERROR(__xludf.DUMMYFUNCTION("""COMPUTED_VALUE"""),"Greece")</f>
        <v>Greece</v>
      </c>
      <c r="C1247" s="46">
        <f>IFERROR(__xludf.DUMMYFUNCTION("""COMPUTED_VALUE"""),9.3654741E8)</f>
        <v>936547410</v>
      </c>
      <c r="D1247" s="84">
        <f>IFERROR(__xludf.DUMMYFUNCTION("""COMPUTED_VALUE"""),623326.76)</f>
        <v>623326.76</v>
      </c>
      <c r="H1247" s="48"/>
      <c r="I1247" s="38"/>
      <c r="J1247" s="38"/>
      <c r="K1247" s="38"/>
      <c r="M1247" s="87"/>
      <c r="N1247" s="38"/>
      <c r="Q1247" s="38"/>
    </row>
    <row r="1248">
      <c r="A1248" s="46" t="str">
        <f>IFERROR(__xludf.DUMMYFUNCTION("""COMPUTED_VALUE"""),"Vegetables")</f>
        <v>Vegetables</v>
      </c>
      <c r="B1248" s="46" t="str">
        <f>IFERROR(__xludf.DUMMYFUNCTION("""COMPUTED_VALUE"""),"Slovakia")</f>
        <v>Slovakia</v>
      </c>
      <c r="C1248" s="46">
        <f>IFERROR(__xludf.DUMMYFUNCTION("""COMPUTED_VALUE"""),9.36664998E8)</f>
        <v>936664998</v>
      </c>
      <c r="D1248" s="84">
        <f>IFERROR(__xludf.DUMMYFUNCTION("""COMPUTED_VALUE"""),1362352.58)</f>
        <v>1362352.58</v>
      </c>
      <c r="H1248" s="48"/>
      <c r="I1248" s="38"/>
      <c r="J1248" s="38"/>
      <c r="K1248" s="38"/>
      <c r="M1248" s="87"/>
      <c r="N1248" s="38"/>
      <c r="Q1248" s="38"/>
    </row>
    <row r="1249">
      <c r="A1249" s="46" t="str">
        <f>IFERROR(__xludf.DUMMYFUNCTION("""COMPUTED_VALUE"""),"Clothes")</f>
        <v>Clothes</v>
      </c>
      <c r="B1249" s="46" t="str">
        <f>IFERROR(__xludf.DUMMYFUNCTION("""COMPUTED_VALUE"""),"San Marino")</f>
        <v>San Marino</v>
      </c>
      <c r="C1249" s="46">
        <f>IFERROR(__xludf.DUMMYFUNCTION("""COMPUTED_VALUE"""),9.3787564E8)</f>
        <v>937875640</v>
      </c>
      <c r="D1249" s="84">
        <f>IFERROR(__xludf.DUMMYFUNCTION("""COMPUTED_VALUE"""),775669.4400000001)</f>
        <v>775669.44</v>
      </c>
      <c r="H1249" s="48"/>
      <c r="I1249" s="38"/>
      <c r="J1249" s="38"/>
      <c r="K1249" s="38"/>
      <c r="M1249" s="87"/>
      <c r="N1249" s="38"/>
      <c r="Q1249" s="38"/>
    </row>
    <row r="1250">
      <c r="A1250" s="46" t="str">
        <f>IFERROR(__xludf.DUMMYFUNCTION("""COMPUTED_VALUE"""),"Personal Care")</f>
        <v>Personal Care</v>
      </c>
      <c r="B1250" s="46" t="str">
        <f>IFERROR(__xludf.DUMMYFUNCTION("""COMPUTED_VALUE"""),"Germany")</f>
        <v>Germany</v>
      </c>
      <c r="C1250" s="46">
        <f>IFERROR(__xludf.DUMMYFUNCTION("""COMPUTED_VALUE"""),9.3820995E8)</f>
        <v>938209950</v>
      </c>
      <c r="D1250" s="84">
        <f>IFERROR(__xludf.DUMMYFUNCTION("""COMPUTED_VALUE"""),492668.44)</f>
        <v>492668.44</v>
      </c>
      <c r="H1250" s="48"/>
      <c r="I1250" s="38"/>
      <c r="J1250" s="38"/>
      <c r="K1250" s="38"/>
      <c r="M1250" s="87"/>
      <c r="N1250" s="38"/>
      <c r="Q1250" s="38"/>
    </row>
    <row r="1251">
      <c r="A1251" s="46" t="str">
        <f>IFERROR(__xludf.DUMMYFUNCTION("""COMPUTED_VALUE"""),"Cereal")</f>
        <v>Cereal</v>
      </c>
      <c r="B1251" s="46" t="str">
        <f>IFERROR(__xludf.DUMMYFUNCTION("""COMPUTED_VALUE"""),"Liechtenstein")</f>
        <v>Liechtenstein</v>
      </c>
      <c r="C1251" s="46">
        <f>IFERROR(__xludf.DUMMYFUNCTION("""COMPUTED_VALUE"""),9.40682303E8)</f>
        <v>940682303</v>
      </c>
      <c r="D1251" s="84">
        <f>IFERROR(__xludf.DUMMYFUNCTION("""COMPUTED_VALUE"""),1574016.4)</f>
        <v>1574016.4</v>
      </c>
      <c r="H1251" s="48"/>
      <c r="I1251" s="38"/>
      <c r="J1251" s="38"/>
      <c r="K1251" s="38"/>
      <c r="M1251" s="87"/>
      <c r="N1251" s="38"/>
      <c r="Q1251" s="38"/>
    </row>
    <row r="1252">
      <c r="A1252" s="46" t="str">
        <f>IFERROR(__xludf.DUMMYFUNCTION("""COMPUTED_VALUE"""),"Vegetables")</f>
        <v>Vegetables</v>
      </c>
      <c r="B1252" s="46" t="str">
        <f>IFERROR(__xludf.DUMMYFUNCTION("""COMPUTED_VALUE"""),"Undefined")</f>
        <v>Undefined</v>
      </c>
      <c r="C1252" s="46">
        <f>IFERROR(__xludf.DUMMYFUNCTION("""COMPUTED_VALUE"""),9.41061675E8)</f>
        <v>941061675</v>
      </c>
      <c r="D1252" s="84">
        <f>IFERROR(__xludf.DUMMYFUNCTION("""COMPUTED_VALUE"""),1527813.02)</f>
        <v>1527813.02</v>
      </c>
      <c r="H1252" s="48"/>
      <c r="I1252" s="38"/>
      <c r="J1252" s="38"/>
      <c r="K1252" s="38"/>
      <c r="M1252" s="87"/>
      <c r="N1252" s="38"/>
      <c r="Q1252" s="38"/>
    </row>
    <row r="1253">
      <c r="A1253" s="46" t="str">
        <f>IFERROR(__xludf.DUMMYFUNCTION("""COMPUTED_VALUE"""),"Personal Care")</f>
        <v>Personal Care</v>
      </c>
      <c r="B1253" s="46" t="str">
        <f>IFERROR(__xludf.DUMMYFUNCTION("""COMPUTED_VALUE"""),"Ireland")</f>
        <v>Ireland</v>
      </c>
      <c r="C1253" s="46">
        <f>IFERROR(__xludf.DUMMYFUNCTION("""COMPUTED_VALUE"""),9.41524302E8)</f>
        <v>941524302</v>
      </c>
      <c r="D1253" s="84">
        <f>IFERROR(__xludf.DUMMYFUNCTION("""COMPUTED_VALUE"""),557316.87)</f>
        <v>557316.87</v>
      </c>
      <c r="H1253" s="48"/>
      <c r="I1253" s="38"/>
      <c r="J1253" s="38"/>
      <c r="K1253" s="38"/>
      <c r="M1253" s="87"/>
      <c r="N1253" s="38"/>
      <c r="Q1253" s="38"/>
    </row>
    <row r="1254">
      <c r="A1254" s="46" t="str">
        <f>IFERROR(__xludf.DUMMYFUNCTION("""COMPUTED_VALUE"""),"Snacks")</f>
        <v>Snacks</v>
      </c>
      <c r="B1254" s="46" t="str">
        <f>IFERROR(__xludf.DUMMYFUNCTION("""COMPUTED_VALUE"""),"Russia")</f>
        <v>Russia</v>
      </c>
      <c r="C1254" s="46">
        <f>IFERROR(__xludf.DUMMYFUNCTION("""COMPUTED_VALUE"""),9.41933286E8)</f>
        <v>941933286</v>
      </c>
      <c r="D1254" s="84">
        <f>IFERROR(__xludf.DUMMYFUNCTION("""COMPUTED_VALUE"""),1197142.6800000002)</f>
        <v>1197142.68</v>
      </c>
      <c r="H1254" s="48"/>
      <c r="I1254" s="38"/>
      <c r="J1254" s="38"/>
      <c r="K1254" s="38"/>
      <c r="M1254" s="87"/>
      <c r="N1254" s="38"/>
      <c r="Q1254" s="38"/>
    </row>
    <row r="1255">
      <c r="A1255" s="46" t="str">
        <f>IFERROR(__xludf.DUMMYFUNCTION("""COMPUTED_VALUE"""),"Vegetables")</f>
        <v>Vegetables</v>
      </c>
      <c r="B1255" s="46" t="str">
        <f>IFERROR(__xludf.DUMMYFUNCTION("""COMPUTED_VALUE"""),"Bosnia and Herzegovina")</f>
        <v>Bosnia and Herzegovina</v>
      </c>
      <c r="C1255" s="46">
        <f>IFERROR(__xludf.DUMMYFUNCTION("""COMPUTED_VALUE"""),9.4237231E8)</f>
        <v>942372310</v>
      </c>
      <c r="D1255" s="84">
        <f>IFERROR(__xludf.DUMMYFUNCTION("""COMPUTED_VALUE"""),1195967.78)</f>
        <v>1195967.78</v>
      </c>
      <c r="H1255" s="48"/>
      <c r="I1255" s="38"/>
      <c r="J1255" s="38"/>
      <c r="K1255" s="38"/>
      <c r="M1255" s="87"/>
      <c r="N1255" s="38"/>
      <c r="Q1255" s="38"/>
    </row>
    <row r="1256">
      <c r="A1256" s="46" t="str">
        <f>IFERROR(__xludf.DUMMYFUNCTION("""COMPUTED_VALUE"""),"Cosmetics")</f>
        <v>Cosmetics</v>
      </c>
      <c r="B1256" s="46" t="str">
        <f>IFERROR(__xludf.DUMMYFUNCTION("""COMPUTED_VALUE"""),"Iceland")</f>
        <v>Iceland</v>
      </c>
      <c r="C1256" s="46">
        <f>IFERROR(__xludf.DUMMYFUNCTION("""COMPUTED_VALUE"""),9.42454278E8)</f>
        <v>942454278</v>
      </c>
      <c r="D1256" s="84">
        <f>IFERROR(__xludf.DUMMYFUNCTION("""COMPUTED_VALUE"""),882706.7999999999)</f>
        <v>882706.8</v>
      </c>
      <c r="H1256" s="48"/>
      <c r="I1256" s="38"/>
      <c r="J1256" s="38"/>
      <c r="K1256" s="38"/>
      <c r="M1256" s="87"/>
      <c r="N1256" s="38"/>
      <c r="Q1256" s="38"/>
    </row>
    <row r="1257">
      <c r="A1257" s="46" t="str">
        <f>IFERROR(__xludf.DUMMYFUNCTION("""COMPUTED_VALUE"""),"Snacks")</f>
        <v>Snacks</v>
      </c>
      <c r="B1257" s="46" t="str">
        <f>IFERROR(__xludf.DUMMYFUNCTION("""COMPUTED_VALUE"""),"Latvia")</f>
        <v>Latvia</v>
      </c>
      <c r="C1257" s="46">
        <f>IFERROR(__xludf.DUMMYFUNCTION("""COMPUTED_VALUE"""),9.43274819E8)</f>
        <v>943274819</v>
      </c>
      <c r="D1257" s="84">
        <f>IFERROR(__xludf.DUMMYFUNCTION("""COMPUTED_VALUE"""),737876.88)</f>
        <v>737876.88</v>
      </c>
      <c r="H1257" s="48"/>
      <c r="I1257" s="38"/>
      <c r="J1257" s="38"/>
      <c r="K1257" s="38"/>
      <c r="M1257" s="87"/>
      <c r="N1257" s="38"/>
      <c r="Q1257" s="38"/>
    </row>
    <row r="1258">
      <c r="A1258" s="46" t="str">
        <f>IFERROR(__xludf.DUMMYFUNCTION("""COMPUTED_VALUE"""),"Baby Food")</f>
        <v>Baby Food</v>
      </c>
      <c r="B1258" s="46" t="str">
        <f>IFERROR(__xludf.DUMMYFUNCTION("""COMPUTED_VALUE"""),"Bulgaria")</f>
        <v>Bulgaria</v>
      </c>
      <c r="C1258" s="46">
        <f>IFERROR(__xludf.DUMMYFUNCTION("""COMPUTED_VALUE"""),9.4424771E8)</f>
        <v>944247710</v>
      </c>
      <c r="D1258" s="84">
        <f>IFERROR(__xludf.DUMMYFUNCTION("""COMPUTED_VALUE"""),698446.08)</f>
        <v>698446.08</v>
      </c>
      <c r="H1258" s="48"/>
      <c r="I1258" s="38"/>
      <c r="J1258" s="38"/>
      <c r="K1258" s="38"/>
      <c r="M1258" s="87"/>
      <c r="N1258" s="38"/>
      <c r="Q1258" s="38"/>
    </row>
    <row r="1259">
      <c r="A1259" s="46" t="str">
        <f>IFERROR(__xludf.DUMMYFUNCTION("""COMPUTED_VALUE"""),"Meat")</f>
        <v>Meat</v>
      </c>
      <c r="B1259" s="46" t="str">
        <f>IFERROR(__xludf.DUMMYFUNCTION("""COMPUTED_VALUE"""),"Portugal")</f>
        <v>Portugal</v>
      </c>
      <c r="C1259" s="46">
        <f>IFERROR(__xludf.DUMMYFUNCTION("""COMPUTED_VALUE"""),9.44609057E8)</f>
        <v>944609057</v>
      </c>
      <c r="D1259" s="84">
        <f>IFERROR(__xludf.DUMMYFUNCTION("""COMPUTED_VALUE"""),4077988.7399999998)</f>
        <v>4077988.74</v>
      </c>
      <c r="H1259" s="48"/>
      <c r="I1259" s="38"/>
      <c r="J1259" s="38"/>
      <c r="K1259" s="38"/>
      <c r="M1259" s="87"/>
      <c r="N1259" s="38"/>
      <c r="Q1259" s="38"/>
    </row>
    <row r="1260">
      <c r="A1260" s="46" t="str">
        <f>IFERROR(__xludf.DUMMYFUNCTION("""COMPUTED_VALUE"""),"Beverages")</f>
        <v>Beverages</v>
      </c>
      <c r="B1260" s="46" t="str">
        <f>IFERROR(__xludf.DUMMYFUNCTION("""COMPUTED_VALUE"""),"Ukraine")</f>
        <v>Ukraine</v>
      </c>
      <c r="C1260" s="46">
        <f>IFERROR(__xludf.DUMMYFUNCTION("""COMPUTED_VALUE"""),9.46421372E8)</f>
        <v>946421372</v>
      </c>
      <c r="D1260" s="84">
        <f>IFERROR(__xludf.DUMMYFUNCTION("""COMPUTED_VALUE"""),283323.95)</f>
        <v>283323.95</v>
      </c>
      <c r="H1260" s="48"/>
      <c r="I1260" s="38"/>
      <c r="J1260" s="38"/>
      <c r="K1260" s="38"/>
      <c r="M1260" s="87"/>
      <c r="N1260" s="38"/>
      <c r="Q1260" s="38"/>
    </row>
    <row r="1261">
      <c r="A1261" s="46" t="str">
        <f>IFERROR(__xludf.DUMMYFUNCTION("""COMPUTED_VALUE"""),"Cereal")</f>
        <v>Cereal</v>
      </c>
      <c r="B1261" s="46" t="str">
        <f>IFERROR(__xludf.DUMMYFUNCTION("""COMPUTED_VALUE"""),"Ireland")</f>
        <v>Ireland</v>
      </c>
      <c r="C1261" s="46">
        <f>IFERROR(__xludf.DUMMYFUNCTION("""COMPUTED_VALUE"""),9.46823489E8)</f>
        <v>946823489</v>
      </c>
      <c r="D1261" s="84">
        <f>IFERROR(__xludf.DUMMYFUNCTION("""COMPUTED_VALUE"""),1021506.2)</f>
        <v>1021506.2</v>
      </c>
      <c r="H1261" s="48"/>
      <c r="I1261" s="38"/>
      <c r="J1261" s="38"/>
      <c r="K1261" s="38"/>
      <c r="M1261" s="87"/>
      <c r="N1261" s="38"/>
      <c r="Q1261" s="38"/>
    </row>
    <row r="1262">
      <c r="A1262" s="46" t="str">
        <f>IFERROR(__xludf.DUMMYFUNCTION("""COMPUTED_VALUE"""),"Snacks")</f>
        <v>Snacks</v>
      </c>
      <c r="B1262" s="46" t="str">
        <f>IFERROR(__xludf.DUMMYFUNCTION("""COMPUTED_VALUE"""),"Georgia")</f>
        <v>Georgia</v>
      </c>
      <c r="C1262" s="46">
        <f>IFERROR(__xludf.DUMMYFUNCTION("""COMPUTED_VALUE"""),9.47073256E8)</f>
        <v>947073256</v>
      </c>
      <c r="D1262" s="84">
        <f>IFERROR(__xludf.DUMMYFUNCTION("""COMPUTED_VALUE"""),1354605.2400000002)</f>
        <v>1354605.24</v>
      </c>
      <c r="H1262" s="48"/>
      <c r="I1262" s="38"/>
      <c r="J1262" s="38"/>
      <c r="K1262" s="38"/>
      <c r="M1262" s="87"/>
      <c r="N1262" s="38"/>
      <c r="Q1262" s="38"/>
    </row>
    <row r="1263">
      <c r="A1263" s="46" t="str">
        <f>IFERROR(__xludf.DUMMYFUNCTION("""COMPUTED_VALUE"""),"Beverages")</f>
        <v>Beverages</v>
      </c>
      <c r="B1263" s="46" t="str">
        <f>IFERROR(__xludf.DUMMYFUNCTION("""COMPUTED_VALUE"""),"Ukraine")</f>
        <v>Ukraine</v>
      </c>
      <c r="C1263" s="46">
        <f>IFERROR(__xludf.DUMMYFUNCTION("""COMPUTED_VALUE"""),9.47507131E8)</f>
        <v>947507131</v>
      </c>
      <c r="D1263" s="84">
        <f>IFERROR(__xludf.DUMMYFUNCTION("""COMPUTED_VALUE"""),345008.95)</f>
        <v>345008.95</v>
      </c>
      <c r="H1263" s="48"/>
      <c r="I1263" s="38"/>
      <c r="J1263" s="38"/>
      <c r="K1263" s="38"/>
      <c r="M1263" s="87"/>
      <c r="N1263" s="38"/>
      <c r="Q1263" s="38"/>
    </row>
    <row r="1264">
      <c r="A1264" s="46" t="str">
        <f>IFERROR(__xludf.DUMMYFUNCTION("""COMPUTED_VALUE"""),"Beverages")</f>
        <v>Beverages</v>
      </c>
      <c r="B1264" s="46" t="str">
        <f>IFERROR(__xludf.DUMMYFUNCTION("""COMPUTED_VALUE"""),"Hungary")</f>
        <v>Hungary</v>
      </c>
      <c r="C1264" s="46">
        <f>IFERROR(__xludf.DUMMYFUNCTION("""COMPUTED_VALUE"""),9.48075759E8)</f>
        <v>948075759</v>
      </c>
      <c r="D1264" s="84">
        <f>IFERROR(__xludf.DUMMYFUNCTION("""COMPUTED_VALUE"""),262873.0)</f>
        <v>262873</v>
      </c>
      <c r="H1264" s="48"/>
      <c r="I1264" s="38"/>
      <c r="J1264" s="38"/>
      <c r="K1264" s="38"/>
      <c r="M1264" s="87"/>
      <c r="N1264" s="38"/>
      <c r="Q1264" s="38"/>
    </row>
    <row r="1265">
      <c r="A1265" s="46" t="str">
        <f>IFERROR(__xludf.DUMMYFUNCTION("""COMPUTED_VALUE"""),"Meat")</f>
        <v>Meat</v>
      </c>
      <c r="B1265" s="46" t="str">
        <f>IFERROR(__xludf.DUMMYFUNCTION("""COMPUTED_VALUE"""),"Bulgaria")</f>
        <v>Bulgaria</v>
      </c>
      <c r="C1265" s="46">
        <f>IFERROR(__xludf.DUMMYFUNCTION("""COMPUTED_VALUE"""),9.48518216E8)</f>
        <v>948518216</v>
      </c>
      <c r="D1265" s="84">
        <f>IFERROR(__xludf.DUMMYFUNCTION("""COMPUTED_VALUE"""),2730893.9699999997)</f>
        <v>2730893.97</v>
      </c>
      <c r="H1265" s="48"/>
      <c r="I1265" s="38"/>
      <c r="J1265" s="38"/>
      <c r="K1265" s="38"/>
      <c r="M1265" s="87"/>
      <c r="N1265" s="38"/>
      <c r="Q1265" s="38"/>
    </row>
    <row r="1266">
      <c r="A1266" s="46" t="str">
        <f>IFERROR(__xludf.DUMMYFUNCTION("""COMPUTED_VALUE"""),"Snacks")</f>
        <v>Snacks</v>
      </c>
      <c r="B1266" s="46" t="str">
        <f>IFERROR(__xludf.DUMMYFUNCTION("""COMPUTED_VALUE"""),"Russia")</f>
        <v>Russia</v>
      </c>
      <c r="C1266" s="46">
        <f>IFERROR(__xludf.DUMMYFUNCTION("""COMPUTED_VALUE"""),9.49388539E8)</f>
        <v>949388539</v>
      </c>
      <c r="D1266" s="84">
        <f>IFERROR(__xludf.DUMMYFUNCTION("""COMPUTED_VALUE"""),613524.18)</f>
        <v>613524.18</v>
      </c>
      <c r="H1266" s="48"/>
      <c r="I1266" s="38"/>
      <c r="J1266" s="38"/>
      <c r="K1266" s="38"/>
      <c r="M1266" s="87"/>
      <c r="N1266" s="38"/>
      <c r="Q1266" s="38"/>
    </row>
    <row r="1267">
      <c r="A1267" s="46" t="str">
        <f>IFERROR(__xludf.DUMMYFUNCTION("""COMPUTED_VALUE"""),"Beverages")</f>
        <v>Beverages</v>
      </c>
      <c r="B1267" s="46" t="str">
        <f>IFERROR(__xludf.DUMMYFUNCTION("""COMPUTED_VALUE"""),"Macedonia")</f>
        <v>Macedonia</v>
      </c>
      <c r="C1267" s="46">
        <f>IFERROR(__xludf.DUMMYFUNCTION("""COMPUTED_VALUE"""),9.49732291E8)</f>
        <v>949732291</v>
      </c>
      <c r="D1267" s="84">
        <f>IFERROR(__xludf.DUMMYFUNCTION("""COMPUTED_VALUE"""),272600.25)</f>
        <v>272600.25</v>
      </c>
      <c r="H1267" s="48"/>
      <c r="I1267" s="38"/>
      <c r="J1267" s="38"/>
      <c r="K1267" s="38"/>
      <c r="M1267" s="87"/>
      <c r="N1267" s="38"/>
      <c r="Q1267" s="38"/>
    </row>
    <row r="1268">
      <c r="A1268" s="46" t="str">
        <f>IFERROR(__xludf.DUMMYFUNCTION("""COMPUTED_VALUE"""),"Cosmetics")</f>
        <v>Cosmetics</v>
      </c>
      <c r="B1268" s="46" t="str">
        <f>IFERROR(__xludf.DUMMYFUNCTION("""COMPUTED_VALUE"""),"Slovenia")</f>
        <v>Slovenia</v>
      </c>
      <c r="C1268" s="46">
        <f>IFERROR(__xludf.DUMMYFUNCTION("""COMPUTED_VALUE"""),9.49912965E8)</f>
        <v>949912965</v>
      </c>
      <c r="D1268" s="84">
        <f>IFERROR(__xludf.DUMMYFUNCTION("""COMPUTED_VALUE"""),4026612.0)</f>
        <v>4026612</v>
      </c>
      <c r="H1268" s="48"/>
      <c r="I1268" s="38"/>
      <c r="J1268" s="38"/>
      <c r="K1268" s="38"/>
      <c r="M1268" s="87"/>
      <c r="N1268" s="38"/>
      <c r="Q1268" s="38"/>
    </row>
    <row r="1269">
      <c r="A1269" s="46" t="str">
        <f>IFERROR(__xludf.DUMMYFUNCTION("""COMPUTED_VALUE"""),"Snacks")</f>
        <v>Snacks</v>
      </c>
      <c r="B1269" s="46" t="str">
        <f>IFERROR(__xludf.DUMMYFUNCTION("""COMPUTED_VALUE"""),"Armenia")</f>
        <v>Armenia</v>
      </c>
      <c r="C1269" s="46">
        <f>IFERROR(__xludf.DUMMYFUNCTION("""COMPUTED_VALUE"""),9.51698243E8)</f>
        <v>951698243</v>
      </c>
      <c r="D1269" s="84">
        <f>IFERROR(__xludf.DUMMYFUNCTION("""COMPUTED_VALUE"""),1146486.12)</f>
        <v>1146486.12</v>
      </c>
      <c r="H1269" s="48"/>
      <c r="I1269" s="38"/>
      <c r="J1269" s="38"/>
      <c r="K1269" s="38"/>
      <c r="M1269" s="87"/>
      <c r="N1269" s="38"/>
      <c r="Q1269" s="38"/>
    </row>
    <row r="1270">
      <c r="A1270" s="46" t="str">
        <f>IFERROR(__xludf.DUMMYFUNCTION("""COMPUTED_VALUE"""),"Snacks")</f>
        <v>Snacks</v>
      </c>
      <c r="B1270" s="46" t="str">
        <f>IFERROR(__xludf.DUMMYFUNCTION("""COMPUTED_VALUE"""),"Bosnia and Herzegovina")</f>
        <v>Bosnia and Herzegovina</v>
      </c>
      <c r="C1270" s="46">
        <f>IFERROR(__xludf.DUMMYFUNCTION("""COMPUTED_VALUE"""),9.54040992E8)</f>
        <v>954040992</v>
      </c>
      <c r="D1270" s="84">
        <f>IFERROR(__xludf.DUMMYFUNCTION("""COMPUTED_VALUE"""),119775.3)</f>
        <v>119775.3</v>
      </c>
      <c r="H1270" s="48"/>
      <c r="I1270" s="38"/>
      <c r="J1270" s="38"/>
      <c r="K1270" s="38"/>
      <c r="M1270" s="87"/>
      <c r="N1270" s="38"/>
      <c r="Q1270" s="38"/>
    </row>
    <row r="1271">
      <c r="A1271" s="46" t="str">
        <f>IFERROR(__xludf.DUMMYFUNCTION("""COMPUTED_VALUE"""),"Household")</f>
        <v>Household</v>
      </c>
      <c r="B1271" s="46" t="str">
        <f>IFERROR(__xludf.DUMMYFUNCTION("""COMPUTED_VALUE"""),"Hungary")</f>
        <v>Hungary</v>
      </c>
      <c r="C1271" s="46">
        <f>IFERROR(__xludf.DUMMYFUNCTION("""COMPUTED_VALUE"""),9.54065883E8)</f>
        <v>954065883</v>
      </c>
      <c r="D1271" s="84">
        <f>IFERROR(__xludf.DUMMYFUNCTION("""COMPUTED_VALUE"""),5447068.77)</f>
        <v>5447068.77</v>
      </c>
      <c r="H1271" s="48"/>
      <c r="I1271" s="38"/>
      <c r="J1271" s="38"/>
      <c r="K1271" s="38"/>
      <c r="M1271" s="87"/>
      <c r="N1271" s="38"/>
      <c r="Q1271" s="38"/>
    </row>
    <row r="1272">
      <c r="A1272" s="46" t="str">
        <f>IFERROR(__xludf.DUMMYFUNCTION("""COMPUTED_VALUE"""),"Vegetables")</f>
        <v>Vegetables</v>
      </c>
      <c r="B1272" s="46" t="str">
        <f>IFERROR(__xludf.DUMMYFUNCTION("""COMPUTED_VALUE"""),"Denmark")</f>
        <v>Denmark</v>
      </c>
      <c r="C1272" s="46">
        <f>IFERROR(__xludf.DUMMYFUNCTION("""COMPUTED_VALUE"""),9.54341828E8)</f>
        <v>954341828</v>
      </c>
      <c r="D1272" s="84">
        <f>IFERROR(__xludf.DUMMYFUNCTION("""COMPUTED_VALUE"""),1511174.54)</f>
        <v>1511174.54</v>
      </c>
      <c r="H1272" s="48"/>
      <c r="I1272" s="38"/>
      <c r="J1272" s="38"/>
      <c r="K1272" s="38"/>
      <c r="M1272" s="87"/>
      <c r="N1272" s="38"/>
      <c r="Q1272" s="38"/>
    </row>
    <row r="1273">
      <c r="A1273" s="46" t="str">
        <f>IFERROR(__xludf.DUMMYFUNCTION("""COMPUTED_VALUE"""),"Personal Care")</f>
        <v>Personal Care</v>
      </c>
      <c r="B1273" s="46" t="str">
        <f>IFERROR(__xludf.DUMMYFUNCTION("""COMPUTED_VALUE"""),"Spain")</f>
        <v>Spain</v>
      </c>
      <c r="C1273" s="46">
        <f>IFERROR(__xludf.DUMMYFUNCTION("""COMPUTED_VALUE"""),9.55466639E8)</f>
        <v>955466639</v>
      </c>
      <c r="D1273" s="84">
        <f>IFERROR(__xludf.DUMMYFUNCTION("""COMPUTED_VALUE"""),217892.18000000002)</f>
        <v>217892.18</v>
      </c>
      <c r="H1273" s="48"/>
      <c r="I1273" s="38"/>
      <c r="J1273" s="38"/>
      <c r="K1273" s="38"/>
      <c r="M1273" s="87"/>
      <c r="N1273" s="38"/>
      <c r="Q1273" s="38"/>
    </row>
    <row r="1274">
      <c r="A1274" s="46" t="str">
        <f>IFERROR(__xludf.DUMMYFUNCTION("""COMPUTED_VALUE"""),"Baby Food")</f>
        <v>Baby Food</v>
      </c>
      <c r="B1274" s="46" t="str">
        <f>IFERROR(__xludf.DUMMYFUNCTION("""COMPUTED_VALUE"""),"Spain")</f>
        <v>Spain</v>
      </c>
      <c r="C1274" s="46">
        <f>IFERROR(__xludf.DUMMYFUNCTION("""COMPUTED_VALUE"""),9.56594026E8)</f>
        <v>956594026</v>
      </c>
      <c r="D1274" s="84">
        <f>IFERROR(__xludf.DUMMYFUNCTION("""COMPUTED_VALUE"""),1604434.8)</f>
        <v>1604434.8</v>
      </c>
      <c r="H1274" s="48"/>
      <c r="I1274" s="38"/>
      <c r="J1274" s="38"/>
      <c r="K1274" s="38"/>
      <c r="M1274" s="87"/>
      <c r="N1274" s="38"/>
      <c r="Q1274" s="38"/>
    </row>
    <row r="1275">
      <c r="A1275" s="46" t="str">
        <f>IFERROR(__xludf.DUMMYFUNCTION("""COMPUTED_VALUE"""),"Vegetables")</f>
        <v>Vegetables</v>
      </c>
      <c r="B1275" s="46" t="str">
        <f>IFERROR(__xludf.DUMMYFUNCTION("""COMPUTED_VALUE"""),"Ireland")</f>
        <v>Ireland</v>
      </c>
      <c r="C1275" s="46">
        <f>IFERROR(__xludf.DUMMYFUNCTION("""COMPUTED_VALUE"""),9.56969964E8)</f>
        <v>956969964</v>
      </c>
      <c r="D1275" s="84">
        <f>IFERROR(__xludf.DUMMYFUNCTION("""COMPUTED_VALUE"""),1160533.98)</f>
        <v>1160533.98</v>
      </c>
      <c r="H1275" s="48"/>
      <c r="I1275" s="38"/>
      <c r="J1275" s="38"/>
      <c r="K1275" s="38"/>
      <c r="M1275" s="87"/>
      <c r="N1275" s="38"/>
      <c r="Q1275" s="38"/>
    </row>
    <row r="1276">
      <c r="A1276" s="46" t="str">
        <f>IFERROR(__xludf.DUMMYFUNCTION("""COMPUTED_VALUE"""),"Snacks")</f>
        <v>Snacks</v>
      </c>
      <c r="B1276" s="46" t="str">
        <f>IFERROR(__xludf.DUMMYFUNCTION("""COMPUTED_VALUE"""),"Greece")</f>
        <v>Greece</v>
      </c>
      <c r="C1276" s="46">
        <f>IFERROR(__xludf.DUMMYFUNCTION("""COMPUTED_VALUE"""),9.57926118E8)</f>
        <v>957926118</v>
      </c>
      <c r="D1276" s="84">
        <f>IFERROR(__xludf.DUMMYFUNCTION("""COMPUTED_VALUE"""),73238.40000000001)</f>
        <v>73238.4</v>
      </c>
      <c r="H1276" s="48"/>
      <c r="I1276" s="38"/>
      <c r="J1276" s="38"/>
      <c r="K1276" s="38"/>
      <c r="M1276" s="87"/>
      <c r="N1276" s="38"/>
      <c r="Q1276" s="38"/>
    </row>
    <row r="1277">
      <c r="A1277" s="46" t="str">
        <f>IFERROR(__xludf.DUMMYFUNCTION("""COMPUTED_VALUE"""),"Cereal")</f>
        <v>Cereal</v>
      </c>
      <c r="B1277" s="46" t="str">
        <f>IFERROR(__xludf.DUMMYFUNCTION("""COMPUTED_VALUE"""),"Russia")</f>
        <v>Russia</v>
      </c>
      <c r="C1277" s="46">
        <f>IFERROR(__xludf.DUMMYFUNCTION("""COMPUTED_VALUE"""),9.58366E8)</f>
        <v>958366000</v>
      </c>
      <c r="D1277" s="84">
        <f>IFERROR(__xludf.DUMMYFUNCTION("""COMPUTED_VALUE"""),133910.69999999998)</f>
        <v>133910.7</v>
      </c>
      <c r="H1277" s="48"/>
      <c r="I1277" s="38"/>
      <c r="J1277" s="38"/>
      <c r="K1277" s="38"/>
      <c r="M1277" s="87"/>
      <c r="N1277" s="38"/>
      <c r="Q1277" s="38"/>
    </row>
    <row r="1278">
      <c r="A1278" s="46" t="str">
        <f>IFERROR(__xludf.DUMMYFUNCTION("""COMPUTED_VALUE"""),"Beverages")</f>
        <v>Beverages</v>
      </c>
      <c r="B1278" s="46" t="str">
        <f>IFERROR(__xludf.DUMMYFUNCTION("""COMPUTED_VALUE"""),"Belgium")</f>
        <v>Belgium</v>
      </c>
      <c r="C1278" s="46">
        <f>IFERROR(__xludf.DUMMYFUNCTION("""COMPUTED_VALUE"""),9.60213077E8)</f>
        <v>960213077</v>
      </c>
      <c r="D1278" s="84">
        <f>IFERROR(__xludf.DUMMYFUNCTION("""COMPUTED_VALUE"""),343632.9)</f>
        <v>343632.9</v>
      </c>
      <c r="H1278" s="48"/>
      <c r="I1278" s="38"/>
      <c r="J1278" s="38"/>
      <c r="K1278" s="38"/>
      <c r="M1278" s="87"/>
      <c r="N1278" s="38"/>
      <c r="Q1278" s="38"/>
    </row>
    <row r="1279">
      <c r="A1279" s="46" t="str">
        <f>IFERROR(__xludf.DUMMYFUNCTION("""COMPUTED_VALUE"""),"Cereal")</f>
        <v>Cereal</v>
      </c>
      <c r="B1279" s="46" t="str">
        <f>IFERROR(__xludf.DUMMYFUNCTION("""COMPUTED_VALUE"""),"Georgia")</f>
        <v>Georgia</v>
      </c>
      <c r="C1279" s="46">
        <f>IFERROR(__xludf.DUMMYFUNCTION("""COMPUTED_VALUE"""),9.62560546E8)</f>
        <v>962560546</v>
      </c>
      <c r="D1279" s="84">
        <f>IFERROR(__xludf.DUMMYFUNCTION("""COMPUTED_VALUE"""),393092.69999999995)</f>
        <v>393092.7</v>
      </c>
      <c r="H1279" s="48"/>
      <c r="I1279" s="38"/>
      <c r="J1279" s="38"/>
      <c r="K1279" s="38"/>
      <c r="M1279" s="87"/>
      <c r="N1279" s="38"/>
      <c r="Q1279" s="38"/>
    </row>
    <row r="1280">
      <c r="A1280" s="46" t="str">
        <f>IFERROR(__xludf.DUMMYFUNCTION("""COMPUTED_VALUE"""),"Cereal")</f>
        <v>Cereal</v>
      </c>
      <c r="B1280" s="46" t="str">
        <f>IFERROR(__xludf.DUMMYFUNCTION("""COMPUTED_VALUE"""),"Macedonia")</f>
        <v>Macedonia</v>
      </c>
      <c r="C1280" s="46">
        <f>IFERROR(__xludf.DUMMYFUNCTION("""COMPUTED_VALUE"""),9.63219296E8)</f>
        <v>963219296</v>
      </c>
      <c r="D1280" s="84">
        <f>IFERROR(__xludf.DUMMYFUNCTION("""COMPUTED_VALUE"""),1409045.0)</f>
        <v>1409045</v>
      </c>
      <c r="H1280" s="48"/>
      <c r="I1280" s="38"/>
      <c r="J1280" s="38"/>
      <c r="K1280" s="38"/>
      <c r="M1280" s="87"/>
      <c r="N1280" s="38"/>
      <c r="Q1280" s="38"/>
    </row>
    <row r="1281">
      <c r="A1281" s="46" t="str">
        <f>IFERROR(__xludf.DUMMYFUNCTION("""COMPUTED_VALUE"""),"Fruits")</f>
        <v>Fruits</v>
      </c>
      <c r="B1281" s="46" t="str">
        <f>IFERROR(__xludf.DUMMYFUNCTION("""COMPUTED_VALUE"""),"Lithuania")</f>
        <v>Lithuania</v>
      </c>
      <c r="C1281" s="46">
        <f>IFERROR(__xludf.DUMMYFUNCTION("""COMPUTED_VALUE"""),9.65796363E8)</f>
        <v>965796363</v>
      </c>
      <c r="D1281" s="84">
        <f>IFERROR(__xludf.DUMMYFUNCTION("""COMPUTED_VALUE"""),88271.13)</f>
        <v>88271.13</v>
      </c>
      <c r="H1281" s="48"/>
      <c r="I1281" s="38"/>
      <c r="J1281" s="38"/>
      <c r="K1281" s="38"/>
      <c r="M1281" s="87"/>
      <c r="N1281" s="38"/>
      <c r="Q1281" s="38"/>
    </row>
    <row r="1282">
      <c r="A1282" s="46" t="str">
        <f>IFERROR(__xludf.DUMMYFUNCTION("""COMPUTED_VALUE"""),"Meat")</f>
        <v>Meat</v>
      </c>
      <c r="B1282" s="46" t="str">
        <f>IFERROR(__xludf.DUMMYFUNCTION("""COMPUTED_VALUE"""),"Estonia")</f>
        <v>Estonia</v>
      </c>
      <c r="C1282" s="46">
        <f>IFERROR(__xludf.DUMMYFUNCTION("""COMPUTED_VALUE"""),9.66800153E8)</f>
        <v>966800153</v>
      </c>
      <c r="D1282" s="84">
        <f>IFERROR(__xludf.DUMMYFUNCTION("""COMPUTED_VALUE"""),2744394.4499999997)</f>
        <v>2744394.45</v>
      </c>
      <c r="H1282" s="48"/>
      <c r="I1282" s="38"/>
      <c r="J1282" s="38"/>
      <c r="K1282" s="38"/>
      <c r="M1282" s="87"/>
      <c r="N1282" s="38"/>
      <c r="Q1282" s="38"/>
    </row>
    <row r="1283">
      <c r="A1283" s="46" t="str">
        <f>IFERROR(__xludf.DUMMYFUNCTION("""COMPUTED_VALUE"""),"Personal Care")</f>
        <v>Personal Care</v>
      </c>
      <c r="B1283" s="46" t="str">
        <f>IFERROR(__xludf.DUMMYFUNCTION("""COMPUTED_VALUE"""),"Austria")</f>
        <v>Austria</v>
      </c>
      <c r="C1283" s="46">
        <f>IFERROR(__xludf.DUMMYFUNCTION("""COMPUTED_VALUE"""),9.67258059E8)</f>
        <v>967258059</v>
      </c>
      <c r="D1283" s="84">
        <f>IFERROR(__xludf.DUMMYFUNCTION("""COMPUTED_VALUE"""),164195.57)</f>
        <v>164195.57</v>
      </c>
      <c r="H1283" s="48"/>
      <c r="I1283" s="38"/>
      <c r="J1283" s="38"/>
      <c r="K1283" s="38"/>
      <c r="M1283" s="87"/>
      <c r="N1283" s="38"/>
      <c r="Q1283" s="38"/>
    </row>
    <row r="1284">
      <c r="A1284" s="46" t="str">
        <f>IFERROR(__xludf.DUMMYFUNCTION("""COMPUTED_VALUE"""),"Vegetables")</f>
        <v>Vegetables</v>
      </c>
      <c r="B1284" s="46" t="str">
        <f>IFERROR(__xludf.DUMMYFUNCTION("""COMPUTED_VALUE"""),"Andorra")</f>
        <v>Andorra</v>
      </c>
      <c r="C1284" s="46">
        <f>IFERROR(__xludf.DUMMYFUNCTION("""COMPUTED_VALUE"""),9.67679059E8)</f>
        <v>967679059</v>
      </c>
      <c r="D1284" s="84">
        <f>IFERROR(__xludf.DUMMYFUNCTION("""COMPUTED_VALUE"""),1015563.52)</f>
        <v>1015563.52</v>
      </c>
      <c r="H1284" s="48"/>
      <c r="I1284" s="38"/>
      <c r="J1284" s="38"/>
      <c r="K1284" s="38"/>
      <c r="M1284" s="87"/>
      <c r="N1284" s="38"/>
      <c r="Q1284" s="38"/>
    </row>
    <row r="1285">
      <c r="A1285" s="46" t="str">
        <f>IFERROR(__xludf.DUMMYFUNCTION("""COMPUTED_VALUE"""),"Snacks")</f>
        <v>Snacks</v>
      </c>
      <c r="B1285" s="46" t="str">
        <f>IFERROR(__xludf.DUMMYFUNCTION("""COMPUTED_VALUE"""),"Poland")</f>
        <v>Poland</v>
      </c>
      <c r="C1285" s="46">
        <f>IFERROR(__xludf.DUMMYFUNCTION("""COMPUTED_VALUE"""),9.6818546E8)</f>
        <v>968185460</v>
      </c>
      <c r="D1285" s="84">
        <f>IFERROR(__xludf.DUMMYFUNCTION("""COMPUTED_VALUE"""),983835.8400000001)</f>
        <v>983835.84</v>
      </c>
      <c r="H1285" s="48"/>
      <c r="I1285" s="38"/>
      <c r="J1285" s="38"/>
      <c r="K1285" s="38"/>
      <c r="M1285" s="87"/>
      <c r="N1285" s="38"/>
      <c r="Q1285" s="38"/>
    </row>
    <row r="1286">
      <c r="A1286" s="46" t="str">
        <f>IFERROR(__xludf.DUMMYFUNCTION("""COMPUTED_VALUE"""),"Vegetables")</f>
        <v>Vegetables</v>
      </c>
      <c r="B1286" s="46" t="str">
        <f>IFERROR(__xludf.DUMMYFUNCTION("""COMPUTED_VALUE"""),"Denmark")</f>
        <v>Denmark</v>
      </c>
      <c r="C1286" s="46">
        <f>IFERROR(__xludf.DUMMYFUNCTION("""COMPUTED_VALUE"""),9.69195258E8)</f>
        <v>969195258</v>
      </c>
      <c r="D1286" s="84">
        <f>IFERROR(__xludf.DUMMYFUNCTION("""COMPUTED_VALUE"""),811742.14)</f>
        <v>811742.14</v>
      </c>
      <c r="H1286" s="48"/>
      <c r="I1286" s="38"/>
      <c r="J1286" s="38"/>
      <c r="K1286" s="38"/>
      <c r="M1286" s="87"/>
      <c r="N1286" s="38"/>
      <c r="Q1286" s="38"/>
    </row>
    <row r="1287">
      <c r="A1287" s="46" t="str">
        <f>IFERROR(__xludf.DUMMYFUNCTION("""COMPUTED_VALUE"""),"Meat")</f>
        <v>Meat</v>
      </c>
      <c r="B1287" s="46" t="str">
        <f>IFERROR(__xludf.DUMMYFUNCTION("""COMPUTED_VALUE"""),"Greece")</f>
        <v>Greece</v>
      </c>
      <c r="C1287" s="46">
        <f>IFERROR(__xludf.DUMMYFUNCTION("""COMPUTED_VALUE"""),9.69199979E8)</f>
        <v>969199979</v>
      </c>
      <c r="D1287" s="84">
        <f>IFERROR(__xludf.DUMMYFUNCTION("""COMPUTED_VALUE"""),2812318.7399999998)</f>
        <v>2812318.74</v>
      </c>
      <c r="H1287" s="48"/>
      <c r="I1287" s="38"/>
      <c r="J1287" s="38"/>
      <c r="K1287" s="38"/>
      <c r="M1287" s="87"/>
      <c r="N1287" s="38"/>
      <c r="Q1287" s="38"/>
    </row>
    <row r="1288">
      <c r="A1288" s="46" t="str">
        <f>IFERROR(__xludf.DUMMYFUNCTION("""COMPUTED_VALUE"""),"Household")</f>
        <v>Household</v>
      </c>
      <c r="B1288" s="46" t="str">
        <f>IFERROR(__xludf.DUMMYFUNCTION("""COMPUTED_VALUE"""),"Bosnia and Herzegovina")</f>
        <v>Bosnia and Herzegovina</v>
      </c>
      <c r="C1288" s="46">
        <f>IFERROR(__xludf.DUMMYFUNCTION("""COMPUTED_VALUE"""),9.69289243E8)</f>
        <v>969289243</v>
      </c>
      <c r="D1288" s="84">
        <f>IFERROR(__xludf.DUMMYFUNCTION("""COMPUTED_VALUE"""),2059608.14)</f>
        <v>2059608.14</v>
      </c>
      <c r="H1288" s="48"/>
      <c r="I1288" s="38"/>
      <c r="J1288" s="38"/>
      <c r="K1288" s="38"/>
      <c r="M1288" s="87"/>
      <c r="N1288" s="38"/>
      <c r="Q1288" s="38"/>
    </row>
    <row r="1289">
      <c r="A1289" s="46" t="str">
        <f>IFERROR(__xludf.DUMMYFUNCTION("""COMPUTED_VALUE"""),"Meat")</f>
        <v>Meat</v>
      </c>
      <c r="B1289" s="46" t="str">
        <f>IFERROR(__xludf.DUMMYFUNCTION("""COMPUTED_VALUE"""),"Armenia")</f>
        <v>Armenia</v>
      </c>
      <c r="C1289" s="46">
        <f>IFERROR(__xludf.DUMMYFUNCTION("""COMPUTED_VALUE"""),9.70427358E8)</f>
        <v>970427358</v>
      </c>
      <c r="D1289" s="84">
        <f>IFERROR(__xludf.DUMMYFUNCTION("""COMPUTED_VALUE"""),4166163.75)</f>
        <v>4166163.75</v>
      </c>
      <c r="H1289" s="48"/>
      <c r="I1289" s="38"/>
      <c r="J1289" s="38"/>
      <c r="K1289" s="38"/>
      <c r="M1289" s="87"/>
      <c r="N1289" s="38"/>
      <c r="Q1289" s="38"/>
    </row>
    <row r="1290">
      <c r="A1290" s="46" t="str">
        <f>IFERROR(__xludf.DUMMYFUNCTION("""COMPUTED_VALUE"""),"Household")</f>
        <v>Household</v>
      </c>
      <c r="B1290" s="46" t="str">
        <f>IFERROR(__xludf.DUMMYFUNCTION("""COMPUTED_VALUE"""),"Monaco")</f>
        <v>Monaco</v>
      </c>
      <c r="C1290" s="46">
        <f>IFERROR(__xludf.DUMMYFUNCTION("""COMPUTED_VALUE"""),9.71578347E8)</f>
        <v>971578347</v>
      </c>
      <c r="D1290" s="84">
        <f>IFERROR(__xludf.DUMMYFUNCTION("""COMPUTED_VALUE"""),319433.06)</f>
        <v>319433.06</v>
      </c>
      <c r="H1290" s="48"/>
      <c r="I1290" s="38"/>
      <c r="J1290" s="38"/>
      <c r="K1290" s="38"/>
      <c r="M1290" s="87"/>
      <c r="N1290" s="38"/>
      <c r="Q1290" s="38"/>
    </row>
    <row r="1291">
      <c r="A1291" s="46" t="str">
        <f>IFERROR(__xludf.DUMMYFUNCTION("""COMPUTED_VALUE"""),"Snacks")</f>
        <v>Snacks</v>
      </c>
      <c r="B1291" s="46" t="str">
        <f>IFERROR(__xludf.DUMMYFUNCTION("""COMPUTED_VALUE"""),"Sweden")</f>
        <v>Sweden</v>
      </c>
      <c r="C1291" s="46">
        <f>IFERROR(__xludf.DUMMYFUNCTION("""COMPUTED_VALUE"""),9.71899354E8)</f>
        <v>971899354</v>
      </c>
      <c r="D1291" s="84">
        <f>IFERROR(__xludf.DUMMYFUNCTION("""COMPUTED_VALUE"""),834765.18)</f>
        <v>834765.18</v>
      </c>
      <c r="H1291" s="48"/>
      <c r="I1291" s="38"/>
      <c r="J1291" s="38"/>
      <c r="K1291" s="38"/>
      <c r="M1291" s="87"/>
      <c r="N1291" s="38"/>
      <c r="Q1291" s="38"/>
    </row>
    <row r="1292">
      <c r="A1292" s="46" t="str">
        <f>IFERROR(__xludf.DUMMYFUNCTION("""COMPUTED_VALUE"""),"Cereal")</f>
        <v>Cereal</v>
      </c>
      <c r="B1292" s="46" t="str">
        <f>IFERROR(__xludf.DUMMYFUNCTION("""COMPUTED_VALUE"""),"Slovenia")</f>
        <v>Slovenia</v>
      </c>
      <c r="C1292" s="46">
        <f>IFERROR(__xludf.DUMMYFUNCTION("""COMPUTED_VALUE"""),9.72419059E8)</f>
        <v>972419059</v>
      </c>
      <c r="D1292" s="84">
        <f>IFERROR(__xludf.DUMMYFUNCTION("""COMPUTED_VALUE"""),1905604.7999999998)</f>
        <v>1905604.8</v>
      </c>
      <c r="H1292" s="48"/>
      <c r="I1292" s="38"/>
      <c r="J1292" s="38"/>
      <c r="K1292" s="38"/>
      <c r="M1292" s="87"/>
      <c r="N1292" s="38"/>
      <c r="Q1292" s="38"/>
    </row>
    <row r="1293">
      <c r="A1293" s="46" t="str">
        <f>IFERROR(__xludf.DUMMYFUNCTION("""COMPUTED_VALUE"""),"Vegetables")</f>
        <v>Vegetables</v>
      </c>
      <c r="B1293" s="46" t="str">
        <f>IFERROR(__xludf.DUMMYFUNCTION("""COMPUTED_VALUE"""),"Finland")</f>
        <v>Finland</v>
      </c>
      <c r="C1293" s="46">
        <f>IFERROR(__xludf.DUMMYFUNCTION("""COMPUTED_VALUE"""),9.72452533E8)</f>
        <v>972452533</v>
      </c>
      <c r="D1293" s="84">
        <f>IFERROR(__xludf.DUMMYFUNCTION("""COMPUTED_VALUE"""),1412576.1400000001)</f>
        <v>1412576.14</v>
      </c>
      <c r="H1293" s="48"/>
      <c r="I1293" s="38"/>
      <c r="J1293" s="38"/>
      <c r="K1293" s="38"/>
      <c r="M1293" s="87"/>
      <c r="N1293" s="38"/>
      <c r="Q1293" s="38"/>
    </row>
    <row r="1294">
      <c r="A1294" s="46" t="str">
        <f>IFERROR(__xludf.DUMMYFUNCTION("""COMPUTED_VALUE"""),"Snacks")</f>
        <v>Snacks</v>
      </c>
      <c r="B1294" s="46" t="str">
        <f>IFERROR(__xludf.DUMMYFUNCTION("""COMPUTED_VALUE"""),"Latvia")</f>
        <v>Latvia</v>
      </c>
      <c r="C1294" s="46">
        <f>IFERROR(__xludf.DUMMYFUNCTION("""COMPUTED_VALUE"""),9.72981679E8)</f>
        <v>972981679</v>
      </c>
      <c r="D1294" s="84">
        <f>IFERROR(__xludf.DUMMYFUNCTION("""COMPUTED_VALUE"""),878097.9)</f>
        <v>878097.9</v>
      </c>
      <c r="H1294" s="48"/>
      <c r="I1294" s="38"/>
      <c r="J1294" s="38"/>
      <c r="K1294" s="38"/>
      <c r="M1294" s="87"/>
      <c r="N1294" s="38"/>
      <c r="Q1294" s="38"/>
    </row>
    <row r="1295">
      <c r="A1295" s="46" t="str">
        <f>IFERROR(__xludf.DUMMYFUNCTION("""COMPUTED_VALUE"""),"Beverages")</f>
        <v>Beverages</v>
      </c>
      <c r="B1295" s="46" t="str">
        <f>IFERROR(__xludf.DUMMYFUNCTION("""COMPUTED_VALUE"""),"Denmark")</f>
        <v>Denmark</v>
      </c>
      <c r="C1295" s="46">
        <f>IFERROR(__xludf.DUMMYFUNCTION("""COMPUTED_VALUE"""),9.73268353E8)</f>
        <v>973268353</v>
      </c>
      <c r="D1295" s="84">
        <f>IFERROR(__xludf.DUMMYFUNCTION("""COMPUTED_VALUE"""),27948.050000000003)</f>
        <v>27948.05</v>
      </c>
      <c r="H1295" s="48"/>
      <c r="I1295" s="38"/>
      <c r="J1295" s="38"/>
      <c r="K1295" s="38"/>
      <c r="M1295" s="87"/>
      <c r="N1295" s="38"/>
      <c r="Q1295" s="38"/>
    </row>
    <row r="1296">
      <c r="A1296" s="46" t="str">
        <f>IFERROR(__xludf.DUMMYFUNCTION("""COMPUTED_VALUE"""),"Clothes")</f>
        <v>Clothes</v>
      </c>
      <c r="B1296" s="46" t="str">
        <f>IFERROR(__xludf.DUMMYFUNCTION("""COMPUTED_VALUE"""),"Andorra")</f>
        <v>Andorra</v>
      </c>
      <c r="C1296" s="46">
        <f>IFERROR(__xludf.DUMMYFUNCTION("""COMPUTED_VALUE"""),9.7414726E8)</f>
        <v>974147260</v>
      </c>
      <c r="D1296" s="84">
        <f>IFERROR(__xludf.DUMMYFUNCTION("""COMPUTED_VALUE"""),73982.56)</f>
        <v>73982.56</v>
      </c>
      <c r="H1296" s="48"/>
      <c r="I1296" s="38"/>
      <c r="J1296" s="38"/>
      <c r="K1296" s="38"/>
      <c r="M1296" s="87"/>
      <c r="N1296" s="38"/>
      <c r="Q1296" s="38"/>
    </row>
    <row r="1297">
      <c r="A1297" s="46" t="str">
        <f>IFERROR(__xludf.DUMMYFUNCTION("""COMPUTED_VALUE"""),"Fruits")</f>
        <v>Fruits</v>
      </c>
      <c r="B1297" s="46" t="str">
        <f>IFERROR(__xludf.DUMMYFUNCTION("""COMPUTED_VALUE"""),"Liechtenstein")</f>
        <v>Liechtenstein</v>
      </c>
      <c r="C1297" s="46">
        <f>IFERROR(__xludf.DUMMYFUNCTION("""COMPUTED_VALUE"""),9.7442063E8)</f>
        <v>974420630</v>
      </c>
      <c r="D1297" s="84">
        <f>IFERROR(__xludf.DUMMYFUNCTION("""COMPUTED_VALUE"""),14676.09)</f>
        <v>14676.09</v>
      </c>
      <c r="H1297" s="48"/>
      <c r="I1297" s="38"/>
      <c r="J1297" s="38"/>
      <c r="K1297" s="38"/>
      <c r="M1297" s="87"/>
      <c r="N1297" s="38"/>
      <c r="Q1297" s="38"/>
    </row>
    <row r="1298">
      <c r="A1298" s="46" t="str">
        <f>IFERROR(__xludf.DUMMYFUNCTION("""COMPUTED_VALUE"""),"Vegetables")</f>
        <v>Vegetables</v>
      </c>
      <c r="B1298" s="46" t="str">
        <f>IFERROR(__xludf.DUMMYFUNCTION("""COMPUTED_VALUE"""),"Undefined")</f>
        <v>Undefined</v>
      </c>
      <c r="C1298" s="46">
        <f>IFERROR(__xludf.DUMMYFUNCTION("""COMPUTED_VALUE"""),9.75080668E8)</f>
        <v>975080668</v>
      </c>
      <c r="D1298" s="84">
        <f>IFERROR(__xludf.DUMMYFUNCTION("""COMPUTED_VALUE"""),1061935.58)</f>
        <v>1061935.58</v>
      </c>
      <c r="H1298" s="48"/>
      <c r="I1298" s="38"/>
      <c r="J1298" s="38"/>
      <c r="K1298" s="38"/>
      <c r="M1298" s="87"/>
      <c r="N1298" s="38"/>
      <c r="Q1298" s="38"/>
    </row>
    <row r="1299">
      <c r="A1299" s="46" t="str">
        <f>IFERROR(__xludf.DUMMYFUNCTION("""COMPUTED_VALUE"""),"Office Supplies")</f>
        <v>Office Supplies</v>
      </c>
      <c r="B1299" s="46" t="str">
        <f>IFERROR(__xludf.DUMMYFUNCTION("""COMPUTED_VALUE"""),"Greece")</f>
        <v>Greece</v>
      </c>
      <c r="C1299" s="46">
        <f>IFERROR(__xludf.DUMMYFUNCTION("""COMPUTED_VALUE"""),9.75823962E8)</f>
        <v>975823962</v>
      </c>
      <c r="D1299" s="84">
        <f>IFERROR(__xludf.DUMMYFUNCTION("""COMPUTED_VALUE"""),4460788.5)</f>
        <v>4460788.5</v>
      </c>
      <c r="H1299" s="48"/>
      <c r="I1299" s="38"/>
      <c r="J1299" s="38"/>
      <c r="K1299" s="38"/>
      <c r="M1299" s="87"/>
      <c r="N1299" s="38"/>
      <c r="Q1299" s="38"/>
    </row>
    <row r="1300">
      <c r="A1300" s="46" t="str">
        <f>IFERROR(__xludf.DUMMYFUNCTION("""COMPUTED_VALUE"""),"Beverages")</f>
        <v>Beverages</v>
      </c>
      <c r="B1300" s="46" t="str">
        <f>IFERROR(__xludf.DUMMYFUNCTION("""COMPUTED_VALUE"""),"Croatia")</f>
        <v>Croatia</v>
      </c>
      <c r="C1300" s="46">
        <f>IFERROR(__xludf.DUMMYFUNCTION("""COMPUTED_VALUE"""),9.76323497E8)</f>
        <v>976323497</v>
      </c>
      <c r="D1300" s="84">
        <f>IFERROR(__xludf.DUMMYFUNCTION("""COMPUTED_VALUE"""),221781.30000000002)</f>
        <v>221781.3</v>
      </c>
      <c r="H1300" s="48"/>
      <c r="I1300" s="38"/>
      <c r="J1300" s="38"/>
      <c r="K1300" s="38"/>
      <c r="M1300" s="87"/>
      <c r="N1300" s="38"/>
      <c r="Q1300" s="38"/>
    </row>
    <row r="1301">
      <c r="A1301" s="46" t="str">
        <f>IFERROR(__xludf.DUMMYFUNCTION("""COMPUTED_VALUE"""),"Snacks")</f>
        <v>Snacks</v>
      </c>
      <c r="B1301" s="46" t="str">
        <f>IFERROR(__xludf.DUMMYFUNCTION("""COMPUTED_VALUE"""),"Luxembourg")</f>
        <v>Luxembourg</v>
      </c>
      <c r="C1301" s="46">
        <f>IFERROR(__xludf.DUMMYFUNCTION("""COMPUTED_VALUE"""),9.77324712E8)</f>
        <v>977324712</v>
      </c>
      <c r="D1301" s="84">
        <f>IFERROR(__xludf.DUMMYFUNCTION("""COMPUTED_VALUE"""),145713.90000000002)</f>
        <v>145713.9</v>
      </c>
      <c r="H1301" s="48"/>
      <c r="I1301" s="38"/>
      <c r="J1301" s="38"/>
      <c r="K1301" s="38"/>
      <c r="M1301" s="87"/>
      <c r="N1301" s="38"/>
      <c r="Q1301" s="38"/>
    </row>
    <row r="1302">
      <c r="A1302" s="46" t="str">
        <f>IFERROR(__xludf.DUMMYFUNCTION("""COMPUTED_VALUE"""),"Baby Food")</f>
        <v>Baby Food</v>
      </c>
      <c r="B1302" s="46" t="str">
        <f>IFERROR(__xludf.DUMMYFUNCTION("""COMPUTED_VALUE"""),"Switzerland")</f>
        <v>Switzerland</v>
      </c>
      <c r="C1302" s="46">
        <f>IFERROR(__xludf.DUMMYFUNCTION("""COMPUTED_VALUE"""),9.79073941E8)</f>
        <v>979073941</v>
      </c>
      <c r="D1302" s="84">
        <f>IFERROR(__xludf.DUMMYFUNCTION("""COMPUTED_VALUE"""),2193110.48)</f>
        <v>2193110.48</v>
      </c>
      <c r="H1302" s="48"/>
      <c r="I1302" s="38"/>
      <c r="J1302" s="38"/>
      <c r="K1302" s="38"/>
      <c r="M1302" s="87"/>
      <c r="N1302" s="38"/>
      <c r="Q1302" s="38"/>
    </row>
    <row r="1303">
      <c r="A1303" s="46" t="str">
        <f>IFERROR(__xludf.DUMMYFUNCTION("""COMPUTED_VALUE"""),"Meat")</f>
        <v>Meat</v>
      </c>
      <c r="B1303" s="46" t="str">
        <f>IFERROR(__xludf.DUMMYFUNCTION("""COMPUTED_VALUE"""),"Macedonia")</f>
        <v>Macedonia</v>
      </c>
      <c r="C1303" s="46">
        <f>IFERROR(__xludf.DUMMYFUNCTION("""COMPUTED_VALUE"""),9.79200112E8)</f>
        <v>979200112</v>
      </c>
      <c r="D1303" s="84">
        <f>IFERROR(__xludf.DUMMYFUNCTION("""COMPUTED_VALUE"""),2500963.92)</f>
        <v>2500963.92</v>
      </c>
      <c r="H1303" s="48"/>
      <c r="I1303" s="38"/>
      <c r="J1303" s="38"/>
      <c r="K1303" s="38"/>
      <c r="M1303" s="87"/>
      <c r="N1303" s="38"/>
      <c r="Q1303" s="38"/>
    </row>
    <row r="1304">
      <c r="A1304" s="46" t="str">
        <f>IFERROR(__xludf.DUMMYFUNCTION("""COMPUTED_VALUE"""),"Baby Food")</f>
        <v>Baby Food</v>
      </c>
      <c r="B1304" s="46" t="str">
        <f>IFERROR(__xludf.DUMMYFUNCTION("""COMPUTED_VALUE"""),"Bulgaria")</f>
        <v>Bulgaria</v>
      </c>
      <c r="C1304" s="46">
        <f>IFERROR(__xludf.DUMMYFUNCTION("""COMPUTED_VALUE"""),9.80381143E8)</f>
        <v>980381143</v>
      </c>
      <c r="D1304" s="84">
        <f>IFERROR(__xludf.DUMMYFUNCTION("""COMPUTED_VALUE"""),1383872.8800000001)</f>
        <v>1383872.88</v>
      </c>
      <c r="H1304" s="48"/>
      <c r="I1304" s="38"/>
      <c r="J1304" s="38"/>
      <c r="K1304" s="38"/>
      <c r="M1304" s="87"/>
      <c r="N1304" s="38"/>
      <c r="Q1304" s="38"/>
    </row>
    <row r="1305">
      <c r="A1305" s="46" t="str">
        <f>IFERROR(__xludf.DUMMYFUNCTION("""COMPUTED_VALUE"""),"Personal Care")</f>
        <v>Personal Care</v>
      </c>
      <c r="B1305" s="46" t="str">
        <f>IFERROR(__xludf.DUMMYFUNCTION("""COMPUTED_VALUE"""),"France")</f>
        <v>France</v>
      </c>
      <c r="C1305" s="46">
        <f>IFERROR(__xludf.DUMMYFUNCTION("""COMPUTED_VALUE"""),9.80598723E8)</f>
        <v>980598723</v>
      </c>
      <c r="D1305" s="84">
        <f>IFERROR(__xludf.DUMMYFUNCTION("""COMPUTED_VALUE"""),801607.8400000001)</f>
        <v>801607.84</v>
      </c>
      <c r="H1305" s="48"/>
      <c r="I1305" s="38"/>
      <c r="J1305" s="38"/>
      <c r="K1305" s="38"/>
      <c r="M1305" s="87"/>
      <c r="N1305" s="38"/>
      <c r="Q1305" s="38"/>
    </row>
    <row r="1306">
      <c r="A1306" s="46" t="str">
        <f>IFERROR(__xludf.DUMMYFUNCTION("""COMPUTED_VALUE"""),"Cosmetics")</f>
        <v>Cosmetics</v>
      </c>
      <c r="B1306" s="46" t="str">
        <f>IFERROR(__xludf.DUMMYFUNCTION("""COMPUTED_VALUE"""),"Luxembourg")</f>
        <v>Luxembourg</v>
      </c>
      <c r="C1306" s="46">
        <f>IFERROR(__xludf.DUMMYFUNCTION("""COMPUTED_VALUE"""),9.80961358E8)</f>
        <v>980961358</v>
      </c>
      <c r="D1306" s="84">
        <f>IFERROR(__xludf.DUMMYFUNCTION("""COMPUTED_VALUE"""),3112864.0)</f>
        <v>3112864</v>
      </c>
      <c r="H1306" s="48"/>
      <c r="I1306" s="38"/>
      <c r="J1306" s="38"/>
      <c r="K1306" s="38"/>
      <c r="M1306" s="87"/>
      <c r="N1306" s="38"/>
      <c r="Q1306" s="38"/>
    </row>
    <row r="1307">
      <c r="A1307" s="46" t="str">
        <f>IFERROR(__xludf.DUMMYFUNCTION("""COMPUTED_VALUE"""),"Beverages")</f>
        <v>Beverages</v>
      </c>
      <c r="B1307" s="46" t="str">
        <f>IFERROR(__xludf.DUMMYFUNCTION("""COMPUTED_VALUE"""),"Italy")</f>
        <v>Italy</v>
      </c>
      <c r="C1307" s="46">
        <f>IFERROR(__xludf.DUMMYFUNCTION("""COMPUTED_VALUE"""),9.81154048E8)</f>
        <v>981154048</v>
      </c>
      <c r="D1307" s="84">
        <f>IFERROR(__xludf.DUMMYFUNCTION("""COMPUTED_VALUE"""),196490.45)</f>
        <v>196490.45</v>
      </c>
      <c r="H1307" s="48"/>
      <c r="I1307" s="38"/>
      <c r="J1307" s="38"/>
      <c r="K1307" s="38"/>
      <c r="M1307" s="87"/>
      <c r="N1307" s="38"/>
      <c r="Q1307" s="38"/>
    </row>
    <row r="1308">
      <c r="A1308" s="46" t="str">
        <f>IFERROR(__xludf.DUMMYFUNCTION("""COMPUTED_VALUE"""),"Snacks")</f>
        <v>Snacks</v>
      </c>
      <c r="B1308" s="46" t="str">
        <f>IFERROR(__xludf.DUMMYFUNCTION("""COMPUTED_VALUE"""),"Malta")</f>
        <v>Malta</v>
      </c>
      <c r="C1308" s="46">
        <f>IFERROR(__xludf.DUMMYFUNCTION("""COMPUTED_VALUE"""),9.81808078E8)</f>
        <v>981808078</v>
      </c>
      <c r="D1308" s="84">
        <f>IFERROR(__xludf.DUMMYFUNCTION("""COMPUTED_VALUE"""),1172272.1400000001)</f>
        <v>1172272.14</v>
      </c>
      <c r="H1308" s="48"/>
      <c r="I1308" s="38"/>
      <c r="J1308" s="38"/>
      <c r="K1308" s="38"/>
      <c r="M1308" s="87"/>
      <c r="N1308" s="38"/>
      <c r="Q1308" s="38"/>
    </row>
    <row r="1309">
      <c r="A1309" s="46" t="str">
        <f>IFERROR(__xludf.DUMMYFUNCTION("""COMPUTED_VALUE"""),"Office Supplies")</f>
        <v>Office Supplies</v>
      </c>
      <c r="B1309" s="46" t="str">
        <f>IFERROR(__xludf.DUMMYFUNCTION("""COMPUTED_VALUE"""),"Lithuania")</f>
        <v>Lithuania</v>
      </c>
      <c r="C1309" s="46">
        <f>IFERROR(__xludf.DUMMYFUNCTION("""COMPUTED_VALUE"""),9.82566821E8)</f>
        <v>982566821</v>
      </c>
      <c r="D1309" s="84">
        <f>IFERROR(__xludf.DUMMYFUNCTION("""COMPUTED_VALUE"""),1440476.52)</f>
        <v>1440476.52</v>
      </c>
      <c r="H1309" s="48"/>
      <c r="I1309" s="38"/>
      <c r="J1309" s="38"/>
      <c r="K1309" s="38"/>
      <c r="M1309" s="87"/>
      <c r="N1309" s="38"/>
      <c r="Q1309" s="38"/>
    </row>
    <row r="1310">
      <c r="A1310" s="46" t="str">
        <f>IFERROR(__xludf.DUMMYFUNCTION("""COMPUTED_VALUE"""),"Beverages")</f>
        <v>Beverages</v>
      </c>
      <c r="B1310" s="46" t="str">
        <f>IFERROR(__xludf.DUMMYFUNCTION("""COMPUTED_VALUE"""),"Netherlands")</f>
        <v>Netherlands</v>
      </c>
      <c r="C1310" s="46">
        <f>IFERROR(__xludf.DUMMYFUNCTION("""COMPUTED_VALUE"""),9.85039174E8)</f>
        <v>985039174</v>
      </c>
      <c r="D1310" s="84">
        <f>IFERROR(__xludf.DUMMYFUNCTION("""COMPUTED_VALUE"""),182018.2)</f>
        <v>182018.2</v>
      </c>
      <c r="H1310" s="48"/>
      <c r="I1310" s="38"/>
      <c r="J1310" s="38"/>
      <c r="K1310" s="38"/>
      <c r="M1310" s="87"/>
      <c r="N1310" s="38"/>
      <c r="Q1310" s="38"/>
    </row>
    <row r="1311">
      <c r="A1311" s="46" t="str">
        <f>IFERROR(__xludf.DUMMYFUNCTION("""COMPUTED_VALUE"""),"Cereal")</f>
        <v>Cereal</v>
      </c>
      <c r="B1311" s="46" t="str">
        <f>IFERROR(__xludf.DUMMYFUNCTION("""COMPUTED_VALUE"""),"United Kingdom")</f>
        <v>United Kingdom</v>
      </c>
      <c r="C1311" s="46">
        <f>IFERROR(__xludf.DUMMYFUNCTION("""COMPUTED_VALUE"""),9.85417258E8)</f>
        <v>985417258</v>
      </c>
      <c r="D1311" s="84">
        <f>IFERROR(__xludf.DUMMYFUNCTION("""COMPUTED_VALUE"""),1176604.0)</f>
        <v>1176604</v>
      </c>
      <c r="H1311" s="48"/>
      <c r="I1311" s="38"/>
      <c r="J1311" s="38"/>
      <c r="K1311" s="38"/>
      <c r="M1311" s="87"/>
      <c r="N1311" s="38"/>
      <c r="Q1311" s="38"/>
    </row>
    <row r="1312">
      <c r="A1312" s="46" t="str">
        <f>IFERROR(__xludf.DUMMYFUNCTION("""COMPUTED_VALUE"""),"Meat")</f>
        <v>Meat</v>
      </c>
      <c r="B1312" s="46" t="str">
        <f>IFERROR(__xludf.DUMMYFUNCTION("""COMPUTED_VALUE"""),"Albania")</f>
        <v>Albania</v>
      </c>
      <c r="C1312" s="46">
        <f>IFERROR(__xludf.DUMMYFUNCTION("""COMPUTED_VALUE"""),9.86449801E8)</f>
        <v>986449801</v>
      </c>
      <c r="D1312" s="84">
        <f>IFERROR(__xludf.DUMMYFUNCTION("""COMPUTED_VALUE"""),536644.08)</f>
        <v>536644.08</v>
      </c>
      <c r="H1312" s="48"/>
      <c r="I1312" s="38"/>
      <c r="J1312" s="38"/>
      <c r="K1312" s="38"/>
      <c r="M1312" s="87"/>
      <c r="N1312" s="38"/>
      <c r="Q1312" s="38"/>
    </row>
    <row r="1313">
      <c r="A1313" s="46" t="str">
        <f>IFERROR(__xludf.DUMMYFUNCTION("""COMPUTED_VALUE"""),"Vegetables")</f>
        <v>Vegetables</v>
      </c>
      <c r="B1313" s="46" t="str">
        <f>IFERROR(__xludf.DUMMYFUNCTION("""COMPUTED_VALUE"""),"Macedonia")</f>
        <v>Macedonia</v>
      </c>
      <c r="C1313" s="46">
        <f>IFERROR(__xludf.DUMMYFUNCTION("""COMPUTED_VALUE"""),9.87050187E8)</f>
        <v>987050187</v>
      </c>
      <c r="D1313" s="84">
        <f>IFERROR(__xludf.DUMMYFUNCTION("""COMPUTED_VALUE"""),1377296.4)</f>
        <v>1377296.4</v>
      </c>
      <c r="H1313" s="48"/>
      <c r="I1313" s="38"/>
      <c r="J1313" s="38"/>
      <c r="K1313" s="38"/>
      <c r="M1313" s="87"/>
      <c r="N1313" s="38"/>
      <c r="Q1313" s="38"/>
    </row>
    <row r="1314">
      <c r="A1314" s="46" t="str">
        <f>IFERROR(__xludf.DUMMYFUNCTION("""COMPUTED_VALUE"""),"Cereal")</f>
        <v>Cereal</v>
      </c>
      <c r="B1314" s="46" t="str">
        <f>IFERROR(__xludf.DUMMYFUNCTION("""COMPUTED_VALUE"""),"Austria")</f>
        <v>Austria</v>
      </c>
      <c r="C1314" s="46">
        <f>IFERROR(__xludf.DUMMYFUNCTION("""COMPUTED_VALUE"""),9.87410676E8)</f>
        <v>987410676</v>
      </c>
      <c r="D1314" s="84">
        <f>IFERROR(__xludf.DUMMYFUNCTION("""COMPUTED_VALUE"""),1155211.2)</f>
        <v>1155211.2</v>
      </c>
      <c r="H1314" s="48"/>
      <c r="I1314" s="38"/>
      <c r="J1314" s="38"/>
      <c r="K1314" s="38"/>
      <c r="M1314" s="87"/>
      <c r="N1314" s="38"/>
      <c r="Q1314" s="38"/>
    </row>
    <row r="1315">
      <c r="A1315" s="46" t="str">
        <f>IFERROR(__xludf.DUMMYFUNCTION("""COMPUTED_VALUE"""),"Personal Care")</f>
        <v>Personal Care</v>
      </c>
      <c r="B1315" s="46" t="str">
        <f>IFERROR(__xludf.DUMMYFUNCTION("""COMPUTED_VALUE"""),"Ukraine")</f>
        <v>Ukraine</v>
      </c>
      <c r="C1315" s="46">
        <f>IFERROR(__xludf.DUMMYFUNCTION("""COMPUTED_VALUE"""),9.8745917E8)</f>
        <v>987459170</v>
      </c>
      <c r="D1315" s="84">
        <f>IFERROR(__xludf.DUMMYFUNCTION("""COMPUTED_VALUE"""),814602.91)</f>
        <v>814602.91</v>
      </c>
      <c r="H1315" s="48"/>
      <c r="I1315" s="38"/>
      <c r="J1315" s="38"/>
      <c r="K1315" s="38"/>
      <c r="M1315" s="87"/>
      <c r="N1315" s="38"/>
      <c r="Q1315" s="38"/>
    </row>
    <row r="1316">
      <c r="A1316" s="46" t="str">
        <f>IFERROR(__xludf.DUMMYFUNCTION("""COMPUTED_VALUE"""),"Office Supplies")</f>
        <v>Office Supplies</v>
      </c>
      <c r="B1316" s="46" t="str">
        <f>IFERROR(__xludf.DUMMYFUNCTION("""COMPUTED_VALUE"""),"Lithuania")</f>
        <v>Lithuania</v>
      </c>
      <c r="C1316" s="46">
        <f>IFERROR(__xludf.DUMMYFUNCTION("""COMPUTED_VALUE"""),9.87767302E8)</f>
        <v>987767302</v>
      </c>
      <c r="D1316" s="84">
        <f>IFERROR(__xludf.DUMMYFUNCTION("""COMPUTED_VALUE"""),748891.5)</f>
        <v>748891.5</v>
      </c>
      <c r="H1316" s="48"/>
      <c r="I1316" s="38"/>
      <c r="J1316" s="38"/>
      <c r="K1316" s="38"/>
      <c r="M1316" s="87"/>
      <c r="N1316" s="38"/>
      <c r="Q1316" s="38"/>
    </row>
    <row r="1317">
      <c r="A1317" s="46" t="str">
        <f>IFERROR(__xludf.DUMMYFUNCTION("""COMPUTED_VALUE"""),"Household")</f>
        <v>Household</v>
      </c>
      <c r="B1317" s="46" t="str">
        <f>IFERROR(__xludf.DUMMYFUNCTION("""COMPUTED_VALUE"""),"Czech Republic")</f>
        <v>Czech Republic</v>
      </c>
      <c r="C1317" s="46">
        <f>IFERROR(__xludf.DUMMYFUNCTION("""COMPUTED_VALUE"""),9.8859986E8)</f>
        <v>988599860</v>
      </c>
      <c r="D1317" s="84">
        <f>IFERROR(__xludf.DUMMYFUNCTION("""COMPUTED_VALUE"""),5026726.9399999995)</f>
        <v>5026726.94</v>
      </c>
      <c r="H1317" s="48"/>
      <c r="I1317" s="38"/>
      <c r="J1317" s="38"/>
      <c r="K1317" s="38"/>
      <c r="M1317" s="87"/>
      <c r="N1317" s="38"/>
      <c r="Q1317" s="38"/>
    </row>
    <row r="1318">
      <c r="A1318" s="46" t="str">
        <f>IFERROR(__xludf.DUMMYFUNCTION("""COMPUTED_VALUE"""),"Cereal")</f>
        <v>Cereal</v>
      </c>
      <c r="B1318" s="46" t="str">
        <f>IFERROR(__xludf.DUMMYFUNCTION("""COMPUTED_VALUE"""),"Macedonia")</f>
        <v>Macedonia</v>
      </c>
      <c r="C1318" s="46">
        <f>IFERROR(__xludf.DUMMYFUNCTION("""COMPUTED_VALUE"""),9.88614022E8)</f>
        <v>988614022</v>
      </c>
      <c r="D1318" s="84">
        <f>IFERROR(__xludf.DUMMYFUNCTION("""COMPUTED_VALUE"""),352364.1)</f>
        <v>352364.1</v>
      </c>
      <c r="H1318" s="48"/>
      <c r="I1318" s="38"/>
      <c r="J1318" s="38"/>
      <c r="K1318" s="38"/>
      <c r="M1318" s="87"/>
      <c r="N1318" s="38"/>
      <c r="Q1318" s="38"/>
    </row>
    <row r="1319">
      <c r="A1319" s="46" t="str">
        <f>IFERROR(__xludf.DUMMYFUNCTION("""COMPUTED_VALUE"""),"Fruits")</f>
        <v>Fruits</v>
      </c>
      <c r="B1319" s="46" t="str">
        <f>IFERROR(__xludf.DUMMYFUNCTION("""COMPUTED_VALUE"""),"Undefined")</f>
        <v>Undefined</v>
      </c>
      <c r="C1319" s="46">
        <f>IFERROR(__xludf.DUMMYFUNCTION("""COMPUTED_VALUE"""),9.89102828E8)</f>
        <v>989102828</v>
      </c>
      <c r="D1319" s="84">
        <f>IFERROR(__xludf.DUMMYFUNCTION("""COMPUTED_VALUE"""),59357.46)</f>
        <v>59357.46</v>
      </c>
      <c r="H1319" s="48"/>
      <c r="I1319" s="38"/>
      <c r="J1319" s="38"/>
      <c r="K1319" s="38"/>
      <c r="M1319" s="87"/>
      <c r="N1319" s="38"/>
      <c r="Q1319" s="38"/>
    </row>
    <row r="1320">
      <c r="A1320" s="46" t="str">
        <f>IFERROR(__xludf.DUMMYFUNCTION("""COMPUTED_VALUE"""),"Clothes")</f>
        <v>Clothes</v>
      </c>
      <c r="B1320" s="46" t="str">
        <f>IFERROR(__xludf.DUMMYFUNCTION("""COMPUTED_VALUE"""),"Macedonia")</f>
        <v>Macedonia</v>
      </c>
      <c r="C1320" s="46">
        <f>IFERROR(__xludf.DUMMYFUNCTION("""COMPUTED_VALUE"""),9.89403665E8)</f>
        <v>989403665</v>
      </c>
      <c r="D1320" s="84">
        <f>IFERROR(__xludf.DUMMYFUNCTION("""COMPUTED_VALUE"""),588582.08)</f>
        <v>588582.08</v>
      </c>
      <c r="H1320" s="48"/>
      <c r="I1320" s="38"/>
      <c r="J1320" s="38"/>
      <c r="K1320" s="38"/>
      <c r="M1320" s="87"/>
      <c r="N1320" s="38"/>
      <c r="Q1320" s="38"/>
    </row>
    <row r="1321">
      <c r="A1321" s="46" t="str">
        <f>IFERROR(__xludf.DUMMYFUNCTION("""COMPUTED_VALUE"""),"Household")</f>
        <v>Household</v>
      </c>
      <c r="B1321" s="46" t="str">
        <f>IFERROR(__xludf.DUMMYFUNCTION("""COMPUTED_VALUE"""),"Belarus")</f>
        <v>Belarus</v>
      </c>
      <c r="C1321" s="46">
        <f>IFERROR(__xludf.DUMMYFUNCTION("""COMPUTED_VALUE"""),9.9045509E8)</f>
        <v>990455090</v>
      </c>
      <c r="D1321" s="84">
        <f>IFERROR(__xludf.DUMMYFUNCTION("""COMPUTED_VALUE"""),4361130.02)</f>
        <v>4361130.02</v>
      </c>
      <c r="H1321" s="48"/>
      <c r="I1321" s="38"/>
      <c r="J1321" s="38"/>
      <c r="K1321" s="38"/>
      <c r="M1321" s="87"/>
      <c r="N1321" s="38"/>
      <c r="Q1321" s="38"/>
    </row>
    <row r="1322">
      <c r="A1322" s="46" t="str">
        <f>IFERROR(__xludf.DUMMYFUNCTION("""COMPUTED_VALUE"""),"Household")</f>
        <v>Household</v>
      </c>
      <c r="B1322" s="46" t="str">
        <f>IFERROR(__xludf.DUMMYFUNCTION("""COMPUTED_VALUE"""),"Netherlands")</f>
        <v>Netherlands</v>
      </c>
      <c r="C1322" s="46">
        <f>IFERROR(__xludf.DUMMYFUNCTION("""COMPUTED_VALUE"""),9.9077481E8)</f>
        <v>990774810</v>
      </c>
      <c r="D1322" s="84">
        <f>IFERROR(__xludf.DUMMYFUNCTION("""COMPUTED_VALUE"""),760491.26)</f>
        <v>760491.26</v>
      </c>
      <c r="H1322" s="48"/>
      <c r="I1322" s="38"/>
      <c r="J1322" s="38"/>
      <c r="K1322" s="38"/>
      <c r="M1322" s="87"/>
      <c r="N1322" s="38"/>
      <c r="Q1322" s="38"/>
    </row>
    <row r="1323">
      <c r="A1323" s="46" t="str">
        <f>IFERROR(__xludf.DUMMYFUNCTION("""COMPUTED_VALUE"""),"Fruits")</f>
        <v>Fruits</v>
      </c>
      <c r="B1323" s="46" t="str">
        <f>IFERROR(__xludf.DUMMYFUNCTION("""COMPUTED_VALUE"""),"Norway")</f>
        <v>Norway</v>
      </c>
      <c r="C1323" s="46">
        <f>IFERROR(__xludf.DUMMYFUNCTION("""COMPUTED_VALUE"""),9.91761863E8)</f>
        <v>991761863</v>
      </c>
      <c r="D1323" s="84">
        <f>IFERROR(__xludf.DUMMYFUNCTION("""COMPUTED_VALUE"""),30126.57)</f>
        <v>30126.57</v>
      </c>
      <c r="H1323" s="48"/>
      <c r="I1323" s="38"/>
      <c r="J1323" s="38"/>
      <c r="K1323" s="38"/>
      <c r="M1323" s="87"/>
      <c r="N1323" s="38"/>
      <c r="Q1323" s="38"/>
    </row>
    <row r="1324">
      <c r="A1324" s="46" t="str">
        <f>IFERROR(__xludf.DUMMYFUNCTION("""COMPUTED_VALUE"""),"Vegetables")</f>
        <v>Vegetables</v>
      </c>
      <c r="B1324" s="46" t="str">
        <f>IFERROR(__xludf.DUMMYFUNCTION("""COMPUTED_VALUE"""),"Serbia")</f>
        <v>Serbia</v>
      </c>
      <c r="C1324" s="46">
        <f>IFERROR(__xludf.DUMMYFUNCTION("""COMPUTED_VALUE"""),9.92992675E8)</f>
        <v>992992675</v>
      </c>
      <c r="D1324" s="84">
        <f>IFERROR(__xludf.DUMMYFUNCTION("""COMPUTED_VALUE"""),1148363.24)</f>
        <v>1148363.24</v>
      </c>
      <c r="H1324" s="48"/>
      <c r="I1324" s="38"/>
      <c r="J1324" s="38"/>
      <c r="K1324" s="38"/>
      <c r="M1324" s="87"/>
      <c r="N1324" s="38"/>
      <c r="Q1324" s="38"/>
    </row>
    <row r="1325">
      <c r="A1325" s="46" t="str">
        <f>IFERROR(__xludf.DUMMYFUNCTION("""COMPUTED_VALUE"""),"Personal Care")</f>
        <v>Personal Care</v>
      </c>
      <c r="B1325" s="46" t="str">
        <f>IFERROR(__xludf.DUMMYFUNCTION("""COMPUTED_VALUE"""),"Germany")</f>
        <v>Germany</v>
      </c>
      <c r="C1325" s="46">
        <f>IFERROR(__xludf.DUMMYFUNCTION("""COMPUTED_VALUE"""),9.93368613E8)</f>
        <v>993368613</v>
      </c>
      <c r="D1325" s="84">
        <f>IFERROR(__xludf.DUMMYFUNCTION("""COMPUTED_VALUE"""),711214.4600000001)</f>
        <v>711214.46</v>
      </c>
      <c r="H1325" s="48"/>
      <c r="I1325" s="38"/>
      <c r="J1325" s="38"/>
      <c r="K1325" s="38"/>
      <c r="M1325" s="87"/>
      <c r="N1325" s="38"/>
      <c r="Q1325" s="38"/>
    </row>
    <row r="1326">
      <c r="A1326" s="46" t="str">
        <f>IFERROR(__xludf.DUMMYFUNCTION("""COMPUTED_VALUE"""),"Beverages")</f>
        <v>Beverages</v>
      </c>
      <c r="B1326" s="46" t="str">
        <f>IFERROR(__xludf.DUMMYFUNCTION("""COMPUTED_VALUE"""),"Malta")</f>
        <v>Malta</v>
      </c>
      <c r="C1326" s="46">
        <f>IFERROR(__xludf.DUMMYFUNCTION("""COMPUTED_VALUE"""),9.94406735E8)</f>
        <v>994406735</v>
      </c>
      <c r="D1326" s="84">
        <f>IFERROR(__xludf.DUMMYFUNCTION("""COMPUTED_VALUE"""),280239.7)</f>
        <v>280239.7</v>
      </c>
      <c r="H1326" s="48"/>
      <c r="I1326" s="38"/>
      <c r="J1326" s="38"/>
      <c r="K1326" s="38"/>
      <c r="M1326" s="87"/>
      <c r="N1326" s="38"/>
      <c r="Q1326" s="38"/>
    </row>
    <row r="1327">
      <c r="A1327" s="46" t="str">
        <f>IFERROR(__xludf.DUMMYFUNCTION("""COMPUTED_VALUE"""),"Fruits")</f>
        <v>Fruits</v>
      </c>
      <c r="B1327" s="46" t="str">
        <f>IFERROR(__xludf.DUMMYFUNCTION("""COMPUTED_VALUE"""),"Sweden")</f>
        <v>Sweden</v>
      </c>
      <c r="C1327" s="46">
        <f>IFERROR(__xludf.DUMMYFUNCTION("""COMPUTED_VALUE"""),9.94504153E8)</f>
        <v>994504153</v>
      </c>
      <c r="D1327" s="84">
        <f>IFERROR(__xludf.DUMMYFUNCTION("""COMPUTED_VALUE"""),44168.22)</f>
        <v>44168.22</v>
      </c>
      <c r="H1327" s="48"/>
      <c r="I1327" s="38"/>
      <c r="J1327" s="38"/>
      <c r="K1327" s="38"/>
      <c r="M1327" s="87"/>
      <c r="N1327" s="38"/>
      <c r="Q1327" s="38"/>
    </row>
    <row r="1328">
      <c r="A1328" s="46" t="str">
        <f>IFERROR(__xludf.DUMMYFUNCTION("""COMPUTED_VALUE"""),"Beverages")</f>
        <v>Beverages</v>
      </c>
      <c r="B1328" s="46" t="str">
        <f>IFERROR(__xludf.DUMMYFUNCTION("""COMPUTED_VALUE"""),"Italy")</f>
        <v>Italy</v>
      </c>
      <c r="C1328" s="46">
        <f>IFERROR(__xludf.DUMMYFUNCTION("""COMPUTED_VALUE"""),9.94978797E8)</f>
        <v>994978797</v>
      </c>
      <c r="D1328" s="84">
        <f>IFERROR(__xludf.DUMMYFUNCTION("""COMPUTED_VALUE"""),246360.40000000002)</f>
        <v>246360.4</v>
      </c>
      <c r="H1328" s="48"/>
      <c r="I1328" s="38"/>
      <c r="J1328" s="38"/>
      <c r="K1328" s="38"/>
      <c r="M1328" s="87"/>
      <c r="N1328" s="38"/>
      <c r="Q1328" s="38"/>
    </row>
    <row r="1329">
      <c r="A1329" s="46" t="str">
        <f>IFERROR(__xludf.DUMMYFUNCTION("""COMPUTED_VALUE"""),"Baby Food")</f>
        <v>Baby Food</v>
      </c>
      <c r="B1329" s="46" t="str">
        <f>IFERROR(__xludf.DUMMYFUNCTION("""COMPUTED_VALUE"""),"Russia")</f>
        <v>Russia</v>
      </c>
      <c r="C1329" s="46">
        <f>IFERROR(__xludf.DUMMYFUNCTION("""COMPUTED_VALUE"""),9.96754205E8)</f>
        <v>996754205</v>
      </c>
      <c r="D1329" s="84">
        <f>IFERROR(__xludf.DUMMYFUNCTION("""COMPUTED_VALUE"""),146530.72)</f>
        <v>146530.72</v>
      </c>
      <c r="H1329" s="48"/>
      <c r="I1329" s="38"/>
      <c r="J1329" s="38"/>
      <c r="K1329" s="38"/>
      <c r="M1329" s="87"/>
      <c r="N1329" s="38"/>
      <c r="Q1329" s="38"/>
    </row>
    <row r="1330">
      <c r="A1330" s="46" t="str">
        <f>IFERROR(__xludf.DUMMYFUNCTION("""COMPUTED_VALUE"""),"Cosmetics")</f>
        <v>Cosmetics</v>
      </c>
      <c r="B1330" s="46" t="str">
        <f>IFERROR(__xludf.DUMMYFUNCTION("""COMPUTED_VALUE"""),"Malta")</f>
        <v>Malta</v>
      </c>
      <c r="C1330" s="46">
        <f>IFERROR(__xludf.DUMMYFUNCTION("""COMPUTED_VALUE"""),9.98043382E8)</f>
        <v>998043382</v>
      </c>
      <c r="D1330" s="84">
        <f>IFERROR(__xludf.DUMMYFUNCTION("""COMPUTED_VALUE"""),905004.0)</f>
        <v>905004</v>
      </c>
      <c r="H1330" s="48"/>
      <c r="I1330" s="38"/>
      <c r="J1330" s="38"/>
      <c r="K1330" s="38"/>
      <c r="M1330" s="87"/>
      <c r="N1330" s="38"/>
      <c r="Q1330" s="38"/>
    </row>
    <row r="1331">
      <c r="A1331" s="46" t="str">
        <f>IFERROR(__xludf.DUMMYFUNCTION("""COMPUTED_VALUE"""),"Household")</f>
        <v>Household</v>
      </c>
      <c r="B1331" s="46" t="str">
        <f>IFERROR(__xludf.DUMMYFUNCTION("""COMPUTED_VALUE"""),"Albania")</f>
        <v>Albania</v>
      </c>
      <c r="C1331" s="46">
        <f>IFERROR(__xludf.DUMMYFUNCTION("""COMPUTED_VALUE"""),9.99879729E8)</f>
        <v>999879729</v>
      </c>
      <c r="D1331" s="84">
        <f>IFERROR(__xludf.DUMMYFUNCTION("""COMPUTED_VALUE"""),3666129.2199999997)</f>
        <v>3666129.22</v>
      </c>
      <c r="H1331" s="48"/>
      <c r="I1331" s="38"/>
      <c r="J1331" s="38"/>
      <c r="K1331" s="38"/>
      <c r="M1331" s="87"/>
      <c r="N1331" s="38"/>
      <c r="Q1331" s="38"/>
    </row>
    <row r="1332">
      <c r="H1332" s="48"/>
      <c r="I1332" s="38"/>
      <c r="J1332" s="38"/>
      <c r="K1332" s="38"/>
      <c r="M1332" s="87"/>
      <c r="N1332" s="38"/>
      <c r="Q1332" s="38"/>
    </row>
    <row r="1333">
      <c r="H1333" s="48"/>
      <c r="I1333" s="38"/>
      <c r="J1333" s="38"/>
      <c r="K1333" s="38"/>
      <c r="M1333" s="87"/>
      <c r="N1333" s="38"/>
      <c r="Q1333" s="38"/>
    </row>
    <row r="1334">
      <c r="H1334" s="48"/>
      <c r="I1334" s="38"/>
      <c r="J1334" s="38"/>
      <c r="K1334" s="38"/>
      <c r="M1334" s="87"/>
      <c r="N1334" s="38"/>
      <c r="Q1334" s="38"/>
    </row>
    <row r="1335">
      <c r="H1335" s="48"/>
      <c r="I1335" s="38"/>
      <c r="J1335" s="38"/>
      <c r="K1335" s="38"/>
      <c r="M1335" s="87"/>
      <c r="N1335" s="38"/>
      <c r="Q1335" s="38"/>
    </row>
    <row r="1336">
      <c r="H1336" s="48"/>
      <c r="I1336" s="38"/>
      <c r="J1336" s="38"/>
      <c r="K1336" s="38"/>
      <c r="M1336" s="87"/>
      <c r="N1336" s="38"/>
      <c r="Q1336" s="38"/>
    </row>
    <row r="1337">
      <c r="H1337" s="48"/>
      <c r="I1337" s="38"/>
      <c r="J1337" s="38"/>
      <c r="K1337" s="38"/>
      <c r="M1337" s="87"/>
      <c r="N1337" s="38"/>
      <c r="Q1337" s="38"/>
    </row>
    <row r="1338">
      <c r="H1338" s="48"/>
      <c r="I1338" s="38"/>
      <c r="J1338" s="38"/>
      <c r="K1338" s="38"/>
      <c r="M1338" s="87"/>
      <c r="N1338" s="38"/>
      <c r="Q1338" s="38"/>
    </row>
    <row r="1339">
      <c r="H1339" s="48"/>
      <c r="I1339" s="38"/>
      <c r="J1339" s="38"/>
      <c r="K1339" s="38"/>
      <c r="M1339" s="87"/>
      <c r="N1339" s="38"/>
      <c r="Q1339" s="38"/>
    </row>
    <row r="1340">
      <c r="H1340" s="48"/>
      <c r="I1340" s="38"/>
      <c r="J1340" s="38"/>
      <c r="K1340" s="38"/>
      <c r="M1340" s="87"/>
      <c r="N1340" s="38"/>
      <c r="Q1340" s="38"/>
    </row>
    <row r="1341">
      <c r="H1341" s="48"/>
      <c r="I1341" s="38"/>
      <c r="J1341" s="38"/>
      <c r="K1341" s="38"/>
      <c r="M1341" s="87"/>
      <c r="N1341" s="38"/>
      <c r="Q1341" s="38"/>
    </row>
    <row r="1342">
      <c r="H1342" s="48"/>
      <c r="I1342" s="38"/>
      <c r="J1342" s="38"/>
      <c r="K1342" s="38"/>
      <c r="M1342" s="87"/>
      <c r="N1342" s="38"/>
      <c r="Q1342" s="38"/>
    </row>
    <row r="1343">
      <c r="H1343" s="48"/>
      <c r="I1343" s="38"/>
      <c r="J1343" s="38"/>
      <c r="K1343" s="38"/>
      <c r="M1343" s="87"/>
      <c r="N1343" s="38"/>
      <c r="Q1343" s="38"/>
    </row>
    <row r="1344">
      <c r="H1344" s="48"/>
      <c r="I1344" s="38"/>
      <c r="J1344" s="38"/>
      <c r="K1344" s="38"/>
      <c r="M1344" s="87"/>
      <c r="N1344" s="38"/>
      <c r="Q1344" s="38"/>
    </row>
    <row r="1345">
      <c r="H1345" s="48"/>
      <c r="I1345" s="38"/>
      <c r="J1345" s="38"/>
      <c r="K1345" s="38"/>
      <c r="M1345" s="87"/>
      <c r="N1345" s="38"/>
      <c r="Q1345" s="38"/>
    </row>
    <row r="1346">
      <c r="H1346" s="48"/>
      <c r="I1346" s="38"/>
      <c r="J1346" s="38"/>
      <c r="K1346" s="38"/>
      <c r="M1346" s="87"/>
      <c r="N1346" s="38"/>
      <c r="Q1346" s="38"/>
    </row>
    <row r="1347">
      <c r="H1347" s="48"/>
      <c r="I1347" s="38"/>
      <c r="J1347" s="38"/>
      <c r="K1347" s="38"/>
      <c r="M1347" s="87"/>
      <c r="N1347" s="38"/>
      <c r="Q1347" s="38"/>
    </row>
    <row r="1348">
      <c r="H1348" s="48"/>
      <c r="I1348" s="38"/>
      <c r="J1348" s="38"/>
      <c r="K1348" s="38"/>
      <c r="M1348" s="87"/>
      <c r="N1348" s="38"/>
      <c r="Q1348" s="38"/>
    </row>
    <row r="1349">
      <c r="H1349" s="48"/>
      <c r="I1349" s="38"/>
      <c r="J1349" s="38"/>
      <c r="K1349" s="38"/>
      <c r="M1349" s="87"/>
      <c r="N1349" s="38"/>
      <c r="Q1349" s="38"/>
    </row>
    <row r="1350">
      <c r="H1350" s="48"/>
      <c r="I1350" s="38"/>
      <c r="J1350" s="38"/>
      <c r="K1350" s="38"/>
      <c r="M1350" s="87"/>
      <c r="N1350" s="38"/>
      <c r="Q1350" s="38"/>
    </row>
    <row r="1351">
      <c r="H1351" s="48"/>
      <c r="I1351" s="38"/>
      <c r="J1351" s="38"/>
      <c r="K1351" s="38"/>
      <c r="M1351" s="87"/>
      <c r="N1351" s="38"/>
      <c r="Q1351" s="38"/>
    </row>
    <row r="1352">
      <c r="H1352" s="48"/>
      <c r="I1352" s="38"/>
      <c r="J1352" s="38"/>
      <c r="K1352" s="38"/>
      <c r="M1352" s="87"/>
      <c r="N1352" s="38"/>
      <c r="Q1352" s="38"/>
    </row>
    <row r="1353">
      <c r="H1353" s="48"/>
      <c r="I1353" s="38"/>
      <c r="J1353" s="38"/>
      <c r="K1353" s="38"/>
      <c r="M1353" s="87"/>
      <c r="N1353" s="38"/>
      <c r="Q1353" s="38"/>
    </row>
    <row r="1354">
      <c r="H1354" s="48"/>
      <c r="I1354" s="38"/>
      <c r="J1354" s="38"/>
      <c r="K1354" s="38"/>
      <c r="M1354" s="87"/>
      <c r="N1354" s="38"/>
      <c r="Q1354" s="38"/>
    </row>
    <row r="1355">
      <c r="H1355" s="48"/>
      <c r="I1355" s="38"/>
      <c r="J1355" s="38"/>
      <c r="K1355" s="38"/>
      <c r="M1355" s="87"/>
      <c r="N1355" s="38"/>
      <c r="Q1355" s="38"/>
    </row>
    <row r="1356">
      <c r="H1356" s="48"/>
      <c r="I1356" s="38"/>
      <c r="J1356" s="38"/>
      <c r="K1356" s="38"/>
      <c r="M1356" s="87"/>
      <c r="N1356" s="38"/>
      <c r="Q1356" s="38"/>
    </row>
    <row r="1357">
      <c r="H1357" s="48"/>
      <c r="I1357" s="38"/>
      <c r="J1357" s="38"/>
      <c r="K1357" s="38"/>
      <c r="M1357" s="87"/>
      <c r="N1357" s="38"/>
      <c r="Q1357" s="38"/>
    </row>
    <row r="1358">
      <c r="H1358" s="48"/>
      <c r="I1358" s="38"/>
      <c r="J1358" s="38"/>
      <c r="K1358" s="38"/>
      <c r="M1358" s="87"/>
      <c r="N1358" s="38"/>
      <c r="Q1358" s="38"/>
    </row>
    <row r="1359">
      <c r="H1359" s="48"/>
      <c r="I1359" s="38"/>
      <c r="J1359" s="38"/>
      <c r="K1359" s="38"/>
      <c r="M1359" s="87"/>
      <c r="N1359" s="38"/>
      <c r="Q1359" s="38"/>
    </row>
    <row r="1360">
      <c r="H1360" s="48"/>
      <c r="I1360" s="38"/>
      <c r="J1360" s="38"/>
      <c r="K1360" s="38"/>
      <c r="M1360" s="87"/>
      <c r="N1360" s="38"/>
      <c r="Q1360" s="38"/>
    </row>
    <row r="1361">
      <c r="H1361" s="48"/>
      <c r="I1361" s="38"/>
      <c r="J1361" s="38"/>
      <c r="K1361" s="38"/>
      <c r="M1361" s="87"/>
      <c r="N1361" s="38"/>
      <c r="Q1361" s="38"/>
    </row>
    <row r="1362">
      <c r="H1362" s="48"/>
      <c r="I1362" s="38"/>
      <c r="J1362" s="38"/>
      <c r="K1362" s="38"/>
      <c r="M1362" s="87"/>
      <c r="N1362" s="38"/>
      <c r="Q1362" s="38"/>
    </row>
    <row r="1363">
      <c r="H1363" s="48"/>
      <c r="I1363" s="38"/>
      <c r="J1363" s="38"/>
      <c r="K1363" s="38"/>
      <c r="M1363" s="87"/>
      <c r="N1363" s="38"/>
      <c r="Q1363" s="38"/>
    </row>
    <row r="1364">
      <c r="H1364" s="48"/>
      <c r="I1364" s="38"/>
      <c r="J1364" s="38"/>
      <c r="K1364" s="38"/>
      <c r="M1364" s="87"/>
      <c r="N1364" s="38"/>
      <c r="Q1364" s="38"/>
    </row>
    <row r="1365">
      <c r="H1365" s="48"/>
      <c r="I1365" s="38"/>
      <c r="J1365" s="38"/>
      <c r="K1365" s="38"/>
      <c r="M1365" s="87"/>
      <c r="N1365" s="38"/>
      <c r="Q1365" s="38"/>
    </row>
    <row r="1366">
      <c r="H1366" s="48"/>
      <c r="I1366" s="38"/>
      <c r="J1366" s="38"/>
      <c r="K1366" s="38"/>
      <c r="M1366" s="87"/>
      <c r="N1366" s="38"/>
      <c r="Q1366" s="38"/>
    </row>
    <row r="1367">
      <c r="H1367" s="48"/>
      <c r="I1367" s="38"/>
      <c r="J1367" s="38"/>
      <c r="K1367" s="38"/>
      <c r="M1367" s="87"/>
      <c r="N1367" s="38"/>
      <c r="Q1367" s="38"/>
    </row>
    <row r="1368">
      <c r="H1368" s="48"/>
      <c r="I1368" s="38"/>
      <c r="J1368" s="38"/>
      <c r="K1368" s="38"/>
      <c r="M1368" s="87"/>
      <c r="N1368" s="38"/>
      <c r="Q1368" s="38"/>
    </row>
    <row r="1369">
      <c r="H1369" s="48"/>
      <c r="I1369" s="38"/>
      <c r="J1369" s="38"/>
      <c r="K1369" s="38"/>
      <c r="M1369" s="87"/>
      <c r="N1369" s="38"/>
      <c r="Q1369" s="38"/>
    </row>
    <row r="1370">
      <c r="H1370" s="48"/>
      <c r="I1370" s="38"/>
      <c r="J1370" s="38"/>
      <c r="K1370" s="38"/>
      <c r="M1370" s="87"/>
      <c r="N1370" s="38"/>
      <c r="Q1370" s="38"/>
    </row>
    <row r="1371">
      <c r="H1371" s="48"/>
      <c r="I1371" s="38"/>
      <c r="J1371" s="38"/>
      <c r="K1371" s="38"/>
      <c r="M1371" s="87"/>
      <c r="N1371" s="38"/>
      <c r="Q1371" s="38"/>
    </row>
    <row r="1372">
      <c r="H1372" s="48"/>
      <c r="I1372" s="38"/>
      <c r="J1372" s="38"/>
      <c r="K1372" s="38"/>
      <c r="M1372" s="87"/>
      <c r="N1372" s="38"/>
      <c r="Q1372" s="38"/>
    </row>
    <row r="1373">
      <c r="H1373" s="48"/>
      <c r="I1373" s="38"/>
      <c r="J1373" s="38"/>
      <c r="K1373" s="38"/>
      <c r="M1373" s="87"/>
      <c r="N1373" s="38"/>
      <c r="Q1373" s="38"/>
    </row>
    <row r="1374">
      <c r="H1374" s="48"/>
      <c r="I1374" s="38"/>
      <c r="J1374" s="38"/>
      <c r="K1374" s="38"/>
      <c r="M1374" s="87"/>
      <c r="N1374" s="38"/>
      <c r="Q1374" s="38"/>
    </row>
    <row r="1375">
      <c r="H1375" s="48"/>
      <c r="I1375" s="38"/>
      <c r="J1375" s="38"/>
      <c r="K1375" s="38"/>
      <c r="M1375" s="87"/>
      <c r="N1375" s="38"/>
      <c r="Q1375" s="38"/>
    </row>
    <row r="1376">
      <c r="H1376" s="48"/>
      <c r="I1376" s="38"/>
      <c r="J1376" s="38"/>
      <c r="K1376" s="38"/>
      <c r="M1376" s="87"/>
      <c r="N1376" s="38"/>
      <c r="Q1376" s="38"/>
    </row>
    <row r="1377">
      <c r="H1377" s="48"/>
      <c r="I1377" s="38"/>
      <c r="J1377" s="38"/>
      <c r="K1377" s="38"/>
      <c r="M1377" s="87"/>
      <c r="N1377" s="38"/>
      <c r="Q1377" s="38"/>
    </row>
    <row r="1378">
      <c r="H1378" s="48"/>
      <c r="I1378" s="38"/>
      <c r="J1378" s="38"/>
      <c r="K1378" s="38"/>
      <c r="M1378" s="87"/>
      <c r="N1378" s="38"/>
      <c r="Q1378" s="38"/>
    </row>
    <row r="1379">
      <c r="H1379" s="48"/>
      <c r="I1379" s="38"/>
      <c r="J1379" s="38"/>
      <c r="K1379" s="38"/>
      <c r="M1379" s="87"/>
      <c r="N1379" s="38"/>
      <c r="Q1379" s="38"/>
    </row>
    <row r="1380">
      <c r="H1380" s="48"/>
      <c r="I1380" s="38"/>
      <c r="J1380" s="38"/>
      <c r="K1380" s="38"/>
      <c r="M1380" s="87"/>
      <c r="N1380" s="38"/>
      <c r="Q1380" s="38"/>
    </row>
    <row r="1381">
      <c r="H1381" s="48"/>
      <c r="I1381" s="38"/>
      <c r="J1381" s="38"/>
      <c r="K1381" s="38"/>
      <c r="M1381" s="87"/>
      <c r="N1381" s="38"/>
      <c r="Q1381" s="38"/>
    </row>
    <row r="1382">
      <c r="H1382" s="48"/>
      <c r="I1382" s="38"/>
      <c r="J1382" s="38"/>
      <c r="K1382" s="38"/>
      <c r="M1382" s="87"/>
      <c r="N1382" s="38"/>
      <c r="Q1382" s="38"/>
    </row>
    <row r="1383">
      <c r="H1383" s="48"/>
      <c r="I1383" s="38"/>
      <c r="J1383" s="38"/>
      <c r="K1383" s="38"/>
      <c r="M1383" s="87"/>
      <c r="N1383" s="38"/>
      <c r="Q1383" s="38"/>
    </row>
    <row r="1384">
      <c r="H1384" s="48"/>
      <c r="I1384" s="38"/>
      <c r="J1384" s="38"/>
      <c r="K1384" s="38"/>
      <c r="M1384" s="87"/>
      <c r="N1384" s="38"/>
      <c r="Q1384" s="38"/>
    </row>
    <row r="1385">
      <c r="H1385" s="48"/>
      <c r="I1385" s="38"/>
      <c r="J1385" s="38"/>
      <c r="K1385" s="38"/>
      <c r="M1385" s="87"/>
      <c r="N1385" s="38"/>
      <c r="Q1385" s="38"/>
    </row>
    <row r="1386">
      <c r="H1386" s="48"/>
      <c r="I1386" s="38"/>
      <c r="J1386" s="38"/>
      <c r="K1386" s="38"/>
      <c r="M1386" s="87"/>
      <c r="N1386" s="38"/>
      <c r="Q1386" s="38"/>
    </row>
    <row r="1387">
      <c r="H1387" s="48"/>
      <c r="I1387" s="38"/>
      <c r="J1387" s="38"/>
      <c r="K1387" s="38"/>
      <c r="M1387" s="87"/>
      <c r="N1387" s="38"/>
      <c r="Q1387" s="38"/>
    </row>
    <row r="1388">
      <c r="H1388" s="48"/>
      <c r="I1388" s="38"/>
      <c r="J1388" s="38"/>
      <c r="K1388" s="38"/>
      <c r="M1388" s="87"/>
      <c r="N1388" s="38"/>
      <c r="Q1388" s="38"/>
    </row>
    <row r="1389">
      <c r="H1389" s="48"/>
      <c r="I1389" s="38"/>
      <c r="J1389" s="38"/>
      <c r="K1389" s="38"/>
      <c r="M1389" s="87"/>
      <c r="N1389" s="38"/>
      <c r="Q1389" s="38"/>
    </row>
    <row r="1390">
      <c r="H1390" s="48"/>
      <c r="I1390" s="38"/>
      <c r="J1390" s="38"/>
      <c r="K1390" s="38"/>
      <c r="M1390" s="87"/>
      <c r="N1390" s="38"/>
      <c r="Q1390" s="38"/>
    </row>
    <row r="1391">
      <c r="H1391" s="48"/>
      <c r="I1391" s="38"/>
      <c r="J1391" s="38"/>
      <c r="K1391" s="38"/>
      <c r="M1391" s="87"/>
      <c r="N1391" s="38"/>
      <c r="Q1391" s="38"/>
    </row>
    <row r="1392">
      <c r="H1392" s="48"/>
      <c r="I1392" s="38"/>
      <c r="J1392" s="38"/>
      <c r="K1392" s="38"/>
      <c r="M1392" s="87"/>
      <c r="N1392" s="38"/>
      <c r="Q1392" s="38"/>
    </row>
    <row r="1393">
      <c r="H1393" s="48"/>
      <c r="I1393" s="38"/>
      <c r="J1393" s="38"/>
      <c r="K1393" s="38"/>
      <c r="M1393" s="87"/>
      <c r="N1393" s="38"/>
      <c r="Q1393" s="38"/>
    </row>
    <row r="1394">
      <c r="H1394" s="48"/>
      <c r="I1394" s="38"/>
      <c r="J1394" s="38"/>
      <c r="K1394" s="38"/>
      <c r="M1394" s="87"/>
      <c r="N1394" s="38"/>
      <c r="Q1394" s="38"/>
    </row>
    <row r="1395">
      <c r="H1395" s="48"/>
      <c r="I1395" s="38"/>
      <c r="J1395" s="38"/>
      <c r="K1395" s="38"/>
      <c r="M1395" s="87"/>
      <c r="N1395" s="38"/>
      <c r="Q1395" s="38"/>
    </row>
    <row r="1396">
      <c r="H1396" s="48"/>
      <c r="I1396" s="38"/>
      <c r="J1396" s="38"/>
      <c r="K1396" s="38"/>
      <c r="M1396" s="87"/>
      <c r="N1396" s="38"/>
      <c r="Q1396" s="38"/>
    </row>
    <row r="1397">
      <c r="H1397" s="48"/>
      <c r="I1397" s="38"/>
      <c r="J1397" s="38"/>
      <c r="K1397" s="38"/>
      <c r="M1397" s="87"/>
      <c r="N1397" s="38"/>
      <c r="Q1397" s="38"/>
    </row>
    <row r="1398">
      <c r="H1398" s="48"/>
      <c r="I1398" s="38"/>
      <c r="J1398" s="38"/>
      <c r="K1398" s="38"/>
      <c r="M1398" s="87"/>
      <c r="N1398" s="38"/>
      <c r="Q1398" s="38"/>
    </row>
    <row r="1399">
      <c r="H1399" s="48"/>
      <c r="I1399" s="38"/>
      <c r="J1399" s="38"/>
      <c r="K1399" s="38"/>
      <c r="M1399" s="87"/>
      <c r="N1399" s="38"/>
      <c r="Q1399" s="38"/>
    </row>
    <row r="1400">
      <c r="H1400" s="48"/>
      <c r="I1400" s="38"/>
      <c r="J1400" s="38"/>
      <c r="K1400" s="38"/>
      <c r="M1400" s="87"/>
      <c r="N1400" s="38"/>
      <c r="Q1400" s="38"/>
    </row>
    <row r="1401">
      <c r="H1401" s="48"/>
      <c r="I1401" s="38"/>
      <c r="J1401" s="38"/>
      <c r="K1401" s="38"/>
      <c r="M1401" s="87"/>
      <c r="N1401" s="38"/>
      <c r="Q1401" s="38"/>
    </row>
    <row r="1402">
      <c r="H1402" s="48"/>
      <c r="I1402" s="38"/>
      <c r="J1402" s="38"/>
      <c r="K1402" s="38"/>
      <c r="M1402" s="87"/>
      <c r="N1402" s="38"/>
      <c r="Q1402" s="38"/>
    </row>
    <row r="1403">
      <c r="H1403" s="48"/>
      <c r="I1403" s="38"/>
      <c r="J1403" s="38"/>
      <c r="K1403" s="38"/>
      <c r="M1403" s="87"/>
      <c r="N1403" s="38"/>
      <c r="Q1403" s="38"/>
    </row>
    <row r="1404">
      <c r="H1404" s="48"/>
      <c r="I1404" s="38"/>
      <c r="J1404" s="38"/>
      <c r="K1404" s="38"/>
      <c r="M1404" s="87"/>
      <c r="N1404" s="38"/>
      <c r="Q1404" s="38"/>
    </row>
    <row r="1405">
      <c r="H1405" s="48"/>
      <c r="I1405" s="38"/>
      <c r="J1405" s="38"/>
      <c r="K1405" s="38"/>
      <c r="M1405" s="87"/>
      <c r="N1405" s="38"/>
      <c r="Q1405" s="38"/>
    </row>
    <row r="1406">
      <c r="H1406" s="48"/>
      <c r="I1406" s="38"/>
      <c r="J1406" s="38"/>
      <c r="K1406" s="38"/>
      <c r="M1406" s="87"/>
      <c r="N1406" s="38"/>
      <c r="Q1406" s="38"/>
    </row>
    <row r="1407">
      <c r="H1407" s="48"/>
      <c r="I1407" s="38"/>
      <c r="J1407" s="38"/>
      <c r="K1407" s="38"/>
      <c r="M1407" s="87"/>
      <c r="N1407" s="38"/>
      <c r="Q1407" s="38"/>
    </row>
    <row r="1408">
      <c r="H1408" s="48"/>
      <c r="I1408" s="38"/>
      <c r="J1408" s="38"/>
      <c r="K1408" s="38"/>
      <c r="M1408" s="87"/>
      <c r="N1408" s="38"/>
      <c r="Q1408" s="38"/>
    </row>
    <row r="1409">
      <c r="H1409" s="48"/>
      <c r="I1409" s="38"/>
      <c r="J1409" s="38"/>
      <c r="K1409" s="38"/>
      <c r="M1409" s="87"/>
      <c r="N1409" s="38"/>
      <c r="Q1409" s="38"/>
    </row>
    <row r="1410">
      <c r="H1410" s="48"/>
      <c r="I1410" s="38"/>
      <c r="J1410" s="38"/>
      <c r="K1410" s="38"/>
      <c r="M1410" s="87"/>
      <c r="N1410" s="38"/>
      <c r="Q1410" s="38"/>
    </row>
    <row r="1411">
      <c r="H1411" s="48"/>
      <c r="I1411" s="38"/>
      <c r="J1411" s="38"/>
      <c r="K1411" s="38"/>
      <c r="M1411" s="87"/>
      <c r="N1411" s="38"/>
      <c r="Q1411" s="38"/>
    </row>
    <row r="1412">
      <c r="H1412" s="48"/>
      <c r="I1412" s="38"/>
      <c r="J1412" s="38"/>
      <c r="K1412" s="38"/>
      <c r="M1412" s="87"/>
      <c r="N1412" s="38"/>
      <c r="Q1412" s="38"/>
    </row>
    <row r="1413">
      <c r="H1413" s="48"/>
      <c r="I1413" s="38"/>
      <c r="J1413" s="38"/>
      <c r="K1413" s="38"/>
      <c r="M1413" s="87"/>
      <c r="N1413" s="38"/>
      <c r="Q1413" s="38"/>
    </row>
    <row r="1414">
      <c r="H1414" s="48"/>
      <c r="I1414" s="38"/>
      <c r="J1414" s="38"/>
      <c r="K1414" s="38"/>
      <c r="M1414" s="87"/>
      <c r="N1414" s="38"/>
      <c r="Q1414" s="38"/>
    </row>
    <row r="1415">
      <c r="H1415" s="48"/>
      <c r="I1415" s="38"/>
      <c r="J1415" s="38"/>
      <c r="K1415" s="38"/>
      <c r="M1415" s="87"/>
      <c r="N1415" s="38"/>
      <c r="Q1415" s="38"/>
    </row>
    <row r="1416">
      <c r="H1416" s="48"/>
      <c r="I1416" s="38"/>
      <c r="J1416" s="38"/>
      <c r="K1416" s="38"/>
      <c r="M1416" s="87"/>
      <c r="N1416" s="38"/>
      <c r="Q1416" s="38"/>
    </row>
    <row r="1417">
      <c r="H1417" s="48"/>
      <c r="I1417" s="38"/>
      <c r="J1417" s="38"/>
      <c r="K1417" s="38"/>
      <c r="M1417" s="87"/>
      <c r="N1417" s="38"/>
      <c r="Q1417" s="38"/>
    </row>
    <row r="1418">
      <c r="H1418" s="48"/>
      <c r="I1418" s="38"/>
      <c r="J1418" s="38"/>
      <c r="K1418" s="38"/>
      <c r="M1418" s="87"/>
      <c r="N1418" s="38"/>
      <c r="Q1418" s="38"/>
    </row>
    <row r="1419">
      <c r="H1419" s="48"/>
      <c r="I1419" s="38"/>
      <c r="J1419" s="38"/>
      <c r="K1419" s="38"/>
      <c r="M1419" s="87"/>
      <c r="N1419" s="38"/>
      <c r="Q1419" s="38"/>
    </row>
    <row r="1420">
      <c r="H1420" s="48"/>
      <c r="I1420" s="38"/>
      <c r="J1420" s="38"/>
      <c r="K1420" s="38"/>
      <c r="M1420" s="87"/>
      <c r="N1420" s="38"/>
      <c r="Q1420" s="38"/>
    </row>
    <row r="1421">
      <c r="H1421" s="48"/>
      <c r="I1421" s="38"/>
      <c r="J1421" s="38"/>
      <c r="K1421" s="38"/>
      <c r="M1421" s="87"/>
      <c r="N1421" s="38"/>
      <c r="Q1421" s="38"/>
    </row>
    <row r="1422">
      <c r="H1422" s="48"/>
      <c r="I1422" s="38"/>
      <c r="J1422" s="38"/>
      <c r="K1422" s="38"/>
      <c r="M1422" s="87"/>
      <c r="N1422" s="38"/>
      <c r="Q1422" s="38"/>
    </row>
    <row r="1423">
      <c r="H1423" s="48"/>
      <c r="I1423" s="38"/>
      <c r="J1423" s="38"/>
      <c r="K1423" s="38"/>
      <c r="M1423" s="87"/>
      <c r="N1423" s="38"/>
      <c r="Q1423" s="38"/>
    </row>
    <row r="1424">
      <c r="H1424" s="48"/>
      <c r="I1424" s="38"/>
      <c r="J1424" s="38"/>
      <c r="K1424" s="38"/>
      <c r="M1424" s="87"/>
      <c r="N1424" s="38"/>
      <c r="Q1424" s="38"/>
    </row>
    <row r="1425">
      <c r="H1425" s="48"/>
      <c r="I1425" s="38"/>
      <c r="J1425" s="38"/>
      <c r="K1425" s="38"/>
      <c r="M1425" s="87"/>
      <c r="N1425" s="38"/>
      <c r="Q1425" s="38"/>
    </row>
    <row r="1426">
      <c r="H1426" s="48"/>
      <c r="I1426" s="38"/>
      <c r="J1426" s="38"/>
      <c r="K1426" s="38"/>
      <c r="M1426" s="87"/>
      <c r="N1426" s="38"/>
      <c r="Q1426" s="38"/>
    </row>
    <row r="1427">
      <c r="H1427" s="48"/>
      <c r="I1427" s="38"/>
      <c r="J1427" s="38"/>
      <c r="K1427" s="38"/>
      <c r="M1427" s="87"/>
      <c r="N1427" s="38"/>
      <c r="Q1427" s="38"/>
    </row>
    <row r="1428">
      <c r="H1428" s="48"/>
      <c r="I1428" s="38"/>
      <c r="J1428" s="38"/>
      <c r="K1428" s="38"/>
      <c r="M1428" s="87"/>
      <c r="N1428" s="38"/>
      <c r="Q1428" s="38"/>
    </row>
    <row r="1429">
      <c r="H1429" s="48"/>
      <c r="I1429" s="38"/>
      <c r="J1429" s="38"/>
      <c r="K1429" s="38"/>
      <c r="M1429" s="87"/>
      <c r="N1429" s="38"/>
      <c r="Q1429" s="38"/>
    </row>
    <row r="1430">
      <c r="H1430" s="48"/>
      <c r="I1430" s="38"/>
      <c r="J1430" s="38"/>
      <c r="K1430" s="38"/>
      <c r="M1430" s="87"/>
      <c r="N1430" s="38"/>
      <c r="Q1430" s="38"/>
    </row>
    <row r="1431">
      <c r="H1431" s="48"/>
      <c r="I1431" s="38"/>
      <c r="J1431" s="38"/>
      <c r="K1431" s="38"/>
      <c r="M1431" s="87"/>
      <c r="N1431" s="38"/>
      <c r="Q1431" s="38"/>
    </row>
    <row r="1432">
      <c r="H1432" s="48"/>
      <c r="I1432" s="38"/>
      <c r="J1432" s="38"/>
      <c r="K1432" s="38"/>
      <c r="M1432" s="87"/>
      <c r="N1432" s="38"/>
      <c r="Q1432" s="38"/>
    </row>
    <row r="1433">
      <c r="H1433" s="48"/>
      <c r="I1433" s="38"/>
      <c r="J1433" s="38"/>
      <c r="K1433" s="38"/>
      <c r="M1433" s="87"/>
      <c r="N1433" s="38"/>
      <c r="Q1433" s="38"/>
    </row>
    <row r="1434">
      <c r="H1434" s="48"/>
      <c r="I1434" s="38"/>
      <c r="J1434" s="38"/>
      <c r="K1434" s="38"/>
      <c r="M1434" s="87"/>
      <c r="N1434" s="38"/>
      <c r="Q1434" s="38"/>
    </row>
    <row r="1435">
      <c r="H1435" s="48"/>
      <c r="I1435" s="38"/>
      <c r="J1435" s="38"/>
      <c r="K1435" s="38"/>
      <c r="M1435" s="87"/>
      <c r="N1435" s="38"/>
      <c r="Q1435" s="38"/>
    </row>
    <row r="1436">
      <c r="H1436" s="48"/>
      <c r="I1436" s="38"/>
      <c r="J1436" s="38"/>
      <c r="K1436" s="38"/>
      <c r="M1436" s="87"/>
      <c r="N1436" s="38"/>
      <c r="Q1436" s="38"/>
    </row>
    <row r="1437">
      <c r="H1437" s="48"/>
      <c r="I1437" s="38"/>
      <c r="J1437" s="38"/>
      <c r="K1437" s="38"/>
      <c r="M1437" s="87"/>
      <c r="N1437" s="38"/>
      <c r="Q1437" s="38"/>
    </row>
    <row r="1438">
      <c r="H1438" s="48"/>
      <c r="I1438" s="38"/>
      <c r="J1438" s="38"/>
      <c r="K1438" s="38"/>
      <c r="M1438" s="87"/>
      <c r="N1438" s="38"/>
      <c r="Q1438" s="38"/>
    </row>
    <row r="1439">
      <c r="H1439" s="48"/>
      <c r="I1439" s="38"/>
      <c r="J1439" s="38"/>
      <c r="K1439" s="38"/>
      <c r="M1439" s="87"/>
      <c r="N1439" s="38"/>
      <c r="Q1439" s="38"/>
    </row>
    <row r="1440">
      <c r="H1440" s="48"/>
      <c r="I1440" s="38"/>
      <c r="J1440" s="38"/>
      <c r="K1440" s="38"/>
      <c r="M1440" s="87"/>
      <c r="N1440" s="38"/>
      <c r="Q1440" s="38"/>
    </row>
    <row r="1441">
      <c r="H1441" s="48"/>
      <c r="I1441" s="38"/>
      <c r="J1441" s="38"/>
      <c r="K1441" s="38"/>
      <c r="M1441" s="87"/>
      <c r="N1441" s="38"/>
      <c r="Q1441" s="38"/>
    </row>
    <row r="1442">
      <c r="H1442" s="48"/>
      <c r="I1442" s="38"/>
      <c r="J1442" s="38"/>
      <c r="K1442" s="38"/>
      <c r="M1442" s="87"/>
      <c r="N1442" s="38"/>
      <c r="Q1442" s="38"/>
    </row>
    <row r="1443">
      <c r="H1443" s="48"/>
      <c r="I1443" s="38"/>
      <c r="J1443" s="38"/>
      <c r="K1443" s="38"/>
      <c r="M1443" s="87"/>
      <c r="N1443" s="38"/>
      <c r="Q1443" s="38"/>
    </row>
    <row r="1444">
      <c r="H1444" s="48"/>
      <c r="I1444" s="38"/>
      <c r="J1444" s="38"/>
      <c r="K1444" s="38"/>
      <c r="M1444" s="87"/>
      <c r="N1444" s="38"/>
      <c r="Q1444" s="38"/>
    </row>
    <row r="1445">
      <c r="H1445" s="48"/>
      <c r="I1445" s="38"/>
      <c r="J1445" s="38"/>
      <c r="K1445" s="38"/>
      <c r="M1445" s="87"/>
      <c r="N1445" s="38"/>
      <c r="Q1445" s="38"/>
    </row>
    <row r="1446">
      <c r="H1446" s="48"/>
      <c r="I1446" s="38"/>
      <c r="J1446" s="38"/>
      <c r="K1446" s="38"/>
      <c r="M1446" s="87"/>
      <c r="N1446" s="38"/>
      <c r="Q1446" s="38"/>
    </row>
    <row r="1447">
      <c r="H1447" s="48"/>
      <c r="I1447" s="38"/>
      <c r="J1447" s="38"/>
      <c r="K1447" s="38"/>
      <c r="M1447" s="87"/>
      <c r="N1447" s="38"/>
      <c r="Q1447" s="38"/>
    </row>
    <row r="1448">
      <c r="H1448" s="48"/>
      <c r="I1448" s="38"/>
      <c r="J1448" s="38"/>
      <c r="K1448" s="38"/>
      <c r="M1448" s="87"/>
      <c r="N1448" s="38"/>
      <c r="Q1448" s="38"/>
    </row>
    <row r="1449">
      <c r="H1449" s="48"/>
      <c r="I1449" s="38"/>
      <c r="J1449" s="38"/>
      <c r="K1449" s="38"/>
      <c r="M1449" s="87"/>
      <c r="N1449" s="38"/>
      <c r="Q1449" s="38"/>
    </row>
    <row r="1450">
      <c r="H1450" s="48"/>
      <c r="I1450" s="38"/>
      <c r="J1450" s="38"/>
      <c r="K1450" s="38"/>
      <c r="M1450" s="87"/>
      <c r="N1450" s="38"/>
      <c r="Q1450" s="38"/>
    </row>
    <row r="1451">
      <c r="H1451" s="48"/>
      <c r="I1451" s="38"/>
      <c r="J1451" s="38"/>
      <c r="K1451" s="38"/>
      <c r="M1451" s="87"/>
      <c r="N1451" s="38"/>
      <c r="Q1451" s="38"/>
    </row>
    <row r="1452">
      <c r="H1452" s="48"/>
      <c r="I1452" s="38"/>
      <c r="J1452" s="38"/>
      <c r="K1452" s="38"/>
      <c r="M1452" s="87"/>
      <c r="N1452" s="38"/>
      <c r="Q1452" s="38"/>
    </row>
    <row r="1453">
      <c r="H1453" s="48"/>
      <c r="I1453" s="38"/>
      <c r="J1453" s="38"/>
      <c r="K1453" s="38"/>
      <c r="M1453" s="87"/>
      <c r="N1453" s="38"/>
      <c r="Q1453" s="38"/>
    </row>
    <row r="1454">
      <c r="H1454" s="48"/>
      <c r="I1454" s="38"/>
      <c r="J1454" s="38"/>
      <c r="K1454" s="38"/>
      <c r="M1454" s="87"/>
      <c r="N1454" s="38"/>
      <c r="Q1454" s="38"/>
    </row>
    <row r="1455">
      <c r="H1455" s="48"/>
      <c r="I1455" s="38"/>
      <c r="J1455" s="38"/>
      <c r="K1455" s="38"/>
      <c r="M1455" s="87"/>
      <c r="N1455" s="38"/>
      <c r="Q1455" s="38"/>
    </row>
    <row r="1456">
      <c r="H1456" s="48"/>
      <c r="I1456" s="38"/>
      <c r="J1456" s="38"/>
      <c r="K1456" s="38"/>
      <c r="M1456" s="87"/>
      <c r="N1456" s="38"/>
      <c r="Q1456" s="38"/>
    </row>
    <row r="1457">
      <c r="H1457" s="48"/>
      <c r="I1457" s="38"/>
      <c r="J1457" s="38"/>
      <c r="K1457" s="38"/>
      <c r="M1457" s="87"/>
      <c r="N1457" s="38"/>
      <c r="Q1457" s="38"/>
    </row>
    <row r="1458">
      <c r="H1458" s="48"/>
      <c r="I1458" s="38"/>
      <c r="J1458" s="38"/>
      <c r="K1458" s="38"/>
      <c r="M1458" s="87"/>
      <c r="N1458" s="38"/>
      <c r="Q1458" s="38"/>
    </row>
    <row r="1459">
      <c r="H1459" s="48"/>
      <c r="I1459" s="38"/>
      <c r="J1459" s="38"/>
      <c r="K1459" s="38"/>
      <c r="M1459" s="87"/>
      <c r="N1459" s="38"/>
      <c r="Q1459" s="38"/>
    </row>
    <row r="1460">
      <c r="H1460" s="48"/>
      <c r="I1460" s="38"/>
      <c r="J1460" s="38"/>
      <c r="K1460" s="38"/>
      <c r="M1460" s="87"/>
      <c r="N1460" s="38"/>
      <c r="Q1460" s="38"/>
    </row>
    <row r="1461">
      <c r="H1461" s="48"/>
      <c r="I1461" s="38"/>
      <c r="J1461" s="38"/>
      <c r="K1461" s="38"/>
      <c r="M1461" s="87"/>
      <c r="N1461" s="38"/>
      <c r="Q1461" s="38"/>
    </row>
    <row r="1462">
      <c r="H1462" s="48"/>
      <c r="I1462" s="38"/>
      <c r="J1462" s="38"/>
      <c r="K1462" s="38"/>
      <c r="M1462" s="87"/>
      <c r="N1462" s="38"/>
      <c r="Q1462" s="38"/>
    </row>
    <row r="1463">
      <c r="H1463" s="48"/>
      <c r="I1463" s="38"/>
      <c r="J1463" s="38"/>
      <c r="K1463" s="38"/>
      <c r="M1463" s="87"/>
      <c r="N1463" s="38"/>
      <c r="Q1463" s="38"/>
    </row>
    <row r="1464">
      <c r="H1464" s="48"/>
      <c r="I1464" s="38"/>
      <c r="J1464" s="38"/>
      <c r="K1464" s="38"/>
      <c r="M1464" s="87"/>
      <c r="N1464" s="38"/>
      <c r="Q1464" s="38"/>
    </row>
    <row r="1465">
      <c r="H1465" s="48"/>
      <c r="I1465" s="38"/>
      <c r="J1465" s="38"/>
      <c r="K1465" s="38"/>
      <c r="M1465" s="87"/>
      <c r="N1465" s="38"/>
      <c r="Q1465" s="38"/>
    </row>
    <row r="1466">
      <c r="H1466" s="48"/>
      <c r="I1466" s="38"/>
      <c r="J1466" s="38"/>
      <c r="K1466" s="38"/>
      <c r="M1466" s="87"/>
      <c r="N1466" s="38"/>
      <c r="Q1466" s="38"/>
    </row>
    <row r="1467">
      <c r="H1467" s="48"/>
      <c r="I1467" s="38"/>
      <c r="J1467" s="38"/>
      <c r="K1467" s="38"/>
      <c r="M1467" s="87"/>
      <c r="N1467" s="38"/>
      <c r="Q1467" s="38"/>
    </row>
    <row r="1468">
      <c r="H1468" s="48"/>
      <c r="I1468" s="38"/>
      <c r="J1468" s="38"/>
      <c r="K1468" s="38"/>
      <c r="M1468" s="87"/>
      <c r="N1468" s="38"/>
      <c r="Q1468" s="38"/>
    </row>
    <row r="1469">
      <c r="H1469" s="48"/>
      <c r="I1469" s="38"/>
      <c r="J1469" s="38"/>
      <c r="K1469" s="38"/>
      <c r="M1469" s="87"/>
      <c r="N1469" s="38"/>
      <c r="Q1469" s="38"/>
    </row>
    <row r="1470">
      <c r="H1470" s="48"/>
      <c r="I1470" s="38"/>
      <c r="J1470" s="38"/>
      <c r="K1470" s="38"/>
      <c r="M1470" s="87"/>
      <c r="N1470" s="38"/>
      <c r="Q1470" s="38"/>
    </row>
    <row r="1471">
      <c r="H1471" s="48"/>
      <c r="I1471" s="38"/>
      <c r="J1471" s="38"/>
      <c r="K1471" s="38"/>
      <c r="M1471" s="87"/>
      <c r="N1471" s="38"/>
      <c r="Q1471" s="38"/>
    </row>
    <row r="1472">
      <c r="H1472" s="48"/>
      <c r="I1472" s="38"/>
      <c r="J1472" s="38"/>
      <c r="K1472" s="38"/>
      <c r="M1472" s="87"/>
      <c r="N1472" s="38"/>
      <c r="Q1472" s="38"/>
    </row>
    <row r="1473">
      <c r="H1473" s="48"/>
      <c r="I1473" s="38"/>
      <c r="J1473" s="38"/>
      <c r="K1473" s="38"/>
      <c r="M1473" s="87"/>
      <c r="N1473" s="38"/>
      <c r="Q1473" s="38"/>
    </row>
    <row r="1474">
      <c r="H1474" s="48"/>
      <c r="I1474" s="38"/>
      <c r="J1474" s="38"/>
      <c r="K1474" s="38"/>
      <c r="M1474" s="87"/>
      <c r="N1474" s="38"/>
      <c r="Q1474" s="38"/>
    </row>
    <row r="1475">
      <c r="H1475" s="48"/>
      <c r="I1475" s="38"/>
      <c r="J1475" s="38"/>
      <c r="K1475" s="38"/>
      <c r="M1475" s="87"/>
      <c r="N1475" s="38"/>
      <c r="Q1475" s="38"/>
    </row>
    <row r="1476">
      <c r="H1476" s="48"/>
      <c r="I1476" s="38"/>
      <c r="J1476" s="38"/>
      <c r="K1476" s="38"/>
      <c r="M1476" s="87"/>
      <c r="N1476" s="38"/>
      <c r="Q1476" s="38"/>
    </row>
    <row r="1477">
      <c r="H1477" s="48"/>
      <c r="I1477" s="38"/>
      <c r="J1477" s="38"/>
      <c r="K1477" s="38"/>
      <c r="M1477" s="87"/>
      <c r="N1477" s="38"/>
      <c r="Q1477" s="38"/>
    </row>
    <row r="1478">
      <c r="H1478" s="48"/>
      <c r="I1478" s="38"/>
      <c r="J1478" s="38"/>
      <c r="K1478" s="38"/>
      <c r="M1478" s="87"/>
      <c r="N1478" s="38"/>
      <c r="Q1478" s="38"/>
    </row>
    <row r="1479">
      <c r="H1479" s="48"/>
      <c r="I1479" s="38"/>
      <c r="J1479" s="38"/>
      <c r="K1479" s="38"/>
      <c r="M1479" s="87"/>
      <c r="N1479" s="38"/>
      <c r="Q1479" s="38"/>
    </row>
    <row r="1480">
      <c r="H1480" s="48"/>
      <c r="I1480" s="38"/>
      <c r="J1480" s="38"/>
      <c r="K1480" s="38"/>
      <c r="M1480" s="87"/>
      <c r="N1480" s="38"/>
      <c r="Q1480" s="38"/>
    </row>
    <row r="1481">
      <c r="H1481" s="48"/>
      <c r="I1481" s="38"/>
      <c r="J1481" s="38"/>
      <c r="K1481" s="38"/>
      <c r="M1481" s="87"/>
      <c r="N1481" s="38"/>
      <c r="Q1481" s="38"/>
    </row>
    <row r="1482">
      <c r="H1482" s="48"/>
      <c r="I1482" s="38"/>
      <c r="J1482" s="38"/>
      <c r="K1482" s="38"/>
      <c r="M1482" s="87"/>
      <c r="N1482" s="38"/>
      <c r="Q1482" s="38"/>
    </row>
    <row r="1483">
      <c r="H1483" s="48"/>
      <c r="I1483" s="38"/>
      <c r="J1483" s="38"/>
      <c r="K1483" s="38"/>
      <c r="M1483" s="87"/>
      <c r="N1483" s="38"/>
      <c r="Q1483" s="38"/>
    </row>
    <row r="1484">
      <c r="H1484" s="48"/>
      <c r="I1484" s="38"/>
      <c r="J1484" s="38"/>
      <c r="K1484" s="38"/>
      <c r="M1484" s="87"/>
      <c r="N1484" s="38"/>
      <c r="Q1484" s="38"/>
    </row>
    <row r="1485">
      <c r="H1485" s="48"/>
      <c r="I1485" s="38"/>
      <c r="J1485" s="38"/>
      <c r="K1485" s="38"/>
      <c r="M1485" s="87"/>
      <c r="N1485" s="38"/>
      <c r="Q1485" s="38"/>
    </row>
    <row r="1486">
      <c r="H1486" s="48"/>
      <c r="I1486" s="38"/>
      <c r="J1486" s="38"/>
      <c r="K1486" s="38"/>
      <c r="M1486" s="87"/>
      <c r="N1486" s="38"/>
      <c r="Q1486" s="38"/>
    </row>
    <row r="1487">
      <c r="H1487" s="48"/>
      <c r="I1487" s="38"/>
      <c r="J1487" s="38"/>
      <c r="K1487" s="38"/>
      <c r="M1487" s="87"/>
      <c r="N1487" s="38"/>
      <c r="Q1487" s="38"/>
    </row>
    <row r="1488">
      <c r="H1488" s="48"/>
      <c r="I1488" s="38"/>
      <c r="J1488" s="38"/>
      <c r="K1488" s="38"/>
      <c r="M1488" s="87"/>
      <c r="N1488" s="38"/>
      <c r="Q1488" s="38"/>
    </row>
    <row r="1489">
      <c r="H1489" s="48"/>
      <c r="I1489" s="38"/>
      <c r="J1489" s="38"/>
      <c r="K1489" s="38"/>
      <c r="M1489" s="87"/>
      <c r="N1489" s="38"/>
      <c r="Q1489" s="38"/>
    </row>
    <row r="1490">
      <c r="H1490" s="48"/>
      <c r="I1490" s="38"/>
      <c r="J1490" s="38"/>
      <c r="K1490" s="38"/>
      <c r="M1490" s="87"/>
      <c r="N1490" s="38"/>
      <c r="Q1490" s="38"/>
    </row>
    <row r="1491">
      <c r="H1491" s="48"/>
      <c r="I1491" s="38"/>
      <c r="J1491" s="38"/>
      <c r="K1491" s="38"/>
      <c r="M1491" s="87"/>
      <c r="N1491" s="38"/>
      <c r="Q1491" s="38"/>
    </row>
    <row r="1492">
      <c r="H1492" s="48"/>
      <c r="I1492" s="38"/>
      <c r="J1492" s="38"/>
      <c r="K1492" s="38"/>
      <c r="M1492" s="87"/>
      <c r="N1492" s="38"/>
      <c r="Q1492" s="38"/>
    </row>
    <row r="1493">
      <c r="H1493" s="48"/>
      <c r="I1493" s="38"/>
      <c r="J1493" s="38"/>
      <c r="K1493" s="38"/>
      <c r="M1493" s="87"/>
      <c r="N1493" s="38"/>
      <c r="Q1493" s="38"/>
    </row>
    <row r="1494">
      <c r="H1494" s="48"/>
      <c r="I1494" s="38"/>
      <c r="J1494" s="38"/>
      <c r="K1494" s="38"/>
      <c r="M1494" s="87"/>
      <c r="N1494" s="38"/>
      <c r="Q1494" s="38"/>
    </row>
    <row r="1495">
      <c r="H1495" s="48"/>
      <c r="I1495" s="38"/>
      <c r="J1495" s="38"/>
      <c r="K1495" s="38"/>
      <c r="M1495" s="87"/>
      <c r="N1495" s="38"/>
      <c r="Q1495" s="38"/>
    </row>
    <row r="1496">
      <c r="H1496" s="48"/>
      <c r="I1496" s="38"/>
      <c r="J1496" s="38"/>
      <c r="K1496" s="38"/>
      <c r="M1496" s="87"/>
      <c r="N1496" s="38"/>
      <c r="Q1496" s="38"/>
    </row>
    <row r="1497">
      <c r="H1497" s="48"/>
      <c r="I1497" s="38"/>
      <c r="J1497" s="38"/>
      <c r="K1497" s="38"/>
      <c r="M1497" s="87"/>
      <c r="N1497" s="38"/>
      <c r="Q1497" s="38"/>
    </row>
    <row r="1498">
      <c r="H1498" s="48"/>
      <c r="I1498" s="38"/>
      <c r="J1498" s="38"/>
      <c r="K1498" s="38"/>
      <c r="M1498" s="87"/>
      <c r="N1498" s="38"/>
      <c r="Q1498" s="38"/>
    </row>
    <row r="1499">
      <c r="H1499" s="48"/>
      <c r="I1499" s="38"/>
      <c r="J1499" s="38"/>
      <c r="K1499" s="38"/>
      <c r="M1499" s="87"/>
      <c r="N1499" s="38"/>
      <c r="Q1499" s="38"/>
    </row>
    <row r="1500">
      <c r="H1500" s="48"/>
      <c r="I1500" s="38"/>
      <c r="J1500" s="38"/>
      <c r="K1500" s="38"/>
      <c r="M1500" s="87"/>
      <c r="N1500" s="38"/>
      <c r="Q1500" s="38"/>
    </row>
    <row r="1501">
      <c r="H1501" s="48"/>
      <c r="I1501" s="38"/>
      <c r="J1501" s="38"/>
      <c r="K1501" s="38"/>
      <c r="M1501" s="87"/>
      <c r="N1501" s="38"/>
      <c r="Q1501" s="38"/>
    </row>
    <row r="1502">
      <c r="H1502" s="48"/>
      <c r="I1502" s="38"/>
      <c r="J1502" s="38"/>
      <c r="K1502" s="38"/>
      <c r="M1502" s="87"/>
      <c r="N1502" s="38"/>
      <c r="Q1502" s="38"/>
    </row>
    <row r="1503">
      <c r="H1503" s="48"/>
      <c r="I1503" s="38"/>
      <c r="J1503" s="38"/>
      <c r="K1503" s="38"/>
      <c r="M1503" s="87"/>
      <c r="N1503" s="38"/>
      <c r="Q1503" s="38"/>
    </row>
    <row r="1504">
      <c r="H1504" s="48"/>
      <c r="I1504" s="38"/>
      <c r="J1504" s="38"/>
      <c r="K1504" s="38"/>
      <c r="M1504" s="87"/>
      <c r="N1504" s="38"/>
      <c r="Q1504" s="38"/>
    </row>
    <row r="1505">
      <c r="H1505" s="48"/>
      <c r="I1505" s="38"/>
      <c r="J1505" s="38"/>
      <c r="K1505" s="38"/>
      <c r="M1505" s="87"/>
      <c r="N1505" s="38"/>
      <c r="Q1505" s="38"/>
    </row>
    <row r="1506">
      <c r="H1506" s="48"/>
      <c r="I1506" s="38"/>
      <c r="J1506" s="38"/>
      <c r="K1506" s="38"/>
      <c r="M1506" s="87"/>
      <c r="N1506" s="38"/>
      <c r="Q1506" s="38"/>
    </row>
    <row r="1507">
      <c r="H1507" s="48"/>
      <c r="I1507" s="38"/>
      <c r="J1507" s="38"/>
      <c r="K1507" s="38"/>
      <c r="M1507" s="87"/>
      <c r="N1507" s="38"/>
      <c r="Q1507" s="38"/>
    </row>
    <row r="1508">
      <c r="H1508" s="48"/>
      <c r="I1508" s="38"/>
      <c r="J1508" s="38"/>
      <c r="K1508" s="38"/>
      <c r="M1508" s="87"/>
      <c r="N1508" s="38"/>
      <c r="Q1508" s="38"/>
    </row>
    <row r="1509">
      <c r="H1509" s="48"/>
      <c r="I1509" s="38"/>
      <c r="J1509" s="38"/>
      <c r="K1509" s="38"/>
      <c r="M1509" s="87"/>
      <c r="N1509" s="38"/>
      <c r="Q1509" s="38"/>
    </row>
    <row r="1510">
      <c r="H1510" s="48"/>
      <c r="I1510" s="38"/>
      <c r="J1510" s="38"/>
      <c r="K1510" s="38"/>
      <c r="M1510" s="87"/>
      <c r="N1510" s="38"/>
      <c r="Q1510" s="38"/>
    </row>
    <row r="1511">
      <c r="H1511" s="48"/>
      <c r="I1511" s="38"/>
      <c r="J1511" s="38"/>
      <c r="K1511" s="38"/>
      <c r="M1511" s="87"/>
      <c r="N1511" s="38"/>
      <c r="Q1511" s="38"/>
    </row>
    <row r="1512">
      <c r="H1512" s="48"/>
      <c r="I1512" s="38"/>
      <c r="J1512" s="38"/>
      <c r="K1512" s="38"/>
      <c r="M1512" s="87"/>
      <c r="N1512" s="38"/>
      <c r="Q1512" s="38"/>
    </row>
    <row r="1513">
      <c r="H1513" s="48"/>
      <c r="I1513" s="38"/>
      <c r="J1513" s="38"/>
      <c r="K1513" s="38"/>
      <c r="M1513" s="87"/>
      <c r="N1513" s="38"/>
      <c r="Q1513" s="38"/>
    </row>
    <row r="1514">
      <c r="H1514" s="48"/>
      <c r="I1514" s="38"/>
      <c r="J1514" s="38"/>
      <c r="K1514" s="38"/>
      <c r="M1514" s="87"/>
      <c r="N1514" s="38"/>
      <c r="Q1514" s="38"/>
    </row>
    <row r="1515">
      <c r="H1515" s="48"/>
      <c r="I1515" s="38"/>
      <c r="J1515" s="38"/>
      <c r="K1515" s="38"/>
      <c r="M1515" s="87"/>
      <c r="N1515" s="38"/>
      <c r="Q1515" s="38"/>
    </row>
    <row r="1516">
      <c r="H1516" s="48"/>
      <c r="I1516" s="38"/>
      <c r="J1516" s="38"/>
      <c r="K1516" s="38"/>
      <c r="M1516" s="87"/>
      <c r="N1516" s="38"/>
      <c r="Q1516" s="38"/>
    </row>
    <row r="1517">
      <c r="H1517" s="48"/>
      <c r="I1517" s="38"/>
      <c r="J1517" s="38"/>
      <c r="K1517" s="38"/>
      <c r="M1517" s="87"/>
      <c r="N1517" s="38"/>
      <c r="Q1517" s="38"/>
    </row>
    <row r="1518">
      <c r="H1518" s="48"/>
      <c r="I1518" s="38"/>
      <c r="J1518" s="38"/>
      <c r="K1518" s="38"/>
      <c r="M1518" s="87"/>
      <c r="N1518" s="38"/>
      <c r="Q1518" s="38"/>
    </row>
    <row r="1519">
      <c r="H1519" s="48"/>
      <c r="I1519" s="38"/>
      <c r="J1519" s="38"/>
      <c r="K1519" s="38"/>
      <c r="M1519" s="87"/>
      <c r="N1519" s="38"/>
      <c r="Q1519" s="38"/>
    </row>
    <row r="1520">
      <c r="H1520" s="48"/>
      <c r="I1520" s="38"/>
      <c r="J1520" s="38"/>
      <c r="K1520" s="38"/>
      <c r="M1520" s="87"/>
      <c r="N1520" s="38"/>
      <c r="Q1520" s="38"/>
    </row>
    <row r="1521">
      <c r="H1521" s="48"/>
      <c r="I1521" s="38"/>
      <c r="J1521" s="38"/>
      <c r="K1521" s="38"/>
      <c r="M1521" s="87"/>
      <c r="N1521" s="38"/>
      <c r="Q1521" s="38"/>
    </row>
    <row r="1522">
      <c r="H1522" s="48"/>
      <c r="I1522" s="38"/>
      <c r="J1522" s="38"/>
      <c r="K1522" s="38"/>
      <c r="M1522" s="87"/>
      <c r="N1522" s="38"/>
      <c r="Q1522" s="38"/>
    </row>
    <row r="1523">
      <c r="H1523" s="48"/>
      <c r="I1523" s="38"/>
      <c r="J1523" s="38"/>
      <c r="K1523" s="38"/>
      <c r="M1523" s="87"/>
      <c r="N1523" s="38"/>
      <c r="Q1523" s="38"/>
    </row>
    <row r="1524">
      <c r="H1524" s="48"/>
      <c r="I1524" s="38"/>
      <c r="J1524" s="38"/>
      <c r="K1524" s="38"/>
      <c r="M1524" s="87"/>
      <c r="N1524" s="38"/>
      <c r="Q1524" s="38"/>
    </row>
    <row r="1525">
      <c r="H1525" s="48"/>
      <c r="I1525" s="38"/>
      <c r="J1525" s="38"/>
      <c r="K1525" s="38"/>
      <c r="M1525" s="87"/>
      <c r="N1525" s="38"/>
      <c r="Q1525" s="38"/>
    </row>
    <row r="1526">
      <c r="H1526" s="48"/>
      <c r="I1526" s="38"/>
      <c r="J1526" s="38"/>
      <c r="K1526" s="38"/>
      <c r="M1526" s="87"/>
      <c r="N1526" s="38"/>
      <c r="Q1526" s="38"/>
    </row>
    <row r="1527">
      <c r="H1527" s="48"/>
      <c r="I1527" s="38"/>
      <c r="J1527" s="38"/>
      <c r="K1527" s="38"/>
      <c r="M1527" s="87"/>
      <c r="N1527" s="38"/>
      <c r="Q1527" s="38"/>
    </row>
    <row r="1528">
      <c r="H1528" s="48"/>
      <c r="I1528" s="38"/>
      <c r="J1528" s="38"/>
      <c r="K1528" s="38"/>
      <c r="M1528" s="87"/>
      <c r="N1528" s="38"/>
      <c r="Q1528" s="38"/>
    </row>
    <row r="1529">
      <c r="H1529" s="48"/>
      <c r="I1529" s="38"/>
      <c r="J1529" s="38"/>
      <c r="K1529" s="38"/>
      <c r="M1529" s="87"/>
      <c r="N1529" s="38"/>
      <c r="Q1529" s="38"/>
    </row>
    <row r="1530">
      <c r="H1530" s="48"/>
      <c r="I1530" s="38"/>
      <c r="J1530" s="38"/>
      <c r="K1530" s="38"/>
      <c r="M1530" s="87"/>
      <c r="N1530" s="38"/>
      <c r="Q1530" s="38"/>
    </row>
    <row r="1531">
      <c r="H1531" s="48"/>
      <c r="I1531" s="38"/>
      <c r="J1531" s="38"/>
      <c r="K1531" s="38"/>
      <c r="M1531" s="87"/>
      <c r="N1531" s="38"/>
      <c r="Q1531" s="38"/>
    </row>
    <row r="1532">
      <c r="H1532" s="48"/>
      <c r="I1532" s="38"/>
      <c r="J1532" s="38"/>
      <c r="K1532" s="38"/>
      <c r="M1532" s="87"/>
      <c r="N1532" s="38"/>
      <c r="Q1532" s="38"/>
    </row>
    <row r="1533">
      <c r="H1533" s="48"/>
      <c r="I1533" s="38"/>
      <c r="J1533" s="38"/>
      <c r="K1533" s="38"/>
      <c r="M1533" s="87"/>
      <c r="N1533" s="38"/>
      <c r="Q1533" s="38"/>
    </row>
    <row r="1534">
      <c r="H1534" s="48"/>
      <c r="I1534" s="38"/>
      <c r="J1534" s="38"/>
      <c r="K1534" s="38"/>
      <c r="M1534" s="87"/>
      <c r="N1534" s="38"/>
      <c r="Q1534" s="38"/>
    </row>
    <row r="1535">
      <c r="H1535" s="48"/>
      <c r="I1535" s="38"/>
      <c r="J1535" s="38"/>
      <c r="K1535" s="38"/>
      <c r="M1535" s="87"/>
      <c r="N1535" s="38"/>
      <c r="Q1535" s="38"/>
    </row>
    <row r="1536">
      <c r="H1536" s="48"/>
      <c r="I1536" s="38"/>
      <c r="J1536" s="38"/>
      <c r="K1536" s="38"/>
      <c r="M1536" s="87"/>
      <c r="N1536" s="38"/>
      <c r="Q1536" s="38"/>
    </row>
    <row r="1537">
      <c r="H1537" s="48"/>
      <c r="I1537" s="38"/>
      <c r="J1537" s="38"/>
      <c r="K1537" s="38"/>
      <c r="M1537" s="87"/>
      <c r="N1537" s="38"/>
      <c r="Q1537" s="38"/>
    </row>
    <row r="1538">
      <c r="H1538" s="48"/>
      <c r="I1538" s="38"/>
      <c r="J1538" s="38"/>
      <c r="K1538" s="38"/>
      <c r="M1538" s="87"/>
      <c r="N1538" s="38"/>
      <c r="Q1538" s="38"/>
    </row>
    <row r="1539">
      <c r="H1539" s="48"/>
      <c r="I1539" s="38"/>
      <c r="J1539" s="38"/>
      <c r="K1539" s="38"/>
      <c r="M1539" s="87"/>
      <c r="N1539" s="38"/>
      <c r="Q1539" s="38"/>
    </row>
    <row r="1540">
      <c r="H1540" s="48"/>
      <c r="I1540" s="38"/>
      <c r="J1540" s="38"/>
      <c r="K1540" s="38"/>
      <c r="M1540" s="87"/>
      <c r="N1540" s="38"/>
      <c r="Q1540" s="38"/>
    </row>
    <row r="1541">
      <c r="H1541" s="48"/>
      <c r="I1541" s="38"/>
      <c r="J1541" s="38"/>
      <c r="K1541" s="38"/>
      <c r="M1541" s="87"/>
      <c r="N1541" s="38"/>
      <c r="Q1541" s="38"/>
    </row>
    <row r="1542">
      <c r="H1542" s="48"/>
      <c r="I1542" s="38"/>
      <c r="J1542" s="38"/>
      <c r="K1542" s="38"/>
      <c r="M1542" s="87"/>
      <c r="N1542" s="38"/>
      <c r="Q1542" s="38"/>
    </row>
    <row r="1543">
      <c r="H1543" s="48"/>
      <c r="I1543" s="38"/>
      <c r="J1543" s="38"/>
      <c r="K1543" s="38"/>
      <c r="M1543" s="87"/>
      <c r="N1543" s="38"/>
      <c r="Q1543" s="38"/>
    </row>
    <row r="1544">
      <c r="H1544" s="48"/>
      <c r="I1544" s="38"/>
      <c r="J1544" s="38"/>
      <c r="K1544" s="38"/>
      <c r="M1544" s="87"/>
      <c r="N1544" s="38"/>
      <c r="Q1544" s="38"/>
    </row>
    <row r="1545">
      <c r="H1545" s="48"/>
      <c r="I1545" s="38"/>
      <c r="J1545" s="38"/>
      <c r="K1545" s="38"/>
      <c r="M1545" s="87"/>
      <c r="N1545" s="38"/>
      <c r="Q1545" s="38"/>
    </row>
    <row r="1546">
      <c r="H1546" s="48"/>
      <c r="I1546" s="38"/>
      <c r="J1546" s="38"/>
      <c r="K1546" s="38"/>
      <c r="M1546" s="87"/>
      <c r="N1546" s="38"/>
      <c r="Q1546" s="38"/>
    </row>
    <row r="1547">
      <c r="H1547" s="48"/>
      <c r="I1547" s="38"/>
      <c r="J1547" s="38"/>
      <c r="K1547" s="38"/>
      <c r="M1547" s="87"/>
      <c r="N1547" s="38"/>
      <c r="Q1547" s="38"/>
    </row>
    <row r="1548">
      <c r="H1548" s="48"/>
      <c r="I1548" s="38"/>
      <c r="J1548" s="38"/>
      <c r="K1548" s="38"/>
      <c r="M1548" s="87"/>
      <c r="N1548" s="38"/>
      <c r="Q1548" s="38"/>
    </row>
    <row r="1549">
      <c r="H1549" s="48"/>
      <c r="I1549" s="38"/>
      <c r="J1549" s="38"/>
      <c r="K1549" s="38"/>
      <c r="M1549" s="87"/>
      <c r="N1549" s="38"/>
      <c r="Q1549" s="38"/>
    </row>
    <row r="1550">
      <c r="H1550" s="48"/>
      <c r="I1550" s="38"/>
      <c r="J1550" s="38"/>
      <c r="K1550" s="38"/>
      <c r="M1550" s="87"/>
      <c r="N1550" s="38"/>
      <c r="Q1550" s="38"/>
    </row>
    <row r="1551">
      <c r="H1551" s="48"/>
      <c r="I1551" s="38"/>
      <c r="J1551" s="38"/>
      <c r="K1551" s="38"/>
      <c r="M1551" s="87"/>
      <c r="N1551" s="38"/>
      <c r="Q1551" s="38"/>
    </row>
    <row r="1552">
      <c r="H1552" s="48"/>
      <c r="I1552" s="38"/>
      <c r="J1552" s="38"/>
      <c r="K1552" s="38"/>
      <c r="M1552" s="87"/>
      <c r="N1552" s="38"/>
      <c r="Q1552" s="38"/>
    </row>
    <row r="1553">
      <c r="H1553" s="48"/>
      <c r="I1553" s="38"/>
      <c r="J1553" s="38"/>
      <c r="K1553" s="38"/>
      <c r="M1553" s="87"/>
      <c r="N1553" s="38"/>
      <c r="Q1553" s="38"/>
    </row>
    <row r="1554">
      <c r="H1554" s="48"/>
      <c r="I1554" s="38"/>
      <c r="J1554" s="38"/>
      <c r="K1554" s="38"/>
      <c r="M1554" s="87"/>
      <c r="N1554" s="38"/>
      <c r="Q1554" s="38"/>
    </row>
    <row r="1555">
      <c r="H1555" s="48"/>
      <c r="I1555" s="38"/>
      <c r="J1555" s="38"/>
      <c r="K1555" s="38"/>
      <c r="M1555" s="87"/>
      <c r="N1555" s="38"/>
      <c r="Q1555" s="38"/>
    </row>
    <row r="1556">
      <c r="H1556" s="48"/>
      <c r="I1556" s="38"/>
      <c r="J1556" s="38"/>
      <c r="K1556" s="38"/>
      <c r="M1556" s="87"/>
      <c r="N1556" s="38"/>
      <c r="Q1556" s="38"/>
    </row>
    <row r="1557">
      <c r="H1557" s="48"/>
      <c r="I1557" s="38"/>
      <c r="J1557" s="38"/>
      <c r="K1557" s="38"/>
      <c r="M1557" s="87"/>
      <c r="N1557" s="38"/>
      <c r="Q1557" s="38"/>
    </row>
    <row r="1558">
      <c r="H1558" s="48"/>
      <c r="I1558" s="38"/>
      <c r="J1558" s="38"/>
      <c r="K1558" s="38"/>
      <c r="M1558" s="87"/>
      <c r="N1558" s="38"/>
      <c r="Q1558" s="38"/>
    </row>
    <row r="1559">
      <c r="H1559" s="48"/>
      <c r="I1559" s="38"/>
      <c r="J1559" s="38"/>
      <c r="K1559" s="38"/>
      <c r="M1559" s="87"/>
      <c r="N1559" s="38"/>
      <c r="Q1559" s="38"/>
    </row>
    <row r="1560">
      <c r="H1560" s="48"/>
      <c r="I1560" s="38"/>
      <c r="J1560" s="38"/>
      <c r="K1560" s="38"/>
      <c r="M1560" s="87"/>
      <c r="N1560" s="38"/>
      <c r="Q1560" s="38"/>
    </row>
    <row r="1561">
      <c r="H1561" s="48"/>
      <c r="I1561" s="38"/>
      <c r="J1561" s="38"/>
      <c r="K1561" s="38"/>
      <c r="M1561" s="87"/>
      <c r="N1561" s="38"/>
      <c r="Q1561" s="38"/>
    </row>
    <row r="1562">
      <c r="H1562" s="48"/>
      <c r="I1562" s="38"/>
      <c r="J1562" s="38"/>
      <c r="K1562" s="38"/>
      <c r="M1562" s="87"/>
      <c r="N1562" s="38"/>
      <c r="Q1562" s="38"/>
    </row>
    <row r="1563">
      <c r="H1563" s="48"/>
      <c r="I1563" s="38"/>
      <c r="J1563" s="38"/>
      <c r="K1563" s="38"/>
      <c r="M1563" s="87"/>
      <c r="N1563" s="38"/>
      <c r="Q1563" s="38"/>
    </row>
    <row r="1564">
      <c r="H1564" s="48"/>
      <c r="I1564" s="38"/>
      <c r="J1564" s="38"/>
      <c r="K1564" s="38"/>
      <c r="M1564" s="87"/>
      <c r="N1564" s="38"/>
      <c r="Q1564" s="38"/>
    </row>
    <row r="1565">
      <c r="H1565" s="48"/>
      <c r="I1565" s="38"/>
      <c r="J1565" s="38"/>
      <c r="K1565" s="38"/>
      <c r="M1565" s="87"/>
      <c r="N1565" s="38"/>
      <c r="Q1565" s="38"/>
    </row>
    <row r="1566">
      <c r="H1566" s="48"/>
      <c r="I1566" s="38"/>
      <c r="J1566" s="38"/>
      <c r="K1566" s="38"/>
      <c r="M1566" s="87"/>
      <c r="N1566" s="38"/>
      <c r="Q1566" s="38"/>
    </row>
    <row r="1567">
      <c r="H1567" s="48"/>
      <c r="I1567" s="38"/>
      <c r="J1567" s="38"/>
      <c r="K1567" s="38"/>
      <c r="M1567" s="87"/>
      <c r="N1567" s="38"/>
      <c r="Q1567" s="38"/>
    </row>
    <row r="1568">
      <c r="H1568" s="48"/>
      <c r="I1568" s="38"/>
      <c r="J1568" s="38"/>
      <c r="K1568" s="38"/>
      <c r="M1568" s="87"/>
      <c r="N1568" s="38"/>
      <c r="Q1568" s="38"/>
    </row>
    <row r="1569">
      <c r="H1569" s="48"/>
      <c r="I1569" s="38"/>
      <c r="J1569" s="38"/>
      <c r="K1569" s="38"/>
      <c r="M1569" s="87"/>
      <c r="N1569" s="38"/>
      <c r="Q1569" s="38"/>
    </row>
    <row r="1570">
      <c r="H1570" s="48"/>
      <c r="I1570" s="38"/>
      <c r="J1570" s="38"/>
      <c r="K1570" s="38"/>
      <c r="M1570" s="87"/>
      <c r="N1570" s="38"/>
      <c r="Q1570" s="38"/>
    </row>
    <row r="1571">
      <c r="H1571" s="48"/>
      <c r="I1571" s="38"/>
      <c r="J1571" s="38"/>
      <c r="K1571" s="38"/>
      <c r="M1571" s="87"/>
      <c r="N1571" s="38"/>
      <c r="Q1571" s="38"/>
    </row>
    <row r="1572">
      <c r="H1572" s="48"/>
      <c r="I1572" s="38"/>
      <c r="J1572" s="38"/>
      <c r="K1572" s="38"/>
      <c r="M1572" s="87"/>
      <c r="N1572" s="38"/>
      <c r="Q1572" s="38"/>
    </row>
    <row r="1573">
      <c r="H1573" s="48"/>
      <c r="I1573" s="38"/>
      <c r="J1573" s="38"/>
      <c r="K1573" s="38"/>
      <c r="M1573" s="87"/>
      <c r="N1573" s="38"/>
      <c r="Q1573" s="38"/>
    </row>
    <row r="1574">
      <c r="H1574" s="48"/>
      <c r="I1574" s="38"/>
      <c r="J1574" s="38"/>
      <c r="K1574" s="38"/>
      <c r="M1574" s="87"/>
      <c r="N1574" s="38"/>
      <c r="Q1574" s="38"/>
    </row>
    <row r="1575">
      <c r="H1575" s="48"/>
      <c r="I1575" s="38"/>
      <c r="J1575" s="38"/>
      <c r="K1575" s="38"/>
      <c r="M1575" s="87"/>
      <c r="N1575" s="38"/>
      <c r="Q1575" s="38"/>
    </row>
    <row r="1576">
      <c r="H1576" s="48"/>
      <c r="I1576" s="38"/>
      <c r="J1576" s="38"/>
      <c r="K1576" s="38"/>
      <c r="M1576" s="87"/>
      <c r="N1576" s="38"/>
      <c r="Q1576" s="38"/>
    </row>
    <row r="1577">
      <c r="H1577" s="48"/>
      <c r="I1577" s="38"/>
      <c r="J1577" s="38"/>
      <c r="K1577" s="38"/>
      <c r="M1577" s="87"/>
      <c r="N1577" s="38"/>
      <c r="Q1577" s="38"/>
    </row>
    <row r="1578">
      <c r="H1578" s="48"/>
      <c r="I1578" s="38"/>
      <c r="J1578" s="38"/>
      <c r="K1578" s="38"/>
      <c r="M1578" s="87"/>
      <c r="N1578" s="38"/>
      <c r="Q1578" s="38"/>
    </row>
    <row r="1579">
      <c r="H1579" s="48"/>
      <c r="I1579" s="38"/>
      <c r="J1579" s="38"/>
      <c r="K1579" s="38"/>
      <c r="M1579" s="87"/>
      <c r="N1579" s="38"/>
      <c r="Q1579" s="38"/>
    </row>
    <row r="1580">
      <c r="H1580" s="48"/>
      <c r="I1580" s="38"/>
      <c r="J1580" s="38"/>
      <c r="K1580" s="38"/>
      <c r="M1580" s="87"/>
      <c r="N1580" s="38"/>
      <c r="Q1580" s="38"/>
    </row>
    <row r="1581">
      <c r="H1581" s="48"/>
      <c r="I1581" s="38"/>
      <c r="J1581" s="38"/>
      <c r="K1581" s="38"/>
      <c r="M1581" s="87"/>
      <c r="N1581" s="38"/>
      <c r="Q1581" s="38"/>
    </row>
    <row r="1582">
      <c r="H1582" s="48"/>
      <c r="I1582" s="38"/>
      <c r="J1582" s="38"/>
      <c r="K1582" s="38"/>
      <c r="M1582" s="87"/>
      <c r="N1582" s="38"/>
      <c r="Q1582" s="38"/>
    </row>
    <row r="1583">
      <c r="H1583" s="48"/>
      <c r="I1583" s="38"/>
      <c r="J1583" s="38"/>
      <c r="K1583" s="38"/>
      <c r="M1583" s="87"/>
      <c r="N1583" s="38"/>
      <c r="Q1583" s="38"/>
    </row>
    <row r="1584">
      <c r="H1584" s="48"/>
      <c r="I1584" s="38"/>
      <c r="J1584" s="38"/>
      <c r="K1584" s="38"/>
      <c r="M1584" s="87"/>
      <c r="N1584" s="38"/>
      <c r="Q1584" s="38"/>
    </row>
    <row r="1585">
      <c r="H1585" s="48"/>
      <c r="I1585" s="38"/>
      <c r="J1585" s="38"/>
      <c r="K1585" s="38"/>
      <c r="M1585" s="87"/>
      <c r="N1585" s="38"/>
      <c r="Q1585" s="38"/>
    </row>
    <row r="1586">
      <c r="H1586" s="48"/>
      <c r="I1586" s="38"/>
      <c r="J1586" s="38"/>
      <c r="K1586" s="38"/>
      <c r="M1586" s="87"/>
      <c r="N1586" s="38"/>
      <c r="Q1586" s="38"/>
    </row>
    <row r="1587">
      <c r="H1587" s="48"/>
      <c r="I1587" s="38"/>
      <c r="J1587" s="38"/>
      <c r="K1587" s="38"/>
      <c r="M1587" s="87"/>
      <c r="N1587" s="38"/>
      <c r="Q1587" s="38"/>
    </row>
    <row r="1588">
      <c r="H1588" s="48"/>
      <c r="I1588" s="38"/>
      <c r="J1588" s="38"/>
      <c r="K1588" s="38"/>
      <c r="M1588" s="87"/>
      <c r="N1588" s="38"/>
      <c r="Q1588" s="38"/>
    </row>
    <row r="1589">
      <c r="H1589" s="48"/>
      <c r="I1589" s="38"/>
      <c r="J1589" s="38"/>
      <c r="K1589" s="38"/>
      <c r="M1589" s="87"/>
      <c r="N1589" s="38"/>
      <c r="Q1589" s="38"/>
    </row>
    <row r="1590">
      <c r="H1590" s="48"/>
      <c r="I1590" s="38"/>
      <c r="J1590" s="38"/>
      <c r="K1590" s="38"/>
      <c r="M1590" s="87"/>
      <c r="N1590" s="38"/>
      <c r="Q1590" s="38"/>
    </row>
    <row r="1591">
      <c r="H1591" s="48"/>
      <c r="I1591" s="38"/>
      <c r="J1591" s="38"/>
      <c r="K1591" s="38"/>
      <c r="M1591" s="87"/>
      <c r="N1591" s="38"/>
      <c r="Q1591" s="38"/>
    </row>
    <row r="1592">
      <c r="H1592" s="48"/>
      <c r="I1592" s="38"/>
      <c r="J1592" s="38"/>
      <c r="K1592" s="38"/>
      <c r="M1592" s="87"/>
      <c r="N1592" s="38"/>
      <c r="Q1592" s="38"/>
    </row>
    <row r="1593">
      <c r="H1593" s="48"/>
      <c r="I1593" s="38"/>
      <c r="J1593" s="38"/>
      <c r="K1593" s="38"/>
      <c r="M1593" s="87"/>
      <c r="N1593" s="38"/>
      <c r="Q1593" s="38"/>
    </row>
    <row r="1594">
      <c r="H1594" s="48"/>
      <c r="I1594" s="38"/>
      <c r="J1594" s="38"/>
      <c r="K1594" s="38"/>
      <c r="M1594" s="87"/>
      <c r="N1594" s="38"/>
      <c r="Q1594" s="38"/>
    </row>
    <row r="1595">
      <c r="H1595" s="48"/>
      <c r="I1595" s="38"/>
      <c r="J1595" s="38"/>
      <c r="K1595" s="38"/>
      <c r="M1595" s="87"/>
      <c r="N1595" s="38"/>
      <c r="Q1595" s="38"/>
    </row>
    <row r="1596">
      <c r="H1596" s="48"/>
      <c r="I1596" s="38"/>
      <c r="J1596" s="38"/>
      <c r="K1596" s="38"/>
      <c r="M1596" s="87"/>
      <c r="N1596" s="38"/>
      <c r="Q1596" s="38"/>
    </row>
    <row r="1597">
      <c r="H1597" s="48"/>
      <c r="I1597" s="38"/>
      <c r="J1597" s="38"/>
      <c r="K1597" s="38"/>
      <c r="M1597" s="87"/>
      <c r="N1597" s="38"/>
      <c r="Q1597" s="38"/>
    </row>
    <row r="1598">
      <c r="H1598" s="48"/>
      <c r="I1598" s="38"/>
      <c r="J1598" s="38"/>
      <c r="K1598" s="38"/>
      <c r="M1598" s="87"/>
      <c r="N1598" s="38"/>
      <c r="Q1598" s="38"/>
    </row>
    <row r="1599">
      <c r="H1599" s="48"/>
      <c r="I1599" s="38"/>
      <c r="J1599" s="38"/>
      <c r="K1599" s="38"/>
      <c r="M1599" s="87"/>
      <c r="N1599" s="38"/>
      <c r="Q1599" s="38"/>
    </row>
    <row r="1600">
      <c r="H1600" s="48"/>
      <c r="I1600" s="38"/>
      <c r="J1600" s="38"/>
      <c r="K1600" s="38"/>
      <c r="M1600" s="87"/>
      <c r="N1600" s="38"/>
      <c r="Q1600" s="38"/>
    </row>
    <row r="1601">
      <c r="H1601" s="48"/>
      <c r="I1601" s="38"/>
      <c r="J1601" s="38"/>
      <c r="K1601" s="38"/>
      <c r="M1601" s="87"/>
      <c r="N1601" s="38"/>
      <c r="Q1601" s="38"/>
    </row>
    <row r="1602">
      <c r="H1602" s="48"/>
      <c r="I1602" s="38"/>
      <c r="J1602" s="38"/>
      <c r="K1602" s="38"/>
      <c r="M1602" s="87"/>
      <c r="N1602" s="38"/>
      <c r="Q1602" s="38"/>
    </row>
    <row r="1603">
      <c r="H1603" s="48"/>
      <c r="I1603" s="38"/>
      <c r="J1603" s="38"/>
      <c r="K1603" s="38"/>
      <c r="M1603" s="87"/>
      <c r="N1603" s="38"/>
      <c r="Q1603" s="38"/>
    </row>
    <row r="1604">
      <c r="H1604" s="48"/>
      <c r="I1604" s="38"/>
      <c r="J1604" s="38"/>
      <c r="K1604" s="38"/>
      <c r="M1604" s="87"/>
      <c r="N1604" s="38"/>
      <c r="Q1604" s="38"/>
    </row>
    <row r="1605">
      <c r="H1605" s="48"/>
      <c r="I1605" s="38"/>
      <c r="J1605" s="38"/>
      <c r="K1605" s="38"/>
      <c r="M1605" s="87"/>
      <c r="N1605" s="38"/>
      <c r="Q1605" s="38"/>
    </row>
    <row r="1606">
      <c r="H1606" s="48"/>
      <c r="I1606" s="38"/>
      <c r="J1606" s="38"/>
      <c r="K1606" s="38"/>
      <c r="M1606" s="87"/>
      <c r="N1606" s="38"/>
      <c r="Q1606" s="38"/>
    </row>
    <row r="1607">
      <c r="H1607" s="48"/>
      <c r="I1607" s="38"/>
      <c r="J1607" s="38"/>
      <c r="K1607" s="38"/>
      <c r="M1607" s="87"/>
      <c r="N1607" s="38"/>
      <c r="Q1607" s="38"/>
    </row>
    <row r="1608">
      <c r="H1608" s="48"/>
      <c r="I1608" s="38"/>
      <c r="J1608" s="38"/>
      <c r="K1608" s="38"/>
      <c r="M1608" s="87"/>
      <c r="N1608" s="38"/>
      <c r="Q1608" s="38"/>
    </row>
    <row r="1609">
      <c r="H1609" s="48"/>
      <c r="I1609" s="38"/>
      <c r="J1609" s="38"/>
      <c r="K1609" s="38"/>
      <c r="M1609" s="87"/>
      <c r="N1609" s="38"/>
      <c r="Q1609" s="38"/>
    </row>
    <row r="1610">
      <c r="H1610" s="48"/>
      <c r="I1610" s="38"/>
      <c r="J1610" s="38"/>
      <c r="K1610" s="38"/>
      <c r="M1610" s="87"/>
      <c r="N1610" s="38"/>
      <c r="Q1610" s="38"/>
    </row>
    <row r="1611">
      <c r="H1611" s="48"/>
      <c r="I1611" s="38"/>
      <c r="J1611" s="38"/>
      <c r="K1611" s="38"/>
      <c r="M1611" s="87"/>
      <c r="N1611" s="38"/>
      <c r="Q1611" s="38"/>
    </row>
    <row r="1612">
      <c r="H1612" s="48"/>
      <c r="I1612" s="38"/>
      <c r="J1612" s="38"/>
      <c r="K1612" s="38"/>
      <c r="M1612" s="87"/>
      <c r="N1612" s="38"/>
      <c r="Q1612" s="38"/>
    </row>
    <row r="1613">
      <c r="H1613" s="48"/>
      <c r="I1613" s="38"/>
      <c r="J1613" s="38"/>
      <c r="K1613" s="38"/>
      <c r="M1613" s="87"/>
      <c r="N1613" s="38"/>
      <c r="Q1613" s="38"/>
    </row>
    <row r="1614">
      <c r="H1614" s="48"/>
      <c r="I1614" s="38"/>
      <c r="J1614" s="38"/>
      <c r="K1614" s="38"/>
      <c r="M1614" s="87"/>
      <c r="N1614" s="38"/>
      <c r="Q1614" s="38"/>
    </row>
    <row r="1615">
      <c r="H1615" s="48"/>
      <c r="I1615" s="38"/>
      <c r="J1615" s="38"/>
      <c r="K1615" s="38"/>
      <c r="M1615" s="87"/>
      <c r="N1615" s="38"/>
      <c r="Q1615" s="38"/>
    </row>
    <row r="1616">
      <c r="H1616" s="48"/>
      <c r="I1616" s="38"/>
      <c r="J1616" s="38"/>
      <c r="K1616" s="38"/>
      <c r="M1616" s="87"/>
      <c r="N1616" s="38"/>
      <c r="Q1616" s="38"/>
    </row>
    <row r="1617">
      <c r="H1617" s="48"/>
      <c r="I1617" s="38"/>
      <c r="J1617" s="38"/>
      <c r="K1617" s="38"/>
      <c r="M1617" s="87"/>
      <c r="N1617" s="38"/>
      <c r="Q1617" s="38"/>
    </row>
    <row r="1618">
      <c r="H1618" s="48"/>
      <c r="I1618" s="38"/>
      <c r="J1618" s="38"/>
      <c r="K1618" s="38"/>
      <c r="M1618" s="87"/>
      <c r="N1618" s="38"/>
      <c r="Q1618" s="38"/>
    </row>
    <row r="1619">
      <c r="H1619" s="48"/>
      <c r="I1619" s="38"/>
      <c r="J1619" s="38"/>
      <c r="K1619" s="38"/>
      <c r="M1619" s="87"/>
      <c r="N1619" s="38"/>
      <c r="Q1619" s="38"/>
    </row>
    <row r="1620">
      <c r="H1620" s="48"/>
      <c r="I1620" s="38"/>
      <c r="J1620" s="38"/>
      <c r="K1620" s="38"/>
      <c r="M1620" s="87"/>
      <c r="N1620" s="38"/>
      <c r="Q1620" s="38"/>
    </row>
    <row r="1621">
      <c r="H1621" s="48"/>
      <c r="I1621" s="38"/>
      <c r="J1621" s="38"/>
      <c r="K1621" s="38"/>
      <c r="M1621" s="87"/>
      <c r="N1621" s="38"/>
      <c r="Q1621" s="38"/>
    </row>
    <row r="1622">
      <c r="H1622" s="48"/>
      <c r="I1622" s="38"/>
      <c r="J1622" s="38"/>
      <c r="K1622" s="38"/>
      <c r="M1622" s="87"/>
      <c r="N1622" s="38"/>
      <c r="Q1622" s="38"/>
    </row>
    <row r="1623">
      <c r="H1623" s="48"/>
      <c r="I1623" s="38"/>
      <c r="J1623" s="38"/>
      <c r="K1623" s="38"/>
      <c r="M1623" s="87"/>
      <c r="N1623" s="38"/>
      <c r="Q1623" s="38"/>
    </row>
    <row r="1624">
      <c r="H1624" s="48"/>
      <c r="I1624" s="38"/>
      <c r="J1624" s="38"/>
      <c r="K1624" s="38"/>
      <c r="M1624" s="87"/>
      <c r="N1624" s="38"/>
      <c r="Q1624" s="38"/>
    </row>
    <row r="1625">
      <c r="H1625" s="48"/>
      <c r="I1625" s="38"/>
      <c r="J1625" s="38"/>
      <c r="K1625" s="38"/>
      <c r="M1625" s="87"/>
      <c r="N1625" s="38"/>
      <c r="Q1625" s="38"/>
    </row>
    <row r="1626">
      <c r="H1626" s="48"/>
      <c r="I1626" s="38"/>
      <c r="J1626" s="38"/>
      <c r="K1626" s="38"/>
      <c r="M1626" s="87"/>
      <c r="N1626" s="38"/>
      <c r="Q1626" s="38"/>
    </row>
    <row r="1627">
      <c r="H1627" s="48"/>
      <c r="I1627" s="38"/>
      <c r="J1627" s="38"/>
      <c r="K1627" s="38"/>
      <c r="M1627" s="87"/>
      <c r="N1627" s="38"/>
      <c r="Q1627" s="38"/>
    </row>
    <row r="1628">
      <c r="H1628" s="48"/>
      <c r="I1628" s="38"/>
      <c r="J1628" s="38"/>
      <c r="K1628" s="38"/>
      <c r="M1628" s="87"/>
      <c r="N1628" s="38"/>
      <c r="Q1628" s="38"/>
    </row>
    <row r="1629">
      <c r="H1629" s="48"/>
      <c r="I1629" s="38"/>
      <c r="J1629" s="38"/>
      <c r="K1629" s="38"/>
      <c r="M1629" s="87"/>
      <c r="N1629" s="38"/>
      <c r="Q1629" s="38"/>
    </row>
    <row r="1630">
      <c r="H1630" s="48"/>
      <c r="I1630" s="38"/>
      <c r="J1630" s="38"/>
      <c r="K1630" s="38"/>
      <c r="M1630" s="87"/>
      <c r="N1630" s="38"/>
      <c r="Q1630" s="38"/>
    </row>
    <row r="1631">
      <c r="H1631" s="48"/>
      <c r="I1631" s="38"/>
      <c r="J1631" s="38"/>
      <c r="K1631" s="38"/>
      <c r="M1631" s="87"/>
      <c r="N1631" s="38"/>
      <c r="Q1631" s="38"/>
    </row>
    <row r="1632">
      <c r="H1632" s="48"/>
      <c r="I1632" s="38"/>
      <c r="J1632" s="38"/>
      <c r="K1632" s="38"/>
      <c r="M1632" s="87"/>
      <c r="N1632" s="38"/>
      <c r="Q1632" s="38"/>
    </row>
    <row r="1633">
      <c r="H1633" s="48"/>
      <c r="I1633" s="38"/>
      <c r="J1633" s="38"/>
      <c r="K1633" s="38"/>
      <c r="M1633" s="87"/>
      <c r="N1633" s="38"/>
      <c r="Q1633" s="38"/>
    </row>
    <row r="1634">
      <c r="H1634" s="48"/>
      <c r="I1634" s="38"/>
      <c r="J1634" s="38"/>
      <c r="K1634" s="38"/>
      <c r="M1634" s="87"/>
      <c r="N1634" s="38"/>
      <c r="Q1634" s="38"/>
    </row>
    <row r="1635">
      <c r="H1635" s="48"/>
      <c r="I1635" s="38"/>
      <c r="J1635" s="38"/>
      <c r="K1635" s="38"/>
      <c r="M1635" s="87"/>
      <c r="N1635" s="38"/>
      <c r="Q1635" s="38"/>
    </row>
    <row r="1636">
      <c r="H1636" s="48"/>
      <c r="I1636" s="38"/>
      <c r="J1636" s="38"/>
      <c r="K1636" s="38"/>
      <c r="M1636" s="87"/>
      <c r="N1636" s="38"/>
      <c r="Q1636" s="38"/>
    </row>
    <row r="1637">
      <c r="H1637" s="48"/>
      <c r="I1637" s="38"/>
      <c r="J1637" s="38"/>
      <c r="K1637" s="38"/>
      <c r="M1637" s="87"/>
      <c r="N1637" s="38"/>
      <c r="Q1637" s="38"/>
    </row>
    <row r="1638">
      <c r="H1638" s="48"/>
      <c r="I1638" s="38"/>
      <c r="J1638" s="38"/>
      <c r="K1638" s="38"/>
      <c r="M1638" s="87"/>
      <c r="N1638" s="38"/>
      <c r="Q1638" s="38"/>
    </row>
    <row r="1639">
      <c r="H1639" s="48"/>
      <c r="I1639" s="38"/>
      <c r="J1639" s="38"/>
      <c r="K1639" s="38"/>
      <c r="M1639" s="87"/>
      <c r="N1639" s="38"/>
      <c r="Q1639" s="38"/>
    </row>
    <row r="1640">
      <c r="H1640" s="48"/>
      <c r="I1640" s="38"/>
      <c r="J1640" s="38"/>
      <c r="K1640" s="38"/>
      <c r="M1640" s="87"/>
      <c r="N1640" s="38"/>
      <c r="Q1640" s="38"/>
    </row>
    <row r="1641">
      <c r="H1641" s="48"/>
      <c r="I1641" s="38"/>
      <c r="J1641" s="38"/>
      <c r="K1641" s="38"/>
      <c r="M1641" s="87"/>
      <c r="N1641" s="38"/>
      <c r="Q1641" s="38"/>
    </row>
    <row r="1642">
      <c r="H1642" s="48"/>
      <c r="I1642" s="38"/>
      <c r="J1642" s="38"/>
      <c r="K1642" s="38"/>
      <c r="M1642" s="87"/>
      <c r="N1642" s="38"/>
      <c r="Q1642" s="38"/>
    </row>
    <row r="1643">
      <c r="H1643" s="48"/>
      <c r="I1643" s="38"/>
      <c r="J1643" s="38"/>
      <c r="K1643" s="38"/>
      <c r="M1643" s="87"/>
      <c r="N1643" s="38"/>
      <c r="Q1643" s="38"/>
    </row>
    <row r="1644">
      <c r="H1644" s="48"/>
      <c r="I1644" s="38"/>
      <c r="J1644" s="38"/>
      <c r="K1644" s="38"/>
      <c r="M1644" s="87"/>
      <c r="N1644" s="38"/>
      <c r="Q1644" s="38"/>
    </row>
    <row r="1645">
      <c r="H1645" s="48"/>
      <c r="I1645" s="38"/>
      <c r="J1645" s="38"/>
      <c r="K1645" s="38"/>
      <c r="M1645" s="87"/>
      <c r="N1645" s="38"/>
      <c r="Q1645" s="38"/>
    </row>
    <row r="1646">
      <c r="H1646" s="48"/>
      <c r="I1646" s="38"/>
      <c r="J1646" s="38"/>
      <c r="K1646" s="38"/>
      <c r="M1646" s="87"/>
      <c r="N1646" s="38"/>
      <c r="Q1646" s="38"/>
    </row>
    <row r="1647">
      <c r="H1647" s="48"/>
      <c r="I1647" s="38"/>
      <c r="J1647" s="38"/>
      <c r="K1647" s="38"/>
      <c r="M1647" s="87"/>
      <c r="N1647" s="38"/>
      <c r="Q1647" s="38"/>
    </row>
    <row r="1648">
      <c r="H1648" s="48"/>
      <c r="I1648" s="38"/>
      <c r="J1648" s="38"/>
      <c r="K1648" s="38"/>
      <c r="M1648" s="87"/>
      <c r="N1648" s="38"/>
      <c r="Q1648" s="38"/>
    </row>
    <row r="1649">
      <c r="H1649" s="48"/>
      <c r="I1649" s="38"/>
      <c r="J1649" s="38"/>
      <c r="K1649" s="38"/>
      <c r="M1649" s="87"/>
      <c r="N1649" s="38"/>
      <c r="Q1649" s="38"/>
    </row>
    <row r="1650">
      <c r="H1650" s="48"/>
      <c r="I1650" s="38"/>
      <c r="J1650" s="38"/>
      <c r="K1650" s="38"/>
      <c r="M1650" s="87"/>
      <c r="N1650" s="38"/>
      <c r="Q1650" s="38"/>
    </row>
    <row r="1651">
      <c r="H1651" s="48"/>
      <c r="I1651" s="38"/>
      <c r="J1651" s="38"/>
      <c r="K1651" s="38"/>
      <c r="M1651" s="87"/>
      <c r="N1651" s="38"/>
      <c r="Q1651" s="38"/>
    </row>
    <row r="1652">
      <c r="H1652" s="48"/>
      <c r="I1652" s="38"/>
      <c r="J1652" s="38"/>
      <c r="K1652" s="38"/>
      <c r="M1652" s="87"/>
      <c r="N1652" s="38"/>
      <c r="Q1652" s="38"/>
    </row>
    <row r="1653">
      <c r="H1653" s="48"/>
      <c r="I1653" s="38"/>
      <c r="J1653" s="38"/>
      <c r="K1653" s="38"/>
      <c r="M1653" s="87"/>
      <c r="N1653" s="38"/>
      <c r="Q1653" s="38"/>
    </row>
    <row r="1654">
      <c r="H1654" s="48"/>
      <c r="I1654" s="38"/>
      <c r="J1654" s="38"/>
      <c r="K1654" s="38"/>
      <c r="M1654" s="87"/>
      <c r="N1654" s="38"/>
      <c r="Q1654" s="38"/>
    </row>
    <row r="1655">
      <c r="H1655" s="48"/>
      <c r="I1655" s="38"/>
      <c r="J1655" s="38"/>
      <c r="K1655" s="38"/>
      <c r="M1655" s="87"/>
      <c r="N1655" s="38"/>
      <c r="Q1655" s="38"/>
    </row>
    <row r="1656">
      <c r="H1656" s="48"/>
      <c r="I1656" s="38"/>
      <c r="J1656" s="38"/>
      <c r="K1656" s="38"/>
      <c r="M1656" s="87"/>
      <c r="N1656" s="38"/>
      <c r="Q1656" s="38"/>
    </row>
    <row r="1657">
      <c r="H1657" s="48"/>
      <c r="I1657" s="38"/>
      <c r="J1657" s="38"/>
      <c r="K1657" s="38"/>
      <c r="M1657" s="87"/>
      <c r="N1657" s="38"/>
      <c r="Q1657" s="38"/>
    </row>
    <row r="1658">
      <c r="H1658" s="48"/>
      <c r="I1658" s="38"/>
      <c r="J1658" s="38"/>
      <c r="K1658" s="38"/>
      <c r="M1658" s="87"/>
      <c r="N1658" s="38"/>
      <c r="Q1658" s="38"/>
    </row>
    <row r="1659">
      <c r="H1659" s="48"/>
      <c r="I1659" s="38"/>
      <c r="J1659" s="38"/>
      <c r="K1659" s="38"/>
      <c r="M1659" s="87"/>
      <c r="N1659" s="38"/>
      <c r="Q1659" s="38"/>
    </row>
    <row r="1660">
      <c r="H1660" s="48"/>
      <c r="I1660" s="38"/>
      <c r="J1660" s="38"/>
      <c r="K1660" s="38"/>
      <c r="M1660" s="87"/>
      <c r="N1660" s="38"/>
      <c r="Q1660" s="38"/>
    </row>
    <row r="1661">
      <c r="H1661" s="48"/>
      <c r="I1661" s="38"/>
      <c r="J1661" s="38"/>
      <c r="K1661" s="38"/>
      <c r="M1661" s="87"/>
      <c r="N1661" s="38"/>
      <c r="Q1661" s="38"/>
    </row>
    <row r="1662">
      <c r="H1662" s="48"/>
      <c r="I1662" s="38"/>
      <c r="J1662" s="38"/>
      <c r="K1662" s="38"/>
      <c r="M1662" s="87"/>
      <c r="N1662" s="38"/>
      <c r="Q1662" s="38"/>
    </row>
    <row r="1663">
      <c r="H1663" s="48"/>
      <c r="I1663" s="38"/>
      <c r="J1663" s="38"/>
      <c r="K1663" s="38"/>
      <c r="M1663" s="87"/>
      <c r="N1663" s="38"/>
      <c r="Q1663" s="38"/>
    </row>
    <row r="1664">
      <c r="H1664" s="48"/>
      <c r="I1664" s="38"/>
      <c r="J1664" s="38"/>
      <c r="K1664" s="38"/>
      <c r="M1664" s="87"/>
      <c r="N1664" s="38"/>
      <c r="Q1664" s="38"/>
    </row>
    <row r="1665">
      <c r="H1665" s="48"/>
      <c r="I1665" s="38"/>
      <c r="J1665" s="38"/>
      <c r="K1665" s="38"/>
      <c r="M1665" s="87"/>
      <c r="N1665" s="38"/>
      <c r="Q1665" s="38"/>
    </row>
    <row r="1666">
      <c r="H1666" s="48"/>
      <c r="I1666" s="38"/>
      <c r="J1666" s="38"/>
      <c r="K1666" s="38"/>
      <c r="M1666" s="87"/>
      <c r="N1666" s="38"/>
      <c r="Q1666" s="38"/>
    </row>
    <row r="1667">
      <c r="H1667" s="48"/>
      <c r="I1667" s="38"/>
      <c r="J1667" s="38"/>
      <c r="K1667" s="38"/>
      <c r="M1667" s="87"/>
      <c r="N1667" s="38"/>
      <c r="Q1667" s="38"/>
    </row>
    <row r="1668">
      <c r="H1668" s="48"/>
      <c r="I1668" s="38"/>
      <c r="J1668" s="38"/>
      <c r="K1668" s="38"/>
      <c r="M1668" s="87"/>
      <c r="N1668" s="38"/>
      <c r="Q1668" s="38"/>
    </row>
    <row r="1669">
      <c r="H1669" s="48"/>
      <c r="I1669" s="38"/>
      <c r="J1669" s="38"/>
      <c r="K1669" s="38"/>
      <c r="M1669" s="87"/>
      <c r="N1669" s="38"/>
      <c r="Q1669" s="38"/>
    </row>
    <row r="1670">
      <c r="H1670" s="48"/>
      <c r="I1670" s="38"/>
      <c r="J1670" s="38"/>
      <c r="K1670" s="38"/>
      <c r="M1670" s="87"/>
      <c r="N1670" s="38"/>
      <c r="Q1670" s="38"/>
    </row>
    <row r="1671">
      <c r="H1671" s="48"/>
      <c r="I1671" s="38"/>
      <c r="J1671" s="38"/>
      <c r="K1671" s="38"/>
      <c r="M1671" s="87"/>
      <c r="N1671" s="38"/>
      <c r="Q1671" s="38"/>
    </row>
    <row r="1672">
      <c r="H1672" s="48"/>
      <c r="I1672" s="38"/>
      <c r="J1672" s="38"/>
      <c r="K1672" s="38"/>
      <c r="M1672" s="87"/>
      <c r="N1672" s="38"/>
      <c r="Q1672" s="38"/>
    </row>
    <row r="1673">
      <c r="H1673" s="48"/>
      <c r="I1673" s="38"/>
      <c r="J1673" s="38"/>
      <c r="K1673" s="38"/>
      <c r="M1673" s="87"/>
      <c r="N1673" s="38"/>
      <c r="Q1673" s="38"/>
    </row>
    <row r="1674">
      <c r="H1674" s="48"/>
      <c r="I1674" s="38"/>
      <c r="J1674" s="38"/>
      <c r="K1674" s="38"/>
      <c r="M1674" s="87"/>
      <c r="N1674" s="38"/>
      <c r="Q1674" s="38"/>
    </row>
    <row r="1675">
      <c r="H1675" s="48"/>
      <c r="I1675" s="38"/>
      <c r="J1675" s="38"/>
      <c r="K1675" s="38"/>
      <c r="M1675" s="87"/>
      <c r="N1675" s="38"/>
      <c r="Q1675" s="38"/>
    </row>
    <row r="1676">
      <c r="H1676" s="48"/>
      <c r="I1676" s="38"/>
      <c r="J1676" s="38"/>
      <c r="K1676" s="38"/>
      <c r="M1676" s="87"/>
      <c r="N1676" s="38"/>
      <c r="Q1676" s="38"/>
    </row>
    <row r="1677">
      <c r="H1677" s="48"/>
      <c r="I1677" s="38"/>
      <c r="J1677" s="38"/>
      <c r="K1677" s="38"/>
      <c r="M1677" s="87"/>
      <c r="N1677" s="38"/>
      <c r="Q1677" s="38"/>
    </row>
    <row r="1678">
      <c r="H1678" s="48"/>
      <c r="I1678" s="38"/>
      <c r="J1678" s="38"/>
      <c r="K1678" s="38"/>
      <c r="M1678" s="87"/>
      <c r="N1678" s="38"/>
      <c r="Q1678" s="38"/>
    </row>
    <row r="1679">
      <c r="H1679" s="48"/>
      <c r="I1679" s="38"/>
      <c r="J1679" s="38"/>
      <c r="K1679" s="38"/>
      <c r="M1679" s="87"/>
      <c r="N1679" s="38"/>
      <c r="Q1679" s="38"/>
    </row>
    <row r="1680">
      <c r="H1680" s="48"/>
      <c r="I1680" s="38"/>
      <c r="J1680" s="38"/>
      <c r="K1680" s="38"/>
      <c r="M1680" s="87"/>
      <c r="N1680" s="38"/>
      <c r="Q1680" s="38"/>
    </row>
    <row r="1681">
      <c r="H1681" s="48"/>
      <c r="I1681" s="38"/>
      <c r="J1681" s="38"/>
      <c r="K1681" s="38"/>
      <c r="M1681" s="87"/>
      <c r="N1681" s="38"/>
      <c r="Q1681" s="38"/>
    </row>
    <row r="1682">
      <c r="H1682" s="48"/>
      <c r="I1682" s="38"/>
      <c r="J1682" s="38"/>
      <c r="K1682" s="38"/>
      <c r="M1682" s="87"/>
      <c r="N1682" s="38"/>
      <c r="Q1682" s="38"/>
    </row>
    <row r="1683">
      <c r="H1683" s="48"/>
      <c r="I1683" s="38"/>
      <c r="J1683" s="38"/>
      <c r="K1683" s="38"/>
      <c r="M1683" s="87"/>
      <c r="N1683" s="38"/>
      <c r="Q1683" s="38"/>
    </row>
    <row r="1684">
      <c r="H1684" s="48"/>
      <c r="I1684" s="38"/>
      <c r="J1684" s="38"/>
      <c r="K1684" s="38"/>
      <c r="M1684" s="87"/>
      <c r="N1684" s="38"/>
      <c r="Q1684" s="38"/>
    </row>
    <row r="1685">
      <c r="H1685" s="48"/>
      <c r="I1685" s="38"/>
      <c r="J1685" s="38"/>
      <c r="K1685" s="38"/>
      <c r="M1685" s="87"/>
      <c r="N1685" s="38"/>
      <c r="Q1685" s="38"/>
    </row>
    <row r="1686">
      <c r="H1686" s="48"/>
      <c r="I1686" s="38"/>
      <c r="J1686" s="38"/>
      <c r="K1686" s="38"/>
      <c r="M1686" s="87"/>
      <c r="N1686" s="38"/>
      <c r="Q1686" s="38"/>
    </row>
    <row r="1687">
      <c r="H1687" s="48"/>
      <c r="I1687" s="38"/>
      <c r="J1687" s="38"/>
      <c r="K1687" s="38"/>
      <c r="M1687" s="87"/>
      <c r="N1687" s="38"/>
      <c r="Q1687" s="38"/>
    </row>
    <row r="1688">
      <c r="H1688" s="48"/>
      <c r="I1688" s="38"/>
      <c r="J1688" s="38"/>
      <c r="K1688" s="38"/>
      <c r="M1688" s="87"/>
      <c r="N1688" s="38"/>
      <c r="Q1688" s="38"/>
    </row>
    <row r="1689">
      <c r="H1689" s="48"/>
      <c r="I1689" s="38"/>
      <c r="J1689" s="38"/>
      <c r="K1689" s="38"/>
      <c r="M1689" s="87"/>
      <c r="N1689" s="38"/>
      <c r="Q1689" s="38"/>
    </row>
    <row r="1690">
      <c r="H1690" s="48"/>
      <c r="I1690" s="38"/>
      <c r="J1690" s="38"/>
      <c r="K1690" s="38"/>
      <c r="M1690" s="87"/>
      <c r="N1690" s="38"/>
      <c r="Q1690" s="38"/>
    </row>
    <row r="1691">
      <c r="H1691" s="48"/>
      <c r="I1691" s="38"/>
      <c r="J1691" s="38"/>
      <c r="K1691" s="38"/>
      <c r="M1691" s="87"/>
      <c r="N1691" s="38"/>
      <c r="Q1691" s="38"/>
    </row>
    <row r="1692">
      <c r="H1692" s="48"/>
      <c r="I1692" s="38"/>
      <c r="J1692" s="38"/>
      <c r="K1692" s="38"/>
      <c r="M1692" s="87"/>
      <c r="N1692" s="38"/>
      <c r="Q1692" s="38"/>
    </row>
    <row r="1693">
      <c r="H1693" s="48"/>
      <c r="I1693" s="38"/>
      <c r="J1693" s="38"/>
      <c r="K1693" s="38"/>
      <c r="M1693" s="87"/>
      <c r="N1693" s="38"/>
      <c r="Q1693" s="38"/>
    </row>
    <row r="1694">
      <c r="H1694" s="48"/>
      <c r="I1694" s="38"/>
      <c r="J1694" s="38"/>
      <c r="K1694" s="38"/>
      <c r="M1694" s="87"/>
      <c r="N1694" s="38"/>
      <c r="Q1694" s="38"/>
    </row>
    <row r="1695">
      <c r="H1695" s="48"/>
      <c r="I1695" s="38"/>
      <c r="J1695" s="38"/>
      <c r="K1695" s="38"/>
      <c r="M1695" s="87"/>
      <c r="N1695" s="38"/>
      <c r="Q1695" s="38"/>
    </row>
    <row r="1696">
      <c r="H1696" s="48"/>
      <c r="I1696" s="38"/>
      <c r="J1696" s="38"/>
      <c r="K1696" s="38"/>
      <c r="M1696" s="87"/>
      <c r="N1696" s="38"/>
      <c r="Q1696" s="38"/>
    </row>
    <row r="1697">
      <c r="H1697" s="48"/>
      <c r="I1697" s="38"/>
      <c r="J1697" s="38"/>
      <c r="K1697" s="38"/>
      <c r="M1697" s="87"/>
      <c r="N1697" s="38"/>
      <c r="Q1697" s="38"/>
    </row>
    <row r="1698">
      <c r="H1698" s="48"/>
      <c r="I1698" s="38"/>
      <c r="J1698" s="38"/>
      <c r="K1698" s="38"/>
      <c r="M1698" s="87"/>
      <c r="N1698" s="38"/>
      <c r="Q1698" s="38"/>
    </row>
    <row r="1699">
      <c r="H1699" s="48"/>
      <c r="I1699" s="38"/>
      <c r="J1699" s="38"/>
      <c r="K1699" s="38"/>
      <c r="M1699" s="87"/>
      <c r="N1699" s="38"/>
      <c r="Q1699" s="38"/>
    </row>
    <row r="1700">
      <c r="H1700" s="48"/>
      <c r="I1700" s="38"/>
      <c r="J1700" s="38"/>
      <c r="K1700" s="38"/>
      <c r="M1700" s="87"/>
      <c r="N1700" s="38"/>
      <c r="Q1700" s="38"/>
    </row>
    <row r="1701">
      <c r="H1701" s="48"/>
      <c r="I1701" s="38"/>
      <c r="J1701" s="38"/>
      <c r="K1701" s="38"/>
      <c r="M1701" s="87"/>
      <c r="N1701" s="38"/>
      <c r="Q1701" s="38"/>
    </row>
    <row r="1702">
      <c r="H1702" s="48"/>
      <c r="I1702" s="38"/>
      <c r="J1702" s="38"/>
      <c r="K1702" s="38"/>
      <c r="M1702" s="87"/>
      <c r="N1702" s="38"/>
      <c r="Q1702" s="38"/>
    </row>
    <row r="1703">
      <c r="H1703" s="48"/>
      <c r="I1703" s="38"/>
      <c r="J1703" s="38"/>
      <c r="K1703" s="38"/>
      <c r="M1703" s="87"/>
      <c r="N1703" s="38"/>
      <c r="Q1703" s="38"/>
    </row>
    <row r="1704">
      <c r="H1704" s="48"/>
      <c r="I1704" s="38"/>
      <c r="J1704" s="38"/>
      <c r="K1704" s="38"/>
      <c r="M1704" s="87"/>
      <c r="N1704" s="38"/>
      <c r="Q1704" s="38"/>
    </row>
    <row r="1705">
      <c r="H1705" s="48"/>
      <c r="I1705" s="38"/>
      <c r="J1705" s="38"/>
      <c r="K1705" s="38"/>
      <c r="M1705" s="87"/>
      <c r="N1705" s="38"/>
      <c r="Q1705" s="38"/>
    </row>
    <row r="1706">
      <c r="H1706" s="48"/>
      <c r="I1706" s="38"/>
      <c r="J1706" s="38"/>
      <c r="K1706" s="38"/>
      <c r="M1706" s="87"/>
      <c r="N1706" s="38"/>
      <c r="Q1706" s="38"/>
    </row>
    <row r="1707">
      <c r="H1707" s="48"/>
      <c r="I1707" s="38"/>
      <c r="J1707" s="38"/>
      <c r="K1707" s="38"/>
      <c r="M1707" s="87"/>
      <c r="N1707" s="38"/>
      <c r="Q1707" s="38"/>
    </row>
    <row r="1708">
      <c r="H1708" s="48"/>
      <c r="I1708" s="38"/>
      <c r="J1708" s="38"/>
      <c r="K1708" s="38"/>
      <c r="M1708" s="87"/>
      <c r="N1708" s="38"/>
      <c r="Q1708" s="38"/>
    </row>
    <row r="1709">
      <c r="H1709" s="48"/>
      <c r="I1709" s="38"/>
      <c r="J1709" s="38"/>
      <c r="K1709" s="38"/>
      <c r="M1709" s="87"/>
      <c r="N1709" s="38"/>
      <c r="Q1709" s="38"/>
    </row>
    <row r="1710">
      <c r="H1710" s="48"/>
      <c r="I1710" s="38"/>
      <c r="J1710" s="38"/>
      <c r="K1710" s="38"/>
      <c r="M1710" s="87"/>
      <c r="N1710" s="38"/>
      <c r="Q1710" s="38"/>
    </row>
    <row r="1711">
      <c r="H1711" s="48"/>
      <c r="I1711" s="38"/>
      <c r="J1711" s="38"/>
      <c r="K1711" s="38"/>
      <c r="M1711" s="87"/>
      <c r="N1711" s="38"/>
      <c r="Q1711" s="38"/>
    </row>
    <row r="1712">
      <c r="H1712" s="48"/>
      <c r="I1712" s="38"/>
      <c r="J1712" s="38"/>
      <c r="K1712" s="38"/>
      <c r="M1712" s="87"/>
      <c r="N1712" s="38"/>
      <c r="Q1712" s="38"/>
    </row>
    <row r="1713">
      <c r="H1713" s="48"/>
      <c r="I1713" s="38"/>
      <c r="J1713" s="38"/>
      <c r="K1713" s="38"/>
      <c r="M1713" s="87"/>
      <c r="N1713" s="38"/>
      <c r="Q1713" s="38"/>
    </row>
    <row r="1714">
      <c r="H1714" s="48"/>
      <c r="I1714" s="38"/>
      <c r="J1714" s="38"/>
      <c r="K1714" s="38"/>
      <c r="M1714" s="87"/>
      <c r="N1714" s="38"/>
      <c r="Q1714" s="38"/>
    </row>
    <row r="1715">
      <c r="H1715" s="48"/>
      <c r="I1715" s="38"/>
      <c r="J1715" s="38"/>
      <c r="K1715" s="38"/>
      <c r="M1715" s="87"/>
      <c r="N1715" s="38"/>
      <c r="Q1715" s="38"/>
    </row>
    <row r="1716">
      <c r="H1716" s="48"/>
      <c r="I1716" s="38"/>
      <c r="J1716" s="38"/>
      <c r="K1716" s="38"/>
      <c r="M1716" s="87"/>
      <c r="N1716" s="38"/>
      <c r="Q1716" s="38"/>
    </row>
    <row r="1717">
      <c r="H1717" s="48"/>
      <c r="I1717" s="38"/>
      <c r="J1717" s="38"/>
      <c r="K1717" s="38"/>
      <c r="M1717" s="87"/>
      <c r="N1717" s="38"/>
      <c r="Q1717" s="38"/>
    </row>
    <row r="1718">
      <c r="H1718" s="48"/>
      <c r="I1718" s="38"/>
      <c r="J1718" s="38"/>
      <c r="K1718" s="38"/>
      <c r="M1718" s="87"/>
      <c r="N1718" s="38"/>
      <c r="Q1718" s="38"/>
    </row>
    <row r="1719">
      <c r="H1719" s="48"/>
      <c r="I1719" s="38"/>
      <c r="J1719" s="38"/>
      <c r="K1719" s="38"/>
      <c r="M1719" s="87"/>
      <c r="N1719" s="38"/>
      <c r="Q1719" s="38"/>
    </row>
    <row r="1720">
      <c r="H1720" s="48"/>
      <c r="I1720" s="38"/>
      <c r="J1720" s="38"/>
      <c r="K1720" s="38"/>
      <c r="M1720" s="87"/>
      <c r="N1720" s="38"/>
      <c r="Q1720" s="38"/>
    </row>
    <row r="1721">
      <c r="H1721" s="48"/>
      <c r="I1721" s="38"/>
      <c r="J1721" s="38"/>
      <c r="K1721" s="38"/>
      <c r="M1721" s="87"/>
      <c r="N1721" s="38"/>
      <c r="Q1721" s="38"/>
    </row>
    <row r="1722">
      <c r="H1722" s="48"/>
      <c r="I1722" s="38"/>
      <c r="J1722" s="38"/>
      <c r="K1722" s="38"/>
      <c r="M1722" s="87"/>
      <c r="N1722" s="38"/>
      <c r="Q1722" s="38"/>
    </row>
    <row r="1723">
      <c r="H1723" s="48"/>
      <c r="I1723" s="38"/>
      <c r="J1723" s="38"/>
      <c r="K1723" s="38"/>
      <c r="M1723" s="87"/>
      <c r="N1723" s="38"/>
      <c r="Q1723" s="38"/>
    </row>
    <row r="1724">
      <c r="H1724" s="48"/>
      <c r="I1724" s="38"/>
      <c r="J1724" s="38"/>
      <c r="K1724" s="38"/>
      <c r="M1724" s="87"/>
      <c r="N1724" s="38"/>
      <c r="Q1724" s="38"/>
    </row>
    <row r="1725">
      <c r="H1725" s="48"/>
      <c r="I1725" s="38"/>
      <c r="J1725" s="38"/>
      <c r="K1725" s="38"/>
      <c r="M1725" s="87"/>
      <c r="N1725" s="38"/>
      <c r="Q1725" s="38"/>
    </row>
    <row r="1726">
      <c r="H1726" s="48"/>
      <c r="I1726" s="38"/>
      <c r="J1726" s="38"/>
      <c r="K1726" s="38"/>
      <c r="M1726" s="87"/>
      <c r="N1726" s="38"/>
      <c r="Q1726" s="38"/>
    </row>
    <row r="1727">
      <c r="H1727" s="48"/>
      <c r="I1727" s="38"/>
      <c r="J1727" s="38"/>
      <c r="K1727" s="38"/>
      <c r="M1727" s="87"/>
      <c r="N1727" s="38"/>
      <c r="Q1727" s="38"/>
    </row>
    <row r="1728">
      <c r="H1728" s="48"/>
      <c r="I1728" s="38"/>
      <c r="J1728" s="38"/>
      <c r="K1728" s="38"/>
      <c r="M1728" s="87"/>
      <c r="N1728" s="38"/>
      <c r="Q1728" s="38"/>
    </row>
    <row r="1729">
      <c r="H1729" s="48"/>
      <c r="I1729" s="38"/>
      <c r="J1729" s="38"/>
      <c r="K1729" s="38"/>
      <c r="M1729" s="87"/>
      <c r="N1729" s="38"/>
      <c r="Q1729" s="38"/>
    </row>
    <row r="1730">
      <c r="H1730" s="48"/>
      <c r="I1730" s="38"/>
      <c r="J1730" s="38"/>
      <c r="K1730" s="38"/>
      <c r="M1730" s="87"/>
      <c r="N1730" s="38"/>
      <c r="Q1730" s="38"/>
    </row>
    <row r="1731">
      <c r="H1731" s="48"/>
      <c r="I1731" s="38"/>
      <c r="J1731" s="38"/>
      <c r="K1731" s="38"/>
      <c r="M1731" s="87"/>
      <c r="N1731" s="38"/>
      <c r="Q1731" s="38"/>
    </row>
    <row r="1732">
      <c r="H1732" s="48"/>
      <c r="I1732" s="38"/>
      <c r="J1732" s="38"/>
      <c r="K1732" s="38"/>
      <c r="M1732" s="87"/>
      <c r="N1732" s="38"/>
      <c r="Q1732" s="38"/>
    </row>
    <row r="1733">
      <c r="H1733" s="48"/>
      <c r="I1733" s="38"/>
      <c r="J1733" s="38"/>
      <c r="K1733" s="38"/>
      <c r="M1733" s="87"/>
      <c r="N1733" s="38"/>
      <c r="Q1733" s="38"/>
    </row>
    <row r="1734">
      <c r="H1734" s="48"/>
      <c r="I1734" s="38"/>
      <c r="J1734" s="38"/>
      <c r="K1734" s="38"/>
      <c r="M1734" s="87"/>
      <c r="N1734" s="38"/>
      <c r="Q1734" s="38"/>
    </row>
    <row r="1735">
      <c r="H1735" s="48"/>
      <c r="I1735" s="38"/>
      <c r="J1735" s="38"/>
      <c r="K1735" s="38"/>
      <c r="M1735" s="87"/>
      <c r="N1735" s="38"/>
      <c r="Q1735" s="38"/>
    </row>
    <row r="1736">
      <c r="H1736" s="48"/>
      <c r="I1736" s="38"/>
      <c r="J1736" s="38"/>
      <c r="K1736" s="38"/>
      <c r="M1736" s="87"/>
      <c r="N1736" s="38"/>
      <c r="Q1736" s="38"/>
    </row>
    <row r="1737">
      <c r="H1737" s="48"/>
      <c r="I1737" s="38"/>
      <c r="J1737" s="38"/>
      <c r="K1737" s="38"/>
      <c r="M1737" s="87"/>
      <c r="N1737" s="38"/>
      <c r="Q1737" s="38"/>
    </row>
    <row r="1738">
      <c r="H1738" s="48"/>
      <c r="I1738" s="38"/>
      <c r="J1738" s="38"/>
      <c r="K1738" s="38"/>
      <c r="M1738" s="87"/>
      <c r="N1738" s="38"/>
      <c r="Q1738" s="38"/>
    </row>
    <row r="1739">
      <c r="H1739" s="48"/>
      <c r="I1739" s="38"/>
      <c r="J1739" s="38"/>
      <c r="K1739" s="38"/>
      <c r="M1739" s="87"/>
      <c r="N1739" s="38"/>
      <c r="Q1739" s="38"/>
    </row>
    <row r="1740">
      <c r="H1740" s="48"/>
      <c r="I1740" s="38"/>
      <c r="J1740" s="38"/>
      <c r="K1740" s="38"/>
      <c r="M1740" s="87"/>
      <c r="N1740" s="38"/>
      <c r="Q1740" s="38"/>
    </row>
    <row r="1741">
      <c r="H1741" s="48"/>
      <c r="I1741" s="38"/>
      <c r="J1741" s="38"/>
      <c r="K1741" s="38"/>
      <c r="M1741" s="87"/>
      <c r="N1741" s="38"/>
      <c r="Q1741" s="38"/>
    </row>
    <row r="1742">
      <c r="H1742" s="48"/>
      <c r="I1742" s="38"/>
      <c r="J1742" s="38"/>
      <c r="K1742" s="38"/>
      <c r="M1742" s="87"/>
      <c r="N1742" s="38"/>
      <c r="Q1742" s="38"/>
    </row>
    <row r="1743">
      <c r="H1743" s="48"/>
      <c r="I1743" s="38"/>
      <c r="J1743" s="38"/>
      <c r="K1743" s="38"/>
      <c r="M1743" s="87"/>
      <c r="N1743" s="38"/>
      <c r="Q1743" s="38"/>
    </row>
    <row r="1744">
      <c r="H1744" s="48"/>
      <c r="I1744" s="38"/>
      <c r="J1744" s="38"/>
      <c r="K1744" s="38"/>
      <c r="M1744" s="87"/>
      <c r="N1744" s="38"/>
      <c r="Q1744" s="38"/>
    </row>
    <row r="1745">
      <c r="H1745" s="48"/>
      <c r="I1745" s="38"/>
      <c r="J1745" s="38"/>
      <c r="K1745" s="38"/>
      <c r="M1745" s="87"/>
      <c r="N1745" s="38"/>
      <c r="Q1745" s="38"/>
    </row>
    <row r="1746">
      <c r="H1746" s="48"/>
      <c r="I1746" s="38"/>
      <c r="J1746" s="38"/>
      <c r="K1746" s="38"/>
      <c r="M1746" s="87"/>
      <c r="N1746" s="38"/>
      <c r="Q1746" s="38"/>
    </row>
    <row r="1747">
      <c r="H1747" s="48"/>
      <c r="I1747" s="38"/>
      <c r="J1747" s="38"/>
      <c r="K1747" s="38"/>
      <c r="M1747" s="87"/>
      <c r="N1747" s="38"/>
      <c r="Q1747" s="38"/>
    </row>
    <row r="1748">
      <c r="H1748" s="48"/>
      <c r="I1748" s="38"/>
      <c r="J1748" s="38"/>
      <c r="K1748" s="38"/>
      <c r="M1748" s="87"/>
      <c r="N1748" s="38"/>
      <c r="Q1748" s="38"/>
    </row>
    <row r="1749">
      <c r="H1749" s="48"/>
      <c r="I1749" s="38"/>
      <c r="J1749" s="38"/>
      <c r="K1749" s="38"/>
      <c r="M1749" s="87"/>
      <c r="N1749" s="38"/>
      <c r="Q1749" s="38"/>
    </row>
    <row r="1750">
      <c r="H1750" s="48"/>
      <c r="I1750" s="38"/>
      <c r="J1750" s="38"/>
      <c r="K1750" s="38"/>
      <c r="M1750" s="87"/>
      <c r="N1750" s="38"/>
      <c r="Q1750" s="38"/>
    </row>
    <row r="1751">
      <c r="H1751" s="48"/>
      <c r="I1751" s="38"/>
      <c r="J1751" s="38"/>
      <c r="K1751" s="38"/>
      <c r="M1751" s="87"/>
      <c r="N1751" s="38"/>
      <c r="Q1751" s="38"/>
    </row>
    <row r="1752">
      <c r="H1752" s="48"/>
      <c r="I1752" s="38"/>
      <c r="J1752" s="38"/>
      <c r="K1752" s="38"/>
      <c r="M1752" s="87"/>
      <c r="N1752" s="38"/>
      <c r="Q1752" s="38"/>
    </row>
    <row r="1753">
      <c r="H1753" s="48"/>
      <c r="I1753" s="38"/>
      <c r="J1753" s="38"/>
      <c r="K1753" s="38"/>
      <c r="M1753" s="87"/>
      <c r="N1753" s="38"/>
      <c r="Q1753" s="38"/>
    </row>
    <row r="1754">
      <c r="H1754" s="48"/>
      <c r="I1754" s="38"/>
      <c r="J1754" s="38"/>
      <c r="K1754" s="38"/>
      <c r="M1754" s="87"/>
      <c r="N1754" s="38"/>
      <c r="Q1754" s="38"/>
    </row>
    <row r="1755">
      <c r="H1755" s="48"/>
      <c r="I1755" s="38"/>
      <c r="J1755" s="38"/>
      <c r="K1755" s="38"/>
      <c r="M1755" s="87"/>
      <c r="N1755" s="38"/>
      <c r="Q1755" s="38"/>
    </row>
    <row r="1756">
      <c r="H1756" s="48"/>
      <c r="I1756" s="38"/>
      <c r="J1756" s="38"/>
      <c r="K1756" s="38"/>
      <c r="M1756" s="87"/>
      <c r="N1756" s="38"/>
      <c r="Q1756" s="38"/>
    </row>
    <row r="1757">
      <c r="H1757" s="48"/>
      <c r="I1757" s="38"/>
      <c r="J1757" s="38"/>
      <c r="K1757" s="38"/>
      <c r="M1757" s="87"/>
      <c r="N1757" s="38"/>
      <c r="Q1757" s="38"/>
    </row>
    <row r="1758">
      <c r="H1758" s="48"/>
      <c r="I1758" s="38"/>
      <c r="J1758" s="38"/>
      <c r="K1758" s="38"/>
      <c r="M1758" s="87"/>
      <c r="N1758" s="38"/>
      <c r="Q1758" s="38"/>
    </row>
    <row r="1759">
      <c r="H1759" s="48"/>
      <c r="I1759" s="38"/>
      <c r="J1759" s="38"/>
      <c r="K1759" s="38"/>
      <c r="M1759" s="87"/>
      <c r="N1759" s="38"/>
      <c r="Q1759" s="38"/>
    </row>
    <row r="1760">
      <c r="H1760" s="48"/>
      <c r="I1760" s="38"/>
      <c r="J1760" s="38"/>
      <c r="K1760" s="38"/>
      <c r="M1760" s="87"/>
      <c r="N1760" s="38"/>
      <c r="Q1760" s="38"/>
    </row>
    <row r="1761">
      <c r="H1761" s="48"/>
      <c r="I1761" s="38"/>
      <c r="J1761" s="38"/>
      <c r="K1761" s="38"/>
      <c r="M1761" s="87"/>
      <c r="N1761" s="38"/>
      <c r="Q1761" s="38"/>
    </row>
    <row r="1762">
      <c r="H1762" s="48"/>
      <c r="I1762" s="38"/>
      <c r="J1762" s="38"/>
      <c r="K1762" s="38"/>
      <c r="M1762" s="87"/>
      <c r="N1762" s="38"/>
      <c r="Q1762" s="38"/>
    </row>
    <row r="1763">
      <c r="H1763" s="48"/>
      <c r="I1763" s="38"/>
      <c r="J1763" s="38"/>
      <c r="K1763" s="38"/>
      <c r="M1763" s="87"/>
      <c r="N1763" s="38"/>
      <c r="Q1763" s="38"/>
    </row>
    <row r="1764">
      <c r="H1764" s="48"/>
      <c r="I1764" s="38"/>
      <c r="J1764" s="38"/>
      <c r="K1764" s="38"/>
      <c r="M1764" s="87"/>
      <c r="N1764" s="38"/>
      <c r="Q1764" s="38"/>
    </row>
    <row r="1765">
      <c r="H1765" s="48"/>
      <c r="I1765" s="38"/>
      <c r="J1765" s="38"/>
      <c r="K1765" s="38"/>
      <c r="M1765" s="87"/>
      <c r="N1765" s="38"/>
      <c r="Q1765" s="38"/>
    </row>
    <row r="1766">
      <c r="H1766" s="48"/>
      <c r="I1766" s="38"/>
      <c r="J1766" s="38"/>
      <c r="K1766" s="38"/>
      <c r="M1766" s="87"/>
      <c r="N1766" s="38"/>
      <c r="Q1766" s="38"/>
    </row>
    <row r="1767">
      <c r="H1767" s="48"/>
      <c r="I1767" s="38"/>
      <c r="J1767" s="38"/>
      <c r="K1767" s="38"/>
      <c r="M1767" s="87"/>
      <c r="N1767" s="38"/>
      <c r="Q1767" s="38"/>
    </row>
    <row r="1768">
      <c r="H1768" s="48"/>
      <c r="I1768" s="38"/>
      <c r="J1768" s="38"/>
      <c r="K1768" s="38"/>
      <c r="M1768" s="87"/>
      <c r="N1768" s="38"/>
      <c r="Q1768" s="38"/>
    </row>
    <row r="1769">
      <c r="H1769" s="48"/>
      <c r="I1769" s="38"/>
      <c r="J1769" s="38"/>
      <c r="K1769" s="38"/>
      <c r="M1769" s="87"/>
      <c r="N1769" s="38"/>
      <c r="Q1769" s="38"/>
    </row>
    <row r="1770">
      <c r="H1770" s="48"/>
      <c r="I1770" s="38"/>
      <c r="J1770" s="38"/>
      <c r="K1770" s="38"/>
      <c r="M1770" s="87"/>
      <c r="N1770" s="38"/>
      <c r="Q1770" s="38"/>
    </row>
    <row r="1771">
      <c r="H1771" s="48"/>
      <c r="I1771" s="38"/>
      <c r="J1771" s="38"/>
      <c r="K1771" s="38"/>
      <c r="M1771" s="87"/>
      <c r="N1771" s="38"/>
      <c r="Q1771" s="38"/>
    </row>
    <row r="1772">
      <c r="H1772" s="48"/>
      <c r="I1772" s="38"/>
      <c r="J1772" s="38"/>
      <c r="K1772" s="38"/>
      <c r="M1772" s="87"/>
      <c r="N1772" s="38"/>
      <c r="Q1772" s="38"/>
    </row>
    <row r="1773">
      <c r="H1773" s="48"/>
      <c r="I1773" s="38"/>
      <c r="J1773" s="38"/>
      <c r="K1773" s="38"/>
      <c r="M1773" s="87"/>
      <c r="N1773" s="38"/>
      <c r="Q1773" s="38"/>
    </row>
    <row r="1774">
      <c r="H1774" s="48"/>
      <c r="I1774" s="38"/>
      <c r="J1774" s="38"/>
      <c r="K1774" s="38"/>
      <c r="M1774" s="87"/>
      <c r="N1774" s="38"/>
      <c r="Q1774" s="38"/>
    </row>
    <row r="1775">
      <c r="H1775" s="48"/>
      <c r="I1775" s="38"/>
      <c r="J1775" s="38"/>
      <c r="K1775" s="38"/>
      <c r="M1775" s="87"/>
      <c r="N1775" s="38"/>
      <c r="Q1775" s="38"/>
    </row>
    <row r="1776">
      <c r="H1776" s="48"/>
      <c r="I1776" s="38"/>
      <c r="J1776" s="38"/>
      <c r="K1776" s="38"/>
      <c r="M1776" s="87"/>
      <c r="N1776" s="38"/>
      <c r="Q1776" s="38"/>
    </row>
    <row r="1777">
      <c r="H1777" s="48"/>
      <c r="I1777" s="38"/>
      <c r="J1777" s="38"/>
      <c r="K1777" s="38"/>
      <c r="M1777" s="87"/>
      <c r="N1777" s="38"/>
      <c r="Q1777" s="38"/>
    </row>
    <row r="1778">
      <c r="H1778" s="48"/>
      <c r="I1778" s="38"/>
      <c r="J1778" s="38"/>
      <c r="K1778" s="38"/>
      <c r="M1778" s="87"/>
      <c r="N1778" s="38"/>
      <c r="Q1778" s="38"/>
    </row>
    <row r="1779">
      <c r="H1779" s="48"/>
      <c r="I1779" s="38"/>
      <c r="J1779" s="38"/>
      <c r="K1779" s="38"/>
      <c r="M1779" s="87"/>
      <c r="N1779" s="38"/>
      <c r="Q1779" s="38"/>
    </row>
    <row r="1780">
      <c r="H1780" s="48"/>
      <c r="I1780" s="38"/>
      <c r="J1780" s="38"/>
      <c r="K1780" s="38"/>
      <c r="M1780" s="87"/>
      <c r="N1780" s="38"/>
      <c r="Q1780" s="38"/>
    </row>
    <row r="1781">
      <c r="H1781" s="48"/>
      <c r="I1781" s="38"/>
      <c r="J1781" s="38"/>
      <c r="K1781" s="38"/>
      <c r="M1781" s="87"/>
      <c r="N1781" s="38"/>
      <c r="Q1781" s="38"/>
    </row>
    <row r="1782">
      <c r="H1782" s="48"/>
      <c r="I1782" s="38"/>
      <c r="J1782" s="38"/>
      <c r="K1782" s="38"/>
      <c r="M1782" s="87"/>
      <c r="N1782" s="38"/>
      <c r="Q1782" s="38"/>
    </row>
    <row r="1783">
      <c r="H1783" s="48"/>
      <c r="I1783" s="38"/>
      <c r="J1783" s="38"/>
      <c r="K1783" s="38"/>
      <c r="M1783" s="87"/>
      <c r="N1783" s="38"/>
      <c r="Q1783" s="38"/>
    </row>
    <row r="1784">
      <c r="H1784" s="48"/>
      <c r="I1784" s="38"/>
      <c r="J1784" s="38"/>
      <c r="K1784" s="38"/>
      <c r="M1784" s="87"/>
      <c r="N1784" s="38"/>
      <c r="Q1784" s="38"/>
    </row>
    <row r="1785">
      <c r="H1785" s="48"/>
      <c r="I1785" s="38"/>
      <c r="J1785" s="38"/>
      <c r="K1785" s="38"/>
      <c r="M1785" s="87"/>
      <c r="N1785" s="38"/>
      <c r="Q1785" s="38"/>
    </row>
    <row r="1786">
      <c r="H1786" s="48"/>
      <c r="I1786" s="38"/>
      <c r="J1786" s="38"/>
      <c r="K1786" s="38"/>
      <c r="M1786" s="87"/>
      <c r="N1786" s="38"/>
      <c r="Q1786" s="38"/>
    </row>
    <row r="1787">
      <c r="H1787" s="48"/>
      <c r="I1787" s="38"/>
      <c r="J1787" s="38"/>
      <c r="K1787" s="38"/>
      <c r="M1787" s="87"/>
      <c r="N1787" s="38"/>
      <c r="Q1787" s="38"/>
    </row>
    <row r="1788">
      <c r="H1788" s="48"/>
      <c r="I1788" s="38"/>
      <c r="J1788" s="38"/>
      <c r="K1788" s="38"/>
      <c r="M1788" s="87"/>
      <c r="N1788" s="38"/>
      <c r="Q1788" s="38"/>
    </row>
    <row r="1789">
      <c r="H1789" s="48"/>
      <c r="I1789" s="38"/>
      <c r="J1789" s="38"/>
      <c r="K1789" s="38"/>
      <c r="M1789" s="87"/>
      <c r="N1789" s="38"/>
      <c r="Q1789" s="38"/>
    </row>
    <row r="1790">
      <c r="H1790" s="48"/>
      <c r="I1790" s="38"/>
      <c r="J1790" s="38"/>
      <c r="K1790" s="38"/>
      <c r="M1790" s="87"/>
      <c r="N1790" s="38"/>
      <c r="Q1790" s="38"/>
    </row>
    <row r="1791">
      <c r="H1791" s="48"/>
      <c r="I1791" s="38"/>
      <c r="J1791" s="38"/>
      <c r="K1791" s="38"/>
      <c r="M1791" s="87"/>
      <c r="N1791" s="38"/>
      <c r="Q1791" s="38"/>
    </row>
    <row r="1792">
      <c r="H1792" s="48"/>
      <c r="I1792" s="38"/>
      <c r="J1792" s="38"/>
      <c r="K1792" s="38"/>
      <c r="M1792" s="87"/>
      <c r="N1792" s="38"/>
      <c r="Q1792" s="38"/>
    </row>
    <row r="1793">
      <c r="H1793" s="48"/>
      <c r="I1793" s="38"/>
      <c r="J1793" s="38"/>
      <c r="K1793" s="38"/>
      <c r="M1793" s="87"/>
      <c r="N1793" s="38"/>
      <c r="Q1793" s="38"/>
    </row>
    <row r="1794">
      <c r="H1794" s="48"/>
      <c r="I1794" s="38"/>
      <c r="J1794" s="38"/>
      <c r="K1794" s="38"/>
      <c r="M1794" s="87"/>
      <c r="N1794" s="38"/>
      <c r="Q1794" s="38"/>
    </row>
    <row r="1795">
      <c r="H1795" s="48"/>
      <c r="I1795" s="38"/>
      <c r="J1795" s="38"/>
      <c r="K1795" s="38"/>
      <c r="M1795" s="87"/>
      <c r="N1795" s="38"/>
      <c r="Q1795" s="38"/>
    </row>
    <row r="1796">
      <c r="H1796" s="48"/>
      <c r="I1796" s="38"/>
      <c r="J1796" s="38"/>
      <c r="K1796" s="38"/>
      <c r="M1796" s="87"/>
      <c r="N1796" s="38"/>
      <c r="Q1796" s="38"/>
    </row>
    <row r="1797">
      <c r="H1797" s="48"/>
      <c r="I1797" s="38"/>
      <c r="J1797" s="38"/>
      <c r="K1797" s="38"/>
      <c r="M1797" s="87"/>
      <c r="N1797" s="38"/>
      <c r="Q1797" s="38"/>
    </row>
    <row r="1798">
      <c r="H1798" s="48"/>
      <c r="I1798" s="38"/>
      <c r="J1798" s="38"/>
      <c r="K1798" s="38"/>
      <c r="M1798" s="87"/>
      <c r="N1798" s="38"/>
      <c r="Q1798" s="38"/>
    </row>
    <row r="1799">
      <c r="H1799" s="48"/>
      <c r="I1799" s="38"/>
      <c r="J1799" s="38"/>
      <c r="K1799" s="38"/>
      <c r="M1799" s="87"/>
      <c r="N1799" s="38"/>
      <c r="Q1799" s="38"/>
    </row>
    <row r="1800">
      <c r="H1800" s="48"/>
      <c r="I1800" s="38"/>
      <c r="J1800" s="38"/>
      <c r="K1800" s="38"/>
      <c r="M1800" s="87"/>
      <c r="N1800" s="38"/>
      <c r="Q1800" s="38"/>
    </row>
    <row r="1801">
      <c r="H1801" s="48"/>
      <c r="I1801" s="38"/>
      <c r="J1801" s="38"/>
      <c r="K1801" s="38"/>
      <c r="M1801" s="87"/>
      <c r="N1801" s="38"/>
      <c r="Q1801" s="38"/>
    </row>
    <row r="1802">
      <c r="H1802" s="48"/>
      <c r="I1802" s="38"/>
      <c r="J1802" s="38"/>
      <c r="K1802" s="38"/>
      <c r="M1802" s="87"/>
      <c r="N1802" s="38"/>
      <c r="Q1802" s="38"/>
    </row>
    <row r="1803">
      <c r="H1803" s="48"/>
      <c r="I1803" s="38"/>
      <c r="J1803" s="38"/>
      <c r="K1803" s="38"/>
      <c r="M1803" s="87"/>
      <c r="N1803" s="38"/>
      <c r="Q1803" s="38"/>
    </row>
    <row r="1804">
      <c r="H1804" s="48"/>
      <c r="I1804" s="38"/>
      <c r="J1804" s="38"/>
      <c r="K1804" s="38"/>
      <c r="M1804" s="87"/>
      <c r="N1804" s="38"/>
      <c r="Q1804" s="38"/>
    </row>
    <row r="1805">
      <c r="H1805" s="48"/>
      <c r="I1805" s="38"/>
      <c r="J1805" s="38"/>
      <c r="K1805" s="38"/>
      <c r="M1805" s="87"/>
      <c r="N1805" s="38"/>
      <c r="Q1805" s="38"/>
    </row>
    <row r="1806">
      <c r="H1806" s="48"/>
      <c r="I1806" s="38"/>
      <c r="J1806" s="38"/>
      <c r="K1806" s="38"/>
      <c r="M1806" s="87"/>
      <c r="N1806" s="38"/>
      <c r="Q1806" s="38"/>
    </row>
    <row r="1807">
      <c r="H1807" s="48"/>
      <c r="I1807" s="38"/>
      <c r="J1807" s="38"/>
      <c r="K1807" s="38"/>
      <c r="M1807" s="87"/>
      <c r="N1807" s="38"/>
      <c r="Q1807" s="38"/>
    </row>
    <row r="1808">
      <c r="H1808" s="48"/>
      <c r="I1808" s="38"/>
      <c r="J1808" s="38"/>
      <c r="K1808" s="38"/>
      <c r="M1808" s="87"/>
      <c r="N1808" s="38"/>
      <c r="Q1808" s="38"/>
    </row>
    <row r="1809">
      <c r="H1809" s="48"/>
      <c r="I1809" s="38"/>
      <c r="J1809" s="38"/>
      <c r="K1809" s="38"/>
      <c r="M1809" s="87"/>
      <c r="N1809" s="38"/>
      <c r="Q1809" s="38"/>
    </row>
    <row r="1810">
      <c r="H1810" s="48"/>
      <c r="I1810" s="38"/>
      <c r="J1810" s="38"/>
      <c r="K1810" s="38"/>
      <c r="M1810" s="87"/>
      <c r="N1810" s="38"/>
      <c r="Q1810" s="38"/>
    </row>
    <row r="1811">
      <c r="H1811" s="48"/>
      <c r="I1811" s="38"/>
      <c r="J1811" s="38"/>
      <c r="K1811" s="38"/>
      <c r="M1811" s="87"/>
      <c r="N1811" s="38"/>
      <c r="Q1811" s="38"/>
    </row>
    <row r="1812">
      <c r="H1812" s="48"/>
      <c r="I1812" s="38"/>
      <c r="J1812" s="38"/>
      <c r="K1812" s="38"/>
      <c r="M1812" s="87"/>
      <c r="N1812" s="38"/>
      <c r="Q1812" s="38"/>
    </row>
    <row r="1813">
      <c r="H1813" s="48"/>
      <c r="I1813" s="38"/>
      <c r="J1813" s="38"/>
      <c r="K1813" s="38"/>
      <c r="M1813" s="87"/>
      <c r="N1813" s="38"/>
      <c r="Q1813" s="38"/>
    </row>
    <row r="1814">
      <c r="H1814" s="48"/>
      <c r="I1814" s="38"/>
      <c r="J1814" s="38"/>
      <c r="K1814" s="38"/>
      <c r="M1814" s="87"/>
      <c r="N1814" s="38"/>
      <c r="Q1814" s="38"/>
    </row>
    <row r="1815">
      <c r="H1815" s="48"/>
      <c r="I1815" s="38"/>
      <c r="J1815" s="38"/>
      <c r="K1815" s="38"/>
      <c r="M1815" s="87"/>
      <c r="N1815" s="38"/>
      <c r="Q1815" s="38"/>
    </row>
    <row r="1816">
      <c r="H1816" s="48"/>
      <c r="I1816" s="38"/>
      <c r="J1816" s="38"/>
      <c r="K1816" s="38"/>
      <c r="M1816" s="87"/>
      <c r="N1816" s="38"/>
      <c r="Q1816" s="38"/>
    </row>
    <row r="1817">
      <c r="H1817" s="48"/>
      <c r="I1817" s="38"/>
      <c r="J1817" s="38"/>
      <c r="K1817" s="38"/>
      <c r="M1817" s="87"/>
      <c r="N1817" s="38"/>
      <c r="Q1817" s="38"/>
    </row>
    <row r="1818">
      <c r="H1818" s="48"/>
      <c r="I1818" s="38"/>
      <c r="J1818" s="38"/>
      <c r="K1818" s="38"/>
      <c r="M1818" s="87"/>
      <c r="N1818" s="38"/>
      <c r="Q1818" s="38"/>
    </row>
    <row r="1819">
      <c r="H1819" s="48"/>
      <c r="I1819" s="38"/>
      <c r="J1819" s="38"/>
      <c r="K1819" s="38"/>
      <c r="M1819" s="87"/>
      <c r="N1819" s="38"/>
      <c r="Q1819" s="38"/>
    </row>
    <row r="1820">
      <c r="H1820" s="48"/>
      <c r="I1820" s="38"/>
      <c r="J1820" s="38"/>
      <c r="K1820" s="38"/>
      <c r="M1820" s="87"/>
      <c r="N1820" s="38"/>
      <c r="Q1820" s="38"/>
    </row>
    <row r="1821">
      <c r="H1821" s="48"/>
      <c r="I1821" s="38"/>
      <c r="J1821" s="38"/>
      <c r="K1821" s="38"/>
      <c r="M1821" s="87"/>
      <c r="N1821" s="38"/>
      <c r="Q1821" s="38"/>
    </row>
    <row r="1822">
      <c r="H1822" s="48"/>
      <c r="I1822" s="38"/>
      <c r="J1822" s="38"/>
      <c r="K1822" s="38"/>
      <c r="M1822" s="87"/>
      <c r="N1822" s="38"/>
      <c r="Q1822" s="38"/>
    </row>
    <row r="1823">
      <c r="H1823" s="48"/>
      <c r="I1823" s="38"/>
      <c r="J1823" s="38"/>
      <c r="K1823" s="38"/>
      <c r="M1823" s="87"/>
      <c r="N1823" s="38"/>
      <c r="Q1823" s="38"/>
    </row>
    <row r="1824">
      <c r="H1824" s="48"/>
      <c r="I1824" s="38"/>
      <c r="J1824" s="38"/>
      <c r="K1824" s="38"/>
      <c r="M1824" s="87"/>
      <c r="N1824" s="38"/>
      <c r="Q1824" s="38"/>
    </row>
    <row r="1825">
      <c r="H1825" s="48"/>
      <c r="I1825" s="38"/>
      <c r="J1825" s="38"/>
      <c r="K1825" s="38"/>
      <c r="M1825" s="87"/>
      <c r="N1825" s="38"/>
      <c r="Q1825" s="38"/>
    </row>
    <row r="1826">
      <c r="H1826" s="48"/>
      <c r="I1826" s="38"/>
      <c r="J1826" s="38"/>
      <c r="K1826" s="38"/>
      <c r="M1826" s="87"/>
      <c r="N1826" s="38"/>
      <c r="Q1826" s="38"/>
    </row>
    <row r="1827">
      <c r="H1827" s="48"/>
      <c r="I1827" s="38"/>
      <c r="J1827" s="38"/>
      <c r="K1827" s="38"/>
      <c r="M1827" s="87"/>
      <c r="N1827" s="38"/>
      <c r="Q1827" s="38"/>
    </row>
    <row r="1828">
      <c r="H1828" s="48"/>
      <c r="I1828" s="38"/>
      <c r="J1828" s="38"/>
      <c r="K1828" s="38"/>
      <c r="M1828" s="87"/>
      <c r="N1828" s="38"/>
      <c r="Q1828" s="38"/>
    </row>
    <row r="1829">
      <c r="H1829" s="48"/>
      <c r="I1829" s="38"/>
      <c r="J1829" s="38"/>
      <c r="K1829" s="38"/>
      <c r="M1829" s="87"/>
      <c r="N1829" s="38"/>
      <c r="Q1829" s="38"/>
    </row>
    <row r="1830">
      <c r="H1830" s="48"/>
      <c r="I1830" s="38"/>
      <c r="J1830" s="38"/>
      <c r="K1830" s="38"/>
      <c r="M1830" s="87"/>
      <c r="N1830" s="38"/>
      <c r="Q1830" s="38"/>
    </row>
    <row r="1831">
      <c r="H1831" s="48"/>
      <c r="I1831" s="38"/>
      <c r="J1831" s="38"/>
      <c r="K1831" s="38"/>
      <c r="M1831" s="87"/>
      <c r="N1831" s="38"/>
      <c r="Q1831" s="38"/>
    </row>
  </sheetData>
  <conditionalFormatting sqref="H1:H1831 L1:L1831 M3">
    <cfRule type="cellIs" dxfId="0" priority="1" operator="lessThanOrEqual">
      <formula>0.8</formula>
    </cfRule>
  </conditionalFormatting>
  <conditionalFormatting sqref="H1:H1831 L1:L1831 M3">
    <cfRule type="cellIs" dxfId="1" priority="2" operator="lessThanOrEqual">
      <formula>0.95</formula>
    </cfRule>
  </conditionalFormatting>
  <conditionalFormatting sqref="H1:H1831 L1:L1831 M3">
    <cfRule type="cellIs" dxfId="2" priority="3" operator="lessThanOrEqual">
      <formula>1</formula>
    </cfRule>
  </conditionalFormatting>
  <conditionalFormatting sqref="M1:M1831">
    <cfRule type="cellIs" dxfId="0" priority="4" operator="lessThanOrEqual">
      <formula>0.8</formula>
    </cfRule>
  </conditionalFormatting>
  <conditionalFormatting sqref="M1:M1831">
    <cfRule type="cellIs" dxfId="1" priority="5" operator="lessThanOrEqual">
      <formula>0.95</formula>
    </cfRule>
  </conditionalFormatting>
  <conditionalFormatting sqref="M1:M1831">
    <cfRule type="cellIs" dxfId="2" priority="6" operator="lessThanOrEqual">
      <formula>1</formula>
    </cfRule>
  </conditionalFormatting>
  <conditionalFormatting sqref="Q1:Q1831">
    <cfRule type="cellIs" dxfId="3" priority="7" operator="lessThanOrEqual">
      <formula>0.8</formula>
    </cfRule>
  </conditionalFormatting>
  <conditionalFormatting sqref="Q1:Q1831">
    <cfRule type="cellIs" dxfId="1" priority="8" operator="lessThanOrEqual">
      <formula>0.95</formula>
    </cfRule>
  </conditionalFormatting>
  <conditionalFormatting sqref="Q1:Q1831">
    <cfRule type="cellIs" dxfId="2" priority="9" operator="lessThanOrEqual">
      <formula>1</formula>
    </cfRule>
  </conditionalFormatting>
  <dataValidations>
    <dataValidation type="list" allowBlank="1" showErrorMessage="1" sqref="O2">
      <formula1>category_country</formula1>
    </dataValidation>
    <dataValidation type="list" allowBlank="1" showErrorMessage="1" sqref="F2">
      <formula1>category_country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hidden="1" min="1" max="10" width="12.63"/>
  </cols>
  <sheetData>
    <row r="2">
      <c r="A2" s="46" t="str">
        <f>IFERROR(__xludf.DUMMYFUNCTION("QUERY('years and month чоровий'!A2:R1331,""select count(A), sum(I), sum(J), sum(K), sum(L), R group by R label count(A)'order_cnt', sum(I)'units_sold', sum(J)'revenue', sum(K)'cost', sum(L)'profit', R'month' "")"),"order_cnt")</f>
        <v>order_cnt</v>
      </c>
      <c r="B2" s="46" t="str">
        <f>IFERROR(__xludf.DUMMYFUNCTION("""COMPUTED_VALUE"""),"units_sold")</f>
        <v>units_sold</v>
      </c>
      <c r="C2" s="46" t="str">
        <f>IFERROR(__xludf.DUMMYFUNCTION("""COMPUTED_VALUE"""),"revenue")</f>
        <v>revenue</v>
      </c>
      <c r="D2" s="46" t="str">
        <f>IFERROR(__xludf.DUMMYFUNCTION("""COMPUTED_VALUE"""),"cost")</f>
        <v>cost</v>
      </c>
      <c r="E2" s="46" t="str">
        <f>IFERROR(__xludf.DUMMYFUNCTION("""COMPUTED_VALUE"""),"profit")</f>
        <v>profit</v>
      </c>
      <c r="F2" s="46" t="str">
        <f>IFERROR(__xludf.DUMMYFUNCTION("""COMPUTED_VALUE"""),"month")</f>
        <v>month</v>
      </c>
      <c r="G2" s="56" t="s">
        <v>44</v>
      </c>
      <c r="K2" s="56" t="s">
        <v>44</v>
      </c>
    </row>
    <row r="3">
      <c r="A3" s="46">
        <f>IFERROR(__xludf.DUMMYFUNCTION("""COMPUTED_VALUE"""),20.0)</f>
        <v>20</v>
      </c>
      <c r="B3" s="46">
        <f>IFERROR(__xludf.DUMMYFUNCTION("""COMPUTED_VALUE"""),110109.0)</f>
        <v>110109</v>
      </c>
      <c r="C3" s="46">
        <f>IFERROR(__xludf.DUMMYFUNCTION("""COMPUTED_VALUE"""),2.1115354479999997E7)</f>
        <v>21115354.48</v>
      </c>
      <c r="D3" s="46">
        <f>IFERROR(__xludf.DUMMYFUNCTION("""COMPUTED_VALUE"""),1.2547665469999999E7)</f>
        <v>12547665.47</v>
      </c>
      <c r="E3" s="46">
        <f>IFERROR(__xludf.DUMMYFUNCTION("""COMPUTED_VALUE"""),8567689.009999998)</f>
        <v>8567689.01</v>
      </c>
      <c r="F3" s="115">
        <f>IFERROR(__xludf.DUMMYFUNCTION("""COMPUTED_VALUE"""),40179.0)</f>
        <v>40179</v>
      </c>
      <c r="G3" s="46">
        <f t="shared" ref="G3:G93" si="1">YEAR(F3)</f>
        <v>2010</v>
      </c>
      <c r="H3" s="46" t="str">
        <f t="shared" ref="H3:H93" si="2">TEXT(F3,"mmmm")</f>
        <v>January</v>
      </c>
      <c r="K3" s="116" t="str">
        <f>IFERROR(__xludf.DUMMYFUNCTION("IF($K$2=$G$2, QUERY(years_month_list, ""select G, sum(A), sum(B),sum(C),sum(D),sum(E) group by G label sum(A)'order_cnt',sum(B)'units_sold',sum(C)'revenue', sum(D)'cost', sum(E)'profit'""), QUERY(years_month_list, ""select H,A,B,C,D,E label A'order_cnt', "&amp;"B'units_sold', C'revenue', D'cost', E'profit'""))"),"year")</f>
        <v>year</v>
      </c>
      <c r="L3" s="116" t="str">
        <f>IFERROR(__xludf.DUMMYFUNCTION("""COMPUTED_VALUE"""),"order_cnt")</f>
        <v>order_cnt</v>
      </c>
      <c r="M3" s="116" t="str">
        <f>IFERROR(__xludf.DUMMYFUNCTION("""COMPUTED_VALUE"""),"units_sold")</f>
        <v>units_sold</v>
      </c>
      <c r="N3" s="116" t="str">
        <f>IFERROR(__xludf.DUMMYFUNCTION("""COMPUTED_VALUE"""),"revenue")</f>
        <v>revenue</v>
      </c>
      <c r="O3" s="116" t="str">
        <f>IFERROR(__xludf.DUMMYFUNCTION("""COMPUTED_VALUE"""),"cost")</f>
        <v>cost</v>
      </c>
      <c r="P3" s="116" t="str">
        <f>IFERROR(__xludf.DUMMYFUNCTION("""COMPUTED_VALUE"""),"profit")</f>
        <v>profit</v>
      </c>
      <c r="Q3" s="117"/>
    </row>
    <row r="4">
      <c r="A4" s="46">
        <f>IFERROR(__xludf.DUMMYFUNCTION("""COMPUTED_VALUE"""),12.0)</f>
        <v>12</v>
      </c>
      <c r="B4" s="46">
        <f>IFERROR(__xludf.DUMMYFUNCTION("""COMPUTED_VALUE"""),68209.0)</f>
        <v>68209</v>
      </c>
      <c r="C4" s="46">
        <f>IFERROR(__xludf.DUMMYFUNCTION("""COMPUTED_VALUE"""),1.98530232E7)</f>
        <v>19853023.2</v>
      </c>
      <c r="D4" s="46">
        <f>IFERROR(__xludf.DUMMYFUNCTION("""COMPUTED_VALUE"""),1.554653813E7)</f>
        <v>15546538.13</v>
      </c>
      <c r="E4" s="46">
        <f>IFERROR(__xludf.DUMMYFUNCTION("""COMPUTED_VALUE"""),4306485.07)</f>
        <v>4306485.07</v>
      </c>
      <c r="F4" s="115">
        <f>IFERROR(__xludf.DUMMYFUNCTION("""COMPUTED_VALUE"""),40210.0)</f>
        <v>40210</v>
      </c>
      <c r="G4" s="46">
        <f t="shared" si="1"/>
        <v>2010</v>
      </c>
      <c r="H4" s="46" t="str">
        <f t="shared" si="2"/>
        <v>February</v>
      </c>
      <c r="K4" s="46">
        <f>IFERROR(__xludf.DUMMYFUNCTION("""COMPUTED_VALUE"""),2010.0)</f>
        <v>2010</v>
      </c>
      <c r="L4" s="46">
        <f>IFERROR(__xludf.DUMMYFUNCTION("""COMPUTED_VALUE"""),166.0)</f>
        <v>166</v>
      </c>
      <c r="M4" s="46">
        <f>IFERROR(__xludf.DUMMYFUNCTION("""COMPUTED_VALUE"""),843713.0)</f>
        <v>843713</v>
      </c>
      <c r="N4" s="46">
        <f>IFERROR(__xludf.DUMMYFUNCTION("""COMPUTED_VALUE"""),2.0938224739999998E8)</f>
        <v>209382247.4</v>
      </c>
      <c r="O4" s="46">
        <f>IFERROR(__xludf.DUMMYFUNCTION("""COMPUTED_VALUE"""),1.479597875E8)</f>
        <v>147959787.5</v>
      </c>
      <c r="P4" s="46">
        <f>IFERROR(__xludf.DUMMYFUNCTION("""COMPUTED_VALUE"""),6.142245989999999E7)</f>
        <v>61422459.9</v>
      </c>
    </row>
    <row r="5">
      <c r="A5" s="46">
        <f>IFERROR(__xludf.DUMMYFUNCTION("""COMPUTED_VALUE"""),11.0)</f>
        <v>11</v>
      </c>
      <c r="B5" s="46">
        <f>IFERROR(__xludf.DUMMYFUNCTION("""COMPUTED_VALUE"""),49618.0)</f>
        <v>49618</v>
      </c>
      <c r="C5" s="46">
        <f>IFERROR(__xludf.DUMMYFUNCTION("""COMPUTED_VALUE"""),8474747.19)</f>
        <v>8474747.19</v>
      </c>
      <c r="D5" s="46">
        <f>IFERROR(__xludf.DUMMYFUNCTION("""COMPUTED_VALUE"""),5381691.49)</f>
        <v>5381691.49</v>
      </c>
      <c r="E5" s="46">
        <f>IFERROR(__xludf.DUMMYFUNCTION("""COMPUTED_VALUE"""),3093055.6999999997)</f>
        <v>3093055.7</v>
      </c>
      <c r="F5" s="115">
        <f>IFERROR(__xludf.DUMMYFUNCTION("""COMPUTED_VALUE"""),40238.0)</f>
        <v>40238</v>
      </c>
      <c r="G5" s="46">
        <f t="shared" si="1"/>
        <v>2010</v>
      </c>
      <c r="H5" s="46" t="str">
        <f t="shared" si="2"/>
        <v>March</v>
      </c>
      <c r="K5" s="46">
        <f>IFERROR(__xludf.DUMMYFUNCTION("""COMPUTED_VALUE"""),2011.0)</f>
        <v>2011</v>
      </c>
      <c r="L5" s="46">
        <f>IFERROR(__xludf.DUMMYFUNCTION("""COMPUTED_VALUE"""),175.0)</f>
        <v>175</v>
      </c>
      <c r="M5" s="46">
        <f>IFERROR(__xludf.DUMMYFUNCTION("""COMPUTED_VALUE"""),906147.0)</f>
        <v>906147</v>
      </c>
      <c r="N5" s="46">
        <f>IFERROR(__xludf.DUMMYFUNCTION("""COMPUTED_VALUE"""),2.3193755667000002E8)</f>
        <v>231937556.7</v>
      </c>
      <c r="O5" s="46">
        <f>IFERROR(__xludf.DUMMYFUNCTION("""COMPUTED_VALUE"""),1.6289289694E8)</f>
        <v>162892896.9</v>
      </c>
      <c r="P5" s="46">
        <f>IFERROR(__xludf.DUMMYFUNCTION("""COMPUTED_VALUE"""),6.904465973E7)</f>
        <v>69044659.73</v>
      </c>
    </row>
    <row r="6">
      <c r="A6" s="46">
        <f>IFERROR(__xludf.DUMMYFUNCTION("""COMPUTED_VALUE"""),6.0)</f>
        <v>6</v>
      </c>
      <c r="B6" s="46">
        <f>IFERROR(__xludf.DUMMYFUNCTION("""COMPUTED_VALUE"""),34618.0)</f>
        <v>34618</v>
      </c>
      <c r="C6" s="46">
        <f>IFERROR(__xludf.DUMMYFUNCTION("""COMPUTED_VALUE"""),1.005801605E7)</f>
        <v>10058016.05</v>
      </c>
      <c r="D6" s="46">
        <f>IFERROR(__xludf.DUMMYFUNCTION("""COMPUTED_VALUE"""),7737626.2)</f>
        <v>7737626.2</v>
      </c>
      <c r="E6" s="46">
        <f>IFERROR(__xludf.DUMMYFUNCTION("""COMPUTED_VALUE"""),2320389.85)</f>
        <v>2320389.85</v>
      </c>
      <c r="F6" s="115">
        <f>IFERROR(__xludf.DUMMYFUNCTION("""COMPUTED_VALUE"""),40269.0)</f>
        <v>40269</v>
      </c>
      <c r="G6" s="46">
        <f t="shared" si="1"/>
        <v>2010</v>
      </c>
      <c r="H6" s="46" t="str">
        <f t="shared" si="2"/>
        <v>April</v>
      </c>
      <c r="K6" s="46">
        <f>IFERROR(__xludf.DUMMYFUNCTION("""COMPUTED_VALUE"""),2012.0)</f>
        <v>2012</v>
      </c>
      <c r="L6" s="46">
        <f>IFERROR(__xludf.DUMMYFUNCTION("""COMPUTED_VALUE"""),202.0)</f>
        <v>202</v>
      </c>
      <c r="M6" s="46">
        <f>IFERROR(__xludf.DUMMYFUNCTION("""COMPUTED_VALUE"""),1055249.0)</f>
        <v>1055249</v>
      </c>
      <c r="N6" s="46">
        <f>IFERROR(__xludf.DUMMYFUNCTION("""COMPUTED_VALUE"""),2.8548589176E8)</f>
        <v>285485891.8</v>
      </c>
      <c r="O6" s="46">
        <f>IFERROR(__xludf.DUMMYFUNCTION("""COMPUTED_VALUE"""),1.9760182532E8)</f>
        <v>197601825.3</v>
      </c>
      <c r="P6" s="46">
        <f>IFERROR(__xludf.DUMMYFUNCTION("""COMPUTED_VALUE"""),8.788406644E7)</f>
        <v>87884066.44</v>
      </c>
    </row>
    <row r="7">
      <c r="A7" s="46">
        <f>IFERROR(__xludf.DUMMYFUNCTION("""COMPUTED_VALUE"""),18.0)</f>
        <v>18</v>
      </c>
      <c r="B7" s="46">
        <f>IFERROR(__xludf.DUMMYFUNCTION("""COMPUTED_VALUE"""),95604.0)</f>
        <v>95604</v>
      </c>
      <c r="C7" s="46">
        <f>IFERROR(__xludf.DUMMYFUNCTION("""COMPUTED_VALUE"""),2.0304725589999996E7)</f>
        <v>20304725.59</v>
      </c>
      <c r="D7" s="46">
        <f>IFERROR(__xludf.DUMMYFUNCTION("""COMPUTED_VALUE"""),1.3649051730000002E7)</f>
        <v>13649051.73</v>
      </c>
      <c r="E7" s="46">
        <f>IFERROR(__xludf.DUMMYFUNCTION("""COMPUTED_VALUE"""),6655673.859999999)</f>
        <v>6655673.86</v>
      </c>
      <c r="F7" s="115">
        <f>IFERROR(__xludf.DUMMYFUNCTION("""COMPUTED_VALUE"""),40299.0)</f>
        <v>40299</v>
      </c>
      <c r="G7" s="46">
        <f t="shared" si="1"/>
        <v>2010</v>
      </c>
      <c r="H7" s="46" t="str">
        <f t="shared" si="2"/>
        <v>May</v>
      </c>
      <c r="K7" s="46">
        <f>IFERROR(__xludf.DUMMYFUNCTION("""COMPUTED_VALUE"""),2013.0)</f>
        <v>2013</v>
      </c>
      <c r="L7" s="46">
        <f>IFERROR(__xludf.DUMMYFUNCTION("""COMPUTED_VALUE"""),158.0)</f>
        <v>158</v>
      </c>
      <c r="M7" s="46">
        <f>IFERROR(__xludf.DUMMYFUNCTION("""COMPUTED_VALUE"""),770550.0)</f>
        <v>770550</v>
      </c>
      <c r="N7" s="46">
        <f>IFERROR(__xludf.DUMMYFUNCTION("""COMPUTED_VALUE"""),1.8296235927999997E8)</f>
        <v>182962359.3</v>
      </c>
      <c r="O7" s="46">
        <f>IFERROR(__xludf.DUMMYFUNCTION("""COMPUTED_VALUE"""),1.295743641E8)</f>
        <v>129574364.1</v>
      </c>
      <c r="P7" s="46">
        <f>IFERROR(__xludf.DUMMYFUNCTION("""COMPUTED_VALUE"""),5.338799518000001E7)</f>
        <v>53387995.18</v>
      </c>
    </row>
    <row r="8">
      <c r="A8" s="46">
        <f>IFERROR(__xludf.DUMMYFUNCTION("""COMPUTED_VALUE"""),15.0)</f>
        <v>15</v>
      </c>
      <c r="B8" s="46">
        <f>IFERROR(__xludf.DUMMYFUNCTION("""COMPUTED_VALUE"""),74569.0)</f>
        <v>74569</v>
      </c>
      <c r="C8" s="46">
        <f>IFERROR(__xludf.DUMMYFUNCTION("""COMPUTED_VALUE"""),2.5063003939999998E7)</f>
        <v>25063003.94</v>
      </c>
      <c r="D8" s="46">
        <f>IFERROR(__xludf.DUMMYFUNCTION("""COMPUTED_VALUE"""),1.839054275E7)</f>
        <v>18390542.75</v>
      </c>
      <c r="E8" s="46">
        <f>IFERROR(__xludf.DUMMYFUNCTION("""COMPUTED_VALUE"""),6672461.189999999)</f>
        <v>6672461.19</v>
      </c>
      <c r="F8" s="115">
        <f>IFERROR(__xludf.DUMMYFUNCTION("""COMPUTED_VALUE"""),40330.0)</f>
        <v>40330</v>
      </c>
      <c r="G8" s="46">
        <f t="shared" si="1"/>
        <v>2010</v>
      </c>
      <c r="H8" s="46" t="str">
        <f t="shared" si="2"/>
        <v>June</v>
      </c>
      <c r="K8" s="46">
        <f>IFERROR(__xludf.DUMMYFUNCTION("""COMPUTED_VALUE"""),2014.0)</f>
        <v>2014</v>
      </c>
      <c r="L8" s="46">
        <f>IFERROR(__xludf.DUMMYFUNCTION("""COMPUTED_VALUE"""),188.0)</f>
        <v>188</v>
      </c>
      <c r="M8" s="46">
        <f>IFERROR(__xludf.DUMMYFUNCTION("""COMPUTED_VALUE"""),914643.0)</f>
        <v>914643</v>
      </c>
      <c r="N8" s="46">
        <f>IFERROR(__xludf.DUMMYFUNCTION("""COMPUTED_VALUE"""),2.3878277129E8)</f>
        <v>238782771.3</v>
      </c>
      <c r="O8" s="46">
        <f>IFERROR(__xludf.DUMMYFUNCTION("""COMPUTED_VALUE"""),1.6718530060999998E8)</f>
        <v>167185300.6</v>
      </c>
      <c r="P8" s="46">
        <f>IFERROR(__xludf.DUMMYFUNCTION("""COMPUTED_VALUE"""),7.159747068E7)</f>
        <v>71597470.68</v>
      </c>
    </row>
    <row r="9">
      <c r="A9" s="46">
        <f>IFERROR(__xludf.DUMMYFUNCTION("""COMPUTED_VALUE"""),11.0)</f>
        <v>11</v>
      </c>
      <c r="B9" s="46">
        <f>IFERROR(__xludf.DUMMYFUNCTION("""COMPUTED_VALUE"""),64070.0)</f>
        <v>64070</v>
      </c>
      <c r="C9" s="46">
        <f>IFERROR(__xludf.DUMMYFUNCTION("""COMPUTED_VALUE"""),1.271013281E7)</f>
        <v>12710132.81</v>
      </c>
      <c r="D9" s="46">
        <f>IFERROR(__xludf.DUMMYFUNCTION("""COMPUTED_VALUE"""),8838697.88)</f>
        <v>8838697.88</v>
      </c>
      <c r="E9" s="46">
        <f>IFERROR(__xludf.DUMMYFUNCTION("""COMPUTED_VALUE"""),3871434.9299999997)</f>
        <v>3871434.93</v>
      </c>
      <c r="F9" s="115">
        <f>IFERROR(__xludf.DUMMYFUNCTION("""COMPUTED_VALUE"""),40360.0)</f>
        <v>40360</v>
      </c>
      <c r="G9" s="46">
        <f t="shared" si="1"/>
        <v>2010</v>
      </c>
      <c r="H9" s="46" t="str">
        <f t="shared" si="2"/>
        <v>July</v>
      </c>
      <c r="K9" s="46">
        <f>IFERROR(__xludf.DUMMYFUNCTION("""COMPUTED_VALUE"""),2015.0)</f>
        <v>2015</v>
      </c>
      <c r="L9" s="46">
        <f>IFERROR(__xludf.DUMMYFUNCTION("""COMPUTED_VALUE"""),160.0)</f>
        <v>160</v>
      </c>
      <c r="M9" s="46">
        <f>IFERROR(__xludf.DUMMYFUNCTION("""COMPUTED_VALUE"""),758689.0)</f>
        <v>758689</v>
      </c>
      <c r="N9" s="46">
        <f>IFERROR(__xludf.DUMMYFUNCTION("""COMPUTED_VALUE"""),2.2795409884000003E8)</f>
        <v>227954098.8</v>
      </c>
      <c r="O9" s="46">
        <f>IFERROR(__xludf.DUMMYFUNCTION("""COMPUTED_VALUE"""),1.6622005902E8)</f>
        <v>166220059</v>
      </c>
      <c r="P9" s="46">
        <f>IFERROR(__xludf.DUMMYFUNCTION("""COMPUTED_VALUE"""),6.173403982E7)</f>
        <v>61734039.82</v>
      </c>
    </row>
    <row r="10">
      <c r="A10" s="46">
        <f>IFERROR(__xludf.DUMMYFUNCTION("""COMPUTED_VALUE"""),12.0)</f>
        <v>12</v>
      </c>
      <c r="B10" s="46">
        <f>IFERROR(__xludf.DUMMYFUNCTION("""COMPUTED_VALUE"""),60065.0)</f>
        <v>60065</v>
      </c>
      <c r="C10" s="46">
        <f>IFERROR(__xludf.DUMMYFUNCTION("""COMPUTED_VALUE"""),1.235868984E7)</f>
        <v>12358689.84</v>
      </c>
      <c r="D10" s="46">
        <f>IFERROR(__xludf.DUMMYFUNCTION("""COMPUTED_VALUE"""),8359480.32)</f>
        <v>8359480.32</v>
      </c>
      <c r="E10" s="46">
        <f>IFERROR(__xludf.DUMMYFUNCTION("""COMPUTED_VALUE"""),3999209.52)</f>
        <v>3999209.52</v>
      </c>
      <c r="F10" s="115">
        <f>IFERROR(__xludf.DUMMYFUNCTION("""COMPUTED_VALUE"""),40391.0)</f>
        <v>40391</v>
      </c>
      <c r="G10" s="46">
        <f t="shared" si="1"/>
        <v>2010</v>
      </c>
      <c r="H10" s="46" t="str">
        <f t="shared" si="2"/>
        <v>August</v>
      </c>
      <c r="K10" s="46">
        <f>IFERROR(__xludf.DUMMYFUNCTION("""COMPUTED_VALUE"""),2016.0)</f>
        <v>2016</v>
      </c>
      <c r="L10" s="46">
        <f>IFERROR(__xludf.DUMMYFUNCTION("""COMPUTED_VALUE"""),175.0)</f>
        <v>175</v>
      </c>
      <c r="M10" s="46">
        <f>IFERROR(__xludf.DUMMYFUNCTION("""COMPUTED_VALUE"""),823955.0)</f>
        <v>823955</v>
      </c>
      <c r="N10" s="46">
        <f>IFERROR(__xludf.DUMMYFUNCTION("""COMPUTED_VALUE"""),1.9152095676999998E8)</f>
        <v>191520956.8</v>
      </c>
      <c r="O10" s="46">
        <f>IFERROR(__xludf.DUMMYFUNCTION("""COMPUTED_VALUE"""),1.3374903591999999E8)</f>
        <v>133749035.9</v>
      </c>
      <c r="P10" s="46">
        <f>IFERROR(__xludf.DUMMYFUNCTION("""COMPUTED_VALUE"""),5.777192084999999E7)</f>
        <v>57771920.85</v>
      </c>
    </row>
    <row r="11">
      <c r="A11" s="46">
        <f>IFERROR(__xludf.DUMMYFUNCTION("""COMPUTED_VALUE"""),19.0)</f>
        <v>19</v>
      </c>
      <c r="B11" s="46">
        <f>IFERROR(__xludf.DUMMYFUNCTION("""COMPUTED_VALUE"""),76165.0)</f>
        <v>76165</v>
      </c>
      <c r="C11" s="46">
        <f>IFERROR(__xludf.DUMMYFUNCTION("""COMPUTED_VALUE"""),1.8848990579999994E7)</f>
        <v>18848990.58</v>
      </c>
      <c r="D11" s="46">
        <f>IFERROR(__xludf.DUMMYFUNCTION("""COMPUTED_VALUE"""),1.2365443879999999E7)</f>
        <v>12365443.88</v>
      </c>
      <c r="E11" s="46">
        <f>IFERROR(__xludf.DUMMYFUNCTION("""COMPUTED_VALUE"""),6483546.699999999)</f>
        <v>6483546.7</v>
      </c>
      <c r="F11" s="115">
        <f>IFERROR(__xludf.DUMMYFUNCTION("""COMPUTED_VALUE"""),40422.0)</f>
        <v>40422</v>
      </c>
      <c r="G11" s="46">
        <f t="shared" si="1"/>
        <v>2010</v>
      </c>
      <c r="H11" s="46" t="str">
        <f t="shared" si="2"/>
        <v>September</v>
      </c>
      <c r="K11" s="46">
        <f>IFERROR(__xludf.DUMMYFUNCTION("""COMPUTED_VALUE"""),2017.0)</f>
        <v>2017</v>
      </c>
      <c r="L11" s="46">
        <f>IFERROR(__xludf.DUMMYFUNCTION("""COMPUTED_VALUE"""),106.0)</f>
        <v>106</v>
      </c>
      <c r="M11" s="46">
        <f>IFERROR(__xludf.DUMMYFUNCTION("""COMPUTED_VALUE"""),513494.0)</f>
        <v>513494</v>
      </c>
      <c r="N11" s="46">
        <f>IFERROR(__xludf.DUMMYFUNCTION("""COMPUTED_VALUE"""),1.3660047416E8)</f>
        <v>136600474.2</v>
      </c>
      <c r="O11" s="46">
        <f>IFERROR(__xludf.DUMMYFUNCTION("""COMPUTED_VALUE"""),9.760078268E7)</f>
        <v>97600782.68</v>
      </c>
      <c r="P11" s="46">
        <f>IFERROR(__xludf.DUMMYFUNCTION("""COMPUTED_VALUE"""),3.8999691480000004E7)</f>
        <v>38999691.48</v>
      </c>
    </row>
    <row r="12">
      <c r="A12" s="46">
        <f>IFERROR(__xludf.DUMMYFUNCTION("""COMPUTED_VALUE"""),16.0)</f>
        <v>16</v>
      </c>
      <c r="B12" s="46">
        <f>IFERROR(__xludf.DUMMYFUNCTION("""COMPUTED_VALUE"""),87194.0)</f>
        <v>87194</v>
      </c>
      <c r="C12" s="46">
        <f>IFERROR(__xludf.DUMMYFUNCTION("""COMPUTED_VALUE"""),2.38998265E7)</f>
        <v>23899826.5</v>
      </c>
      <c r="D12" s="46">
        <f>IFERROR(__xludf.DUMMYFUNCTION("""COMPUTED_VALUE"""),1.770347659E7)</f>
        <v>17703476.59</v>
      </c>
      <c r="E12" s="46">
        <f>IFERROR(__xludf.DUMMYFUNCTION("""COMPUTED_VALUE"""),6196349.91)</f>
        <v>6196349.91</v>
      </c>
      <c r="F12" s="115">
        <f>IFERROR(__xludf.DUMMYFUNCTION("""COMPUTED_VALUE"""),40452.0)</f>
        <v>40452</v>
      </c>
      <c r="G12" s="46">
        <f t="shared" si="1"/>
        <v>2010</v>
      </c>
      <c r="H12" s="46" t="str">
        <f t="shared" si="2"/>
        <v>October</v>
      </c>
    </row>
    <row r="13">
      <c r="A13" s="46">
        <f>IFERROR(__xludf.DUMMYFUNCTION("""COMPUTED_VALUE"""),7.0)</f>
        <v>7</v>
      </c>
      <c r="B13" s="46">
        <f>IFERROR(__xludf.DUMMYFUNCTION("""COMPUTED_VALUE"""),28805.0)</f>
        <v>28805</v>
      </c>
      <c r="C13" s="46">
        <f>IFERROR(__xludf.DUMMYFUNCTION("""COMPUTED_VALUE"""),6043009.16)</f>
        <v>6043009.16</v>
      </c>
      <c r="D13" s="46">
        <f>IFERROR(__xludf.DUMMYFUNCTION("""COMPUTED_VALUE"""),3785474.2500000005)</f>
        <v>3785474.25</v>
      </c>
      <c r="E13" s="46">
        <f>IFERROR(__xludf.DUMMYFUNCTION("""COMPUTED_VALUE"""),2257534.9099999997)</f>
        <v>2257534.91</v>
      </c>
      <c r="F13" s="115">
        <f>IFERROR(__xludf.DUMMYFUNCTION("""COMPUTED_VALUE"""),40483.0)</f>
        <v>40483</v>
      </c>
      <c r="G13" s="46">
        <f t="shared" si="1"/>
        <v>2010</v>
      </c>
      <c r="H13" s="46" t="str">
        <f t="shared" si="2"/>
        <v>November</v>
      </c>
    </row>
    <row r="14">
      <c r="A14" s="46">
        <f>IFERROR(__xludf.DUMMYFUNCTION("""COMPUTED_VALUE"""),19.0)</f>
        <v>19</v>
      </c>
      <c r="B14" s="46">
        <f>IFERROR(__xludf.DUMMYFUNCTION("""COMPUTED_VALUE"""),94687.0)</f>
        <v>94687</v>
      </c>
      <c r="C14" s="46">
        <f>IFERROR(__xludf.DUMMYFUNCTION("""COMPUTED_VALUE"""),3.0652728060000002E7)</f>
        <v>30652728.06</v>
      </c>
      <c r="D14" s="46">
        <f>IFERROR(__xludf.DUMMYFUNCTION("""COMPUTED_VALUE"""),2.365409881E7)</f>
        <v>23654098.81</v>
      </c>
      <c r="E14" s="46">
        <f>IFERROR(__xludf.DUMMYFUNCTION("""COMPUTED_VALUE"""),6998629.249999999)</f>
        <v>6998629.25</v>
      </c>
      <c r="F14" s="115">
        <f>IFERROR(__xludf.DUMMYFUNCTION("""COMPUTED_VALUE"""),40513.0)</f>
        <v>40513</v>
      </c>
      <c r="G14" s="46">
        <f t="shared" si="1"/>
        <v>2010</v>
      </c>
      <c r="H14" s="46" t="str">
        <f t="shared" si="2"/>
        <v>December</v>
      </c>
    </row>
    <row r="15">
      <c r="A15" s="46">
        <f>IFERROR(__xludf.DUMMYFUNCTION("""COMPUTED_VALUE"""),14.0)</f>
        <v>14</v>
      </c>
      <c r="B15" s="46">
        <f>IFERROR(__xludf.DUMMYFUNCTION("""COMPUTED_VALUE"""),77088.0)</f>
        <v>77088</v>
      </c>
      <c r="C15" s="46">
        <f>IFERROR(__xludf.DUMMYFUNCTION("""COMPUTED_VALUE"""),2.12342045E7)</f>
        <v>21234204.5</v>
      </c>
      <c r="D15" s="46">
        <f>IFERROR(__xludf.DUMMYFUNCTION("""COMPUTED_VALUE"""),1.294426158E7)</f>
        <v>12944261.58</v>
      </c>
      <c r="E15" s="46">
        <f>IFERROR(__xludf.DUMMYFUNCTION("""COMPUTED_VALUE"""),8289942.92)</f>
        <v>8289942.92</v>
      </c>
      <c r="F15" s="115">
        <f>IFERROR(__xludf.DUMMYFUNCTION("""COMPUTED_VALUE"""),40544.0)</f>
        <v>40544</v>
      </c>
      <c r="G15" s="46">
        <f t="shared" si="1"/>
        <v>2011</v>
      </c>
      <c r="H15" s="46" t="str">
        <f t="shared" si="2"/>
        <v>January</v>
      </c>
    </row>
    <row r="16">
      <c r="A16" s="46">
        <f>IFERROR(__xludf.DUMMYFUNCTION("""COMPUTED_VALUE"""),17.0)</f>
        <v>17</v>
      </c>
      <c r="B16" s="46">
        <f>IFERROR(__xludf.DUMMYFUNCTION("""COMPUTED_VALUE"""),71100.0)</f>
        <v>71100</v>
      </c>
      <c r="C16" s="46">
        <f>IFERROR(__xludf.DUMMYFUNCTION("""COMPUTED_VALUE"""),2.124891162E7)</f>
        <v>21248911.62</v>
      </c>
      <c r="D16" s="46">
        <f>IFERROR(__xludf.DUMMYFUNCTION("""COMPUTED_VALUE"""),1.5573396989999996E7)</f>
        <v>15573396.99</v>
      </c>
      <c r="E16" s="46">
        <f>IFERROR(__xludf.DUMMYFUNCTION("""COMPUTED_VALUE"""),5675514.630000001)</f>
        <v>5675514.63</v>
      </c>
      <c r="F16" s="115">
        <f>IFERROR(__xludf.DUMMYFUNCTION("""COMPUTED_VALUE"""),40575.0)</f>
        <v>40575</v>
      </c>
      <c r="G16" s="46">
        <f t="shared" si="1"/>
        <v>2011</v>
      </c>
      <c r="H16" s="46" t="str">
        <f t="shared" si="2"/>
        <v>February</v>
      </c>
    </row>
    <row r="17">
      <c r="A17" s="46">
        <f>IFERROR(__xludf.DUMMYFUNCTION("""COMPUTED_VALUE"""),15.0)</f>
        <v>15</v>
      </c>
      <c r="B17" s="46">
        <f>IFERROR(__xludf.DUMMYFUNCTION("""COMPUTED_VALUE"""),80599.0)</f>
        <v>80599</v>
      </c>
      <c r="C17" s="46">
        <f>IFERROR(__xludf.DUMMYFUNCTION("""COMPUTED_VALUE"""),1.1214614190000001E7)</f>
        <v>11214614.19</v>
      </c>
      <c r="D17" s="46">
        <f>IFERROR(__xludf.DUMMYFUNCTION("""COMPUTED_VALUE"""),7158640.839999999)</f>
        <v>7158640.84</v>
      </c>
      <c r="E17" s="46">
        <f>IFERROR(__xludf.DUMMYFUNCTION("""COMPUTED_VALUE"""),4055973.35)</f>
        <v>4055973.35</v>
      </c>
      <c r="F17" s="115">
        <f>IFERROR(__xludf.DUMMYFUNCTION("""COMPUTED_VALUE"""),40603.0)</f>
        <v>40603</v>
      </c>
      <c r="G17" s="46">
        <f t="shared" si="1"/>
        <v>2011</v>
      </c>
      <c r="H17" s="46" t="str">
        <f t="shared" si="2"/>
        <v>March</v>
      </c>
    </row>
    <row r="18">
      <c r="A18" s="46">
        <f>IFERROR(__xludf.DUMMYFUNCTION("""COMPUTED_VALUE"""),16.0)</f>
        <v>16</v>
      </c>
      <c r="B18" s="46">
        <f>IFERROR(__xludf.DUMMYFUNCTION("""COMPUTED_VALUE"""),78668.0)</f>
        <v>78668</v>
      </c>
      <c r="C18" s="46">
        <f>IFERROR(__xludf.DUMMYFUNCTION("""COMPUTED_VALUE"""),1.727867069E7)</f>
        <v>17278670.69</v>
      </c>
      <c r="D18" s="46">
        <f>IFERROR(__xludf.DUMMYFUNCTION("""COMPUTED_VALUE"""),1.183438724E7)</f>
        <v>11834387.24</v>
      </c>
      <c r="E18" s="46">
        <f>IFERROR(__xludf.DUMMYFUNCTION("""COMPUTED_VALUE"""),5444283.449999998)</f>
        <v>5444283.45</v>
      </c>
      <c r="F18" s="115">
        <f>IFERROR(__xludf.DUMMYFUNCTION("""COMPUTED_VALUE"""),40634.0)</f>
        <v>40634</v>
      </c>
      <c r="G18" s="46">
        <f t="shared" si="1"/>
        <v>2011</v>
      </c>
      <c r="H18" s="46" t="str">
        <f t="shared" si="2"/>
        <v>April</v>
      </c>
    </row>
    <row r="19">
      <c r="A19" s="46">
        <f>IFERROR(__xludf.DUMMYFUNCTION("""COMPUTED_VALUE"""),16.0)</f>
        <v>16</v>
      </c>
      <c r="B19" s="46">
        <f>IFERROR(__xludf.DUMMYFUNCTION("""COMPUTED_VALUE"""),84532.0)</f>
        <v>84532</v>
      </c>
      <c r="C19" s="46">
        <f>IFERROR(__xludf.DUMMYFUNCTION("""COMPUTED_VALUE"""),2.122482645E7)</f>
        <v>21224826.45</v>
      </c>
      <c r="D19" s="46">
        <f>IFERROR(__xludf.DUMMYFUNCTION("""COMPUTED_VALUE"""),1.504444065E7)</f>
        <v>15044440.65</v>
      </c>
      <c r="E19" s="46">
        <f>IFERROR(__xludf.DUMMYFUNCTION("""COMPUTED_VALUE"""),6180385.8)</f>
        <v>6180385.8</v>
      </c>
      <c r="F19" s="115">
        <f>IFERROR(__xludf.DUMMYFUNCTION("""COMPUTED_VALUE"""),40664.0)</f>
        <v>40664</v>
      </c>
      <c r="G19" s="46">
        <f t="shared" si="1"/>
        <v>2011</v>
      </c>
      <c r="H19" s="46" t="str">
        <f t="shared" si="2"/>
        <v>May</v>
      </c>
    </row>
    <row r="20">
      <c r="A20" s="46">
        <f>IFERROR(__xludf.DUMMYFUNCTION("""COMPUTED_VALUE"""),14.0)</f>
        <v>14</v>
      </c>
      <c r="B20" s="46">
        <f>IFERROR(__xludf.DUMMYFUNCTION("""COMPUTED_VALUE"""),72612.0)</f>
        <v>72612</v>
      </c>
      <c r="C20" s="46">
        <f>IFERROR(__xludf.DUMMYFUNCTION("""COMPUTED_VALUE"""),2.253635488E7)</f>
        <v>22536354.88</v>
      </c>
      <c r="D20" s="46">
        <f>IFERROR(__xludf.DUMMYFUNCTION("""COMPUTED_VALUE"""),1.496536552E7)</f>
        <v>14965365.52</v>
      </c>
      <c r="E20" s="46">
        <f>IFERROR(__xludf.DUMMYFUNCTION("""COMPUTED_VALUE"""),7570989.36)</f>
        <v>7570989.36</v>
      </c>
      <c r="F20" s="115">
        <f>IFERROR(__xludf.DUMMYFUNCTION("""COMPUTED_VALUE"""),40695.0)</f>
        <v>40695</v>
      </c>
      <c r="G20" s="46">
        <f t="shared" si="1"/>
        <v>2011</v>
      </c>
      <c r="H20" s="46" t="str">
        <f t="shared" si="2"/>
        <v>June</v>
      </c>
    </row>
    <row r="21">
      <c r="A21" s="46">
        <f>IFERROR(__xludf.DUMMYFUNCTION("""COMPUTED_VALUE"""),16.0)</f>
        <v>16</v>
      </c>
      <c r="B21" s="46">
        <f>IFERROR(__xludf.DUMMYFUNCTION("""COMPUTED_VALUE"""),78588.0)</f>
        <v>78588</v>
      </c>
      <c r="C21" s="46">
        <f>IFERROR(__xludf.DUMMYFUNCTION("""COMPUTED_VALUE"""),2.570702547E7)</f>
        <v>25707025.47</v>
      </c>
      <c r="D21" s="46">
        <f>IFERROR(__xludf.DUMMYFUNCTION("""COMPUTED_VALUE"""),1.897012145E7)</f>
        <v>18970121.45</v>
      </c>
      <c r="E21" s="46">
        <f>IFERROR(__xludf.DUMMYFUNCTION("""COMPUTED_VALUE"""),6736904.0200000005)</f>
        <v>6736904.02</v>
      </c>
      <c r="F21" s="115">
        <f>IFERROR(__xludf.DUMMYFUNCTION("""COMPUTED_VALUE"""),40725.0)</f>
        <v>40725</v>
      </c>
      <c r="G21" s="46">
        <f t="shared" si="1"/>
        <v>2011</v>
      </c>
      <c r="H21" s="46" t="str">
        <f t="shared" si="2"/>
        <v>July</v>
      </c>
    </row>
    <row r="22">
      <c r="A22" s="46">
        <f>IFERROR(__xludf.DUMMYFUNCTION("""COMPUTED_VALUE"""),12.0)</f>
        <v>12</v>
      </c>
      <c r="B22" s="46">
        <f>IFERROR(__xludf.DUMMYFUNCTION("""COMPUTED_VALUE"""),47002.0)</f>
        <v>47002</v>
      </c>
      <c r="C22" s="46">
        <f>IFERROR(__xludf.DUMMYFUNCTION("""COMPUTED_VALUE"""),1.2769085410000002E7)</f>
        <v>12769085.41</v>
      </c>
      <c r="D22" s="46">
        <f>IFERROR(__xludf.DUMMYFUNCTION("""COMPUTED_VALUE"""),1.0018116520000001E7)</f>
        <v>10018116.52</v>
      </c>
      <c r="E22" s="46">
        <f>IFERROR(__xludf.DUMMYFUNCTION("""COMPUTED_VALUE"""),2750968.89)</f>
        <v>2750968.89</v>
      </c>
      <c r="F22" s="115">
        <f>IFERROR(__xludf.DUMMYFUNCTION("""COMPUTED_VALUE"""),40756.0)</f>
        <v>40756</v>
      </c>
      <c r="G22" s="46">
        <f t="shared" si="1"/>
        <v>2011</v>
      </c>
      <c r="H22" s="46" t="str">
        <f t="shared" si="2"/>
        <v>August</v>
      </c>
    </row>
    <row r="23">
      <c r="A23" s="46">
        <f>IFERROR(__xludf.DUMMYFUNCTION("""COMPUTED_VALUE"""),10.0)</f>
        <v>10</v>
      </c>
      <c r="B23" s="46">
        <f>IFERROR(__xludf.DUMMYFUNCTION("""COMPUTED_VALUE"""),61498.0)</f>
        <v>61498</v>
      </c>
      <c r="C23" s="46">
        <f>IFERROR(__xludf.DUMMYFUNCTION("""COMPUTED_VALUE"""),1.446888598E7)</f>
        <v>14468885.98</v>
      </c>
      <c r="D23" s="46">
        <f>IFERROR(__xludf.DUMMYFUNCTION("""COMPUTED_VALUE"""),1.0063803940000001E7)</f>
        <v>10063803.94</v>
      </c>
      <c r="E23" s="46">
        <f>IFERROR(__xludf.DUMMYFUNCTION("""COMPUTED_VALUE"""),4405082.04)</f>
        <v>4405082.04</v>
      </c>
      <c r="F23" s="115">
        <f>IFERROR(__xludf.DUMMYFUNCTION("""COMPUTED_VALUE"""),40787.0)</f>
        <v>40787</v>
      </c>
      <c r="G23" s="46">
        <f t="shared" si="1"/>
        <v>2011</v>
      </c>
      <c r="H23" s="46" t="str">
        <f t="shared" si="2"/>
        <v>September</v>
      </c>
    </row>
    <row r="24">
      <c r="A24" s="46">
        <f>IFERROR(__xludf.DUMMYFUNCTION("""COMPUTED_VALUE"""),14.0)</f>
        <v>14</v>
      </c>
      <c r="B24" s="46">
        <f>IFERROR(__xludf.DUMMYFUNCTION("""COMPUTED_VALUE"""),85813.0)</f>
        <v>85813</v>
      </c>
      <c r="C24" s="46">
        <f>IFERROR(__xludf.DUMMYFUNCTION("""COMPUTED_VALUE"""),1.754676193E7)</f>
        <v>17546761.93</v>
      </c>
      <c r="D24" s="46">
        <f>IFERROR(__xludf.DUMMYFUNCTION("""COMPUTED_VALUE"""),1.16797198E7)</f>
        <v>11679719.8</v>
      </c>
      <c r="E24" s="46">
        <f>IFERROR(__xludf.DUMMYFUNCTION("""COMPUTED_VALUE"""),5867042.129999998)</f>
        <v>5867042.13</v>
      </c>
      <c r="F24" s="115">
        <f>IFERROR(__xludf.DUMMYFUNCTION("""COMPUTED_VALUE"""),40817.0)</f>
        <v>40817</v>
      </c>
      <c r="G24" s="46">
        <f t="shared" si="1"/>
        <v>2011</v>
      </c>
      <c r="H24" s="46" t="str">
        <f t="shared" si="2"/>
        <v>October</v>
      </c>
    </row>
    <row r="25">
      <c r="A25" s="46">
        <f>IFERROR(__xludf.DUMMYFUNCTION("""COMPUTED_VALUE"""),14.0)</f>
        <v>14</v>
      </c>
      <c r="B25" s="46">
        <f>IFERROR(__xludf.DUMMYFUNCTION("""COMPUTED_VALUE"""),59484.0)</f>
        <v>59484</v>
      </c>
      <c r="C25" s="46">
        <f>IFERROR(__xludf.DUMMYFUNCTION("""COMPUTED_VALUE"""),1.611177956E7)</f>
        <v>16111779.56</v>
      </c>
      <c r="D25" s="46">
        <f>IFERROR(__xludf.DUMMYFUNCTION("""COMPUTED_VALUE"""),1.2109206540000001E7)</f>
        <v>12109206.54</v>
      </c>
      <c r="E25" s="46">
        <f>IFERROR(__xludf.DUMMYFUNCTION("""COMPUTED_VALUE"""),4002573.0199999996)</f>
        <v>4002573.02</v>
      </c>
      <c r="F25" s="115">
        <f>IFERROR(__xludf.DUMMYFUNCTION("""COMPUTED_VALUE"""),40848.0)</f>
        <v>40848</v>
      </c>
      <c r="G25" s="46">
        <f t="shared" si="1"/>
        <v>2011</v>
      </c>
      <c r="H25" s="46" t="str">
        <f t="shared" si="2"/>
        <v>November</v>
      </c>
    </row>
    <row r="26">
      <c r="A26" s="46">
        <f>IFERROR(__xludf.DUMMYFUNCTION("""COMPUTED_VALUE"""),17.0)</f>
        <v>17</v>
      </c>
      <c r="B26" s="46">
        <f>IFERROR(__xludf.DUMMYFUNCTION("""COMPUTED_VALUE"""),109163.0)</f>
        <v>109163</v>
      </c>
      <c r="C26" s="46">
        <f>IFERROR(__xludf.DUMMYFUNCTION("""COMPUTED_VALUE"""),3.0596435990000002E7)</f>
        <v>30596435.99</v>
      </c>
      <c r="D26" s="46">
        <f>IFERROR(__xludf.DUMMYFUNCTION("""COMPUTED_VALUE"""),2.2531435870000005E7)</f>
        <v>22531435.87</v>
      </c>
      <c r="E26" s="46">
        <f>IFERROR(__xludf.DUMMYFUNCTION("""COMPUTED_VALUE"""),8065000.119999998)</f>
        <v>8065000.12</v>
      </c>
      <c r="F26" s="115">
        <f>IFERROR(__xludf.DUMMYFUNCTION("""COMPUTED_VALUE"""),40878.0)</f>
        <v>40878</v>
      </c>
      <c r="G26" s="46">
        <f t="shared" si="1"/>
        <v>2011</v>
      </c>
      <c r="H26" s="46" t="str">
        <f t="shared" si="2"/>
        <v>December</v>
      </c>
    </row>
    <row r="27">
      <c r="A27" s="46">
        <f>IFERROR(__xludf.DUMMYFUNCTION("""COMPUTED_VALUE"""),17.0)</f>
        <v>17</v>
      </c>
      <c r="B27" s="46">
        <f>IFERROR(__xludf.DUMMYFUNCTION("""COMPUTED_VALUE"""),93527.0)</f>
        <v>93527</v>
      </c>
      <c r="C27" s="46">
        <f>IFERROR(__xludf.DUMMYFUNCTION("""COMPUTED_VALUE"""),3.395860881E7)</f>
        <v>33958608.81</v>
      </c>
      <c r="D27" s="46">
        <f>IFERROR(__xludf.DUMMYFUNCTION("""COMPUTED_VALUE"""),2.438406213E7)</f>
        <v>24384062.13</v>
      </c>
      <c r="E27" s="46">
        <f>IFERROR(__xludf.DUMMYFUNCTION("""COMPUTED_VALUE"""),9574546.68)</f>
        <v>9574546.68</v>
      </c>
      <c r="F27" s="115">
        <f>IFERROR(__xludf.DUMMYFUNCTION("""COMPUTED_VALUE"""),40909.0)</f>
        <v>40909</v>
      </c>
      <c r="G27" s="46">
        <f t="shared" si="1"/>
        <v>2012</v>
      </c>
      <c r="H27" s="46" t="str">
        <f t="shared" si="2"/>
        <v>January</v>
      </c>
    </row>
    <row r="28">
      <c r="A28" s="46">
        <f>IFERROR(__xludf.DUMMYFUNCTION("""COMPUTED_VALUE"""),13.0)</f>
        <v>13</v>
      </c>
      <c r="B28" s="46">
        <f>IFERROR(__xludf.DUMMYFUNCTION("""COMPUTED_VALUE"""),81753.0)</f>
        <v>81753</v>
      </c>
      <c r="C28" s="46">
        <f>IFERROR(__xludf.DUMMYFUNCTION("""COMPUTED_VALUE"""),3.030646142E7)</f>
        <v>30306461.42</v>
      </c>
      <c r="D28" s="46">
        <f>IFERROR(__xludf.DUMMYFUNCTION("""COMPUTED_VALUE"""),2.092615212E7)</f>
        <v>20926152.12</v>
      </c>
      <c r="E28" s="46">
        <f>IFERROR(__xludf.DUMMYFUNCTION("""COMPUTED_VALUE"""),9380309.299999999)</f>
        <v>9380309.3</v>
      </c>
      <c r="F28" s="115">
        <f>IFERROR(__xludf.DUMMYFUNCTION("""COMPUTED_VALUE"""),40940.0)</f>
        <v>40940</v>
      </c>
      <c r="G28" s="46">
        <f t="shared" si="1"/>
        <v>2012</v>
      </c>
      <c r="H28" s="46" t="str">
        <f t="shared" si="2"/>
        <v>February</v>
      </c>
    </row>
    <row r="29">
      <c r="A29" s="46">
        <f>IFERROR(__xludf.DUMMYFUNCTION("""COMPUTED_VALUE"""),20.0)</f>
        <v>20</v>
      </c>
      <c r="B29" s="46">
        <f>IFERROR(__xludf.DUMMYFUNCTION("""COMPUTED_VALUE"""),119661.0)</f>
        <v>119661</v>
      </c>
      <c r="C29" s="46">
        <f>IFERROR(__xludf.DUMMYFUNCTION("""COMPUTED_VALUE"""),2.781249161E7)</f>
        <v>27812491.61</v>
      </c>
      <c r="D29" s="46">
        <f>IFERROR(__xludf.DUMMYFUNCTION("""COMPUTED_VALUE"""),1.946110456E7)</f>
        <v>19461104.56</v>
      </c>
      <c r="E29" s="46">
        <f>IFERROR(__xludf.DUMMYFUNCTION("""COMPUTED_VALUE"""),8351387.049999999)</f>
        <v>8351387.05</v>
      </c>
      <c r="F29" s="115">
        <f>IFERROR(__xludf.DUMMYFUNCTION("""COMPUTED_VALUE"""),40969.0)</f>
        <v>40969</v>
      </c>
      <c r="G29" s="46">
        <f t="shared" si="1"/>
        <v>2012</v>
      </c>
      <c r="H29" s="46" t="str">
        <f t="shared" si="2"/>
        <v>March</v>
      </c>
    </row>
    <row r="30">
      <c r="A30" s="46">
        <f>IFERROR(__xludf.DUMMYFUNCTION("""COMPUTED_VALUE"""),19.0)</f>
        <v>19</v>
      </c>
      <c r="B30" s="46">
        <f>IFERROR(__xludf.DUMMYFUNCTION("""COMPUTED_VALUE"""),113000.0)</f>
        <v>113000</v>
      </c>
      <c r="C30" s="46">
        <f>IFERROR(__xludf.DUMMYFUNCTION("""COMPUTED_VALUE"""),2.6520281629999995E7)</f>
        <v>26520281.63</v>
      </c>
      <c r="D30" s="46">
        <f>IFERROR(__xludf.DUMMYFUNCTION("""COMPUTED_VALUE"""),1.827814536E7)</f>
        <v>18278145.36</v>
      </c>
      <c r="E30" s="46">
        <f>IFERROR(__xludf.DUMMYFUNCTION("""COMPUTED_VALUE"""),8242136.2700000005)</f>
        <v>8242136.27</v>
      </c>
      <c r="F30" s="115">
        <f>IFERROR(__xludf.DUMMYFUNCTION("""COMPUTED_VALUE"""),41000.0)</f>
        <v>41000</v>
      </c>
      <c r="G30" s="46">
        <f t="shared" si="1"/>
        <v>2012</v>
      </c>
      <c r="H30" s="46" t="str">
        <f t="shared" si="2"/>
        <v>April</v>
      </c>
    </row>
    <row r="31">
      <c r="A31" s="46">
        <f>IFERROR(__xludf.DUMMYFUNCTION("""COMPUTED_VALUE"""),18.0)</f>
        <v>18</v>
      </c>
      <c r="B31" s="46">
        <f>IFERROR(__xludf.DUMMYFUNCTION("""COMPUTED_VALUE"""),79325.0)</f>
        <v>79325</v>
      </c>
      <c r="C31" s="46">
        <f>IFERROR(__xludf.DUMMYFUNCTION("""COMPUTED_VALUE"""),2.4460626400000002E7)</f>
        <v>24460626.4</v>
      </c>
      <c r="D31" s="46">
        <f>IFERROR(__xludf.DUMMYFUNCTION("""COMPUTED_VALUE"""),1.6582304549999997E7)</f>
        <v>16582304.55</v>
      </c>
      <c r="E31" s="46">
        <f>IFERROR(__xludf.DUMMYFUNCTION("""COMPUTED_VALUE"""),7878321.85)</f>
        <v>7878321.85</v>
      </c>
      <c r="F31" s="115">
        <f>IFERROR(__xludf.DUMMYFUNCTION("""COMPUTED_VALUE"""),41030.0)</f>
        <v>41030</v>
      </c>
      <c r="G31" s="46">
        <f t="shared" si="1"/>
        <v>2012</v>
      </c>
      <c r="H31" s="46" t="str">
        <f t="shared" si="2"/>
        <v>May</v>
      </c>
    </row>
    <row r="32">
      <c r="A32" s="46">
        <f>IFERROR(__xludf.DUMMYFUNCTION("""COMPUTED_VALUE"""),19.0)</f>
        <v>19</v>
      </c>
      <c r="B32" s="46">
        <f>IFERROR(__xludf.DUMMYFUNCTION("""COMPUTED_VALUE"""),99601.0)</f>
        <v>99601</v>
      </c>
      <c r="C32" s="46">
        <f>IFERROR(__xludf.DUMMYFUNCTION("""COMPUTED_VALUE"""),2.800609391E7)</f>
        <v>28006093.91</v>
      </c>
      <c r="D32" s="46">
        <f>IFERROR(__xludf.DUMMYFUNCTION("""COMPUTED_VALUE"""),1.958470286E7)</f>
        <v>19584702.86</v>
      </c>
      <c r="E32" s="46">
        <f>IFERROR(__xludf.DUMMYFUNCTION("""COMPUTED_VALUE"""),8421391.049999999)</f>
        <v>8421391.05</v>
      </c>
      <c r="F32" s="115">
        <f>IFERROR(__xludf.DUMMYFUNCTION("""COMPUTED_VALUE"""),41061.0)</f>
        <v>41061</v>
      </c>
      <c r="G32" s="46">
        <f t="shared" si="1"/>
        <v>2012</v>
      </c>
      <c r="H32" s="46" t="str">
        <f t="shared" si="2"/>
        <v>June</v>
      </c>
    </row>
    <row r="33">
      <c r="A33" s="46">
        <f>IFERROR(__xludf.DUMMYFUNCTION("""COMPUTED_VALUE"""),14.0)</f>
        <v>14</v>
      </c>
      <c r="B33" s="46">
        <f>IFERROR(__xludf.DUMMYFUNCTION("""COMPUTED_VALUE"""),67276.0)</f>
        <v>67276</v>
      </c>
      <c r="C33" s="46">
        <f>IFERROR(__xludf.DUMMYFUNCTION("""COMPUTED_VALUE"""),1.3357406990000002E7)</f>
        <v>13357406.99</v>
      </c>
      <c r="D33" s="46">
        <f>IFERROR(__xludf.DUMMYFUNCTION("""COMPUTED_VALUE"""),8876813.329999998)</f>
        <v>8876813.33</v>
      </c>
      <c r="E33" s="46">
        <f>IFERROR(__xludf.DUMMYFUNCTION("""COMPUTED_VALUE"""),4480593.66)</f>
        <v>4480593.66</v>
      </c>
      <c r="F33" s="115">
        <f>IFERROR(__xludf.DUMMYFUNCTION("""COMPUTED_VALUE"""),41091.0)</f>
        <v>41091</v>
      </c>
      <c r="G33" s="46">
        <f t="shared" si="1"/>
        <v>2012</v>
      </c>
      <c r="H33" s="46" t="str">
        <f t="shared" si="2"/>
        <v>July</v>
      </c>
    </row>
    <row r="34">
      <c r="A34" s="46">
        <f>IFERROR(__xludf.DUMMYFUNCTION("""COMPUTED_VALUE"""),14.0)</f>
        <v>14</v>
      </c>
      <c r="B34" s="46">
        <f>IFERROR(__xludf.DUMMYFUNCTION("""COMPUTED_VALUE"""),66277.0)</f>
        <v>66277</v>
      </c>
      <c r="C34" s="46">
        <f>IFERROR(__xludf.DUMMYFUNCTION("""COMPUTED_VALUE"""),2.048095685E7)</f>
        <v>20480956.85</v>
      </c>
      <c r="D34" s="46">
        <f>IFERROR(__xludf.DUMMYFUNCTION("""COMPUTED_VALUE"""),1.5554897839999998E7)</f>
        <v>15554897.84</v>
      </c>
      <c r="E34" s="46">
        <f>IFERROR(__xludf.DUMMYFUNCTION("""COMPUTED_VALUE"""),4926059.009999999)</f>
        <v>4926059.01</v>
      </c>
      <c r="F34" s="115">
        <f>IFERROR(__xludf.DUMMYFUNCTION("""COMPUTED_VALUE"""),41122.0)</f>
        <v>41122</v>
      </c>
      <c r="G34" s="46">
        <f t="shared" si="1"/>
        <v>2012</v>
      </c>
      <c r="H34" s="46" t="str">
        <f t="shared" si="2"/>
        <v>August</v>
      </c>
    </row>
    <row r="35">
      <c r="A35" s="46">
        <f>IFERROR(__xludf.DUMMYFUNCTION("""COMPUTED_VALUE"""),17.0)</f>
        <v>17</v>
      </c>
      <c r="B35" s="46">
        <f>IFERROR(__xludf.DUMMYFUNCTION("""COMPUTED_VALUE"""),75537.0)</f>
        <v>75537</v>
      </c>
      <c r="C35" s="46">
        <f>IFERROR(__xludf.DUMMYFUNCTION("""COMPUTED_VALUE"""),1.7987202639999997E7)</f>
        <v>17987202.64</v>
      </c>
      <c r="D35" s="46">
        <f>IFERROR(__xludf.DUMMYFUNCTION("""COMPUTED_VALUE"""),1.177430281E7)</f>
        <v>11774302.81</v>
      </c>
      <c r="E35" s="46">
        <f>IFERROR(__xludf.DUMMYFUNCTION("""COMPUTED_VALUE"""),6212899.830000001)</f>
        <v>6212899.83</v>
      </c>
      <c r="F35" s="115">
        <f>IFERROR(__xludf.DUMMYFUNCTION("""COMPUTED_VALUE"""),41153.0)</f>
        <v>41153</v>
      </c>
      <c r="G35" s="46">
        <f t="shared" si="1"/>
        <v>2012</v>
      </c>
      <c r="H35" s="46" t="str">
        <f t="shared" si="2"/>
        <v>September</v>
      </c>
    </row>
    <row r="36">
      <c r="A36" s="46">
        <f>IFERROR(__xludf.DUMMYFUNCTION("""COMPUTED_VALUE"""),19.0)</f>
        <v>19</v>
      </c>
      <c r="B36" s="46">
        <f>IFERROR(__xludf.DUMMYFUNCTION("""COMPUTED_VALUE"""),111591.0)</f>
        <v>111591</v>
      </c>
      <c r="C36" s="46">
        <f>IFERROR(__xludf.DUMMYFUNCTION("""COMPUTED_VALUE"""),1.8149424560000002E7)</f>
        <v>18149424.56</v>
      </c>
      <c r="D36" s="46">
        <f>IFERROR(__xludf.DUMMYFUNCTION("""COMPUTED_VALUE"""),1.1113177200000003E7)</f>
        <v>11113177.2</v>
      </c>
      <c r="E36" s="46">
        <f>IFERROR(__xludf.DUMMYFUNCTION("""COMPUTED_VALUE"""),7036247.359999999)</f>
        <v>7036247.36</v>
      </c>
      <c r="F36" s="115">
        <f>IFERROR(__xludf.DUMMYFUNCTION("""COMPUTED_VALUE"""),41183.0)</f>
        <v>41183</v>
      </c>
      <c r="G36" s="46">
        <f t="shared" si="1"/>
        <v>2012</v>
      </c>
      <c r="H36" s="46" t="str">
        <f t="shared" si="2"/>
        <v>October</v>
      </c>
    </row>
    <row r="37">
      <c r="A37" s="46">
        <f>IFERROR(__xludf.DUMMYFUNCTION("""COMPUTED_VALUE"""),14.0)</f>
        <v>14</v>
      </c>
      <c r="B37" s="46">
        <f>IFERROR(__xludf.DUMMYFUNCTION("""COMPUTED_VALUE"""),69061.0)</f>
        <v>69061</v>
      </c>
      <c r="C37" s="46">
        <f>IFERROR(__xludf.DUMMYFUNCTION("""COMPUTED_VALUE"""),2.385768001E7)</f>
        <v>23857680.01</v>
      </c>
      <c r="D37" s="46">
        <f>IFERROR(__xludf.DUMMYFUNCTION("""COMPUTED_VALUE"""),1.7596268900000002E7)</f>
        <v>17596268.9</v>
      </c>
      <c r="E37" s="46">
        <f>IFERROR(__xludf.DUMMYFUNCTION("""COMPUTED_VALUE"""),6261411.110000001)</f>
        <v>6261411.11</v>
      </c>
      <c r="F37" s="115">
        <f>IFERROR(__xludf.DUMMYFUNCTION("""COMPUTED_VALUE"""),41214.0)</f>
        <v>41214</v>
      </c>
      <c r="G37" s="46">
        <f t="shared" si="1"/>
        <v>2012</v>
      </c>
      <c r="H37" s="46" t="str">
        <f t="shared" si="2"/>
        <v>November</v>
      </c>
    </row>
    <row r="38">
      <c r="A38" s="46">
        <f>IFERROR(__xludf.DUMMYFUNCTION("""COMPUTED_VALUE"""),18.0)</f>
        <v>18</v>
      </c>
      <c r="B38" s="46">
        <f>IFERROR(__xludf.DUMMYFUNCTION("""COMPUTED_VALUE"""),78640.0)</f>
        <v>78640</v>
      </c>
      <c r="C38" s="46">
        <f>IFERROR(__xludf.DUMMYFUNCTION("""COMPUTED_VALUE"""),2.058865693E7)</f>
        <v>20588656.93</v>
      </c>
      <c r="D38" s="46">
        <f>IFERROR(__xludf.DUMMYFUNCTION("""COMPUTED_VALUE"""),1.346989366E7)</f>
        <v>13469893.66</v>
      </c>
      <c r="E38" s="46">
        <f>IFERROR(__xludf.DUMMYFUNCTION("""COMPUTED_VALUE"""),7118763.27)</f>
        <v>7118763.27</v>
      </c>
      <c r="F38" s="115">
        <f>IFERROR(__xludf.DUMMYFUNCTION("""COMPUTED_VALUE"""),41244.0)</f>
        <v>41244</v>
      </c>
      <c r="G38" s="46">
        <f t="shared" si="1"/>
        <v>2012</v>
      </c>
      <c r="H38" s="46" t="str">
        <f t="shared" si="2"/>
        <v>December</v>
      </c>
    </row>
    <row r="39">
      <c r="A39" s="46">
        <f>IFERROR(__xludf.DUMMYFUNCTION("""COMPUTED_VALUE"""),10.0)</f>
        <v>10</v>
      </c>
      <c r="B39" s="46">
        <f>IFERROR(__xludf.DUMMYFUNCTION("""COMPUTED_VALUE"""),36962.0)</f>
        <v>36962</v>
      </c>
      <c r="C39" s="46">
        <f>IFERROR(__xludf.DUMMYFUNCTION("""COMPUTED_VALUE"""),5996392.22)</f>
        <v>5996392.22</v>
      </c>
      <c r="D39" s="46">
        <f>IFERROR(__xludf.DUMMYFUNCTION("""COMPUTED_VALUE"""),3769366.6600000006)</f>
        <v>3769366.66</v>
      </c>
      <c r="E39" s="46">
        <f>IFERROR(__xludf.DUMMYFUNCTION("""COMPUTED_VALUE"""),2227025.56)</f>
        <v>2227025.56</v>
      </c>
      <c r="F39" s="115">
        <f>IFERROR(__xludf.DUMMYFUNCTION("""COMPUTED_VALUE"""),41275.0)</f>
        <v>41275</v>
      </c>
      <c r="G39" s="46">
        <f t="shared" si="1"/>
        <v>2013</v>
      </c>
      <c r="H39" s="46" t="str">
        <f t="shared" si="2"/>
        <v>January</v>
      </c>
    </row>
    <row r="40">
      <c r="A40" s="46">
        <f>IFERROR(__xludf.DUMMYFUNCTION("""COMPUTED_VALUE"""),17.0)</f>
        <v>17</v>
      </c>
      <c r="B40" s="46">
        <f>IFERROR(__xludf.DUMMYFUNCTION("""COMPUTED_VALUE"""),77084.0)</f>
        <v>77084</v>
      </c>
      <c r="C40" s="46">
        <f>IFERROR(__xludf.DUMMYFUNCTION("""COMPUTED_VALUE"""),1.6590757510000002E7)</f>
        <v>16590757.51</v>
      </c>
      <c r="D40" s="46">
        <f>IFERROR(__xludf.DUMMYFUNCTION("""COMPUTED_VALUE"""),1.1594342570000002E7)</f>
        <v>11594342.57</v>
      </c>
      <c r="E40" s="46">
        <f>IFERROR(__xludf.DUMMYFUNCTION("""COMPUTED_VALUE"""),4996414.9399999995)</f>
        <v>4996414.94</v>
      </c>
      <c r="F40" s="115">
        <f>IFERROR(__xludf.DUMMYFUNCTION("""COMPUTED_VALUE"""),41306.0)</f>
        <v>41306</v>
      </c>
      <c r="G40" s="46">
        <f t="shared" si="1"/>
        <v>2013</v>
      </c>
      <c r="H40" s="46" t="str">
        <f t="shared" si="2"/>
        <v>February</v>
      </c>
    </row>
    <row r="41">
      <c r="A41" s="46">
        <f>IFERROR(__xludf.DUMMYFUNCTION("""COMPUTED_VALUE"""),20.0)</f>
        <v>20</v>
      </c>
      <c r="B41" s="46">
        <f>IFERROR(__xludf.DUMMYFUNCTION("""COMPUTED_VALUE"""),109275.0)</f>
        <v>109275</v>
      </c>
      <c r="C41" s="46">
        <f>IFERROR(__xludf.DUMMYFUNCTION("""COMPUTED_VALUE"""),3.0434095299999997E7)</f>
        <v>30434095.3</v>
      </c>
      <c r="D41" s="46">
        <f>IFERROR(__xludf.DUMMYFUNCTION("""COMPUTED_VALUE"""),2.211494498E7)</f>
        <v>22114944.98</v>
      </c>
      <c r="E41" s="46">
        <f>IFERROR(__xludf.DUMMYFUNCTION("""COMPUTED_VALUE"""),8319150.32)</f>
        <v>8319150.32</v>
      </c>
      <c r="F41" s="115">
        <f>IFERROR(__xludf.DUMMYFUNCTION("""COMPUTED_VALUE"""),41334.0)</f>
        <v>41334</v>
      </c>
      <c r="G41" s="46">
        <f t="shared" si="1"/>
        <v>2013</v>
      </c>
      <c r="H41" s="46" t="str">
        <f t="shared" si="2"/>
        <v>March</v>
      </c>
    </row>
    <row r="42">
      <c r="A42" s="46">
        <f>IFERROR(__xludf.DUMMYFUNCTION("""COMPUTED_VALUE"""),11.0)</f>
        <v>11</v>
      </c>
      <c r="B42" s="46">
        <f>IFERROR(__xludf.DUMMYFUNCTION("""COMPUTED_VALUE"""),42740.0)</f>
        <v>42740</v>
      </c>
      <c r="C42" s="46">
        <f>IFERROR(__xludf.DUMMYFUNCTION("""COMPUTED_VALUE"""),1.4856376270000001E7)</f>
        <v>14856376.27</v>
      </c>
      <c r="D42" s="46">
        <f>IFERROR(__xludf.DUMMYFUNCTION("""COMPUTED_VALUE"""),1.1355935590000002E7)</f>
        <v>11355935.59</v>
      </c>
      <c r="E42" s="46">
        <f>IFERROR(__xludf.DUMMYFUNCTION("""COMPUTED_VALUE"""),3500440.6799999997)</f>
        <v>3500440.68</v>
      </c>
      <c r="F42" s="115">
        <f>IFERROR(__xludf.DUMMYFUNCTION("""COMPUTED_VALUE"""),41365.0)</f>
        <v>41365</v>
      </c>
      <c r="G42" s="46">
        <f t="shared" si="1"/>
        <v>2013</v>
      </c>
      <c r="H42" s="46" t="str">
        <f t="shared" si="2"/>
        <v>April</v>
      </c>
    </row>
    <row r="43">
      <c r="A43" s="46">
        <f>IFERROR(__xludf.DUMMYFUNCTION("""COMPUTED_VALUE"""),5.0)</f>
        <v>5</v>
      </c>
      <c r="B43" s="46">
        <f>IFERROR(__xludf.DUMMYFUNCTION("""COMPUTED_VALUE"""),17178.0)</f>
        <v>17178</v>
      </c>
      <c r="C43" s="46">
        <f>IFERROR(__xludf.DUMMYFUNCTION("""COMPUTED_VALUE"""),6725945.370000001)</f>
        <v>6725945.37</v>
      </c>
      <c r="D43" s="46">
        <f>IFERROR(__xludf.DUMMYFUNCTION("""COMPUTED_VALUE"""),5140016.620000001)</f>
        <v>5140016.62</v>
      </c>
      <c r="E43" s="46">
        <f>IFERROR(__xludf.DUMMYFUNCTION("""COMPUTED_VALUE"""),1585928.75)</f>
        <v>1585928.75</v>
      </c>
      <c r="F43" s="115">
        <f>IFERROR(__xludf.DUMMYFUNCTION("""COMPUTED_VALUE"""),41395.0)</f>
        <v>41395</v>
      </c>
      <c r="G43" s="46">
        <f t="shared" si="1"/>
        <v>2013</v>
      </c>
      <c r="H43" s="46" t="str">
        <f t="shared" si="2"/>
        <v>May</v>
      </c>
    </row>
    <row r="44">
      <c r="A44" s="46">
        <f>IFERROR(__xludf.DUMMYFUNCTION("""COMPUTED_VALUE"""),15.0)</f>
        <v>15</v>
      </c>
      <c r="B44" s="46">
        <f>IFERROR(__xludf.DUMMYFUNCTION("""COMPUTED_VALUE"""),81240.0)</f>
        <v>81240</v>
      </c>
      <c r="C44" s="46">
        <f>IFERROR(__xludf.DUMMYFUNCTION("""COMPUTED_VALUE"""),1.3885729399999999E7)</f>
        <v>13885729.4</v>
      </c>
      <c r="D44" s="46">
        <f>IFERROR(__xludf.DUMMYFUNCTION("""COMPUTED_VALUE"""),8221301.27)</f>
        <v>8221301.27</v>
      </c>
      <c r="E44" s="46">
        <f>IFERROR(__xludf.DUMMYFUNCTION("""COMPUTED_VALUE"""),5664428.130000001)</f>
        <v>5664428.13</v>
      </c>
      <c r="F44" s="115">
        <f>IFERROR(__xludf.DUMMYFUNCTION("""COMPUTED_VALUE"""),41426.0)</f>
        <v>41426</v>
      </c>
      <c r="G44" s="46">
        <f t="shared" si="1"/>
        <v>2013</v>
      </c>
      <c r="H44" s="46" t="str">
        <f t="shared" si="2"/>
        <v>June</v>
      </c>
    </row>
    <row r="45">
      <c r="A45" s="46">
        <f>IFERROR(__xludf.DUMMYFUNCTION("""COMPUTED_VALUE"""),14.0)</f>
        <v>14</v>
      </c>
      <c r="B45" s="46">
        <f>IFERROR(__xludf.DUMMYFUNCTION("""COMPUTED_VALUE"""),66329.0)</f>
        <v>66329</v>
      </c>
      <c r="C45" s="46">
        <f>IFERROR(__xludf.DUMMYFUNCTION("""COMPUTED_VALUE"""),1.2169244659999998E7)</f>
        <v>12169244.66</v>
      </c>
      <c r="D45" s="46">
        <f>IFERROR(__xludf.DUMMYFUNCTION("""COMPUTED_VALUE"""),7933285.63)</f>
        <v>7933285.63</v>
      </c>
      <c r="E45" s="46">
        <f>IFERROR(__xludf.DUMMYFUNCTION("""COMPUTED_VALUE"""),4235959.03)</f>
        <v>4235959.03</v>
      </c>
      <c r="F45" s="115">
        <f>IFERROR(__xludf.DUMMYFUNCTION("""COMPUTED_VALUE"""),41456.0)</f>
        <v>41456</v>
      </c>
      <c r="G45" s="46">
        <f t="shared" si="1"/>
        <v>2013</v>
      </c>
      <c r="H45" s="46" t="str">
        <f t="shared" si="2"/>
        <v>July</v>
      </c>
    </row>
    <row r="46">
      <c r="A46" s="46">
        <f>IFERROR(__xludf.DUMMYFUNCTION("""COMPUTED_VALUE"""),7.0)</f>
        <v>7</v>
      </c>
      <c r="B46" s="46">
        <f>IFERROR(__xludf.DUMMYFUNCTION("""COMPUTED_VALUE"""),20976.0)</f>
        <v>20976</v>
      </c>
      <c r="C46" s="46">
        <f>IFERROR(__xludf.DUMMYFUNCTION("""COMPUTED_VALUE"""),4330202.62)</f>
        <v>4330202.62</v>
      </c>
      <c r="D46" s="46">
        <f>IFERROR(__xludf.DUMMYFUNCTION("""COMPUTED_VALUE"""),2912001.14)</f>
        <v>2912001.14</v>
      </c>
      <c r="E46" s="46">
        <f>IFERROR(__xludf.DUMMYFUNCTION("""COMPUTED_VALUE"""),1418201.4800000002)</f>
        <v>1418201.48</v>
      </c>
      <c r="F46" s="115">
        <f>IFERROR(__xludf.DUMMYFUNCTION("""COMPUTED_VALUE"""),41487.0)</f>
        <v>41487</v>
      </c>
      <c r="G46" s="46">
        <f t="shared" si="1"/>
        <v>2013</v>
      </c>
      <c r="H46" s="46" t="str">
        <f t="shared" si="2"/>
        <v>August</v>
      </c>
    </row>
    <row r="47">
      <c r="A47" s="46">
        <f>IFERROR(__xludf.DUMMYFUNCTION("""COMPUTED_VALUE"""),15.0)</f>
        <v>15</v>
      </c>
      <c r="B47" s="46">
        <f>IFERROR(__xludf.DUMMYFUNCTION("""COMPUTED_VALUE"""),74867.0)</f>
        <v>74867</v>
      </c>
      <c r="C47" s="46">
        <f>IFERROR(__xludf.DUMMYFUNCTION("""COMPUTED_VALUE"""),1.8779556759999998E7)</f>
        <v>18779556.76</v>
      </c>
      <c r="D47" s="46">
        <f>IFERROR(__xludf.DUMMYFUNCTION("""COMPUTED_VALUE"""),1.2744065009999998E7)</f>
        <v>12744065.01</v>
      </c>
      <c r="E47" s="46">
        <f>IFERROR(__xludf.DUMMYFUNCTION("""COMPUTED_VALUE"""),6035491.75)</f>
        <v>6035491.75</v>
      </c>
      <c r="F47" s="115">
        <f>IFERROR(__xludf.DUMMYFUNCTION("""COMPUTED_VALUE"""),41518.0)</f>
        <v>41518</v>
      </c>
      <c r="G47" s="46">
        <f t="shared" si="1"/>
        <v>2013</v>
      </c>
      <c r="H47" s="46" t="str">
        <f t="shared" si="2"/>
        <v>September</v>
      </c>
    </row>
    <row r="48">
      <c r="A48" s="46">
        <f>IFERROR(__xludf.DUMMYFUNCTION("""COMPUTED_VALUE"""),16.0)</f>
        <v>16</v>
      </c>
      <c r="B48" s="46">
        <f>IFERROR(__xludf.DUMMYFUNCTION("""COMPUTED_VALUE"""),89405.0)</f>
        <v>89405</v>
      </c>
      <c r="C48" s="46">
        <f>IFERROR(__xludf.DUMMYFUNCTION("""COMPUTED_VALUE"""),1.3726574290000001E7)</f>
        <v>13726574.29</v>
      </c>
      <c r="D48" s="46">
        <f>IFERROR(__xludf.DUMMYFUNCTION("""COMPUTED_VALUE"""),9127727.3)</f>
        <v>9127727.3</v>
      </c>
      <c r="E48" s="46">
        <f>IFERROR(__xludf.DUMMYFUNCTION("""COMPUTED_VALUE"""),4598846.989999999)</f>
        <v>4598846.99</v>
      </c>
      <c r="F48" s="115">
        <f>IFERROR(__xludf.DUMMYFUNCTION("""COMPUTED_VALUE"""),41548.0)</f>
        <v>41548</v>
      </c>
      <c r="G48" s="46">
        <f t="shared" si="1"/>
        <v>2013</v>
      </c>
      <c r="H48" s="46" t="str">
        <f t="shared" si="2"/>
        <v>October</v>
      </c>
    </row>
    <row r="49">
      <c r="A49" s="46">
        <f>IFERROR(__xludf.DUMMYFUNCTION("""COMPUTED_VALUE"""),19.0)</f>
        <v>19</v>
      </c>
      <c r="B49" s="46">
        <f>IFERROR(__xludf.DUMMYFUNCTION("""COMPUTED_VALUE"""),101545.0)</f>
        <v>101545</v>
      </c>
      <c r="C49" s="46">
        <f>IFERROR(__xludf.DUMMYFUNCTION("""COMPUTED_VALUE"""),3.1202909910000004E7)</f>
        <v>31202909.91</v>
      </c>
      <c r="D49" s="46">
        <f>IFERROR(__xludf.DUMMYFUNCTION("""COMPUTED_VALUE"""),2.327822081E7)</f>
        <v>23278220.81</v>
      </c>
      <c r="E49" s="46">
        <f>IFERROR(__xludf.DUMMYFUNCTION("""COMPUTED_VALUE"""),7924689.100000001)</f>
        <v>7924689.1</v>
      </c>
      <c r="F49" s="115">
        <f>IFERROR(__xludf.DUMMYFUNCTION("""COMPUTED_VALUE"""),41579.0)</f>
        <v>41579</v>
      </c>
      <c r="G49" s="46">
        <f t="shared" si="1"/>
        <v>2013</v>
      </c>
      <c r="H49" s="46" t="str">
        <f t="shared" si="2"/>
        <v>November</v>
      </c>
    </row>
    <row r="50">
      <c r="A50" s="46">
        <f>IFERROR(__xludf.DUMMYFUNCTION("""COMPUTED_VALUE"""),9.0)</f>
        <v>9</v>
      </c>
      <c r="B50" s="46">
        <f>IFERROR(__xludf.DUMMYFUNCTION("""COMPUTED_VALUE"""),52949.0)</f>
        <v>52949</v>
      </c>
      <c r="C50" s="46">
        <f>IFERROR(__xludf.DUMMYFUNCTION("""COMPUTED_VALUE"""),1.4264574969999999E7)</f>
        <v>14264574.97</v>
      </c>
      <c r="D50" s="46">
        <f>IFERROR(__xludf.DUMMYFUNCTION("""COMPUTED_VALUE"""),1.1383156520000001E7)</f>
        <v>11383156.52</v>
      </c>
      <c r="E50" s="46">
        <f>IFERROR(__xludf.DUMMYFUNCTION("""COMPUTED_VALUE"""),2881418.4499999997)</f>
        <v>2881418.45</v>
      </c>
      <c r="F50" s="115">
        <f>IFERROR(__xludf.DUMMYFUNCTION("""COMPUTED_VALUE"""),41609.0)</f>
        <v>41609</v>
      </c>
      <c r="G50" s="46">
        <f t="shared" si="1"/>
        <v>2013</v>
      </c>
      <c r="H50" s="46" t="str">
        <f t="shared" si="2"/>
        <v>December</v>
      </c>
    </row>
    <row r="51">
      <c r="A51" s="46">
        <f>IFERROR(__xludf.DUMMYFUNCTION("""COMPUTED_VALUE"""),22.0)</f>
        <v>22</v>
      </c>
      <c r="B51" s="46">
        <f>IFERROR(__xludf.DUMMYFUNCTION("""COMPUTED_VALUE"""),95135.0)</f>
        <v>95135</v>
      </c>
      <c r="C51" s="46">
        <f>IFERROR(__xludf.DUMMYFUNCTION("""COMPUTED_VALUE"""),2.478811736E7)</f>
        <v>24788117.36</v>
      </c>
      <c r="D51" s="46">
        <f>IFERROR(__xludf.DUMMYFUNCTION("""COMPUTED_VALUE"""),1.7917861919999998E7)</f>
        <v>17917861.92</v>
      </c>
      <c r="E51" s="46">
        <f>IFERROR(__xludf.DUMMYFUNCTION("""COMPUTED_VALUE"""),6870255.4399999995)</f>
        <v>6870255.44</v>
      </c>
      <c r="F51" s="115">
        <f>IFERROR(__xludf.DUMMYFUNCTION("""COMPUTED_VALUE"""),41640.0)</f>
        <v>41640</v>
      </c>
      <c r="G51" s="46">
        <f t="shared" si="1"/>
        <v>2014</v>
      </c>
      <c r="H51" s="46" t="str">
        <f t="shared" si="2"/>
        <v>January</v>
      </c>
    </row>
    <row r="52">
      <c r="A52" s="46">
        <f>IFERROR(__xludf.DUMMYFUNCTION("""COMPUTED_VALUE"""),10.0)</f>
        <v>10</v>
      </c>
      <c r="B52" s="46">
        <f>IFERROR(__xludf.DUMMYFUNCTION("""COMPUTED_VALUE"""),41649.0)</f>
        <v>41649</v>
      </c>
      <c r="C52" s="46">
        <f>IFERROR(__xludf.DUMMYFUNCTION("""COMPUTED_VALUE"""),6654650.100000001)</f>
        <v>6654650.1</v>
      </c>
      <c r="D52" s="46">
        <f>IFERROR(__xludf.DUMMYFUNCTION("""COMPUTED_VALUE"""),4517244.960000001)</f>
        <v>4517244.96</v>
      </c>
      <c r="E52" s="46">
        <f>IFERROR(__xludf.DUMMYFUNCTION("""COMPUTED_VALUE"""),2137405.14)</f>
        <v>2137405.14</v>
      </c>
      <c r="F52" s="115">
        <f>IFERROR(__xludf.DUMMYFUNCTION("""COMPUTED_VALUE"""),41671.0)</f>
        <v>41671</v>
      </c>
      <c r="G52" s="46">
        <f t="shared" si="1"/>
        <v>2014</v>
      </c>
      <c r="H52" s="46" t="str">
        <f t="shared" si="2"/>
        <v>February</v>
      </c>
    </row>
    <row r="53">
      <c r="A53" s="46">
        <f>IFERROR(__xludf.DUMMYFUNCTION("""COMPUTED_VALUE"""),22.0)</f>
        <v>22</v>
      </c>
      <c r="B53" s="46">
        <f>IFERROR(__xludf.DUMMYFUNCTION("""COMPUTED_VALUE"""),96400.0)</f>
        <v>96400</v>
      </c>
      <c r="C53" s="46">
        <f>IFERROR(__xludf.DUMMYFUNCTION("""COMPUTED_VALUE"""),3.2116595809999995E7)</f>
        <v>32116595.81</v>
      </c>
      <c r="D53" s="46">
        <f>IFERROR(__xludf.DUMMYFUNCTION("""COMPUTED_VALUE"""),2.069542619E7)</f>
        <v>20695426.19</v>
      </c>
      <c r="E53" s="46">
        <f>IFERROR(__xludf.DUMMYFUNCTION("""COMPUTED_VALUE"""),1.1421169620000001E7)</f>
        <v>11421169.62</v>
      </c>
      <c r="F53" s="115">
        <f>IFERROR(__xludf.DUMMYFUNCTION("""COMPUTED_VALUE"""),41699.0)</f>
        <v>41699</v>
      </c>
      <c r="G53" s="46">
        <f t="shared" si="1"/>
        <v>2014</v>
      </c>
      <c r="H53" s="46" t="str">
        <f t="shared" si="2"/>
        <v>March</v>
      </c>
    </row>
    <row r="54">
      <c r="A54" s="46">
        <f>IFERROR(__xludf.DUMMYFUNCTION("""COMPUTED_VALUE"""),14.0)</f>
        <v>14</v>
      </c>
      <c r="B54" s="46">
        <f>IFERROR(__xludf.DUMMYFUNCTION("""COMPUTED_VALUE"""),61653.0)</f>
        <v>61653</v>
      </c>
      <c r="C54" s="46">
        <f>IFERROR(__xludf.DUMMYFUNCTION("""COMPUTED_VALUE"""),1.332610706E7)</f>
        <v>13326107.06</v>
      </c>
      <c r="D54" s="46">
        <f>IFERROR(__xludf.DUMMYFUNCTION("""COMPUTED_VALUE"""),8358519.070000001)</f>
        <v>8358519.07</v>
      </c>
      <c r="E54" s="46">
        <f>IFERROR(__xludf.DUMMYFUNCTION("""COMPUTED_VALUE"""),4967587.99)</f>
        <v>4967587.99</v>
      </c>
      <c r="F54" s="115">
        <f>IFERROR(__xludf.DUMMYFUNCTION("""COMPUTED_VALUE"""),41730.0)</f>
        <v>41730</v>
      </c>
      <c r="G54" s="46">
        <f t="shared" si="1"/>
        <v>2014</v>
      </c>
      <c r="H54" s="46" t="str">
        <f t="shared" si="2"/>
        <v>April</v>
      </c>
    </row>
    <row r="55">
      <c r="A55" s="46">
        <f>IFERROR(__xludf.DUMMYFUNCTION("""COMPUTED_VALUE"""),19.0)</f>
        <v>19</v>
      </c>
      <c r="B55" s="46">
        <f>IFERROR(__xludf.DUMMYFUNCTION("""COMPUTED_VALUE"""),108905.0)</f>
        <v>108905</v>
      </c>
      <c r="C55" s="46">
        <f>IFERROR(__xludf.DUMMYFUNCTION("""COMPUTED_VALUE"""),2.4521330019999996E7)</f>
        <v>24521330.02</v>
      </c>
      <c r="D55" s="46">
        <f>IFERROR(__xludf.DUMMYFUNCTION("""COMPUTED_VALUE"""),1.7088932779999997E7)</f>
        <v>17088932.78</v>
      </c>
      <c r="E55" s="46">
        <f>IFERROR(__xludf.DUMMYFUNCTION("""COMPUTED_VALUE"""),7432397.240000001)</f>
        <v>7432397.24</v>
      </c>
      <c r="F55" s="115">
        <f>IFERROR(__xludf.DUMMYFUNCTION("""COMPUTED_VALUE"""),41760.0)</f>
        <v>41760</v>
      </c>
      <c r="G55" s="46">
        <f t="shared" si="1"/>
        <v>2014</v>
      </c>
      <c r="H55" s="46" t="str">
        <f t="shared" si="2"/>
        <v>May</v>
      </c>
    </row>
    <row r="56">
      <c r="A56" s="46">
        <f>IFERROR(__xludf.DUMMYFUNCTION("""COMPUTED_VALUE"""),19.0)</f>
        <v>19</v>
      </c>
      <c r="B56" s="46">
        <f>IFERROR(__xludf.DUMMYFUNCTION("""COMPUTED_VALUE"""),96886.0)</f>
        <v>96886</v>
      </c>
      <c r="C56" s="46">
        <f>IFERROR(__xludf.DUMMYFUNCTION("""COMPUTED_VALUE"""),3.164112365E7)</f>
        <v>31641123.65</v>
      </c>
      <c r="D56" s="46">
        <f>IFERROR(__xludf.DUMMYFUNCTION("""COMPUTED_VALUE"""),2.4550383269999996E7)</f>
        <v>24550383.27</v>
      </c>
      <c r="E56" s="46">
        <f>IFERROR(__xludf.DUMMYFUNCTION("""COMPUTED_VALUE"""),7090740.38)</f>
        <v>7090740.38</v>
      </c>
      <c r="F56" s="115">
        <f>IFERROR(__xludf.DUMMYFUNCTION("""COMPUTED_VALUE"""),41791.0)</f>
        <v>41791</v>
      </c>
      <c r="G56" s="46">
        <f t="shared" si="1"/>
        <v>2014</v>
      </c>
      <c r="H56" s="46" t="str">
        <f t="shared" si="2"/>
        <v>June</v>
      </c>
    </row>
    <row r="57">
      <c r="A57" s="46">
        <f>IFERROR(__xludf.DUMMYFUNCTION("""COMPUTED_VALUE"""),16.0)</f>
        <v>16</v>
      </c>
      <c r="B57" s="46">
        <f>IFERROR(__xludf.DUMMYFUNCTION("""COMPUTED_VALUE"""),69043.0)</f>
        <v>69043</v>
      </c>
      <c r="C57" s="46">
        <f>IFERROR(__xludf.DUMMYFUNCTION("""COMPUTED_VALUE"""),2.10229985E7)</f>
        <v>21022998.5</v>
      </c>
      <c r="D57" s="46">
        <f>IFERROR(__xludf.DUMMYFUNCTION("""COMPUTED_VALUE"""),1.522237255E7)</f>
        <v>15222372.55</v>
      </c>
      <c r="E57" s="46">
        <f>IFERROR(__xludf.DUMMYFUNCTION("""COMPUTED_VALUE"""),5800625.949999998)</f>
        <v>5800625.95</v>
      </c>
      <c r="F57" s="115">
        <f>IFERROR(__xludf.DUMMYFUNCTION("""COMPUTED_VALUE"""),41821.0)</f>
        <v>41821</v>
      </c>
      <c r="G57" s="46">
        <f t="shared" si="1"/>
        <v>2014</v>
      </c>
      <c r="H57" s="46" t="str">
        <f t="shared" si="2"/>
        <v>July</v>
      </c>
    </row>
    <row r="58">
      <c r="A58" s="46">
        <f>IFERROR(__xludf.DUMMYFUNCTION("""COMPUTED_VALUE"""),20.0)</f>
        <v>20</v>
      </c>
      <c r="B58" s="46">
        <f>IFERROR(__xludf.DUMMYFUNCTION("""COMPUTED_VALUE"""),99171.0)</f>
        <v>99171</v>
      </c>
      <c r="C58" s="46">
        <f>IFERROR(__xludf.DUMMYFUNCTION("""COMPUTED_VALUE"""),3.36976257E7)</f>
        <v>33697625.7</v>
      </c>
      <c r="D58" s="46">
        <f>IFERROR(__xludf.DUMMYFUNCTION("""COMPUTED_VALUE"""),2.4353232510000005E7)</f>
        <v>24353232.51</v>
      </c>
      <c r="E58" s="46">
        <f>IFERROR(__xludf.DUMMYFUNCTION("""COMPUTED_VALUE"""),9344393.19)</f>
        <v>9344393.19</v>
      </c>
      <c r="F58" s="115">
        <f>IFERROR(__xludf.DUMMYFUNCTION("""COMPUTED_VALUE"""),41852.0)</f>
        <v>41852</v>
      </c>
      <c r="G58" s="46">
        <f t="shared" si="1"/>
        <v>2014</v>
      </c>
      <c r="H58" s="46" t="str">
        <f t="shared" si="2"/>
        <v>August</v>
      </c>
    </row>
    <row r="59">
      <c r="A59" s="46">
        <f>IFERROR(__xludf.DUMMYFUNCTION("""COMPUTED_VALUE"""),11.0)</f>
        <v>11</v>
      </c>
      <c r="B59" s="46">
        <f>IFERROR(__xludf.DUMMYFUNCTION("""COMPUTED_VALUE"""),72558.0)</f>
        <v>72558</v>
      </c>
      <c r="C59" s="46">
        <f>IFERROR(__xludf.DUMMYFUNCTION("""COMPUTED_VALUE"""),1.9394569339999996E7)</f>
        <v>19394569.34</v>
      </c>
      <c r="D59" s="46">
        <f>IFERROR(__xludf.DUMMYFUNCTION("""COMPUTED_VALUE"""),1.24189926E7)</f>
        <v>12418992.6</v>
      </c>
      <c r="E59" s="46">
        <f>IFERROR(__xludf.DUMMYFUNCTION("""COMPUTED_VALUE"""),6975576.74)</f>
        <v>6975576.74</v>
      </c>
      <c r="F59" s="115">
        <f>IFERROR(__xludf.DUMMYFUNCTION("""COMPUTED_VALUE"""),41883.0)</f>
        <v>41883</v>
      </c>
      <c r="G59" s="46">
        <f t="shared" si="1"/>
        <v>2014</v>
      </c>
      <c r="H59" s="46" t="str">
        <f t="shared" si="2"/>
        <v>September</v>
      </c>
    </row>
    <row r="60">
      <c r="A60" s="46">
        <f>IFERROR(__xludf.DUMMYFUNCTION("""COMPUTED_VALUE"""),13.0)</f>
        <v>13</v>
      </c>
      <c r="B60" s="46">
        <f>IFERROR(__xludf.DUMMYFUNCTION("""COMPUTED_VALUE"""),50685.0)</f>
        <v>50685</v>
      </c>
      <c r="C60" s="46">
        <f>IFERROR(__xludf.DUMMYFUNCTION("""COMPUTED_VALUE"""),1.0257380520000001E7)</f>
        <v>10257380.52</v>
      </c>
      <c r="D60" s="46">
        <f>IFERROR(__xludf.DUMMYFUNCTION("""COMPUTED_VALUE"""),7318658.030000001)</f>
        <v>7318658.03</v>
      </c>
      <c r="E60" s="46">
        <f>IFERROR(__xludf.DUMMYFUNCTION("""COMPUTED_VALUE"""),2938722.49)</f>
        <v>2938722.49</v>
      </c>
      <c r="F60" s="115">
        <f>IFERROR(__xludf.DUMMYFUNCTION("""COMPUTED_VALUE"""),41913.0)</f>
        <v>41913</v>
      </c>
      <c r="G60" s="46">
        <f t="shared" si="1"/>
        <v>2014</v>
      </c>
      <c r="H60" s="46" t="str">
        <f t="shared" si="2"/>
        <v>October</v>
      </c>
    </row>
    <row r="61">
      <c r="A61" s="46">
        <f>IFERROR(__xludf.DUMMYFUNCTION("""COMPUTED_VALUE"""),11.0)</f>
        <v>11</v>
      </c>
      <c r="B61" s="46">
        <f>IFERROR(__xludf.DUMMYFUNCTION("""COMPUTED_VALUE"""),65078.0)</f>
        <v>65078</v>
      </c>
      <c r="C61" s="46">
        <f>IFERROR(__xludf.DUMMYFUNCTION("""COMPUTED_VALUE"""),1.171490482E7)</f>
        <v>11714904.82</v>
      </c>
      <c r="D61" s="46">
        <f>IFERROR(__xludf.DUMMYFUNCTION("""COMPUTED_VALUE"""),8317239.5)</f>
        <v>8317239.5</v>
      </c>
      <c r="E61" s="46">
        <f>IFERROR(__xludf.DUMMYFUNCTION("""COMPUTED_VALUE"""),3397665.319999999)</f>
        <v>3397665.32</v>
      </c>
      <c r="F61" s="115">
        <f>IFERROR(__xludf.DUMMYFUNCTION("""COMPUTED_VALUE"""),41944.0)</f>
        <v>41944</v>
      </c>
      <c r="G61" s="46">
        <f t="shared" si="1"/>
        <v>2014</v>
      </c>
      <c r="H61" s="46" t="str">
        <f t="shared" si="2"/>
        <v>November</v>
      </c>
    </row>
    <row r="62">
      <c r="A62" s="46">
        <f>IFERROR(__xludf.DUMMYFUNCTION("""COMPUTED_VALUE"""),11.0)</f>
        <v>11</v>
      </c>
      <c r="B62" s="46">
        <f>IFERROR(__xludf.DUMMYFUNCTION("""COMPUTED_VALUE"""),57480.0)</f>
        <v>57480</v>
      </c>
      <c r="C62" s="46">
        <f>IFERROR(__xludf.DUMMYFUNCTION("""COMPUTED_VALUE"""),9647368.410000002)</f>
        <v>9647368.41</v>
      </c>
      <c r="D62" s="46">
        <f>IFERROR(__xludf.DUMMYFUNCTION("""COMPUTED_VALUE"""),6426437.2299999995)</f>
        <v>6426437.23</v>
      </c>
      <c r="E62" s="46">
        <f>IFERROR(__xludf.DUMMYFUNCTION("""COMPUTED_VALUE"""),3220931.18)</f>
        <v>3220931.18</v>
      </c>
      <c r="F62" s="115">
        <f>IFERROR(__xludf.DUMMYFUNCTION("""COMPUTED_VALUE"""),41974.0)</f>
        <v>41974</v>
      </c>
      <c r="G62" s="46">
        <f t="shared" si="1"/>
        <v>2014</v>
      </c>
      <c r="H62" s="46" t="str">
        <f t="shared" si="2"/>
        <v>December</v>
      </c>
    </row>
    <row r="63">
      <c r="A63" s="46">
        <f>IFERROR(__xludf.DUMMYFUNCTION("""COMPUTED_VALUE"""),17.0)</f>
        <v>17</v>
      </c>
      <c r="B63" s="46">
        <f>IFERROR(__xludf.DUMMYFUNCTION("""COMPUTED_VALUE"""),73743.0)</f>
        <v>73743</v>
      </c>
      <c r="C63" s="46">
        <f>IFERROR(__xludf.DUMMYFUNCTION("""COMPUTED_VALUE"""),1.5494794130000003E7)</f>
        <v>15494794.13</v>
      </c>
      <c r="D63" s="46">
        <f>IFERROR(__xludf.DUMMYFUNCTION("""COMPUTED_VALUE"""),9815037.9)</f>
        <v>9815037.9</v>
      </c>
      <c r="E63" s="46">
        <f>IFERROR(__xludf.DUMMYFUNCTION("""COMPUTED_VALUE"""),5679756.23)</f>
        <v>5679756.23</v>
      </c>
      <c r="F63" s="115">
        <f>IFERROR(__xludf.DUMMYFUNCTION("""COMPUTED_VALUE"""),42005.0)</f>
        <v>42005</v>
      </c>
      <c r="G63" s="46">
        <f t="shared" si="1"/>
        <v>2015</v>
      </c>
      <c r="H63" s="46" t="str">
        <f t="shared" si="2"/>
        <v>January</v>
      </c>
    </row>
    <row r="64">
      <c r="A64" s="46">
        <f>IFERROR(__xludf.DUMMYFUNCTION("""COMPUTED_VALUE"""),9.0)</f>
        <v>9</v>
      </c>
      <c r="B64" s="46">
        <f>IFERROR(__xludf.DUMMYFUNCTION("""COMPUTED_VALUE"""),37851.0)</f>
        <v>37851</v>
      </c>
      <c r="C64" s="46">
        <f>IFERROR(__xludf.DUMMYFUNCTION("""COMPUTED_VALUE"""),1.482009335E7)</f>
        <v>14820093.35</v>
      </c>
      <c r="D64" s="46">
        <f>IFERROR(__xludf.DUMMYFUNCTION("""COMPUTED_VALUE"""),1.100723941E7)</f>
        <v>11007239.41</v>
      </c>
      <c r="E64" s="46">
        <f>IFERROR(__xludf.DUMMYFUNCTION("""COMPUTED_VALUE"""),3812853.9400000004)</f>
        <v>3812853.94</v>
      </c>
      <c r="F64" s="115">
        <f>IFERROR(__xludf.DUMMYFUNCTION("""COMPUTED_VALUE"""),42036.0)</f>
        <v>42036</v>
      </c>
      <c r="G64" s="46">
        <f t="shared" si="1"/>
        <v>2015</v>
      </c>
      <c r="H64" s="46" t="str">
        <f t="shared" si="2"/>
        <v>February</v>
      </c>
    </row>
    <row r="65">
      <c r="A65" s="46">
        <f>IFERROR(__xludf.DUMMYFUNCTION("""COMPUTED_VALUE"""),18.0)</f>
        <v>18</v>
      </c>
      <c r="B65" s="46">
        <f>IFERROR(__xludf.DUMMYFUNCTION("""COMPUTED_VALUE"""),78568.0)</f>
        <v>78568</v>
      </c>
      <c r="C65" s="46">
        <f>IFERROR(__xludf.DUMMYFUNCTION("""COMPUTED_VALUE"""),2.1965270109999996E7)</f>
        <v>21965270.11</v>
      </c>
      <c r="D65" s="46">
        <f>IFERROR(__xludf.DUMMYFUNCTION("""COMPUTED_VALUE"""),1.68027121E7)</f>
        <v>16802712.1</v>
      </c>
      <c r="E65" s="46">
        <f>IFERROR(__xludf.DUMMYFUNCTION("""COMPUTED_VALUE"""),5162558.01)</f>
        <v>5162558.01</v>
      </c>
      <c r="F65" s="115">
        <f>IFERROR(__xludf.DUMMYFUNCTION("""COMPUTED_VALUE"""),42064.0)</f>
        <v>42064</v>
      </c>
      <c r="G65" s="46">
        <f t="shared" si="1"/>
        <v>2015</v>
      </c>
      <c r="H65" s="46" t="str">
        <f t="shared" si="2"/>
        <v>March</v>
      </c>
    </row>
    <row r="66">
      <c r="A66" s="46">
        <f>IFERROR(__xludf.DUMMYFUNCTION("""COMPUTED_VALUE"""),11.0)</f>
        <v>11</v>
      </c>
      <c r="B66" s="46">
        <f>IFERROR(__xludf.DUMMYFUNCTION("""COMPUTED_VALUE"""),48300.0)</f>
        <v>48300</v>
      </c>
      <c r="C66" s="46">
        <f>IFERROR(__xludf.DUMMYFUNCTION("""COMPUTED_VALUE"""),1.2340675110000001E7)</f>
        <v>12340675.11</v>
      </c>
      <c r="D66" s="46">
        <f>IFERROR(__xludf.DUMMYFUNCTION("""COMPUTED_VALUE"""),8836772.47)</f>
        <v>8836772.47</v>
      </c>
      <c r="E66" s="46">
        <f>IFERROR(__xludf.DUMMYFUNCTION("""COMPUTED_VALUE"""),3503902.64)</f>
        <v>3503902.64</v>
      </c>
      <c r="F66" s="115">
        <f>IFERROR(__xludf.DUMMYFUNCTION("""COMPUTED_VALUE"""),42095.0)</f>
        <v>42095</v>
      </c>
      <c r="G66" s="46">
        <f t="shared" si="1"/>
        <v>2015</v>
      </c>
      <c r="H66" s="46" t="str">
        <f t="shared" si="2"/>
        <v>April</v>
      </c>
    </row>
    <row r="67">
      <c r="A67" s="46">
        <f>IFERROR(__xludf.DUMMYFUNCTION("""COMPUTED_VALUE"""),15.0)</f>
        <v>15</v>
      </c>
      <c r="B67" s="46">
        <f>IFERROR(__xludf.DUMMYFUNCTION("""COMPUTED_VALUE"""),64489.0)</f>
        <v>64489</v>
      </c>
      <c r="C67" s="46">
        <f>IFERROR(__xludf.DUMMYFUNCTION("""COMPUTED_VALUE"""),2.392719081E7)</f>
        <v>23927190.81</v>
      </c>
      <c r="D67" s="46">
        <f>IFERROR(__xludf.DUMMYFUNCTION("""COMPUTED_VALUE"""),1.671036487E7)</f>
        <v>16710364.87</v>
      </c>
      <c r="E67" s="46">
        <f>IFERROR(__xludf.DUMMYFUNCTION("""COMPUTED_VALUE"""),7216825.939999999)</f>
        <v>7216825.94</v>
      </c>
      <c r="F67" s="115">
        <f>IFERROR(__xludf.DUMMYFUNCTION("""COMPUTED_VALUE"""),42125.0)</f>
        <v>42125</v>
      </c>
      <c r="G67" s="46">
        <f t="shared" si="1"/>
        <v>2015</v>
      </c>
      <c r="H67" s="46" t="str">
        <f t="shared" si="2"/>
        <v>May</v>
      </c>
    </row>
    <row r="68">
      <c r="A68" s="46">
        <f>IFERROR(__xludf.DUMMYFUNCTION("""COMPUTED_VALUE"""),12.0)</f>
        <v>12</v>
      </c>
      <c r="B68" s="46">
        <f>IFERROR(__xludf.DUMMYFUNCTION("""COMPUTED_VALUE"""),83245.0)</f>
        <v>83245</v>
      </c>
      <c r="C68" s="46">
        <f>IFERROR(__xludf.DUMMYFUNCTION("""COMPUTED_VALUE"""),1.453761042E7)</f>
        <v>14537610.42</v>
      </c>
      <c r="D68" s="46">
        <f>IFERROR(__xludf.DUMMYFUNCTION("""COMPUTED_VALUE"""),9826952.33)</f>
        <v>9826952.33</v>
      </c>
      <c r="E68" s="46">
        <f>IFERROR(__xludf.DUMMYFUNCTION("""COMPUTED_VALUE"""),4710658.09)</f>
        <v>4710658.09</v>
      </c>
      <c r="F68" s="115">
        <f>IFERROR(__xludf.DUMMYFUNCTION("""COMPUTED_VALUE"""),42156.0)</f>
        <v>42156</v>
      </c>
      <c r="G68" s="46">
        <f t="shared" si="1"/>
        <v>2015</v>
      </c>
      <c r="H68" s="46" t="str">
        <f t="shared" si="2"/>
        <v>June</v>
      </c>
    </row>
    <row r="69">
      <c r="A69" s="46">
        <f>IFERROR(__xludf.DUMMYFUNCTION("""COMPUTED_VALUE"""),15.0)</f>
        <v>15</v>
      </c>
      <c r="B69" s="46">
        <f>IFERROR(__xludf.DUMMYFUNCTION("""COMPUTED_VALUE"""),51906.0)</f>
        <v>51906</v>
      </c>
      <c r="C69" s="46">
        <f>IFERROR(__xludf.DUMMYFUNCTION("""COMPUTED_VALUE"""),1.4590715200000001E7)</f>
        <v>14590715.2</v>
      </c>
      <c r="D69" s="46">
        <f>IFERROR(__xludf.DUMMYFUNCTION("""COMPUTED_VALUE"""),1.1160768769999996E7)</f>
        <v>11160768.77</v>
      </c>
      <c r="E69" s="46">
        <f>IFERROR(__xludf.DUMMYFUNCTION("""COMPUTED_VALUE"""),3429946.43)</f>
        <v>3429946.43</v>
      </c>
      <c r="F69" s="115">
        <f>IFERROR(__xludf.DUMMYFUNCTION("""COMPUTED_VALUE"""),42186.0)</f>
        <v>42186</v>
      </c>
      <c r="G69" s="46">
        <f t="shared" si="1"/>
        <v>2015</v>
      </c>
      <c r="H69" s="46" t="str">
        <f t="shared" si="2"/>
        <v>July</v>
      </c>
    </row>
    <row r="70">
      <c r="A70" s="46">
        <f>IFERROR(__xludf.DUMMYFUNCTION("""COMPUTED_VALUE"""),13.0)</f>
        <v>13</v>
      </c>
      <c r="B70" s="46">
        <f>IFERROR(__xludf.DUMMYFUNCTION("""COMPUTED_VALUE"""),68999.0)</f>
        <v>68999</v>
      </c>
      <c r="C70" s="46">
        <f>IFERROR(__xludf.DUMMYFUNCTION("""COMPUTED_VALUE"""),1.279956664E7)</f>
        <v>12799566.64</v>
      </c>
      <c r="D70" s="46">
        <f>IFERROR(__xludf.DUMMYFUNCTION("""COMPUTED_VALUE"""),8455423.010000002)</f>
        <v>8455423.01</v>
      </c>
      <c r="E70" s="46">
        <f>IFERROR(__xludf.DUMMYFUNCTION("""COMPUTED_VALUE"""),4344143.630000001)</f>
        <v>4344143.63</v>
      </c>
      <c r="F70" s="115">
        <f>IFERROR(__xludf.DUMMYFUNCTION("""COMPUTED_VALUE"""),42217.0)</f>
        <v>42217</v>
      </c>
      <c r="G70" s="46">
        <f t="shared" si="1"/>
        <v>2015</v>
      </c>
      <c r="H70" s="46" t="str">
        <f t="shared" si="2"/>
        <v>August</v>
      </c>
    </row>
    <row r="71">
      <c r="A71" s="46">
        <f>IFERROR(__xludf.DUMMYFUNCTION("""COMPUTED_VALUE"""),11.0)</f>
        <v>11</v>
      </c>
      <c r="B71" s="46">
        <f>IFERROR(__xludf.DUMMYFUNCTION("""COMPUTED_VALUE"""),56868.0)</f>
        <v>56868</v>
      </c>
      <c r="C71" s="46">
        <f>IFERROR(__xludf.DUMMYFUNCTION("""COMPUTED_VALUE"""),2.0402680529999997E7)</f>
        <v>20402680.53</v>
      </c>
      <c r="D71" s="46">
        <f>IFERROR(__xludf.DUMMYFUNCTION("""COMPUTED_VALUE"""),1.56821469E7)</f>
        <v>15682146.9</v>
      </c>
      <c r="E71" s="46">
        <f>IFERROR(__xludf.DUMMYFUNCTION("""COMPUTED_VALUE"""),4720533.63)</f>
        <v>4720533.63</v>
      </c>
      <c r="F71" s="115">
        <f>IFERROR(__xludf.DUMMYFUNCTION("""COMPUTED_VALUE"""),42248.0)</f>
        <v>42248</v>
      </c>
      <c r="G71" s="46">
        <f t="shared" si="1"/>
        <v>2015</v>
      </c>
      <c r="H71" s="46" t="str">
        <f t="shared" si="2"/>
        <v>September</v>
      </c>
    </row>
    <row r="72">
      <c r="A72" s="46">
        <f>IFERROR(__xludf.DUMMYFUNCTION("""COMPUTED_VALUE"""),9.0)</f>
        <v>9</v>
      </c>
      <c r="B72" s="46">
        <f>IFERROR(__xludf.DUMMYFUNCTION("""COMPUTED_VALUE"""),49160.0)</f>
        <v>49160</v>
      </c>
      <c r="C72" s="46">
        <f>IFERROR(__xludf.DUMMYFUNCTION("""COMPUTED_VALUE"""),1.726840778E7)</f>
        <v>17268407.78</v>
      </c>
      <c r="D72" s="46">
        <f>IFERROR(__xludf.DUMMYFUNCTION("""COMPUTED_VALUE"""),1.2925207150000002E7)</f>
        <v>12925207.15</v>
      </c>
      <c r="E72" s="46">
        <f>IFERROR(__xludf.DUMMYFUNCTION("""COMPUTED_VALUE"""),4343200.629999999)</f>
        <v>4343200.63</v>
      </c>
      <c r="F72" s="115">
        <f>IFERROR(__xludf.DUMMYFUNCTION("""COMPUTED_VALUE"""),42278.0)</f>
        <v>42278</v>
      </c>
      <c r="G72" s="46">
        <f t="shared" si="1"/>
        <v>2015</v>
      </c>
      <c r="H72" s="46" t="str">
        <f t="shared" si="2"/>
        <v>October</v>
      </c>
    </row>
    <row r="73">
      <c r="A73" s="46">
        <f>IFERROR(__xludf.DUMMYFUNCTION("""COMPUTED_VALUE"""),17.0)</f>
        <v>17</v>
      </c>
      <c r="B73" s="46">
        <f>IFERROR(__xludf.DUMMYFUNCTION("""COMPUTED_VALUE"""),84541.0)</f>
        <v>84541</v>
      </c>
      <c r="C73" s="46">
        <f>IFERROR(__xludf.DUMMYFUNCTION("""COMPUTED_VALUE"""),3.474135518000001E7)</f>
        <v>34741355.18</v>
      </c>
      <c r="D73" s="46">
        <f>IFERROR(__xludf.DUMMYFUNCTION("""COMPUTED_VALUE"""),2.581380382E7)</f>
        <v>25813803.82</v>
      </c>
      <c r="E73" s="46">
        <f>IFERROR(__xludf.DUMMYFUNCTION("""COMPUTED_VALUE"""),8927551.360000001)</f>
        <v>8927551.36</v>
      </c>
      <c r="F73" s="115">
        <f>IFERROR(__xludf.DUMMYFUNCTION("""COMPUTED_VALUE"""),42309.0)</f>
        <v>42309</v>
      </c>
      <c r="G73" s="46">
        <f t="shared" si="1"/>
        <v>2015</v>
      </c>
      <c r="H73" s="46" t="str">
        <f t="shared" si="2"/>
        <v>November</v>
      </c>
    </row>
    <row r="74">
      <c r="A74" s="46">
        <f>IFERROR(__xludf.DUMMYFUNCTION("""COMPUTED_VALUE"""),13.0)</f>
        <v>13</v>
      </c>
      <c r="B74" s="46">
        <f>IFERROR(__xludf.DUMMYFUNCTION("""COMPUTED_VALUE"""),61019.0)</f>
        <v>61019</v>
      </c>
      <c r="C74" s="46">
        <f>IFERROR(__xludf.DUMMYFUNCTION("""COMPUTED_VALUE"""),2.5065739580000002E7)</f>
        <v>25065739.58</v>
      </c>
      <c r="D74" s="46">
        <f>IFERROR(__xludf.DUMMYFUNCTION("""COMPUTED_VALUE"""),1.918363029E7)</f>
        <v>19183630.29</v>
      </c>
      <c r="E74" s="46">
        <f>IFERROR(__xludf.DUMMYFUNCTION("""COMPUTED_VALUE"""),5882109.289999999)</f>
        <v>5882109.29</v>
      </c>
      <c r="F74" s="115">
        <f>IFERROR(__xludf.DUMMYFUNCTION("""COMPUTED_VALUE"""),42339.0)</f>
        <v>42339</v>
      </c>
      <c r="G74" s="46">
        <f t="shared" si="1"/>
        <v>2015</v>
      </c>
      <c r="H74" s="46" t="str">
        <f t="shared" si="2"/>
        <v>December</v>
      </c>
    </row>
    <row r="75">
      <c r="A75" s="46">
        <f>IFERROR(__xludf.DUMMYFUNCTION("""COMPUTED_VALUE"""),18.0)</f>
        <v>18</v>
      </c>
      <c r="B75" s="46">
        <f>IFERROR(__xludf.DUMMYFUNCTION("""COMPUTED_VALUE"""),82681.0)</f>
        <v>82681</v>
      </c>
      <c r="C75" s="46">
        <f>IFERROR(__xludf.DUMMYFUNCTION("""COMPUTED_VALUE"""),1.8624151779999997E7)</f>
        <v>18624151.78</v>
      </c>
      <c r="D75" s="46">
        <f>IFERROR(__xludf.DUMMYFUNCTION("""COMPUTED_VALUE"""),1.3079600640000002E7)</f>
        <v>13079600.64</v>
      </c>
      <c r="E75" s="46">
        <f>IFERROR(__xludf.DUMMYFUNCTION("""COMPUTED_VALUE"""),5544551.14)</f>
        <v>5544551.14</v>
      </c>
      <c r="F75" s="115">
        <f>IFERROR(__xludf.DUMMYFUNCTION("""COMPUTED_VALUE"""),42370.0)</f>
        <v>42370</v>
      </c>
      <c r="G75" s="46">
        <f t="shared" si="1"/>
        <v>2016</v>
      </c>
      <c r="H75" s="46" t="str">
        <f t="shared" si="2"/>
        <v>January</v>
      </c>
    </row>
    <row r="76">
      <c r="A76" s="46">
        <f>IFERROR(__xludf.DUMMYFUNCTION("""COMPUTED_VALUE"""),16.0)</f>
        <v>16</v>
      </c>
      <c r="B76" s="46">
        <f>IFERROR(__xludf.DUMMYFUNCTION("""COMPUTED_VALUE"""),83174.0)</f>
        <v>83174</v>
      </c>
      <c r="C76" s="46">
        <f>IFERROR(__xludf.DUMMYFUNCTION("""COMPUTED_VALUE"""),1.1319835730000002E7)</f>
        <v>11319835.73</v>
      </c>
      <c r="D76" s="46">
        <f>IFERROR(__xludf.DUMMYFUNCTION("""COMPUTED_VALUE"""),7048886.559999999)</f>
        <v>7048886.56</v>
      </c>
      <c r="E76" s="46">
        <f>IFERROR(__xludf.DUMMYFUNCTION("""COMPUTED_VALUE"""),4270949.17)</f>
        <v>4270949.17</v>
      </c>
      <c r="F76" s="115">
        <f>IFERROR(__xludf.DUMMYFUNCTION("""COMPUTED_VALUE"""),42401.0)</f>
        <v>42401</v>
      </c>
      <c r="G76" s="46">
        <f t="shared" si="1"/>
        <v>2016</v>
      </c>
      <c r="H76" s="46" t="str">
        <f t="shared" si="2"/>
        <v>February</v>
      </c>
    </row>
    <row r="77">
      <c r="A77" s="46">
        <f>IFERROR(__xludf.DUMMYFUNCTION("""COMPUTED_VALUE"""),16.0)</f>
        <v>16</v>
      </c>
      <c r="B77" s="46">
        <f>IFERROR(__xludf.DUMMYFUNCTION("""COMPUTED_VALUE"""),64406.0)</f>
        <v>64406</v>
      </c>
      <c r="C77" s="46">
        <f>IFERROR(__xludf.DUMMYFUNCTION("""COMPUTED_VALUE"""),1.458547834E7)</f>
        <v>14585478.34</v>
      </c>
      <c r="D77" s="46">
        <f>IFERROR(__xludf.DUMMYFUNCTION("""COMPUTED_VALUE"""),1.0280434110000001E7)</f>
        <v>10280434.11</v>
      </c>
      <c r="E77" s="46">
        <f>IFERROR(__xludf.DUMMYFUNCTION("""COMPUTED_VALUE"""),4305044.2299999995)</f>
        <v>4305044.23</v>
      </c>
      <c r="F77" s="115">
        <f>IFERROR(__xludf.DUMMYFUNCTION("""COMPUTED_VALUE"""),42430.0)</f>
        <v>42430</v>
      </c>
      <c r="G77" s="46">
        <f t="shared" si="1"/>
        <v>2016</v>
      </c>
      <c r="H77" s="46" t="str">
        <f t="shared" si="2"/>
        <v>March</v>
      </c>
    </row>
    <row r="78">
      <c r="A78" s="46">
        <f>IFERROR(__xludf.DUMMYFUNCTION("""COMPUTED_VALUE"""),11.0)</f>
        <v>11</v>
      </c>
      <c r="B78" s="46">
        <f>IFERROR(__xludf.DUMMYFUNCTION("""COMPUTED_VALUE"""),38948.0)</f>
        <v>38948</v>
      </c>
      <c r="C78" s="46">
        <f>IFERROR(__xludf.DUMMYFUNCTION("""COMPUTED_VALUE"""),6029783.3100000005)</f>
        <v>6029783.31</v>
      </c>
      <c r="D78" s="46">
        <f>IFERROR(__xludf.DUMMYFUNCTION("""COMPUTED_VALUE"""),4158400.99)</f>
        <v>4158400.99</v>
      </c>
      <c r="E78" s="46">
        <f>IFERROR(__xludf.DUMMYFUNCTION("""COMPUTED_VALUE"""),1871382.3199999998)</f>
        <v>1871382.32</v>
      </c>
      <c r="F78" s="115">
        <f>IFERROR(__xludf.DUMMYFUNCTION("""COMPUTED_VALUE"""),42461.0)</f>
        <v>42461</v>
      </c>
      <c r="G78" s="46">
        <f t="shared" si="1"/>
        <v>2016</v>
      </c>
      <c r="H78" s="46" t="str">
        <f t="shared" si="2"/>
        <v>April</v>
      </c>
    </row>
    <row r="79">
      <c r="A79" s="46">
        <f>IFERROR(__xludf.DUMMYFUNCTION("""COMPUTED_VALUE"""),13.0)</f>
        <v>13</v>
      </c>
      <c r="B79" s="46">
        <f>IFERROR(__xludf.DUMMYFUNCTION("""COMPUTED_VALUE"""),64356.0)</f>
        <v>64356</v>
      </c>
      <c r="C79" s="46">
        <f>IFERROR(__xludf.DUMMYFUNCTION("""COMPUTED_VALUE"""),1.728891823E7)</f>
        <v>17288918.23</v>
      </c>
      <c r="D79" s="46">
        <f>IFERROR(__xludf.DUMMYFUNCTION("""COMPUTED_VALUE"""),1.318073021E7)</f>
        <v>13180730.21</v>
      </c>
      <c r="E79" s="46">
        <f>IFERROR(__xludf.DUMMYFUNCTION("""COMPUTED_VALUE"""),4108188.0199999996)</f>
        <v>4108188.02</v>
      </c>
      <c r="F79" s="115">
        <f>IFERROR(__xludf.DUMMYFUNCTION("""COMPUTED_VALUE"""),42491.0)</f>
        <v>42491</v>
      </c>
      <c r="G79" s="46">
        <f t="shared" si="1"/>
        <v>2016</v>
      </c>
      <c r="H79" s="46" t="str">
        <f t="shared" si="2"/>
        <v>May</v>
      </c>
    </row>
    <row r="80">
      <c r="A80" s="46">
        <f>IFERROR(__xludf.DUMMYFUNCTION("""COMPUTED_VALUE"""),12.0)</f>
        <v>12</v>
      </c>
      <c r="B80" s="46">
        <f>IFERROR(__xludf.DUMMYFUNCTION("""COMPUTED_VALUE"""),68019.0)</f>
        <v>68019</v>
      </c>
      <c r="C80" s="46">
        <f>IFERROR(__xludf.DUMMYFUNCTION("""COMPUTED_VALUE"""),1.355854806E7)</f>
        <v>13558548.06</v>
      </c>
      <c r="D80" s="46">
        <f>IFERROR(__xludf.DUMMYFUNCTION("""COMPUTED_VALUE"""),8879366.38)</f>
        <v>8879366.38</v>
      </c>
      <c r="E80" s="46">
        <f>IFERROR(__xludf.DUMMYFUNCTION("""COMPUTED_VALUE"""),4679181.680000001)</f>
        <v>4679181.68</v>
      </c>
      <c r="F80" s="115">
        <f>IFERROR(__xludf.DUMMYFUNCTION("""COMPUTED_VALUE"""),42522.0)</f>
        <v>42522</v>
      </c>
      <c r="G80" s="46">
        <f t="shared" si="1"/>
        <v>2016</v>
      </c>
      <c r="H80" s="46" t="str">
        <f t="shared" si="2"/>
        <v>June</v>
      </c>
    </row>
    <row r="81">
      <c r="A81" s="46">
        <f>IFERROR(__xludf.DUMMYFUNCTION("""COMPUTED_VALUE"""),16.0)</f>
        <v>16</v>
      </c>
      <c r="B81" s="46">
        <f>IFERROR(__xludf.DUMMYFUNCTION("""COMPUTED_VALUE"""),101859.0)</f>
        <v>101859</v>
      </c>
      <c r="C81" s="46">
        <f>IFERROR(__xludf.DUMMYFUNCTION("""COMPUTED_VALUE"""),3.285357168E7)</f>
        <v>32853571.68</v>
      </c>
      <c r="D81" s="46">
        <f>IFERROR(__xludf.DUMMYFUNCTION("""COMPUTED_VALUE"""),2.330808742E7)</f>
        <v>23308087.42</v>
      </c>
      <c r="E81" s="46">
        <f>IFERROR(__xludf.DUMMYFUNCTION("""COMPUTED_VALUE"""),9545484.259999998)</f>
        <v>9545484.26</v>
      </c>
      <c r="F81" s="115">
        <f>IFERROR(__xludf.DUMMYFUNCTION("""COMPUTED_VALUE"""),42552.0)</f>
        <v>42552</v>
      </c>
      <c r="G81" s="46">
        <f t="shared" si="1"/>
        <v>2016</v>
      </c>
      <c r="H81" s="46" t="str">
        <f t="shared" si="2"/>
        <v>July</v>
      </c>
    </row>
    <row r="82">
      <c r="A82" s="46">
        <f>IFERROR(__xludf.DUMMYFUNCTION("""COMPUTED_VALUE"""),13.0)</f>
        <v>13</v>
      </c>
      <c r="B82" s="46">
        <f>IFERROR(__xludf.DUMMYFUNCTION("""COMPUTED_VALUE"""),60619.0)</f>
        <v>60619</v>
      </c>
      <c r="C82" s="46">
        <f>IFERROR(__xludf.DUMMYFUNCTION("""COMPUTED_VALUE"""),2.0769776859999996E7)</f>
        <v>20769776.86</v>
      </c>
      <c r="D82" s="46">
        <f>IFERROR(__xludf.DUMMYFUNCTION("""COMPUTED_VALUE"""),1.479057488E7)</f>
        <v>14790574.88</v>
      </c>
      <c r="E82" s="46">
        <f>IFERROR(__xludf.DUMMYFUNCTION("""COMPUTED_VALUE"""),5979201.9799999995)</f>
        <v>5979201.98</v>
      </c>
      <c r="F82" s="115">
        <f>IFERROR(__xludf.DUMMYFUNCTION("""COMPUTED_VALUE"""),42583.0)</f>
        <v>42583</v>
      </c>
      <c r="G82" s="46">
        <f t="shared" si="1"/>
        <v>2016</v>
      </c>
      <c r="H82" s="46" t="str">
        <f t="shared" si="2"/>
        <v>August</v>
      </c>
    </row>
    <row r="83">
      <c r="A83" s="46">
        <f>IFERROR(__xludf.DUMMYFUNCTION("""COMPUTED_VALUE"""),15.0)</f>
        <v>15</v>
      </c>
      <c r="B83" s="46">
        <f>IFERROR(__xludf.DUMMYFUNCTION("""COMPUTED_VALUE"""),73843.0)</f>
        <v>73843</v>
      </c>
      <c r="C83" s="46">
        <f>IFERROR(__xludf.DUMMYFUNCTION("""COMPUTED_VALUE"""),1.744261295E7)</f>
        <v>17442612.95</v>
      </c>
      <c r="D83" s="46">
        <f>IFERROR(__xludf.DUMMYFUNCTION("""COMPUTED_VALUE"""),1.19482012E7)</f>
        <v>11948201.2</v>
      </c>
      <c r="E83" s="46">
        <f>IFERROR(__xludf.DUMMYFUNCTION("""COMPUTED_VALUE"""),5494411.749999999)</f>
        <v>5494411.75</v>
      </c>
      <c r="F83" s="115">
        <f>IFERROR(__xludf.DUMMYFUNCTION("""COMPUTED_VALUE"""),42614.0)</f>
        <v>42614</v>
      </c>
      <c r="G83" s="46">
        <f t="shared" si="1"/>
        <v>2016</v>
      </c>
      <c r="H83" s="46" t="str">
        <f t="shared" si="2"/>
        <v>September</v>
      </c>
    </row>
    <row r="84">
      <c r="A84" s="46">
        <f>IFERROR(__xludf.DUMMYFUNCTION("""COMPUTED_VALUE"""),10.0)</f>
        <v>10</v>
      </c>
      <c r="B84" s="46">
        <f>IFERROR(__xludf.DUMMYFUNCTION("""COMPUTED_VALUE"""),33642.0)</f>
        <v>33642</v>
      </c>
      <c r="C84" s="46">
        <f>IFERROR(__xludf.DUMMYFUNCTION("""COMPUTED_VALUE"""),6984585.3999999985)</f>
        <v>6984585.4</v>
      </c>
      <c r="D84" s="46">
        <f>IFERROR(__xludf.DUMMYFUNCTION("""COMPUTED_VALUE"""),4272279.16)</f>
        <v>4272279.16</v>
      </c>
      <c r="E84" s="46">
        <f>IFERROR(__xludf.DUMMYFUNCTION("""COMPUTED_VALUE"""),2712306.2400000007)</f>
        <v>2712306.24</v>
      </c>
      <c r="F84" s="115">
        <f>IFERROR(__xludf.DUMMYFUNCTION("""COMPUTED_VALUE"""),42644.0)</f>
        <v>42644</v>
      </c>
      <c r="G84" s="46">
        <f t="shared" si="1"/>
        <v>2016</v>
      </c>
      <c r="H84" s="46" t="str">
        <f t="shared" si="2"/>
        <v>October</v>
      </c>
    </row>
    <row r="85">
      <c r="A85" s="46">
        <f>IFERROR(__xludf.DUMMYFUNCTION("""COMPUTED_VALUE"""),20.0)</f>
        <v>20</v>
      </c>
      <c r="B85" s="46">
        <f>IFERROR(__xludf.DUMMYFUNCTION("""COMPUTED_VALUE"""),92216.0)</f>
        <v>92216</v>
      </c>
      <c r="C85" s="46">
        <f>IFERROR(__xludf.DUMMYFUNCTION("""COMPUTED_VALUE"""),1.578380718E7)</f>
        <v>15783807.18</v>
      </c>
      <c r="D85" s="46">
        <f>IFERROR(__xludf.DUMMYFUNCTION("""COMPUTED_VALUE"""),1.065111716E7)</f>
        <v>10651117.16</v>
      </c>
      <c r="E85" s="46">
        <f>IFERROR(__xludf.DUMMYFUNCTION("""COMPUTED_VALUE"""),5132690.019999999)</f>
        <v>5132690.02</v>
      </c>
      <c r="F85" s="115">
        <f>IFERROR(__xludf.DUMMYFUNCTION("""COMPUTED_VALUE"""),42675.0)</f>
        <v>42675</v>
      </c>
      <c r="G85" s="46">
        <f t="shared" si="1"/>
        <v>2016</v>
      </c>
      <c r="H85" s="46" t="str">
        <f t="shared" si="2"/>
        <v>November</v>
      </c>
    </row>
    <row r="86">
      <c r="A86" s="46">
        <f>IFERROR(__xludf.DUMMYFUNCTION("""COMPUTED_VALUE"""),15.0)</f>
        <v>15</v>
      </c>
      <c r="B86" s="46">
        <f>IFERROR(__xludf.DUMMYFUNCTION("""COMPUTED_VALUE"""),60192.0)</f>
        <v>60192</v>
      </c>
      <c r="C86" s="46">
        <f>IFERROR(__xludf.DUMMYFUNCTION("""COMPUTED_VALUE"""),1.6279887250000002E7)</f>
        <v>16279887.25</v>
      </c>
      <c r="D86" s="46">
        <f>IFERROR(__xludf.DUMMYFUNCTION("""COMPUTED_VALUE"""),1.215135721E7)</f>
        <v>12151357.21</v>
      </c>
      <c r="E86" s="46">
        <f>IFERROR(__xludf.DUMMYFUNCTION("""COMPUTED_VALUE"""),4128530.04)</f>
        <v>4128530.04</v>
      </c>
      <c r="F86" s="115">
        <f>IFERROR(__xludf.DUMMYFUNCTION("""COMPUTED_VALUE"""),42705.0)</f>
        <v>42705</v>
      </c>
      <c r="G86" s="46">
        <f t="shared" si="1"/>
        <v>2016</v>
      </c>
      <c r="H86" s="46" t="str">
        <f t="shared" si="2"/>
        <v>December</v>
      </c>
    </row>
    <row r="87">
      <c r="A87" s="46">
        <f>IFERROR(__xludf.DUMMYFUNCTION("""COMPUTED_VALUE"""),11.0)</f>
        <v>11</v>
      </c>
      <c r="B87" s="46">
        <f>IFERROR(__xludf.DUMMYFUNCTION("""COMPUTED_VALUE"""),67945.0)</f>
        <v>67945</v>
      </c>
      <c r="C87" s="46">
        <f>IFERROR(__xludf.DUMMYFUNCTION("""COMPUTED_VALUE"""),1.669225839E7)</f>
        <v>16692258.39</v>
      </c>
      <c r="D87" s="46">
        <f>IFERROR(__xludf.DUMMYFUNCTION("""COMPUTED_VALUE"""),1.0640858559999999E7)</f>
        <v>10640858.56</v>
      </c>
      <c r="E87" s="46">
        <f>IFERROR(__xludf.DUMMYFUNCTION("""COMPUTED_VALUE"""),6051399.830000001)</f>
        <v>6051399.83</v>
      </c>
      <c r="F87" s="115">
        <f>IFERROR(__xludf.DUMMYFUNCTION("""COMPUTED_VALUE"""),42736.0)</f>
        <v>42736</v>
      </c>
      <c r="G87" s="46">
        <f t="shared" si="1"/>
        <v>2017</v>
      </c>
      <c r="H87" s="46" t="str">
        <f t="shared" si="2"/>
        <v>January</v>
      </c>
    </row>
    <row r="88">
      <c r="A88" s="46">
        <f>IFERROR(__xludf.DUMMYFUNCTION("""COMPUTED_VALUE"""),15.0)</f>
        <v>15</v>
      </c>
      <c r="B88" s="46">
        <f>IFERROR(__xludf.DUMMYFUNCTION("""COMPUTED_VALUE"""),70738.0)</f>
        <v>70738</v>
      </c>
      <c r="C88" s="46">
        <f>IFERROR(__xludf.DUMMYFUNCTION("""COMPUTED_VALUE"""),2.0751212319999997E7)</f>
        <v>20751212.32</v>
      </c>
      <c r="D88" s="46">
        <f>IFERROR(__xludf.DUMMYFUNCTION("""COMPUTED_VALUE"""),1.5760418410000004E7)</f>
        <v>15760418.41</v>
      </c>
      <c r="E88" s="46">
        <f>IFERROR(__xludf.DUMMYFUNCTION("""COMPUTED_VALUE"""),4990793.909999999)</f>
        <v>4990793.91</v>
      </c>
      <c r="F88" s="115">
        <f>IFERROR(__xludf.DUMMYFUNCTION("""COMPUTED_VALUE"""),42767.0)</f>
        <v>42767</v>
      </c>
      <c r="G88" s="46">
        <f t="shared" si="1"/>
        <v>2017</v>
      </c>
      <c r="H88" s="46" t="str">
        <f t="shared" si="2"/>
        <v>February</v>
      </c>
    </row>
    <row r="89">
      <c r="A89" s="46">
        <f>IFERROR(__xludf.DUMMYFUNCTION("""COMPUTED_VALUE"""),17.0)</f>
        <v>17</v>
      </c>
      <c r="B89" s="46">
        <f>IFERROR(__xludf.DUMMYFUNCTION("""COMPUTED_VALUE"""),95187.0)</f>
        <v>95187</v>
      </c>
      <c r="C89" s="46">
        <f>IFERROR(__xludf.DUMMYFUNCTION("""COMPUTED_VALUE"""),2.4088987499999996E7)</f>
        <v>24088987.5</v>
      </c>
      <c r="D89" s="46">
        <f>IFERROR(__xludf.DUMMYFUNCTION("""COMPUTED_VALUE"""),1.799255696E7)</f>
        <v>17992556.96</v>
      </c>
      <c r="E89" s="46">
        <f>IFERROR(__xludf.DUMMYFUNCTION("""COMPUTED_VALUE"""),6096430.539999999)</f>
        <v>6096430.54</v>
      </c>
      <c r="F89" s="115">
        <f>IFERROR(__xludf.DUMMYFUNCTION("""COMPUTED_VALUE"""),42795.0)</f>
        <v>42795</v>
      </c>
      <c r="G89" s="46">
        <f t="shared" si="1"/>
        <v>2017</v>
      </c>
      <c r="H89" s="46" t="str">
        <f t="shared" si="2"/>
        <v>March</v>
      </c>
    </row>
    <row r="90">
      <c r="A90" s="46">
        <f>IFERROR(__xludf.DUMMYFUNCTION("""COMPUTED_VALUE"""),14.0)</f>
        <v>14</v>
      </c>
      <c r="B90" s="46">
        <f>IFERROR(__xludf.DUMMYFUNCTION("""COMPUTED_VALUE"""),69365.0)</f>
        <v>69365</v>
      </c>
      <c r="C90" s="46">
        <f>IFERROR(__xludf.DUMMYFUNCTION("""COMPUTED_VALUE"""),1.439748238E7)</f>
        <v>14397482.38</v>
      </c>
      <c r="D90" s="46">
        <f>IFERROR(__xludf.DUMMYFUNCTION("""COMPUTED_VALUE"""),1.0514069509999998E7)</f>
        <v>10514069.51</v>
      </c>
      <c r="E90" s="46">
        <f>IFERROR(__xludf.DUMMYFUNCTION("""COMPUTED_VALUE"""),3883412.8699999996)</f>
        <v>3883412.87</v>
      </c>
      <c r="F90" s="115">
        <f>IFERROR(__xludf.DUMMYFUNCTION("""COMPUTED_VALUE"""),42826.0)</f>
        <v>42826</v>
      </c>
      <c r="G90" s="46">
        <f t="shared" si="1"/>
        <v>2017</v>
      </c>
      <c r="H90" s="46" t="str">
        <f t="shared" si="2"/>
        <v>April</v>
      </c>
    </row>
    <row r="91">
      <c r="A91" s="46">
        <f>IFERROR(__xludf.DUMMYFUNCTION("""COMPUTED_VALUE"""),17.0)</f>
        <v>17</v>
      </c>
      <c r="B91" s="46">
        <f>IFERROR(__xludf.DUMMYFUNCTION("""COMPUTED_VALUE"""),51484.0)</f>
        <v>51484</v>
      </c>
      <c r="C91" s="46">
        <f>IFERROR(__xludf.DUMMYFUNCTION("""COMPUTED_VALUE"""),2.027923336E7)</f>
        <v>20279233.36</v>
      </c>
      <c r="D91" s="46">
        <f>IFERROR(__xludf.DUMMYFUNCTION("""COMPUTED_VALUE"""),1.509600929E7)</f>
        <v>15096009.29</v>
      </c>
      <c r="E91" s="46">
        <f>IFERROR(__xludf.DUMMYFUNCTION("""COMPUTED_VALUE"""),5183224.07)</f>
        <v>5183224.07</v>
      </c>
      <c r="F91" s="115">
        <f>IFERROR(__xludf.DUMMYFUNCTION("""COMPUTED_VALUE"""),42856.0)</f>
        <v>42856</v>
      </c>
      <c r="G91" s="46">
        <f t="shared" si="1"/>
        <v>2017</v>
      </c>
      <c r="H91" s="46" t="str">
        <f t="shared" si="2"/>
        <v>May</v>
      </c>
    </row>
    <row r="92">
      <c r="A92" s="46">
        <f>IFERROR(__xludf.DUMMYFUNCTION("""COMPUTED_VALUE"""),14.0)</f>
        <v>14</v>
      </c>
      <c r="B92" s="46">
        <f>IFERROR(__xludf.DUMMYFUNCTION("""COMPUTED_VALUE"""),54756.0)</f>
        <v>54756</v>
      </c>
      <c r="C92" s="46">
        <f>IFERROR(__xludf.DUMMYFUNCTION("""COMPUTED_VALUE"""),1.6855010049999997E7)</f>
        <v>16855010.05</v>
      </c>
      <c r="D92" s="46">
        <f>IFERROR(__xludf.DUMMYFUNCTION("""COMPUTED_VALUE"""),1.146010381E7)</f>
        <v>11460103.81</v>
      </c>
      <c r="E92" s="46">
        <f>IFERROR(__xludf.DUMMYFUNCTION("""COMPUTED_VALUE"""),5394906.240000001)</f>
        <v>5394906.24</v>
      </c>
      <c r="F92" s="115">
        <f>IFERROR(__xludf.DUMMYFUNCTION("""COMPUTED_VALUE"""),42887.0)</f>
        <v>42887</v>
      </c>
      <c r="G92" s="46">
        <f t="shared" si="1"/>
        <v>2017</v>
      </c>
      <c r="H92" s="46" t="str">
        <f t="shared" si="2"/>
        <v>June</v>
      </c>
    </row>
    <row r="93">
      <c r="A93" s="46">
        <f>IFERROR(__xludf.DUMMYFUNCTION("""COMPUTED_VALUE"""),18.0)</f>
        <v>18</v>
      </c>
      <c r="B93" s="46">
        <f>IFERROR(__xludf.DUMMYFUNCTION("""COMPUTED_VALUE"""),104019.0)</f>
        <v>104019</v>
      </c>
      <c r="C93" s="46">
        <f>IFERROR(__xludf.DUMMYFUNCTION("""COMPUTED_VALUE"""),2.3536290160000004E7)</f>
        <v>23536290.16</v>
      </c>
      <c r="D93" s="46">
        <f>IFERROR(__xludf.DUMMYFUNCTION("""COMPUTED_VALUE"""),1.6136766140000002E7)</f>
        <v>16136766.14</v>
      </c>
      <c r="E93" s="46">
        <f>IFERROR(__xludf.DUMMYFUNCTION("""COMPUTED_VALUE"""),7399524.0200000005)</f>
        <v>7399524.02</v>
      </c>
      <c r="F93" s="115">
        <f>IFERROR(__xludf.DUMMYFUNCTION("""COMPUTED_VALUE"""),42917.0)</f>
        <v>42917</v>
      </c>
      <c r="G93" s="46">
        <f t="shared" si="1"/>
        <v>2017</v>
      </c>
      <c r="H93" s="46" t="str">
        <f t="shared" si="2"/>
        <v>July</v>
      </c>
    </row>
  </sheetData>
  <dataValidations>
    <dataValidation type="list" allowBlank="1" showErrorMessage="1" sqref="K2">
      <formula1>'Years and mont'!$F$2:$G$2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8.13"/>
    <col customWidth="1" min="4" max="4" width="17.0"/>
    <col customWidth="1" min="5" max="5" width="16.38"/>
  </cols>
  <sheetData>
    <row r="1">
      <c r="A1" s="118" t="str">
        <f>IFERROR(__xludf.DUMMYFUNCTION("QUERY(event2, ""select U,count(A),sum(K),sum(L),sum(M) group by U label U'Year', count(A)'Order count', sum(K)'Total revenue', sum(L)'Total cost', sum(M)'Total profit'"")"),"Year")</f>
        <v>Year</v>
      </c>
      <c r="B1" s="119" t="str">
        <f>IFERROR(__xludf.DUMMYFUNCTION("""COMPUTED_VALUE"""),"Order count")</f>
        <v>Order count</v>
      </c>
      <c r="C1" s="120" t="str">
        <f>IFERROR(__xludf.DUMMYFUNCTION("""COMPUTED_VALUE"""),"Total revenue")</f>
        <v>Total revenue</v>
      </c>
      <c r="D1" s="120" t="str">
        <f>IFERROR(__xludf.DUMMYFUNCTION("""COMPUTED_VALUE"""),"Total cost")</f>
        <v>Total cost</v>
      </c>
      <c r="E1" s="120" t="str">
        <f>IFERROR(__xludf.DUMMYFUNCTION("""COMPUTED_VALUE"""),"Total profit")</f>
        <v>Total profit</v>
      </c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</row>
    <row r="2">
      <c r="A2" s="122">
        <f>IFERROR(__xludf.DUMMYFUNCTION("""COMPUTED_VALUE"""),2010.0)</f>
        <v>2010</v>
      </c>
      <c r="B2" s="122">
        <f>IFERROR(__xludf.DUMMYFUNCTION("""COMPUTED_VALUE"""),166.0)</f>
        <v>166</v>
      </c>
      <c r="C2" s="123">
        <f>IFERROR(__xludf.DUMMYFUNCTION("""COMPUTED_VALUE"""),2.0938224739999998E8)</f>
        <v>209382247.4</v>
      </c>
      <c r="D2" s="123">
        <f>IFERROR(__xludf.DUMMYFUNCTION("""COMPUTED_VALUE"""),1.4795978749999994E8)</f>
        <v>147959787.5</v>
      </c>
      <c r="E2" s="123">
        <f>IFERROR(__xludf.DUMMYFUNCTION("""COMPUTED_VALUE"""),6.142245989999998E7)</f>
        <v>61422459.9</v>
      </c>
    </row>
    <row r="3">
      <c r="A3" s="122">
        <f>IFERROR(__xludf.DUMMYFUNCTION("""COMPUTED_VALUE"""),2011.0)</f>
        <v>2011</v>
      </c>
      <c r="B3" s="122">
        <f>IFERROR(__xludf.DUMMYFUNCTION("""COMPUTED_VALUE"""),175.0)</f>
        <v>175</v>
      </c>
      <c r="C3" s="123">
        <f>IFERROR(__xludf.DUMMYFUNCTION("""COMPUTED_VALUE"""),2.3193755667000008E8)</f>
        <v>231937556.7</v>
      </c>
      <c r="D3" s="123">
        <f>IFERROR(__xludf.DUMMYFUNCTION("""COMPUTED_VALUE"""),1.6289289694000003E8)</f>
        <v>162892896.9</v>
      </c>
      <c r="E3" s="123">
        <f>IFERROR(__xludf.DUMMYFUNCTION("""COMPUTED_VALUE"""),6.904465973000002E7)</f>
        <v>69044659.73</v>
      </c>
      <c r="L3" s="52" t="s">
        <v>72</v>
      </c>
    </row>
    <row r="4">
      <c r="A4" s="122">
        <f>IFERROR(__xludf.DUMMYFUNCTION("""COMPUTED_VALUE"""),2012.0)</f>
        <v>2012</v>
      </c>
      <c r="B4" s="122">
        <f>IFERROR(__xludf.DUMMYFUNCTION("""COMPUTED_VALUE"""),202.0)</f>
        <v>202</v>
      </c>
      <c r="C4" s="123">
        <f>IFERROR(__xludf.DUMMYFUNCTION("""COMPUTED_VALUE"""),2.8548589175999993E8)</f>
        <v>285485891.8</v>
      </c>
      <c r="D4" s="123">
        <f>IFERROR(__xludf.DUMMYFUNCTION("""COMPUTED_VALUE"""),1.9760182532000005E8)</f>
        <v>197601825.3</v>
      </c>
      <c r="E4" s="123">
        <f>IFERROR(__xludf.DUMMYFUNCTION("""COMPUTED_VALUE"""),8.788406643999997E7)</f>
        <v>87884066.44</v>
      </c>
      <c r="L4" s="52" t="s">
        <v>73</v>
      </c>
    </row>
    <row r="5">
      <c r="A5" s="122">
        <f>IFERROR(__xludf.DUMMYFUNCTION("""COMPUTED_VALUE"""),2013.0)</f>
        <v>2013</v>
      </c>
      <c r="B5" s="122">
        <f>IFERROR(__xludf.DUMMYFUNCTION("""COMPUTED_VALUE"""),158.0)</f>
        <v>158</v>
      </c>
      <c r="C5" s="123">
        <f>IFERROR(__xludf.DUMMYFUNCTION("""COMPUTED_VALUE"""),1.8296235928000012E8)</f>
        <v>182962359.3</v>
      </c>
      <c r="D5" s="123">
        <f>IFERROR(__xludf.DUMMYFUNCTION("""COMPUTED_VALUE"""),1.295743641000001E8)</f>
        <v>129574364.1</v>
      </c>
      <c r="E5" s="123">
        <f>IFERROR(__xludf.DUMMYFUNCTION("""COMPUTED_VALUE"""),5.338799518000003E7)</f>
        <v>53387995.18</v>
      </c>
    </row>
    <row r="6">
      <c r="A6" s="122">
        <f>IFERROR(__xludf.DUMMYFUNCTION("""COMPUTED_VALUE"""),2014.0)</f>
        <v>2014</v>
      </c>
      <c r="B6" s="122">
        <f>IFERROR(__xludf.DUMMYFUNCTION("""COMPUTED_VALUE"""),188.0)</f>
        <v>188</v>
      </c>
      <c r="C6" s="123">
        <f>IFERROR(__xludf.DUMMYFUNCTION("""COMPUTED_VALUE"""),2.3878277129000005E8)</f>
        <v>238782771.3</v>
      </c>
      <c r="D6" s="123">
        <f>IFERROR(__xludf.DUMMYFUNCTION("""COMPUTED_VALUE"""),1.6718530061000013E8)</f>
        <v>167185300.6</v>
      </c>
      <c r="E6" s="123">
        <f>IFERROR(__xludf.DUMMYFUNCTION("""COMPUTED_VALUE"""),7.159747068000002E7)</f>
        <v>71597470.68</v>
      </c>
    </row>
    <row r="7">
      <c r="A7" s="122">
        <f>IFERROR(__xludf.DUMMYFUNCTION("""COMPUTED_VALUE"""),2015.0)</f>
        <v>2015</v>
      </c>
      <c r="B7" s="122">
        <f>IFERROR(__xludf.DUMMYFUNCTION("""COMPUTED_VALUE"""),160.0)</f>
        <v>160</v>
      </c>
      <c r="C7" s="123">
        <f>IFERROR(__xludf.DUMMYFUNCTION("""COMPUTED_VALUE"""),2.2795409883999994E8)</f>
        <v>227954098.8</v>
      </c>
      <c r="D7" s="123">
        <f>IFERROR(__xludf.DUMMYFUNCTION("""COMPUTED_VALUE"""),1.6622005902000004E8)</f>
        <v>166220059</v>
      </c>
      <c r="E7" s="123">
        <f>IFERROR(__xludf.DUMMYFUNCTION("""COMPUTED_VALUE"""),6.173403981999997E7)</f>
        <v>61734039.82</v>
      </c>
    </row>
    <row r="8">
      <c r="A8" s="122">
        <f>IFERROR(__xludf.DUMMYFUNCTION("""COMPUTED_VALUE"""),2016.0)</f>
        <v>2016</v>
      </c>
      <c r="B8" s="122">
        <f>IFERROR(__xludf.DUMMYFUNCTION("""COMPUTED_VALUE"""),175.0)</f>
        <v>175</v>
      </c>
      <c r="C8" s="123">
        <f>IFERROR(__xludf.DUMMYFUNCTION("""COMPUTED_VALUE"""),1.9152095676999998E8)</f>
        <v>191520956.8</v>
      </c>
      <c r="D8" s="123">
        <f>IFERROR(__xludf.DUMMYFUNCTION("""COMPUTED_VALUE"""),1.3374903592000002E8)</f>
        <v>133749035.9</v>
      </c>
      <c r="E8" s="123">
        <f>IFERROR(__xludf.DUMMYFUNCTION("""COMPUTED_VALUE"""),5.777192085E7)</f>
        <v>57771920.85</v>
      </c>
    </row>
    <row r="9">
      <c r="A9" s="122">
        <f>IFERROR(__xludf.DUMMYFUNCTION("""COMPUTED_VALUE"""),2017.0)</f>
        <v>2017</v>
      </c>
      <c r="B9" s="122">
        <f>IFERROR(__xludf.DUMMYFUNCTION("""COMPUTED_VALUE"""),106.0)</f>
        <v>106</v>
      </c>
      <c r="C9" s="123">
        <f>IFERROR(__xludf.DUMMYFUNCTION("""COMPUTED_VALUE"""),1.3660047416000003E8)</f>
        <v>136600474.2</v>
      </c>
      <c r="D9" s="123">
        <f>IFERROR(__xludf.DUMMYFUNCTION("""COMPUTED_VALUE"""),9.760078267999999E7)</f>
        <v>97600782.68</v>
      </c>
      <c r="E9" s="123">
        <f>IFERROR(__xludf.DUMMYFUNCTION("""COMPUTED_VALUE"""),3.8999691480000004E7)</f>
        <v>38999691.48</v>
      </c>
    </row>
    <row r="10">
      <c r="A10" s="112" t="s">
        <v>74</v>
      </c>
      <c r="B10" s="111">
        <f t="shared" ref="B10:E10" si="1">SUM(B2:B9)</f>
        <v>1330</v>
      </c>
      <c r="C10" s="124">
        <f t="shared" si="1"/>
        <v>1704626356</v>
      </c>
      <c r="D10" s="124">
        <f t="shared" si="1"/>
        <v>1202784052</v>
      </c>
      <c r="E10" s="124">
        <f t="shared" si="1"/>
        <v>501842304.1</v>
      </c>
    </row>
    <row r="11">
      <c r="C11" s="47"/>
      <c r="D11" s="47"/>
      <c r="E11" s="47"/>
    </row>
    <row r="12">
      <c r="C12" s="47"/>
      <c r="D12" s="47"/>
      <c r="E12" s="47"/>
    </row>
    <row r="13">
      <c r="C13" s="47"/>
      <c r="D13" s="47"/>
      <c r="E13" s="47"/>
    </row>
    <row r="14">
      <c r="C14" s="47"/>
      <c r="D14" s="47"/>
      <c r="E14" s="47"/>
    </row>
    <row r="15">
      <c r="C15" s="47"/>
      <c r="D15" s="47"/>
      <c r="E15" s="47"/>
    </row>
    <row r="16">
      <c r="C16" s="47"/>
      <c r="D16" s="47"/>
      <c r="E16" s="47"/>
    </row>
    <row r="17">
      <c r="A17" s="49"/>
      <c r="C17" s="47"/>
      <c r="D17" s="47"/>
      <c r="E17" s="47"/>
    </row>
    <row r="18">
      <c r="C18" s="47"/>
      <c r="D18" s="47"/>
      <c r="E18" s="47"/>
    </row>
    <row r="19">
      <c r="B19" s="34"/>
      <c r="C19" s="47"/>
      <c r="D19" s="47"/>
      <c r="E19" s="47"/>
      <c r="L19" s="52" t="s">
        <v>75</v>
      </c>
    </row>
    <row r="20">
      <c r="C20" s="47"/>
      <c r="D20" s="47"/>
      <c r="E20" s="47"/>
      <c r="L20" s="52" t="s">
        <v>76</v>
      </c>
    </row>
    <row r="21">
      <c r="C21" s="47"/>
      <c r="D21" s="47"/>
      <c r="E21" s="47"/>
      <c r="L21" s="52" t="s">
        <v>77</v>
      </c>
    </row>
    <row r="22">
      <c r="C22" s="47"/>
      <c r="D22" s="47"/>
      <c r="E22" s="47"/>
    </row>
    <row r="23">
      <c r="C23" s="47"/>
      <c r="D23" s="47"/>
      <c r="E23" s="47"/>
    </row>
    <row r="24">
      <c r="C24" s="47"/>
      <c r="D24" s="47"/>
      <c r="E24" s="47"/>
    </row>
    <row r="25">
      <c r="C25" s="47"/>
      <c r="D25" s="47"/>
      <c r="E25" s="47"/>
    </row>
    <row r="26">
      <c r="C26" s="47"/>
      <c r="D26" s="47"/>
      <c r="E26" s="47"/>
    </row>
    <row r="27">
      <c r="C27" s="47"/>
      <c r="D27" s="47"/>
      <c r="E27" s="47"/>
    </row>
    <row r="28">
      <c r="C28" s="47"/>
      <c r="D28" s="47"/>
      <c r="E28" s="47"/>
    </row>
    <row r="29">
      <c r="C29" s="47"/>
      <c r="D29" s="47"/>
      <c r="E29" s="47"/>
    </row>
    <row r="30">
      <c r="C30" s="47"/>
      <c r="D30" s="47"/>
      <c r="E30" s="47"/>
    </row>
    <row r="31">
      <c r="C31" s="47"/>
      <c r="D31" s="47"/>
      <c r="E31" s="47"/>
    </row>
    <row r="32">
      <c r="C32" s="47"/>
      <c r="D32" s="47"/>
      <c r="E32" s="47"/>
    </row>
    <row r="33">
      <c r="C33" s="47"/>
      <c r="D33" s="47"/>
      <c r="E33" s="47"/>
    </row>
    <row r="34">
      <c r="C34" s="47"/>
      <c r="D34" s="47"/>
      <c r="E34" s="47"/>
    </row>
    <row r="35">
      <c r="C35" s="47"/>
      <c r="D35" s="47"/>
      <c r="E35" s="47"/>
    </row>
    <row r="36">
      <c r="C36" s="47"/>
      <c r="D36" s="47"/>
      <c r="E36" s="47"/>
    </row>
    <row r="37">
      <c r="C37" s="47"/>
      <c r="D37" s="47"/>
      <c r="E37" s="47"/>
    </row>
    <row r="38">
      <c r="C38" s="47"/>
      <c r="D38" s="47"/>
      <c r="E38" s="47"/>
    </row>
    <row r="39">
      <c r="C39" s="47"/>
      <c r="D39" s="47"/>
      <c r="E39" s="47"/>
    </row>
    <row r="40">
      <c r="C40" s="47"/>
      <c r="D40" s="47"/>
      <c r="E40" s="47"/>
    </row>
    <row r="41">
      <c r="C41" s="47"/>
      <c r="D41" s="47"/>
      <c r="E41" s="47"/>
    </row>
    <row r="42">
      <c r="C42" s="47"/>
      <c r="D42" s="47"/>
      <c r="E42" s="47"/>
    </row>
    <row r="43">
      <c r="C43" s="47"/>
      <c r="D43" s="47"/>
      <c r="E43" s="47"/>
    </row>
    <row r="44">
      <c r="C44" s="47"/>
      <c r="D44" s="47"/>
      <c r="E44" s="47"/>
    </row>
    <row r="45">
      <c r="C45" s="47"/>
      <c r="D45" s="47"/>
      <c r="E45" s="47"/>
    </row>
    <row r="46">
      <c r="C46" s="47"/>
      <c r="D46" s="47"/>
      <c r="E46" s="47"/>
    </row>
    <row r="47">
      <c r="C47" s="47"/>
      <c r="D47" s="47"/>
      <c r="E47" s="47"/>
    </row>
    <row r="48">
      <c r="C48" s="47"/>
      <c r="D48" s="47"/>
      <c r="E48" s="47"/>
    </row>
    <row r="49">
      <c r="C49" s="47"/>
      <c r="D49" s="47"/>
      <c r="E49" s="47"/>
    </row>
    <row r="50">
      <c r="C50" s="47"/>
      <c r="D50" s="47"/>
      <c r="E50" s="47"/>
    </row>
    <row r="51">
      <c r="C51" s="47"/>
      <c r="D51" s="47"/>
      <c r="E51" s="47"/>
    </row>
    <row r="52">
      <c r="C52" s="47"/>
      <c r="D52" s="47"/>
      <c r="E52" s="47"/>
    </row>
    <row r="53">
      <c r="C53" s="47"/>
      <c r="D53" s="47"/>
      <c r="E53" s="47"/>
    </row>
    <row r="54">
      <c r="C54" s="47"/>
      <c r="D54" s="47"/>
      <c r="E54" s="47"/>
    </row>
    <row r="55">
      <c r="C55" s="47"/>
      <c r="D55" s="47"/>
      <c r="E55" s="47"/>
    </row>
    <row r="56">
      <c r="C56" s="47"/>
      <c r="D56" s="47"/>
      <c r="E56" s="47"/>
    </row>
    <row r="57">
      <c r="C57" s="47"/>
      <c r="D57" s="47"/>
      <c r="E57" s="47"/>
    </row>
    <row r="58">
      <c r="C58" s="47"/>
      <c r="D58" s="47"/>
      <c r="E58" s="47"/>
    </row>
    <row r="59">
      <c r="C59" s="47"/>
      <c r="D59" s="47"/>
      <c r="E59" s="47"/>
    </row>
    <row r="60">
      <c r="C60" s="47"/>
      <c r="D60" s="47"/>
      <c r="E60" s="47"/>
    </row>
    <row r="61">
      <c r="C61" s="47"/>
      <c r="D61" s="47"/>
      <c r="E61" s="47"/>
    </row>
    <row r="62">
      <c r="C62" s="47"/>
      <c r="D62" s="47"/>
      <c r="E62" s="47"/>
    </row>
    <row r="63">
      <c r="C63" s="47"/>
      <c r="D63" s="47"/>
      <c r="E63" s="47"/>
    </row>
    <row r="64">
      <c r="C64" s="47"/>
      <c r="D64" s="47"/>
      <c r="E64" s="47"/>
    </row>
    <row r="65">
      <c r="C65" s="47"/>
      <c r="D65" s="47"/>
      <c r="E65" s="47"/>
    </row>
    <row r="66">
      <c r="C66" s="47"/>
      <c r="D66" s="47"/>
      <c r="E66" s="47"/>
    </row>
    <row r="67">
      <c r="C67" s="47"/>
      <c r="D67" s="47"/>
      <c r="E67" s="47"/>
    </row>
    <row r="68">
      <c r="C68" s="47"/>
      <c r="D68" s="47"/>
      <c r="E68" s="47"/>
    </row>
    <row r="69">
      <c r="C69" s="47"/>
      <c r="D69" s="47"/>
      <c r="E69" s="47"/>
    </row>
    <row r="70">
      <c r="C70" s="47"/>
      <c r="D70" s="47"/>
      <c r="E70" s="47"/>
    </row>
    <row r="71">
      <c r="C71" s="47"/>
      <c r="D71" s="47"/>
      <c r="E71" s="47"/>
    </row>
    <row r="72">
      <c r="C72" s="47"/>
      <c r="D72" s="47"/>
      <c r="E72" s="47"/>
    </row>
    <row r="73">
      <c r="C73" s="47"/>
      <c r="D73" s="47"/>
      <c r="E73" s="47"/>
    </row>
    <row r="74">
      <c r="C74" s="47"/>
      <c r="D74" s="47"/>
      <c r="E74" s="47"/>
    </row>
    <row r="75">
      <c r="C75" s="47"/>
      <c r="D75" s="47"/>
      <c r="E75" s="47"/>
    </row>
    <row r="76">
      <c r="C76" s="47"/>
      <c r="D76" s="47"/>
      <c r="E76" s="47"/>
    </row>
    <row r="77">
      <c r="C77" s="47"/>
      <c r="D77" s="47"/>
      <c r="E77" s="47"/>
    </row>
    <row r="78">
      <c r="C78" s="47"/>
      <c r="D78" s="47"/>
      <c r="E78" s="47"/>
    </row>
    <row r="79">
      <c r="C79" s="47"/>
      <c r="D79" s="47"/>
      <c r="E79" s="47"/>
    </row>
    <row r="80">
      <c r="C80" s="47"/>
      <c r="D80" s="47"/>
      <c r="E80" s="47"/>
    </row>
    <row r="81">
      <c r="C81" s="47"/>
      <c r="D81" s="47"/>
      <c r="E81" s="47"/>
    </row>
    <row r="82">
      <c r="C82" s="47"/>
      <c r="D82" s="47"/>
      <c r="E82" s="47"/>
    </row>
    <row r="83">
      <c r="C83" s="47"/>
      <c r="D83" s="47"/>
      <c r="E83" s="47"/>
    </row>
    <row r="84">
      <c r="C84" s="47"/>
      <c r="D84" s="47"/>
      <c r="E84" s="47"/>
    </row>
    <row r="85">
      <c r="C85" s="47"/>
      <c r="D85" s="47"/>
      <c r="E85" s="47"/>
    </row>
    <row r="86">
      <c r="C86" s="47"/>
      <c r="D86" s="47"/>
      <c r="E86" s="47"/>
    </row>
    <row r="87">
      <c r="C87" s="47"/>
      <c r="D87" s="47"/>
      <c r="E87" s="47"/>
    </row>
    <row r="88">
      <c r="C88" s="47"/>
      <c r="D88" s="47"/>
      <c r="E88" s="47"/>
    </row>
    <row r="89">
      <c r="C89" s="47"/>
      <c r="D89" s="47"/>
      <c r="E89" s="47"/>
    </row>
    <row r="90">
      <c r="C90" s="47"/>
      <c r="D90" s="47"/>
      <c r="E90" s="47"/>
    </row>
    <row r="91">
      <c r="C91" s="47"/>
      <c r="D91" s="47"/>
      <c r="E91" s="47"/>
    </row>
    <row r="92">
      <c r="C92" s="47"/>
      <c r="D92" s="47"/>
      <c r="E92" s="47"/>
    </row>
    <row r="93">
      <c r="C93" s="47"/>
      <c r="D93" s="47"/>
      <c r="E93" s="47"/>
    </row>
    <row r="94">
      <c r="C94" s="47"/>
      <c r="D94" s="47"/>
      <c r="E94" s="47"/>
    </row>
    <row r="95">
      <c r="C95" s="47"/>
      <c r="D95" s="47"/>
      <c r="E95" s="47"/>
    </row>
    <row r="96">
      <c r="C96" s="47"/>
      <c r="D96" s="47"/>
      <c r="E96" s="47"/>
    </row>
    <row r="97">
      <c r="C97" s="47"/>
      <c r="D97" s="47"/>
      <c r="E97" s="47"/>
    </row>
    <row r="98">
      <c r="C98" s="47"/>
      <c r="D98" s="47"/>
      <c r="E98" s="47"/>
    </row>
    <row r="99">
      <c r="C99" s="47"/>
      <c r="D99" s="47"/>
      <c r="E99" s="47"/>
    </row>
    <row r="100">
      <c r="C100" s="47"/>
      <c r="D100" s="47"/>
      <c r="E100" s="47"/>
    </row>
    <row r="101">
      <c r="C101" s="47"/>
      <c r="D101" s="47"/>
      <c r="E101" s="47"/>
    </row>
    <row r="102">
      <c r="C102" s="47"/>
      <c r="D102" s="47"/>
      <c r="E102" s="47"/>
    </row>
    <row r="103">
      <c r="C103" s="47"/>
      <c r="D103" s="47"/>
      <c r="E103" s="47"/>
    </row>
    <row r="104">
      <c r="C104" s="47"/>
      <c r="D104" s="47"/>
      <c r="E104" s="47"/>
    </row>
    <row r="105">
      <c r="C105" s="47"/>
      <c r="D105" s="47"/>
      <c r="E105" s="47"/>
    </row>
    <row r="106">
      <c r="C106" s="47"/>
      <c r="D106" s="47"/>
      <c r="E106" s="47"/>
    </row>
    <row r="107">
      <c r="C107" s="47"/>
      <c r="D107" s="47"/>
      <c r="E107" s="47"/>
    </row>
    <row r="108">
      <c r="C108" s="47"/>
      <c r="D108" s="47"/>
      <c r="E108" s="47"/>
    </row>
    <row r="109">
      <c r="C109" s="47"/>
      <c r="D109" s="47"/>
      <c r="E109" s="47"/>
    </row>
    <row r="110">
      <c r="C110" s="47"/>
      <c r="D110" s="47"/>
      <c r="E110" s="47"/>
    </row>
    <row r="111">
      <c r="C111" s="47"/>
      <c r="D111" s="47"/>
      <c r="E111" s="47"/>
    </row>
    <row r="112">
      <c r="C112" s="47"/>
      <c r="D112" s="47"/>
      <c r="E112" s="47"/>
    </row>
    <row r="113">
      <c r="C113" s="47"/>
      <c r="D113" s="47"/>
      <c r="E113" s="47"/>
    </row>
    <row r="114">
      <c r="C114" s="47"/>
      <c r="D114" s="47"/>
      <c r="E114" s="47"/>
    </row>
    <row r="115">
      <c r="C115" s="47"/>
      <c r="D115" s="47"/>
      <c r="E115" s="47"/>
    </row>
    <row r="116">
      <c r="C116" s="47"/>
      <c r="D116" s="47"/>
      <c r="E116" s="47"/>
    </row>
    <row r="117">
      <c r="C117" s="47"/>
      <c r="D117" s="47"/>
      <c r="E117" s="47"/>
    </row>
    <row r="118">
      <c r="C118" s="47"/>
      <c r="D118" s="47"/>
      <c r="E118" s="47"/>
    </row>
    <row r="119">
      <c r="C119" s="47"/>
      <c r="D119" s="47"/>
      <c r="E119" s="47"/>
    </row>
    <row r="120">
      <c r="C120" s="47"/>
      <c r="D120" s="47"/>
      <c r="E120" s="47"/>
    </row>
    <row r="121">
      <c r="C121" s="47"/>
      <c r="D121" s="47"/>
      <c r="E121" s="47"/>
    </row>
    <row r="122">
      <c r="C122" s="47"/>
      <c r="D122" s="47"/>
      <c r="E122" s="47"/>
    </row>
    <row r="123">
      <c r="C123" s="47"/>
      <c r="D123" s="47"/>
      <c r="E123" s="47"/>
    </row>
    <row r="124">
      <c r="C124" s="47"/>
      <c r="D124" s="47"/>
      <c r="E124" s="47"/>
    </row>
    <row r="125">
      <c r="C125" s="47"/>
      <c r="D125" s="47"/>
      <c r="E125" s="47"/>
    </row>
    <row r="126">
      <c r="C126" s="47"/>
      <c r="D126" s="47"/>
      <c r="E126" s="47"/>
    </row>
    <row r="127">
      <c r="C127" s="47"/>
      <c r="D127" s="47"/>
      <c r="E127" s="47"/>
    </row>
    <row r="128">
      <c r="C128" s="47"/>
      <c r="D128" s="47"/>
      <c r="E128" s="47"/>
    </row>
    <row r="129">
      <c r="C129" s="47"/>
      <c r="D129" s="47"/>
      <c r="E129" s="47"/>
    </row>
    <row r="130">
      <c r="C130" s="47"/>
      <c r="D130" s="47"/>
      <c r="E130" s="47"/>
    </row>
    <row r="131">
      <c r="C131" s="47"/>
      <c r="D131" s="47"/>
      <c r="E131" s="47"/>
    </row>
    <row r="132">
      <c r="C132" s="47"/>
      <c r="D132" s="47"/>
      <c r="E132" s="47"/>
    </row>
    <row r="133">
      <c r="C133" s="47"/>
      <c r="D133" s="47"/>
      <c r="E133" s="47"/>
    </row>
    <row r="134">
      <c r="C134" s="47"/>
      <c r="D134" s="47"/>
      <c r="E134" s="47"/>
    </row>
    <row r="135">
      <c r="C135" s="47"/>
      <c r="D135" s="47"/>
      <c r="E135" s="47"/>
    </row>
    <row r="136">
      <c r="C136" s="47"/>
      <c r="D136" s="47"/>
      <c r="E136" s="47"/>
    </row>
    <row r="137">
      <c r="C137" s="47"/>
      <c r="D137" s="47"/>
      <c r="E137" s="47"/>
    </row>
    <row r="138">
      <c r="C138" s="47"/>
      <c r="D138" s="47"/>
      <c r="E138" s="47"/>
    </row>
    <row r="139">
      <c r="C139" s="47"/>
      <c r="D139" s="47"/>
      <c r="E139" s="47"/>
    </row>
    <row r="140">
      <c r="C140" s="47"/>
      <c r="D140" s="47"/>
      <c r="E140" s="47"/>
    </row>
    <row r="141">
      <c r="C141" s="47"/>
      <c r="D141" s="47"/>
      <c r="E141" s="47"/>
    </row>
    <row r="142">
      <c r="C142" s="47"/>
      <c r="D142" s="47"/>
      <c r="E142" s="47"/>
    </row>
    <row r="143">
      <c r="C143" s="47"/>
      <c r="D143" s="47"/>
      <c r="E143" s="47"/>
    </row>
    <row r="144">
      <c r="C144" s="47"/>
      <c r="D144" s="47"/>
      <c r="E144" s="47"/>
    </row>
    <row r="145">
      <c r="C145" s="47"/>
      <c r="D145" s="47"/>
      <c r="E145" s="47"/>
    </row>
    <row r="146">
      <c r="C146" s="47"/>
      <c r="D146" s="47"/>
      <c r="E146" s="47"/>
    </row>
    <row r="147">
      <c r="C147" s="47"/>
      <c r="D147" s="47"/>
      <c r="E147" s="47"/>
    </row>
    <row r="148">
      <c r="C148" s="47"/>
      <c r="D148" s="47"/>
      <c r="E148" s="47"/>
    </row>
    <row r="149">
      <c r="C149" s="47"/>
      <c r="D149" s="47"/>
      <c r="E149" s="47"/>
    </row>
    <row r="150">
      <c r="C150" s="47"/>
      <c r="D150" s="47"/>
      <c r="E150" s="47"/>
    </row>
    <row r="151">
      <c r="C151" s="47"/>
      <c r="D151" s="47"/>
      <c r="E151" s="47"/>
    </row>
    <row r="152">
      <c r="C152" s="47"/>
      <c r="D152" s="47"/>
      <c r="E152" s="47"/>
    </row>
    <row r="153">
      <c r="C153" s="47"/>
      <c r="D153" s="47"/>
      <c r="E153" s="47"/>
    </row>
    <row r="154">
      <c r="C154" s="47"/>
      <c r="D154" s="47"/>
      <c r="E154" s="47"/>
    </row>
    <row r="155">
      <c r="C155" s="47"/>
      <c r="D155" s="47"/>
      <c r="E155" s="47"/>
    </row>
    <row r="156">
      <c r="C156" s="47"/>
      <c r="D156" s="47"/>
      <c r="E156" s="47"/>
    </row>
    <row r="157">
      <c r="C157" s="47"/>
      <c r="D157" s="47"/>
      <c r="E157" s="47"/>
    </row>
    <row r="158">
      <c r="C158" s="47"/>
      <c r="D158" s="47"/>
      <c r="E158" s="47"/>
    </row>
    <row r="159">
      <c r="C159" s="47"/>
      <c r="D159" s="47"/>
      <c r="E159" s="47"/>
    </row>
    <row r="160">
      <c r="C160" s="47"/>
      <c r="D160" s="47"/>
      <c r="E160" s="47"/>
    </row>
    <row r="161">
      <c r="C161" s="47"/>
      <c r="D161" s="47"/>
      <c r="E161" s="47"/>
    </row>
    <row r="162">
      <c r="C162" s="47"/>
      <c r="D162" s="47"/>
      <c r="E162" s="47"/>
    </row>
    <row r="163">
      <c r="C163" s="47"/>
      <c r="D163" s="47"/>
      <c r="E163" s="47"/>
    </row>
    <row r="164">
      <c r="C164" s="47"/>
      <c r="D164" s="47"/>
      <c r="E164" s="47"/>
    </row>
    <row r="165">
      <c r="C165" s="47"/>
      <c r="D165" s="47"/>
      <c r="E165" s="47"/>
    </row>
    <row r="166">
      <c r="C166" s="47"/>
      <c r="D166" s="47"/>
      <c r="E166" s="47"/>
    </row>
    <row r="167">
      <c r="C167" s="47"/>
      <c r="D167" s="47"/>
      <c r="E167" s="47"/>
    </row>
    <row r="168">
      <c r="C168" s="47"/>
      <c r="D168" s="47"/>
      <c r="E168" s="47"/>
    </row>
    <row r="169">
      <c r="C169" s="47"/>
      <c r="D169" s="47"/>
      <c r="E169" s="47"/>
    </row>
    <row r="170">
      <c r="C170" s="47"/>
      <c r="D170" s="47"/>
      <c r="E170" s="47"/>
    </row>
    <row r="171">
      <c r="C171" s="47"/>
      <c r="D171" s="47"/>
      <c r="E171" s="47"/>
    </row>
    <row r="172">
      <c r="C172" s="47"/>
      <c r="D172" s="47"/>
      <c r="E172" s="47"/>
    </row>
    <row r="173">
      <c r="C173" s="47"/>
      <c r="D173" s="47"/>
      <c r="E173" s="47"/>
    </row>
    <row r="174">
      <c r="C174" s="47"/>
      <c r="D174" s="47"/>
      <c r="E174" s="47"/>
    </row>
    <row r="175">
      <c r="C175" s="47"/>
      <c r="D175" s="47"/>
      <c r="E175" s="47"/>
    </row>
    <row r="176">
      <c r="C176" s="47"/>
      <c r="D176" s="47"/>
      <c r="E176" s="47"/>
    </row>
    <row r="177">
      <c r="C177" s="47"/>
      <c r="D177" s="47"/>
      <c r="E177" s="47"/>
    </row>
    <row r="178">
      <c r="C178" s="47"/>
      <c r="D178" s="47"/>
      <c r="E178" s="47"/>
    </row>
    <row r="179">
      <c r="C179" s="47"/>
      <c r="D179" s="47"/>
      <c r="E179" s="47"/>
    </row>
    <row r="180">
      <c r="C180" s="47"/>
      <c r="D180" s="47"/>
      <c r="E180" s="47"/>
    </row>
    <row r="181">
      <c r="C181" s="47"/>
      <c r="D181" s="47"/>
      <c r="E181" s="47"/>
    </row>
    <row r="182">
      <c r="C182" s="47"/>
      <c r="D182" s="47"/>
      <c r="E182" s="47"/>
    </row>
    <row r="183">
      <c r="C183" s="47"/>
      <c r="D183" s="47"/>
      <c r="E183" s="47"/>
    </row>
    <row r="184">
      <c r="C184" s="47"/>
      <c r="D184" s="47"/>
      <c r="E184" s="47"/>
    </row>
    <row r="185">
      <c r="C185" s="47"/>
      <c r="D185" s="47"/>
      <c r="E185" s="47"/>
    </row>
    <row r="186">
      <c r="C186" s="47"/>
      <c r="D186" s="47"/>
      <c r="E186" s="47"/>
    </row>
    <row r="187">
      <c r="C187" s="47"/>
      <c r="D187" s="47"/>
      <c r="E187" s="47"/>
    </row>
    <row r="188">
      <c r="C188" s="47"/>
      <c r="D188" s="47"/>
      <c r="E188" s="47"/>
    </row>
    <row r="189">
      <c r="C189" s="47"/>
      <c r="D189" s="47"/>
      <c r="E189" s="47"/>
    </row>
    <row r="190">
      <c r="C190" s="47"/>
      <c r="D190" s="47"/>
      <c r="E190" s="47"/>
    </row>
    <row r="191">
      <c r="C191" s="47"/>
      <c r="D191" s="47"/>
      <c r="E191" s="47"/>
    </row>
    <row r="192">
      <c r="C192" s="47"/>
      <c r="D192" s="47"/>
      <c r="E192" s="47"/>
    </row>
    <row r="193">
      <c r="C193" s="47"/>
      <c r="D193" s="47"/>
      <c r="E193" s="47"/>
    </row>
    <row r="194">
      <c r="C194" s="47"/>
      <c r="D194" s="47"/>
      <c r="E194" s="47"/>
    </row>
    <row r="195">
      <c r="C195" s="47"/>
      <c r="D195" s="47"/>
      <c r="E195" s="47"/>
    </row>
    <row r="196">
      <c r="C196" s="47"/>
      <c r="D196" s="47"/>
      <c r="E196" s="47"/>
    </row>
    <row r="197">
      <c r="C197" s="47"/>
      <c r="D197" s="47"/>
      <c r="E197" s="47"/>
    </row>
    <row r="198">
      <c r="C198" s="47"/>
      <c r="D198" s="47"/>
      <c r="E198" s="47"/>
    </row>
    <row r="199">
      <c r="C199" s="47"/>
      <c r="D199" s="47"/>
      <c r="E199" s="47"/>
    </row>
    <row r="200">
      <c r="C200" s="47"/>
      <c r="D200" s="47"/>
      <c r="E200" s="47"/>
    </row>
    <row r="201">
      <c r="C201" s="47"/>
      <c r="D201" s="47"/>
      <c r="E201" s="47"/>
    </row>
    <row r="202">
      <c r="C202" s="47"/>
      <c r="D202" s="47"/>
      <c r="E202" s="47"/>
    </row>
    <row r="203">
      <c r="C203" s="47"/>
      <c r="D203" s="47"/>
      <c r="E203" s="47"/>
    </row>
    <row r="204">
      <c r="C204" s="47"/>
      <c r="D204" s="47"/>
      <c r="E204" s="47"/>
    </row>
    <row r="205">
      <c r="C205" s="47"/>
      <c r="D205" s="47"/>
      <c r="E205" s="47"/>
    </row>
    <row r="206">
      <c r="C206" s="47"/>
      <c r="D206" s="47"/>
      <c r="E206" s="47"/>
    </row>
    <row r="207">
      <c r="C207" s="47"/>
      <c r="D207" s="47"/>
      <c r="E207" s="47"/>
    </row>
    <row r="208">
      <c r="C208" s="47"/>
      <c r="D208" s="47"/>
      <c r="E208" s="47"/>
    </row>
    <row r="209">
      <c r="C209" s="47"/>
      <c r="D209" s="47"/>
      <c r="E209" s="47"/>
    </row>
    <row r="210">
      <c r="C210" s="47"/>
      <c r="D210" s="47"/>
      <c r="E210" s="47"/>
    </row>
    <row r="211">
      <c r="C211" s="47"/>
      <c r="D211" s="47"/>
      <c r="E211" s="47"/>
    </row>
    <row r="212">
      <c r="C212" s="47"/>
      <c r="D212" s="47"/>
      <c r="E212" s="47"/>
    </row>
    <row r="213">
      <c r="C213" s="47"/>
      <c r="D213" s="47"/>
      <c r="E213" s="47"/>
    </row>
    <row r="214">
      <c r="C214" s="47"/>
      <c r="D214" s="47"/>
      <c r="E214" s="47"/>
    </row>
    <row r="215">
      <c r="C215" s="47"/>
      <c r="D215" s="47"/>
      <c r="E215" s="47"/>
    </row>
    <row r="216">
      <c r="C216" s="47"/>
      <c r="D216" s="47"/>
      <c r="E216" s="47"/>
    </row>
    <row r="217">
      <c r="C217" s="47"/>
      <c r="D217" s="47"/>
      <c r="E217" s="47"/>
    </row>
    <row r="218">
      <c r="C218" s="47"/>
      <c r="D218" s="47"/>
      <c r="E218" s="47"/>
    </row>
    <row r="219">
      <c r="C219" s="47"/>
      <c r="D219" s="47"/>
      <c r="E219" s="47"/>
    </row>
    <row r="220">
      <c r="C220" s="47"/>
      <c r="D220" s="47"/>
      <c r="E220" s="47"/>
    </row>
    <row r="221">
      <c r="C221" s="47"/>
      <c r="D221" s="47"/>
      <c r="E221" s="47"/>
    </row>
    <row r="222">
      <c r="C222" s="47"/>
      <c r="D222" s="47"/>
      <c r="E222" s="47"/>
    </row>
    <row r="223">
      <c r="C223" s="47"/>
      <c r="D223" s="47"/>
      <c r="E223" s="47"/>
    </row>
    <row r="224">
      <c r="C224" s="47"/>
      <c r="D224" s="47"/>
      <c r="E224" s="47"/>
    </row>
    <row r="225">
      <c r="C225" s="47"/>
      <c r="D225" s="47"/>
      <c r="E225" s="47"/>
    </row>
    <row r="226">
      <c r="C226" s="47"/>
      <c r="D226" s="47"/>
      <c r="E226" s="47"/>
    </row>
    <row r="227">
      <c r="C227" s="47"/>
      <c r="D227" s="47"/>
      <c r="E227" s="47"/>
    </row>
    <row r="228">
      <c r="C228" s="47"/>
      <c r="D228" s="47"/>
      <c r="E228" s="47"/>
    </row>
    <row r="229">
      <c r="C229" s="47"/>
      <c r="D229" s="47"/>
      <c r="E229" s="47"/>
    </row>
    <row r="230">
      <c r="C230" s="47"/>
      <c r="D230" s="47"/>
      <c r="E230" s="47"/>
    </row>
    <row r="231">
      <c r="C231" s="47"/>
      <c r="D231" s="47"/>
      <c r="E231" s="47"/>
    </row>
    <row r="232">
      <c r="C232" s="47"/>
      <c r="D232" s="47"/>
      <c r="E232" s="47"/>
    </row>
    <row r="233">
      <c r="C233" s="47"/>
      <c r="D233" s="47"/>
      <c r="E233" s="47"/>
    </row>
    <row r="234">
      <c r="C234" s="47"/>
      <c r="D234" s="47"/>
      <c r="E234" s="47"/>
    </row>
    <row r="235">
      <c r="C235" s="47"/>
      <c r="D235" s="47"/>
      <c r="E235" s="47"/>
    </row>
    <row r="236">
      <c r="C236" s="47"/>
      <c r="D236" s="47"/>
      <c r="E236" s="47"/>
    </row>
    <row r="237">
      <c r="C237" s="47"/>
      <c r="D237" s="47"/>
      <c r="E237" s="47"/>
    </row>
    <row r="238">
      <c r="C238" s="47"/>
      <c r="D238" s="47"/>
      <c r="E238" s="47"/>
    </row>
    <row r="239">
      <c r="C239" s="47"/>
      <c r="D239" s="47"/>
      <c r="E239" s="47"/>
    </row>
    <row r="240">
      <c r="C240" s="47"/>
      <c r="D240" s="47"/>
      <c r="E240" s="47"/>
    </row>
    <row r="241">
      <c r="C241" s="47"/>
      <c r="D241" s="47"/>
      <c r="E241" s="47"/>
    </row>
    <row r="242">
      <c r="C242" s="47"/>
      <c r="D242" s="47"/>
      <c r="E242" s="47"/>
    </row>
    <row r="243">
      <c r="C243" s="47"/>
      <c r="D243" s="47"/>
      <c r="E243" s="47"/>
    </row>
    <row r="244">
      <c r="C244" s="47"/>
      <c r="D244" s="47"/>
      <c r="E244" s="47"/>
    </row>
    <row r="245">
      <c r="C245" s="47"/>
      <c r="D245" s="47"/>
      <c r="E245" s="47"/>
    </row>
    <row r="246">
      <c r="C246" s="47"/>
      <c r="D246" s="47"/>
      <c r="E246" s="47"/>
    </row>
    <row r="247">
      <c r="C247" s="47"/>
      <c r="D247" s="47"/>
      <c r="E247" s="47"/>
    </row>
    <row r="248">
      <c r="C248" s="47"/>
      <c r="D248" s="47"/>
      <c r="E248" s="47"/>
    </row>
    <row r="249">
      <c r="C249" s="47"/>
      <c r="D249" s="47"/>
      <c r="E249" s="47"/>
    </row>
    <row r="250">
      <c r="C250" s="47"/>
      <c r="D250" s="47"/>
      <c r="E250" s="47"/>
    </row>
    <row r="251">
      <c r="C251" s="47"/>
      <c r="D251" s="47"/>
      <c r="E251" s="47"/>
    </row>
    <row r="252">
      <c r="C252" s="47"/>
      <c r="D252" s="47"/>
      <c r="E252" s="47"/>
    </row>
    <row r="253">
      <c r="C253" s="47"/>
      <c r="D253" s="47"/>
      <c r="E253" s="47"/>
    </row>
    <row r="254">
      <c r="C254" s="47"/>
      <c r="D254" s="47"/>
      <c r="E254" s="47"/>
    </row>
    <row r="255">
      <c r="C255" s="47"/>
      <c r="D255" s="47"/>
      <c r="E255" s="47"/>
    </row>
    <row r="256">
      <c r="C256" s="47"/>
      <c r="D256" s="47"/>
      <c r="E256" s="47"/>
    </row>
    <row r="257">
      <c r="C257" s="47"/>
      <c r="D257" s="47"/>
      <c r="E257" s="47"/>
    </row>
    <row r="258">
      <c r="C258" s="47"/>
      <c r="D258" s="47"/>
      <c r="E258" s="47"/>
    </row>
    <row r="259">
      <c r="C259" s="47"/>
      <c r="D259" s="47"/>
      <c r="E259" s="47"/>
    </row>
    <row r="260">
      <c r="C260" s="47"/>
      <c r="D260" s="47"/>
      <c r="E260" s="47"/>
    </row>
    <row r="261">
      <c r="C261" s="47"/>
      <c r="D261" s="47"/>
      <c r="E261" s="47"/>
    </row>
    <row r="262">
      <c r="C262" s="47"/>
      <c r="D262" s="47"/>
      <c r="E262" s="47"/>
    </row>
    <row r="263">
      <c r="C263" s="47"/>
      <c r="D263" s="47"/>
      <c r="E263" s="47"/>
    </row>
    <row r="264">
      <c r="C264" s="47"/>
      <c r="D264" s="47"/>
      <c r="E264" s="47"/>
    </row>
    <row r="265">
      <c r="C265" s="47"/>
      <c r="D265" s="47"/>
      <c r="E265" s="47"/>
    </row>
    <row r="266">
      <c r="C266" s="47"/>
      <c r="D266" s="47"/>
      <c r="E266" s="47"/>
    </row>
    <row r="267">
      <c r="C267" s="47"/>
      <c r="D267" s="47"/>
      <c r="E267" s="47"/>
    </row>
    <row r="268">
      <c r="C268" s="47"/>
      <c r="D268" s="47"/>
      <c r="E268" s="47"/>
    </row>
    <row r="269">
      <c r="C269" s="47"/>
      <c r="D269" s="47"/>
      <c r="E269" s="47"/>
    </row>
    <row r="270">
      <c r="C270" s="47"/>
      <c r="D270" s="47"/>
      <c r="E270" s="47"/>
    </row>
    <row r="271">
      <c r="C271" s="47"/>
      <c r="D271" s="47"/>
      <c r="E271" s="47"/>
    </row>
    <row r="272">
      <c r="C272" s="47"/>
      <c r="D272" s="47"/>
      <c r="E272" s="47"/>
    </row>
    <row r="273">
      <c r="C273" s="47"/>
      <c r="D273" s="47"/>
      <c r="E273" s="47"/>
    </row>
    <row r="274">
      <c r="C274" s="47"/>
      <c r="D274" s="47"/>
      <c r="E274" s="47"/>
    </row>
    <row r="275">
      <c r="C275" s="47"/>
      <c r="D275" s="47"/>
      <c r="E275" s="47"/>
    </row>
    <row r="276">
      <c r="C276" s="47"/>
      <c r="D276" s="47"/>
      <c r="E276" s="47"/>
    </row>
    <row r="277">
      <c r="C277" s="47"/>
      <c r="D277" s="47"/>
      <c r="E277" s="47"/>
    </row>
    <row r="278">
      <c r="C278" s="47"/>
      <c r="D278" s="47"/>
      <c r="E278" s="47"/>
    </row>
    <row r="279">
      <c r="C279" s="47"/>
      <c r="D279" s="47"/>
      <c r="E279" s="47"/>
    </row>
    <row r="280">
      <c r="C280" s="47"/>
      <c r="D280" s="47"/>
      <c r="E280" s="47"/>
    </row>
    <row r="281">
      <c r="C281" s="47"/>
      <c r="D281" s="47"/>
      <c r="E281" s="47"/>
    </row>
    <row r="282">
      <c r="C282" s="47"/>
      <c r="D282" s="47"/>
      <c r="E282" s="47"/>
    </row>
    <row r="283">
      <c r="C283" s="47"/>
      <c r="D283" s="47"/>
      <c r="E283" s="47"/>
    </row>
    <row r="284">
      <c r="C284" s="47"/>
      <c r="D284" s="47"/>
      <c r="E284" s="47"/>
    </row>
    <row r="285">
      <c r="C285" s="47"/>
      <c r="D285" s="47"/>
      <c r="E285" s="47"/>
    </row>
    <row r="286">
      <c r="C286" s="47"/>
      <c r="D286" s="47"/>
      <c r="E286" s="47"/>
    </row>
    <row r="287">
      <c r="C287" s="47"/>
      <c r="D287" s="47"/>
      <c r="E287" s="47"/>
    </row>
    <row r="288">
      <c r="C288" s="47"/>
      <c r="D288" s="47"/>
      <c r="E288" s="47"/>
    </row>
    <row r="289">
      <c r="C289" s="47"/>
      <c r="D289" s="47"/>
      <c r="E289" s="47"/>
    </row>
    <row r="290">
      <c r="C290" s="47"/>
      <c r="D290" s="47"/>
      <c r="E290" s="47"/>
    </row>
    <row r="291">
      <c r="C291" s="47"/>
      <c r="D291" s="47"/>
      <c r="E291" s="47"/>
    </row>
    <row r="292">
      <c r="C292" s="47"/>
      <c r="D292" s="47"/>
      <c r="E292" s="47"/>
    </row>
    <row r="293">
      <c r="C293" s="47"/>
      <c r="D293" s="47"/>
      <c r="E293" s="47"/>
    </row>
    <row r="294">
      <c r="C294" s="47"/>
      <c r="D294" s="47"/>
      <c r="E294" s="47"/>
    </row>
    <row r="295">
      <c r="C295" s="47"/>
      <c r="D295" s="47"/>
      <c r="E295" s="47"/>
    </row>
    <row r="296">
      <c r="C296" s="47"/>
      <c r="D296" s="47"/>
      <c r="E296" s="47"/>
    </row>
    <row r="297">
      <c r="C297" s="47"/>
      <c r="D297" s="47"/>
      <c r="E297" s="47"/>
    </row>
    <row r="298">
      <c r="C298" s="47"/>
      <c r="D298" s="47"/>
      <c r="E298" s="47"/>
    </row>
    <row r="299">
      <c r="C299" s="47"/>
      <c r="D299" s="47"/>
      <c r="E299" s="47"/>
    </row>
    <row r="300">
      <c r="C300" s="47"/>
      <c r="D300" s="47"/>
      <c r="E300" s="47"/>
    </row>
    <row r="301">
      <c r="C301" s="47"/>
      <c r="D301" s="47"/>
      <c r="E301" s="47"/>
    </row>
    <row r="302">
      <c r="C302" s="47"/>
      <c r="D302" s="47"/>
      <c r="E302" s="47"/>
    </row>
    <row r="303">
      <c r="C303" s="47"/>
      <c r="D303" s="47"/>
      <c r="E303" s="47"/>
    </row>
    <row r="304">
      <c r="C304" s="47"/>
      <c r="D304" s="47"/>
      <c r="E304" s="47"/>
    </row>
    <row r="305">
      <c r="C305" s="47"/>
      <c r="D305" s="47"/>
      <c r="E305" s="47"/>
    </row>
    <row r="306">
      <c r="C306" s="47"/>
      <c r="D306" s="47"/>
      <c r="E306" s="47"/>
    </row>
    <row r="307">
      <c r="C307" s="47"/>
      <c r="D307" s="47"/>
      <c r="E307" s="47"/>
    </row>
    <row r="308">
      <c r="C308" s="47"/>
      <c r="D308" s="47"/>
      <c r="E308" s="47"/>
    </row>
    <row r="309">
      <c r="C309" s="47"/>
      <c r="D309" s="47"/>
      <c r="E309" s="47"/>
    </row>
    <row r="310">
      <c r="C310" s="47"/>
      <c r="D310" s="47"/>
      <c r="E310" s="47"/>
    </row>
    <row r="311">
      <c r="C311" s="47"/>
      <c r="D311" s="47"/>
      <c r="E311" s="47"/>
    </row>
    <row r="312">
      <c r="C312" s="47"/>
      <c r="D312" s="47"/>
      <c r="E312" s="47"/>
    </row>
    <row r="313">
      <c r="C313" s="47"/>
      <c r="D313" s="47"/>
      <c r="E313" s="47"/>
    </row>
    <row r="314">
      <c r="C314" s="47"/>
      <c r="D314" s="47"/>
      <c r="E314" s="47"/>
    </row>
    <row r="315">
      <c r="C315" s="47"/>
      <c r="D315" s="47"/>
      <c r="E315" s="47"/>
    </row>
    <row r="316">
      <c r="C316" s="47"/>
      <c r="D316" s="47"/>
      <c r="E316" s="47"/>
    </row>
    <row r="317">
      <c r="C317" s="47"/>
      <c r="D317" s="47"/>
      <c r="E317" s="47"/>
    </row>
    <row r="318">
      <c r="C318" s="47"/>
      <c r="D318" s="47"/>
      <c r="E318" s="47"/>
    </row>
    <row r="319">
      <c r="C319" s="47"/>
      <c r="D319" s="47"/>
      <c r="E319" s="47"/>
    </row>
    <row r="320">
      <c r="C320" s="47"/>
      <c r="D320" s="47"/>
      <c r="E320" s="47"/>
    </row>
    <row r="321">
      <c r="C321" s="47"/>
      <c r="D321" s="47"/>
      <c r="E321" s="47"/>
    </row>
    <row r="322">
      <c r="C322" s="47"/>
      <c r="D322" s="47"/>
      <c r="E322" s="47"/>
    </row>
    <row r="323">
      <c r="C323" s="47"/>
      <c r="D323" s="47"/>
      <c r="E323" s="47"/>
    </row>
    <row r="324">
      <c r="C324" s="47"/>
      <c r="D324" s="47"/>
      <c r="E324" s="47"/>
    </row>
    <row r="325">
      <c r="C325" s="47"/>
      <c r="D325" s="47"/>
      <c r="E325" s="47"/>
    </row>
    <row r="326">
      <c r="C326" s="47"/>
      <c r="D326" s="47"/>
      <c r="E326" s="47"/>
    </row>
    <row r="327">
      <c r="C327" s="47"/>
      <c r="D327" s="47"/>
      <c r="E327" s="47"/>
    </row>
    <row r="328">
      <c r="C328" s="47"/>
      <c r="D328" s="47"/>
      <c r="E328" s="47"/>
    </row>
    <row r="329">
      <c r="C329" s="47"/>
      <c r="D329" s="47"/>
      <c r="E329" s="47"/>
    </row>
    <row r="330">
      <c r="C330" s="47"/>
      <c r="D330" s="47"/>
      <c r="E330" s="47"/>
    </row>
    <row r="331">
      <c r="C331" s="47"/>
      <c r="D331" s="47"/>
      <c r="E331" s="47"/>
    </row>
    <row r="332">
      <c r="C332" s="47"/>
      <c r="D332" s="47"/>
      <c r="E332" s="47"/>
    </row>
    <row r="333">
      <c r="C333" s="47"/>
      <c r="D333" s="47"/>
      <c r="E333" s="47"/>
    </row>
    <row r="334">
      <c r="C334" s="47"/>
      <c r="D334" s="47"/>
      <c r="E334" s="47"/>
    </row>
    <row r="335">
      <c r="C335" s="47"/>
      <c r="D335" s="47"/>
      <c r="E335" s="47"/>
    </row>
    <row r="336">
      <c r="C336" s="47"/>
      <c r="D336" s="47"/>
      <c r="E336" s="47"/>
    </row>
    <row r="337">
      <c r="C337" s="47"/>
      <c r="D337" s="47"/>
      <c r="E337" s="47"/>
    </row>
    <row r="338">
      <c r="C338" s="47"/>
      <c r="D338" s="47"/>
      <c r="E338" s="47"/>
    </row>
    <row r="339">
      <c r="C339" s="47"/>
      <c r="D339" s="47"/>
      <c r="E339" s="47"/>
    </row>
    <row r="340">
      <c r="C340" s="47"/>
      <c r="D340" s="47"/>
      <c r="E340" s="47"/>
    </row>
    <row r="341">
      <c r="C341" s="47"/>
      <c r="D341" s="47"/>
      <c r="E341" s="47"/>
    </row>
    <row r="342">
      <c r="C342" s="47"/>
      <c r="D342" s="47"/>
      <c r="E342" s="47"/>
    </row>
    <row r="343">
      <c r="C343" s="47"/>
      <c r="D343" s="47"/>
      <c r="E343" s="47"/>
    </row>
    <row r="344">
      <c r="C344" s="47"/>
      <c r="D344" s="47"/>
      <c r="E344" s="47"/>
    </row>
    <row r="345">
      <c r="C345" s="47"/>
      <c r="D345" s="47"/>
      <c r="E345" s="47"/>
    </row>
    <row r="346">
      <c r="C346" s="47"/>
      <c r="D346" s="47"/>
      <c r="E346" s="47"/>
    </row>
    <row r="347">
      <c r="C347" s="47"/>
      <c r="D347" s="47"/>
      <c r="E347" s="47"/>
    </row>
    <row r="348">
      <c r="C348" s="47"/>
      <c r="D348" s="47"/>
      <c r="E348" s="47"/>
    </row>
    <row r="349">
      <c r="C349" s="47"/>
      <c r="D349" s="47"/>
      <c r="E349" s="47"/>
    </row>
    <row r="350">
      <c r="C350" s="47"/>
      <c r="D350" s="47"/>
      <c r="E350" s="47"/>
    </row>
    <row r="351">
      <c r="C351" s="47"/>
      <c r="D351" s="47"/>
      <c r="E351" s="47"/>
    </row>
    <row r="352">
      <c r="C352" s="47"/>
      <c r="D352" s="47"/>
      <c r="E352" s="47"/>
    </row>
    <row r="353">
      <c r="C353" s="47"/>
      <c r="D353" s="47"/>
      <c r="E353" s="47"/>
    </row>
    <row r="354">
      <c r="C354" s="47"/>
      <c r="D354" s="47"/>
      <c r="E354" s="47"/>
    </row>
    <row r="355">
      <c r="C355" s="47"/>
      <c r="D355" s="47"/>
      <c r="E355" s="47"/>
    </row>
    <row r="356">
      <c r="C356" s="47"/>
      <c r="D356" s="47"/>
      <c r="E356" s="47"/>
    </row>
    <row r="357">
      <c r="C357" s="47"/>
      <c r="D357" s="47"/>
      <c r="E357" s="47"/>
    </row>
    <row r="358">
      <c r="C358" s="47"/>
      <c r="D358" s="47"/>
      <c r="E358" s="47"/>
    </row>
    <row r="359">
      <c r="C359" s="47"/>
      <c r="D359" s="47"/>
      <c r="E359" s="47"/>
    </row>
    <row r="360">
      <c r="C360" s="47"/>
      <c r="D360" s="47"/>
      <c r="E360" s="47"/>
    </row>
    <row r="361">
      <c r="C361" s="47"/>
      <c r="D361" s="47"/>
      <c r="E361" s="47"/>
    </row>
    <row r="362">
      <c r="C362" s="47"/>
      <c r="D362" s="47"/>
      <c r="E362" s="47"/>
    </row>
    <row r="363">
      <c r="C363" s="47"/>
      <c r="D363" s="47"/>
      <c r="E363" s="47"/>
    </row>
    <row r="364">
      <c r="C364" s="47"/>
      <c r="D364" s="47"/>
      <c r="E364" s="47"/>
    </row>
    <row r="365">
      <c r="C365" s="47"/>
      <c r="D365" s="47"/>
      <c r="E365" s="47"/>
    </row>
    <row r="366">
      <c r="C366" s="47"/>
      <c r="D366" s="47"/>
      <c r="E366" s="47"/>
    </row>
    <row r="367">
      <c r="C367" s="47"/>
      <c r="D367" s="47"/>
      <c r="E367" s="47"/>
    </row>
    <row r="368">
      <c r="C368" s="47"/>
      <c r="D368" s="47"/>
      <c r="E368" s="47"/>
    </row>
    <row r="369">
      <c r="C369" s="47"/>
      <c r="D369" s="47"/>
      <c r="E369" s="47"/>
    </row>
    <row r="370">
      <c r="C370" s="47"/>
      <c r="D370" s="47"/>
      <c r="E370" s="47"/>
    </row>
    <row r="371">
      <c r="C371" s="47"/>
      <c r="D371" s="47"/>
      <c r="E371" s="47"/>
    </row>
    <row r="372">
      <c r="C372" s="47"/>
      <c r="D372" s="47"/>
      <c r="E372" s="47"/>
    </row>
    <row r="373">
      <c r="C373" s="47"/>
      <c r="D373" s="47"/>
      <c r="E373" s="47"/>
    </row>
    <row r="374">
      <c r="C374" s="47"/>
      <c r="D374" s="47"/>
      <c r="E374" s="47"/>
    </row>
    <row r="375">
      <c r="C375" s="47"/>
      <c r="D375" s="47"/>
      <c r="E375" s="47"/>
    </row>
    <row r="376">
      <c r="C376" s="47"/>
      <c r="D376" s="47"/>
      <c r="E376" s="47"/>
    </row>
    <row r="377">
      <c r="C377" s="47"/>
      <c r="D377" s="47"/>
      <c r="E377" s="47"/>
    </row>
    <row r="378">
      <c r="C378" s="47"/>
      <c r="D378" s="47"/>
      <c r="E378" s="47"/>
    </row>
    <row r="379">
      <c r="C379" s="47"/>
      <c r="D379" s="47"/>
      <c r="E379" s="47"/>
    </row>
    <row r="380">
      <c r="C380" s="47"/>
      <c r="D380" s="47"/>
      <c r="E380" s="47"/>
    </row>
    <row r="381">
      <c r="C381" s="47"/>
      <c r="D381" s="47"/>
      <c r="E381" s="47"/>
    </row>
    <row r="382">
      <c r="C382" s="47"/>
      <c r="D382" s="47"/>
      <c r="E382" s="47"/>
    </row>
    <row r="383">
      <c r="C383" s="47"/>
      <c r="D383" s="47"/>
      <c r="E383" s="47"/>
    </row>
    <row r="384">
      <c r="C384" s="47"/>
      <c r="D384" s="47"/>
      <c r="E384" s="47"/>
    </row>
    <row r="385">
      <c r="C385" s="47"/>
      <c r="D385" s="47"/>
      <c r="E385" s="47"/>
    </row>
    <row r="386">
      <c r="C386" s="47"/>
      <c r="D386" s="47"/>
      <c r="E386" s="47"/>
    </row>
    <row r="387">
      <c r="C387" s="47"/>
      <c r="D387" s="47"/>
      <c r="E387" s="47"/>
    </row>
    <row r="388">
      <c r="C388" s="47"/>
      <c r="D388" s="47"/>
      <c r="E388" s="47"/>
    </row>
    <row r="389">
      <c r="C389" s="47"/>
      <c r="D389" s="47"/>
      <c r="E389" s="47"/>
    </row>
    <row r="390">
      <c r="C390" s="47"/>
      <c r="D390" s="47"/>
      <c r="E390" s="47"/>
    </row>
    <row r="391">
      <c r="C391" s="47"/>
      <c r="D391" s="47"/>
      <c r="E391" s="47"/>
    </row>
    <row r="392">
      <c r="C392" s="47"/>
      <c r="D392" s="47"/>
      <c r="E392" s="47"/>
    </row>
    <row r="393">
      <c r="C393" s="47"/>
      <c r="D393" s="47"/>
      <c r="E393" s="47"/>
    </row>
    <row r="394">
      <c r="C394" s="47"/>
      <c r="D394" s="47"/>
      <c r="E394" s="47"/>
    </row>
    <row r="395">
      <c r="C395" s="47"/>
      <c r="D395" s="47"/>
      <c r="E395" s="47"/>
    </row>
    <row r="396">
      <c r="C396" s="47"/>
      <c r="D396" s="47"/>
      <c r="E396" s="47"/>
    </row>
    <row r="397">
      <c r="C397" s="47"/>
      <c r="D397" s="47"/>
      <c r="E397" s="47"/>
    </row>
    <row r="398">
      <c r="C398" s="47"/>
      <c r="D398" s="47"/>
      <c r="E398" s="47"/>
    </row>
    <row r="399">
      <c r="C399" s="47"/>
      <c r="D399" s="47"/>
      <c r="E399" s="47"/>
    </row>
    <row r="400">
      <c r="C400" s="47"/>
      <c r="D400" s="47"/>
      <c r="E400" s="47"/>
    </row>
    <row r="401">
      <c r="C401" s="47"/>
      <c r="D401" s="47"/>
      <c r="E401" s="47"/>
    </row>
    <row r="402">
      <c r="C402" s="47"/>
      <c r="D402" s="47"/>
      <c r="E402" s="47"/>
    </row>
    <row r="403">
      <c r="C403" s="47"/>
      <c r="D403" s="47"/>
      <c r="E403" s="47"/>
    </row>
    <row r="404">
      <c r="C404" s="47"/>
      <c r="D404" s="47"/>
      <c r="E404" s="47"/>
    </row>
    <row r="405">
      <c r="C405" s="47"/>
      <c r="D405" s="47"/>
      <c r="E405" s="47"/>
    </row>
    <row r="406">
      <c r="C406" s="47"/>
      <c r="D406" s="47"/>
      <c r="E406" s="47"/>
    </row>
    <row r="407">
      <c r="C407" s="47"/>
      <c r="D407" s="47"/>
      <c r="E407" s="47"/>
    </row>
    <row r="408">
      <c r="C408" s="47"/>
      <c r="D408" s="47"/>
      <c r="E408" s="47"/>
    </row>
    <row r="409">
      <c r="C409" s="47"/>
      <c r="D409" s="47"/>
      <c r="E409" s="47"/>
    </row>
    <row r="410">
      <c r="C410" s="47"/>
      <c r="D410" s="47"/>
      <c r="E410" s="47"/>
    </row>
    <row r="411">
      <c r="C411" s="47"/>
      <c r="D411" s="47"/>
      <c r="E411" s="47"/>
    </row>
    <row r="412">
      <c r="C412" s="47"/>
      <c r="D412" s="47"/>
      <c r="E412" s="47"/>
    </row>
    <row r="413">
      <c r="C413" s="47"/>
      <c r="D413" s="47"/>
      <c r="E413" s="47"/>
    </row>
    <row r="414">
      <c r="C414" s="47"/>
      <c r="D414" s="47"/>
      <c r="E414" s="47"/>
    </row>
    <row r="415">
      <c r="C415" s="47"/>
      <c r="D415" s="47"/>
      <c r="E415" s="47"/>
    </row>
    <row r="416">
      <c r="C416" s="47"/>
      <c r="D416" s="47"/>
      <c r="E416" s="47"/>
    </row>
    <row r="417">
      <c r="C417" s="47"/>
      <c r="D417" s="47"/>
      <c r="E417" s="47"/>
    </row>
    <row r="418">
      <c r="C418" s="47"/>
      <c r="D418" s="47"/>
      <c r="E418" s="47"/>
    </row>
    <row r="419">
      <c r="C419" s="47"/>
      <c r="D419" s="47"/>
      <c r="E419" s="47"/>
    </row>
    <row r="420">
      <c r="C420" s="47"/>
      <c r="D420" s="47"/>
      <c r="E420" s="47"/>
    </row>
    <row r="421">
      <c r="C421" s="47"/>
      <c r="D421" s="47"/>
      <c r="E421" s="47"/>
    </row>
    <row r="422">
      <c r="C422" s="47"/>
      <c r="D422" s="47"/>
      <c r="E422" s="47"/>
    </row>
    <row r="423">
      <c r="C423" s="47"/>
      <c r="D423" s="47"/>
      <c r="E423" s="47"/>
    </row>
    <row r="424">
      <c r="C424" s="47"/>
      <c r="D424" s="47"/>
      <c r="E424" s="47"/>
    </row>
    <row r="425">
      <c r="C425" s="47"/>
      <c r="D425" s="47"/>
      <c r="E425" s="47"/>
    </row>
    <row r="426">
      <c r="C426" s="47"/>
      <c r="D426" s="47"/>
      <c r="E426" s="47"/>
    </row>
    <row r="427">
      <c r="C427" s="47"/>
      <c r="D427" s="47"/>
      <c r="E427" s="47"/>
    </row>
    <row r="428">
      <c r="C428" s="47"/>
      <c r="D428" s="47"/>
      <c r="E428" s="47"/>
    </row>
    <row r="429">
      <c r="C429" s="47"/>
      <c r="D429" s="47"/>
      <c r="E429" s="47"/>
    </row>
    <row r="430">
      <c r="C430" s="47"/>
      <c r="D430" s="47"/>
      <c r="E430" s="47"/>
    </row>
    <row r="431">
      <c r="C431" s="47"/>
      <c r="D431" s="47"/>
      <c r="E431" s="47"/>
    </row>
    <row r="432">
      <c r="C432" s="47"/>
      <c r="D432" s="47"/>
      <c r="E432" s="47"/>
    </row>
    <row r="433">
      <c r="C433" s="47"/>
      <c r="D433" s="47"/>
      <c r="E433" s="47"/>
    </row>
    <row r="434">
      <c r="C434" s="47"/>
      <c r="D434" s="47"/>
      <c r="E434" s="47"/>
    </row>
    <row r="435">
      <c r="C435" s="47"/>
      <c r="D435" s="47"/>
      <c r="E435" s="47"/>
    </row>
    <row r="436">
      <c r="C436" s="47"/>
      <c r="D436" s="47"/>
      <c r="E436" s="47"/>
    </row>
    <row r="437">
      <c r="C437" s="47"/>
      <c r="D437" s="47"/>
      <c r="E437" s="47"/>
    </row>
    <row r="438">
      <c r="C438" s="47"/>
      <c r="D438" s="47"/>
      <c r="E438" s="47"/>
    </row>
    <row r="439">
      <c r="C439" s="47"/>
      <c r="D439" s="47"/>
      <c r="E439" s="47"/>
    </row>
    <row r="440">
      <c r="C440" s="47"/>
      <c r="D440" s="47"/>
      <c r="E440" s="47"/>
    </row>
    <row r="441">
      <c r="C441" s="47"/>
      <c r="D441" s="47"/>
      <c r="E441" s="47"/>
    </row>
    <row r="442">
      <c r="C442" s="47"/>
      <c r="D442" s="47"/>
      <c r="E442" s="47"/>
    </row>
    <row r="443">
      <c r="C443" s="47"/>
      <c r="D443" s="47"/>
      <c r="E443" s="47"/>
    </row>
    <row r="444">
      <c r="C444" s="47"/>
      <c r="D444" s="47"/>
      <c r="E444" s="47"/>
    </row>
    <row r="445">
      <c r="C445" s="47"/>
      <c r="D445" s="47"/>
      <c r="E445" s="47"/>
    </row>
    <row r="446">
      <c r="C446" s="47"/>
      <c r="D446" s="47"/>
      <c r="E446" s="47"/>
    </row>
    <row r="447">
      <c r="C447" s="47"/>
      <c r="D447" s="47"/>
      <c r="E447" s="47"/>
    </row>
    <row r="448">
      <c r="C448" s="47"/>
      <c r="D448" s="47"/>
      <c r="E448" s="47"/>
    </row>
    <row r="449">
      <c r="C449" s="47"/>
      <c r="D449" s="47"/>
      <c r="E449" s="47"/>
    </row>
    <row r="450">
      <c r="C450" s="47"/>
      <c r="D450" s="47"/>
      <c r="E450" s="47"/>
    </row>
    <row r="451">
      <c r="C451" s="47"/>
      <c r="D451" s="47"/>
      <c r="E451" s="47"/>
    </row>
    <row r="452">
      <c r="C452" s="47"/>
      <c r="D452" s="47"/>
      <c r="E452" s="47"/>
    </row>
    <row r="453">
      <c r="C453" s="47"/>
      <c r="D453" s="47"/>
      <c r="E453" s="47"/>
    </row>
    <row r="454">
      <c r="C454" s="47"/>
      <c r="D454" s="47"/>
      <c r="E454" s="47"/>
    </row>
    <row r="455">
      <c r="C455" s="47"/>
      <c r="D455" s="47"/>
      <c r="E455" s="47"/>
    </row>
    <row r="456">
      <c r="C456" s="47"/>
      <c r="D456" s="47"/>
      <c r="E456" s="47"/>
    </row>
    <row r="457">
      <c r="C457" s="47"/>
      <c r="D457" s="47"/>
      <c r="E457" s="47"/>
    </row>
    <row r="458">
      <c r="C458" s="47"/>
      <c r="D458" s="47"/>
      <c r="E458" s="47"/>
    </row>
    <row r="459">
      <c r="C459" s="47"/>
      <c r="D459" s="47"/>
      <c r="E459" s="47"/>
    </row>
    <row r="460">
      <c r="C460" s="47"/>
      <c r="D460" s="47"/>
      <c r="E460" s="47"/>
    </row>
    <row r="461">
      <c r="C461" s="47"/>
      <c r="D461" s="47"/>
      <c r="E461" s="47"/>
    </row>
    <row r="462">
      <c r="C462" s="47"/>
      <c r="D462" s="47"/>
      <c r="E462" s="47"/>
    </row>
    <row r="463">
      <c r="C463" s="47"/>
      <c r="D463" s="47"/>
      <c r="E463" s="47"/>
    </row>
    <row r="464">
      <c r="C464" s="47"/>
      <c r="D464" s="47"/>
      <c r="E464" s="47"/>
    </row>
    <row r="465">
      <c r="C465" s="47"/>
      <c r="D465" s="47"/>
      <c r="E465" s="47"/>
    </row>
    <row r="466">
      <c r="C466" s="47"/>
      <c r="D466" s="47"/>
      <c r="E466" s="47"/>
    </row>
    <row r="467">
      <c r="C467" s="47"/>
      <c r="D467" s="47"/>
      <c r="E467" s="47"/>
    </row>
    <row r="468">
      <c r="C468" s="47"/>
      <c r="D468" s="47"/>
      <c r="E468" s="47"/>
    </row>
    <row r="469">
      <c r="C469" s="47"/>
      <c r="D469" s="47"/>
      <c r="E469" s="47"/>
    </row>
    <row r="470">
      <c r="C470" s="47"/>
      <c r="D470" s="47"/>
      <c r="E470" s="47"/>
    </row>
    <row r="471">
      <c r="C471" s="47"/>
      <c r="D471" s="47"/>
      <c r="E471" s="47"/>
    </row>
    <row r="472">
      <c r="C472" s="47"/>
      <c r="D472" s="47"/>
      <c r="E472" s="47"/>
    </row>
    <row r="473">
      <c r="C473" s="47"/>
      <c r="D473" s="47"/>
      <c r="E473" s="47"/>
    </row>
    <row r="474">
      <c r="C474" s="47"/>
      <c r="D474" s="47"/>
      <c r="E474" s="47"/>
    </row>
    <row r="475">
      <c r="C475" s="47"/>
      <c r="D475" s="47"/>
      <c r="E475" s="47"/>
    </row>
    <row r="476">
      <c r="C476" s="47"/>
      <c r="D476" s="47"/>
      <c r="E476" s="47"/>
    </row>
    <row r="477">
      <c r="C477" s="47"/>
      <c r="D477" s="47"/>
      <c r="E477" s="47"/>
    </row>
    <row r="478">
      <c r="C478" s="47"/>
      <c r="D478" s="47"/>
      <c r="E478" s="47"/>
    </row>
    <row r="479">
      <c r="C479" s="47"/>
      <c r="D479" s="47"/>
      <c r="E479" s="47"/>
    </row>
    <row r="480">
      <c r="C480" s="47"/>
      <c r="D480" s="47"/>
      <c r="E480" s="47"/>
    </row>
    <row r="481">
      <c r="C481" s="47"/>
      <c r="D481" s="47"/>
      <c r="E481" s="47"/>
    </row>
    <row r="482">
      <c r="C482" s="47"/>
      <c r="D482" s="47"/>
      <c r="E482" s="47"/>
    </row>
    <row r="483">
      <c r="C483" s="47"/>
      <c r="D483" s="47"/>
      <c r="E483" s="47"/>
    </row>
    <row r="484">
      <c r="C484" s="47"/>
      <c r="D484" s="47"/>
      <c r="E484" s="47"/>
    </row>
    <row r="485">
      <c r="C485" s="47"/>
      <c r="D485" s="47"/>
      <c r="E485" s="47"/>
    </row>
    <row r="486">
      <c r="C486" s="47"/>
      <c r="D486" s="47"/>
      <c r="E486" s="47"/>
    </row>
    <row r="487">
      <c r="C487" s="47"/>
      <c r="D487" s="47"/>
      <c r="E487" s="47"/>
    </row>
    <row r="488">
      <c r="C488" s="47"/>
      <c r="D488" s="47"/>
      <c r="E488" s="47"/>
    </row>
    <row r="489">
      <c r="C489" s="47"/>
      <c r="D489" s="47"/>
      <c r="E489" s="47"/>
    </row>
    <row r="490">
      <c r="C490" s="47"/>
      <c r="D490" s="47"/>
      <c r="E490" s="47"/>
    </row>
    <row r="491">
      <c r="C491" s="47"/>
      <c r="D491" s="47"/>
      <c r="E491" s="47"/>
    </row>
    <row r="492">
      <c r="C492" s="47"/>
      <c r="D492" s="47"/>
      <c r="E492" s="47"/>
    </row>
    <row r="493">
      <c r="C493" s="47"/>
      <c r="D493" s="47"/>
      <c r="E493" s="47"/>
    </row>
    <row r="494">
      <c r="C494" s="47"/>
      <c r="D494" s="47"/>
      <c r="E494" s="47"/>
    </row>
    <row r="495">
      <c r="C495" s="47"/>
      <c r="D495" s="47"/>
      <c r="E495" s="47"/>
    </row>
    <row r="496">
      <c r="C496" s="47"/>
      <c r="D496" s="47"/>
      <c r="E496" s="47"/>
    </row>
    <row r="497">
      <c r="C497" s="47"/>
      <c r="D497" s="47"/>
      <c r="E497" s="47"/>
    </row>
    <row r="498">
      <c r="C498" s="47"/>
      <c r="D498" s="47"/>
      <c r="E498" s="47"/>
    </row>
    <row r="499">
      <c r="C499" s="47"/>
      <c r="D499" s="47"/>
      <c r="E499" s="47"/>
    </row>
    <row r="500">
      <c r="C500" s="47"/>
      <c r="D500" s="47"/>
      <c r="E500" s="47"/>
    </row>
    <row r="501">
      <c r="C501" s="47"/>
      <c r="D501" s="47"/>
      <c r="E501" s="47"/>
    </row>
    <row r="502">
      <c r="C502" s="47"/>
      <c r="D502" s="47"/>
      <c r="E502" s="47"/>
    </row>
    <row r="503">
      <c r="C503" s="47"/>
      <c r="D503" s="47"/>
      <c r="E503" s="47"/>
    </row>
    <row r="504">
      <c r="C504" s="47"/>
      <c r="D504" s="47"/>
      <c r="E504" s="47"/>
    </row>
    <row r="505">
      <c r="C505" s="47"/>
      <c r="D505" s="47"/>
      <c r="E505" s="47"/>
    </row>
    <row r="506">
      <c r="C506" s="47"/>
      <c r="D506" s="47"/>
      <c r="E506" s="47"/>
    </row>
    <row r="507">
      <c r="C507" s="47"/>
      <c r="D507" s="47"/>
      <c r="E507" s="47"/>
    </row>
    <row r="508">
      <c r="C508" s="47"/>
      <c r="D508" s="47"/>
      <c r="E508" s="47"/>
    </row>
    <row r="509">
      <c r="C509" s="47"/>
      <c r="D509" s="47"/>
      <c r="E509" s="47"/>
    </row>
    <row r="510">
      <c r="C510" s="47"/>
      <c r="D510" s="47"/>
      <c r="E510" s="47"/>
    </row>
    <row r="511">
      <c r="C511" s="47"/>
      <c r="D511" s="47"/>
      <c r="E511" s="47"/>
    </row>
    <row r="512">
      <c r="C512" s="47"/>
      <c r="D512" s="47"/>
      <c r="E512" s="47"/>
    </row>
    <row r="513">
      <c r="C513" s="47"/>
      <c r="D513" s="47"/>
      <c r="E513" s="47"/>
    </row>
    <row r="514">
      <c r="C514" s="47"/>
      <c r="D514" s="47"/>
      <c r="E514" s="47"/>
    </row>
    <row r="515">
      <c r="C515" s="47"/>
      <c r="D515" s="47"/>
      <c r="E515" s="47"/>
    </row>
    <row r="516">
      <c r="C516" s="47"/>
      <c r="D516" s="47"/>
      <c r="E516" s="47"/>
    </row>
    <row r="517">
      <c r="C517" s="47"/>
      <c r="D517" s="47"/>
      <c r="E517" s="47"/>
    </row>
    <row r="518">
      <c r="C518" s="47"/>
      <c r="D518" s="47"/>
      <c r="E518" s="47"/>
    </row>
    <row r="519">
      <c r="C519" s="47"/>
      <c r="D519" s="47"/>
      <c r="E519" s="47"/>
    </row>
    <row r="520">
      <c r="C520" s="47"/>
      <c r="D520" s="47"/>
      <c r="E520" s="47"/>
    </row>
    <row r="521">
      <c r="C521" s="47"/>
      <c r="D521" s="47"/>
      <c r="E521" s="47"/>
    </row>
    <row r="522">
      <c r="C522" s="47"/>
      <c r="D522" s="47"/>
      <c r="E522" s="47"/>
    </row>
    <row r="523">
      <c r="C523" s="47"/>
      <c r="D523" s="47"/>
      <c r="E523" s="47"/>
    </row>
    <row r="524">
      <c r="C524" s="47"/>
      <c r="D524" s="47"/>
      <c r="E524" s="47"/>
    </row>
    <row r="525">
      <c r="C525" s="47"/>
      <c r="D525" s="47"/>
      <c r="E525" s="47"/>
    </row>
    <row r="526">
      <c r="C526" s="47"/>
      <c r="D526" s="47"/>
      <c r="E526" s="47"/>
    </row>
    <row r="527">
      <c r="C527" s="47"/>
      <c r="D527" s="47"/>
      <c r="E527" s="47"/>
    </row>
    <row r="528">
      <c r="C528" s="47"/>
      <c r="D528" s="47"/>
      <c r="E528" s="47"/>
    </row>
    <row r="529">
      <c r="C529" s="47"/>
      <c r="D529" s="47"/>
      <c r="E529" s="47"/>
    </row>
    <row r="530">
      <c r="C530" s="47"/>
      <c r="D530" s="47"/>
      <c r="E530" s="47"/>
    </row>
    <row r="531">
      <c r="C531" s="47"/>
      <c r="D531" s="47"/>
      <c r="E531" s="47"/>
    </row>
    <row r="532">
      <c r="C532" s="47"/>
      <c r="D532" s="47"/>
      <c r="E532" s="47"/>
    </row>
    <row r="533">
      <c r="C533" s="47"/>
      <c r="D533" s="47"/>
      <c r="E533" s="47"/>
    </row>
    <row r="534">
      <c r="C534" s="47"/>
      <c r="D534" s="47"/>
      <c r="E534" s="47"/>
    </row>
    <row r="535">
      <c r="C535" s="47"/>
      <c r="D535" s="47"/>
      <c r="E535" s="47"/>
    </row>
    <row r="536">
      <c r="C536" s="47"/>
      <c r="D536" s="47"/>
      <c r="E536" s="47"/>
    </row>
    <row r="537">
      <c r="C537" s="47"/>
      <c r="D537" s="47"/>
      <c r="E537" s="47"/>
    </row>
    <row r="538">
      <c r="C538" s="47"/>
      <c r="D538" s="47"/>
      <c r="E538" s="47"/>
    </row>
    <row r="539">
      <c r="C539" s="47"/>
      <c r="D539" s="47"/>
      <c r="E539" s="47"/>
    </row>
    <row r="540">
      <c r="C540" s="47"/>
      <c r="D540" s="47"/>
      <c r="E540" s="47"/>
    </row>
    <row r="541">
      <c r="C541" s="47"/>
      <c r="D541" s="47"/>
      <c r="E541" s="47"/>
    </row>
    <row r="542">
      <c r="C542" s="47"/>
      <c r="D542" s="47"/>
      <c r="E542" s="47"/>
    </row>
    <row r="543">
      <c r="C543" s="47"/>
      <c r="D543" s="47"/>
      <c r="E543" s="47"/>
    </row>
    <row r="544">
      <c r="C544" s="47"/>
      <c r="D544" s="47"/>
      <c r="E544" s="47"/>
    </row>
    <row r="545">
      <c r="C545" s="47"/>
      <c r="D545" s="47"/>
      <c r="E545" s="47"/>
    </row>
    <row r="546">
      <c r="C546" s="47"/>
      <c r="D546" s="47"/>
      <c r="E546" s="47"/>
    </row>
    <row r="547">
      <c r="C547" s="47"/>
      <c r="D547" s="47"/>
      <c r="E547" s="47"/>
    </row>
    <row r="548">
      <c r="C548" s="47"/>
      <c r="D548" s="47"/>
      <c r="E548" s="47"/>
    </row>
    <row r="549">
      <c r="C549" s="47"/>
      <c r="D549" s="47"/>
      <c r="E549" s="47"/>
    </row>
    <row r="550">
      <c r="C550" s="47"/>
      <c r="D550" s="47"/>
      <c r="E550" s="47"/>
    </row>
    <row r="551">
      <c r="C551" s="47"/>
      <c r="D551" s="47"/>
      <c r="E551" s="47"/>
    </row>
    <row r="552">
      <c r="C552" s="47"/>
      <c r="D552" s="47"/>
      <c r="E552" s="47"/>
    </row>
    <row r="553">
      <c r="C553" s="47"/>
      <c r="D553" s="47"/>
      <c r="E553" s="47"/>
    </row>
    <row r="554">
      <c r="C554" s="47"/>
      <c r="D554" s="47"/>
      <c r="E554" s="47"/>
    </row>
    <row r="555">
      <c r="C555" s="47"/>
      <c r="D555" s="47"/>
      <c r="E555" s="47"/>
    </row>
    <row r="556">
      <c r="C556" s="47"/>
      <c r="D556" s="47"/>
      <c r="E556" s="47"/>
    </row>
    <row r="557">
      <c r="C557" s="47"/>
      <c r="D557" s="47"/>
      <c r="E557" s="47"/>
    </row>
    <row r="558">
      <c r="C558" s="47"/>
      <c r="D558" s="47"/>
      <c r="E558" s="47"/>
    </row>
    <row r="559">
      <c r="C559" s="47"/>
      <c r="D559" s="47"/>
      <c r="E559" s="47"/>
    </row>
    <row r="560">
      <c r="C560" s="47"/>
      <c r="D560" s="47"/>
      <c r="E560" s="47"/>
    </row>
    <row r="561">
      <c r="C561" s="47"/>
      <c r="D561" s="47"/>
      <c r="E561" s="47"/>
    </row>
    <row r="562">
      <c r="C562" s="47"/>
      <c r="D562" s="47"/>
      <c r="E562" s="47"/>
    </row>
    <row r="563">
      <c r="C563" s="47"/>
      <c r="D563" s="47"/>
      <c r="E563" s="47"/>
    </row>
    <row r="564">
      <c r="C564" s="47"/>
      <c r="D564" s="47"/>
      <c r="E564" s="47"/>
    </row>
    <row r="565">
      <c r="C565" s="47"/>
      <c r="D565" s="47"/>
      <c r="E565" s="47"/>
    </row>
    <row r="566">
      <c r="C566" s="47"/>
      <c r="D566" s="47"/>
      <c r="E566" s="47"/>
    </row>
    <row r="567">
      <c r="C567" s="47"/>
      <c r="D567" s="47"/>
      <c r="E567" s="47"/>
    </row>
    <row r="568">
      <c r="C568" s="47"/>
      <c r="D568" s="47"/>
      <c r="E568" s="47"/>
    </row>
    <row r="569">
      <c r="C569" s="47"/>
      <c r="D569" s="47"/>
      <c r="E569" s="47"/>
    </row>
    <row r="570">
      <c r="C570" s="47"/>
      <c r="D570" s="47"/>
      <c r="E570" s="47"/>
    </row>
    <row r="571">
      <c r="C571" s="47"/>
      <c r="D571" s="47"/>
      <c r="E571" s="47"/>
    </row>
    <row r="572">
      <c r="C572" s="47"/>
      <c r="D572" s="47"/>
      <c r="E572" s="47"/>
    </row>
    <row r="573">
      <c r="C573" s="47"/>
      <c r="D573" s="47"/>
      <c r="E573" s="47"/>
    </row>
    <row r="574">
      <c r="C574" s="47"/>
      <c r="D574" s="47"/>
      <c r="E574" s="47"/>
    </row>
    <row r="575">
      <c r="C575" s="47"/>
      <c r="D575" s="47"/>
      <c r="E575" s="47"/>
    </row>
    <row r="576">
      <c r="C576" s="47"/>
      <c r="D576" s="47"/>
      <c r="E576" s="47"/>
    </row>
    <row r="577">
      <c r="C577" s="47"/>
      <c r="D577" s="47"/>
      <c r="E577" s="47"/>
    </row>
    <row r="578">
      <c r="C578" s="47"/>
      <c r="D578" s="47"/>
      <c r="E578" s="47"/>
    </row>
    <row r="579">
      <c r="C579" s="47"/>
      <c r="D579" s="47"/>
      <c r="E579" s="47"/>
    </row>
    <row r="580">
      <c r="C580" s="47"/>
      <c r="D580" s="47"/>
      <c r="E580" s="47"/>
    </row>
    <row r="581">
      <c r="C581" s="47"/>
      <c r="D581" s="47"/>
      <c r="E581" s="47"/>
    </row>
    <row r="582">
      <c r="C582" s="47"/>
      <c r="D582" s="47"/>
      <c r="E582" s="47"/>
    </row>
    <row r="583">
      <c r="C583" s="47"/>
      <c r="D583" s="47"/>
      <c r="E583" s="47"/>
    </row>
    <row r="584">
      <c r="C584" s="47"/>
      <c r="D584" s="47"/>
      <c r="E584" s="47"/>
    </row>
    <row r="585">
      <c r="C585" s="47"/>
      <c r="D585" s="47"/>
      <c r="E585" s="47"/>
    </row>
    <row r="586">
      <c r="C586" s="47"/>
      <c r="D586" s="47"/>
      <c r="E586" s="47"/>
    </row>
    <row r="587">
      <c r="C587" s="47"/>
      <c r="D587" s="47"/>
      <c r="E587" s="47"/>
    </row>
    <row r="588">
      <c r="C588" s="47"/>
      <c r="D588" s="47"/>
      <c r="E588" s="47"/>
    </row>
    <row r="589">
      <c r="C589" s="47"/>
      <c r="D589" s="47"/>
      <c r="E589" s="47"/>
    </row>
    <row r="590">
      <c r="C590" s="47"/>
      <c r="D590" s="47"/>
      <c r="E590" s="47"/>
    </row>
    <row r="591">
      <c r="C591" s="47"/>
      <c r="D591" s="47"/>
      <c r="E591" s="47"/>
    </row>
    <row r="592">
      <c r="C592" s="47"/>
      <c r="D592" s="47"/>
      <c r="E592" s="47"/>
    </row>
    <row r="593">
      <c r="C593" s="47"/>
      <c r="D593" s="47"/>
      <c r="E593" s="47"/>
    </row>
    <row r="594">
      <c r="C594" s="47"/>
      <c r="D594" s="47"/>
      <c r="E594" s="47"/>
    </row>
    <row r="595">
      <c r="C595" s="47"/>
      <c r="D595" s="47"/>
      <c r="E595" s="47"/>
    </row>
    <row r="596">
      <c r="C596" s="47"/>
      <c r="D596" s="47"/>
      <c r="E596" s="47"/>
    </row>
    <row r="597">
      <c r="C597" s="47"/>
      <c r="D597" s="47"/>
      <c r="E597" s="47"/>
    </row>
    <row r="598">
      <c r="C598" s="47"/>
      <c r="D598" s="47"/>
      <c r="E598" s="47"/>
    </row>
    <row r="599">
      <c r="C599" s="47"/>
      <c r="D599" s="47"/>
      <c r="E599" s="47"/>
    </row>
    <row r="600">
      <c r="C600" s="47"/>
      <c r="D600" s="47"/>
      <c r="E600" s="47"/>
    </row>
    <row r="601">
      <c r="C601" s="47"/>
      <c r="D601" s="47"/>
      <c r="E601" s="47"/>
    </row>
    <row r="602">
      <c r="C602" s="47"/>
      <c r="D602" s="47"/>
      <c r="E602" s="47"/>
    </row>
    <row r="603">
      <c r="C603" s="47"/>
      <c r="D603" s="47"/>
      <c r="E603" s="47"/>
    </row>
    <row r="604">
      <c r="C604" s="47"/>
      <c r="D604" s="47"/>
      <c r="E604" s="47"/>
    </row>
    <row r="605">
      <c r="C605" s="47"/>
      <c r="D605" s="47"/>
      <c r="E605" s="47"/>
    </row>
    <row r="606">
      <c r="C606" s="47"/>
      <c r="D606" s="47"/>
      <c r="E606" s="47"/>
    </row>
    <row r="607">
      <c r="C607" s="47"/>
      <c r="D607" s="47"/>
      <c r="E607" s="47"/>
    </row>
    <row r="608">
      <c r="C608" s="47"/>
      <c r="D608" s="47"/>
      <c r="E608" s="47"/>
    </row>
    <row r="609">
      <c r="C609" s="47"/>
      <c r="D609" s="47"/>
      <c r="E609" s="47"/>
    </row>
    <row r="610">
      <c r="C610" s="47"/>
      <c r="D610" s="47"/>
      <c r="E610" s="47"/>
    </row>
    <row r="611">
      <c r="C611" s="47"/>
      <c r="D611" s="47"/>
      <c r="E611" s="47"/>
    </row>
    <row r="612">
      <c r="C612" s="47"/>
      <c r="D612" s="47"/>
      <c r="E612" s="47"/>
    </row>
    <row r="613">
      <c r="C613" s="47"/>
      <c r="D613" s="47"/>
      <c r="E613" s="47"/>
    </row>
    <row r="614">
      <c r="C614" s="47"/>
      <c r="D614" s="47"/>
      <c r="E614" s="47"/>
    </row>
    <row r="615">
      <c r="C615" s="47"/>
      <c r="D615" s="47"/>
      <c r="E615" s="47"/>
    </row>
    <row r="616">
      <c r="C616" s="47"/>
      <c r="D616" s="47"/>
      <c r="E616" s="47"/>
    </row>
    <row r="617">
      <c r="C617" s="47"/>
      <c r="D617" s="47"/>
      <c r="E617" s="47"/>
    </row>
    <row r="618">
      <c r="C618" s="47"/>
      <c r="D618" s="47"/>
      <c r="E618" s="47"/>
    </row>
    <row r="619">
      <c r="C619" s="47"/>
      <c r="D619" s="47"/>
      <c r="E619" s="47"/>
    </row>
    <row r="620">
      <c r="C620" s="47"/>
      <c r="D620" s="47"/>
      <c r="E620" s="47"/>
    </row>
    <row r="621">
      <c r="C621" s="47"/>
      <c r="D621" s="47"/>
      <c r="E621" s="47"/>
    </row>
    <row r="622">
      <c r="C622" s="47"/>
      <c r="D622" s="47"/>
      <c r="E622" s="47"/>
    </row>
    <row r="623">
      <c r="C623" s="47"/>
      <c r="D623" s="47"/>
      <c r="E623" s="47"/>
    </row>
    <row r="624">
      <c r="C624" s="47"/>
      <c r="D624" s="47"/>
      <c r="E624" s="47"/>
    </row>
    <row r="625">
      <c r="C625" s="47"/>
      <c r="D625" s="47"/>
      <c r="E625" s="47"/>
    </row>
    <row r="626">
      <c r="C626" s="47"/>
      <c r="D626" s="47"/>
      <c r="E626" s="47"/>
    </row>
    <row r="627">
      <c r="C627" s="47"/>
      <c r="D627" s="47"/>
      <c r="E627" s="47"/>
    </row>
    <row r="628">
      <c r="C628" s="47"/>
      <c r="D628" s="47"/>
      <c r="E628" s="47"/>
    </row>
    <row r="629">
      <c r="C629" s="47"/>
      <c r="D629" s="47"/>
      <c r="E629" s="47"/>
    </row>
    <row r="630">
      <c r="C630" s="47"/>
      <c r="D630" s="47"/>
      <c r="E630" s="47"/>
    </row>
    <row r="631">
      <c r="C631" s="47"/>
      <c r="D631" s="47"/>
      <c r="E631" s="47"/>
    </row>
    <row r="632">
      <c r="C632" s="47"/>
      <c r="D632" s="47"/>
      <c r="E632" s="47"/>
    </row>
    <row r="633">
      <c r="C633" s="47"/>
      <c r="D633" s="47"/>
      <c r="E633" s="47"/>
    </row>
    <row r="634">
      <c r="C634" s="47"/>
      <c r="D634" s="47"/>
      <c r="E634" s="47"/>
    </row>
    <row r="635">
      <c r="C635" s="47"/>
      <c r="D635" s="47"/>
      <c r="E635" s="47"/>
    </row>
    <row r="636">
      <c r="C636" s="47"/>
      <c r="D636" s="47"/>
      <c r="E636" s="47"/>
    </row>
    <row r="637">
      <c r="C637" s="47"/>
      <c r="D637" s="47"/>
      <c r="E637" s="47"/>
    </row>
    <row r="638">
      <c r="C638" s="47"/>
      <c r="D638" s="47"/>
      <c r="E638" s="47"/>
    </row>
    <row r="639">
      <c r="C639" s="47"/>
      <c r="D639" s="47"/>
      <c r="E639" s="47"/>
    </row>
    <row r="640">
      <c r="C640" s="47"/>
      <c r="D640" s="47"/>
      <c r="E640" s="47"/>
    </row>
    <row r="641">
      <c r="C641" s="47"/>
      <c r="D641" s="47"/>
      <c r="E641" s="47"/>
    </row>
    <row r="642">
      <c r="C642" s="47"/>
      <c r="D642" s="47"/>
      <c r="E642" s="47"/>
    </row>
    <row r="643">
      <c r="C643" s="47"/>
      <c r="D643" s="47"/>
      <c r="E643" s="47"/>
    </row>
    <row r="644">
      <c r="C644" s="47"/>
      <c r="D644" s="47"/>
      <c r="E644" s="47"/>
    </row>
    <row r="645">
      <c r="C645" s="47"/>
      <c r="D645" s="47"/>
      <c r="E645" s="47"/>
    </row>
    <row r="646">
      <c r="C646" s="47"/>
      <c r="D646" s="47"/>
      <c r="E646" s="47"/>
    </row>
    <row r="647">
      <c r="C647" s="47"/>
      <c r="D647" s="47"/>
      <c r="E647" s="47"/>
    </row>
    <row r="648">
      <c r="C648" s="47"/>
      <c r="D648" s="47"/>
      <c r="E648" s="47"/>
    </row>
    <row r="649">
      <c r="C649" s="47"/>
      <c r="D649" s="47"/>
      <c r="E649" s="47"/>
    </row>
    <row r="650">
      <c r="C650" s="47"/>
      <c r="D650" s="47"/>
      <c r="E650" s="47"/>
    </row>
    <row r="651">
      <c r="C651" s="47"/>
      <c r="D651" s="47"/>
      <c r="E651" s="47"/>
    </row>
    <row r="652">
      <c r="C652" s="47"/>
      <c r="D652" s="47"/>
      <c r="E652" s="47"/>
    </row>
    <row r="653">
      <c r="C653" s="47"/>
      <c r="D653" s="47"/>
      <c r="E653" s="47"/>
    </row>
    <row r="654">
      <c r="C654" s="47"/>
      <c r="D654" s="47"/>
      <c r="E654" s="47"/>
    </row>
    <row r="655">
      <c r="C655" s="47"/>
      <c r="D655" s="47"/>
      <c r="E655" s="47"/>
    </row>
    <row r="656">
      <c r="C656" s="47"/>
      <c r="D656" s="47"/>
      <c r="E656" s="47"/>
    </row>
    <row r="657">
      <c r="C657" s="47"/>
      <c r="D657" s="47"/>
      <c r="E657" s="47"/>
    </row>
    <row r="658">
      <c r="C658" s="47"/>
      <c r="D658" s="47"/>
      <c r="E658" s="47"/>
    </row>
    <row r="659">
      <c r="C659" s="47"/>
      <c r="D659" s="47"/>
      <c r="E659" s="47"/>
    </row>
    <row r="660">
      <c r="C660" s="47"/>
      <c r="D660" s="47"/>
      <c r="E660" s="47"/>
    </row>
    <row r="661">
      <c r="C661" s="47"/>
      <c r="D661" s="47"/>
      <c r="E661" s="47"/>
    </row>
    <row r="662">
      <c r="C662" s="47"/>
      <c r="D662" s="47"/>
      <c r="E662" s="47"/>
    </row>
    <row r="663">
      <c r="C663" s="47"/>
      <c r="D663" s="47"/>
      <c r="E663" s="47"/>
    </row>
    <row r="664">
      <c r="C664" s="47"/>
      <c r="D664" s="47"/>
      <c r="E664" s="47"/>
    </row>
    <row r="665">
      <c r="C665" s="47"/>
      <c r="D665" s="47"/>
      <c r="E665" s="47"/>
    </row>
    <row r="666">
      <c r="C666" s="47"/>
      <c r="D666" s="47"/>
      <c r="E666" s="47"/>
    </row>
    <row r="667">
      <c r="C667" s="47"/>
      <c r="D667" s="47"/>
      <c r="E667" s="47"/>
    </row>
    <row r="668">
      <c r="C668" s="47"/>
      <c r="D668" s="47"/>
      <c r="E668" s="47"/>
    </row>
    <row r="669">
      <c r="C669" s="47"/>
      <c r="D669" s="47"/>
      <c r="E669" s="47"/>
    </row>
    <row r="670">
      <c r="C670" s="47"/>
      <c r="D670" s="47"/>
      <c r="E670" s="47"/>
    </row>
    <row r="671">
      <c r="C671" s="47"/>
      <c r="D671" s="47"/>
      <c r="E671" s="47"/>
    </row>
    <row r="672">
      <c r="C672" s="47"/>
      <c r="D672" s="47"/>
      <c r="E672" s="47"/>
    </row>
    <row r="673">
      <c r="C673" s="47"/>
      <c r="D673" s="47"/>
      <c r="E673" s="47"/>
    </row>
    <row r="674">
      <c r="C674" s="47"/>
      <c r="D674" s="47"/>
      <c r="E674" s="47"/>
    </row>
    <row r="675">
      <c r="C675" s="47"/>
      <c r="D675" s="47"/>
      <c r="E675" s="47"/>
    </row>
    <row r="676">
      <c r="C676" s="47"/>
      <c r="D676" s="47"/>
      <c r="E676" s="47"/>
    </row>
    <row r="677">
      <c r="C677" s="47"/>
      <c r="D677" s="47"/>
      <c r="E677" s="47"/>
    </row>
    <row r="678">
      <c r="C678" s="47"/>
      <c r="D678" s="47"/>
      <c r="E678" s="47"/>
    </row>
    <row r="679">
      <c r="C679" s="47"/>
      <c r="D679" s="47"/>
      <c r="E679" s="47"/>
    </row>
    <row r="680">
      <c r="C680" s="47"/>
      <c r="D680" s="47"/>
      <c r="E680" s="47"/>
    </row>
    <row r="681">
      <c r="C681" s="47"/>
      <c r="D681" s="47"/>
      <c r="E681" s="47"/>
    </row>
    <row r="682">
      <c r="C682" s="47"/>
      <c r="D682" s="47"/>
      <c r="E682" s="47"/>
    </row>
    <row r="683">
      <c r="C683" s="47"/>
      <c r="D683" s="47"/>
      <c r="E683" s="47"/>
    </row>
    <row r="684">
      <c r="C684" s="47"/>
      <c r="D684" s="47"/>
      <c r="E684" s="47"/>
    </row>
    <row r="685">
      <c r="C685" s="47"/>
      <c r="D685" s="47"/>
      <c r="E685" s="47"/>
    </row>
    <row r="686">
      <c r="C686" s="47"/>
      <c r="D686" s="47"/>
      <c r="E686" s="47"/>
    </row>
    <row r="687">
      <c r="C687" s="47"/>
      <c r="D687" s="47"/>
      <c r="E687" s="47"/>
    </row>
    <row r="688">
      <c r="C688" s="47"/>
      <c r="D688" s="47"/>
      <c r="E688" s="47"/>
    </row>
    <row r="689">
      <c r="C689" s="47"/>
      <c r="D689" s="47"/>
      <c r="E689" s="47"/>
    </row>
    <row r="690">
      <c r="C690" s="47"/>
      <c r="D690" s="47"/>
      <c r="E690" s="47"/>
    </row>
    <row r="691">
      <c r="C691" s="47"/>
      <c r="D691" s="47"/>
      <c r="E691" s="47"/>
    </row>
    <row r="692">
      <c r="C692" s="47"/>
      <c r="D692" s="47"/>
      <c r="E692" s="47"/>
    </row>
    <row r="693">
      <c r="C693" s="47"/>
      <c r="D693" s="47"/>
      <c r="E693" s="47"/>
    </row>
    <row r="694">
      <c r="C694" s="47"/>
      <c r="D694" s="47"/>
      <c r="E694" s="47"/>
    </row>
    <row r="695">
      <c r="C695" s="47"/>
      <c r="D695" s="47"/>
      <c r="E695" s="47"/>
    </row>
    <row r="696">
      <c r="C696" s="47"/>
      <c r="D696" s="47"/>
      <c r="E696" s="47"/>
    </row>
    <row r="697">
      <c r="C697" s="47"/>
      <c r="D697" s="47"/>
      <c r="E697" s="47"/>
    </row>
    <row r="698">
      <c r="C698" s="47"/>
      <c r="D698" s="47"/>
      <c r="E698" s="47"/>
    </row>
    <row r="699">
      <c r="C699" s="47"/>
      <c r="D699" s="47"/>
      <c r="E699" s="47"/>
    </row>
    <row r="700">
      <c r="C700" s="47"/>
      <c r="D700" s="47"/>
      <c r="E700" s="47"/>
    </row>
    <row r="701">
      <c r="C701" s="47"/>
      <c r="D701" s="47"/>
      <c r="E701" s="47"/>
    </row>
    <row r="702">
      <c r="C702" s="47"/>
      <c r="D702" s="47"/>
      <c r="E702" s="47"/>
    </row>
    <row r="703">
      <c r="C703" s="47"/>
      <c r="D703" s="47"/>
      <c r="E703" s="47"/>
    </row>
    <row r="704">
      <c r="C704" s="47"/>
      <c r="D704" s="47"/>
      <c r="E704" s="47"/>
    </row>
    <row r="705">
      <c r="C705" s="47"/>
      <c r="D705" s="47"/>
      <c r="E705" s="47"/>
    </row>
    <row r="706">
      <c r="C706" s="47"/>
      <c r="D706" s="47"/>
      <c r="E706" s="47"/>
    </row>
    <row r="707">
      <c r="C707" s="47"/>
      <c r="D707" s="47"/>
      <c r="E707" s="47"/>
    </row>
    <row r="708">
      <c r="C708" s="47"/>
      <c r="D708" s="47"/>
      <c r="E708" s="47"/>
    </row>
    <row r="709">
      <c r="C709" s="47"/>
      <c r="D709" s="47"/>
      <c r="E709" s="47"/>
    </row>
    <row r="710">
      <c r="C710" s="47"/>
      <c r="D710" s="47"/>
      <c r="E710" s="47"/>
    </row>
    <row r="711">
      <c r="C711" s="47"/>
      <c r="D711" s="47"/>
      <c r="E711" s="47"/>
    </row>
    <row r="712">
      <c r="C712" s="47"/>
      <c r="D712" s="47"/>
      <c r="E712" s="47"/>
    </row>
    <row r="713">
      <c r="C713" s="47"/>
      <c r="D713" s="47"/>
      <c r="E713" s="47"/>
    </row>
    <row r="714">
      <c r="C714" s="47"/>
      <c r="D714" s="47"/>
      <c r="E714" s="47"/>
    </row>
    <row r="715">
      <c r="C715" s="47"/>
      <c r="D715" s="47"/>
      <c r="E715" s="47"/>
    </row>
    <row r="716">
      <c r="C716" s="47"/>
      <c r="D716" s="47"/>
      <c r="E716" s="47"/>
    </row>
    <row r="717">
      <c r="C717" s="47"/>
      <c r="D717" s="47"/>
      <c r="E717" s="47"/>
    </row>
    <row r="718">
      <c r="C718" s="47"/>
      <c r="D718" s="47"/>
      <c r="E718" s="47"/>
    </row>
    <row r="719">
      <c r="C719" s="47"/>
      <c r="D719" s="47"/>
      <c r="E719" s="47"/>
    </row>
    <row r="720">
      <c r="C720" s="47"/>
      <c r="D720" s="47"/>
      <c r="E720" s="47"/>
    </row>
    <row r="721">
      <c r="C721" s="47"/>
      <c r="D721" s="47"/>
      <c r="E721" s="47"/>
    </row>
    <row r="722">
      <c r="C722" s="47"/>
      <c r="D722" s="47"/>
      <c r="E722" s="47"/>
    </row>
    <row r="723">
      <c r="C723" s="47"/>
      <c r="D723" s="47"/>
      <c r="E723" s="47"/>
    </row>
    <row r="724">
      <c r="C724" s="47"/>
      <c r="D724" s="47"/>
      <c r="E724" s="47"/>
    </row>
    <row r="725">
      <c r="C725" s="47"/>
      <c r="D725" s="47"/>
      <c r="E725" s="47"/>
    </row>
    <row r="726">
      <c r="C726" s="47"/>
      <c r="D726" s="47"/>
      <c r="E726" s="47"/>
    </row>
    <row r="727">
      <c r="C727" s="47"/>
      <c r="D727" s="47"/>
      <c r="E727" s="47"/>
    </row>
    <row r="728">
      <c r="C728" s="47"/>
      <c r="D728" s="47"/>
      <c r="E728" s="47"/>
    </row>
    <row r="729">
      <c r="C729" s="47"/>
      <c r="D729" s="47"/>
      <c r="E729" s="47"/>
    </row>
    <row r="730">
      <c r="C730" s="47"/>
      <c r="D730" s="47"/>
      <c r="E730" s="47"/>
    </row>
    <row r="731">
      <c r="C731" s="47"/>
      <c r="D731" s="47"/>
      <c r="E731" s="47"/>
    </row>
    <row r="732">
      <c r="C732" s="47"/>
      <c r="D732" s="47"/>
      <c r="E732" s="47"/>
    </row>
    <row r="733">
      <c r="C733" s="47"/>
      <c r="D733" s="47"/>
      <c r="E733" s="47"/>
    </row>
    <row r="734">
      <c r="C734" s="47"/>
      <c r="D734" s="47"/>
      <c r="E734" s="47"/>
    </row>
    <row r="735">
      <c r="C735" s="47"/>
      <c r="D735" s="47"/>
      <c r="E735" s="47"/>
    </row>
    <row r="736">
      <c r="C736" s="47"/>
      <c r="D736" s="47"/>
      <c r="E736" s="47"/>
    </row>
    <row r="737">
      <c r="C737" s="47"/>
      <c r="D737" s="47"/>
      <c r="E737" s="47"/>
    </row>
    <row r="738">
      <c r="C738" s="47"/>
      <c r="D738" s="47"/>
      <c r="E738" s="47"/>
    </row>
    <row r="739">
      <c r="C739" s="47"/>
      <c r="D739" s="47"/>
      <c r="E739" s="47"/>
    </row>
    <row r="740">
      <c r="C740" s="47"/>
      <c r="D740" s="47"/>
      <c r="E740" s="47"/>
    </row>
    <row r="741">
      <c r="C741" s="47"/>
      <c r="D741" s="47"/>
      <c r="E741" s="47"/>
    </row>
    <row r="742">
      <c r="C742" s="47"/>
      <c r="D742" s="47"/>
      <c r="E742" s="47"/>
    </row>
    <row r="743">
      <c r="C743" s="47"/>
      <c r="D743" s="47"/>
      <c r="E743" s="47"/>
    </row>
    <row r="744">
      <c r="C744" s="47"/>
      <c r="D744" s="47"/>
      <c r="E744" s="47"/>
    </row>
    <row r="745">
      <c r="C745" s="47"/>
      <c r="D745" s="47"/>
      <c r="E745" s="47"/>
    </row>
    <row r="746">
      <c r="C746" s="47"/>
      <c r="D746" s="47"/>
      <c r="E746" s="47"/>
    </row>
    <row r="747">
      <c r="C747" s="47"/>
      <c r="D747" s="47"/>
      <c r="E747" s="47"/>
    </row>
    <row r="748">
      <c r="C748" s="47"/>
      <c r="D748" s="47"/>
      <c r="E748" s="47"/>
    </row>
    <row r="749">
      <c r="C749" s="47"/>
      <c r="D749" s="47"/>
      <c r="E749" s="47"/>
    </row>
    <row r="750">
      <c r="C750" s="47"/>
      <c r="D750" s="47"/>
      <c r="E750" s="47"/>
    </row>
    <row r="751">
      <c r="C751" s="47"/>
      <c r="D751" s="47"/>
      <c r="E751" s="47"/>
    </row>
    <row r="752">
      <c r="C752" s="47"/>
      <c r="D752" s="47"/>
      <c r="E752" s="47"/>
    </row>
    <row r="753">
      <c r="C753" s="47"/>
      <c r="D753" s="47"/>
      <c r="E753" s="47"/>
    </row>
    <row r="754">
      <c r="C754" s="47"/>
      <c r="D754" s="47"/>
      <c r="E754" s="47"/>
    </row>
    <row r="755">
      <c r="C755" s="47"/>
      <c r="D755" s="47"/>
      <c r="E755" s="47"/>
    </row>
    <row r="756">
      <c r="C756" s="47"/>
      <c r="D756" s="47"/>
      <c r="E756" s="47"/>
    </row>
    <row r="757">
      <c r="C757" s="47"/>
      <c r="D757" s="47"/>
      <c r="E757" s="47"/>
    </row>
    <row r="758">
      <c r="C758" s="47"/>
      <c r="D758" s="47"/>
      <c r="E758" s="47"/>
    </row>
    <row r="759">
      <c r="C759" s="47"/>
      <c r="D759" s="47"/>
      <c r="E759" s="47"/>
    </row>
    <row r="760">
      <c r="C760" s="47"/>
      <c r="D760" s="47"/>
      <c r="E760" s="47"/>
    </row>
    <row r="761">
      <c r="C761" s="47"/>
      <c r="D761" s="47"/>
      <c r="E761" s="47"/>
    </row>
    <row r="762">
      <c r="C762" s="47"/>
      <c r="D762" s="47"/>
      <c r="E762" s="47"/>
    </row>
    <row r="763">
      <c r="C763" s="47"/>
      <c r="D763" s="47"/>
      <c r="E763" s="47"/>
    </row>
    <row r="764">
      <c r="C764" s="47"/>
      <c r="D764" s="47"/>
      <c r="E764" s="47"/>
    </row>
    <row r="765">
      <c r="C765" s="47"/>
      <c r="D765" s="47"/>
      <c r="E765" s="47"/>
    </row>
    <row r="766">
      <c r="C766" s="47"/>
      <c r="D766" s="47"/>
      <c r="E766" s="47"/>
    </row>
    <row r="767">
      <c r="C767" s="47"/>
      <c r="D767" s="47"/>
      <c r="E767" s="47"/>
    </row>
    <row r="768">
      <c r="C768" s="47"/>
      <c r="D768" s="47"/>
      <c r="E768" s="47"/>
    </row>
    <row r="769">
      <c r="C769" s="47"/>
      <c r="D769" s="47"/>
      <c r="E769" s="47"/>
    </row>
    <row r="770">
      <c r="C770" s="47"/>
      <c r="D770" s="47"/>
      <c r="E770" s="47"/>
    </row>
    <row r="771">
      <c r="C771" s="47"/>
      <c r="D771" s="47"/>
      <c r="E771" s="47"/>
    </row>
    <row r="772">
      <c r="C772" s="47"/>
      <c r="D772" s="47"/>
      <c r="E772" s="47"/>
    </row>
    <row r="773">
      <c r="C773" s="47"/>
      <c r="D773" s="47"/>
      <c r="E773" s="47"/>
    </row>
    <row r="774">
      <c r="C774" s="47"/>
      <c r="D774" s="47"/>
      <c r="E774" s="47"/>
    </row>
    <row r="775">
      <c r="C775" s="47"/>
      <c r="D775" s="47"/>
      <c r="E775" s="47"/>
    </row>
    <row r="776">
      <c r="C776" s="47"/>
      <c r="D776" s="47"/>
      <c r="E776" s="47"/>
    </row>
    <row r="777">
      <c r="C777" s="47"/>
      <c r="D777" s="47"/>
      <c r="E777" s="47"/>
    </row>
    <row r="778">
      <c r="C778" s="47"/>
      <c r="D778" s="47"/>
      <c r="E778" s="47"/>
    </row>
    <row r="779">
      <c r="C779" s="47"/>
      <c r="D779" s="47"/>
      <c r="E779" s="47"/>
    </row>
    <row r="780">
      <c r="C780" s="47"/>
      <c r="D780" s="47"/>
      <c r="E780" s="47"/>
    </row>
    <row r="781">
      <c r="C781" s="47"/>
      <c r="D781" s="47"/>
      <c r="E781" s="47"/>
    </row>
    <row r="782">
      <c r="C782" s="47"/>
      <c r="D782" s="47"/>
      <c r="E782" s="47"/>
    </row>
    <row r="783">
      <c r="C783" s="47"/>
      <c r="D783" s="47"/>
      <c r="E783" s="47"/>
    </row>
    <row r="784">
      <c r="C784" s="47"/>
      <c r="D784" s="47"/>
      <c r="E784" s="47"/>
    </row>
    <row r="785">
      <c r="C785" s="47"/>
      <c r="D785" s="47"/>
      <c r="E785" s="47"/>
    </row>
    <row r="786">
      <c r="C786" s="47"/>
      <c r="D786" s="47"/>
      <c r="E786" s="47"/>
    </row>
    <row r="787">
      <c r="C787" s="47"/>
      <c r="D787" s="47"/>
      <c r="E787" s="47"/>
    </row>
    <row r="788">
      <c r="C788" s="47"/>
      <c r="D788" s="47"/>
      <c r="E788" s="47"/>
    </row>
    <row r="789">
      <c r="C789" s="47"/>
      <c r="D789" s="47"/>
      <c r="E789" s="47"/>
    </row>
    <row r="790">
      <c r="C790" s="47"/>
      <c r="D790" s="47"/>
      <c r="E790" s="47"/>
    </row>
    <row r="791">
      <c r="C791" s="47"/>
      <c r="D791" s="47"/>
      <c r="E791" s="47"/>
    </row>
    <row r="792">
      <c r="C792" s="47"/>
      <c r="D792" s="47"/>
      <c r="E792" s="47"/>
    </row>
    <row r="793">
      <c r="C793" s="47"/>
      <c r="D793" s="47"/>
      <c r="E793" s="47"/>
    </row>
    <row r="794">
      <c r="C794" s="47"/>
      <c r="D794" s="47"/>
      <c r="E794" s="47"/>
    </row>
    <row r="795">
      <c r="C795" s="47"/>
      <c r="D795" s="47"/>
      <c r="E795" s="47"/>
    </row>
    <row r="796">
      <c r="C796" s="47"/>
      <c r="D796" s="47"/>
      <c r="E796" s="47"/>
    </row>
    <row r="797">
      <c r="C797" s="47"/>
      <c r="D797" s="47"/>
      <c r="E797" s="47"/>
    </row>
    <row r="798">
      <c r="C798" s="47"/>
      <c r="D798" s="47"/>
      <c r="E798" s="47"/>
    </row>
    <row r="799">
      <c r="C799" s="47"/>
      <c r="D799" s="47"/>
      <c r="E799" s="47"/>
    </row>
    <row r="800">
      <c r="C800" s="47"/>
      <c r="D800" s="47"/>
      <c r="E800" s="47"/>
    </row>
    <row r="801">
      <c r="C801" s="47"/>
      <c r="D801" s="47"/>
      <c r="E801" s="47"/>
    </row>
    <row r="802">
      <c r="C802" s="47"/>
      <c r="D802" s="47"/>
      <c r="E802" s="47"/>
    </row>
    <row r="803">
      <c r="C803" s="47"/>
      <c r="D803" s="47"/>
      <c r="E803" s="47"/>
    </row>
    <row r="804">
      <c r="C804" s="47"/>
      <c r="D804" s="47"/>
      <c r="E804" s="47"/>
    </row>
    <row r="805">
      <c r="C805" s="47"/>
      <c r="D805" s="47"/>
      <c r="E805" s="47"/>
    </row>
    <row r="806">
      <c r="C806" s="47"/>
      <c r="D806" s="47"/>
      <c r="E806" s="47"/>
    </row>
    <row r="807">
      <c r="C807" s="47"/>
      <c r="D807" s="47"/>
      <c r="E807" s="47"/>
    </row>
    <row r="808">
      <c r="C808" s="47"/>
      <c r="D808" s="47"/>
      <c r="E808" s="47"/>
    </row>
    <row r="809">
      <c r="C809" s="47"/>
      <c r="D809" s="47"/>
      <c r="E809" s="47"/>
    </row>
    <row r="810">
      <c r="C810" s="47"/>
      <c r="D810" s="47"/>
      <c r="E810" s="47"/>
    </row>
    <row r="811">
      <c r="C811" s="47"/>
      <c r="D811" s="47"/>
      <c r="E811" s="47"/>
    </row>
    <row r="812">
      <c r="C812" s="47"/>
      <c r="D812" s="47"/>
      <c r="E812" s="47"/>
    </row>
    <row r="813">
      <c r="C813" s="47"/>
      <c r="D813" s="47"/>
      <c r="E813" s="47"/>
    </row>
    <row r="814">
      <c r="C814" s="47"/>
      <c r="D814" s="47"/>
      <c r="E814" s="47"/>
    </row>
    <row r="815">
      <c r="C815" s="47"/>
      <c r="D815" s="47"/>
      <c r="E815" s="47"/>
    </row>
    <row r="816">
      <c r="C816" s="47"/>
      <c r="D816" s="47"/>
      <c r="E816" s="47"/>
    </row>
    <row r="817">
      <c r="C817" s="47"/>
      <c r="D817" s="47"/>
      <c r="E817" s="47"/>
    </row>
    <row r="818">
      <c r="C818" s="47"/>
      <c r="D818" s="47"/>
      <c r="E818" s="47"/>
    </row>
    <row r="819">
      <c r="C819" s="47"/>
      <c r="D819" s="47"/>
      <c r="E819" s="47"/>
    </row>
    <row r="820">
      <c r="C820" s="47"/>
      <c r="D820" s="47"/>
      <c r="E820" s="47"/>
    </row>
    <row r="821">
      <c r="C821" s="47"/>
      <c r="D821" s="47"/>
      <c r="E821" s="47"/>
    </row>
    <row r="822">
      <c r="C822" s="47"/>
      <c r="D822" s="47"/>
      <c r="E822" s="47"/>
    </row>
    <row r="823">
      <c r="C823" s="47"/>
      <c r="D823" s="47"/>
      <c r="E823" s="47"/>
    </row>
    <row r="824">
      <c r="C824" s="47"/>
      <c r="D824" s="47"/>
      <c r="E824" s="47"/>
    </row>
    <row r="825">
      <c r="C825" s="47"/>
      <c r="D825" s="47"/>
      <c r="E825" s="47"/>
    </row>
    <row r="826">
      <c r="C826" s="47"/>
      <c r="D826" s="47"/>
      <c r="E826" s="47"/>
    </row>
    <row r="827">
      <c r="C827" s="47"/>
      <c r="D827" s="47"/>
      <c r="E827" s="47"/>
    </row>
    <row r="828">
      <c r="C828" s="47"/>
      <c r="D828" s="47"/>
      <c r="E828" s="47"/>
    </row>
    <row r="829">
      <c r="C829" s="47"/>
      <c r="D829" s="47"/>
      <c r="E829" s="47"/>
    </row>
    <row r="830">
      <c r="C830" s="47"/>
      <c r="D830" s="47"/>
      <c r="E830" s="47"/>
    </row>
    <row r="831">
      <c r="C831" s="47"/>
      <c r="D831" s="47"/>
      <c r="E831" s="47"/>
    </row>
    <row r="832">
      <c r="C832" s="47"/>
      <c r="D832" s="47"/>
      <c r="E832" s="47"/>
    </row>
    <row r="833">
      <c r="C833" s="47"/>
      <c r="D833" s="47"/>
      <c r="E833" s="47"/>
    </row>
    <row r="834">
      <c r="C834" s="47"/>
      <c r="D834" s="47"/>
      <c r="E834" s="47"/>
    </row>
    <row r="835">
      <c r="C835" s="47"/>
      <c r="D835" s="47"/>
      <c r="E835" s="47"/>
    </row>
    <row r="836">
      <c r="C836" s="47"/>
      <c r="D836" s="47"/>
      <c r="E836" s="47"/>
    </row>
    <row r="837">
      <c r="C837" s="47"/>
      <c r="D837" s="47"/>
      <c r="E837" s="47"/>
    </row>
    <row r="838">
      <c r="C838" s="47"/>
      <c r="D838" s="47"/>
      <c r="E838" s="47"/>
    </row>
    <row r="839">
      <c r="C839" s="47"/>
      <c r="D839" s="47"/>
      <c r="E839" s="47"/>
    </row>
    <row r="840">
      <c r="C840" s="47"/>
      <c r="D840" s="47"/>
      <c r="E840" s="47"/>
    </row>
    <row r="841">
      <c r="C841" s="47"/>
      <c r="D841" s="47"/>
      <c r="E841" s="47"/>
    </row>
    <row r="842">
      <c r="C842" s="47"/>
      <c r="D842" s="47"/>
      <c r="E842" s="47"/>
    </row>
    <row r="843">
      <c r="C843" s="47"/>
      <c r="D843" s="47"/>
      <c r="E843" s="47"/>
    </row>
    <row r="844">
      <c r="C844" s="47"/>
      <c r="D844" s="47"/>
      <c r="E844" s="47"/>
    </row>
    <row r="845">
      <c r="C845" s="47"/>
      <c r="D845" s="47"/>
      <c r="E845" s="47"/>
    </row>
    <row r="846">
      <c r="C846" s="47"/>
      <c r="D846" s="47"/>
      <c r="E846" s="47"/>
    </row>
    <row r="847">
      <c r="C847" s="47"/>
      <c r="D847" s="47"/>
      <c r="E847" s="47"/>
    </row>
    <row r="848">
      <c r="C848" s="47"/>
      <c r="D848" s="47"/>
      <c r="E848" s="47"/>
    </row>
    <row r="849">
      <c r="C849" s="47"/>
      <c r="D849" s="47"/>
      <c r="E849" s="47"/>
    </row>
    <row r="850">
      <c r="C850" s="47"/>
      <c r="D850" s="47"/>
      <c r="E850" s="47"/>
    </row>
    <row r="851">
      <c r="C851" s="47"/>
      <c r="D851" s="47"/>
      <c r="E851" s="47"/>
    </row>
    <row r="852">
      <c r="C852" s="47"/>
      <c r="D852" s="47"/>
      <c r="E852" s="47"/>
    </row>
    <row r="853">
      <c r="C853" s="47"/>
      <c r="D853" s="47"/>
      <c r="E853" s="47"/>
    </row>
    <row r="854">
      <c r="C854" s="47"/>
      <c r="D854" s="47"/>
      <c r="E854" s="47"/>
    </row>
    <row r="855">
      <c r="C855" s="47"/>
      <c r="D855" s="47"/>
      <c r="E855" s="47"/>
    </row>
    <row r="856">
      <c r="C856" s="47"/>
      <c r="D856" s="47"/>
      <c r="E856" s="47"/>
    </row>
    <row r="857">
      <c r="C857" s="47"/>
      <c r="D857" s="47"/>
      <c r="E857" s="47"/>
    </row>
    <row r="858">
      <c r="C858" s="47"/>
      <c r="D858" s="47"/>
      <c r="E858" s="47"/>
    </row>
    <row r="859">
      <c r="C859" s="47"/>
      <c r="D859" s="47"/>
      <c r="E859" s="47"/>
    </row>
    <row r="860">
      <c r="C860" s="47"/>
      <c r="D860" s="47"/>
      <c r="E860" s="47"/>
    </row>
    <row r="861">
      <c r="C861" s="47"/>
      <c r="D861" s="47"/>
      <c r="E861" s="47"/>
    </row>
    <row r="862">
      <c r="C862" s="47"/>
      <c r="D862" s="47"/>
      <c r="E862" s="47"/>
    </row>
    <row r="863">
      <c r="C863" s="47"/>
      <c r="D863" s="47"/>
      <c r="E863" s="47"/>
    </row>
    <row r="864">
      <c r="C864" s="47"/>
      <c r="D864" s="47"/>
      <c r="E864" s="47"/>
    </row>
    <row r="865">
      <c r="C865" s="47"/>
      <c r="D865" s="47"/>
      <c r="E865" s="47"/>
    </row>
    <row r="866">
      <c r="C866" s="47"/>
      <c r="D866" s="47"/>
      <c r="E866" s="47"/>
    </row>
    <row r="867">
      <c r="C867" s="47"/>
      <c r="D867" s="47"/>
      <c r="E867" s="47"/>
    </row>
    <row r="868">
      <c r="C868" s="47"/>
      <c r="D868" s="47"/>
      <c r="E868" s="47"/>
    </row>
    <row r="869">
      <c r="C869" s="47"/>
      <c r="D869" s="47"/>
      <c r="E869" s="47"/>
    </row>
    <row r="870">
      <c r="C870" s="47"/>
      <c r="D870" s="47"/>
      <c r="E870" s="47"/>
    </row>
    <row r="871">
      <c r="C871" s="47"/>
      <c r="D871" s="47"/>
      <c r="E871" s="47"/>
    </row>
    <row r="872">
      <c r="C872" s="47"/>
      <c r="D872" s="47"/>
      <c r="E872" s="47"/>
    </row>
    <row r="873">
      <c r="C873" s="47"/>
      <c r="D873" s="47"/>
      <c r="E873" s="47"/>
    </row>
    <row r="874">
      <c r="C874" s="47"/>
      <c r="D874" s="47"/>
      <c r="E874" s="47"/>
    </row>
    <row r="875">
      <c r="C875" s="47"/>
      <c r="D875" s="47"/>
      <c r="E875" s="47"/>
    </row>
    <row r="876">
      <c r="C876" s="47"/>
      <c r="D876" s="47"/>
      <c r="E876" s="47"/>
    </row>
    <row r="877">
      <c r="C877" s="47"/>
      <c r="D877" s="47"/>
      <c r="E877" s="47"/>
    </row>
    <row r="878">
      <c r="C878" s="47"/>
      <c r="D878" s="47"/>
      <c r="E878" s="47"/>
    </row>
    <row r="879">
      <c r="C879" s="47"/>
      <c r="D879" s="47"/>
      <c r="E879" s="47"/>
    </row>
    <row r="880">
      <c r="C880" s="47"/>
      <c r="D880" s="47"/>
      <c r="E880" s="47"/>
    </row>
    <row r="881">
      <c r="C881" s="47"/>
      <c r="D881" s="47"/>
      <c r="E881" s="47"/>
    </row>
    <row r="882">
      <c r="C882" s="47"/>
      <c r="D882" s="47"/>
      <c r="E882" s="47"/>
    </row>
    <row r="883">
      <c r="C883" s="47"/>
      <c r="D883" s="47"/>
      <c r="E883" s="47"/>
    </row>
    <row r="884">
      <c r="C884" s="47"/>
      <c r="D884" s="47"/>
      <c r="E884" s="47"/>
    </row>
    <row r="885">
      <c r="C885" s="47"/>
      <c r="D885" s="47"/>
      <c r="E885" s="47"/>
    </row>
    <row r="886">
      <c r="C886" s="47"/>
      <c r="D886" s="47"/>
      <c r="E886" s="47"/>
    </row>
    <row r="887">
      <c r="C887" s="47"/>
      <c r="D887" s="47"/>
      <c r="E887" s="47"/>
    </row>
    <row r="888">
      <c r="C888" s="47"/>
      <c r="D888" s="47"/>
      <c r="E888" s="47"/>
    </row>
    <row r="889">
      <c r="C889" s="47"/>
      <c r="D889" s="47"/>
      <c r="E889" s="47"/>
    </row>
    <row r="890">
      <c r="C890" s="47"/>
      <c r="D890" s="47"/>
      <c r="E890" s="47"/>
    </row>
    <row r="891">
      <c r="C891" s="47"/>
      <c r="D891" s="47"/>
      <c r="E891" s="47"/>
    </row>
    <row r="892">
      <c r="C892" s="47"/>
      <c r="D892" s="47"/>
      <c r="E892" s="47"/>
    </row>
    <row r="893">
      <c r="C893" s="47"/>
      <c r="D893" s="47"/>
      <c r="E893" s="47"/>
    </row>
    <row r="894">
      <c r="C894" s="47"/>
      <c r="D894" s="47"/>
      <c r="E894" s="47"/>
    </row>
    <row r="895">
      <c r="C895" s="47"/>
      <c r="D895" s="47"/>
      <c r="E895" s="47"/>
    </row>
    <row r="896">
      <c r="C896" s="47"/>
      <c r="D896" s="47"/>
      <c r="E896" s="47"/>
    </row>
    <row r="897">
      <c r="C897" s="47"/>
      <c r="D897" s="47"/>
      <c r="E897" s="47"/>
    </row>
    <row r="898">
      <c r="C898" s="47"/>
      <c r="D898" s="47"/>
      <c r="E898" s="47"/>
    </row>
    <row r="899">
      <c r="C899" s="47"/>
      <c r="D899" s="47"/>
      <c r="E899" s="47"/>
    </row>
    <row r="900">
      <c r="C900" s="47"/>
      <c r="D900" s="47"/>
      <c r="E900" s="47"/>
    </row>
    <row r="901">
      <c r="C901" s="47"/>
      <c r="D901" s="47"/>
      <c r="E901" s="47"/>
    </row>
    <row r="902">
      <c r="C902" s="47"/>
      <c r="D902" s="47"/>
      <c r="E902" s="47"/>
    </row>
    <row r="903">
      <c r="C903" s="47"/>
      <c r="D903" s="47"/>
      <c r="E903" s="47"/>
    </row>
    <row r="904">
      <c r="C904" s="47"/>
      <c r="D904" s="47"/>
      <c r="E904" s="47"/>
    </row>
    <row r="905">
      <c r="C905" s="47"/>
      <c r="D905" s="47"/>
      <c r="E905" s="47"/>
    </row>
    <row r="906">
      <c r="C906" s="47"/>
      <c r="D906" s="47"/>
      <c r="E906" s="47"/>
    </row>
    <row r="907">
      <c r="C907" s="47"/>
      <c r="D907" s="47"/>
      <c r="E907" s="47"/>
    </row>
    <row r="908">
      <c r="C908" s="47"/>
      <c r="D908" s="47"/>
      <c r="E908" s="47"/>
    </row>
    <row r="909">
      <c r="C909" s="47"/>
      <c r="D909" s="47"/>
      <c r="E909" s="47"/>
    </row>
    <row r="910">
      <c r="C910" s="47"/>
      <c r="D910" s="47"/>
      <c r="E910" s="47"/>
    </row>
    <row r="911">
      <c r="C911" s="47"/>
      <c r="D911" s="47"/>
      <c r="E911" s="47"/>
    </row>
    <row r="912">
      <c r="C912" s="47"/>
      <c r="D912" s="47"/>
      <c r="E912" s="47"/>
    </row>
    <row r="913">
      <c r="C913" s="47"/>
      <c r="D913" s="47"/>
      <c r="E913" s="47"/>
    </row>
    <row r="914">
      <c r="C914" s="47"/>
      <c r="D914" s="47"/>
      <c r="E914" s="47"/>
    </row>
    <row r="915">
      <c r="C915" s="47"/>
      <c r="D915" s="47"/>
      <c r="E915" s="47"/>
    </row>
    <row r="916">
      <c r="C916" s="47"/>
      <c r="D916" s="47"/>
      <c r="E916" s="47"/>
    </row>
    <row r="917">
      <c r="C917" s="47"/>
      <c r="D917" s="47"/>
      <c r="E917" s="47"/>
    </row>
    <row r="918">
      <c r="C918" s="47"/>
      <c r="D918" s="47"/>
      <c r="E918" s="47"/>
    </row>
    <row r="919">
      <c r="C919" s="47"/>
      <c r="D919" s="47"/>
      <c r="E919" s="47"/>
    </row>
    <row r="920">
      <c r="C920" s="47"/>
      <c r="D920" s="47"/>
      <c r="E920" s="47"/>
    </row>
    <row r="921">
      <c r="C921" s="47"/>
      <c r="D921" s="47"/>
      <c r="E921" s="47"/>
    </row>
    <row r="922">
      <c r="C922" s="47"/>
      <c r="D922" s="47"/>
      <c r="E922" s="47"/>
    </row>
    <row r="923">
      <c r="C923" s="47"/>
      <c r="D923" s="47"/>
      <c r="E923" s="47"/>
    </row>
    <row r="924">
      <c r="C924" s="47"/>
      <c r="D924" s="47"/>
      <c r="E924" s="47"/>
    </row>
    <row r="925">
      <c r="C925" s="47"/>
      <c r="D925" s="47"/>
      <c r="E925" s="47"/>
    </row>
    <row r="926">
      <c r="C926" s="47"/>
      <c r="D926" s="47"/>
      <c r="E926" s="47"/>
    </row>
    <row r="927">
      <c r="C927" s="47"/>
      <c r="D927" s="47"/>
      <c r="E927" s="47"/>
    </row>
    <row r="928">
      <c r="C928" s="47"/>
      <c r="D928" s="47"/>
      <c r="E928" s="47"/>
    </row>
    <row r="929">
      <c r="C929" s="47"/>
      <c r="D929" s="47"/>
      <c r="E929" s="47"/>
    </row>
    <row r="930">
      <c r="C930" s="47"/>
      <c r="D930" s="47"/>
      <c r="E930" s="47"/>
    </row>
    <row r="931">
      <c r="C931" s="47"/>
      <c r="D931" s="47"/>
      <c r="E931" s="47"/>
    </row>
    <row r="932">
      <c r="C932" s="47"/>
      <c r="D932" s="47"/>
      <c r="E932" s="47"/>
    </row>
    <row r="933">
      <c r="C933" s="47"/>
      <c r="D933" s="47"/>
      <c r="E933" s="47"/>
    </row>
    <row r="934">
      <c r="C934" s="47"/>
      <c r="D934" s="47"/>
      <c r="E934" s="47"/>
    </row>
    <row r="935">
      <c r="C935" s="47"/>
      <c r="D935" s="47"/>
      <c r="E935" s="47"/>
    </row>
    <row r="936">
      <c r="C936" s="47"/>
      <c r="D936" s="47"/>
      <c r="E936" s="47"/>
    </row>
    <row r="937">
      <c r="C937" s="47"/>
      <c r="D937" s="47"/>
      <c r="E937" s="47"/>
    </row>
    <row r="938">
      <c r="C938" s="47"/>
      <c r="D938" s="47"/>
      <c r="E938" s="47"/>
    </row>
    <row r="939">
      <c r="C939" s="47"/>
      <c r="D939" s="47"/>
      <c r="E939" s="47"/>
    </row>
    <row r="940">
      <c r="C940" s="47"/>
      <c r="D940" s="47"/>
      <c r="E940" s="47"/>
    </row>
    <row r="941">
      <c r="C941" s="47"/>
      <c r="D941" s="47"/>
      <c r="E941" s="47"/>
    </row>
    <row r="942">
      <c r="C942" s="47"/>
      <c r="D942" s="47"/>
      <c r="E942" s="47"/>
    </row>
    <row r="943">
      <c r="C943" s="47"/>
      <c r="D943" s="47"/>
      <c r="E943" s="47"/>
    </row>
    <row r="944">
      <c r="C944" s="47"/>
      <c r="D944" s="47"/>
      <c r="E944" s="47"/>
    </row>
    <row r="945">
      <c r="C945" s="47"/>
      <c r="D945" s="47"/>
      <c r="E945" s="47"/>
    </row>
    <row r="946">
      <c r="C946" s="47"/>
      <c r="D946" s="47"/>
      <c r="E946" s="47"/>
    </row>
    <row r="947">
      <c r="C947" s="47"/>
      <c r="D947" s="47"/>
      <c r="E947" s="47"/>
    </row>
    <row r="948">
      <c r="C948" s="47"/>
      <c r="D948" s="47"/>
      <c r="E948" s="47"/>
    </row>
    <row r="949">
      <c r="C949" s="47"/>
      <c r="D949" s="47"/>
      <c r="E949" s="47"/>
    </row>
    <row r="950">
      <c r="C950" s="47"/>
      <c r="D950" s="47"/>
      <c r="E950" s="47"/>
    </row>
    <row r="951">
      <c r="C951" s="47"/>
      <c r="D951" s="47"/>
      <c r="E951" s="47"/>
    </row>
    <row r="952">
      <c r="C952" s="47"/>
      <c r="D952" s="47"/>
      <c r="E952" s="47"/>
    </row>
    <row r="953">
      <c r="C953" s="47"/>
      <c r="D953" s="47"/>
      <c r="E953" s="47"/>
    </row>
    <row r="954">
      <c r="C954" s="47"/>
      <c r="D954" s="47"/>
      <c r="E954" s="47"/>
    </row>
    <row r="955">
      <c r="C955" s="47"/>
      <c r="D955" s="47"/>
      <c r="E955" s="47"/>
    </row>
    <row r="956">
      <c r="C956" s="47"/>
      <c r="D956" s="47"/>
      <c r="E956" s="47"/>
    </row>
    <row r="957">
      <c r="C957" s="47"/>
      <c r="D957" s="47"/>
      <c r="E957" s="47"/>
    </row>
    <row r="958">
      <c r="C958" s="47"/>
      <c r="D958" s="47"/>
      <c r="E958" s="47"/>
    </row>
    <row r="959">
      <c r="C959" s="47"/>
      <c r="D959" s="47"/>
      <c r="E959" s="47"/>
    </row>
    <row r="960">
      <c r="C960" s="47"/>
      <c r="D960" s="47"/>
      <c r="E960" s="47"/>
    </row>
    <row r="961">
      <c r="C961" s="47"/>
      <c r="D961" s="47"/>
      <c r="E961" s="47"/>
    </row>
    <row r="962">
      <c r="C962" s="47"/>
      <c r="D962" s="47"/>
      <c r="E962" s="47"/>
    </row>
    <row r="963">
      <c r="C963" s="47"/>
      <c r="D963" s="47"/>
      <c r="E963" s="47"/>
    </row>
    <row r="964">
      <c r="C964" s="47"/>
      <c r="D964" s="47"/>
      <c r="E964" s="47"/>
    </row>
    <row r="965">
      <c r="C965" s="47"/>
      <c r="D965" s="47"/>
      <c r="E965" s="47"/>
    </row>
    <row r="966">
      <c r="C966" s="47"/>
      <c r="D966" s="47"/>
      <c r="E966" s="47"/>
    </row>
    <row r="967">
      <c r="C967" s="47"/>
      <c r="D967" s="47"/>
      <c r="E967" s="47"/>
    </row>
    <row r="968">
      <c r="C968" s="47"/>
      <c r="D968" s="47"/>
      <c r="E968" s="47"/>
    </row>
    <row r="969">
      <c r="C969" s="47"/>
      <c r="D969" s="47"/>
      <c r="E969" s="47"/>
    </row>
    <row r="970">
      <c r="C970" s="47"/>
      <c r="D970" s="47"/>
      <c r="E970" s="47"/>
    </row>
    <row r="971">
      <c r="C971" s="47"/>
      <c r="D971" s="47"/>
      <c r="E971" s="47"/>
    </row>
    <row r="972">
      <c r="C972" s="47"/>
      <c r="D972" s="47"/>
      <c r="E972" s="47"/>
    </row>
    <row r="973">
      <c r="C973" s="47"/>
      <c r="D973" s="47"/>
      <c r="E973" s="47"/>
    </row>
    <row r="974">
      <c r="C974" s="47"/>
      <c r="D974" s="47"/>
      <c r="E974" s="47"/>
    </row>
    <row r="975">
      <c r="C975" s="47"/>
      <c r="D975" s="47"/>
      <c r="E975" s="47"/>
    </row>
    <row r="976">
      <c r="C976" s="47"/>
      <c r="D976" s="47"/>
      <c r="E976" s="47"/>
    </row>
    <row r="977">
      <c r="C977" s="47"/>
      <c r="D977" s="47"/>
      <c r="E977" s="47"/>
    </row>
    <row r="978">
      <c r="C978" s="47"/>
      <c r="D978" s="47"/>
      <c r="E978" s="47"/>
    </row>
    <row r="979">
      <c r="C979" s="47"/>
      <c r="D979" s="47"/>
      <c r="E979" s="47"/>
    </row>
    <row r="980">
      <c r="C980" s="47"/>
      <c r="D980" s="47"/>
      <c r="E980" s="47"/>
    </row>
    <row r="981">
      <c r="C981" s="47"/>
      <c r="D981" s="47"/>
      <c r="E981" s="47"/>
    </row>
    <row r="982">
      <c r="C982" s="47"/>
      <c r="D982" s="47"/>
      <c r="E982" s="47"/>
    </row>
    <row r="983">
      <c r="C983" s="47"/>
      <c r="D983" s="47"/>
      <c r="E983" s="47"/>
    </row>
    <row r="984">
      <c r="C984" s="47"/>
      <c r="D984" s="47"/>
      <c r="E984" s="47"/>
    </row>
    <row r="985">
      <c r="C985" s="47"/>
      <c r="D985" s="47"/>
      <c r="E985" s="47"/>
    </row>
    <row r="986">
      <c r="C986" s="47"/>
      <c r="D986" s="47"/>
      <c r="E986" s="47"/>
    </row>
    <row r="987">
      <c r="C987" s="47"/>
      <c r="D987" s="47"/>
      <c r="E987" s="47"/>
    </row>
    <row r="988">
      <c r="C988" s="47"/>
      <c r="D988" s="47"/>
      <c r="E988" s="47"/>
    </row>
    <row r="989">
      <c r="C989" s="47"/>
      <c r="D989" s="47"/>
      <c r="E989" s="47"/>
    </row>
    <row r="990">
      <c r="C990" s="47"/>
      <c r="D990" s="47"/>
      <c r="E990" s="47"/>
    </row>
    <row r="991">
      <c r="C991" s="47"/>
      <c r="D991" s="47"/>
      <c r="E991" s="47"/>
    </row>
    <row r="992">
      <c r="C992" s="47"/>
      <c r="D992" s="47"/>
      <c r="E992" s="47"/>
    </row>
    <row r="993">
      <c r="C993" s="47"/>
      <c r="D993" s="47"/>
      <c r="E993" s="47"/>
    </row>
    <row r="994">
      <c r="C994" s="47"/>
      <c r="D994" s="47"/>
      <c r="E994" s="47"/>
    </row>
    <row r="995">
      <c r="C995" s="47"/>
      <c r="D995" s="47"/>
      <c r="E995" s="47"/>
    </row>
    <row r="996">
      <c r="C996" s="47"/>
      <c r="D996" s="47"/>
      <c r="E996" s="47"/>
    </row>
    <row r="997">
      <c r="C997" s="47"/>
      <c r="D997" s="47"/>
      <c r="E997" s="47"/>
    </row>
    <row r="998">
      <c r="C998" s="47"/>
      <c r="D998" s="47"/>
      <c r="E998" s="47"/>
    </row>
    <row r="999">
      <c r="C999" s="47"/>
      <c r="D999" s="47"/>
      <c r="E999" s="47"/>
    </row>
    <row r="1000">
      <c r="C1000" s="47"/>
      <c r="D1000" s="47"/>
      <c r="E1000" s="4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5" t="s">
        <v>78</v>
      </c>
      <c r="B1" s="125" t="s">
        <v>79</v>
      </c>
      <c r="C1" s="125" t="s">
        <v>80</v>
      </c>
      <c r="D1" s="125" t="s">
        <v>81</v>
      </c>
      <c r="E1" s="125" t="s">
        <v>82</v>
      </c>
      <c r="F1" s="125" t="s">
        <v>83</v>
      </c>
      <c r="G1" s="125" t="s">
        <v>84</v>
      </c>
      <c r="H1" s="125" t="s">
        <v>45</v>
      </c>
      <c r="I1" s="125" t="s">
        <v>85</v>
      </c>
      <c r="J1" s="125" t="s">
        <v>86</v>
      </c>
      <c r="K1" s="125" t="s">
        <v>7</v>
      </c>
      <c r="L1" s="125" t="s">
        <v>47</v>
      </c>
      <c r="M1" s="125" t="s">
        <v>87</v>
      </c>
      <c r="N1" s="125" t="s">
        <v>6</v>
      </c>
      <c r="O1" s="121"/>
      <c r="P1" s="125" t="s">
        <v>88</v>
      </c>
      <c r="Q1" s="121"/>
      <c r="R1" s="121"/>
      <c r="S1" s="121"/>
      <c r="T1" s="121"/>
      <c r="U1" s="121"/>
      <c r="V1" s="121"/>
      <c r="W1" s="121"/>
      <c r="X1" s="121"/>
      <c r="Y1" s="121"/>
      <c r="Z1" s="121"/>
    </row>
    <row r="2">
      <c r="A2" s="56">
        <v>1.00640618E8</v>
      </c>
      <c r="B2" s="126">
        <v>41920.0</v>
      </c>
      <c r="C2" s="126">
        <v>41930.0</v>
      </c>
      <c r="D2" s="56" t="s">
        <v>89</v>
      </c>
      <c r="E2" s="56" t="s">
        <v>90</v>
      </c>
      <c r="F2" s="56">
        <v>2103.0</v>
      </c>
      <c r="G2" s="56" t="s">
        <v>43</v>
      </c>
      <c r="H2" s="56">
        <v>650.0</v>
      </c>
      <c r="I2" s="127">
        <v>205.7</v>
      </c>
      <c r="J2" s="127">
        <v>117.11</v>
      </c>
      <c r="K2" s="83">
        <f t="shared" ref="K2:K1331" si="1">H2*I2</f>
        <v>133705</v>
      </c>
      <c r="L2" s="83">
        <f t="shared" ref="L2:L1331" si="2">J2*H2</f>
        <v>76121.5</v>
      </c>
      <c r="M2" s="83">
        <f t="shared" ref="M2:M1331" si="3">K2-L2</f>
        <v>57583.5</v>
      </c>
      <c r="N2" s="46" t="str">
        <f>VLOOKUP(F2,products!$A$2:$B$13,2,FALSE)</f>
        <v>Cereal</v>
      </c>
      <c r="O2" s="46" t="str">
        <f>IFERROR(E2:E1331, "")</f>
        <v>NOR</v>
      </c>
      <c r="P2" s="46">
        <f t="array" ref="P2">WEEKDAY(B2,2)</f>
        <v>3</v>
      </c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56">
        <v>1.00983083E8</v>
      </c>
      <c r="B3" s="126">
        <v>42593.0</v>
      </c>
      <c r="C3" s="126">
        <v>42593.0</v>
      </c>
      <c r="D3" s="56" t="s">
        <v>10</v>
      </c>
      <c r="E3" s="56" t="s">
        <v>91</v>
      </c>
      <c r="F3" s="56">
        <v>2103.0</v>
      </c>
      <c r="G3" s="56" t="s">
        <v>42</v>
      </c>
      <c r="H3" s="56">
        <v>1993.0</v>
      </c>
      <c r="I3" s="127">
        <v>205.7</v>
      </c>
      <c r="J3" s="127">
        <v>117.11</v>
      </c>
      <c r="K3" s="83">
        <f t="shared" si="1"/>
        <v>409960.1</v>
      </c>
      <c r="L3" s="83">
        <f t="shared" si="2"/>
        <v>233400.23</v>
      </c>
      <c r="M3" s="83">
        <f t="shared" si="3"/>
        <v>176559.87</v>
      </c>
      <c r="N3" s="46" t="str">
        <f>VLOOKUP(F3,products!$A$2:$B$13,2,FALSE)</f>
        <v>Cereal</v>
      </c>
      <c r="O3" s="46" t="s">
        <v>91</v>
      </c>
      <c r="P3" s="46">
        <f t="array" ref="P3">WEEKDAY(B3,2)</f>
        <v>4</v>
      </c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56">
        <v>1.01025998E8</v>
      </c>
      <c r="B4" s="126">
        <v>41838.0</v>
      </c>
      <c r="C4" s="126">
        <v>41862.0</v>
      </c>
      <c r="D4" s="56" t="s">
        <v>89</v>
      </c>
      <c r="E4" s="56" t="e">
        <v>#N/A</v>
      </c>
      <c r="F4" s="56">
        <v>7940.0</v>
      </c>
      <c r="G4" s="56" t="s">
        <v>43</v>
      </c>
      <c r="H4" s="56">
        <v>4693.0</v>
      </c>
      <c r="I4" s="127">
        <v>668.27</v>
      </c>
      <c r="J4" s="127">
        <v>502.54</v>
      </c>
      <c r="K4" s="83">
        <f t="shared" si="1"/>
        <v>3136191.11</v>
      </c>
      <c r="L4" s="83">
        <f t="shared" si="2"/>
        <v>2358420.22</v>
      </c>
      <c r="M4" s="83">
        <f t="shared" si="3"/>
        <v>777770.89</v>
      </c>
      <c r="N4" s="46" t="str">
        <f>VLOOKUP(F4,products!$A$2:$B$13,2,FALSE)</f>
        <v>Household</v>
      </c>
      <c r="O4" s="46" t="s">
        <v>92</v>
      </c>
      <c r="P4" s="46">
        <f t="array" ref="P4">WEEKDAY(B4,2)</f>
        <v>5</v>
      </c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56">
        <v>1.02230632E8</v>
      </c>
      <c r="B5" s="126">
        <v>42868.0</v>
      </c>
      <c r="C5" s="126">
        <v>42899.0</v>
      </c>
      <c r="D5" s="56" t="s">
        <v>93</v>
      </c>
      <c r="E5" s="56" t="s">
        <v>94</v>
      </c>
      <c r="F5" s="56">
        <v>2455.0</v>
      </c>
      <c r="G5" s="56" t="s">
        <v>43</v>
      </c>
      <c r="H5" s="56">
        <v>1171.0</v>
      </c>
      <c r="I5" s="127">
        <v>109.28</v>
      </c>
      <c r="J5" s="127">
        <v>35.84</v>
      </c>
      <c r="K5" s="83">
        <f t="shared" si="1"/>
        <v>127966.88</v>
      </c>
      <c r="L5" s="83">
        <f t="shared" si="2"/>
        <v>41968.64</v>
      </c>
      <c r="M5" s="83">
        <f t="shared" si="3"/>
        <v>85998.24</v>
      </c>
      <c r="N5" s="46" t="str">
        <f>VLOOKUP(F5,products!$A$2:$B$13,2,FALSE)</f>
        <v>Clothes</v>
      </c>
      <c r="O5" s="46" t="s">
        <v>94</v>
      </c>
      <c r="P5" s="46">
        <f t="array" ref="P5">WEEKDAY(B5,2)</f>
        <v>6</v>
      </c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56">
        <v>1.03435266E8</v>
      </c>
      <c r="B6" s="126">
        <v>41132.0</v>
      </c>
      <c r="C6" s="126">
        <v>41170.0</v>
      </c>
      <c r="D6" s="56" t="s">
        <v>95</v>
      </c>
      <c r="E6" s="56" t="s">
        <v>91</v>
      </c>
      <c r="F6" s="56">
        <v>1270.0</v>
      </c>
      <c r="G6" s="56" t="s">
        <v>42</v>
      </c>
      <c r="H6" s="56">
        <v>7648.0</v>
      </c>
      <c r="I6" s="127">
        <v>47.45</v>
      </c>
      <c r="J6" s="127">
        <v>31.79</v>
      </c>
      <c r="K6" s="83">
        <f t="shared" si="1"/>
        <v>362897.6</v>
      </c>
      <c r="L6" s="83">
        <f t="shared" si="2"/>
        <v>243129.92</v>
      </c>
      <c r="M6" s="83">
        <f t="shared" si="3"/>
        <v>119767.68</v>
      </c>
      <c r="N6" s="46" t="str">
        <f>VLOOKUP(F6,products!$A$2:$B$13,2,FALSE)</f>
        <v>Beverages</v>
      </c>
      <c r="O6" s="46" t="s">
        <v>91</v>
      </c>
      <c r="P6" s="46">
        <f t="array" ref="P6">WEEKDAY(B6,2)</f>
        <v>6</v>
      </c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56">
        <v>1.03450715E8</v>
      </c>
      <c r="B7" s="126">
        <v>42078.0</v>
      </c>
      <c r="C7" s="126">
        <v>42112.0</v>
      </c>
      <c r="D7" s="56" t="s">
        <v>95</v>
      </c>
      <c r="E7" s="56" t="s">
        <v>96</v>
      </c>
      <c r="F7" s="56">
        <v>8681.0</v>
      </c>
      <c r="G7" s="56" t="s">
        <v>43</v>
      </c>
      <c r="H7" s="56">
        <v>2220.0</v>
      </c>
      <c r="I7" s="127">
        <v>651.21</v>
      </c>
      <c r="J7" s="127">
        <v>524.96</v>
      </c>
      <c r="K7" s="83">
        <f t="shared" si="1"/>
        <v>1445686.2</v>
      </c>
      <c r="L7" s="83">
        <f t="shared" si="2"/>
        <v>1165411.2</v>
      </c>
      <c r="M7" s="83">
        <f t="shared" si="3"/>
        <v>280275</v>
      </c>
      <c r="N7" s="46" t="str">
        <f>VLOOKUP(F7,products!$A$2:$B$13,2,FALSE)</f>
        <v>Office Supplies</v>
      </c>
      <c r="O7" s="46" t="s">
        <v>96</v>
      </c>
      <c r="P7" s="46">
        <f t="array" ref="P7">WEEKDAY(B7,2)</f>
        <v>7</v>
      </c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56">
        <v>1.03499639E8</v>
      </c>
      <c r="B8" s="126">
        <v>41384.0</v>
      </c>
      <c r="C8" s="126">
        <v>41431.0</v>
      </c>
      <c r="D8" s="56" t="s">
        <v>93</v>
      </c>
      <c r="E8" s="56" t="s">
        <v>97</v>
      </c>
      <c r="F8" s="56">
        <v>4594.0</v>
      </c>
      <c r="G8" s="56" t="s">
        <v>43</v>
      </c>
      <c r="H8" s="56">
        <v>6698.0</v>
      </c>
      <c r="I8" s="127">
        <v>9.33</v>
      </c>
      <c r="J8" s="127">
        <v>6.92</v>
      </c>
      <c r="K8" s="83">
        <f t="shared" si="1"/>
        <v>62492.34</v>
      </c>
      <c r="L8" s="83">
        <f t="shared" si="2"/>
        <v>46350.16</v>
      </c>
      <c r="M8" s="83">
        <f t="shared" si="3"/>
        <v>16142.18</v>
      </c>
      <c r="N8" s="46" t="str">
        <f>VLOOKUP(F8,products!$A$2:$B$13,2,FALSE)</f>
        <v>Fruits</v>
      </c>
      <c r="O8" s="46" t="s">
        <v>97</v>
      </c>
      <c r="P8" s="46">
        <f t="array" ref="P8">WEEKDAY(B8,2)</f>
        <v>6</v>
      </c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56">
        <v>1.0376228E8</v>
      </c>
      <c r="B9" s="126">
        <v>40859.0</v>
      </c>
      <c r="C9" s="126">
        <v>40891.0</v>
      </c>
      <c r="D9" s="56" t="s">
        <v>89</v>
      </c>
      <c r="E9" s="56" t="s">
        <v>98</v>
      </c>
      <c r="F9" s="56">
        <v>5988.0</v>
      </c>
      <c r="G9" s="56" t="s">
        <v>43</v>
      </c>
      <c r="H9" s="56">
        <v>4419.0</v>
      </c>
      <c r="I9" s="127">
        <v>154.06</v>
      </c>
      <c r="J9" s="127">
        <v>90.93</v>
      </c>
      <c r="K9" s="83">
        <f t="shared" si="1"/>
        <v>680791.14</v>
      </c>
      <c r="L9" s="83">
        <f t="shared" si="2"/>
        <v>401819.67</v>
      </c>
      <c r="M9" s="83">
        <f t="shared" si="3"/>
        <v>278971.47</v>
      </c>
      <c r="N9" s="46" t="str">
        <f>VLOOKUP(F9,products!$A$2:$B$13,2,FALSE)</f>
        <v>Vegetables</v>
      </c>
      <c r="O9" s="46" t="s">
        <v>98</v>
      </c>
      <c r="P9" s="46">
        <f t="array" ref="P9">WEEKDAY(B9,2)</f>
        <v>6</v>
      </c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56">
        <v>1.03832662E8</v>
      </c>
      <c r="B10" s="126">
        <v>41171.0</v>
      </c>
      <c r="C10" s="126">
        <v>41202.0</v>
      </c>
      <c r="D10" s="56" t="s">
        <v>95</v>
      </c>
      <c r="E10" s="56" t="s">
        <v>99</v>
      </c>
      <c r="F10" s="56">
        <v>7331.0</v>
      </c>
      <c r="G10" s="56" t="s">
        <v>42</v>
      </c>
      <c r="H10" s="56">
        <v>5247.0</v>
      </c>
      <c r="I10" s="127">
        <v>255.28</v>
      </c>
      <c r="J10" s="127">
        <v>159.42</v>
      </c>
      <c r="K10" s="83">
        <f t="shared" si="1"/>
        <v>1339454.16</v>
      </c>
      <c r="L10" s="83">
        <f t="shared" si="2"/>
        <v>836476.74</v>
      </c>
      <c r="M10" s="83">
        <f t="shared" si="3"/>
        <v>502977.42</v>
      </c>
      <c r="N10" s="46" t="str">
        <f>VLOOKUP(F10,products!$A$2:$B$13,2,FALSE)</f>
        <v>Baby Food</v>
      </c>
      <c r="O10" s="46" t="s">
        <v>99</v>
      </c>
      <c r="P10" s="46">
        <f t="array" ref="P10">WEEKDAY(B10,2)</f>
        <v>3</v>
      </c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56">
        <v>1.04008615E8</v>
      </c>
      <c r="B11" s="126">
        <v>40566.0</v>
      </c>
      <c r="C11" s="126">
        <v>40596.0</v>
      </c>
      <c r="D11" s="56" t="s">
        <v>89</v>
      </c>
      <c r="E11" s="56" t="s">
        <v>100</v>
      </c>
      <c r="F11" s="56">
        <v>2103.0</v>
      </c>
      <c r="G11" s="56" t="s">
        <v>43</v>
      </c>
      <c r="H11" s="56">
        <v>7315.0</v>
      </c>
      <c r="I11" s="127">
        <v>205.7</v>
      </c>
      <c r="J11" s="127">
        <v>117.11</v>
      </c>
      <c r="K11" s="83">
        <f t="shared" si="1"/>
        <v>1504695.5</v>
      </c>
      <c r="L11" s="83">
        <f t="shared" si="2"/>
        <v>856659.65</v>
      </c>
      <c r="M11" s="83">
        <f t="shared" si="3"/>
        <v>648035.85</v>
      </c>
      <c r="N11" s="46" t="str">
        <f>VLOOKUP(F11,products!$A$2:$B$13,2,FALSE)</f>
        <v>Cereal</v>
      </c>
      <c r="O11" s="46" t="s">
        <v>100</v>
      </c>
      <c r="P11" s="46">
        <f t="array" ref="P11">WEEKDAY(B11,2)</f>
        <v>7</v>
      </c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56">
        <v>1.04165685E8</v>
      </c>
      <c r="B12" s="126">
        <v>40958.0</v>
      </c>
      <c r="C12" s="126">
        <v>40974.0</v>
      </c>
      <c r="D12" s="56" t="s">
        <v>93</v>
      </c>
      <c r="E12" s="56" t="s">
        <v>101</v>
      </c>
      <c r="F12" s="56">
        <v>7940.0</v>
      </c>
      <c r="G12" s="56" t="s">
        <v>43</v>
      </c>
      <c r="H12" s="56">
        <v>3796.0</v>
      </c>
      <c r="I12" s="127">
        <v>668.27</v>
      </c>
      <c r="J12" s="127">
        <v>502.54</v>
      </c>
      <c r="K12" s="83">
        <f t="shared" si="1"/>
        <v>2536752.92</v>
      </c>
      <c r="L12" s="83">
        <f t="shared" si="2"/>
        <v>1907641.84</v>
      </c>
      <c r="M12" s="83">
        <f t="shared" si="3"/>
        <v>629111.08</v>
      </c>
      <c r="N12" s="46" t="str">
        <f>VLOOKUP(F12,products!$A$2:$B$13,2,FALSE)</f>
        <v>Household</v>
      </c>
      <c r="O12" s="46" t="s">
        <v>101</v>
      </c>
      <c r="P12" s="46">
        <f t="array" ref="P12">WEEKDAY(B12,2)</f>
        <v>7</v>
      </c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>
      <c r="A13" s="56">
        <v>1.04190576E8</v>
      </c>
      <c r="B13" s="126">
        <v>42788.0</v>
      </c>
      <c r="C13" s="126">
        <v>42806.0</v>
      </c>
      <c r="D13" s="56" t="s">
        <v>10</v>
      </c>
      <c r="E13" s="56" t="s">
        <v>102</v>
      </c>
      <c r="F13" s="56">
        <v>8875.0</v>
      </c>
      <c r="G13" s="56" t="s">
        <v>42</v>
      </c>
      <c r="H13" s="56">
        <v>1162.0</v>
      </c>
      <c r="I13" s="127">
        <v>421.89</v>
      </c>
      <c r="J13" s="127">
        <v>364.69</v>
      </c>
      <c r="K13" s="83">
        <f t="shared" si="1"/>
        <v>490236.18</v>
      </c>
      <c r="L13" s="83">
        <f t="shared" si="2"/>
        <v>423769.78</v>
      </c>
      <c r="M13" s="83">
        <f t="shared" si="3"/>
        <v>66466.4</v>
      </c>
      <c r="N13" s="46" t="str">
        <f>VLOOKUP(F13,products!$A$2:$B$13,2,FALSE)</f>
        <v>Meat</v>
      </c>
      <c r="O13" s="46" t="s">
        <v>102</v>
      </c>
      <c r="P13" s="46">
        <f t="array" ref="P13">WEEKDAY(B13,2)</f>
        <v>3</v>
      </c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>
      <c r="A14" s="56">
        <v>1.04245078E8</v>
      </c>
      <c r="B14" s="126">
        <v>41360.0</v>
      </c>
      <c r="C14" s="126">
        <v>41385.0</v>
      </c>
      <c r="D14" s="56" t="s">
        <v>89</v>
      </c>
      <c r="E14" s="56" t="s">
        <v>103</v>
      </c>
      <c r="F14" s="56">
        <v>4594.0</v>
      </c>
      <c r="G14" s="56" t="s">
        <v>42</v>
      </c>
      <c r="H14" s="56">
        <v>7290.0</v>
      </c>
      <c r="I14" s="127">
        <v>9.33</v>
      </c>
      <c r="J14" s="127">
        <v>6.92</v>
      </c>
      <c r="K14" s="83">
        <f t="shared" si="1"/>
        <v>68015.7</v>
      </c>
      <c r="L14" s="83">
        <f t="shared" si="2"/>
        <v>50446.8</v>
      </c>
      <c r="M14" s="83">
        <f t="shared" si="3"/>
        <v>17568.9</v>
      </c>
      <c r="N14" s="46" t="str">
        <f>VLOOKUP(F14,products!$A$2:$B$13,2,FALSE)</f>
        <v>Fruits</v>
      </c>
      <c r="O14" s="46" t="s">
        <v>103</v>
      </c>
      <c r="P14" s="46">
        <f t="array" ref="P14">WEEKDAY(B14,2)</f>
        <v>3</v>
      </c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>
      <c r="A15" s="56">
        <v>1.0454849E8</v>
      </c>
      <c r="B15" s="126">
        <v>41640.0</v>
      </c>
      <c r="C15" s="126">
        <v>41644.0</v>
      </c>
      <c r="D15" s="56" t="s">
        <v>89</v>
      </c>
      <c r="E15" s="56" t="e">
        <v>#N/A</v>
      </c>
      <c r="F15" s="56">
        <v>7331.0</v>
      </c>
      <c r="G15" s="56" t="s">
        <v>43</v>
      </c>
      <c r="H15" s="56">
        <v>7076.0</v>
      </c>
      <c r="I15" s="127">
        <v>255.28</v>
      </c>
      <c r="J15" s="127">
        <v>159.42</v>
      </c>
      <c r="K15" s="83">
        <f t="shared" si="1"/>
        <v>1806361.28</v>
      </c>
      <c r="L15" s="83">
        <f t="shared" si="2"/>
        <v>1128055.92</v>
      </c>
      <c r="M15" s="83">
        <f t="shared" si="3"/>
        <v>678305.36</v>
      </c>
      <c r="N15" s="46" t="str">
        <f>VLOOKUP(F15,products!$A$2:$B$13,2,FALSE)</f>
        <v>Baby Food</v>
      </c>
      <c r="O15" s="46" t="s">
        <v>92</v>
      </c>
      <c r="P15" s="46">
        <f t="array" ref="P15">WEEKDAY(B15,2)</f>
        <v>3</v>
      </c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>
      <c r="A16" s="56">
        <v>1.0503E8</v>
      </c>
      <c r="B16" s="126">
        <v>42523.0</v>
      </c>
      <c r="C16" s="126">
        <v>42534.0</v>
      </c>
      <c r="D16" s="56" t="s">
        <v>10</v>
      </c>
      <c r="E16" s="56" t="s">
        <v>104</v>
      </c>
      <c r="F16" s="56">
        <v>2455.0</v>
      </c>
      <c r="G16" s="56" t="s">
        <v>42</v>
      </c>
      <c r="H16" s="56">
        <v>9566.0</v>
      </c>
      <c r="I16" s="127">
        <v>109.28</v>
      </c>
      <c r="J16" s="127">
        <v>35.84</v>
      </c>
      <c r="K16" s="83">
        <f t="shared" si="1"/>
        <v>1045372.48</v>
      </c>
      <c r="L16" s="83">
        <f t="shared" si="2"/>
        <v>342845.44</v>
      </c>
      <c r="M16" s="83">
        <f t="shared" si="3"/>
        <v>702527.04</v>
      </c>
      <c r="N16" s="46" t="str">
        <f>VLOOKUP(F16,products!$A$2:$B$13,2,FALSE)</f>
        <v>Clothes</v>
      </c>
      <c r="O16" s="46" t="s">
        <v>104</v>
      </c>
      <c r="P16" s="46">
        <f t="array" ref="P16">WEEKDAY(B16,2)</f>
        <v>4</v>
      </c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>
      <c r="A17" s="56">
        <v>1.07651269E8</v>
      </c>
      <c r="B17" s="126">
        <v>41575.0</v>
      </c>
      <c r="C17" s="126">
        <v>41589.0</v>
      </c>
      <c r="D17" s="56" t="s">
        <v>89</v>
      </c>
      <c r="E17" s="56" t="s">
        <v>99</v>
      </c>
      <c r="F17" s="56">
        <v>7940.0</v>
      </c>
      <c r="G17" s="56" t="s">
        <v>43</v>
      </c>
      <c r="H17" s="56">
        <v>5258.0</v>
      </c>
      <c r="I17" s="127">
        <v>668.27</v>
      </c>
      <c r="J17" s="127">
        <v>502.54</v>
      </c>
      <c r="K17" s="83">
        <f t="shared" si="1"/>
        <v>3513763.66</v>
      </c>
      <c r="L17" s="83">
        <f t="shared" si="2"/>
        <v>2642355.32</v>
      </c>
      <c r="M17" s="83">
        <f t="shared" si="3"/>
        <v>871408.34</v>
      </c>
      <c r="N17" s="46" t="str">
        <f>VLOOKUP(F17,products!$A$2:$B$13,2,FALSE)</f>
        <v>Household</v>
      </c>
      <c r="O17" s="46" t="s">
        <v>99</v>
      </c>
      <c r="P17" s="46">
        <f t="array" ref="P17">WEEKDAY(B17,2)</f>
        <v>1</v>
      </c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>
      <c r="A18" s="56">
        <v>1.08407437E8</v>
      </c>
      <c r="B18" s="126">
        <v>42054.0</v>
      </c>
      <c r="C18" s="126">
        <v>42090.0</v>
      </c>
      <c r="D18" s="56" t="s">
        <v>10</v>
      </c>
      <c r="E18" s="56" t="s">
        <v>105</v>
      </c>
      <c r="F18" s="56">
        <v>7331.0</v>
      </c>
      <c r="G18" s="56" t="s">
        <v>42</v>
      </c>
      <c r="H18" s="56">
        <v>9025.0</v>
      </c>
      <c r="I18" s="127">
        <v>255.28</v>
      </c>
      <c r="J18" s="127">
        <v>159.42</v>
      </c>
      <c r="K18" s="83">
        <f t="shared" si="1"/>
        <v>2303902</v>
      </c>
      <c r="L18" s="83">
        <f t="shared" si="2"/>
        <v>1438765.5</v>
      </c>
      <c r="M18" s="83">
        <f t="shared" si="3"/>
        <v>865136.5</v>
      </c>
      <c r="N18" s="46" t="str">
        <f>VLOOKUP(F18,products!$A$2:$B$13,2,FALSE)</f>
        <v>Baby Food</v>
      </c>
      <c r="O18" s="46" t="s">
        <v>105</v>
      </c>
      <c r="P18" s="46">
        <f t="array" ref="P18">WEEKDAY(B18,2)</f>
        <v>4</v>
      </c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>
      <c r="A19" s="56">
        <v>1.09914195E8</v>
      </c>
      <c r="B19" s="126">
        <v>40980.0</v>
      </c>
      <c r="C19" s="126">
        <v>41015.0</v>
      </c>
      <c r="D19" s="56" t="s">
        <v>89</v>
      </c>
      <c r="E19" s="56" t="s">
        <v>106</v>
      </c>
      <c r="F19" s="56">
        <v>2455.0</v>
      </c>
      <c r="G19" s="56" t="s">
        <v>42</v>
      </c>
      <c r="H19" s="56">
        <v>4908.0</v>
      </c>
      <c r="I19" s="127">
        <v>109.28</v>
      </c>
      <c r="J19" s="127">
        <v>35.84</v>
      </c>
      <c r="K19" s="83">
        <f t="shared" si="1"/>
        <v>536346.24</v>
      </c>
      <c r="L19" s="83">
        <f t="shared" si="2"/>
        <v>175902.72</v>
      </c>
      <c r="M19" s="83">
        <f t="shared" si="3"/>
        <v>360443.52</v>
      </c>
      <c r="N19" s="46" t="str">
        <f>VLOOKUP(F19,products!$A$2:$B$13,2,FALSE)</f>
        <v>Clothes</v>
      </c>
      <c r="O19" s="46" t="s">
        <v>106</v>
      </c>
      <c r="P19" s="46">
        <f t="array" ref="P19">WEEKDAY(B19,2)</f>
        <v>1</v>
      </c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>
      <c r="A20" s="56">
        <v>1.11063039E8</v>
      </c>
      <c r="B20" s="126">
        <v>41055.0</v>
      </c>
      <c r="C20" s="126">
        <v>41103.0</v>
      </c>
      <c r="D20" s="56" t="s">
        <v>93</v>
      </c>
      <c r="E20" s="56" t="s">
        <v>107</v>
      </c>
      <c r="F20" s="56">
        <v>7331.0</v>
      </c>
      <c r="G20" s="56" t="s">
        <v>43</v>
      </c>
      <c r="H20" s="56">
        <v>4876.0</v>
      </c>
      <c r="I20" s="127">
        <v>255.28</v>
      </c>
      <c r="J20" s="127">
        <v>159.42</v>
      </c>
      <c r="K20" s="83">
        <f t="shared" si="1"/>
        <v>1244745.28</v>
      </c>
      <c r="L20" s="83">
        <f t="shared" si="2"/>
        <v>777331.92</v>
      </c>
      <c r="M20" s="83">
        <f t="shared" si="3"/>
        <v>467413.36</v>
      </c>
      <c r="N20" s="46" t="str">
        <f>VLOOKUP(F20,products!$A$2:$B$13,2,FALSE)</f>
        <v>Baby Food</v>
      </c>
      <c r="O20" s="46" t="s">
        <v>107</v>
      </c>
      <c r="P20" s="46">
        <f t="array" ref="P20">WEEKDAY(B20,2)</f>
        <v>6</v>
      </c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>
      <c r="A21" s="56">
        <v>1.11246287E8</v>
      </c>
      <c r="B21" s="126">
        <v>42895.0</v>
      </c>
      <c r="C21" s="126">
        <v>42918.0</v>
      </c>
      <c r="D21" s="56" t="s">
        <v>89</v>
      </c>
      <c r="E21" s="56" t="s">
        <v>108</v>
      </c>
      <c r="F21" s="56">
        <v>8875.0</v>
      </c>
      <c r="G21" s="56" t="s">
        <v>42</v>
      </c>
      <c r="H21" s="56">
        <v>9103.0</v>
      </c>
      <c r="I21" s="127">
        <v>421.89</v>
      </c>
      <c r="J21" s="127">
        <v>364.69</v>
      </c>
      <c r="K21" s="83">
        <f t="shared" si="1"/>
        <v>3840464.67</v>
      </c>
      <c r="L21" s="83">
        <f t="shared" si="2"/>
        <v>3319773.07</v>
      </c>
      <c r="M21" s="83">
        <f t="shared" si="3"/>
        <v>520691.6</v>
      </c>
      <c r="N21" s="46" t="str">
        <f>VLOOKUP(F21,products!$A$2:$B$13,2,FALSE)</f>
        <v>Meat</v>
      </c>
      <c r="O21" s="46" t="s">
        <v>108</v>
      </c>
      <c r="P21" s="46">
        <f t="array" ref="P21">WEEKDAY(B21,2)</f>
        <v>5</v>
      </c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>
      <c r="A22" s="56">
        <v>1.11496055E8</v>
      </c>
      <c r="B22" s="126">
        <v>40661.0</v>
      </c>
      <c r="C22" s="126">
        <v>40698.0</v>
      </c>
      <c r="D22" s="56" t="s">
        <v>89</v>
      </c>
      <c r="E22" s="56" t="s">
        <v>109</v>
      </c>
      <c r="F22" s="56">
        <v>4594.0</v>
      </c>
      <c r="G22" s="56" t="s">
        <v>43</v>
      </c>
      <c r="H22" s="56">
        <v>3015.0</v>
      </c>
      <c r="I22" s="127">
        <v>9.33</v>
      </c>
      <c r="J22" s="127">
        <v>6.92</v>
      </c>
      <c r="K22" s="83">
        <f t="shared" si="1"/>
        <v>28129.95</v>
      </c>
      <c r="L22" s="83">
        <f t="shared" si="2"/>
        <v>20863.8</v>
      </c>
      <c r="M22" s="83">
        <f t="shared" si="3"/>
        <v>7266.15</v>
      </c>
      <c r="N22" s="46" t="str">
        <f>VLOOKUP(F22,products!$A$2:$B$13,2,FALSE)</f>
        <v>Fruits</v>
      </c>
      <c r="O22" s="46" t="s">
        <v>109</v>
      </c>
      <c r="P22" s="46">
        <f t="array" ref="P22">WEEKDAY(B22,2)</f>
        <v>4</v>
      </c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>
      <c r="A23" s="56">
        <v>1.11893022E8</v>
      </c>
      <c r="B23" s="126">
        <v>42671.0</v>
      </c>
      <c r="C23" s="126">
        <v>42706.0</v>
      </c>
      <c r="D23" s="56" t="s">
        <v>93</v>
      </c>
      <c r="E23" s="56" t="s">
        <v>104</v>
      </c>
      <c r="F23" s="56">
        <v>7331.0</v>
      </c>
      <c r="G23" s="56" t="s">
        <v>43</v>
      </c>
      <c r="H23" s="56">
        <v>486.0</v>
      </c>
      <c r="I23" s="127">
        <v>255.28</v>
      </c>
      <c r="J23" s="127">
        <v>159.42</v>
      </c>
      <c r="K23" s="83">
        <f t="shared" si="1"/>
        <v>124066.08</v>
      </c>
      <c r="L23" s="83">
        <f t="shared" si="2"/>
        <v>77478.12</v>
      </c>
      <c r="M23" s="83">
        <f t="shared" si="3"/>
        <v>46587.96</v>
      </c>
      <c r="N23" s="46" t="str">
        <f>VLOOKUP(F23,products!$A$2:$B$13,2,FALSE)</f>
        <v>Baby Food</v>
      </c>
      <c r="O23" s="46" t="s">
        <v>104</v>
      </c>
      <c r="P23" s="46">
        <f t="array" ref="P23">WEEKDAY(B23,2)</f>
        <v>5</v>
      </c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>
      <c r="A24" s="56">
        <v>1.12330758E8</v>
      </c>
      <c r="B24" s="126">
        <v>42719.0</v>
      </c>
      <c r="C24" s="126">
        <v>42746.0</v>
      </c>
      <c r="D24" s="56" t="s">
        <v>10</v>
      </c>
      <c r="E24" s="56" t="s">
        <v>110</v>
      </c>
      <c r="F24" s="56">
        <v>8681.0</v>
      </c>
      <c r="G24" s="56" t="s">
        <v>42</v>
      </c>
      <c r="H24" s="56">
        <v>22.0</v>
      </c>
      <c r="I24" s="127">
        <v>651.21</v>
      </c>
      <c r="J24" s="127">
        <v>524.96</v>
      </c>
      <c r="K24" s="83">
        <f t="shared" si="1"/>
        <v>14326.62</v>
      </c>
      <c r="L24" s="83">
        <f t="shared" si="2"/>
        <v>11549.12</v>
      </c>
      <c r="M24" s="83">
        <f t="shared" si="3"/>
        <v>2777.5</v>
      </c>
      <c r="N24" s="46" t="str">
        <f>VLOOKUP(F24,products!$A$2:$B$13,2,FALSE)</f>
        <v>Office Supplies</v>
      </c>
      <c r="O24" s="46" t="s">
        <v>110</v>
      </c>
      <c r="P24" s="46">
        <f t="array" ref="P24">WEEKDAY(B24,2)</f>
        <v>4</v>
      </c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>
      <c r="A25" s="56">
        <v>1.13524663E8</v>
      </c>
      <c r="B25" s="126">
        <v>40480.0</v>
      </c>
      <c r="C25" s="126">
        <v>40521.0</v>
      </c>
      <c r="D25" s="56" t="s">
        <v>93</v>
      </c>
      <c r="E25" s="56" t="s">
        <v>111</v>
      </c>
      <c r="F25" s="56">
        <v>8293.0</v>
      </c>
      <c r="G25" s="56" t="s">
        <v>43</v>
      </c>
      <c r="H25" s="56">
        <v>3325.0</v>
      </c>
      <c r="I25" s="127">
        <v>437.2</v>
      </c>
      <c r="J25" s="127">
        <v>263.33</v>
      </c>
      <c r="K25" s="83">
        <f t="shared" si="1"/>
        <v>1453690</v>
      </c>
      <c r="L25" s="83">
        <f t="shared" si="2"/>
        <v>875572.25</v>
      </c>
      <c r="M25" s="83">
        <f t="shared" si="3"/>
        <v>578117.75</v>
      </c>
      <c r="N25" s="46" t="str">
        <f>VLOOKUP(F25,products!$A$2:$B$13,2,FALSE)</f>
        <v>Cosmetics</v>
      </c>
      <c r="O25" s="46" t="s">
        <v>111</v>
      </c>
      <c r="P25" s="46">
        <f t="array" ref="P25">WEEKDAY(B25,2)</f>
        <v>5</v>
      </c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>
      <c r="A26" s="56">
        <v>1.14954173E8</v>
      </c>
      <c r="B26" s="126">
        <v>40212.0</v>
      </c>
      <c r="C26" s="126">
        <v>40220.0</v>
      </c>
      <c r="D26" s="56" t="s">
        <v>10</v>
      </c>
      <c r="E26" s="56" t="s">
        <v>112</v>
      </c>
      <c r="F26" s="56">
        <v>4594.0</v>
      </c>
      <c r="G26" s="56" t="s">
        <v>42</v>
      </c>
      <c r="H26" s="56">
        <v>6349.0</v>
      </c>
      <c r="I26" s="127">
        <v>9.33</v>
      </c>
      <c r="J26" s="127">
        <v>6.92</v>
      </c>
      <c r="K26" s="83">
        <f t="shared" si="1"/>
        <v>59236.17</v>
      </c>
      <c r="L26" s="83">
        <f t="shared" si="2"/>
        <v>43935.08</v>
      </c>
      <c r="M26" s="83">
        <f t="shared" si="3"/>
        <v>15301.09</v>
      </c>
      <c r="N26" s="46" t="str">
        <f>VLOOKUP(F26,products!$A$2:$B$13,2,FALSE)</f>
        <v>Fruits</v>
      </c>
      <c r="O26" s="46" t="s">
        <v>112</v>
      </c>
      <c r="P26" s="46">
        <f t="array" ref="P26">WEEKDAY(B26,2)</f>
        <v>3</v>
      </c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>
      <c r="A27" s="56">
        <v>1.15363156E8</v>
      </c>
      <c r="B27" s="126">
        <v>42342.0</v>
      </c>
      <c r="C27" s="126">
        <v>42379.0</v>
      </c>
      <c r="D27" s="56" t="s">
        <v>95</v>
      </c>
      <c r="E27" s="56" t="s">
        <v>113</v>
      </c>
      <c r="F27" s="56">
        <v>8681.0</v>
      </c>
      <c r="G27" s="56" t="s">
        <v>42</v>
      </c>
      <c r="H27" s="56">
        <v>7376.0</v>
      </c>
      <c r="I27" s="127">
        <v>651.21</v>
      </c>
      <c r="J27" s="127">
        <v>524.96</v>
      </c>
      <c r="K27" s="83">
        <f t="shared" si="1"/>
        <v>4803324.96</v>
      </c>
      <c r="L27" s="83">
        <f t="shared" si="2"/>
        <v>3872104.96</v>
      </c>
      <c r="M27" s="83">
        <f t="shared" si="3"/>
        <v>931220</v>
      </c>
      <c r="N27" s="46" t="str">
        <f>VLOOKUP(F27,products!$A$2:$B$13,2,FALSE)</f>
        <v>Office Supplies</v>
      </c>
      <c r="O27" s="46" t="s">
        <v>113</v>
      </c>
      <c r="P27" s="46">
        <f t="array" ref="P27">WEEKDAY(B27,2)</f>
        <v>5</v>
      </c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>
      <c r="A28" s="56">
        <v>1.17929494E8</v>
      </c>
      <c r="B28" s="126">
        <v>42028.0</v>
      </c>
      <c r="C28" s="126">
        <v>42065.0</v>
      </c>
      <c r="D28" s="56" t="s">
        <v>95</v>
      </c>
      <c r="E28" s="56" t="e">
        <v>#N/A</v>
      </c>
      <c r="F28" s="56">
        <v>4594.0</v>
      </c>
      <c r="G28" s="56" t="s">
        <v>42</v>
      </c>
      <c r="H28" s="56">
        <v>6813.0</v>
      </c>
      <c r="I28" s="127">
        <v>9.33</v>
      </c>
      <c r="J28" s="127">
        <v>6.92</v>
      </c>
      <c r="K28" s="83">
        <f t="shared" si="1"/>
        <v>63565.29</v>
      </c>
      <c r="L28" s="83">
        <f t="shared" si="2"/>
        <v>47145.96</v>
      </c>
      <c r="M28" s="83">
        <f t="shared" si="3"/>
        <v>16419.33</v>
      </c>
      <c r="N28" s="46" t="str">
        <f>VLOOKUP(F28,products!$A$2:$B$13,2,FALSE)</f>
        <v>Fruits</v>
      </c>
      <c r="O28" s="46" t="s">
        <v>92</v>
      </c>
      <c r="P28" s="46">
        <f t="array" ref="P28">WEEKDAY(B28,2)</f>
        <v>6</v>
      </c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>
      <c r="A29" s="56">
        <v>1.18086564E8</v>
      </c>
      <c r="B29" s="126">
        <v>42419.0</v>
      </c>
      <c r="C29" s="126">
        <v>42442.0</v>
      </c>
      <c r="D29" s="56" t="s">
        <v>89</v>
      </c>
      <c r="E29" s="56" t="s">
        <v>90</v>
      </c>
      <c r="F29" s="56">
        <v>8969.0</v>
      </c>
      <c r="G29" s="56" t="s">
        <v>43</v>
      </c>
      <c r="H29" s="56">
        <v>3293.0</v>
      </c>
      <c r="I29" s="127">
        <v>152.58</v>
      </c>
      <c r="J29" s="127">
        <v>97.44</v>
      </c>
      <c r="K29" s="83">
        <f t="shared" si="1"/>
        <v>502445.94</v>
      </c>
      <c r="L29" s="83">
        <f t="shared" si="2"/>
        <v>320869.92</v>
      </c>
      <c r="M29" s="83">
        <f t="shared" si="3"/>
        <v>181576.02</v>
      </c>
      <c r="N29" s="46" t="str">
        <f>VLOOKUP(F29,products!$A$2:$B$13,2,FALSE)</f>
        <v>Snacks</v>
      </c>
      <c r="O29" s="46" t="s">
        <v>90</v>
      </c>
      <c r="P29" s="46">
        <f t="array" ref="P29">WEEKDAY(B29,2)</f>
        <v>5</v>
      </c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>
      <c r="A30" s="56">
        <v>1.18659913E8</v>
      </c>
      <c r="B30" s="126">
        <v>41853.0</v>
      </c>
      <c r="C30" s="126">
        <v>41868.0</v>
      </c>
      <c r="D30" s="56" t="s">
        <v>10</v>
      </c>
      <c r="E30" s="56" t="s">
        <v>114</v>
      </c>
      <c r="F30" s="56">
        <v>2103.0</v>
      </c>
      <c r="G30" s="56" t="s">
        <v>43</v>
      </c>
      <c r="H30" s="56">
        <v>2960.0</v>
      </c>
      <c r="I30" s="127">
        <v>205.7</v>
      </c>
      <c r="J30" s="127">
        <v>117.11</v>
      </c>
      <c r="K30" s="83">
        <f t="shared" si="1"/>
        <v>608872</v>
      </c>
      <c r="L30" s="83">
        <f t="shared" si="2"/>
        <v>346645.6</v>
      </c>
      <c r="M30" s="83">
        <f t="shared" si="3"/>
        <v>262226.4</v>
      </c>
      <c r="N30" s="46" t="str">
        <f>VLOOKUP(F30,products!$A$2:$B$13,2,FALSE)</f>
        <v>Cereal</v>
      </c>
      <c r="O30" s="46" t="s">
        <v>114</v>
      </c>
      <c r="P30" s="46">
        <f t="array" ref="P30">WEEKDAY(B30,2)</f>
        <v>6</v>
      </c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>
      <c r="A31" s="56">
        <v>1.18859469E8</v>
      </c>
      <c r="B31" s="126">
        <v>40696.0</v>
      </c>
      <c r="C31" s="126">
        <v>40725.0</v>
      </c>
      <c r="D31" s="56" t="s">
        <v>93</v>
      </c>
      <c r="E31" s="56" t="e">
        <v>#N/A</v>
      </c>
      <c r="F31" s="56">
        <v>8969.0</v>
      </c>
      <c r="G31" s="56" t="s">
        <v>42</v>
      </c>
      <c r="H31" s="56">
        <v>2013.0</v>
      </c>
      <c r="I31" s="127">
        <v>152.58</v>
      </c>
      <c r="J31" s="127">
        <v>97.44</v>
      </c>
      <c r="K31" s="83">
        <f t="shared" si="1"/>
        <v>307143.54</v>
      </c>
      <c r="L31" s="83">
        <f t="shared" si="2"/>
        <v>196146.72</v>
      </c>
      <c r="M31" s="83">
        <f t="shared" si="3"/>
        <v>110996.82</v>
      </c>
      <c r="N31" s="46" t="str">
        <f>VLOOKUP(F31,products!$A$2:$B$13,2,FALSE)</f>
        <v>Snacks</v>
      </c>
      <c r="O31" s="46" t="s">
        <v>92</v>
      </c>
      <c r="P31" s="46">
        <f t="array" ref="P31">WEEKDAY(B31,2)</f>
        <v>4</v>
      </c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>
      <c r="A32" s="56">
        <v>1.19935786E8</v>
      </c>
      <c r="B32" s="126">
        <v>42018.0</v>
      </c>
      <c r="C32" s="126">
        <v>42031.0</v>
      </c>
      <c r="D32" s="56" t="s">
        <v>93</v>
      </c>
      <c r="E32" s="56" t="s">
        <v>105</v>
      </c>
      <c r="F32" s="56">
        <v>3127.0</v>
      </c>
      <c r="G32" s="56" t="s">
        <v>42</v>
      </c>
      <c r="H32" s="56">
        <v>519.0</v>
      </c>
      <c r="I32" s="127">
        <v>81.73</v>
      </c>
      <c r="J32" s="127">
        <v>56.67</v>
      </c>
      <c r="K32" s="83">
        <f t="shared" si="1"/>
        <v>42417.87</v>
      </c>
      <c r="L32" s="83">
        <f t="shared" si="2"/>
        <v>29411.73</v>
      </c>
      <c r="M32" s="83">
        <f t="shared" si="3"/>
        <v>13006.14</v>
      </c>
      <c r="N32" s="46" t="str">
        <f>VLOOKUP(F32,products!$A$2:$B$13,2,FALSE)</f>
        <v>Personal Care</v>
      </c>
      <c r="O32" s="46" t="s">
        <v>105</v>
      </c>
      <c r="P32" s="46">
        <f t="array" ref="P32">WEEKDAY(B32,2)</f>
        <v>3</v>
      </c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>
      <c r="A33" s="56">
        <v>1.20419871E8</v>
      </c>
      <c r="B33" s="126">
        <v>42137.0</v>
      </c>
      <c r="C33" s="126">
        <v>42181.0</v>
      </c>
      <c r="D33" s="56" t="s">
        <v>95</v>
      </c>
      <c r="E33" s="56" t="s">
        <v>110</v>
      </c>
      <c r="F33" s="56">
        <v>3127.0</v>
      </c>
      <c r="G33" s="56" t="s">
        <v>43</v>
      </c>
      <c r="H33" s="56">
        <v>3771.0</v>
      </c>
      <c r="I33" s="127">
        <v>81.73</v>
      </c>
      <c r="J33" s="127">
        <v>56.67</v>
      </c>
      <c r="K33" s="83">
        <f t="shared" si="1"/>
        <v>308203.83</v>
      </c>
      <c r="L33" s="83">
        <f t="shared" si="2"/>
        <v>213702.57</v>
      </c>
      <c r="M33" s="83">
        <f t="shared" si="3"/>
        <v>94501.26</v>
      </c>
      <c r="N33" s="46" t="str">
        <f>VLOOKUP(F33,products!$A$2:$B$13,2,FALSE)</f>
        <v>Personal Care</v>
      </c>
      <c r="O33" s="46" t="s">
        <v>110</v>
      </c>
      <c r="P33" s="46">
        <f t="array" ref="P33">WEEKDAY(B33,2)</f>
        <v>3</v>
      </c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>
      <c r="A34" s="56">
        <v>1.20977771E8</v>
      </c>
      <c r="B34" s="126">
        <v>40625.0</v>
      </c>
      <c r="C34" s="126">
        <v>40665.0</v>
      </c>
      <c r="D34" s="56" t="s">
        <v>89</v>
      </c>
      <c r="E34" s="56" t="s">
        <v>101</v>
      </c>
      <c r="F34" s="56">
        <v>4594.0</v>
      </c>
      <c r="G34" s="56" t="s">
        <v>43</v>
      </c>
      <c r="H34" s="56">
        <v>8866.0</v>
      </c>
      <c r="I34" s="127">
        <v>9.33</v>
      </c>
      <c r="J34" s="127">
        <v>6.92</v>
      </c>
      <c r="K34" s="83">
        <f t="shared" si="1"/>
        <v>82719.78</v>
      </c>
      <c r="L34" s="83">
        <f t="shared" si="2"/>
        <v>61352.72</v>
      </c>
      <c r="M34" s="83">
        <f t="shared" si="3"/>
        <v>21367.06</v>
      </c>
      <c r="N34" s="46" t="str">
        <f>VLOOKUP(F34,products!$A$2:$B$13,2,FALSE)</f>
        <v>Fruits</v>
      </c>
      <c r="O34" s="46" t="s">
        <v>101</v>
      </c>
      <c r="P34" s="46">
        <f t="array" ref="P34">WEEKDAY(B34,2)</f>
        <v>3</v>
      </c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>
      <c r="A35" s="56">
        <v>1.21380746E8</v>
      </c>
      <c r="B35" s="126">
        <v>42695.0</v>
      </c>
      <c r="C35" s="126">
        <v>42722.0</v>
      </c>
      <c r="D35" s="56" t="s">
        <v>10</v>
      </c>
      <c r="E35" s="56" t="s">
        <v>112</v>
      </c>
      <c r="F35" s="56">
        <v>4594.0</v>
      </c>
      <c r="G35" s="56" t="s">
        <v>43</v>
      </c>
      <c r="H35" s="56">
        <v>8115.0</v>
      </c>
      <c r="I35" s="127">
        <v>9.33</v>
      </c>
      <c r="J35" s="127">
        <v>6.92</v>
      </c>
      <c r="K35" s="83">
        <f t="shared" si="1"/>
        <v>75712.95</v>
      </c>
      <c r="L35" s="83">
        <f t="shared" si="2"/>
        <v>56155.8</v>
      </c>
      <c r="M35" s="83">
        <f t="shared" si="3"/>
        <v>19557.15</v>
      </c>
      <c r="N35" s="46" t="str">
        <f>VLOOKUP(F35,products!$A$2:$B$13,2,FALSE)</f>
        <v>Fruits</v>
      </c>
      <c r="O35" s="46" t="s">
        <v>112</v>
      </c>
      <c r="P35" s="46">
        <f t="array" ref="P35">WEEKDAY(B35,2)</f>
        <v>1</v>
      </c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>
      <c r="A36" s="56">
        <v>1.21945512E8</v>
      </c>
      <c r="B36" s="126">
        <v>42833.0</v>
      </c>
      <c r="C36" s="126">
        <v>42837.0</v>
      </c>
      <c r="D36" s="56" t="s">
        <v>10</v>
      </c>
      <c r="E36" s="56" t="s">
        <v>103</v>
      </c>
      <c r="F36" s="56">
        <v>1270.0</v>
      </c>
      <c r="G36" s="56" t="s">
        <v>43</v>
      </c>
      <c r="H36" s="56">
        <v>5242.0</v>
      </c>
      <c r="I36" s="127">
        <v>47.45</v>
      </c>
      <c r="J36" s="127">
        <v>31.79</v>
      </c>
      <c r="K36" s="83">
        <f t="shared" si="1"/>
        <v>248732.9</v>
      </c>
      <c r="L36" s="83">
        <f t="shared" si="2"/>
        <v>166643.18</v>
      </c>
      <c r="M36" s="83">
        <f t="shared" si="3"/>
        <v>82089.72</v>
      </c>
      <c r="N36" s="46" t="str">
        <f>VLOOKUP(F36,products!$A$2:$B$13,2,FALSE)</f>
        <v>Beverages</v>
      </c>
      <c r="O36" s="46" t="s">
        <v>103</v>
      </c>
      <c r="P36" s="46">
        <f t="array" ref="P36">WEEKDAY(B36,2)</f>
        <v>6</v>
      </c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>
      <c r="A37" s="56">
        <v>1.2214421E8</v>
      </c>
      <c r="B37" s="126">
        <v>42852.0</v>
      </c>
      <c r="C37" s="126">
        <v>42879.0</v>
      </c>
      <c r="D37" s="56" t="s">
        <v>10</v>
      </c>
      <c r="E37" s="56" t="s">
        <v>94</v>
      </c>
      <c r="F37" s="56">
        <v>1270.0</v>
      </c>
      <c r="G37" s="56" t="s">
        <v>42</v>
      </c>
      <c r="H37" s="56">
        <v>4041.0</v>
      </c>
      <c r="I37" s="127">
        <v>47.45</v>
      </c>
      <c r="J37" s="127">
        <v>31.79</v>
      </c>
      <c r="K37" s="83">
        <f t="shared" si="1"/>
        <v>191745.45</v>
      </c>
      <c r="L37" s="83">
        <f t="shared" si="2"/>
        <v>128463.39</v>
      </c>
      <c r="M37" s="83">
        <f t="shared" si="3"/>
        <v>63282.06</v>
      </c>
      <c r="N37" s="46" t="str">
        <f>VLOOKUP(F37,products!$A$2:$B$13,2,FALSE)</f>
        <v>Beverages</v>
      </c>
      <c r="O37" s="46" t="s">
        <v>94</v>
      </c>
      <c r="P37" s="46">
        <f t="array" ref="P37">WEEKDAY(B37,2)</f>
        <v>4</v>
      </c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>
      <c r="A38" s="56">
        <v>1.22372519E8</v>
      </c>
      <c r="B38" s="126">
        <v>42379.0</v>
      </c>
      <c r="C38" s="126">
        <v>42382.0</v>
      </c>
      <c r="D38" s="56" t="s">
        <v>93</v>
      </c>
      <c r="E38" s="56" t="s">
        <v>115</v>
      </c>
      <c r="F38" s="56">
        <v>1270.0</v>
      </c>
      <c r="G38" s="56" t="s">
        <v>42</v>
      </c>
      <c r="H38" s="56">
        <v>1603.0</v>
      </c>
      <c r="I38" s="127">
        <v>47.45</v>
      </c>
      <c r="J38" s="127">
        <v>31.79</v>
      </c>
      <c r="K38" s="83">
        <f t="shared" si="1"/>
        <v>76062.35</v>
      </c>
      <c r="L38" s="83">
        <f t="shared" si="2"/>
        <v>50959.37</v>
      </c>
      <c r="M38" s="83">
        <f t="shared" si="3"/>
        <v>25102.98</v>
      </c>
      <c r="N38" s="46" t="str">
        <f>VLOOKUP(F38,products!$A$2:$B$13,2,FALSE)</f>
        <v>Beverages</v>
      </c>
      <c r="O38" s="46" t="s">
        <v>115</v>
      </c>
      <c r="P38" s="46">
        <f t="array" ref="P38">WEEKDAY(B38,2)</f>
        <v>7</v>
      </c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>
      <c r="A39" s="56">
        <v>1.22967326E8</v>
      </c>
      <c r="B39" s="126">
        <v>42818.0</v>
      </c>
      <c r="C39" s="126">
        <v>42850.0</v>
      </c>
      <c r="D39" s="56" t="s">
        <v>95</v>
      </c>
      <c r="E39" s="56" t="s">
        <v>116</v>
      </c>
      <c r="F39" s="56">
        <v>1270.0</v>
      </c>
      <c r="G39" s="56" t="s">
        <v>43</v>
      </c>
      <c r="H39" s="56">
        <v>7619.0</v>
      </c>
      <c r="I39" s="127">
        <v>47.45</v>
      </c>
      <c r="J39" s="127">
        <v>31.79</v>
      </c>
      <c r="K39" s="83">
        <f t="shared" si="1"/>
        <v>361521.55</v>
      </c>
      <c r="L39" s="83">
        <f t="shared" si="2"/>
        <v>242208.01</v>
      </c>
      <c r="M39" s="83">
        <f t="shared" si="3"/>
        <v>119313.54</v>
      </c>
      <c r="N39" s="46" t="str">
        <f>VLOOKUP(F39,products!$A$2:$B$13,2,FALSE)</f>
        <v>Beverages</v>
      </c>
      <c r="O39" s="46" t="s">
        <v>116</v>
      </c>
      <c r="P39" s="46">
        <f t="array" ref="P39">WEEKDAY(B39,2)</f>
        <v>5</v>
      </c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>
      <c r="A40" s="56">
        <v>1.23086202E8</v>
      </c>
      <c r="B40" s="126">
        <v>41641.0</v>
      </c>
      <c r="C40" s="126">
        <v>41690.0</v>
      </c>
      <c r="D40" s="56" t="s">
        <v>89</v>
      </c>
      <c r="E40" s="56" t="s">
        <v>117</v>
      </c>
      <c r="F40" s="56">
        <v>7331.0</v>
      </c>
      <c r="G40" s="56" t="s">
        <v>42</v>
      </c>
      <c r="H40" s="56">
        <v>2797.0</v>
      </c>
      <c r="I40" s="127">
        <v>255.28</v>
      </c>
      <c r="J40" s="127">
        <v>159.42</v>
      </c>
      <c r="K40" s="83">
        <f t="shared" si="1"/>
        <v>714018.16</v>
      </c>
      <c r="L40" s="83">
        <f t="shared" si="2"/>
        <v>445897.74</v>
      </c>
      <c r="M40" s="83">
        <f t="shared" si="3"/>
        <v>268120.42</v>
      </c>
      <c r="N40" s="46" t="str">
        <f>VLOOKUP(F40,products!$A$2:$B$13,2,FALSE)</f>
        <v>Baby Food</v>
      </c>
      <c r="O40" s="46" t="s">
        <v>117</v>
      </c>
      <c r="P40" s="46">
        <f t="array" ref="P40">WEEKDAY(B40,2)</f>
        <v>4</v>
      </c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>
      <c r="A41" s="56">
        <v>1.23544108E8</v>
      </c>
      <c r="B41" s="126">
        <v>40311.0</v>
      </c>
      <c r="C41" s="126">
        <v>40351.0</v>
      </c>
      <c r="D41" s="56" t="s">
        <v>89</v>
      </c>
      <c r="E41" s="56" t="s">
        <v>118</v>
      </c>
      <c r="F41" s="56">
        <v>2103.0</v>
      </c>
      <c r="G41" s="56" t="s">
        <v>43</v>
      </c>
      <c r="H41" s="56">
        <v>8302.0</v>
      </c>
      <c r="I41" s="127">
        <v>205.7</v>
      </c>
      <c r="J41" s="127">
        <v>117.11</v>
      </c>
      <c r="K41" s="83">
        <f t="shared" si="1"/>
        <v>1707721.4</v>
      </c>
      <c r="L41" s="83">
        <f t="shared" si="2"/>
        <v>972247.22</v>
      </c>
      <c r="M41" s="83">
        <f t="shared" si="3"/>
        <v>735474.18</v>
      </c>
      <c r="N41" s="46" t="str">
        <f>VLOOKUP(F41,products!$A$2:$B$13,2,FALSE)</f>
        <v>Cereal</v>
      </c>
      <c r="O41" s="46" t="s">
        <v>118</v>
      </c>
      <c r="P41" s="46">
        <f t="array" ref="P41">WEEKDAY(B41,2)</f>
        <v>4</v>
      </c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>
      <c r="A42" s="56">
        <v>1.2393893E8</v>
      </c>
      <c r="B42" s="126">
        <v>41114.0</v>
      </c>
      <c r="C42" s="126">
        <v>41123.0</v>
      </c>
      <c r="D42" s="56" t="s">
        <v>89</v>
      </c>
      <c r="E42" s="56" t="s">
        <v>116</v>
      </c>
      <c r="F42" s="56">
        <v>1270.0</v>
      </c>
      <c r="G42" s="56" t="s">
        <v>43</v>
      </c>
      <c r="H42" s="56">
        <v>5138.0</v>
      </c>
      <c r="I42" s="127">
        <v>47.45</v>
      </c>
      <c r="J42" s="127">
        <v>31.79</v>
      </c>
      <c r="K42" s="83">
        <f t="shared" si="1"/>
        <v>243798.1</v>
      </c>
      <c r="L42" s="83">
        <f t="shared" si="2"/>
        <v>163337.02</v>
      </c>
      <c r="M42" s="83">
        <f t="shared" si="3"/>
        <v>80461.08</v>
      </c>
      <c r="N42" s="46" t="str">
        <f>VLOOKUP(F42,products!$A$2:$B$13,2,FALSE)</f>
        <v>Beverages</v>
      </c>
      <c r="O42" s="46" t="s">
        <v>116</v>
      </c>
      <c r="P42" s="46">
        <f t="array" ref="P42">WEEKDAY(B42,2)</f>
        <v>2</v>
      </c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>
      <c r="A43" s="56">
        <v>1.25339686E8</v>
      </c>
      <c r="B43" s="126">
        <v>42927.0</v>
      </c>
      <c r="C43" s="126">
        <v>42940.0</v>
      </c>
      <c r="D43" s="56" t="s">
        <v>93</v>
      </c>
      <c r="E43" s="56" t="s">
        <v>119</v>
      </c>
      <c r="F43" s="56">
        <v>8969.0</v>
      </c>
      <c r="G43" s="56" t="s">
        <v>43</v>
      </c>
      <c r="H43" s="56">
        <v>9653.0</v>
      </c>
      <c r="I43" s="127">
        <v>152.58</v>
      </c>
      <c r="J43" s="127">
        <v>97.44</v>
      </c>
      <c r="K43" s="83">
        <f t="shared" si="1"/>
        <v>1472854.74</v>
      </c>
      <c r="L43" s="83">
        <f t="shared" si="2"/>
        <v>940588.32</v>
      </c>
      <c r="M43" s="83">
        <f t="shared" si="3"/>
        <v>532266.42</v>
      </c>
      <c r="N43" s="46" t="str">
        <f>VLOOKUP(F43,products!$A$2:$B$13,2,FALSE)</f>
        <v>Snacks</v>
      </c>
      <c r="O43" s="46" t="s">
        <v>119</v>
      </c>
      <c r="P43" s="46">
        <f t="array" ref="P43">WEEKDAY(B43,2)</f>
        <v>2</v>
      </c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>
      <c r="A44" s="56">
        <v>1.25349128E8</v>
      </c>
      <c r="B44" s="126">
        <v>41047.0</v>
      </c>
      <c r="C44" s="126">
        <v>41066.0</v>
      </c>
      <c r="D44" s="56" t="s">
        <v>93</v>
      </c>
      <c r="E44" s="56" t="s">
        <v>120</v>
      </c>
      <c r="F44" s="56">
        <v>2103.0</v>
      </c>
      <c r="G44" s="56" t="s">
        <v>42</v>
      </c>
      <c r="H44" s="56">
        <v>2447.0</v>
      </c>
      <c r="I44" s="127">
        <v>205.7</v>
      </c>
      <c r="J44" s="127">
        <v>117.11</v>
      </c>
      <c r="K44" s="83">
        <f t="shared" si="1"/>
        <v>503347.9</v>
      </c>
      <c r="L44" s="83">
        <f t="shared" si="2"/>
        <v>286568.17</v>
      </c>
      <c r="M44" s="83">
        <f t="shared" si="3"/>
        <v>216779.73</v>
      </c>
      <c r="N44" s="46" t="str">
        <f>VLOOKUP(F44,products!$A$2:$B$13,2,FALSE)</f>
        <v>Cereal</v>
      </c>
      <c r="O44" s="46" t="s">
        <v>120</v>
      </c>
      <c r="P44" s="46">
        <f t="array" ref="P44">WEEKDAY(B44,2)</f>
        <v>5</v>
      </c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>
      <c r="A45" s="56">
        <v>1.26948583E8</v>
      </c>
      <c r="B45" s="126">
        <v>42879.0</v>
      </c>
      <c r="C45" s="126">
        <v>42925.0</v>
      </c>
      <c r="D45" s="56" t="s">
        <v>10</v>
      </c>
      <c r="E45" s="56" t="e">
        <v>#N/A</v>
      </c>
      <c r="F45" s="56">
        <v>7331.0</v>
      </c>
      <c r="G45" s="56" t="s">
        <v>43</v>
      </c>
      <c r="H45" s="56">
        <v>5762.0</v>
      </c>
      <c r="I45" s="127">
        <v>255.28</v>
      </c>
      <c r="J45" s="127">
        <v>159.42</v>
      </c>
      <c r="K45" s="83">
        <f t="shared" si="1"/>
        <v>1470923.36</v>
      </c>
      <c r="L45" s="83">
        <f t="shared" si="2"/>
        <v>918578.04</v>
      </c>
      <c r="M45" s="83">
        <f t="shared" si="3"/>
        <v>552345.32</v>
      </c>
      <c r="N45" s="46" t="str">
        <f>VLOOKUP(F45,products!$A$2:$B$13,2,FALSE)</f>
        <v>Baby Food</v>
      </c>
      <c r="O45" s="46" t="s">
        <v>92</v>
      </c>
      <c r="P45" s="46">
        <f t="array" ref="P45">WEEKDAY(B45,2)</f>
        <v>3</v>
      </c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>
      <c r="A46" s="56">
        <v>1.27694451E8</v>
      </c>
      <c r="B46" s="126">
        <v>40884.0</v>
      </c>
      <c r="C46" s="126">
        <v>40904.0</v>
      </c>
      <c r="D46" s="56" t="s">
        <v>93</v>
      </c>
      <c r="E46" s="56" t="s">
        <v>117</v>
      </c>
      <c r="F46" s="56">
        <v>5988.0</v>
      </c>
      <c r="G46" s="56" t="s">
        <v>42</v>
      </c>
      <c r="H46" s="56">
        <v>6481.0</v>
      </c>
      <c r="I46" s="127">
        <v>154.06</v>
      </c>
      <c r="J46" s="127">
        <v>90.93</v>
      </c>
      <c r="K46" s="83">
        <f t="shared" si="1"/>
        <v>998462.86</v>
      </c>
      <c r="L46" s="83">
        <f t="shared" si="2"/>
        <v>589317.33</v>
      </c>
      <c r="M46" s="83">
        <f t="shared" si="3"/>
        <v>409145.53</v>
      </c>
      <c r="N46" s="46" t="str">
        <f>VLOOKUP(F46,products!$A$2:$B$13,2,FALSE)</f>
        <v>Vegetables</v>
      </c>
      <c r="O46" s="46" t="s">
        <v>117</v>
      </c>
      <c r="P46" s="46">
        <f t="array" ref="P46">WEEKDAY(B46,2)</f>
        <v>3</v>
      </c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>
      <c r="A47" s="56">
        <v>1.27838218E8</v>
      </c>
      <c r="B47" s="126">
        <v>41537.0</v>
      </c>
      <c r="C47" s="126">
        <v>41576.0</v>
      </c>
      <c r="D47" s="56" t="s">
        <v>10</v>
      </c>
      <c r="E47" s="56" t="s">
        <v>121</v>
      </c>
      <c r="F47" s="56">
        <v>4594.0</v>
      </c>
      <c r="G47" s="56" t="s">
        <v>42</v>
      </c>
      <c r="H47" s="56">
        <v>9024.0</v>
      </c>
      <c r="I47" s="127">
        <v>9.33</v>
      </c>
      <c r="J47" s="127">
        <v>6.92</v>
      </c>
      <c r="K47" s="83">
        <f t="shared" si="1"/>
        <v>84193.92</v>
      </c>
      <c r="L47" s="83">
        <f t="shared" si="2"/>
        <v>62446.08</v>
      </c>
      <c r="M47" s="83">
        <f t="shared" si="3"/>
        <v>21747.84</v>
      </c>
      <c r="N47" s="46" t="str">
        <f>VLOOKUP(F47,products!$A$2:$B$13,2,FALSE)</f>
        <v>Fruits</v>
      </c>
      <c r="O47" s="46" t="s">
        <v>121</v>
      </c>
      <c r="P47" s="46">
        <f t="array" ref="P47">WEEKDAY(B47,2)</f>
        <v>5</v>
      </c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>
      <c r="A48" s="56">
        <v>1.28003442E8</v>
      </c>
      <c r="B48" s="126">
        <v>40430.0</v>
      </c>
      <c r="C48" s="126">
        <v>40474.0</v>
      </c>
      <c r="D48" s="56" t="s">
        <v>93</v>
      </c>
      <c r="E48" s="56" t="s">
        <v>122</v>
      </c>
      <c r="F48" s="56">
        <v>7331.0</v>
      </c>
      <c r="G48" s="56" t="s">
        <v>43</v>
      </c>
      <c r="H48" s="56">
        <v>7918.0</v>
      </c>
      <c r="I48" s="127">
        <v>255.28</v>
      </c>
      <c r="J48" s="127">
        <v>159.42</v>
      </c>
      <c r="K48" s="83">
        <f t="shared" si="1"/>
        <v>2021307.04</v>
      </c>
      <c r="L48" s="83">
        <f t="shared" si="2"/>
        <v>1262287.56</v>
      </c>
      <c r="M48" s="83">
        <f t="shared" si="3"/>
        <v>759019.48</v>
      </c>
      <c r="N48" s="46" t="str">
        <f>VLOOKUP(F48,products!$A$2:$B$13,2,FALSE)</f>
        <v>Baby Food</v>
      </c>
      <c r="O48" s="46" t="s">
        <v>122</v>
      </c>
      <c r="P48" s="46">
        <f t="array" ref="P48">WEEKDAY(B48,2)</f>
        <v>4</v>
      </c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>
      <c r="A49" s="56">
        <v>1.28686225E8</v>
      </c>
      <c r="B49" s="126">
        <v>40568.0</v>
      </c>
      <c r="C49" s="126">
        <v>40615.0</v>
      </c>
      <c r="D49" s="56" t="s">
        <v>89</v>
      </c>
      <c r="E49" s="56" t="s">
        <v>123</v>
      </c>
      <c r="F49" s="56">
        <v>7331.0</v>
      </c>
      <c r="G49" s="56" t="s">
        <v>43</v>
      </c>
      <c r="H49" s="56">
        <v>9968.0</v>
      </c>
      <c r="I49" s="127">
        <v>255.28</v>
      </c>
      <c r="J49" s="127">
        <v>159.42</v>
      </c>
      <c r="K49" s="83">
        <f t="shared" si="1"/>
        <v>2544631.04</v>
      </c>
      <c r="L49" s="83">
        <f t="shared" si="2"/>
        <v>1589098.56</v>
      </c>
      <c r="M49" s="83">
        <f t="shared" si="3"/>
        <v>955532.48</v>
      </c>
      <c r="N49" s="46" t="str">
        <f>VLOOKUP(F49,products!$A$2:$B$13,2,FALSE)</f>
        <v>Baby Food</v>
      </c>
      <c r="O49" s="46" t="s">
        <v>123</v>
      </c>
      <c r="P49" s="46">
        <f t="array" ref="P49">WEEKDAY(B49,2)</f>
        <v>2</v>
      </c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>
      <c r="A50" s="56">
        <v>1.28766906E8</v>
      </c>
      <c r="B50" s="126">
        <v>40587.0</v>
      </c>
      <c r="C50" s="126">
        <v>40630.0</v>
      </c>
      <c r="D50" s="56" t="s">
        <v>10</v>
      </c>
      <c r="E50" s="56" t="e">
        <v>#N/A</v>
      </c>
      <c r="F50" s="56">
        <v>7940.0</v>
      </c>
      <c r="G50" s="56" t="s">
        <v>42</v>
      </c>
      <c r="H50" s="56">
        <v>3844.0</v>
      </c>
      <c r="I50" s="127">
        <v>668.27</v>
      </c>
      <c r="J50" s="127">
        <v>502.54</v>
      </c>
      <c r="K50" s="83">
        <f t="shared" si="1"/>
        <v>2568829.88</v>
      </c>
      <c r="L50" s="83">
        <f t="shared" si="2"/>
        <v>1931763.76</v>
      </c>
      <c r="M50" s="83">
        <f t="shared" si="3"/>
        <v>637066.12</v>
      </c>
      <c r="N50" s="46" t="str">
        <f>VLOOKUP(F50,products!$A$2:$B$13,2,FALSE)</f>
        <v>Household</v>
      </c>
      <c r="O50" s="46" t="s">
        <v>92</v>
      </c>
      <c r="P50" s="46">
        <f t="array" ref="P50">WEEKDAY(B50,2)</f>
        <v>7</v>
      </c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>
      <c r="A51" s="56">
        <v>1.29127395E8</v>
      </c>
      <c r="B51" s="126">
        <v>41441.0</v>
      </c>
      <c r="C51" s="126">
        <v>41445.0</v>
      </c>
      <c r="D51" s="56" t="s">
        <v>93</v>
      </c>
      <c r="E51" s="56" t="s">
        <v>124</v>
      </c>
      <c r="F51" s="56">
        <v>8681.0</v>
      </c>
      <c r="G51" s="56" t="s">
        <v>43</v>
      </c>
      <c r="H51" s="56">
        <v>520.0</v>
      </c>
      <c r="I51" s="127">
        <v>651.21</v>
      </c>
      <c r="J51" s="127">
        <v>524.96</v>
      </c>
      <c r="K51" s="83">
        <f t="shared" si="1"/>
        <v>338629.2</v>
      </c>
      <c r="L51" s="83">
        <f t="shared" si="2"/>
        <v>272979.2</v>
      </c>
      <c r="M51" s="83">
        <f t="shared" si="3"/>
        <v>65650</v>
      </c>
      <c r="N51" s="46" t="str">
        <f>VLOOKUP(F51,products!$A$2:$B$13,2,FALSE)</f>
        <v>Office Supplies</v>
      </c>
      <c r="O51" s="46" t="s">
        <v>124</v>
      </c>
      <c r="P51" s="46">
        <f t="array" ref="P51">WEEKDAY(B51,2)</f>
        <v>7</v>
      </c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>
      <c r="A52" s="56">
        <v>1.29169023E8</v>
      </c>
      <c r="B52" s="126">
        <v>41068.0</v>
      </c>
      <c r="C52" s="126">
        <v>41108.0</v>
      </c>
      <c r="D52" s="56" t="s">
        <v>89</v>
      </c>
      <c r="E52" s="56" t="e">
        <v>#N/A</v>
      </c>
      <c r="F52" s="56">
        <v>1270.0</v>
      </c>
      <c r="G52" s="56" t="s">
        <v>42</v>
      </c>
      <c r="H52" s="56">
        <v>2839.0</v>
      </c>
      <c r="I52" s="127">
        <v>47.45</v>
      </c>
      <c r="J52" s="127">
        <v>31.79</v>
      </c>
      <c r="K52" s="83">
        <f t="shared" si="1"/>
        <v>134710.55</v>
      </c>
      <c r="L52" s="83">
        <f t="shared" si="2"/>
        <v>90251.81</v>
      </c>
      <c r="M52" s="83">
        <f t="shared" si="3"/>
        <v>44458.74</v>
      </c>
      <c r="N52" s="46" t="str">
        <f>VLOOKUP(F52,products!$A$2:$B$13,2,FALSE)</f>
        <v>Beverages</v>
      </c>
      <c r="O52" s="46" t="s">
        <v>92</v>
      </c>
      <c r="P52" s="46">
        <f t="array" ref="P52">WEEKDAY(B52,2)</f>
        <v>5</v>
      </c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>
      <c r="A53" s="56">
        <v>1.29875409E8</v>
      </c>
      <c r="B53" s="126">
        <v>40652.0</v>
      </c>
      <c r="C53" s="126">
        <v>40659.0</v>
      </c>
      <c r="D53" s="56" t="s">
        <v>93</v>
      </c>
      <c r="E53" s="56" t="s">
        <v>110</v>
      </c>
      <c r="F53" s="56">
        <v>3127.0</v>
      </c>
      <c r="G53" s="56" t="s">
        <v>42</v>
      </c>
      <c r="H53" s="56">
        <v>1875.0</v>
      </c>
      <c r="I53" s="127">
        <v>81.73</v>
      </c>
      <c r="J53" s="127">
        <v>56.67</v>
      </c>
      <c r="K53" s="83">
        <f t="shared" si="1"/>
        <v>153243.75</v>
      </c>
      <c r="L53" s="83">
        <f t="shared" si="2"/>
        <v>106256.25</v>
      </c>
      <c r="M53" s="83">
        <f t="shared" si="3"/>
        <v>46987.5</v>
      </c>
      <c r="N53" s="46" t="str">
        <f>VLOOKUP(F53,products!$A$2:$B$13,2,FALSE)</f>
        <v>Personal Care</v>
      </c>
      <c r="O53" s="46" t="s">
        <v>110</v>
      </c>
      <c r="P53" s="46">
        <f t="array" ref="P53">WEEKDAY(B53,2)</f>
        <v>2</v>
      </c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>
      <c r="A54" s="56">
        <v>1.29902875E8</v>
      </c>
      <c r="B54" s="126">
        <v>41719.0</v>
      </c>
      <c r="C54" s="126">
        <v>41753.0</v>
      </c>
      <c r="D54" s="56" t="s">
        <v>10</v>
      </c>
      <c r="E54" s="56" t="s">
        <v>125</v>
      </c>
      <c r="F54" s="56">
        <v>7940.0</v>
      </c>
      <c r="G54" s="56" t="s">
        <v>43</v>
      </c>
      <c r="H54" s="56">
        <v>2.0</v>
      </c>
      <c r="I54" s="127">
        <v>668.27</v>
      </c>
      <c r="J54" s="127">
        <v>502.54</v>
      </c>
      <c r="K54" s="83">
        <f t="shared" si="1"/>
        <v>1336.54</v>
      </c>
      <c r="L54" s="83">
        <f t="shared" si="2"/>
        <v>1005.08</v>
      </c>
      <c r="M54" s="83">
        <f t="shared" si="3"/>
        <v>331.46</v>
      </c>
      <c r="N54" s="46" t="str">
        <f>VLOOKUP(F54,products!$A$2:$B$13,2,FALSE)</f>
        <v>Household</v>
      </c>
      <c r="O54" s="46" t="s">
        <v>125</v>
      </c>
      <c r="P54" s="46">
        <f t="array" ref="P54">WEEKDAY(B54,2)</f>
        <v>5</v>
      </c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>
      <c r="A55" s="56">
        <v>1.30356919E8</v>
      </c>
      <c r="B55" s="126">
        <v>41535.0</v>
      </c>
      <c r="C55" s="126">
        <v>41548.0</v>
      </c>
      <c r="D55" s="56" t="s">
        <v>95</v>
      </c>
      <c r="E55" s="56" t="s">
        <v>122</v>
      </c>
      <c r="F55" s="56">
        <v>5988.0</v>
      </c>
      <c r="G55" s="56" t="s">
        <v>43</v>
      </c>
      <c r="H55" s="56">
        <v>4364.0</v>
      </c>
      <c r="I55" s="127">
        <v>154.06</v>
      </c>
      <c r="J55" s="127">
        <v>90.93</v>
      </c>
      <c r="K55" s="83">
        <f t="shared" si="1"/>
        <v>672317.84</v>
      </c>
      <c r="L55" s="83">
        <f t="shared" si="2"/>
        <v>396818.52</v>
      </c>
      <c r="M55" s="83">
        <f t="shared" si="3"/>
        <v>275499.32</v>
      </c>
      <c r="N55" s="46" t="str">
        <f>VLOOKUP(F55,products!$A$2:$B$13,2,FALSE)</f>
        <v>Vegetables</v>
      </c>
      <c r="O55" s="46" t="s">
        <v>122</v>
      </c>
      <c r="P55" s="46">
        <f t="array" ref="P55">WEEKDAY(B55,2)</f>
        <v>3</v>
      </c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>
      <c r="A56" s="56">
        <v>1.30754315E8</v>
      </c>
      <c r="B56" s="126">
        <v>41574.0</v>
      </c>
      <c r="C56" s="126">
        <v>41580.0</v>
      </c>
      <c r="D56" s="56" t="s">
        <v>95</v>
      </c>
      <c r="E56" s="56" t="s">
        <v>97</v>
      </c>
      <c r="F56" s="56">
        <v>8681.0</v>
      </c>
      <c r="G56" s="56" t="s">
        <v>43</v>
      </c>
      <c r="H56" s="56">
        <v>1962.0</v>
      </c>
      <c r="I56" s="127">
        <v>651.21</v>
      </c>
      <c r="J56" s="127">
        <v>524.96</v>
      </c>
      <c r="K56" s="83">
        <f t="shared" si="1"/>
        <v>1277674.02</v>
      </c>
      <c r="L56" s="83">
        <f t="shared" si="2"/>
        <v>1029971.52</v>
      </c>
      <c r="M56" s="83">
        <f t="shared" si="3"/>
        <v>247702.5</v>
      </c>
      <c r="N56" s="46" t="str">
        <f>VLOOKUP(F56,products!$A$2:$B$13,2,FALSE)</f>
        <v>Office Supplies</v>
      </c>
      <c r="O56" s="46" t="s">
        <v>97</v>
      </c>
      <c r="P56" s="46">
        <f t="array" ref="P56">WEEKDAY(B56,2)</f>
        <v>7</v>
      </c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>
      <c r="A57" s="56">
        <v>1.31585586E8</v>
      </c>
      <c r="B57" s="126">
        <v>42807.0</v>
      </c>
      <c r="C57" s="126">
        <v>42838.0</v>
      </c>
      <c r="D57" s="56" t="s">
        <v>10</v>
      </c>
      <c r="E57" s="56" t="s">
        <v>97</v>
      </c>
      <c r="F57" s="56">
        <v>3127.0</v>
      </c>
      <c r="G57" s="56" t="s">
        <v>42</v>
      </c>
      <c r="H57" s="56">
        <v>7954.0</v>
      </c>
      <c r="I57" s="127">
        <v>81.73</v>
      </c>
      <c r="J57" s="127">
        <v>56.67</v>
      </c>
      <c r="K57" s="83">
        <f t="shared" si="1"/>
        <v>650080.42</v>
      </c>
      <c r="L57" s="83">
        <f t="shared" si="2"/>
        <v>450753.18</v>
      </c>
      <c r="M57" s="83">
        <f t="shared" si="3"/>
        <v>199327.24</v>
      </c>
      <c r="N57" s="46" t="str">
        <f>VLOOKUP(F57,products!$A$2:$B$13,2,FALSE)</f>
        <v>Personal Care</v>
      </c>
      <c r="O57" s="46" t="s">
        <v>97</v>
      </c>
      <c r="P57" s="46">
        <f t="array" ref="P57">WEEKDAY(B57,2)</f>
        <v>1</v>
      </c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>
      <c r="A58" s="56">
        <v>1.32069671E8</v>
      </c>
      <c r="B58" s="126">
        <v>42925.0</v>
      </c>
      <c r="C58" s="126">
        <v>42936.0</v>
      </c>
      <c r="D58" s="56" t="s">
        <v>89</v>
      </c>
      <c r="E58" s="56" t="s">
        <v>118</v>
      </c>
      <c r="F58" s="56">
        <v>3127.0</v>
      </c>
      <c r="G58" s="56" t="s">
        <v>43</v>
      </c>
      <c r="H58" s="56">
        <v>1205.0</v>
      </c>
      <c r="I58" s="127">
        <v>81.73</v>
      </c>
      <c r="J58" s="127">
        <v>56.67</v>
      </c>
      <c r="K58" s="83">
        <f t="shared" si="1"/>
        <v>98484.65</v>
      </c>
      <c r="L58" s="83">
        <f t="shared" si="2"/>
        <v>68287.35</v>
      </c>
      <c r="M58" s="83">
        <f t="shared" si="3"/>
        <v>30197.3</v>
      </c>
      <c r="N58" s="46" t="str">
        <f>VLOOKUP(F58,products!$A$2:$B$13,2,FALSE)</f>
        <v>Personal Care</v>
      </c>
      <c r="O58" s="46" t="s">
        <v>118</v>
      </c>
      <c r="P58" s="46">
        <f t="array" ref="P58">WEEKDAY(B58,2)</f>
        <v>7</v>
      </c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>
      <c r="A59" s="56">
        <v>1.32603538E8</v>
      </c>
      <c r="B59" s="126">
        <v>41172.0</v>
      </c>
      <c r="C59" s="126">
        <v>41219.0</v>
      </c>
      <c r="D59" s="56" t="s">
        <v>89</v>
      </c>
      <c r="E59" s="56" t="s">
        <v>123</v>
      </c>
      <c r="F59" s="56">
        <v>8293.0</v>
      </c>
      <c r="G59" s="56" t="s">
        <v>43</v>
      </c>
      <c r="H59" s="56">
        <v>9188.0</v>
      </c>
      <c r="I59" s="127">
        <v>437.2</v>
      </c>
      <c r="J59" s="127">
        <v>263.33</v>
      </c>
      <c r="K59" s="83">
        <f t="shared" si="1"/>
        <v>4016993.6</v>
      </c>
      <c r="L59" s="83">
        <f t="shared" si="2"/>
        <v>2419476.04</v>
      </c>
      <c r="M59" s="83">
        <f t="shared" si="3"/>
        <v>1597517.56</v>
      </c>
      <c r="N59" s="46" t="str">
        <f>VLOOKUP(F59,products!$A$2:$B$13,2,FALSE)</f>
        <v>Cosmetics</v>
      </c>
      <c r="O59" s="46" t="s">
        <v>123</v>
      </c>
      <c r="P59" s="46">
        <f t="array" ref="P59">WEEKDAY(B59,2)</f>
        <v>4</v>
      </c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>
      <c r="A60" s="56">
        <v>1.3327645E8</v>
      </c>
      <c r="B60" s="126">
        <v>42396.0</v>
      </c>
      <c r="C60" s="126">
        <v>42444.0</v>
      </c>
      <c r="D60" s="56" t="s">
        <v>95</v>
      </c>
      <c r="E60" s="56" t="e">
        <v>#N/A</v>
      </c>
      <c r="F60" s="56">
        <v>3127.0</v>
      </c>
      <c r="G60" s="56" t="s">
        <v>43</v>
      </c>
      <c r="H60" s="56">
        <v>8318.0</v>
      </c>
      <c r="I60" s="127">
        <v>81.73</v>
      </c>
      <c r="J60" s="127">
        <v>56.67</v>
      </c>
      <c r="K60" s="83">
        <f t="shared" si="1"/>
        <v>679830.14</v>
      </c>
      <c r="L60" s="83">
        <f t="shared" si="2"/>
        <v>471381.06</v>
      </c>
      <c r="M60" s="83">
        <f t="shared" si="3"/>
        <v>208449.08</v>
      </c>
      <c r="N60" s="46" t="str">
        <f>VLOOKUP(F60,products!$A$2:$B$13,2,FALSE)</f>
        <v>Personal Care</v>
      </c>
      <c r="O60" s="46" t="s">
        <v>92</v>
      </c>
      <c r="P60" s="46">
        <f t="array" ref="P60">WEEKDAY(B60,2)</f>
        <v>3</v>
      </c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>
      <c r="A61" s="56">
        <v>1.34121024E8</v>
      </c>
      <c r="B61" s="126">
        <v>40602.0</v>
      </c>
      <c r="C61" s="126">
        <v>40641.0</v>
      </c>
      <c r="D61" s="56" t="s">
        <v>93</v>
      </c>
      <c r="E61" s="56" t="s">
        <v>117</v>
      </c>
      <c r="F61" s="56">
        <v>5988.0</v>
      </c>
      <c r="G61" s="56" t="s">
        <v>43</v>
      </c>
      <c r="H61" s="56">
        <v>8246.0</v>
      </c>
      <c r="I61" s="127">
        <v>154.06</v>
      </c>
      <c r="J61" s="127">
        <v>90.93</v>
      </c>
      <c r="K61" s="83">
        <f t="shared" si="1"/>
        <v>1270378.76</v>
      </c>
      <c r="L61" s="83">
        <f t="shared" si="2"/>
        <v>749808.78</v>
      </c>
      <c r="M61" s="83">
        <f t="shared" si="3"/>
        <v>520569.98</v>
      </c>
      <c r="N61" s="46" t="str">
        <f>VLOOKUP(F61,products!$A$2:$B$13,2,FALSE)</f>
        <v>Vegetables</v>
      </c>
      <c r="O61" s="46" t="s">
        <v>117</v>
      </c>
      <c r="P61" s="46">
        <f t="array" ref="P61">WEEKDAY(B61,2)</f>
        <v>1</v>
      </c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>
      <c r="A62" s="56">
        <v>1.34790503E8</v>
      </c>
      <c r="B62" s="126">
        <v>41001.0</v>
      </c>
      <c r="C62" s="126">
        <v>41025.0</v>
      </c>
      <c r="D62" s="56" t="s">
        <v>89</v>
      </c>
      <c r="E62" s="56" t="s">
        <v>126</v>
      </c>
      <c r="F62" s="56">
        <v>2455.0</v>
      </c>
      <c r="G62" s="56" t="s">
        <v>43</v>
      </c>
      <c r="H62" s="56">
        <v>6360.0</v>
      </c>
      <c r="I62" s="127">
        <v>109.28</v>
      </c>
      <c r="J62" s="127">
        <v>35.84</v>
      </c>
      <c r="K62" s="83">
        <f t="shared" si="1"/>
        <v>695020.8</v>
      </c>
      <c r="L62" s="83">
        <f t="shared" si="2"/>
        <v>227942.4</v>
      </c>
      <c r="M62" s="83">
        <f t="shared" si="3"/>
        <v>467078.4</v>
      </c>
      <c r="N62" s="46" t="str">
        <f>VLOOKUP(F62,products!$A$2:$B$13,2,FALSE)</f>
        <v>Clothes</v>
      </c>
      <c r="O62" s="46" t="s">
        <v>126</v>
      </c>
      <c r="P62" s="46">
        <f t="array" ref="P62">WEEKDAY(B62,2)</f>
        <v>1</v>
      </c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>
      <c r="A63" s="56">
        <v>1.36624276E8</v>
      </c>
      <c r="B63" s="126">
        <v>42420.0</v>
      </c>
      <c r="C63" s="126">
        <v>42437.0</v>
      </c>
      <c r="D63" s="56" t="s">
        <v>93</v>
      </c>
      <c r="E63" s="56" t="s">
        <v>124</v>
      </c>
      <c r="F63" s="56">
        <v>1270.0</v>
      </c>
      <c r="G63" s="56" t="s">
        <v>42</v>
      </c>
      <c r="H63" s="56">
        <v>9014.0</v>
      </c>
      <c r="I63" s="127">
        <v>47.45</v>
      </c>
      <c r="J63" s="127">
        <v>31.79</v>
      </c>
      <c r="K63" s="83">
        <f t="shared" si="1"/>
        <v>427714.3</v>
      </c>
      <c r="L63" s="83">
        <f t="shared" si="2"/>
        <v>286555.06</v>
      </c>
      <c r="M63" s="83">
        <f t="shared" si="3"/>
        <v>141159.24</v>
      </c>
      <c r="N63" s="46" t="str">
        <f>VLOOKUP(F63,products!$A$2:$B$13,2,FALSE)</f>
        <v>Beverages</v>
      </c>
      <c r="O63" s="46" t="s">
        <v>124</v>
      </c>
      <c r="P63" s="46">
        <f t="array" ref="P63">WEEKDAY(B63,2)</f>
        <v>6</v>
      </c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>
      <c r="A64" s="56">
        <v>1.38025033E8</v>
      </c>
      <c r="B64" s="126">
        <v>41468.0</v>
      </c>
      <c r="C64" s="126">
        <v>41489.0</v>
      </c>
      <c r="D64" s="56" t="s">
        <v>93</v>
      </c>
      <c r="E64" s="56" t="s">
        <v>103</v>
      </c>
      <c r="F64" s="56">
        <v>8969.0</v>
      </c>
      <c r="G64" s="56" t="s">
        <v>43</v>
      </c>
      <c r="H64" s="56">
        <v>3529.0</v>
      </c>
      <c r="I64" s="127">
        <v>152.58</v>
      </c>
      <c r="J64" s="127">
        <v>97.44</v>
      </c>
      <c r="K64" s="83">
        <f t="shared" si="1"/>
        <v>538454.82</v>
      </c>
      <c r="L64" s="83">
        <f t="shared" si="2"/>
        <v>343865.76</v>
      </c>
      <c r="M64" s="83">
        <f t="shared" si="3"/>
        <v>194589.06</v>
      </c>
      <c r="N64" s="46" t="str">
        <f>VLOOKUP(F64,products!$A$2:$B$13,2,FALSE)</f>
        <v>Snacks</v>
      </c>
      <c r="O64" s="46" t="s">
        <v>103</v>
      </c>
      <c r="P64" s="46">
        <f t="array" ref="P64">WEEKDAY(B64,2)</f>
        <v>6</v>
      </c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>
      <c r="A65" s="56">
        <v>1.38182103E8</v>
      </c>
      <c r="B65" s="126">
        <v>41860.0</v>
      </c>
      <c r="C65" s="126">
        <v>41867.0</v>
      </c>
      <c r="D65" s="56" t="s">
        <v>10</v>
      </c>
      <c r="E65" s="56" t="s">
        <v>121</v>
      </c>
      <c r="F65" s="56">
        <v>8681.0</v>
      </c>
      <c r="G65" s="56" t="s">
        <v>43</v>
      </c>
      <c r="H65" s="56">
        <v>10.0</v>
      </c>
      <c r="I65" s="127">
        <v>651.21</v>
      </c>
      <c r="J65" s="127">
        <v>524.96</v>
      </c>
      <c r="K65" s="83">
        <f t="shared" si="1"/>
        <v>6512.1</v>
      </c>
      <c r="L65" s="83">
        <f t="shared" si="2"/>
        <v>5249.6</v>
      </c>
      <c r="M65" s="83">
        <f t="shared" si="3"/>
        <v>1262.5</v>
      </c>
      <c r="N65" s="46" t="str">
        <f>VLOOKUP(F65,products!$A$2:$B$13,2,FALSE)</f>
        <v>Office Supplies</v>
      </c>
      <c r="O65" s="46" t="s">
        <v>121</v>
      </c>
      <c r="P65" s="46">
        <f t="array" ref="P65">WEEKDAY(B65,2)</f>
        <v>6</v>
      </c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>
      <c r="A66" s="56">
        <v>1.38820683E8</v>
      </c>
      <c r="B66" s="126">
        <v>40368.0</v>
      </c>
      <c r="C66" s="126">
        <v>40368.0</v>
      </c>
      <c r="D66" s="56" t="s">
        <v>93</v>
      </c>
      <c r="E66" s="56" t="s">
        <v>111</v>
      </c>
      <c r="F66" s="56">
        <v>2455.0</v>
      </c>
      <c r="G66" s="56" t="s">
        <v>42</v>
      </c>
      <c r="H66" s="56">
        <v>8980.0</v>
      </c>
      <c r="I66" s="127">
        <v>109.28</v>
      </c>
      <c r="J66" s="127">
        <v>35.84</v>
      </c>
      <c r="K66" s="83">
        <f t="shared" si="1"/>
        <v>981334.4</v>
      </c>
      <c r="L66" s="83">
        <f t="shared" si="2"/>
        <v>321843.2</v>
      </c>
      <c r="M66" s="83">
        <f t="shared" si="3"/>
        <v>659491.2</v>
      </c>
      <c r="N66" s="46" t="str">
        <f>VLOOKUP(F66,products!$A$2:$B$13,2,FALSE)</f>
        <v>Clothes</v>
      </c>
      <c r="O66" s="46" t="s">
        <v>111</v>
      </c>
      <c r="P66" s="46">
        <f t="array" ref="P66">WEEKDAY(B66,2)</f>
        <v>5</v>
      </c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>
      <c r="A67" s="56">
        <v>1.39201343E8</v>
      </c>
      <c r="B67" s="126">
        <v>42609.0</v>
      </c>
      <c r="C67" s="126">
        <v>42619.0</v>
      </c>
      <c r="D67" s="56" t="s">
        <v>95</v>
      </c>
      <c r="E67" s="56" t="s">
        <v>127</v>
      </c>
      <c r="F67" s="56">
        <v>8293.0</v>
      </c>
      <c r="G67" s="56" t="s">
        <v>42</v>
      </c>
      <c r="H67" s="56">
        <v>1625.0</v>
      </c>
      <c r="I67" s="127">
        <v>437.2</v>
      </c>
      <c r="J67" s="127">
        <v>263.33</v>
      </c>
      <c r="K67" s="83">
        <f t="shared" si="1"/>
        <v>710450</v>
      </c>
      <c r="L67" s="83">
        <f t="shared" si="2"/>
        <v>427911.25</v>
      </c>
      <c r="M67" s="83">
        <f t="shared" si="3"/>
        <v>282538.75</v>
      </c>
      <c r="N67" s="46" t="str">
        <f>VLOOKUP(F67,products!$A$2:$B$13,2,FALSE)</f>
        <v>Cosmetics</v>
      </c>
      <c r="O67" s="46" t="s">
        <v>127</v>
      </c>
      <c r="P67" s="46">
        <f t="array" ref="P67">WEEKDAY(B67,2)</f>
        <v>6</v>
      </c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>
      <c r="A68" s="56">
        <v>1.39949357E8</v>
      </c>
      <c r="B68" s="126">
        <v>41821.0</v>
      </c>
      <c r="C68" s="126">
        <v>41834.0</v>
      </c>
      <c r="D68" s="56" t="s">
        <v>95</v>
      </c>
      <c r="E68" s="56" t="e">
        <v>#N/A</v>
      </c>
      <c r="F68" s="56">
        <v>5988.0</v>
      </c>
      <c r="G68" s="56" t="s">
        <v>43</v>
      </c>
      <c r="H68" s="56">
        <v>2980.0</v>
      </c>
      <c r="I68" s="127">
        <v>154.06</v>
      </c>
      <c r="J68" s="127">
        <v>90.93</v>
      </c>
      <c r="K68" s="83">
        <f t="shared" si="1"/>
        <v>459098.8</v>
      </c>
      <c r="L68" s="83">
        <f t="shared" si="2"/>
        <v>270971.4</v>
      </c>
      <c r="M68" s="83">
        <f t="shared" si="3"/>
        <v>188127.4</v>
      </c>
      <c r="N68" s="46" t="str">
        <f>VLOOKUP(F68,products!$A$2:$B$13,2,FALSE)</f>
        <v>Vegetables</v>
      </c>
      <c r="O68" s="46" t="s">
        <v>92</v>
      </c>
      <c r="P68" s="46">
        <f t="array" ref="P68">WEEKDAY(B68,2)</f>
        <v>2</v>
      </c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>
      <c r="A69" s="56">
        <v>1.40461766E8</v>
      </c>
      <c r="B69" s="126">
        <v>41828.0</v>
      </c>
      <c r="C69" s="126">
        <v>41840.0</v>
      </c>
      <c r="D69" s="56" t="s">
        <v>10</v>
      </c>
      <c r="E69" s="56" t="s">
        <v>113</v>
      </c>
      <c r="F69" s="56">
        <v>8293.0</v>
      </c>
      <c r="G69" s="56" t="s">
        <v>43</v>
      </c>
      <c r="H69" s="56">
        <v>4613.0</v>
      </c>
      <c r="I69" s="127">
        <v>437.2</v>
      </c>
      <c r="J69" s="127">
        <v>263.33</v>
      </c>
      <c r="K69" s="83">
        <f t="shared" si="1"/>
        <v>2016803.6</v>
      </c>
      <c r="L69" s="83">
        <f t="shared" si="2"/>
        <v>1214741.29</v>
      </c>
      <c r="M69" s="83">
        <f t="shared" si="3"/>
        <v>802062.31</v>
      </c>
      <c r="N69" s="46" t="str">
        <f>VLOOKUP(F69,products!$A$2:$B$13,2,FALSE)</f>
        <v>Cosmetics</v>
      </c>
      <c r="O69" s="46" t="s">
        <v>113</v>
      </c>
      <c r="P69" s="46">
        <f t="array" ref="P69">WEEKDAY(B69,2)</f>
        <v>2</v>
      </c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>
      <c r="A70" s="56">
        <v>1.40499961E8</v>
      </c>
      <c r="B70" s="126">
        <v>40631.0</v>
      </c>
      <c r="C70" s="126">
        <v>40663.0</v>
      </c>
      <c r="D70" s="56" t="s">
        <v>93</v>
      </c>
      <c r="E70" s="56" t="s">
        <v>124</v>
      </c>
      <c r="F70" s="56">
        <v>3127.0</v>
      </c>
      <c r="G70" s="56" t="s">
        <v>43</v>
      </c>
      <c r="H70" s="56">
        <v>5915.0</v>
      </c>
      <c r="I70" s="127">
        <v>81.73</v>
      </c>
      <c r="J70" s="127">
        <v>56.67</v>
      </c>
      <c r="K70" s="83">
        <f t="shared" si="1"/>
        <v>483432.95</v>
      </c>
      <c r="L70" s="83">
        <f t="shared" si="2"/>
        <v>335203.05</v>
      </c>
      <c r="M70" s="83">
        <f t="shared" si="3"/>
        <v>148229.9</v>
      </c>
      <c r="N70" s="46" t="str">
        <f>VLOOKUP(F70,products!$A$2:$B$13,2,FALSE)</f>
        <v>Personal Care</v>
      </c>
      <c r="O70" s="46" t="s">
        <v>124</v>
      </c>
      <c r="P70" s="46">
        <f t="array" ref="P70">WEEKDAY(B70,2)</f>
        <v>2</v>
      </c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>
      <c r="A71" s="56">
        <v>1.41764247E8</v>
      </c>
      <c r="B71" s="126">
        <v>41470.0</v>
      </c>
      <c r="C71" s="126">
        <v>41515.0</v>
      </c>
      <c r="D71" s="56" t="s">
        <v>95</v>
      </c>
      <c r="E71" s="56" t="s">
        <v>128</v>
      </c>
      <c r="F71" s="56">
        <v>7331.0</v>
      </c>
      <c r="G71" s="56" t="s">
        <v>42</v>
      </c>
      <c r="H71" s="56">
        <v>46.0</v>
      </c>
      <c r="I71" s="127">
        <v>255.28</v>
      </c>
      <c r="J71" s="127">
        <v>159.42</v>
      </c>
      <c r="K71" s="83">
        <f t="shared" si="1"/>
        <v>11742.88</v>
      </c>
      <c r="L71" s="83">
        <f t="shared" si="2"/>
        <v>7333.32</v>
      </c>
      <c r="M71" s="83">
        <f t="shared" si="3"/>
        <v>4409.56</v>
      </c>
      <c r="N71" s="46" t="str">
        <f>VLOOKUP(F71,products!$A$2:$B$13,2,FALSE)</f>
        <v>Baby Food</v>
      </c>
      <c r="O71" s="46" t="s">
        <v>128</v>
      </c>
      <c r="P71" s="46">
        <f t="array" ref="P71">WEEKDAY(B71,2)</f>
        <v>1</v>
      </c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>
      <c r="A72" s="56">
        <v>1.41846215E8</v>
      </c>
      <c r="B72" s="126">
        <v>41108.0</v>
      </c>
      <c r="C72" s="126">
        <v>41137.0</v>
      </c>
      <c r="D72" s="56" t="s">
        <v>95</v>
      </c>
      <c r="E72" s="56" t="s">
        <v>102</v>
      </c>
      <c r="F72" s="56">
        <v>2455.0</v>
      </c>
      <c r="G72" s="56" t="s">
        <v>43</v>
      </c>
      <c r="H72" s="56">
        <v>4302.0</v>
      </c>
      <c r="I72" s="127">
        <v>109.28</v>
      </c>
      <c r="J72" s="127">
        <v>35.84</v>
      </c>
      <c r="K72" s="83">
        <f t="shared" si="1"/>
        <v>470122.56</v>
      </c>
      <c r="L72" s="83">
        <f t="shared" si="2"/>
        <v>154183.68</v>
      </c>
      <c r="M72" s="83">
        <f t="shared" si="3"/>
        <v>315938.88</v>
      </c>
      <c r="N72" s="46" t="str">
        <f>VLOOKUP(F72,products!$A$2:$B$13,2,FALSE)</f>
        <v>Clothes</v>
      </c>
      <c r="O72" s="46" t="s">
        <v>102</v>
      </c>
      <c r="P72" s="46">
        <f t="array" ref="P72">WEEKDAY(B72,2)</f>
        <v>3</v>
      </c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>
      <c r="A73" s="56">
        <v>1.41875827E8</v>
      </c>
      <c r="B73" s="126">
        <v>40615.0</v>
      </c>
      <c r="C73" s="126">
        <v>40649.0</v>
      </c>
      <c r="D73" s="56" t="s">
        <v>10</v>
      </c>
      <c r="E73" s="56" t="s">
        <v>106</v>
      </c>
      <c r="F73" s="56">
        <v>7940.0</v>
      </c>
      <c r="G73" s="56" t="s">
        <v>43</v>
      </c>
      <c r="H73" s="56">
        <v>3065.0</v>
      </c>
      <c r="I73" s="127">
        <v>668.27</v>
      </c>
      <c r="J73" s="127">
        <v>502.54</v>
      </c>
      <c r="K73" s="83">
        <f t="shared" si="1"/>
        <v>2048247.55</v>
      </c>
      <c r="L73" s="83">
        <f t="shared" si="2"/>
        <v>1540285.1</v>
      </c>
      <c r="M73" s="83">
        <f t="shared" si="3"/>
        <v>507962.45</v>
      </c>
      <c r="N73" s="46" t="str">
        <f>VLOOKUP(F73,products!$A$2:$B$13,2,FALSE)</f>
        <v>Household</v>
      </c>
      <c r="O73" s="46" t="s">
        <v>106</v>
      </c>
      <c r="P73" s="46">
        <f t="array" ref="P73">WEEKDAY(B73,2)</f>
        <v>7</v>
      </c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>
      <c r="A74" s="56">
        <v>1.42375361E8</v>
      </c>
      <c r="B74" s="126">
        <v>41678.0</v>
      </c>
      <c r="C74" s="126">
        <v>41689.0</v>
      </c>
      <c r="D74" s="56" t="s">
        <v>93</v>
      </c>
      <c r="E74" s="56" t="s">
        <v>129</v>
      </c>
      <c r="F74" s="56">
        <v>4594.0</v>
      </c>
      <c r="G74" s="56" t="s">
        <v>43</v>
      </c>
      <c r="H74" s="56">
        <v>888.0</v>
      </c>
      <c r="I74" s="127">
        <v>9.33</v>
      </c>
      <c r="J74" s="127">
        <v>6.92</v>
      </c>
      <c r="K74" s="83">
        <f t="shared" si="1"/>
        <v>8285.04</v>
      </c>
      <c r="L74" s="83">
        <f t="shared" si="2"/>
        <v>6144.96</v>
      </c>
      <c r="M74" s="83">
        <f t="shared" si="3"/>
        <v>2140.08</v>
      </c>
      <c r="N74" s="46" t="str">
        <f>VLOOKUP(F74,products!$A$2:$B$13,2,FALSE)</f>
        <v>Fruits</v>
      </c>
      <c r="O74" s="46" t="s">
        <v>129</v>
      </c>
      <c r="P74" s="46">
        <f t="array" ref="P74">WEEKDAY(B74,2)</f>
        <v>6</v>
      </c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>
      <c r="A75" s="56">
        <v>1.42987763E8</v>
      </c>
      <c r="B75" s="126">
        <v>41504.0</v>
      </c>
      <c r="C75" s="126">
        <v>41518.0</v>
      </c>
      <c r="D75" s="56" t="s">
        <v>93</v>
      </c>
      <c r="E75" s="56" t="s">
        <v>121</v>
      </c>
      <c r="F75" s="56">
        <v>7940.0</v>
      </c>
      <c r="G75" s="56" t="s">
        <v>42</v>
      </c>
      <c r="H75" s="56">
        <v>2112.0</v>
      </c>
      <c r="I75" s="127">
        <v>668.27</v>
      </c>
      <c r="J75" s="127">
        <v>502.54</v>
      </c>
      <c r="K75" s="83">
        <f t="shared" si="1"/>
        <v>1411386.24</v>
      </c>
      <c r="L75" s="83">
        <f t="shared" si="2"/>
        <v>1061364.48</v>
      </c>
      <c r="M75" s="83">
        <f t="shared" si="3"/>
        <v>350021.76</v>
      </c>
      <c r="N75" s="46" t="str">
        <f>VLOOKUP(F75,products!$A$2:$B$13,2,FALSE)</f>
        <v>Household</v>
      </c>
      <c r="O75" s="46" t="s">
        <v>121</v>
      </c>
      <c r="P75" s="46">
        <f t="array" ref="P75">WEEKDAY(B75,2)</f>
        <v>7</v>
      </c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>
      <c r="A76" s="56">
        <v>1.43414771E8</v>
      </c>
      <c r="B76" s="126">
        <v>41050.0</v>
      </c>
      <c r="C76" s="126">
        <v>41063.0</v>
      </c>
      <c r="D76" s="56" t="s">
        <v>95</v>
      </c>
      <c r="E76" s="56" t="s">
        <v>127</v>
      </c>
      <c r="F76" s="56">
        <v>7940.0</v>
      </c>
      <c r="G76" s="56" t="s">
        <v>42</v>
      </c>
      <c r="H76" s="56">
        <v>8473.0</v>
      </c>
      <c r="I76" s="127">
        <v>668.27</v>
      </c>
      <c r="J76" s="127">
        <v>502.54</v>
      </c>
      <c r="K76" s="83">
        <f t="shared" si="1"/>
        <v>5662251.71</v>
      </c>
      <c r="L76" s="83">
        <f t="shared" si="2"/>
        <v>4258021.42</v>
      </c>
      <c r="M76" s="83">
        <f t="shared" si="3"/>
        <v>1404230.29</v>
      </c>
      <c r="N76" s="46" t="str">
        <f>VLOOKUP(F76,products!$A$2:$B$13,2,FALSE)</f>
        <v>Household</v>
      </c>
      <c r="O76" s="46" t="s">
        <v>127</v>
      </c>
      <c r="P76" s="46">
        <f t="array" ref="P76">WEEKDAY(B76,2)</f>
        <v>1</v>
      </c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>
      <c r="A77" s="56">
        <v>1.44282948E8</v>
      </c>
      <c r="B77" s="126">
        <v>41468.0</v>
      </c>
      <c r="C77" s="126">
        <v>41487.0</v>
      </c>
      <c r="D77" s="56" t="s">
        <v>95</v>
      </c>
      <c r="E77" s="56" t="s">
        <v>130</v>
      </c>
      <c r="F77" s="56">
        <v>2103.0</v>
      </c>
      <c r="G77" s="56" t="s">
        <v>43</v>
      </c>
      <c r="H77" s="56">
        <v>5386.0</v>
      </c>
      <c r="I77" s="127">
        <v>205.7</v>
      </c>
      <c r="J77" s="127">
        <v>117.11</v>
      </c>
      <c r="K77" s="83">
        <f t="shared" si="1"/>
        <v>1107900.2</v>
      </c>
      <c r="L77" s="83">
        <f t="shared" si="2"/>
        <v>630754.46</v>
      </c>
      <c r="M77" s="83">
        <f t="shared" si="3"/>
        <v>477145.74</v>
      </c>
      <c r="N77" s="46" t="str">
        <f>VLOOKUP(F77,products!$A$2:$B$13,2,FALSE)</f>
        <v>Cereal</v>
      </c>
      <c r="O77" s="46" t="s">
        <v>130</v>
      </c>
      <c r="P77" s="46">
        <f t="array" ref="P77">WEEKDAY(B77,2)</f>
        <v>6</v>
      </c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>
      <c r="A78" s="56">
        <v>1.44743001E8</v>
      </c>
      <c r="B78" s="126">
        <v>41345.0</v>
      </c>
      <c r="C78" s="126">
        <v>41385.0</v>
      </c>
      <c r="D78" s="56" t="s">
        <v>89</v>
      </c>
      <c r="E78" s="56" t="s">
        <v>104</v>
      </c>
      <c r="F78" s="56">
        <v>7331.0</v>
      </c>
      <c r="G78" s="56" t="s">
        <v>42</v>
      </c>
      <c r="H78" s="56">
        <v>1525.0</v>
      </c>
      <c r="I78" s="127">
        <v>255.28</v>
      </c>
      <c r="J78" s="127">
        <v>159.42</v>
      </c>
      <c r="K78" s="83">
        <f t="shared" si="1"/>
        <v>389302</v>
      </c>
      <c r="L78" s="83">
        <f t="shared" si="2"/>
        <v>243115.5</v>
      </c>
      <c r="M78" s="83">
        <f t="shared" si="3"/>
        <v>146186.5</v>
      </c>
      <c r="N78" s="46" t="str">
        <f>VLOOKUP(F78,products!$A$2:$B$13,2,FALSE)</f>
        <v>Baby Food</v>
      </c>
      <c r="O78" s="46" t="s">
        <v>104</v>
      </c>
      <c r="P78" s="46">
        <f t="array" ref="P78">WEEKDAY(B78,2)</f>
        <v>2</v>
      </c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>
      <c r="A79" s="56">
        <v>1.44978606E8</v>
      </c>
      <c r="B79" s="126">
        <v>40549.0</v>
      </c>
      <c r="C79" s="126">
        <v>40593.0</v>
      </c>
      <c r="D79" s="56" t="s">
        <v>10</v>
      </c>
      <c r="E79" s="56" t="s">
        <v>127</v>
      </c>
      <c r="F79" s="56">
        <v>8681.0</v>
      </c>
      <c r="G79" s="56" t="s">
        <v>43</v>
      </c>
      <c r="H79" s="56">
        <v>1246.0</v>
      </c>
      <c r="I79" s="127">
        <v>651.21</v>
      </c>
      <c r="J79" s="127">
        <v>524.96</v>
      </c>
      <c r="K79" s="83">
        <f t="shared" si="1"/>
        <v>811407.66</v>
      </c>
      <c r="L79" s="83">
        <f t="shared" si="2"/>
        <v>654100.16</v>
      </c>
      <c r="M79" s="83">
        <f t="shared" si="3"/>
        <v>157307.5</v>
      </c>
      <c r="N79" s="46" t="str">
        <f>VLOOKUP(F79,products!$A$2:$B$13,2,FALSE)</f>
        <v>Office Supplies</v>
      </c>
      <c r="O79" s="46" t="s">
        <v>127</v>
      </c>
      <c r="P79" s="46">
        <f t="array" ref="P79">WEEKDAY(B79,2)</f>
        <v>4</v>
      </c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>
      <c r="A80" s="56">
        <v>1.46349751E8</v>
      </c>
      <c r="B80" s="126">
        <v>42856.0</v>
      </c>
      <c r="C80" s="126">
        <v>42899.0</v>
      </c>
      <c r="D80" s="56" t="s">
        <v>89</v>
      </c>
      <c r="E80" s="56" t="s">
        <v>110</v>
      </c>
      <c r="F80" s="56">
        <v>5988.0</v>
      </c>
      <c r="G80" s="56" t="s">
        <v>43</v>
      </c>
      <c r="H80" s="56">
        <v>6999.0</v>
      </c>
      <c r="I80" s="127">
        <v>154.06</v>
      </c>
      <c r="J80" s="127">
        <v>90.93</v>
      </c>
      <c r="K80" s="83">
        <f t="shared" si="1"/>
        <v>1078265.94</v>
      </c>
      <c r="L80" s="83">
        <f t="shared" si="2"/>
        <v>636419.07</v>
      </c>
      <c r="M80" s="83">
        <f t="shared" si="3"/>
        <v>441846.87</v>
      </c>
      <c r="N80" s="46" t="str">
        <f>VLOOKUP(F80,products!$A$2:$B$13,2,FALSE)</f>
        <v>Vegetables</v>
      </c>
      <c r="O80" s="46" t="s">
        <v>110</v>
      </c>
      <c r="P80" s="46">
        <f t="array" ref="P80">WEEKDAY(B80,2)</f>
        <v>1</v>
      </c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>
      <c r="A81" s="56">
        <v>1.46545875E8</v>
      </c>
      <c r="B81" s="126">
        <v>40874.0</v>
      </c>
      <c r="C81" s="126">
        <v>40915.0</v>
      </c>
      <c r="D81" s="56" t="s">
        <v>89</v>
      </c>
      <c r="E81" s="56" t="s">
        <v>96</v>
      </c>
      <c r="F81" s="56">
        <v>8293.0</v>
      </c>
      <c r="G81" s="56" t="s">
        <v>42</v>
      </c>
      <c r="H81" s="56">
        <v>5036.0</v>
      </c>
      <c r="I81" s="127">
        <v>437.2</v>
      </c>
      <c r="J81" s="127">
        <v>263.33</v>
      </c>
      <c r="K81" s="83">
        <f t="shared" si="1"/>
        <v>2201739.2</v>
      </c>
      <c r="L81" s="83">
        <f t="shared" si="2"/>
        <v>1326129.88</v>
      </c>
      <c r="M81" s="83">
        <f t="shared" si="3"/>
        <v>875609.32</v>
      </c>
      <c r="N81" s="46" t="str">
        <f>VLOOKUP(F81,products!$A$2:$B$13,2,FALSE)</f>
        <v>Cosmetics</v>
      </c>
      <c r="O81" s="46" t="s">
        <v>96</v>
      </c>
      <c r="P81" s="46">
        <f t="array" ref="P81">WEEKDAY(B81,2)</f>
        <v>7</v>
      </c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>
      <c r="A82" s="56">
        <v>1.47826898E8</v>
      </c>
      <c r="B82" s="126">
        <v>42276.0</v>
      </c>
      <c r="C82" s="126">
        <v>42313.0</v>
      </c>
      <c r="D82" s="56" t="s">
        <v>89</v>
      </c>
      <c r="E82" s="56" t="s">
        <v>109</v>
      </c>
      <c r="F82" s="56">
        <v>8293.0</v>
      </c>
      <c r="G82" s="56" t="s">
        <v>43</v>
      </c>
      <c r="H82" s="56">
        <v>4119.0</v>
      </c>
      <c r="I82" s="127">
        <v>437.2</v>
      </c>
      <c r="J82" s="127">
        <v>263.33</v>
      </c>
      <c r="K82" s="83">
        <f t="shared" si="1"/>
        <v>1800826.8</v>
      </c>
      <c r="L82" s="83">
        <f t="shared" si="2"/>
        <v>1084656.27</v>
      </c>
      <c r="M82" s="83">
        <f t="shared" si="3"/>
        <v>716170.53</v>
      </c>
      <c r="N82" s="46" t="str">
        <f>VLOOKUP(F82,products!$A$2:$B$13,2,FALSE)</f>
        <v>Cosmetics</v>
      </c>
      <c r="O82" s="46" t="s">
        <v>109</v>
      </c>
      <c r="P82" s="46">
        <f t="array" ref="P82">WEEKDAY(B82,2)</f>
        <v>2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>
      <c r="A83" s="56">
        <v>1.48894631E8</v>
      </c>
      <c r="B83" s="126">
        <v>41536.0</v>
      </c>
      <c r="C83" s="126">
        <v>41542.0</v>
      </c>
      <c r="D83" s="56" t="s">
        <v>95</v>
      </c>
      <c r="E83" s="56" t="s">
        <v>106</v>
      </c>
      <c r="F83" s="56">
        <v>8681.0</v>
      </c>
      <c r="G83" s="56" t="s">
        <v>43</v>
      </c>
      <c r="H83" s="56">
        <v>85.0</v>
      </c>
      <c r="I83" s="127">
        <v>651.21</v>
      </c>
      <c r="J83" s="127">
        <v>524.96</v>
      </c>
      <c r="K83" s="83">
        <f t="shared" si="1"/>
        <v>55352.85</v>
      </c>
      <c r="L83" s="83">
        <f t="shared" si="2"/>
        <v>44621.6</v>
      </c>
      <c r="M83" s="83">
        <f t="shared" si="3"/>
        <v>10731.25</v>
      </c>
      <c r="N83" s="46" t="str">
        <f>VLOOKUP(F83,products!$A$2:$B$13,2,FALSE)</f>
        <v>Office Supplies</v>
      </c>
      <c r="O83" s="46" t="s">
        <v>106</v>
      </c>
      <c r="P83" s="46">
        <f t="array" ref="P83">WEEKDAY(B83,2)</f>
        <v>4</v>
      </c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>
      <c r="A84" s="56">
        <v>1.49274003E8</v>
      </c>
      <c r="B84" s="126">
        <v>41393.0</v>
      </c>
      <c r="C84" s="126">
        <v>41423.0</v>
      </c>
      <c r="D84" s="56" t="s">
        <v>10</v>
      </c>
      <c r="E84" s="56" t="s">
        <v>90</v>
      </c>
      <c r="F84" s="56">
        <v>7940.0</v>
      </c>
      <c r="G84" s="56" t="s">
        <v>42</v>
      </c>
      <c r="H84" s="56">
        <v>2350.0</v>
      </c>
      <c r="I84" s="127">
        <v>668.27</v>
      </c>
      <c r="J84" s="127">
        <v>502.54</v>
      </c>
      <c r="K84" s="83">
        <f t="shared" si="1"/>
        <v>1570434.5</v>
      </c>
      <c r="L84" s="83">
        <f t="shared" si="2"/>
        <v>1180969</v>
      </c>
      <c r="M84" s="83">
        <f t="shared" si="3"/>
        <v>389465.5</v>
      </c>
      <c r="N84" s="46" t="str">
        <f>VLOOKUP(F84,products!$A$2:$B$13,2,FALSE)</f>
        <v>Household</v>
      </c>
      <c r="O84" s="46" t="s">
        <v>90</v>
      </c>
      <c r="P84" s="46">
        <f t="array" ref="P84">WEEKDAY(B84,2)</f>
        <v>1</v>
      </c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>
      <c r="A85" s="56">
        <v>1.50293242E8</v>
      </c>
      <c r="B85" s="126">
        <v>42143.0</v>
      </c>
      <c r="C85" s="126">
        <v>42176.0</v>
      </c>
      <c r="D85" s="56" t="s">
        <v>95</v>
      </c>
      <c r="E85" s="56" t="e">
        <v>#N/A</v>
      </c>
      <c r="F85" s="56">
        <v>8681.0</v>
      </c>
      <c r="G85" s="56" t="s">
        <v>42</v>
      </c>
      <c r="H85" s="56">
        <v>3965.0</v>
      </c>
      <c r="I85" s="127">
        <v>651.21</v>
      </c>
      <c r="J85" s="127">
        <v>524.96</v>
      </c>
      <c r="K85" s="83">
        <f t="shared" si="1"/>
        <v>2582047.65</v>
      </c>
      <c r="L85" s="83">
        <f t="shared" si="2"/>
        <v>2081466.4</v>
      </c>
      <c r="M85" s="83">
        <f t="shared" si="3"/>
        <v>500581.25</v>
      </c>
      <c r="N85" s="46" t="str">
        <f>VLOOKUP(F85,products!$A$2:$B$13,2,FALSE)</f>
        <v>Office Supplies</v>
      </c>
      <c r="O85" s="46" t="s">
        <v>92</v>
      </c>
      <c r="P85" s="46">
        <f t="array" ref="P85">WEEKDAY(B85,2)</f>
        <v>2</v>
      </c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>
      <c r="A86" s="56">
        <v>1.51312482E8</v>
      </c>
      <c r="B86" s="126">
        <v>42892.0</v>
      </c>
      <c r="C86" s="126">
        <v>42928.0</v>
      </c>
      <c r="D86" s="56" t="s">
        <v>95</v>
      </c>
      <c r="E86" s="56" t="s">
        <v>114</v>
      </c>
      <c r="F86" s="56">
        <v>8293.0</v>
      </c>
      <c r="G86" s="56" t="s">
        <v>43</v>
      </c>
      <c r="H86" s="56">
        <v>5581.0</v>
      </c>
      <c r="I86" s="127">
        <v>437.2</v>
      </c>
      <c r="J86" s="127">
        <v>263.33</v>
      </c>
      <c r="K86" s="83">
        <f t="shared" si="1"/>
        <v>2440013.2</v>
      </c>
      <c r="L86" s="83">
        <f t="shared" si="2"/>
        <v>1469644.73</v>
      </c>
      <c r="M86" s="83">
        <f t="shared" si="3"/>
        <v>970368.47</v>
      </c>
      <c r="N86" s="46" t="str">
        <f>VLOOKUP(F86,products!$A$2:$B$13,2,FALSE)</f>
        <v>Cosmetics</v>
      </c>
      <c r="O86" s="46" t="s">
        <v>114</v>
      </c>
      <c r="P86" s="46">
        <f t="array" ref="P86">WEEKDAY(B86,2)</f>
        <v>2</v>
      </c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>
      <c r="A87" s="56">
        <v>1.52191388E8</v>
      </c>
      <c r="B87" s="126">
        <v>41047.0</v>
      </c>
      <c r="C87" s="126">
        <v>41082.0</v>
      </c>
      <c r="D87" s="56" t="s">
        <v>93</v>
      </c>
      <c r="E87" s="56" t="s">
        <v>131</v>
      </c>
      <c r="F87" s="56">
        <v>7331.0</v>
      </c>
      <c r="G87" s="56" t="s">
        <v>42</v>
      </c>
      <c r="H87" s="56">
        <v>5669.0</v>
      </c>
      <c r="I87" s="127">
        <v>255.28</v>
      </c>
      <c r="J87" s="127">
        <v>159.42</v>
      </c>
      <c r="K87" s="83">
        <f t="shared" si="1"/>
        <v>1447182.32</v>
      </c>
      <c r="L87" s="83">
        <f t="shared" si="2"/>
        <v>903751.98</v>
      </c>
      <c r="M87" s="83">
        <f t="shared" si="3"/>
        <v>543430.34</v>
      </c>
      <c r="N87" s="46" t="str">
        <f>VLOOKUP(F87,products!$A$2:$B$13,2,FALSE)</f>
        <v>Baby Food</v>
      </c>
      <c r="O87" s="46" t="s">
        <v>131</v>
      </c>
      <c r="P87" s="46">
        <f t="array" ref="P87">WEEKDAY(B87,2)</f>
        <v>5</v>
      </c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>
      <c r="A88" s="56">
        <v>1.52411115E8</v>
      </c>
      <c r="B88" s="126">
        <v>41278.0</v>
      </c>
      <c r="C88" s="126">
        <v>41326.0</v>
      </c>
      <c r="D88" s="56" t="s">
        <v>95</v>
      </c>
      <c r="E88" s="56" t="s">
        <v>132</v>
      </c>
      <c r="F88" s="56">
        <v>8875.0</v>
      </c>
      <c r="G88" s="56" t="s">
        <v>43</v>
      </c>
      <c r="H88" s="56">
        <v>691.0</v>
      </c>
      <c r="I88" s="127">
        <v>421.89</v>
      </c>
      <c r="J88" s="127">
        <v>364.69</v>
      </c>
      <c r="K88" s="83">
        <f t="shared" si="1"/>
        <v>291525.99</v>
      </c>
      <c r="L88" s="83">
        <f t="shared" si="2"/>
        <v>252000.79</v>
      </c>
      <c r="M88" s="83">
        <f t="shared" si="3"/>
        <v>39525.2</v>
      </c>
      <c r="N88" s="46" t="str">
        <f>VLOOKUP(F88,products!$A$2:$B$13,2,FALSE)</f>
        <v>Meat</v>
      </c>
      <c r="O88" s="46" t="s">
        <v>132</v>
      </c>
      <c r="P88" s="46">
        <f t="array" ref="P88">WEEKDAY(B88,2)</f>
        <v>5</v>
      </c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>
      <c r="A89" s="56">
        <v>1.52505099E8</v>
      </c>
      <c r="B89" s="126">
        <v>41036.0</v>
      </c>
      <c r="C89" s="126">
        <v>41048.0</v>
      </c>
      <c r="D89" s="56" t="s">
        <v>89</v>
      </c>
      <c r="E89" s="56" t="s">
        <v>120</v>
      </c>
      <c r="F89" s="56">
        <v>2455.0</v>
      </c>
      <c r="G89" s="56" t="s">
        <v>42</v>
      </c>
      <c r="H89" s="56">
        <v>8503.0</v>
      </c>
      <c r="I89" s="127">
        <v>109.28</v>
      </c>
      <c r="J89" s="127">
        <v>35.84</v>
      </c>
      <c r="K89" s="83">
        <f t="shared" si="1"/>
        <v>929207.84</v>
      </c>
      <c r="L89" s="83">
        <f t="shared" si="2"/>
        <v>304747.52</v>
      </c>
      <c r="M89" s="83">
        <f t="shared" si="3"/>
        <v>624460.32</v>
      </c>
      <c r="N89" s="46" t="str">
        <f>VLOOKUP(F89,products!$A$2:$B$13,2,FALSE)</f>
        <v>Clothes</v>
      </c>
      <c r="O89" s="46" t="s">
        <v>120</v>
      </c>
      <c r="P89" s="46">
        <f t="array" ref="P89">WEEKDAY(B89,2)</f>
        <v>1</v>
      </c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>
      <c r="A90" s="56">
        <v>1.52746713E8</v>
      </c>
      <c r="B90" s="126">
        <v>40300.0</v>
      </c>
      <c r="C90" s="126">
        <v>40306.0</v>
      </c>
      <c r="D90" s="56" t="s">
        <v>10</v>
      </c>
      <c r="E90" s="56" t="s">
        <v>133</v>
      </c>
      <c r="F90" s="56">
        <v>8681.0</v>
      </c>
      <c r="G90" s="56" t="s">
        <v>42</v>
      </c>
      <c r="H90" s="56">
        <v>2.0</v>
      </c>
      <c r="I90" s="127">
        <v>651.21</v>
      </c>
      <c r="J90" s="127">
        <v>524.96</v>
      </c>
      <c r="K90" s="83">
        <f t="shared" si="1"/>
        <v>1302.42</v>
      </c>
      <c r="L90" s="83">
        <f t="shared" si="2"/>
        <v>1049.92</v>
      </c>
      <c r="M90" s="83">
        <f t="shared" si="3"/>
        <v>252.5</v>
      </c>
      <c r="N90" s="46" t="str">
        <f>VLOOKUP(F90,products!$A$2:$B$13,2,FALSE)</f>
        <v>Office Supplies</v>
      </c>
      <c r="O90" s="46" t="s">
        <v>133</v>
      </c>
      <c r="P90" s="46">
        <f t="array" ref="P90">WEEKDAY(B90,2)</f>
        <v>7</v>
      </c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>
      <c r="A91" s="56">
        <v>1.5397495E8</v>
      </c>
      <c r="B91" s="126">
        <v>40777.0</v>
      </c>
      <c r="C91" s="126">
        <v>40806.0</v>
      </c>
      <c r="D91" s="56" t="s">
        <v>93</v>
      </c>
      <c r="E91" s="56" t="s">
        <v>132</v>
      </c>
      <c r="F91" s="56">
        <v>4594.0</v>
      </c>
      <c r="G91" s="56" t="s">
        <v>42</v>
      </c>
      <c r="H91" s="56">
        <v>3464.0</v>
      </c>
      <c r="I91" s="127">
        <v>9.33</v>
      </c>
      <c r="J91" s="127">
        <v>6.92</v>
      </c>
      <c r="K91" s="83">
        <f t="shared" si="1"/>
        <v>32319.12</v>
      </c>
      <c r="L91" s="83">
        <f t="shared" si="2"/>
        <v>23970.88</v>
      </c>
      <c r="M91" s="83">
        <f t="shared" si="3"/>
        <v>8348.24</v>
      </c>
      <c r="N91" s="46" t="str">
        <f>VLOOKUP(F91,products!$A$2:$B$13,2,FALSE)</f>
        <v>Fruits</v>
      </c>
      <c r="O91" s="46" t="s">
        <v>132</v>
      </c>
      <c r="P91" s="46">
        <f t="array" ref="P91">WEEKDAY(B91,2)</f>
        <v>1</v>
      </c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>
      <c r="A92" s="56">
        <v>1.55086886E8</v>
      </c>
      <c r="B92" s="126">
        <v>41667.0</v>
      </c>
      <c r="C92" s="126">
        <v>41675.0</v>
      </c>
      <c r="D92" s="56" t="s">
        <v>89</v>
      </c>
      <c r="E92" s="56" t="s">
        <v>104</v>
      </c>
      <c r="F92" s="56">
        <v>8293.0</v>
      </c>
      <c r="G92" s="56" t="s">
        <v>42</v>
      </c>
      <c r="H92" s="56">
        <v>2511.0</v>
      </c>
      <c r="I92" s="127">
        <v>437.2</v>
      </c>
      <c r="J92" s="127">
        <v>263.33</v>
      </c>
      <c r="K92" s="83">
        <f t="shared" si="1"/>
        <v>1097809.2</v>
      </c>
      <c r="L92" s="83">
        <f t="shared" si="2"/>
        <v>661221.63</v>
      </c>
      <c r="M92" s="83">
        <f t="shared" si="3"/>
        <v>436587.57</v>
      </c>
      <c r="N92" s="46" t="str">
        <f>VLOOKUP(F92,products!$A$2:$B$13,2,FALSE)</f>
        <v>Cosmetics</v>
      </c>
      <c r="O92" s="46" t="s">
        <v>104</v>
      </c>
      <c r="P92" s="46">
        <f t="array" ref="P92">WEEKDAY(B92,2)</f>
        <v>2</v>
      </c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>
      <c r="A93" s="56">
        <v>1.55914723E8</v>
      </c>
      <c r="B93" s="126">
        <v>42075.0</v>
      </c>
      <c r="C93" s="126">
        <v>42092.0</v>
      </c>
      <c r="D93" s="56" t="s">
        <v>95</v>
      </c>
      <c r="E93" s="56" t="s">
        <v>127</v>
      </c>
      <c r="F93" s="56">
        <v>4594.0</v>
      </c>
      <c r="G93" s="56" t="s">
        <v>42</v>
      </c>
      <c r="H93" s="56">
        <v>7486.0</v>
      </c>
      <c r="I93" s="127">
        <v>9.33</v>
      </c>
      <c r="J93" s="127">
        <v>6.92</v>
      </c>
      <c r="K93" s="83">
        <f t="shared" si="1"/>
        <v>69844.38</v>
      </c>
      <c r="L93" s="83">
        <f t="shared" si="2"/>
        <v>51803.12</v>
      </c>
      <c r="M93" s="83">
        <f t="shared" si="3"/>
        <v>18041.26</v>
      </c>
      <c r="N93" s="46" t="str">
        <f>VLOOKUP(F93,products!$A$2:$B$13,2,FALSE)</f>
        <v>Fruits</v>
      </c>
      <c r="O93" s="46" t="s">
        <v>127</v>
      </c>
      <c r="P93" s="46">
        <f t="array" ref="P93">WEEKDAY(B93,2)</f>
        <v>4</v>
      </c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>
      <c r="A94" s="56">
        <v>1.56158483E8</v>
      </c>
      <c r="B94" s="126">
        <v>42547.0</v>
      </c>
      <c r="C94" s="126">
        <v>42587.0</v>
      </c>
      <c r="D94" s="56" t="s">
        <v>10</v>
      </c>
      <c r="E94" s="56" t="s">
        <v>110</v>
      </c>
      <c r="F94" s="56">
        <v>2455.0</v>
      </c>
      <c r="G94" s="56" t="s">
        <v>42</v>
      </c>
      <c r="H94" s="56">
        <v>9620.0</v>
      </c>
      <c r="I94" s="127">
        <v>109.28</v>
      </c>
      <c r="J94" s="127">
        <v>35.84</v>
      </c>
      <c r="K94" s="83">
        <f t="shared" si="1"/>
        <v>1051273.6</v>
      </c>
      <c r="L94" s="83">
        <f t="shared" si="2"/>
        <v>344780.8</v>
      </c>
      <c r="M94" s="83">
        <f t="shared" si="3"/>
        <v>706492.8</v>
      </c>
      <c r="N94" s="46" t="str">
        <f>VLOOKUP(F94,products!$A$2:$B$13,2,FALSE)</f>
        <v>Clothes</v>
      </c>
      <c r="O94" s="46" t="s">
        <v>110</v>
      </c>
      <c r="P94" s="46">
        <f t="array" ref="P94">WEEKDAY(B94,2)</f>
        <v>7</v>
      </c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>
      <c r="A95" s="56">
        <v>1.58479773E8</v>
      </c>
      <c r="B95" s="126">
        <v>42143.0</v>
      </c>
      <c r="C95" s="126">
        <v>42173.0</v>
      </c>
      <c r="D95" s="56" t="s">
        <v>93</v>
      </c>
      <c r="E95" s="56" t="s">
        <v>111</v>
      </c>
      <c r="F95" s="56">
        <v>7331.0</v>
      </c>
      <c r="G95" s="56" t="s">
        <v>42</v>
      </c>
      <c r="H95" s="56">
        <v>6542.0</v>
      </c>
      <c r="I95" s="127">
        <v>255.28</v>
      </c>
      <c r="J95" s="127">
        <v>159.42</v>
      </c>
      <c r="K95" s="83">
        <f t="shared" si="1"/>
        <v>1670041.76</v>
      </c>
      <c r="L95" s="83">
        <f t="shared" si="2"/>
        <v>1042925.64</v>
      </c>
      <c r="M95" s="83">
        <f t="shared" si="3"/>
        <v>627116.12</v>
      </c>
      <c r="N95" s="46" t="str">
        <f>VLOOKUP(F95,products!$A$2:$B$13,2,FALSE)</f>
        <v>Baby Food</v>
      </c>
      <c r="O95" s="46" t="s">
        <v>111</v>
      </c>
      <c r="P95" s="46">
        <f t="array" ref="P95">WEEKDAY(B95,2)</f>
        <v>2</v>
      </c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>
      <c r="A96" s="56">
        <v>1.58673751E8</v>
      </c>
      <c r="B96" s="126">
        <v>41720.0</v>
      </c>
      <c r="C96" s="126">
        <v>41769.0</v>
      </c>
      <c r="D96" s="56" t="s">
        <v>95</v>
      </c>
      <c r="E96" s="56" t="s">
        <v>100</v>
      </c>
      <c r="F96" s="56">
        <v>8969.0</v>
      </c>
      <c r="G96" s="56" t="s">
        <v>43</v>
      </c>
      <c r="H96" s="56">
        <v>3944.0</v>
      </c>
      <c r="I96" s="127">
        <v>152.58</v>
      </c>
      <c r="J96" s="127">
        <v>97.44</v>
      </c>
      <c r="K96" s="83">
        <f t="shared" si="1"/>
        <v>601775.52</v>
      </c>
      <c r="L96" s="83">
        <f t="shared" si="2"/>
        <v>384303.36</v>
      </c>
      <c r="M96" s="83">
        <f t="shared" si="3"/>
        <v>217472.16</v>
      </c>
      <c r="N96" s="46" t="str">
        <f>VLOOKUP(F96,products!$A$2:$B$13,2,FALSE)</f>
        <v>Snacks</v>
      </c>
      <c r="O96" s="46" t="s">
        <v>100</v>
      </c>
      <c r="P96" s="46">
        <f t="array" ref="P96">WEEKDAY(B96,2)</f>
        <v>6</v>
      </c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>
      <c r="A97" s="56">
        <v>1.59232509E8</v>
      </c>
      <c r="B97" s="126">
        <v>41798.0</v>
      </c>
      <c r="C97" s="126">
        <v>41834.0</v>
      </c>
      <c r="D97" s="56" t="s">
        <v>95</v>
      </c>
      <c r="E97" s="56" t="s">
        <v>122</v>
      </c>
      <c r="F97" s="56">
        <v>4594.0</v>
      </c>
      <c r="G97" s="56" t="s">
        <v>43</v>
      </c>
      <c r="H97" s="56">
        <v>9293.0</v>
      </c>
      <c r="I97" s="127">
        <v>9.33</v>
      </c>
      <c r="J97" s="127">
        <v>6.92</v>
      </c>
      <c r="K97" s="83">
        <f t="shared" si="1"/>
        <v>86703.69</v>
      </c>
      <c r="L97" s="83">
        <f t="shared" si="2"/>
        <v>64307.56</v>
      </c>
      <c r="M97" s="83">
        <f t="shared" si="3"/>
        <v>22396.13</v>
      </c>
      <c r="N97" s="46" t="str">
        <f>VLOOKUP(F97,products!$A$2:$B$13,2,FALSE)</f>
        <v>Fruits</v>
      </c>
      <c r="O97" s="46" t="s">
        <v>122</v>
      </c>
      <c r="P97" s="46">
        <f t="array" ref="P97">WEEKDAY(B97,2)</f>
        <v>7</v>
      </c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>
      <c r="A98" s="56">
        <v>1.59805858E8</v>
      </c>
      <c r="B98" s="126">
        <v>41232.0</v>
      </c>
      <c r="C98" s="126">
        <v>41260.0</v>
      </c>
      <c r="D98" s="56" t="s">
        <v>89</v>
      </c>
      <c r="E98" s="56" t="e">
        <v>#N/A</v>
      </c>
      <c r="F98" s="56">
        <v>8875.0</v>
      </c>
      <c r="G98" s="56" t="s">
        <v>42</v>
      </c>
      <c r="H98" s="56">
        <v>8959.0</v>
      </c>
      <c r="I98" s="127">
        <v>421.89</v>
      </c>
      <c r="J98" s="127">
        <v>364.69</v>
      </c>
      <c r="K98" s="83">
        <f t="shared" si="1"/>
        <v>3779712.51</v>
      </c>
      <c r="L98" s="83">
        <f t="shared" si="2"/>
        <v>3267257.71</v>
      </c>
      <c r="M98" s="83">
        <f t="shared" si="3"/>
        <v>512454.8</v>
      </c>
      <c r="N98" s="46" t="str">
        <f>VLOOKUP(F98,products!$A$2:$B$13,2,FALSE)</f>
        <v>Meat</v>
      </c>
      <c r="O98" s="46" t="s">
        <v>92</v>
      </c>
      <c r="P98" s="46">
        <f t="array" ref="P98">WEEKDAY(B98,2)</f>
        <v>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>
      <c r="A99" s="56">
        <v>1.60578763E8</v>
      </c>
      <c r="B99" s="126">
        <v>42274.0</v>
      </c>
      <c r="C99" s="126">
        <v>42307.0</v>
      </c>
      <c r="D99" s="56" t="s">
        <v>93</v>
      </c>
      <c r="E99" s="56" t="s">
        <v>105</v>
      </c>
      <c r="F99" s="56">
        <v>8681.0</v>
      </c>
      <c r="G99" s="56" t="s">
        <v>43</v>
      </c>
      <c r="H99" s="56">
        <v>7679.0</v>
      </c>
      <c r="I99" s="127">
        <v>651.21</v>
      </c>
      <c r="J99" s="127">
        <v>524.96</v>
      </c>
      <c r="K99" s="83">
        <f t="shared" si="1"/>
        <v>5000641.59</v>
      </c>
      <c r="L99" s="83">
        <f t="shared" si="2"/>
        <v>4031167.84</v>
      </c>
      <c r="M99" s="83">
        <f t="shared" si="3"/>
        <v>969473.75</v>
      </c>
      <c r="N99" s="46" t="str">
        <f>VLOOKUP(F99,products!$A$2:$B$13,2,FALSE)</f>
        <v>Office Supplies</v>
      </c>
      <c r="O99" s="46" t="s">
        <v>105</v>
      </c>
      <c r="P99" s="46">
        <f t="array" ref="P99">WEEKDAY(B99,2)</f>
        <v>7</v>
      </c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>
      <c r="A100" s="56">
        <v>1.60751283E8</v>
      </c>
      <c r="B100" s="126">
        <v>40845.0</v>
      </c>
      <c r="C100" s="126">
        <v>40860.0</v>
      </c>
      <c r="D100" s="56" t="s">
        <v>10</v>
      </c>
      <c r="E100" s="56" t="s">
        <v>124</v>
      </c>
      <c r="F100" s="56">
        <v>3127.0</v>
      </c>
      <c r="G100" s="56" t="s">
        <v>42</v>
      </c>
      <c r="H100" s="56">
        <v>8732.0</v>
      </c>
      <c r="I100" s="127">
        <v>81.73</v>
      </c>
      <c r="J100" s="127">
        <v>56.67</v>
      </c>
      <c r="K100" s="83">
        <f t="shared" si="1"/>
        <v>713666.36</v>
      </c>
      <c r="L100" s="83">
        <f t="shared" si="2"/>
        <v>494842.44</v>
      </c>
      <c r="M100" s="83">
        <f t="shared" si="3"/>
        <v>218823.92</v>
      </c>
      <c r="N100" s="46" t="str">
        <f>VLOOKUP(F100,products!$A$2:$B$13,2,FALSE)</f>
        <v>Personal Care</v>
      </c>
      <c r="O100" s="46" t="s">
        <v>124</v>
      </c>
      <c r="P100" s="46">
        <f t="array" ref="P100">WEEKDAY(B100,2)</f>
        <v>6</v>
      </c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>
      <c r="A101" s="56">
        <v>1.61399304E8</v>
      </c>
      <c r="B101" s="126">
        <v>40238.0</v>
      </c>
      <c r="C101" s="126">
        <v>40252.0</v>
      </c>
      <c r="D101" s="56" t="s">
        <v>93</v>
      </c>
      <c r="E101" s="56" t="s">
        <v>96</v>
      </c>
      <c r="F101" s="56">
        <v>8293.0</v>
      </c>
      <c r="G101" s="56" t="s">
        <v>134</v>
      </c>
      <c r="H101" s="56">
        <v>496.0</v>
      </c>
      <c r="I101" s="127">
        <v>437.2</v>
      </c>
      <c r="J101" s="127">
        <v>263.33</v>
      </c>
      <c r="K101" s="83">
        <f t="shared" si="1"/>
        <v>216851.2</v>
      </c>
      <c r="L101" s="83">
        <f t="shared" si="2"/>
        <v>130611.68</v>
      </c>
      <c r="M101" s="83">
        <f t="shared" si="3"/>
        <v>86239.52</v>
      </c>
      <c r="N101" s="46" t="str">
        <f>VLOOKUP(F101,products!$A$2:$B$13,2,FALSE)</f>
        <v>Cosmetics</v>
      </c>
      <c r="O101" s="46" t="s">
        <v>96</v>
      </c>
      <c r="P101" s="46">
        <f t="array" ref="P101">WEEKDAY(B101,2)</f>
        <v>1</v>
      </c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>
      <c r="A102" s="56">
        <v>1.61607444E8</v>
      </c>
      <c r="B102" s="126">
        <v>41143.0</v>
      </c>
      <c r="C102" s="126">
        <v>41185.0</v>
      </c>
      <c r="D102" s="56" t="s">
        <v>93</v>
      </c>
      <c r="E102" s="56" t="s">
        <v>105</v>
      </c>
      <c r="F102" s="56">
        <v>8875.0</v>
      </c>
      <c r="G102" s="56" t="s">
        <v>42</v>
      </c>
      <c r="H102" s="56">
        <v>2089.0</v>
      </c>
      <c r="I102" s="127">
        <v>421.89</v>
      </c>
      <c r="J102" s="127">
        <v>364.69</v>
      </c>
      <c r="K102" s="83">
        <f t="shared" si="1"/>
        <v>881328.21</v>
      </c>
      <c r="L102" s="83">
        <f t="shared" si="2"/>
        <v>761837.41</v>
      </c>
      <c r="M102" s="83">
        <f t="shared" si="3"/>
        <v>119490.8</v>
      </c>
      <c r="N102" s="46" t="str">
        <f>VLOOKUP(F102,products!$A$2:$B$13,2,FALSE)</f>
        <v>Meat</v>
      </c>
      <c r="O102" s="46" t="s">
        <v>105</v>
      </c>
      <c r="P102" s="46">
        <f t="array" ref="P102">WEEKDAY(B102,2)</f>
        <v>3</v>
      </c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>
      <c r="A103" s="56">
        <v>1.6181215E8</v>
      </c>
      <c r="B103" s="126">
        <v>41222.0</v>
      </c>
      <c r="C103" s="126">
        <v>41225.0</v>
      </c>
      <c r="D103" s="56" t="s">
        <v>10</v>
      </c>
      <c r="E103" s="56" t="s">
        <v>135</v>
      </c>
      <c r="F103" s="56">
        <v>2455.0</v>
      </c>
      <c r="G103" s="56" t="s">
        <v>43</v>
      </c>
      <c r="H103" s="56">
        <v>2666.0</v>
      </c>
      <c r="I103" s="127">
        <v>109.28</v>
      </c>
      <c r="J103" s="127">
        <v>35.84</v>
      </c>
      <c r="K103" s="83">
        <f t="shared" si="1"/>
        <v>291340.48</v>
      </c>
      <c r="L103" s="83">
        <f t="shared" si="2"/>
        <v>95549.44</v>
      </c>
      <c r="M103" s="83">
        <f t="shared" si="3"/>
        <v>195791.04</v>
      </c>
      <c r="N103" s="46" t="str">
        <f>VLOOKUP(F103,products!$A$2:$B$13,2,FALSE)</f>
        <v>Clothes</v>
      </c>
      <c r="O103" s="46" t="s">
        <v>135</v>
      </c>
      <c r="P103" s="46">
        <f t="array" ref="P103">WEEKDAY(B103,2)</f>
        <v>5</v>
      </c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>
      <c r="A104" s="56">
        <v>1.62791907E8</v>
      </c>
      <c r="B104" s="126">
        <v>40785.0</v>
      </c>
      <c r="C104" s="126">
        <v>40835.0</v>
      </c>
      <c r="D104" s="56" t="s">
        <v>89</v>
      </c>
      <c r="E104" s="56" t="s">
        <v>111</v>
      </c>
      <c r="F104" s="56">
        <v>1270.0</v>
      </c>
      <c r="G104" s="56" t="s">
        <v>42</v>
      </c>
      <c r="H104" s="56">
        <v>2598.0</v>
      </c>
      <c r="I104" s="127">
        <v>47.45</v>
      </c>
      <c r="J104" s="127">
        <v>31.79</v>
      </c>
      <c r="K104" s="83">
        <f t="shared" si="1"/>
        <v>123275.1</v>
      </c>
      <c r="L104" s="83">
        <f t="shared" si="2"/>
        <v>82590.42</v>
      </c>
      <c r="M104" s="83">
        <f t="shared" si="3"/>
        <v>40684.68</v>
      </c>
      <c r="N104" s="46" t="str">
        <f>VLOOKUP(F104,products!$A$2:$B$13,2,FALSE)</f>
        <v>Beverages</v>
      </c>
      <c r="O104" s="46" t="s">
        <v>111</v>
      </c>
      <c r="P104" s="46">
        <f t="array" ref="P104">WEEKDAY(B104,2)</f>
        <v>2</v>
      </c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>
      <c r="A105" s="56">
        <v>1.63587558E8</v>
      </c>
      <c r="B105" s="126">
        <v>42451.0</v>
      </c>
      <c r="C105" s="126">
        <v>42479.0</v>
      </c>
      <c r="D105" s="56" t="s">
        <v>89</v>
      </c>
      <c r="E105" s="56" t="s">
        <v>119</v>
      </c>
      <c r="F105" s="56">
        <v>8969.0</v>
      </c>
      <c r="G105" s="56" t="s">
        <v>42</v>
      </c>
      <c r="H105" s="56">
        <v>8048.0</v>
      </c>
      <c r="I105" s="127">
        <v>152.58</v>
      </c>
      <c r="J105" s="127">
        <v>97.44</v>
      </c>
      <c r="K105" s="83">
        <f t="shared" si="1"/>
        <v>1227963.84</v>
      </c>
      <c r="L105" s="83">
        <f t="shared" si="2"/>
        <v>784197.12</v>
      </c>
      <c r="M105" s="83">
        <f t="shared" si="3"/>
        <v>443766.72</v>
      </c>
      <c r="N105" s="46" t="str">
        <f>VLOOKUP(F105,products!$A$2:$B$13,2,FALSE)</f>
        <v>Snacks</v>
      </c>
      <c r="O105" s="46" t="s">
        <v>119</v>
      </c>
      <c r="P105" s="46">
        <f t="array" ref="P105">WEEKDAY(B105,2)</f>
        <v>2</v>
      </c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>
      <c r="A106" s="56">
        <v>1.63744628E8</v>
      </c>
      <c r="B106" s="126">
        <v>42842.0</v>
      </c>
      <c r="C106" s="126">
        <v>42856.0</v>
      </c>
      <c r="D106" s="56" t="s">
        <v>93</v>
      </c>
      <c r="E106" s="56" t="s">
        <v>130</v>
      </c>
      <c r="F106" s="56">
        <v>8681.0</v>
      </c>
      <c r="G106" s="56" t="s">
        <v>42</v>
      </c>
      <c r="H106" s="56">
        <v>4529.0</v>
      </c>
      <c r="I106" s="127">
        <v>651.21</v>
      </c>
      <c r="J106" s="127">
        <v>524.96</v>
      </c>
      <c r="K106" s="83">
        <f t="shared" si="1"/>
        <v>2949330.09</v>
      </c>
      <c r="L106" s="83">
        <f t="shared" si="2"/>
        <v>2377543.84</v>
      </c>
      <c r="M106" s="83">
        <f t="shared" si="3"/>
        <v>571786.25</v>
      </c>
      <c r="N106" s="46" t="str">
        <f>VLOOKUP(F106,products!$A$2:$B$13,2,FALSE)</f>
        <v>Office Supplies</v>
      </c>
      <c r="O106" s="46" t="s">
        <v>130</v>
      </c>
      <c r="P106" s="46">
        <f t="array" ref="P106">WEEKDAY(B106,2)</f>
        <v>1</v>
      </c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>
      <c r="A107" s="56">
        <v>1.64259612E8</v>
      </c>
      <c r="B107" s="126">
        <v>42085.0</v>
      </c>
      <c r="C107" s="126">
        <v>42123.0</v>
      </c>
      <c r="D107" s="56" t="s">
        <v>89</v>
      </c>
      <c r="E107" s="56" t="s">
        <v>109</v>
      </c>
      <c r="F107" s="56">
        <v>8875.0</v>
      </c>
      <c r="G107" s="56" t="s">
        <v>42</v>
      </c>
      <c r="H107" s="56">
        <v>6924.0</v>
      </c>
      <c r="I107" s="127">
        <v>421.89</v>
      </c>
      <c r="J107" s="127">
        <v>364.69</v>
      </c>
      <c r="K107" s="83">
        <f t="shared" si="1"/>
        <v>2921166.36</v>
      </c>
      <c r="L107" s="83">
        <f t="shared" si="2"/>
        <v>2525113.56</v>
      </c>
      <c r="M107" s="83">
        <f t="shared" si="3"/>
        <v>396052.8</v>
      </c>
      <c r="N107" s="46" t="str">
        <f>VLOOKUP(F107,products!$A$2:$B$13,2,FALSE)</f>
        <v>Meat</v>
      </c>
      <c r="O107" s="46" t="s">
        <v>109</v>
      </c>
      <c r="P107" s="46">
        <f t="array" ref="P107">WEEKDAY(B107,2)</f>
        <v>7</v>
      </c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>
      <c r="A108" s="56">
        <v>1.668105E8</v>
      </c>
      <c r="B108" s="126">
        <v>40826.0</v>
      </c>
      <c r="C108" s="126">
        <v>40868.0</v>
      </c>
      <c r="D108" s="56" t="s">
        <v>89</v>
      </c>
      <c r="E108" s="56" t="s">
        <v>133</v>
      </c>
      <c r="F108" s="56">
        <v>2455.0</v>
      </c>
      <c r="G108" s="56" t="s">
        <v>43</v>
      </c>
      <c r="H108" s="56">
        <v>1789.0</v>
      </c>
      <c r="I108" s="127">
        <v>109.28</v>
      </c>
      <c r="J108" s="127">
        <v>35.84</v>
      </c>
      <c r="K108" s="83">
        <f t="shared" si="1"/>
        <v>195501.92</v>
      </c>
      <c r="L108" s="83">
        <f t="shared" si="2"/>
        <v>64117.76</v>
      </c>
      <c r="M108" s="83">
        <f t="shared" si="3"/>
        <v>131384.16</v>
      </c>
      <c r="N108" s="46" t="str">
        <f>VLOOKUP(F108,products!$A$2:$B$13,2,FALSE)</f>
        <v>Clothes</v>
      </c>
      <c r="O108" s="46" t="s">
        <v>133</v>
      </c>
      <c r="P108" s="46">
        <f t="array" ref="P108">WEEKDAY(B108,2)</f>
        <v>1</v>
      </c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>
      <c r="A109" s="56">
        <v>1.68319404E8</v>
      </c>
      <c r="B109" s="126">
        <v>40959.0</v>
      </c>
      <c r="C109" s="126">
        <v>40978.0</v>
      </c>
      <c r="D109" s="56" t="s">
        <v>95</v>
      </c>
      <c r="E109" s="56" t="s">
        <v>96</v>
      </c>
      <c r="F109" s="56">
        <v>8681.0</v>
      </c>
      <c r="G109" s="56" t="s">
        <v>43</v>
      </c>
      <c r="H109" s="56">
        <v>8307.0</v>
      </c>
      <c r="I109" s="127">
        <v>651.21</v>
      </c>
      <c r="J109" s="127">
        <v>524.96</v>
      </c>
      <c r="K109" s="83">
        <f t="shared" si="1"/>
        <v>5409601.47</v>
      </c>
      <c r="L109" s="83">
        <f t="shared" si="2"/>
        <v>4360842.72</v>
      </c>
      <c r="M109" s="83">
        <f t="shared" si="3"/>
        <v>1048758.75</v>
      </c>
      <c r="N109" s="46" t="str">
        <f>VLOOKUP(F109,products!$A$2:$B$13,2,FALSE)</f>
        <v>Office Supplies</v>
      </c>
      <c r="O109" s="46" t="s">
        <v>96</v>
      </c>
      <c r="P109" s="46">
        <f t="array" ref="P109">WEEKDAY(B109,2)</f>
        <v>1</v>
      </c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>
      <c r="A110" s="56">
        <v>1.68487203E8</v>
      </c>
      <c r="B110" s="126">
        <v>41854.0</v>
      </c>
      <c r="C110" s="126">
        <v>41903.0</v>
      </c>
      <c r="D110" s="56" t="s">
        <v>95</v>
      </c>
      <c r="E110" s="56" t="e">
        <v>#N/A</v>
      </c>
      <c r="F110" s="56">
        <v>8681.0</v>
      </c>
      <c r="G110" s="56" t="s">
        <v>42</v>
      </c>
      <c r="H110" s="56">
        <v>7962.0</v>
      </c>
      <c r="I110" s="127">
        <v>651.21</v>
      </c>
      <c r="J110" s="127">
        <v>524.96</v>
      </c>
      <c r="K110" s="83">
        <f t="shared" si="1"/>
        <v>5184934.02</v>
      </c>
      <c r="L110" s="83">
        <f t="shared" si="2"/>
        <v>4179731.52</v>
      </c>
      <c r="M110" s="83">
        <f t="shared" si="3"/>
        <v>1005202.5</v>
      </c>
      <c r="N110" s="46" t="str">
        <f>VLOOKUP(F110,products!$A$2:$B$13,2,FALSE)</f>
        <v>Office Supplies</v>
      </c>
      <c r="O110" s="46" t="s">
        <v>92</v>
      </c>
      <c r="P110" s="46">
        <f t="array" ref="P110">WEEKDAY(B110,2)</f>
        <v>7</v>
      </c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>
      <c r="A111" s="56">
        <v>1.68960559E8</v>
      </c>
      <c r="B111" s="126">
        <v>41469.0</v>
      </c>
      <c r="C111" s="126">
        <v>41505.0</v>
      </c>
      <c r="D111" s="56" t="s">
        <v>95</v>
      </c>
      <c r="E111" s="56" t="s">
        <v>102</v>
      </c>
      <c r="F111" s="56">
        <v>7331.0</v>
      </c>
      <c r="G111" s="56" t="s">
        <v>43</v>
      </c>
      <c r="H111" s="56">
        <v>8039.0</v>
      </c>
      <c r="I111" s="127">
        <v>255.28</v>
      </c>
      <c r="J111" s="127">
        <v>159.42</v>
      </c>
      <c r="K111" s="83">
        <f t="shared" si="1"/>
        <v>2052195.92</v>
      </c>
      <c r="L111" s="83">
        <f t="shared" si="2"/>
        <v>1281577.38</v>
      </c>
      <c r="M111" s="83">
        <f t="shared" si="3"/>
        <v>770618.54</v>
      </c>
      <c r="N111" s="46" t="str">
        <f>VLOOKUP(F111,products!$A$2:$B$13,2,FALSE)</f>
        <v>Baby Food</v>
      </c>
      <c r="O111" s="46" t="s">
        <v>102</v>
      </c>
      <c r="P111" s="46">
        <f t="array" ref="P111">WEEKDAY(B111,2)</f>
        <v>7</v>
      </c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>
      <c r="A112" s="56">
        <v>1.68979442E8</v>
      </c>
      <c r="B112" s="126">
        <v>40473.0</v>
      </c>
      <c r="C112" s="126">
        <v>40522.0</v>
      </c>
      <c r="D112" s="56" t="s">
        <v>95</v>
      </c>
      <c r="E112" s="56" t="s">
        <v>120</v>
      </c>
      <c r="F112" s="56">
        <v>8875.0</v>
      </c>
      <c r="G112" s="56" t="s">
        <v>43</v>
      </c>
      <c r="H112" s="56">
        <v>3627.0</v>
      </c>
      <c r="I112" s="127">
        <v>421.89</v>
      </c>
      <c r="J112" s="127">
        <v>364.69</v>
      </c>
      <c r="K112" s="83">
        <f t="shared" si="1"/>
        <v>1530195.03</v>
      </c>
      <c r="L112" s="83">
        <f t="shared" si="2"/>
        <v>1322730.63</v>
      </c>
      <c r="M112" s="83">
        <f t="shared" si="3"/>
        <v>207464.4</v>
      </c>
      <c r="N112" s="46" t="str">
        <f>VLOOKUP(F112,products!$A$2:$B$13,2,FALSE)</f>
        <v>Meat</v>
      </c>
      <c r="O112" s="46" t="s">
        <v>120</v>
      </c>
      <c r="P112" s="46">
        <f t="array" ref="P112">WEEKDAY(B112,2)</f>
        <v>5</v>
      </c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>
      <c r="A113" s="56">
        <v>1.69378983E8</v>
      </c>
      <c r="B113" s="126">
        <v>41719.0</v>
      </c>
      <c r="C113" s="126">
        <v>41739.0</v>
      </c>
      <c r="D113" s="56" t="s">
        <v>93</v>
      </c>
      <c r="E113" s="56" t="s">
        <v>122</v>
      </c>
      <c r="F113" s="56">
        <v>8875.0</v>
      </c>
      <c r="G113" s="56" t="s">
        <v>43</v>
      </c>
      <c r="H113" s="56">
        <v>1860.0</v>
      </c>
      <c r="I113" s="127">
        <v>421.89</v>
      </c>
      <c r="J113" s="127">
        <v>364.69</v>
      </c>
      <c r="K113" s="83">
        <f t="shared" si="1"/>
        <v>784715.4</v>
      </c>
      <c r="L113" s="83">
        <f t="shared" si="2"/>
        <v>678323.4</v>
      </c>
      <c r="M113" s="83">
        <f t="shared" si="3"/>
        <v>106392</v>
      </c>
      <c r="N113" s="46" t="str">
        <f>VLOOKUP(F113,products!$A$2:$B$13,2,FALSE)</f>
        <v>Meat</v>
      </c>
      <c r="O113" s="46" t="s">
        <v>122</v>
      </c>
      <c r="P113" s="46">
        <f t="array" ref="P113">WEEKDAY(B113,2)</f>
        <v>5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>
      <c r="A114" s="56">
        <v>1.69799983E8</v>
      </c>
      <c r="B114" s="126">
        <v>41204.0</v>
      </c>
      <c r="C114" s="126">
        <v>41233.0</v>
      </c>
      <c r="D114" s="56" t="s">
        <v>95</v>
      </c>
      <c r="E114" s="56" t="s">
        <v>104</v>
      </c>
      <c r="F114" s="56">
        <v>4594.0</v>
      </c>
      <c r="G114" s="56" t="s">
        <v>43</v>
      </c>
      <c r="H114" s="56">
        <v>6443.0</v>
      </c>
      <c r="I114" s="127">
        <v>9.33</v>
      </c>
      <c r="J114" s="127">
        <v>6.92</v>
      </c>
      <c r="K114" s="83">
        <f t="shared" si="1"/>
        <v>60113.19</v>
      </c>
      <c r="L114" s="83">
        <f t="shared" si="2"/>
        <v>44585.56</v>
      </c>
      <c r="M114" s="83">
        <f t="shared" si="3"/>
        <v>15527.63</v>
      </c>
      <c r="N114" s="46" t="str">
        <f>VLOOKUP(F114,products!$A$2:$B$13,2,FALSE)</f>
        <v>Fruits</v>
      </c>
      <c r="O114" s="46" t="s">
        <v>104</v>
      </c>
      <c r="P114" s="46">
        <f t="array" ref="P114">WEEKDAY(B114,2)</f>
        <v>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>
      <c r="A115" s="56">
        <v>1.73122918E8</v>
      </c>
      <c r="B115" s="126">
        <v>42163.0</v>
      </c>
      <c r="C115" s="126">
        <v>42210.0</v>
      </c>
      <c r="D115" s="56" t="s">
        <v>89</v>
      </c>
      <c r="E115" s="56" t="s">
        <v>116</v>
      </c>
      <c r="F115" s="56">
        <v>2455.0</v>
      </c>
      <c r="G115" s="56" t="s">
        <v>42</v>
      </c>
      <c r="H115" s="56">
        <v>9773.0</v>
      </c>
      <c r="I115" s="127">
        <v>109.28</v>
      </c>
      <c r="J115" s="127">
        <v>35.84</v>
      </c>
      <c r="K115" s="83">
        <f t="shared" si="1"/>
        <v>1067993.44</v>
      </c>
      <c r="L115" s="83">
        <f t="shared" si="2"/>
        <v>350264.32</v>
      </c>
      <c r="M115" s="83">
        <f t="shared" si="3"/>
        <v>717729.12</v>
      </c>
      <c r="N115" s="46" t="str">
        <f>VLOOKUP(F115,products!$A$2:$B$13,2,FALSE)</f>
        <v>Clothes</v>
      </c>
      <c r="O115" s="46" t="s">
        <v>116</v>
      </c>
      <c r="P115" s="46">
        <f t="array" ref="P115">WEEKDAY(B115,2)</f>
        <v>1</v>
      </c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>
      <c r="A116" s="56">
        <v>1.74218118E8</v>
      </c>
      <c r="B116" s="126">
        <v>42490.0</v>
      </c>
      <c r="C116" s="126">
        <v>42534.0</v>
      </c>
      <c r="D116" s="56" t="s">
        <v>89</v>
      </c>
      <c r="E116" s="56" t="s">
        <v>100</v>
      </c>
      <c r="F116" s="56">
        <v>2103.0</v>
      </c>
      <c r="G116" s="56" t="s">
        <v>42</v>
      </c>
      <c r="H116" s="56">
        <v>3867.0</v>
      </c>
      <c r="I116" s="127">
        <v>205.7</v>
      </c>
      <c r="J116" s="127">
        <v>117.11</v>
      </c>
      <c r="K116" s="83">
        <f t="shared" si="1"/>
        <v>795441.9</v>
      </c>
      <c r="L116" s="83">
        <f t="shared" si="2"/>
        <v>452864.37</v>
      </c>
      <c r="M116" s="83">
        <f t="shared" si="3"/>
        <v>342577.53</v>
      </c>
      <c r="N116" s="46" t="str">
        <f>VLOOKUP(F116,products!$A$2:$B$13,2,FALSE)</f>
        <v>Cereal</v>
      </c>
      <c r="O116" s="46" t="s">
        <v>100</v>
      </c>
      <c r="P116" s="46">
        <f t="array" ref="P116">WEEKDAY(B116,2)</f>
        <v>6</v>
      </c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>
      <c r="A117" s="56">
        <v>1.74614226E8</v>
      </c>
      <c r="B117" s="126">
        <v>42910.0</v>
      </c>
      <c r="C117" s="126">
        <v>42960.0</v>
      </c>
      <c r="D117" s="56" t="s">
        <v>10</v>
      </c>
      <c r="E117" s="56" t="s">
        <v>128</v>
      </c>
      <c r="F117" s="56">
        <v>7331.0</v>
      </c>
      <c r="G117" s="56" t="s">
        <v>42</v>
      </c>
      <c r="H117" s="56">
        <v>1085.0</v>
      </c>
      <c r="I117" s="127">
        <v>255.28</v>
      </c>
      <c r="J117" s="127">
        <v>159.42</v>
      </c>
      <c r="K117" s="83">
        <f t="shared" si="1"/>
        <v>276978.8</v>
      </c>
      <c r="L117" s="83">
        <f t="shared" si="2"/>
        <v>172970.7</v>
      </c>
      <c r="M117" s="83">
        <f t="shared" si="3"/>
        <v>104008.1</v>
      </c>
      <c r="N117" s="46" t="str">
        <f>VLOOKUP(F117,products!$A$2:$B$13,2,FALSE)</f>
        <v>Baby Food</v>
      </c>
      <c r="O117" s="46" t="s">
        <v>128</v>
      </c>
      <c r="P117" s="46">
        <f t="array" ref="P117">WEEKDAY(B117,2)</f>
        <v>6</v>
      </c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>
      <c r="A118" s="56">
        <v>1.74935233E8</v>
      </c>
      <c r="B118" s="126">
        <v>42577.0</v>
      </c>
      <c r="C118" s="126">
        <v>42580.0</v>
      </c>
      <c r="D118" s="56" t="s">
        <v>89</v>
      </c>
      <c r="E118" s="56" t="s">
        <v>97</v>
      </c>
      <c r="F118" s="56">
        <v>8293.0</v>
      </c>
      <c r="G118" s="56" t="s">
        <v>43</v>
      </c>
      <c r="H118" s="56">
        <v>6078.0</v>
      </c>
      <c r="I118" s="127">
        <v>437.2</v>
      </c>
      <c r="J118" s="127">
        <v>263.33</v>
      </c>
      <c r="K118" s="83">
        <f t="shared" si="1"/>
        <v>2657301.6</v>
      </c>
      <c r="L118" s="83">
        <f t="shared" si="2"/>
        <v>1600519.74</v>
      </c>
      <c r="M118" s="83">
        <f t="shared" si="3"/>
        <v>1056781.86</v>
      </c>
      <c r="N118" s="46" t="str">
        <f>VLOOKUP(F118,products!$A$2:$B$13,2,FALSE)</f>
        <v>Cosmetics</v>
      </c>
      <c r="O118" s="46" t="s">
        <v>97</v>
      </c>
      <c r="P118" s="46">
        <f t="array" ref="P118">WEEKDAY(B118,2)</f>
        <v>2</v>
      </c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>
      <c r="A119" s="56">
        <v>1.75723588E8</v>
      </c>
      <c r="B119" s="126">
        <v>41799.0</v>
      </c>
      <c r="C119" s="126">
        <v>41804.0</v>
      </c>
      <c r="D119" s="56" t="s">
        <v>93</v>
      </c>
      <c r="E119" s="56" t="s">
        <v>136</v>
      </c>
      <c r="F119" s="56">
        <v>7940.0</v>
      </c>
      <c r="G119" s="56" t="s">
        <v>43</v>
      </c>
      <c r="H119" s="56">
        <v>9370.0</v>
      </c>
      <c r="I119" s="127">
        <v>668.27</v>
      </c>
      <c r="J119" s="127">
        <v>502.54</v>
      </c>
      <c r="K119" s="83">
        <f t="shared" si="1"/>
        <v>6261689.9</v>
      </c>
      <c r="L119" s="83">
        <f t="shared" si="2"/>
        <v>4708799.8</v>
      </c>
      <c r="M119" s="83">
        <f t="shared" si="3"/>
        <v>1552890.1</v>
      </c>
      <c r="N119" s="46" t="str">
        <f>VLOOKUP(F119,products!$A$2:$B$13,2,FALSE)</f>
        <v>Household</v>
      </c>
      <c r="O119" s="46" t="s">
        <v>136</v>
      </c>
      <c r="P119" s="46">
        <f t="array" ref="P119">WEEKDAY(B119,2)</f>
        <v>1</v>
      </c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>
      <c r="A120" s="56">
        <v>1.76050603E8</v>
      </c>
      <c r="B120" s="126">
        <v>41525.0</v>
      </c>
      <c r="C120" s="126">
        <v>41575.0</v>
      </c>
      <c r="D120" s="56" t="s">
        <v>10</v>
      </c>
      <c r="E120" s="56" t="s">
        <v>106</v>
      </c>
      <c r="F120" s="56">
        <v>2103.0</v>
      </c>
      <c r="G120" s="56" t="s">
        <v>43</v>
      </c>
      <c r="H120" s="56">
        <v>6140.0</v>
      </c>
      <c r="I120" s="127">
        <v>205.7</v>
      </c>
      <c r="J120" s="127">
        <v>117.11</v>
      </c>
      <c r="K120" s="83">
        <f t="shared" si="1"/>
        <v>1262998</v>
      </c>
      <c r="L120" s="83">
        <f t="shared" si="2"/>
        <v>719055.4</v>
      </c>
      <c r="M120" s="83">
        <f t="shared" si="3"/>
        <v>543942.6</v>
      </c>
      <c r="N120" s="46" t="str">
        <f>VLOOKUP(F120,products!$A$2:$B$13,2,FALSE)</f>
        <v>Cereal</v>
      </c>
      <c r="O120" s="46" t="s">
        <v>106</v>
      </c>
      <c r="P120" s="46">
        <f t="array" ref="P120">WEEKDAY(B120,2)</f>
        <v>7</v>
      </c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>
      <c r="A121" s="56">
        <v>1.76722657E8</v>
      </c>
      <c r="B121" s="126">
        <v>41160.0</v>
      </c>
      <c r="C121" s="126">
        <v>41168.0</v>
      </c>
      <c r="D121" s="56" t="s">
        <v>95</v>
      </c>
      <c r="E121" s="56" t="s">
        <v>117</v>
      </c>
      <c r="F121" s="56">
        <v>2455.0</v>
      </c>
      <c r="G121" s="56" t="s">
        <v>43</v>
      </c>
      <c r="H121" s="56">
        <v>5016.0</v>
      </c>
      <c r="I121" s="127">
        <v>109.28</v>
      </c>
      <c r="J121" s="127">
        <v>35.84</v>
      </c>
      <c r="K121" s="83">
        <f t="shared" si="1"/>
        <v>548148.48</v>
      </c>
      <c r="L121" s="83">
        <f t="shared" si="2"/>
        <v>179773.44</v>
      </c>
      <c r="M121" s="83">
        <f t="shared" si="3"/>
        <v>368375.04</v>
      </c>
      <c r="N121" s="46" t="str">
        <f>VLOOKUP(F121,products!$A$2:$B$13,2,FALSE)</f>
        <v>Clothes</v>
      </c>
      <c r="O121" s="46" t="s">
        <v>117</v>
      </c>
      <c r="P121" s="46">
        <f t="array" ref="P121">WEEKDAY(B121,2)</f>
        <v>6</v>
      </c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>
      <c r="A122" s="56">
        <v>1.7714709E8</v>
      </c>
      <c r="B122" s="126">
        <v>41470.0</v>
      </c>
      <c r="C122" s="126">
        <v>41503.0</v>
      </c>
      <c r="D122" s="56" t="s">
        <v>93</v>
      </c>
      <c r="E122" s="56" t="s">
        <v>136</v>
      </c>
      <c r="F122" s="56">
        <v>8875.0</v>
      </c>
      <c r="G122" s="56" t="s">
        <v>42</v>
      </c>
      <c r="H122" s="56">
        <v>615.0</v>
      </c>
      <c r="I122" s="127">
        <v>421.89</v>
      </c>
      <c r="J122" s="127">
        <v>364.69</v>
      </c>
      <c r="K122" s="83">
        <f t="shared" si="1"/>
        <v>259462.35</v>
      </c>
      <c r="L122" s="83">
        <f t="shared" si="2"/>
        <v>224284.35</v>
      </c>
      <c r="M122" s="83">
        <f t="shared" si="3"/>
        <v>35178</v>
      </c>
      <c r="N122" s="46" t="str">
        <f>VLOOKUP(F122,products!$A$2:$B$13,2,FALSE)</f>
        <v>Meat</v>
      </c>
      <c r="O122" s="46" t="s">
        <v>136</v>
      </c>
      <c r="P122" s="46">
        <f t="array" ref="P122">WEEKDAY(B122,2)</f>
        <v>1</v>
      </c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>
      <c r="A123" s="56">
        <v>1.78604066E8</v>
      </c>
      <c r="B123" s="126">
        <v>42267.0</v>
      </c>
      <c r="C123" s="126">
        <v>42295.0</v>
      </c>
      <c r="D123" s="56" t="s">
        <v>10</v>
      </c>
      <c r="E123" s="56" t="s">
        <v>118</v>
      </c>
      <c r="F123" s="56">
        <v>7940.0</v>
      </c>
      <c r="G123" s="56" t="s">
        <v>43</v>
      </c>
      <c r="H123" s="56">
        <v>1767.0</v>
      </c>
      <c r="I123" s="127">
        <v>668.27</v>
      </c>
      <c r="J123" s="127">
        <v>502.54</v>
      </c>
      <c r="K123" s="83">
        <f t="shared" si="1"/>
        <v>1180833.09</v>
      </c>
      <c r="L123" s="83">
        <f t="shared" si="2"/>
        <v>887988.18</v>
      </c>
      <c r="M123" s="83">
        <f t="shared" si="3"/>
        <v>292844.91</v>
      </c>
      <c r="N123" s="46" t="str">
        <f>VLOOKUP(F123,products!$A$2:$B$13,2,FALSE)</f>
        <v>Household</v>
      </c>
      <c r="O123" s="46" t="s">
        <v>118</v>
      </c>
      <c r="P123" s="46">
        <f t="array" ref="P123">WEEKDAY(B123,2)</f>
        <v>7</v>
      </c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>
      <c r="A124" s="56">
        <v>1.79819428E8</v>
      </c>
      <c r="B124" s="126">
        <v>41034.0</v>
      </c>
      <c r="C124" s="126">
        <v>41062.0</v>
      </c>
      <c r="D124" s="56" t="s">
        <v>10</v>
      </c>
      <c r="E124" s="56" t="s">
        <v>125</v>
      </c>
      <c r="F124" s="56">
        <v>8293.0</v>
      </c>
      <c r="G124" s="56" t="s">
        <v>43</v>
      </c>
      <c r="H124" s="56">
        <v>1420.0</v>
      </c>
      <c r="I124" s="127">
        <v>437.2</v>
      </c>
      <c r="J124" s="127">
        <v>263.33</v>
      </c>
      <c r="K124" s="83">
        <f t="shared" si="1"/>
        <v>620824</v>
      </c>
      <c r="L124" s="83">
        <f t="shared" si="2"/>
        <v>373928.6</v>
      </c>
      <c r="M124" s="83">
        <f t="shared" si="3"/>
        <v>246895.4</v>
      </c>
      <c r="N124" s="46" t="str">
        <f>VLOOKUP(F124,products!$A$2:$B$13,2,FALSE)</f>
        <v>Cosmetics</v>
      </c>
      <c r="O124" s="46" t="s">
        <v>125</v>
      </c>
      <c r="P124" s="46">
        <f t="array" ref="P124">WEEKDAY(B124,2)</f>
        <v>6</v>
      </c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>
      <c r="A125" s="56">
        <v>1.80358016E8</v>
      </c>
      <c r="B125" s="126">
        <v>42490.0</v>
      </c>
      <c r="C125" s="126">
        <v>42506.0</v>
      </c>
      <c r="D125" s="56" t="s">
        <v>89</v>
      </c>
      <c r="E125" s="56" t="s">
        <v>112</v>
      </c>
      <c r="F125" s="56">
        <v>1270.0</v>
      </c>
      <c r="G125" s="56" t="s">
        <v>43</v>
      </c>
      <c r="H125" s="56">
        <v>800.0</v>
      </c>
      <c r="I125" s="127">
        <v>47.45</v>
      </c>
      <c r="J125" s="127">
        <v>31.79</v>
      </c>
      <c r="K125" s="83">
        <f t="shared" si="1"/>
        <v>37960</v>
      </c>
      <c r="L125" s="83">
        <f t="shared" si="2"/>
        <v>25432</v>
      </c>
      <c r="M125" s="83">
        <f t="shared" si="3"/>
        <v>12528</v>
      </c>
      <c r="N125" s="46" t="str">
        <f>VLOOKUP(F125,products!$A$2:$B$13,2,FALSE)</f>
        <v>Beverages</v>
      </c>
      <c r="O125" s="46" t="s">
        <v>112</v>
      </c>
      <c r="P125" s="46">
        <f t="array" ref="P125">WEEKDAY(B125,2)</f>
        <v>6</v>
      </c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>
      <c r="A126" s="56">
        <v>1.80479466E8</v>
      </c>
      <c r="B126" s="126">
        <v>40548.0</v>
      </c>
      <c r="C126" s="126">
        <v>40555.0</v>
      </c>
      <c r="D126" s="56" t="s">
        <v>10</v>
      </c>
      <c r="E126" s="56" t="s">
        <v>116</v>
      </c>
      <c r="F126" s="56">
        <v>5988.0</v>
      </c>
      <c r="G126" s="56" t="s">
        <v>43</v>
      </c>
      <c r="H126" s="56">
        <v>6740.0</v>
      </c>
      <c r="I126" s="127">
        <v>154.06</v>
      </c>
      <c r="J126" s="127">
        <v>90.93</v>
      </c>
      <c r="K126" s="83">
        <f t="shared" si="1"/>
        <v>1038364.4</v>
      </c>
      <c r="L126" s="83">
        <f t="shared" si="2"/>
        <v>612868.2</v>
      </c>
      <c r="M126" s="83">
        <f t="shared" si="3"/>
        <v>425496.2</v>
      </c>
      <c r="N126" s="46" t="str">
        <f>VLOOKUP(F126,products!$A$2:$B$13,2,FALSE)</f>
        <v>Vegetables</v>
      </c>
      <c r="O126" s="46" t="s">
        <v>116</v>
      </c>
      <c r="P126" s="46">
        <f t="array" ref="P126">WEEKDAY(B126,2)</f>
        <v>3</v>
      </c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>
      <c r="A127" s="56">
        <v>1.81260526E8</v>
      </c>
      <c r="B127" s="126">
        <v>42858.0</v>
      </c>
      <c r="C127" s="126">
        <v>42889.0</v>
      </c>
      <c r="D127" s="56" t="s">
        <v>89</v>
      </c>
      <c r="E127" s="56" t="s">
        <v>113</v>
      </c>
      <c r="F127" s="56">
        <v>8681.0</v>
      </c>
      <c r="G127" s="56" t="s">
        <v>42</v>
      </c>
      <c r="H127" s="56">
        <v>7872.0</v>
      </c>
      <c r="I127" s="127">
        <v>651.21</v>
      </c>
      <c r="J127" s="127">
        <v>524.96</v>
      </c>
      <c r="K127" s="83">
        <f t="shared" si="1"/>
        <v>5126325.12</v>
      </c>
      <c r="L127" s="83">
        <f t="shared" si="2"/>
        <v>4132485.12</v>
      </c>
      <c r="M127" s="83">
        <f t="shared" si="3"/>
        <v>993840</v>
      </c>
      <c r="N127" s="46" t="str">
        <f>VLOOKUP(F127,products!$A$2:$B$13,2,FALSE)</f>
        <v>Office Supplies</v>
      </c>
      <c r="O127" s="46" t="s">
        <v>113</v>
      </c>
      <c r="P127" s="46">
        <f t="array" ref="P127">WEEKDAY(B127,2)</f>
        <v>3</v>
      </c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>
      <c r="A128" s="56">
        <v>1.82078921E8</v>
      </c>
      <c r="B128" s="126">
        <v>42381.0</v>
      </c>
      <c r="C128" s="126">
        <v>42414.0</v>
      </c>
      <c r="D128" s="56" t="s">
        <v>95</v>
      </c>
      <c r="E128" s="56" t="s">
        <v>130</v>
      </c>
      <c r="F128" s="56">
        <v>4594.0</v>
      </c>
      <c r="G128" s="56" t="s">
        <v>42</v>
      </c>
      <c r="H128" s="56">
        <v>54.0</v>
      </c>
      <c r="I128" s="127">
        <v>9.33</v>
      </c>
      <c r="J128" s="127">
        <v>6.92</v>
      </c>
      <c r="K128" s="83">
        <f t="shared" si="1"/>
        <v>503.82</v>
      </c>
      <c r="L128" s="83">
        <f t="shared" si="2"/>
        <v>373.68</v>
      </c>
      <c r="M128" s="83">
        <f t="shared" si="3"/>
        <v>130.14</v>
      </c>
      <c r="N128" s="46" t="str">
        <f>VLOOKUP(F128,products!$A$2:$B$13,2,FALSE)</f>
        <v>Fruits</v>
      </c>
      <c r="O128" s="46" t="s">
        <v>130</v>
      </c>
      <c r="P128" s="46">
        <f t="array" ref="P128">WEEKDAY(B128,2)</f>
        <v>2</v>
      </c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>
      <c r="A129" s="56">
        <v>1.82228696E8</v>
      </c>
      <c r="B129" s="126">
        <v>40329.0</v>
      </c>
      <c r="C129" s="126">
        <v>40371.0</v>
      </c>
      <c r="D129" s="56" t="s">
        <v>93</v>
      </c>
      <c r="E129" s="56" t="s">
        <v>124</v>
      </c>
      <c r="F129" s="56">
        <v>8681.0</v>
      </c>
      <c r="G129" s="56" t="s">
        <v>43</v>
      </c>
      <c r="H129" s="56">
        <v>4375.0</v>
      </c>
      <c r="I129" s="127">
        <v>651.21</v>
      </c>
      <c r="J129" s="127">
        <v>524.96</v>
      </c>
      <c r="K129" s="83">
        <f t="shared" si="1"/>
        <v>2849043.75</v>
      </c>
      <c r="L129" s="83">
        <f t="shared" si="2"/>
        <v>2296700</v>
      </c>
      <c r="M129" s="83">
        <f t="shared" si="3"/>
        <v>552343.75</v>
      </c>
      <c r="N129" s="46" t="str">
        <f>VLOOKUP(F129,products!$A$2:$B$13,2,FALSE)</f>
        <v>Office Supplies</v>
      </c>
      <c r="O129" s="46" t="s">
        <v>124</v>
      </c>
      <c r="P129" s="46">
        <f t="array" ref="P129">WEEKDAY(B129,2)</f>
        <v>1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>
      <c r="A130" s="56">
        <v>1.83778369E8</v>
      </c>
      <c r="B130" s="126">
        <v>41267.0</v>
      </c>
      <c r="C130" s="126">
        <v>41281.0</v>
      </c>
      <c r="D130" s="56" t="s">
        <v>93</v>
      </c>
      <c r="E130" s="56" t="s">
        <v>133</v>
      </c>
      <c r="F130" s="56">
        <v>8969.0</v>
      </c>
      <c r="G130" s="56" t="s">
        <v>43</v>
      </c>
      <c r="H130" s="56">
        <v>2958.0</v>
      </c>
      <c r="I130" s="127">
        <v>152.58</v>
      </c>
      <c r="J130" s="127">
        <v>97.44</v>
      </c>
      <c r="K130" s="83">
        <f t="shared" si="1"/>
        <v>451331.64</v>
      </c>
      <c r="L130" s="83">
        <f t="shared" si="2"/>
        <v>288227.52</v>
      </c>
      <c r="M130" s="83">
        <f t="shared" si="3"/>
        <v>163104.12</v>
      </c>
      <c r="N130" s="46" t="str">
        <f>VLOOKUP(F130,products!$A$2:$B$13,2,FALSE)</f>
        <v>Snacks</v>
      </c>
      <c r="O130" s="46" t="s">
        <v>133</v>
      </c>
      <c r="P130" s="46">
        <f t="array" ref="P130">WEEKDAY(B130,2)</f>
        <v>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>
      <c r="A131" s="56">
        <v>1.83910119E8</v>
      </c>
      <c r="B131" s="126">
        <v>41799.0</v>
      </c>
      <c r="C131" s="126">
        <v>41801.0</v>
      </c>
      <c r="D131" s="56" t="s">
        <v>10</v>
      </c>
      <c r="E131" s="56" t="s">
        <v>113</v>
      </c>
      <c r="F131" s="56">
        <v>8293.0</v>
      </c>
      <c r="G131" s="56" t="s">
        <v>43</v>
      </c>
      <c r="H131" s="56">
        <v>1946.0</v>
      </c>
      <c r="I131" s="127">
        <v>437.2</v>
      </c>
      <c r="J131" s="127">
        <v>263.33</v>
      </c>
      <c r="K131" s="83">
        <f t="shared" si="1"/>
        <v>850791.2</v>
      </c>
      <c r="L131" s="83">
        <f t="shared" si="2"/>
        <v>512440.18</v>
      </c>
      <c r="M131" s="83">
        <f t="shared" si="3"/>
        <v>338351.02</v>
      </c>
      <c r="N131" s="46" t="str">
        <f>VLOOKUP(F131,products!$A$2:$B$13,2,FALSE)</f>
        <v>Cosmetics</v>
      </c>
      <c r="O131" s="46" t="s">
        <v>113</v>
      </c>
      <c r="P131" s="46">
        <f t="array" ref="P131">WEEKDAY(B131,2)</f>
        <v>1</v>
      </c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>
      <c r="A132" s="56">
        <v>1.84120833E8</v>
      </c>
      <c r="B132" s="126">
        <v>41939.0</v>
      </c>
      <c r="C132" s="126">
        <v>41943.0</v>
      </c>
      <c r="D132" s="56" t="s">
        <v>95</v>
      </c>
      <c r="E132" s="56" t="s">
        <v>135</v>
      </c>
      <c r="F132" s="56">
        <v>2455.0</v>
      </c>
      <c r="G132" s="56" t="s">
        <v>42</v>
      </c>
      <c r="H132" s="56">
        <v>4301.0</v>
      </c>
      <c r="I132" s="127">
        <v>109.28</v>
      </c>
      <c r="J132" s="127">
        <v>35.84</v>
      </c>
      <c r="K132" s="83">
        <f t="shared" si="1"/>
        <v>470013.28</v>
      </c>
      <c r="L132" s="83">
        <f t="shared" si="2"/>
        <v>154147.84</v>
      </c>
      <c r="M132" s="83">
        <f t="shared" si="3"/>
        <v>315865.44</v>
      </c>
      <c r="N132" s="46" t="str">
        <f>VLOOKUP(F132,products!$A$2:$B$13,2,FALSE)</f>
        <v>Clothes</v>
      </c>
      <c r="O132" s="46" t="s">
        <v>135</v>
      </c>
      <c r="P132" s="46">
        <f t="array" ref="P132">WEEKDAY(B132,2)</f>
        <v>1</v>
      </c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>
      <c r="A133" s="56">
        <v>1.84412229E8</v>
      </c>
      <c r="B133" s="126">
        <v>42098.0</v>
      </c>
      <c r="C133" s="126">
        <v>42101.0</v>
      </c>
      <c r="D133" s="56" t="s">
        <v>10</v>
      </c>
      <c r="E133" s="56" t="s">
        <v>133</v>
      </c>
      <c r="F133" s="56">
        <v>7331.0</v>
      </c>
      <c r="G133" s="56" t="s">
        <v>43</v>
      </c>
      <c r="H133" s="56">
        <v>531.0</v>
      </c>
      <c r="I133" s="127">
        <v>255.28</v>
      </c>
      <c r="J133" s="127">
        <v>159.42</v>
      </c>
      <c r="K133" s="83">
        <f t="shared" si="1"/>
        <v>135553.68</v>
      </c>
      <c r="L133" s="83">
        <f t="shared" si="2"/>
        <v>84652.02</v>
      </c>
      <c r="M133" s="83">
        <f t="shared" si="3"/>
        <v>50901.66</v>
      </c>
      <c r="N133" s="46" t="str">
        <f>VLOOKUP(F133,products!$A$2:$B$13,2,FALSE)</f>
        <v>Baby Food</v>
      </c>
      <c r="O133" s="46" t="s">
        <v>133</v>
      </c>
      <c r="P133" s="46">
        <f t="array" ref="P133">WEEKDAY(B133,2)</f>
        <v>6</v>
      </c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>
      <c r="A134" s="56">
        <v>1.84708344E8</v>
      </c>
      <c r="B134" s="126">
        <v>42701.0</v>
      </c>
      <c r="C134" s="126">
        <v>42706.0</v>
      </c>
      <c r="D134" s="56" t="s">
        <v>95</v>
      </c>
      <c r="E134" s="56" t="s">
        <v>133</v>
      </c>
      <c r="F134" s="56">
        <v>5988.0</v>
      </c>
      <c r="G134" s="56" t="s">
        <v>43</v>
      </c>
      <c r="H134" s="56">
        <v>8159.0</v>
      </c>
      <c r="I134" s="127">
        <v>154.06</v>
      </c>
      <c r="J134" s="127">
        <v>90.93</v>
      </c>
      <c r="K134" s="83">
        <f t="shared" si="1"/>
        <v>1256975.54</v>
      </c>
      <c r="L134" s="83">
        <f t="shared" si="2"/>
        <v>741897.87</v>
      </c>
      <c r="M134" s="83">
        <f t="shared" si="3"/>
        <v>515077.67</v>
      </c>
      <c r="N134" s="46" t="str">
        <f>VLOOKUP(F134,products!$A$2:$B$13,2,FALSE)</f>
        <v>Vegetables</v>
      </c>
      <c r="O134" s="46" t="s">
        <v>133</v>
      </c>
      <c r="P134" s="46">
        <f t="array" ref="P134">WEEKDAY(B134,2)</f>
        <v>7</v>
      </c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>
      <c r="A135" s="56">
        <v>1.84976994E8</v>
      </c>
      <c r="B135" s="126">
        <v>42237.0</v>
      </c>
      <c r="C135" s="126">
        <v>42268.0</v>
      </c>
      <c r="D135" s="56" t="s">
        <v>10</v>
      </c>
      <c r="E135" s="56" t="s">
        <v>129</v>
      </c>
      <c r="F135" s="56">
        <v>7940.0</v>
      </c>
      <c r="G135" s="56" t="s">
        <v>43</v>
      </c>
      <c r="H135" s="56">
        <v>7658.0</v>
      </c>
      <c r="I135" s="127">
        <v>668.27</v>
      </c>
      <c r="J135" s="127">
        <v>502.54</v>
      </c>
      <c r="K135" s="83">
        <f t="shared" si="1"/>
        <v>5117611.66</v>
      </c>
      <c r="L135" s="83">
        <f t="shared" si="2"/>
        <v>3848451.32</v>
      </c>
      <c r="M135" s="83">
        <f t="shared" si="3"/>
        <v>1269160.34</v>
      </c>
      <c r="N135" s="46" t="str">
        <f>VLOOKUP(F135,products!$A$2:$B$13,2,FALSE)</f>
        <v>Household</v>
      </c>
      <c r="O135" s="46" t="s">
        <v>129</v>
      </c>
      <c r="P135" s="46">
        <f t="array" ref="P135">WEEKDAY(B135,2)</f>
        <v>5</v>
      </c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>
      <c r="A136" s="56">
        <v>1.8594731E8</v>
      </c>
      <c r="B136" s="126">
        <v>40914.0</v>
      </c>
      <c r="C136" s="126">
        <v>40935.0</v>
      </c>
      <c r="D136" s="56" t="s">
        <v>93</v>
      </c>
      <c r="E136" s="56" t="s">
        <v>120</v>
      </c>
      <c r="F136" s="56">
        <v>3127.0</v>
      </c>
      <c r="G136" s="56" t="s">
        <v>134</v>
      </c>
      <c r="H136" s="56">
        <v>4796.0</v>
      </c>
      <c r="I136" s="127">
        <v>81.73</v>
      </c>
      <c r="J136" s="127">
        <v>56.67</v>
      </c>
      <c r="K136" s="83">
        <f t="shared" si="1"/>
        <v>391977.08</v>
      </c>
      <c r="L136" s="83">
        <f t="shared" si="2"/>
        <v>271789.32</v>
      </c>
      <c r="M136" s="83">
        <f t="shared" si="3"/>
        <v>120187.76</v>
      </c>
      <c r="N136" s="46" t="str">
        <f>VLOOKUP(F136,products!$A$2:$B$13,2,FALSE)</f>
        <v>Personal Care</v>
      </c>
      <c r="O136" s="46" t="s">
        <v>120</v>
      </c>
      <c r="P136" s="46">
        <f t="array" ref="P136">WEEKDAY(B136,2)</f>
        <v>5</v>
      </c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>
      <c r="A137" s="56">
        <v>1.85960614E8</v>
      </c>
      <c r="B137" s="126">
        <v>40653.0</v>
      </c>
      <c r="C137" s="126">
        <v>40691.0</v>
      </c>
      <c r="D137" s="56" t="s">
        <v>89</v>
      </c>
      <c r="E137" s="56" t="s">
        <v>118</v>
      </c>
      <c r="F137" s="56">
        <v>4594.0</v>
      </c>
      <c r="G137" s="56" t="s">
        <v>42</v>
      </c>
      <c r="H137" s="56">
        <v>8733.0</v>
      </c>
      <c r="I137" s="127">
        <v>9.33</v>
      </c>
      <c r="J137" s="127">
        <v>6.92</v>
      </c>
      <c r="K137" s="83">
        <f t="shared" si="1"/>
        <v>81478.89</v>
      </c>
      <c r="L137" s="83">
        <f t="shared" si="2"/>
        <v>60432.36</v>
      </c>
      <c r="M137" s="83">
        <f t="shared" si="3"/>
        <v>21046.53</v>
      </c>
      <c r="N137" s="46" t="str">
        <f>VLOOKUP(F137,products!$A$2:$B$13,2,FALSE)</f>
        <v>Fruits</v>
      </c>
      <c r="O137" s="46" t="s">
        <v>118</v>
      </c>
      <c r="P137" s="46">
        <f t="array" ref="P137">WEEKDAY(B137,2)</f>
        <v>3</v>
      </c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>
      <c r="A138" s="56">
        <v>1.8607949E8</v>
      </c>
      <c r="B138" s="126">
        <v>42241.0</v>
      </c>
      <c r="C138" s="126">
        <v>42245.0</v>
      </c>
      <c r="D138" s="56" t="s">
        <v>93</v>
      </c>
      <c r="E138" s="56" t="s">
        <v>135</v>
      </c>
      <c r="F138" s="56">
        <v>5988.0</v>
      </c>
      <c r="G138" s="56" t="s">
        <v>43</v>
      </c>
      <c r="H138" s="56">
        <v>3911.0</v>
      </c>
      <c r="I138" s="127">
        <v>154.06</v>
      </c>
      <c r="J138" s="127">
        <v>90.93</v>
      </c>
      <c r="K138" s="83">
        <f t="shared" si="1"/>
        <v>602528.66</v>
      </c>
      <c r="L138" s="83">
        <f t="shared" si="2"/>
        <v>355627.23</v>
      </c>
      <c r="M138" s="83">
        <f t="shared" si="3"/>
        <v>246901.43</v>
      </c>
      <c r="N138" s="46" t="str">
        <f>VLOOKUP(F138,products!$A$2:$B$13,2,FALSE)</f>
        <v>Vegetables</v>
      </c>
      <c r="O138" s="46" t="s">
        <v>135</v>
      </c>
      <c r="P138" s="46">
        <f t="array" ref="P138">WEEKDAY(B138,2)</f>
        <v>2</v>
      </c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>
      <c r="A139" s="56">
        <v>1.86597907E8</v>
      </c>
      <c r="B139" s="126">
        <v>42309.0</v>
      </c>
      <c r="C139" s="126">
        <v>42353.0</v>
      </c>
      <c r="D139" s="56" t="s">
        <v>89</v>
      </c>
      <c r="E139" s="56" t="s">
        <v>129</v>
      </c>
      <c r="F139" s="56">
        <v>8681.0</v>
      </c>
      <c r="G139" s="56" t="s">
        <v>43</v>
      </c>
      <c r="H139" s="56">
        <v>7322.0</v>
      </c>
      <c r="I139" s="127">
        <v>651.21</v>
      </c>
      <c r="J139" s="127">
        <v>524.96</v>
      </c>
      <c r="K139" s="83">
        <f t="shared" si="1"/>
        <v>4768159.62</v>
      </c>
      <c r="L139" s="83">
        <f t="shared" si="2"/>
        <v>3843757.12</v>
      </c>
      <c r="M139" s="83">
        <f t="shared" si="3"/>
        <v>924402.5</v>
      </c>
      <c r="N139" s="46" t="str">
        <f>VLOOKUP(F139,products!$A$2:$B$13,2,FALSE)</f>
        <v>Office Supplies</v>
      </c>
      <c r="O139" s="46" t="s">
        <v>129</v>
      </c>
      <c r="P139" s="46">
        <f t="array" ref="P139">WEEKDAY(B139,2)</f>
        <v>7</v>
      </c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>
      <c r="A140" s="56">
        <v>1.86847674E8</v>
      </c>
      <c r="B140" s="126">
        <v>42841.0</v>
      </c>
      <c r="C140" s="126">
        <v>42848.0</v>
      </c>
      <c r="D140" s="56" t="s">
        <v>89</v>
      </c>
      <c r="E140" s="56" t="s">
        <v>137</v>
      </c>
      <c r="F140" s="56">
        <v>8293.0</v>
      </c>
      <c r="G140" s="56" t="s">
        <v>43</v>
      </c>
      <c r="H140" s="56">
        <v>1234.0</v>
      </c>
      <c r="I140" s="127">
        <v>437.2</v>
      </c>
      <c r="J140" s="127">
        <v>263.33</v>
      </c>
      <c r="K140" s="83">
        <f t="shared" si="1"/>
        <v>539504.8</v>
      </c>
      <c r="L140" s="83">
        <f t="shared" si="2"/>
        <v>324949.22</v>
      </c>
      <c r="M140" s="83">
        <f t="shared" si="3"/>
        <v>214555.58</v>
      </c>
      <c r="N140" s="46" t="str">
        <f>VLOOKUP(F140,products!$A$2:$B$13,2,FALSE)</f>
        <v>Cosmetics</v>
      </c>
      <c r="O140" s="46" t="s">
        <v>137</v>
      </c>
      <c r="P140" s="46">
        <f t="array" ref="P140">WEEKDAY(B140,2)</f>
        <v>7</v>
      </c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>
      <c r="A141" s="56">
        <v>1.8710345E8</v>
      </c>
      <c r="B141" s="126">
        <v>40667.0</v>
      </c>
      <c r="C141" s="126">
        <v>40677.0</v>
      </c>
      <c r="D141" s="56" t="s">
        <v>89</v>
      </c>
      <c r="E141" s="56" t="s">
        <v>109</v>
      </c>
      <c r="F141" s="56">
        <v>4594.0</v>
      </c>
      <c r="G141" s="56" t="s">
        <v>42</v>
      </c>
      <c r="H141" s="56">
        <v>6924.0</v>
      </c>
      <c r="I141" s="127">
        <v>9.33</v>
      </c>
      <c r="J141" s="127">
        <v>6.92</v>
      </c>
      <c r="K141" s="83">
        <f t="shared" si="1"/>
        <v>64600.92</v>
      </c>
      <c r="L141" s="83">
        <f t="shared" si="2"/>
        <v>47914.08</v>
      </c>
      <c r="M141" s="83">
        <f t="shared" si="3"/>
        <v>16686.84</v>
      </c>
      <c r="N141" s="46" t="str">
        <f>VLOOKUP(F141,products!$A$2:$B$13,2,FALSE)</f>
        <v>Fruits</v>
      </c>
      <c r="O141" s="46" t="s">
        <v>109</v>
      </c>
      <c r="P141" s="46">
        <f t="array" ref="P141">WEEKDAY(B141,2)</f>
        <v>3</v>
      </c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>
      <c r="A142" s="56">
        <v>1.88866841E8</v>
      </c>
      <c r="B142" s="126">
        <v>41775.0</v>
      </c>
      <c r="C142" s="126">
        <v>41779.0</v>
      </c>
      <c r="D142" s="56" t="s">
        <v>93</v>
      </c>
      <c r="E142" s="56" t="s">
        <v>104</v>
      </c>
      <c r="F142" s="56">
        <v>2455.0</v>
      </c>
      <c r="G142" s="56" t="s">
        <v>42</v>
      </c>
      <c r="H142" s="56">
        <v>8750.0</v>
      </c>
      <c r="I142" s="127">
        <v>109.28</v>
      </c>
      <c r="J142" s="127">
        <v>35.84</v>
      </c>
      <c r="K142" s="83">
        <f t="shared" si="1"/>
        <v>956200</v>
      </c>
      <c r="L142" s="83">
        <f t="shared" si="2"/>
        <v>313600</v>
      </c>
      <c r="M142" s="83">
        <f t="shared" si="3"/>
        <v>642600</v>
      </c>
      <c r="N142" s="46" t="str">
        <f>VLOOKUP(F142,products!$A$2:$B$13,2,FALSE)</f>
        <v>Clothes</v>
      </c>
      <c r="O142" s="46" t="s">
        <v>104</v>
      </c>
      <c r="P142" s="46">
        <f t="array" ref="P142">WEEKDAY(B142,2)</f>
        <v>5</v>
      </c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>
      <c r="A143" s="56">
        <v>1.89108455E8</v>
      </c>
      <c r="B143" s="126">
        <v>41040.0</v>
      </c>
      <c r="C143" s="126">
        <v>41090.0</v>
      </c>
      <c r="D143" s="56" t="s">
        <v>95</v>
      </c>
      <c r="E143" s="56" t="s">
        <v>114</v>
      </c>
      <c r="F143" s="56">
        <v>8681.0</v>
      </c>
      <c r="G143" s="56" t="s">
        <v>42</v>
      </c>
      <c r="H143" s="56">
        <v>249.0</v>
      </c>
      <c r="I143" s="127">
        <v>651.21</v>
      </c>
      <c r="J143" s="127">
        <v>524.96</v>
      </c>
      <c r="K143" s="83">
        <f t="shared" si="1"/>
        <v>162151.29</v>
      </c>
      <c r="L143" s="83">
        <f t="shared" si="2"/>
        <v>130715.04</v>
      </c>
      <c r="M143" s="83">
        <f t="shared" si="3"/>
        <v>31436.25</v>
      </c>
      <c r="N143" s="46" t="str">
        <f>VLOOKUP(F143,products!$A$2:$B$13,2,FALSE)</f>
        <v>Office Supplies</v>
      </c>
      <c r="O143" s="46" t="s">
        <v>114</v>
      </c>
      <c r="P143" s="46">
        <f t="array" ref="P143">WEEKDAY(B143,2)</f>
        <v>5</v>
      </c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>
      <c r="A144" s="56">
        <v>1.89667212E8</v>
      </c>
      <c r="B144" s="126">
        <v>41118.0</v>
      </c>
      <c r="C144" s="126">
        <v>41155.0</v>
      </c>
      <c r="D144" s="56" t="s">
        <v>95</v>
      </c>
      <c r="E144" s="56" t="s">
        <v>111</v>
      </c>
      <c r="F144" s="56">
        <v>8969.0</v>
      </c>
      <c r="G144" s="56" t="s">
        <v>42</v>
      </c>
      <c r="H144" s="56">
        <v>5598.0</v>
      </c>
      <c r="I144" s="127">
        <v>152.58</v>
      </c>
      <c r="J144" s="127">
        <v>97.44</v>
      </c>
      <c r="K144" s="83">
        <f t="shared" si="1"/>
        <v>854142.84</v>
      </c>
      <c r="L144" s="83">
        <f t="shared" si="2"/>
        <v>545469.12</v>
      </c>
      <c r="M144" s="83">
        <f t="shared" si="3"/>
        <v>308673.72</v>
      </c>
      <c r="N144" s="46" t="str">
        <f>VLOOKUP(F144,products!$A$2:$B$13,2,FALSE)</f>
        <v>Snacks</v>
      </c>
      <c r="O144" s="46" t="s">
        <v>111</v>
      </c>
      <c r="P144" s="46">
        <f t="array" ref="P144">WEEKDAY(B144,2)</f>
        <v>6</v>
      </c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>
      <c r="A145" s="56">
        <v>1.89924275E8</v>
      </c>
      <c r="B145" s="126">
        <v>41327.0</v>
      </c>
      <c r="C145" s="126">
        <v>41354.0</v>
      </c>
      <c r="D145" s="56" t="s">
        <v>93</v>
      </c>
      <c r="E145" s="56" t="s">
        <v>99</v>
      </c>
      <c r="F145" s="56">
        <v>1270.0</v>
      </c>
      <c r="G145" s="56" t="s">
        <v>42</v>
      </c>
      <c r="H145" s="56">
        <v>1668.0</v>
      </c>
      <c r="I145" s="127">
        <v>47.45</v>
      </c>
      <c r="J145" s="127">
        <v>31.79</v>
      </c>
      <c r="K145" s="83">
        <f t="shared" si="1"/>
        <v>79146.6</v>
      </c>
      <c r="L145" s="83">
        <f t="shared" si="2"/>
        <v>53025.72</v>
      </c>
      <c r="M145" s="83">
        <f t="shared" si="3"/>
        <v>26120.88</v>
      </c>
      <c r="N145" s="46" t="str">
        <f>VLOOKUP(F145,products!$A$2:$B$13,2,FALSE)</f>
        <v>Beverages</v>
      </c>
      <c r="O145" s="46" t="s">
        <v>99</v>
      </c>
      <c r="P145" s="46">
        <f t="array" ref="P145">WEEKDAY(B145,2)</f>
        <v>5</v>
      </c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>
      <c r="A146" s="56">
        <v>1.9000281E8</v>
      </c>
      <c r="B146" s="126">
        <v>42906.0</v>
      </c>
      <c r="C146" s="126">
        <v>42952.0</v>
      </c>
      <c r="D146" s="56" t="s">
        <v>10</v>
      </c>
      <c r="E146" s="56" t="s">
        <v>128</v>
      </c>
      <c r="F146" s="56">
        <v>2455.0</v>
      </c>
      <c r="G146" s="56" t="s">
        <v>43</v>
      </c>
      <c r="H146" s="56">
        <v>4909.0</v>
      </c>
      <c r="I146" s="127">
        <v>109.28</v>
      </c>
      <c r="J146" s="127">
        <v>35.84</v>
      </c>
      <c r="K146" s="83">
        <f t="shared" si="1"/>
        <v>536455.52</v>
      </c>
      <c r="L146" s="83">
        <f t="shared" si="2"/>
        <v>175938.56</v>
      </c>
      <c r="M146" s="83">
        <f t="shared" si="3"/>
        <v>360516.96</v>
      </c>
      <c r="N146" s="46" t="str">
        <f>VLOOKUP(F146,products!$A$2:$B$13,2,FALSE)</f>
        <v>Clothes</v>
      </c>
      <c r="O146" s="46" t="s">
        <v>128</v>
      </c>
      <c r="P146" s="46">
        <f t="array" ref="P146">WEEKDAY(B146,2)</f>
        <v>2</v>
      </c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>
      <c r="A147" s="56">
        <v>1.92236125E8</v>
      </c>
      <c r="B147" s="126">
        <v>42805.0</v>
      </c>
      <c r="C147" s="126">
        <v>42816.0</v>
      </c>
      <c r="D147" s="56" t="s">
        <v>95</v>
      </c>
      <c r="E147" s="56" t="s">
        <v>99</v>
      </c>
      <c r="F147" s="56">
        <v>1270.0</v>
      </c>
      <c r="G147" s="56" t="s">
        <v>42</v>
      </c>
      <c r="H147" s="56">
        <v>5796.0</v>
      </c>
      <c r="I147" s="127">
        <v>47.45</v>
      </c>
      <c r="J147" s="127">
        <v>31.79</v>
      </c>
      <c r="K147" s="83">
        <f t="shared" si="1"/>
        <v>275020.2</v>
      </c>
      <c r="L147" s="83">
        <f t="shared" si="2"/>
        <v>184254.84</v>
      </c>
      <c r="M147" s="83">
        <f t="shared" si="3"/>
        <v>90765.36</v>
      </c>
      <c r="N147" s="46" t="str">
        <f>VLOOKUP(F147,products!$A$2:$B$13,2,FALSE)</f>
        <v>Beverages</v>
      </c>
      <c r="O147" s="46" t="s">
        <v>99</v>
      </c>
      <c r="P147" s="46">
        <f t="array" ref="P147">WEEKDAY(B147,2)</f>
        <v>6</v>
      </c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>
      <c r="A148" s="56">
        <v>1.92589318E8</v>
      </c>
      <c r="B148" s="126">
        <v>41214.0</v>
      </c>
      <c r="C148" s="126">
        <v>41259.0</v>
      </c>
      <c r="D148" s="56" t="s">
        <v>89</v>
      </c>
      <c r="E148" s="56" t="s">
        <v>114</v>
      </c>
      <c r="F148" s="56">
        <v>4594.0</v>
      </c>
      <c r="G148" s="56" t="s">
        <v>43</v>
      </c>
      <c r="H148" s="56">
        <v>314.0</v>
      </c>
      <c r="I148" s="127">
        <v>9.33</v>
      </c>
      <c r="J148" s="127">
        <v>6.92</v>
      </c>
      <c r="K148" s="83">
        <f t="shared" si="1"/>
        <v>2929.62</v>
      </c>
      <c r="L148" s="83">
        <f t="shared" si="2"/>
        <v>2172.88</v>
      </c>
      <c r="M148" s="83">
        <f t="shared" si="3"/>
        <v>756.74</v>
      </c>
      <c r="N148" s="46" t="str">
        <f>VLOOKUP(F148,products!$A$2:$B$13,2,FALSE)</f>
        <v>Fruits</v>
      </c>
      <c r="O148" s="46" t="s">
        <v>114</v>
      </c>
      <c r="P148" s="46">
        <f t="array" ref="P148">WEEKDAY(B148,2)</f>
        <v>4</v>
      </c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>
      <c r="A149" s="56">
        <v>1.92922341E8</v>
      </c>
      <c r="B149" s="126">
        <v>41001.0</v>
      </c>
      <c r="C149" s="126">
        <v>41030.0</v>
      </c>
      <c r="D149" s="56" t="s">
        <v>10</v>
      </c>
      <c r="E149" s="56" t="s">
        <v>118</v>
      </c>
      <c r="F149" s="56">
        <v>1270.0</v>
      </c>
      <c r="G149" s="56" t="s">
        <v>42</v>
      </c>
      <c r="H149" s="56">
        <v>8863.0</v>
      </c>
      <c r="I149" s="127">
        <v>47.45</v>
      </c>
      <c r="J149" s="127">
        <v>31.79</v>
      </c>
      <c r="K149" s="83">
        <f t="shared" si="1"/>
        <v>420549.35</v>
      </c>
      <c r="L149" s="83">
        <f t="shared" si="2"/>
        <v>281754.77</v>
      </c>
      <c r="M149" s="83">
        <f t="shared" si="3"/>
        <v>138794.58</v>
      </c>
      <c r="N149" s="46" t="str">
        <f>VLOOKUP(F149,products!$A$2:$B$13,2,FALSE)</f>
        <v>Beverages</v>
      </c>
      <c r="O149" s="46" t="s">
        <v>118</v>
      </c>
      <c r="P149" s="46">
        <f t="array" ref="P149">WEEKDAY(B149,2)</f>
        <v>1</v>
      </c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>
      <c r="A150" s="56">
        <v>1.93472945E8</v>
      </c>
      <c r="B150" s="126">
        <v>42578.0</v>
      </c>
      <c r="C150" s="126">
        <v>42626.0</v>
      </c>
      <c r="D150" s="56" t="s">
        <v>89</v>
      </c>
      <c r="E150" s="56" t="s">
        <v>109</v>
      </c>
      <c r="F150" s="56">
        <v>8293.0</v>
      </c>
      <c r="G150" s="56" t="s">
        <v>42</v>
      </c>
      <c r="H150" s="56">
        <v>1799.0</v>
      </c>
      <c r="I150" s="127">
        <v>437.2</v>
      </c>
      <c r="J150" s="127">
        <v>263.33</v>
      </c>
      <c r="K150" s="83">
        <f t="shared" si="1"/>
        <v>786522.8</v>
      </c>
      <c r="L150" s="83">
        <f t="shared" si="2"/>
        <v>473730.67</v>
      </c>
      <c r="M150" s="83">
        <f t="shared" si="3"/>
        <v>312792.13</v>
      </c>
      <c r="N150" s="46" t="str">
        <f>VLOOKUP(F150,products!$A$2:$B$13,2,FALSE)</f>
        <v>Cosmetics</v>
      </c>
      <c r="O150" s="46" t="s">
        <v>109</v>
      </c>
      <c r="P150" s="46">
        <f t="array" ref="P150">WEEKDAY(B150,2)</f>
        <v>3</v>
      </c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>
      <c r="A151" s="56">
        <v>1.94176757E8</v>
      </c>
      <c r="B151" s="126">
        <v>42926.0</v>
      </c>
      <c r="C151" s="126">
        <v>42967.0</v>
      </c>
      <c r="D151" s="56" t="s">
        <v>89</v>
      </c>
      <c r="E151" s="56" t="s">
        <v>111</v>
      </c>
      <c r="F151" s="56">
        <v>7940.0</v>
      </c>
      <c r="G151" s="56" t="s">
        <v>43</v>
      </c>
      <c r="H151" s="56">
        <v>72.0</v>
      </c>
      <c r="I151" s="127">
        <v>668.27</v>
      </c>
      <c r="J151" s="127">
        <v>502.54</v>
      </c>
      <c r="K151" s="83">
        <f t="shared" si="1"/>
        <v>48115.44</v>
      </c>
      <c r="L151" s="83">
        <f t="shared" si="2"/>
        <v>36182.88</v>
      </c>
      <c r="M151" s="83">
        <f t="shared" si="3"/>
        <v>11932.56</v>
      </c>
      <c r="N151" s="46" t="str">
        <f>VLOOKUP(F151,products!$A$2:$B$13,2,FALSE)</f>
        <v>Household</v>
      </c>
      <c r="O151" s="46" t="s">
        <v>111</v>
      </c>
      <c r="P151" s="46">
        <f t="array" ref="P151">WEEKDAY(B151,2)</f>
        <v>1</v>
      </c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>
      <c r="A152" s="56">
        <v>1.94785726E8</v>
      </c>
      <c r="B152" s="126">
        <v>41928.0</v>
      </c>
      <c r="C152" s="126">
        <v>41956.0</v>
      </c>
      <c r="D152" s="56" t="s">
        <v>93</v>
      </c>
      <c r="E152" s="56" t="s">
        <v>129</v>
      </c>
      <c r="F152" s="56">
        <v>2103.0</v>
      </c>
      <c r="G152" s="56" t="s">
        <v>42</v>
      </c>
      <c r="H152" s="56">
        <v>280.0</v>
      </c>
      <c r="I152" s="127">
        <v>205.7</v>
      </c>
      <c r="J152" s="127">
        <v>117.11</v>
      </c>
      <c r="K152" s="83">
        <f t="shared" si="1"/>
        <v>57596</v>
      </c>
      <c r="L152" s="83">
        <f t="shared" si="2"/>
        <v>32790.8</v>
      </c>
      <c r="M152" s="83">
        <f t="shared" si="3"/>
        <v>24805.2</v>
      </c>
      <c r="N152" s="46" t="str">
        <f>VLOOKUP(F152,products!$A$2:$B$13,2,FALSE)</f>
        <v>Cereal</v>
      </c>
      <c r="O152" s="46" t="s">
        <v>129</v>
      </c>
      <c r="P152" s="46">
        <f t="array" ref="P152">WEEKDAY(B152,2)</f>
        <v>4</v>
      </c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>
      <c r="A153" s="56">
        <v>1.94858253E8</v>
      </c>
      <c r="B153" s="126">
        <v>40680.0</v>
      </c>
      <c r="C153" s="126">
        <v>40685.0</v>
      </c>
      <c r="D153" s="56" t="s">
        <v>93</v>
      </c>
      <c r="E153" s="56" t="s">
        <v>107</v>
      </c>
      <c r="F153" s="56">
        <v>3127.0</v>
      </c>
      <c r="G153" s="56" t="s">
        <v>43</v>
      </c>
      <c r="H153" s="56">
        <v>1742.0</v>
      </c>
      <c r="I153" s="127">
        <v>81.73</v>
      </c>
      <c r="J153" s="127">
        <v>56.67</v>
      </c>
      <c r="K153" s="83">
        <f t="shared" si="1"/>
        <v>142373.66</v>
      </c>
      <c r="L153" s="83">
        <f t="shared" si="2"/>
        <v>98719.14</v>
      </c>
      <c r="M153" s="83">
        <f t="shared" si="3"/>
        <v>43654.52</v>
      </c>
      <c r="N153" s="46" t="str">
        <f>VLOOKUP(F153,products!$A$2:$B$13,2,FALSE)</f>
        <v>Personal Care</v>
      </c>
      <c r="O153" s="46" t="s">
        <v>107</v>
      </c>
      <c r="P153" s="46">
        <f t="array" ref="P153">WEEKDAY(B153,2)</f>
        <v>2</v>
      </c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>
      <c r="A154" s="56">
        <v>1.94922626E8</v>
      </c>
      <c r="B154" s="126">
        <v>40931.0</v>
      </c>
      <c r="C154" s="126">
        <v>40946.0</v>
      </c>
      <c r="D154" s="56" t="s">
        <v>95</v>
      </c>
      <c r="E154" s="56" t="s">
        <v>101</v>
      </c>
      <c r="F154" s="56">
        <v>7331.0</v>
      </c>
      <c r="G154" s="56" t="s">
        <v>42</v>
      </c>
      <c r="H154" s="56">
        <v>791.0</v>
      </c>
      <c r="I154" s="127">
        <v>255.28</v>
      </c>
      <c r="J154" s="127">
        <v>159.42</v>
      </c>
      <c r="K154" s="83">
        <f t="shared" si="1"/>
        <v>201926.48</v>
      </c>
      <c r="L154" s="83">
        <f t="shared" si="2"/>
        <v>126101.22</v>
      </c>
      <c r="M154" s="83">
        <f t="shared" si="3"/>
        <v>75825.26</v>
      </c>
      <c r="N154" s="46" t="str">
        <f>VLOOKUP(F154,products!$A$2:$B$13,2,FALSE)</f>
        <v>Baby Food</v>
      </c>
      <c r="O154" s="46" t="s">
        <v>101</v>
      </c>
      <c r="P154" s="46">
        <f t="array" ref="P154">WEEKDAY(B154,2)</f>
        <v>1</v>
      </c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>
      <c r="A155" s="56">
        <v>1.95171105E8</v>
      </c>
      <c r="B155" s="126">
        <v>41845.0</v>
      </c>
      <c r="C155" s="126">
        <v>41886.0</v>
      </c>
      <c r="D155" s="56" t="s">
        <v>89</v>
      </c>
      <c r="E155" s="56" t="s">
        <v>130</v>
      </c>
      <c r="F155" s="56">
        <v>3127.0</v>
      </c>
      <c r="G155" s="56" t="s">
        <v>43</v>
      </c>
      <c r="H155" s="56">
        <v>4322.0</v>
      </c>
      <c r="I155" s="127">
        <v>81.73</v>
      </c>
      <c r="J155" s="127">
        <v>56.67</v>
      </c>
      <c r="K155" s="83">
        <f t="shared" si="1"/>
        <v>353237.06</v>
      </c>
      <c r="L155" s="83">
        <f t="shared" si="2"/>
        <v>244927.74</v>
      </c>
      <c r="M155" s="83">
        <f t="shared" si="3"/>
        <v>108309.32</v>
      </c>
      <c r="N155" s="46" t="str">
        <f>VLOOKUP(F155,products!$A$2:$B$13,2,FALSE)</f>
        <v>Personal Care</v>
      </c>
      <c r="O155" s="46" t="s">
        <v>130</v>
      </c>
      <c r="P155" s="46">
        <f t="array" ref="P155">WEEKDAY(B155,2)</f>
        <v>5</v>
      </c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>
      <c r="A156" s="56">
        <v>1.95212733E8</v>
      </c>
      <c r="B156" s="126">
        <v>41473.0</v>
      </c>
      <c r="C156" s="126">
        <v>41500.0</v>
      </c>
      <c r="D156" s="56" t="s">
        <v>95</v>
      </c>
      <c r="E156" s="56" t="s">
        <v>117</v>
      </c>
      <c r="F156" s="56">
        <v>2103.0</v>
      </c>
      <c r="G156" s="56" t="s">
        <v>42</v>
      </c>
      <c r="H156" s="56">
        <v>6641.0</v>
      </c>
      <c r="I156" s="127">
        <v>205.7</v>
      </c>
      <c r="J156" s="127">
        <v>117.11</v>
      </c>
      <c r="K156" s="83">
        <f t="shared" si="1"/>
        <v>1366053.7</v>
      </c>
      <c r="L156" s="83">
        <f t="shared" si="2"/>
        <v>777727.51</v>
      </c>
      <c r="M156" s="83">
        <f t="shared" si="3"/>
        <v>588326.19</v>
      </c>
      <c r="N156" s="46" t="str">
        <f>VLOOKUP(F156,products!$A$2:$B$13,2,FALSE)</f>
        <v>Cereal</v>
      </c>
      <c r="O156" s="46" t="s">
        <v>117</v>
      </c>
      <c r="P156" s="46">
        <f t="array" ref="P156">WEEKDAY(B156,2)</f>
        <v>4</v>
      </c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>
      <c r="A157" s="56">
        <v>1.95259082E8</v>
      </c>
      <c r="B157" s="126">
        <v>41543.0</v>
      </c>
      <c r="C157" s="126">
        <v>41558.0</v>
      </c>
      <c r="D157" s="56" t="s">
        <v>93</v>
      </c>
      <c r="E157" s="56" t="s">
        <v>138</v>
      </c>
      <c r="F157" s="56">
        <v>7940.0</v>
      </c>
      <c r="G157" s="56" t="s">
        <v>43</v>
      </c>
      <c r="H157" s="56">
        <v>356.0</v>
      </c>
      <c r="I157" s="127">
        <v>668.27</v>
      </c>
      <c r="J157" s="127">
        <v>502.54</v>
      </c>
      <c r="K157" s="83">
        <f t="shared" si="1"/>
        <v>237904.12</v>
      </c>
      <c r="L157" s="83">
        <f t="shared" si="2"/>
        <v>178904.24</v>
      </c>
      <c r="M157" s="83">
        <f t="shared" si="3"/>
        <v>58999.88</v>
      </c>
      <c r="N157" s="46" t="str">
        <f>VLOOKUP(F157,products!$A$2:$B$13,2,FALSE)</f>
        <v>Household</v>
      </c>
      <c r="O157" s="46" t="s">
        <v>138</v>
      </c>
      <c r="P157" s="46">
        <f t="array" ref="P157">WEEKDAY(B157,2)</f>
        <v>4</v>
      </c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>
      <c r="A158" s="56">
        <v>1.96346127E8</v>
      </c>
      <c r="B158" s="126">
        <v>40602.0</v>
      </c>
      <c r="C158" s="126">
        <v>40645.0</v>
      </c>
      <c r="D158" s="56" t="s">
        <v>95</v>
      </c>
      <c r="E158" s="56" t="s">
        <v>101</v>
      </c>
      <c r="F158" s="56">
        <v>8969.0</v>
      </c>
      <c r="G158" s="56" t="s">
        <v>43</v>
      </c>
      <c r="H158" s="56">
        <v>2037.0</v>
      </c>
      <c r="I158" s="127">
        <v>152.58</v>
      </c>
      <c r="J158" s="127">
        <v>97.44</v>
      </c>
      <c r="K158" s="83">
        <f t="shared" si="1"/>
        <v>310805.46</v>
      </c>
      <c r="L158" s="83">
        <f t="shared" si="2"/>
        <v>198485.28</v>
      </c>
      <c r="M158" s="83">
        <f t="shared" si="3"/>
        <v>112320.18</v>
      </c>
      <c r="N158" s="46" t="str">
        <f>VLOOKUP(F158,products!$A$2:$B$13,2,FALSE)</f>
        <v>Snacks</v>
      </c>
      <c r="O158" s="46" t="s">
        <v>101</v>
      </c>
      <c r="P158" s="46">
        <f t="array" ref="P158">WEEKDAY(B158,2)</f>
        <v>1</v>
      </c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>
      <c r="A159" s="56">
        <v>1.98537814E8</v>
      </c>
      <c r="B159" s="126">
        <v>40873.0</v>
      </c>
      <c r="C159" s="126">
        <v>40896.0</v>
      </c>
      <c r="D159" s="56" t="s">
        <v>10</v>
      </c>
      <c r="E159" s="56" t="s">
        <v>135</v>
      </c>
      <c r="F159" s="56">
        <v>8875.0</v>
      </c>
      <c r="G159" s="56" t="s">
        <v>43</v>
      </c>
      <c r="H159" s="56">
        <v>606.0</v>
      </c>
      <c r="I159" s="127">
        <v>421.89</v>
      </c>
      <c r="J159" s="127">
        <v>364.69</v>
      </c>
      <c r="K159" s="83">
        <f t="shared" si="1"/>
        <v>255665.34</v>
      </c>
      <c r="L159" s="83">
        <f t="shared" si="2"/>
        <v>221002.14</v>
      </c>
      <c r="M159" s="83">
        <f t="shared" si="3"/>
        <v>34663.2</v>
      </c>
      <c r="N159" s="46" t="str">
        <f>VLOOKUP(F159,products!$A$2:$B$13,2,FALSE)</f>
        <v>Meat</v>
      </c>
      <c r="O159" s="46" t="s">
        <v>135</v>
      </c>
      <c r="P159" s="46">
        <f t="array" ref="P159">WEEKDAY(B159,2)</f>
        <v>6</v>
      </c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>
      <c r="A160" s="56">
        <v>2.0035485E8</v>
      </c>
      <c r="B160" s="126">
        <v>41730.0</v>
      </c>
      <c r="C160" s="126">
        <v>41763.0</v>
      </c>
      <c r="D160" s="56" t="s">
        <v>95</v>
      </c>
      <c r="E160" s="56" t="s">
        <v>119</v>
      </c>
      <c r="F160" s="56">
        <v>7331.0</v>
      </c>
      <c r="G160" s="56" t="s">
        <v>42</v>
      </c>
      <c r="H160" s="56">
        <v>8307.0</v>
      </c>
      <c r="I160" s="127">
        <v>255.28</v>
      </c>
      <c r="J160" s="127">
        <v>159.42</v>
      </c>
      <c r="K160" s="83">
        <f t="shared" si="1"/>
        <v>2120610.96</v>
      </c>
      <c r="L160" s="83">
        <f t="shared" si="2"/>
        <v>1324301.94</v>
      </c>
      <c r="M160" s="83">
        <f t="shared" si="3"/>
        <v>796309.02</v>
      </c>
      <c r="N160" s="46" t="str">
        <f>VLOOKUP(F160,products!$A$2:$B$13,2,FALSE)</f>
        <v>Baby Food</v>
      </c>
      <c r="O160" s="46" t="s">
        <v>119</v>
      </c>
      <c r="P160" s="46">
        <f t="array" ref="P160">WEEKDAY(B160,2)</f>
        <v>2</v>
      </c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>
      <c r="A161" s="56">
        <v>2.00432097E8</v>
      </c>
      <c r="B161" s="126">
        <v>40925.0</v>
      </c>
      <c r="C161" s="126">
        <v>40939.0</v>
      </c>
      <c r="D161" s="56" t="s">
        <v>93</v>
      </c>
      <c r="E161" s="56" t="s">
        <v>115</v>
      </c>
      <c r="F161" s="56">
        <v>7940.0</v>
      </c>
      <c r="G161" s="56" t="s">
        <v>43</v>
      </c>
      <c r="H161" s="56">
        <v>1167.0</v>
      </c>
      <c r="I161" s="127">
        <v>668.27</v>
      </c>
      <c r="J161" s="127">
        <v>502.54</v>
      </c>
      <c r="K161" s="83">
        <f t="shared" si="1"/>
        <v>779871.09</v>
      </c>
      <c r="L161" s="83">
        <f t="shared" si="2"/>
        <v>586464.18</v>
      </c>
      <c r="M161" s="83">
        <f t="shared" si="3"/>
        <v>193406.91</v>
      </c>
      <c r="N161" s="46" t="str">
        <f>VLOOKUP(F161,products!$A$2:$B$13,2,FALSE)</f>
        <v>Household</v>
      </c>
      <c r="O161" s="46" t="s">
        <v>115</v>
      </c>
      <c r="P161" s="46">
        <f t="array" ref="P161">WEEKDAY(B161,2)</f>
        <v>2</v>
      </c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>
      <c r="A162" s="56">
        <v>2.00507199E8</v>
      </c>
      <c r="B162" s="126">
        <v>41679.0</v>
      </c>
      <c r="C162" s="126">
        <v>41695.0</v>
      </c>
      <c r="D162" s="56" t="s">
        <v>10</v>
      </c>
      <c r="E162" s="56" t="s">
        <v>125</v>
      </c>
      <c r="F162" s="56">
        <v>8681.0</v>
      </c>
      <c r="G162" s="56" t="s">
        <v>42</v>
      </c>
      <c r="H162" s="56">
        <v>3391.0</v>
      </c>
      <c r="I162" s="127">
        <v>651.21</v>
      </c>
      <c r="J162" s="127">
        <v>524.96</v>
      </c>
      <c r="K162" s="83">
        <f t="shared" si="1"/>
        <v>2208253.11</v>
      </c>
      <c r="L162" s="83">
        <f t="shared" si="2"/>
        <v>1780139.36</v>
      </c>
      <c r="M162" s="83">
        <f t="shared" si="3"/>
        <v>428113.75</v>
      </c>
      <c r="N162" s="46" t="str">
        <f>VLOOKUP(F162,products!$A$2:$B$13,2,FALSE)</f>
        <v>Office Supplies</v>
      </c>
      <c r="O162" s="46" t="s">
        <v>125</v>
      </c>
      <c r="P162" s="46">
        <f t="array" ref="P162">WEEKDAY(B162,2)</f>
        <v>7</v>
      </c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>
      <c r="A163" s="56">
        <v>2.01294267E8</v>
      </c>
      <c r="B163" s="126">
        <v>41283.0</v>
      </c>
      <c r="C163" s="126">
        <v>41314.0</v>
      </c>
      <c r="D163" s="56" t="s">
        <v>93</v>
      </c>
      <c r="E163" s="56" t="s">
        <v>120</v>
      </c>
      <c r="F163" s="56">
        <v>8969.0</v>
      </c>
      <c r="G163" s="56" t="s">
        <v>42</v>
      </c>
      <c r="H163" s="56">
        <v>6302.0</v>
      </c>
      <c r="I163" s="127">
        <v>152.58</v>
      </c>
      <c r="J163" s="127">
        <v>97.44</v>
      </c>
      <c r="K163" s="83">
        <f t="shared" si="1"/>
        <v>961559.16</v>
      </c>
      <c r="L163" s="83">
        <f t="shared" si="2"/>
        <v>614066.88</v>
      </c>
      <c r="M163" s="83">
        <f t="shared" si="3"/>
        <v>347492.28</v>
      </c>
      <c r="N163" s="46" t="str">
        <f>VLOOKUP(F163,products!$A$2:$B$13,2,FALSE)</f>
        <v>Snacks</v>
      </c>
      <c r="O163" s="46" t="s">
        <v>120</v>
      </c>
      <c r="P163" s="46">
        <f t="array" ref="P163">WEEKDAY(B163,2)</f>
        <v>3</v>
      </c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>
      <c r="A164" s="56">
        <v>2.02047002E8</v>
      </c>
      <c r="B164" s="126">
        <v>40937.0</v>
      </c>
      <c r="C164" s="126">
        <v>40974.0</v>
      </c>
      <c r="D164" s="56" t="s">
        <v>95</v>
      </c>
      <c r="E164" s="56" t="s">
        <v>113</v>
      </c>
      <c r="F164" s="56">
        <v>8293.0</v>
      </c>
      <c r="G164" s="56" t="s">
        <v>43</v>
      </c>
      <c r="H164" s="56">
        <v>9053.0</v>
      </c>
      <c r="I164" s="127">
        <v>437.2</v>
      </c>
      <c r="J164" s="127">
        <v>263.33</v>
      </c>
      <c r="K164" s="83">
        <f t="shared" si="1"/>
        <v>3957971.6</v>
      </c>
      <c r="L164" s="83">
        <f t="shared" si="2"/>
        <v>2383926.49</v>
      </c>
      <c r="M164" s="83">
        <f t="shared" si="3"/>
        <v>1574045.11</v>
      </c>
      <c r="N164" s="46" t="str">
        <f>VLOOKUP(F164,products!$A$2:$B$13,2,FALSE)</f>
        <v>Cosmetics</v>
      </c>
      <c r="O164" s="46" t="s">
        <v>113</v>
      </c>
      <c r="P164" s="46">
        <f t="array" ref="P164">WEEKDAY(B164,2)</f>
        <v>7</v>
      </c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>
      <c r="A165" s="56">
        <v>2.0303663E8</v>
      </c>
      <c r="B165" s="126">
        <v>42179.0</v>
      </c>
      <c r="C165" s="126">
        <v>42213.0</v>
      </c>
      <c r="D165" s="56" t="s">
        <v>93</v>
      </c>
      <c r="E165" s="56" t="s">
        <v>102</v>
      </c>
      <c r="F165" s="56">
        <v>7331.0</v>
      </c>
      <c r="G165" s="56" t="s">
        <v>43</v>
      </c>
      <c r="H165" s="56">
        <v>1905.0</v>
      </c>
      <c r="I165" s="127">
        <v>255.28</v>
      </c>
      <c r="J165" s="127">
        <v>159.42</v>
      </c>
      <c r="K165" s="83">
        <f t="shared" si="1"/>
        <v>486308.4</v>
      </c>
      <c r="L165" s="83">
        <f t="shared" si="2"/>
        <v>303695.1</v>
      </c>
      <c r="M165" s="83">
        <f t="shared" si="3"/>
        <v>182613.3</v>
      </c>
      <c r="N165" s="46" t="str">
        <f>VLOOKUP(F165,products!$A$2:$B$13,2,FALSE)</f>
        <v>Baby Food</v>
      </c>
      <c r="O165" s="46" t="s">
        <v>102</v>
      </c>
      <c r="P165" s="46">
        <f t="array" ref="P165">WEEKDAY(B165,2)</f>
        <v>3</v>
      </c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>
      <c r="A166" s="56">
        <v>2.03955876E8</v>
      </c>
      <c r="B166" s="126">
        <v>40344.0</v>
      </c>
      <c r="C166" s="126">
        <v>40377.0</v>
      </c>
      <c r="D166" s="56" t="s">
        <v>89</v>
      </c>
      <c r="E166" s="56" t="s">
        <v>137</v>
      </c>
      <c r="F166" s="56">
        <v>2103.0</v>
      </c>
      <c r="G166" s="56" t="s">
        <v>43</v>
      </c>
      <c r="H166" s="56">
        <v>3931.0</v>
      </c>
      <c r="I166" s="127">
        <v>205.7</v>
      </c>
      <c r="J166" s="127">
        <v>117.11</v>
      </c>
      <c r="K166" s="83">
        <f t="shared" si="1"/>
        <v>808606.7</v>
      </c>
      <c r="L166" s="83">
        <f t="shared" si="2"/>
        <v>460359.41</v>
      </c>
      <c r="M166" s="83">
        <f t="shared" si="3"/>
        <v>348247.29</v>
      </c>
      <c r="N166" s="46" t="str">
        <f>VLOOKUP(F166,products!$A$2:$B$13,2,FALSE)</f>
        <v>Cereal</v>
      </c>
      <c r="O166" s="46" t="s">
        <v>137</v>
      </c>
      <c r="P166" s="46">
        <f t="array" ref="P166">WEEKDAY(B166,2)</f>
        <v>2</v>
      </c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>
      <c r="A167" s="56">
        <v>2.04392325E8</v>
      </c>
      <c r="B167" s="126">
        <v>40775.0</v>
      </c>
      <c r="C167" s="126">
        <v>40812.0</v>
      </c>
      <c r="D167" s="56" t="s">
        <v>95</v>
      </c>
      <c r="E167" s="56" t="s">
        <v>123</v>
      </c>
      <c r="F167" s="56">
        <v>8681.0</v>
      </c>
      <c r="G167" s="56" t="s">
        <v>43</v>
      </c>
      <c r="H167" s="56">
        <v>3086.0</v>
      </c>
      <c r="I167" s="127">
        <v>651.21</v>
      </c>
      <c r="J167" s="127">
        <v>524.96</v>
      </c>
      <c r="K167" s="83">
        <f t="shared" si="1"/>
        <v>2009634.06</v>
      </c>
      <c r="L167" s="83">
        <f t="shared" si="2"/>
        <v>1620026.56</v>
      </c>
      <c r="M167" s="83">
        <f t="shared" si="3"/>
        <v>389607.5</v>
      </c>
      <c r="N167" s="46" t="str">
        <f>VLOOKUP(F167,products!$A$2:$B$13,2,FALSE)</f>
        <v>Office Supplies</v>
      </c>
      <c r="O167" s="46" t="s">
        <v>123</v>
      </c>
      <c r="P167" s="46">
        <f t="array" ref="P167">WEEKDAY(B167,2)</f>
        <v>6</v>
      </c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>
      <c r="A168" s="56">
        <v>2.04418504E8</v>
      </c>
      <c r="B168" s="126">
        <v>42223.0</v>
      </c>
      <c r="C168" s="126">
        <v>42250.0</v>
      </c>
      <c r="D168" s="56" t="s">
        <v>10</v>
      </c>
      <c r="E168" s="56" t="s">
        <v>100</v>
      </c>
      <c r="F168" s="56">
        <v>5988.0</v>
      </c>
      <c r="G168" s="56" t="s">
        <v>42</v>
      </c>
      <c r="H168" s="56">
        <v>833.0</v>
      </c>
      <c r="I168" s="127">
        <v>154.06</v>
      </c>
      <c r="J168" s="127">
        <v>90.93</v>
      </c>
      <c r="K168" s="83">
        <f t="shared" si="1"/>
        <v>128331.98</v>
      </c>
      <c r="L168" s="83">
        <f t="shared" si="2"/>
        <v>75744.69</v>
      </c>
      <c r="M168" s="83">
        <f t="shared" si="3"/>
        <v>52587.29</v>
      </c>
      <c r="N168" s="46" t="str">
        <f>VLOOKUP(F168,products!$A$2:$B$13,2,FALSE)</f>
        <v>Vegetables</v>
      </c>
      <c r="O168" s="46" t="s">
        <v>100</v>
      </c>
      <c r="P168" s="46">
        <f t="array" ref="P168">WEEKDAY(B168,2)</f>
        <v>5</v>
      </c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>
      <c r="A169" s="56">
        <v>2.05354487E8</v>
      </c>
      <c r="B169" s="126">
        <v>40951.0</v>
      </c>
      <c r="C169" s="126">
        <v>40959.0</v>
      </c>
      <c r="D169" s="56" t="s">
        <v>95</v>
      </c>
      <c r="E169" s="56" t="s">
        <v>133</v>
      </c>
      <c r="F169" s="56">
        <v>8293.0</v>
      </c>
      <c r="G169" s="56" t="s">
        <v>42</v>
      </c>
      <c r="H169" s="56">
        <v>7811.0</v>
      </c>
      <c r="I169" s="127">
        <v>437.2</v>
      </c>
      <c r="J169" s="127">
        <v>263.33</v>
      </c>
      <c r="K169" s="83">
        <f t="shared" si="1"/>
        <v>3414969.2</v>
      </c>
      <c r="L169" s="83">
        <f t="shared" si="2"/>
        <v>2056870.63</v>
      </c>
      <c r="M169" s="83">
        <f t="shared" si="3"/>
        <v>1358098.57</v>
      </c>
      <c r="N169" s="46" t="str">
        <f>VLOOKUP(F169,products!$A$2:$B$13,2,FALSE)</f>
        <v>Cosmetics</v>
      </c>
      <c r="O169" s="46" t="s">
        <v>133</v>
      </c>
      <c r="P169" s="46">
        <f t="array" ref="P169">WEEKDAY(B169,2)</f>
        <v>7</v>
      </c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>
      <c r="A170" s="56">
        <v>2.08238399E8</v>
      </c>
      <c r="B170" s="126">
        <v>42245.0</v>
      </c>
      <c r="C170" s="126">
        <v>42292.0</v>
      </c>
      <c r="D170" s="56" t="s">
        <v>93</v>
      </c>
      <c r="E170" s="56" t="s">
        <v>131</v>
      </c>
      <c r="F170" s="56">
        <v>8293.0</v>
      </c>
      <c r="G170" s="56" t="s">
        <v>42</v>
      </c>
      <c r="H170" s="56">
        <v>1224.0</v>
      </c>
      <c r="I170" s="127">
        <v>437.2</v>
      </c>
      <c r="J170" s="127">
        <v>263.33</v>
      </c>
      <c r="K170" s="83">
        <f t="shared" si="1"/>
        <v>535132.8</v>
      </c>
      <c r="L170" s="83">
        <f t="shared" si="2"/>
        <v>322315.92</v>
      </c>
      <c r="M170" s="83">
        <f t="shared" si="3"/>
        <v>212816.88</v>
      </c>
      <c r="N170" s="46" t="str">
        <f>VLOOKUP(F170,products!$A$2:$B$13,2,FALSE)</f>
        <v>Cosmetics</v>
      </c>
      <c r="O170" s="46" t="s">
        <v>131</v>
      </c>
      <c r="P170" s="46">
        <f t="array" ref="P170">WEEKDAY(B170,2)</f>
        <v>6</v>
      </c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>
      <c r="A171" s="56">
        <v>2.08365428E8</v>
      </c>
      <c r="B171" s="126">
        <v>42335.0</v>
      </c>
      <c r="C171" s="126">
        <v>42367.0</v>
      </c>
      <c r="D171" s="56" t="s">
        <v>89</v>
      </c>
      <c r="E171" s="56" t="s">
        <v>106</v>
      </c>
      <c r="F171" s="56">
        <v>8681.0</v>
      </c>
      <c r="G171" s="56" t="s">
        <v>42</v>
      </c>
      <c r="H171" s="56">
        <v>8815.0</v>
      </c>
      <c r="I171" s="127">
        <v>651.21</v>
      </c>
      <c r="J171" s="127">
        <v>524.96</v>
      </c>
      <c r="K171" s="83">
        <f t="shared" si="1"/>
        <v>5740416.15</v>
      </c>
      <c r="L171" s="83">
        <f t="shared" si="2"/>
        <v>4627522.4</v>
      </c>
      <c r="M171" s="83">
        <f t="shared" si="3"/>
        <v>1112893.75</v>
      </c>
      <c r="N171" s="46" t="str">
        <f>VLOOKUP(F171,products!$A$2:$B$13,2,FALSE)</f>
        <v>Office Supplies</v>
      </c>
      <c r="O171" s="46" t="s">
        <v>106</v>
      </c>
      <c r="P171" s="46">
        <f t="array" ref="P171">WEEKDAY(B171,2)</f>
        <v>5</v>
      </c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>
      <c r="A172" s="56">
        <v>2.09357202E8</v>
      </c>
      <c r="B172" s="126">
        <v>42018.0</v>
      </c>
      <c r="C172" s="126">
        <v>42026.0</v>
      </c>
      <c r="D172" s="56" t="s">
        <v>95</v>
      </c>
      <c r="E172" s="56" t="s">
        <v>96</v>
      </c>
      <c r="F172" s="56">
        <v>2103.0</v>
      </c>
      <c r="G172" s="56" t="s">
        <v>43</v>
      </c>
      <c r="H172" s="56">
        <v>2303.0</v>
      </c>
      <c r="I172" s="127">
        <v>205.7</v>
      </c>
      <c r="J172" s="127">
        <v>117.11</v>
      </c>
      <c r="K172" s="83">
        <f t="shared" si="1"/>
        <v>473727.1</v>
      </c>
      <c r="L172" s="83">
        <f t="shared" si="2"/>
        <v>269704.33</v>
      </c>
      <c r="M172" s="83">
        <f t="shared" si="3"/>
        <v>204022.77</v>
      </c>
      <c r="N172" s="46" t="str">
        <f>VLOOKUP(F172,products!$A$2:$B$13,2,FALSE)</f>
        <v>Cereal</v>
      </c>
      <c r="O172" s="46" t="s">
        <v>96</v>
      </c>
      <c r="P172" s="46">
        <f t="array" ref="P172">WEEKDAY(B172,2)</f>
        <v>3</v>
      </c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>
      <c r="A173" s="56">
        <v>2.09445178E8</v>
      </c>
      <c r="B173" s="126">
        <v>41716.0</v>
      </c>
      <c r="C173" s="126">
        <v>41749.0</v>
      </c>
      <c r="D173" s="56" t="s">
        <v>89</v>
      </c>
      <c r="E173" s="56" t="s">
        <v>122</v>
      </c>
      <c r="F173" s="56">
        <v>8293.0</v>
      </c>
      <c r="G173" s="56" t="s">
        <v>42</v>
      </c>
      <c r="H173" s="56">
        <v>8337.0</v>
      </c>
      <c r="I173" s="127">
        <v>437.2</v>
      </c>
      <c r="J173" s="127">
        <v>263.33</v>
      </c>
      <c r="K173" s="83">
        <f t="shared" si="1"/>
        <v>3644936.4</v>
      </c>
      <c r="L173" s="83">
        <f t="shared" si="2"/>
        <v>2195382.21</v>
      </c>
      <c r="M173" s="83">
        <f t="shared" si="3"/>
        <v>1449554.19</v>
      </c>
      <c r="N173" s="46" t="str">
        <f>VLOOKUP(F173,products!$A$2:$B$13,2,FALSE)</f>
        <v>Cosmetics</v>
      </c>
      <c r="O173" s="46" t="s">
        <v>122</v>
      </c>
      <c r="P173" s="46">
        <f t="array" ref="P173">WEEKDAY(B173,2)</f>
        <v>2</v>
      </c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>
      <c r="A174" s="56">
        <v>2.09598815E8</v>
      </c>
      <c r="B174" s="126">
        <v>41283.0</v>
      </c>
      <c r="C174" s="126">
        <v>41285.0</v>
      </c>
      <c r="D174" s="56" t="s">
        <v>93</v>
      </c>
      <c r="E174" s="56" t="s">
        <v>108</v>
      </c>
      <c r="F174" s="56">
        <v>2455.0</v>
      </c>
      <c r="G174" s="56" t="s">
        <v>42</v>
      </c>
      <c r="H174" s="56">
        <v>3802.0</v>
      </c>
      <c r="I174" s="127">
        <v>109.28</v>
      </c>
      <c r="J174" s="127">
        <v>35.84</v>
      </c>
      <c r="K174" s="83">
        <f t="shared" si="1"/>
        <v>415482.56</v>
      </c>
      <c r="L174" s="83">
        <f t="shared" si="2"/>
        <v>136263.68</v>
      </c>
      <c r="M174" s="83">
        <f t="shared" si="3"/>
        <v>279218.88</v>
      </c>
      <c r="N174" s="46" t="str">
        <f>VLOOKUP(F174,products!$A$2:$B$13,2,FALSE)</f>
        <v>Clothes</v>
      </c>
      <c r="O174" s="46" t="s">
        <v>108</v>
      </c>
      <c r="P174" s="46">
        <f t="array" ref="P174">WEEKDAY(B174,2)</f>
        <v>3</v>
      </c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>
      <c r="A175" s="56">
        <v>2.09736573E8</v>
      </c>
      <c r="B175" s="126">
        <v>41875.0</v>
      </c>
      <c r="C175" s="126">
        <v>41906.0</v>
      </c>
      <c r="D175" s="56" t="s">
        <v>10</v>
      </c>
      <c r="E175" s="56" t="s">
        <v>91</v>
      </c>
      <c r="F175" s="56">
        <v>8681.0</v>
      </c>
      <c r="G175" s="56" t="s">
        <v>42</v>
      </c>
      <c r="H175" s="56">
        <v>4568.0</v>
      </c>
      <c r="I175" s="127">
        <v>651.21</v>
      </c>
      <c r="J175" s="127">
        <v>524.96</v>
      </c>
      <c r="K175" s="83">
        <f t="shared" si="1"/>
        <v>2974727.28</v>
      </c>
      <c r="L175" s="83">
        <f t="shared" si="2"/>
        <v>2398017.28</v>
      </c>
      <c r="M175" s="83">
        <f t="shared" si="3"/>
        <v>576710</v>
      </c>
      <c r="N175" s="46" t="str">
        <f>VLOOKUP(F175,products!$A$2:$B$13,2,FALSE)</f>
        <v>Office Supplies</v>
      </c>
      <c r="O175" s="46" t="s">
        <v>91</v>
      </c>
      <c r="P175" s="46">
        <f t="array" ref="P175">WEEKDAY(B175,2)</f>
        <v>7</v>
      </c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>
      <c r="A176" s="56">
        <v>2.11344611E8</v>
      </c>
      <c r="B176" s="126">
        <v>40238.0</v>
      </c>
      <c r="C176" s="126">
        <v>40260.0</v>
      </c>
      <c r="D176" s="56" t="s">
        <v>93</v>
      </c>
      <c r="E176" s="56" t="s">
        <v>125</v>
      </c>
      <c r="F176" s="56">
        <v>8969.0</v>
      </c>
      <c r="G176" s="56" t="s">
        <v>42</v>
      </c>
      <c r="H176" s="56">
        <v>422.0</v>
      </c>
      <c r="I176" s="127">
        <v>152.58</v>
      </c>
      <c r="J176" s="127">
        <v>97.44</v>
      </c>
      <c r="K176" s="83">
        <f t="shared" si="1"/>
        <v>64388.76</v>
      </c>
      <c r="L176" s="83">
        <f t="shared" si="2"/>
        <v>41119.68</v>
      </c>
      <c r="M176" s="83">
        <f t="shared" si="3"/>
        <v>23269.08</v>
      </c>
      <c r="N176" s="46" t="str">
        <f>VLOOKUP(F176,products!$A$2:$B$13,2,FALSE)</f>
        <v>Snacks</v>
      </c>
      <c r="O176" s="46" t="s">
        <v>125</v>
      </c>
      <c r="P176" s="46">
        <f t="array" ref="P176">WEEKDAY(B176,2)</f>
        <v>1</v>
      </c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>
      <c r="A177" s="56">
        <v>2.12106788E8</v>
      </c>
      <c r="B177" s="126">
        <v>40778.0</v>
      </c>
      <c r="C177" s="126">
        <v>40812.0</v>
      </c>
      <c r="D177" s="56" t="s">
        <v>95</v>
      </c>
      <c r="E177" s="56" t="s">
        <v>110</v>
      </c>
      <c r="F177" s="56">
        <v>8681.0</v>
      </c>
      <c r="G177" s="56" t="s">
        <v>43</v>
      </c>
      <c r="H177" s="56">
        <v>5967.0</v>
      </c>
      <c r="I177" s="127">
        <v>651.21</v>
      </c>
      <c r="J177" s="127">
        <v>524.96</v>
      </c>
      <c r="K177" s="83">
        <f t="shared" si="1"/>
        <v>3885770.07</v>
      </c>
      <c r="L177" s="83">
        <f t="shared" si="2"/>
        <v>3132436.32</v>
      </c>
      <c r="M177" s="83">
        <f t="shared" si="3"/>
        <v>753333.75</v>
      </c>
      <c r="N177" s="46" t="str">
        <f>VLOOKUP(F177,products!$A$2:$B$13,2,FALSE)</f>
        <v>Office Supplies</v>
      </c>
      <c r="O177" s="46" t="s">
        <v>110</v>
      </c>
      <c r="P177" s="46">
        <f t="array" ref="P177">WEEKDAY(B177,2)</f>
        <v>2</v>
      </c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>
      <c r="A178" s="56">
        <v>2.12319648E8</v>
      </c>
      <c r="B178" s="126">
        <v>42124.0</v>
      </c>
      <c r="C178" s="126">
        <v>42139.0</v>
      </c>
      <c r="D178" s="56" t="s">
        <v>93</v>
      </c>
      <c r="E178" s="56" t="s">
        <v>119</v>
      </c>
      <c r="F178" s="56">
        <v>1270.0</v>
      </c>
      <c r="G178" s="56" t="s">
        <v>42</v>
      </c>
      <c r="H178" s="56">
        <v>8957.0</v>
      </c>
      <c r="I178" s="127">
        <v>47.45</v>
      </c>
      <c r="J178" s="127">
        <v>31.79</v>
      </c>
      <c r="K178" s="83">
        <f t="shared" si="1"/>
        <v>425009.65</v>
      </c>
      <c r="L178" s="83">
        <f t="shared" si="2"/>
        <v>284743.03</v>
      </c>
      <c r="M178" s="83">
        <f t="shared" si="3"/>
        <v>140266.62</v>
      </c>
      <c r="N178" s="46" t="str">
        <f>VLOOKUP(F178,products!$A$2:$B$13,2,FALSE)</f>
        <v>Beverages</v>
      </c>
      <c r="O178" s="46" t="s">
        <v>119</v>
      </c>
      <c r="P178" s="46">
        <f t="array" ref="P178">WEEKDAY(B178,2)</f>
        <v>4</v>
      </c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>
      <c r="A179" s="56">
        <v>2.12903726E8</v>
      </c>
      <c r="B179" s="126">
        <v>42061.0</v>
      </c>
      <c r="C179" s="126">
        <v>42061.0</v>
      </c>
      <c r="D179" s="56" t="s">
        <v>93</v>
      </c>
      <c r="E179" s="56" t="s">
        <v>128</v>
      </c>
      <c r="F179" s="56">
        <v>8875.0</v>
      </c>
      <c r="G179" s="56" t="s">
        <v>43</v>
      </c>
      <c r="H179" s="56">
        <v>1798.0</v>
      </c>
      <c r="I179" s="127">
        <v>421.89</v>
      </c>
      <c r="J179" s="127">
        <v>364.69</v>
      </c>
      <c r="K179" s="83">
        <f t="shared" si="1"/>
        <v>758558.22</v>
      </c>
      <c r="L179" s="83">
        <f t="shared" si="2"/>
        <v>655712.62</v>
      </c>
      <c r="M179" s="83">
        <f t="shared" si="3"/>
        <v>102845.6</v>
      </c>
      <c r="N179" s="46" t="str">
        <f>VLOOKUP(F179,products!$A$2:$B$13,2,FALSE)</f>
        <v>Meat</v>
      </c>
      <c r="O179" s="46" t="s">
        <v>128</v>
      </c>
      <c r="P179" s="46">
        <f t="array" ref="P179">WEEKDAY(B179,2)</f>
        <v>4</v>
      </c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>
      <c r="A180" s="56">
        <v>2.14033257E8</v>
      </c>
      <c r="B180" s="126">
        <v>42337.0</v>
      </c>
      <c r="C180" s="126">
        <v>42341.0</v>
      </c>
      <c r="D180" s="56" t="s">
        <v>93</v>
      </c>
      <c r="E180" s="56" t="s">
        <v>111</v>
      </c>
      <c r="F180" s="56">
        <v>8969.0</v>
      </c>
      <c r="G180" s="56" t="s">
        <v>42</v>
      </c>
      <c r="H180" s="56">
        <v>6052.0</v>
      </c>
      <c r="I180" s="127">
        <v>152.58</v>
      </c>
      <c r="J180" s="127">
        <v>97.44</v>
      </c>
      <c r="K180" s="83">
        <f t="shared" si="1"/>
        <v>923414.16</v>
      </c>
      <c r="L180" s="83">
        <f t="shared" si="2"/>
        <v>589706.88</v>
      </c>
      <c r="M180" s="83">
        <f t="shared" si="3"/>
        <v>333707.28</v>
      </c>
      <c r="N180" s="46" t="str">
        <f>VLOOKUP(F180,products!$A$2:$B$13,2,FALSE)</f>
        <v>Snacks</v>
      </c>
      <c r="O180" s="46" t="s">
        <v>111</v>
      </c>
      <c r="P180" s="46">
        <f t="array" ref="P180">WEEKDAY(B180,2)</f>
        <v>7</v>
      </c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>
      <c r="A181" s="56">
        <v>2.14292466E8</v>
      </c>
      <c r="B181" s="126">
        <v>40988.0</v>
      </c>
      <c r="C181" s="126">
        <v>41012.0</v>
      </c>
      <c r="D181" s="56" t="s">
        <v>93</v>
      </c>
      <c r="E181" s="56" t="s">
        <v>122</v>
      </c>
      <c r="F181" s="56">
        <v>8969.0</v>
      </c>
      <c r="G181" s="56" t="s">
        <v>43</v>
      </c>
      <c r="H181" s="56">
        <v>2758.0</v>
      </c>
      <c r="I181" s="127">
        <v>152.58</v>
      </c>
      <c r="J181" s="127">
        <v>97.44</v>
      </c>
      <c r="K181" s="83">
        <f t="shared" si="1"/>
        <v>420815.64</v>
      </c>
      <c r="L181" s="83">
        <f t="shared" si="2"/>
        <v>268739.52</v>
      </c>
      <c r="M181" s="83">
        <f t="shared" si="3"/>
        <v>152076.12</v>
      </c>
      <c r="N181" s="46" t="str">
        <f>VLOOKUP(F181,products!$A$2:$B$13,2,FALSE)</f>
        <v>Snacks</v>
      </c>
      <c r="O181" s="46" t="s">
        <v>122</v>
      </c>
      <c r="P181" s="46">
        <f t="array" ref="P181">WEEKDAY(B181,2)</f>
        <v>2</v>
      </c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>
      <c r="A182" s="56">
        <v>2.15540015E8</v>
      </c>
      <c r="B182" s="126">
        <v>41264.0</v>
      </c>
      <c r="C182" s="126">
        <v>41267.0</v>
      </c>
      <c r="D182" s="56" t="s">
        <v>89</v>
      </c>
      <c r="E182" s="56" t="s">
        <v>105</v>
      </c>
      <c r="F182" s="56">
        <v>3127.0</v>
      </c>
      <c r="G182" s="56" t="s">
        <v>42</v>
      </c>
      <c r="H182" s="56">
        <v>1935.0</v>
      </c>
      <c r="I182" s="127">
        <v>81.73</v>
      </c>
      <c r="J182" s="127">
        <v>56.67</v>
      </c>
      <c r="K182" s="83">
        <f t="shared" si="1"/>
        <v>158147.55</v>
      </c>
      <c r="L182" s="83">
        <f t="shared" si="2"/>
        <v>109656.45</v>
      </c>
      <c r="M182" s="83">
        <f t="shared" si="3"/>
        <v>48491.1</v>
      </c>
      <c r="N182" s="46" t="str">
        <f>VLOOKUP(F182,products!$A$2:$B$13,2,FALSE)</f>
        <v>Personal Care</v>
      </c>
      <c r="O182" s="46" t="s">
        <v>105</v>
      </c>
      <c r="P182" s="46">
        <f t="array" ref="P182">WEEKDAY(B182,2)</f>
        <v>5</v>
      </c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>
      <c r="A183" s="56">
        <v>2.15584218E8</v>
      </c>
      <c r="B183" s="126">
        <v>42893.0</v>
      </c>
      <c r="C183" s="126">
        <v>42907.0</v>
      </c>
      <c r="D183" s="56" t="s">
        <v>89</v>
      </c>
      <c r="E183" s="56" t="s">
        <v>116</v>
      </c>
      <c r="F183" s="56">
        <v>5988.0</v>
      </c>
      <c r="G183" s="56" t="s">
        <v>42</v>
      </c>
      <c r="H183" s="56">
        <v>5016.0</v>
      </c>
      <c r="I183" s="127">
        <v>154.06</v>
      </c>
      <c r="J183" s="127">
        <v>90.93</v>
      </c>
      <c r="K183" s="83">
        <f t="shared" si="1"/>
        <v>772764.96</v>
      </c>
      <c r="L183" s="83">
        <f t="shared" si="2"/>
        <v>456104.88</v>
      </c>
      <c r="M183" s="83">
        <f t="shared" si="3"/>
        <v>316660.08</v>
      </c>
      <c r="N183" s="46" t="str">
        <f>VLOOKUP(F183,products!$A$2:$B$13,2,FALSE)</f>
        <v>Vegetables</v>
      </c>
      <c r="O183" s="46" t="s">
        <v>116</v>
      </c>
      <c r="P183" s="46">
        <f t="array" ref="P183">WEEKDAY(B183,2)</f>
        <v>3</v>
      </c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>
      <c r="A184" s="56">
        <v>2.16278588E8</v>
      </c>
      <c r="B184" s="126">
        <v>42357.0</v>
      </c>
      <c r="C184" s="126">
        <v>42357.0</v>
      </c>
      <c r="D184" s="56" t="s">
        <v>89</v>
      </c>
      <c r="E184" s="56" t="s">
        <v>107</v>
      </c>
      <c r="F184" s="56">
        <v>8875.0</v>
      </c>
      <c r="G184" s="56" t="s">
        <v>43</v>
      </c>
      <c r="H184" s="56">
        <v>495.0</v>
      </c>
      <c r="I184" s="127">
        <v>421.89</v>
      </c>
      <c r="J184" s="127">
        <v>364.69</v>
      </c>
      <c r="K184" s="83">
        <f t="shared" si="1"/>
        <v>208835.55</v>
      </c>
      <c r="L184" s="83">
        <f t="shared" si="2"/>
        <v>180521.55</v>
      </c>
      <c r="M184" s="83">
        <f t="shared" si="3"/>
        <v>28314</v>
      </c>
      <c r="N184" s="46" t="str">
        <f>VLOOKUP(F184,products!$A$2:$B$13,2,FALSE)</f>
        <v>Meat</v>
      </c>
      <c r="O184" s="46" t="s">
        <v>107</v>
      </c>
      <c r="P184" s="46">
        <f t="array" ref="P184">WEEKDAY(B184,2)</f>
        <v>6</v>
      </c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>
      <c r="A185" s="56">
        <v>2.17165648E8</v>
      </c>
      <c r="B185" s="126">
        <v>41779.0</v>
      </c>
      <c r="C185" s="126">
        <v>41798.0</v>
      </c>
      <c r="D185" s="56" t="s">
        <v>89</v>
      </c>
      <c r="E185" s="56" t="s">
        <v>98</v>
      </c>
      <c r="F185" s="56">
        <v>8875.0</v>
      </c>
      <c r="G185" s="56" t="s">
        <v>42</v>
      </c>
      <c r="H185" s="52">
        <f>MEDIAN(H2:H1331)</f>
        <v>4958</v>
      </c>
      <c r="I185" s="127">
        <v>421.89</v>
      </c>
      <c r="J185" s="127">
        <v>364.69</v>
      </c>
      <c r="K185" s="83">
        <f t="shared" si="1"/>
        <v>2091730.62</v>
      </c>
      <c r="L185" s="83">
        <f t="shared" si="2"/>
        <v>1808133.02</v>
      </c>
      <c r="M185" s="83">
        <f t="shared" si="3"/>
        <v>283597.6</v>
      </c>
      <c r="N185" s="46" t="str">
        <f>VLOOKUP(F185,products!$A$2:$B$13,2,FALSE)</f>
        <v>Meat</v>
      </c>
      <c r="O185" s="46" t="s">
        <v>98</v>
      </c>
      <c r="P185" s="46">
        <f t="array" ref="P185">WEEKDAY(B185,2)</f>
        <v>2</v>
      </c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>
      <c r="A186" s="56">
        <v>2.17248904E8</v>
      </c>
      <c r="B186" s="126">
        <v>41034.0</v>
      </c>
      <c r="C186" s="126">
        <v>41075.0</v>
      </c>
      <c r="D186" s="56" t="s">
        <v>10</v>
      </c>
      <c r="E186" s="56" t="s">
        <v>96</v>
      </c>
      <c r="F186" s="56">
        <v>8681.0</v>
      </c>
      <c r="G186" s="56" t="s">
        <v>134</v>
      </c>
      <c r="H186" s="56">
        <v>7633.0</v>
      </c>
      <c r="I186" s="127">
        <v>651.21</v>
      </c>
      <c r="J186" s="127">
        <v>524.96</v>
      </c>
      <c r="K186" s="83">
        <f t="shared" si="1"/>
        <v>4970685.93</v>
      </c>
      <c r="L186" s="83">
        <f t="shared" si="2"/>
        <v>4007019.68</v>
      </c>
      <c r="M186" s="83">
        <f t="shared" si="3"/>
        <v>963666.25</v>
      </c>
      <c r="N186" s="46" t="str">
        <f>VLOOKUP(F186,products!$A$2:$B$13,2,FALSE)</f>
        <v>Office Supplies</v>
      </c>
      <c r="O186" s="46" t="s">
        <v>96</v>
      </c>
      <c r="P186" s="46">
        <f t="array" ref="P186">WEEKDAY(B186,2)</f>
        <v>6</v>
      </c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>
      <c r="A187" s="56">
        <v>2.1785916E8</v>
      </c>
      <c r="B187" s="126">
        <v>42419.0</v>
      </c>
      <c r="C187" s="126">
        <v>42434.0</v>
      </c>
      <c r="D187" s="56" t="s">
        <v>93</v>
      </c>
      <c r="E187" s="56" t="s">
        <v>117</v>
      </c>
      <c r="F187" s="56">
        <v>1270.0</v>
      </c>
      <c r="G187" s="56" t="s">
        <v>42</v>
      </c>
      <c r="H187" s="56">
        <v>8222.0</v>
      </c>
      <c r="I187" s="127">
        <v>47.45</v>
      </c>
      <c r="J187" s="127">
        <v>31.79</v>
      </c>
      <c r="K187" s="83">
        <f t="shared" si="1"/>
        <v>390133.9</v>
      </c>
      <c r="L187" s="83">
        <f t="shared" si="2"/>
        <v>261377.38</v>
      </c>
      <c r="M187" s="83">
        <f t="shared" si="3"/>
        <v>128756.52</v>
      </c>
      <c r="N187" s="46" t="str">
        <f>VLOOKUP(F187,products!$A$2:$B$13,2,FALSE)</f>
        <v>Beverages</v>
      </c>
      <c r="O187" s="46" t="s">
        <v>117</v>
      </c>
      <c r="P187" s="46">
        <f t="array" ref="P187">WEEKDAY(B187,2)</f>
        <v>5</v>
      </c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>
      <c r="A188" s="56">
        <v>2.17920958E8</v>
      </c>
      <c r="B188" s="126">
        <v>40669.0</v>
      </c>
      <c r="C188" s="126">
        <v>40719.0</v>
      </c>
      <c r="D188" s="56" t="s">
        <v>95</v>
      </c>
      <c r="E188" s="56" t="s">
        <v>123</v>
      </c>
      <c r="F188" s="56">
        <v>7331.0</v>
      </c>
      <c r="G188" s="56" t="s">
        <v>43</v>
      </c>
      <c r="H188" s="56">
        <v>6509.0</v>
      </c>
      <c r="I188" s="127">
        <v>255.28</v>
      </c>
      <c r="J188" s="127">
        <v>159.42</v>
      </c>
      <c r="K188" s="83">
        <f t="shared" si="1"/>
        <v>1661617.52</v>
      </c>
      <c r="L188" s="83">
        <f t="shared" si="2"/>
        <v>1037664.78</v>
      </c>
      <c r="M188" s="83">
        <f t="shared" si="3"/>
        <v>623952.74</v>
      </c>
      <c r="N188" s="46" t="str">
        <f>VLOOKUP(F188,products!$A$2:$B$13,2,FALSE)</f>
        <v>Baby Food</v>
      </c>
      <c r="O188" s="46" t="s">
        <v>123</v>
      </c>
      <c r="P188" s="46">
        <f t="array" ref="P188">WEEKDAY(B188,2)</f>
        <v>5</v>
      </c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>
      <c r="A189" s="56">
        <v>2.1945132E8</v>
      </c>
      <c r="B189" s="126">
        <v>41808.0</v>
      </c>
      <c r="C189" s="126">
        <v>41822.0</v>
      </c>
      <c r="D189" s="56" t="s">
        <v>89</v>
      </c>
      <c r="E189" s="56" t="s">
        <v>113</v>
      </c>
      <c r="F189" s="56">
        <v>8875.0</v>
      </c>
      <c r="G189" s="56" t="s">
        <v>42</v>
      </c>
      <c r="H189" s="56">
        <v>9377.0</v>
      </c>
      <c r="I189" s="127">
        <v>421.89</v>
      </c>
      <c r="J189" s="127">
        <v>364.69</v>
      </c>
      <c r="K189" s="83">
        <f t="shared" si="1"/>
        <v>3956062.53</v>
      </c>
      <c r="L189" s="83">
        <f t="shared" si="2"/>
        <v>3419698.13</v>
      </c>
      <c r="M189" s="83">
        <f t="shared" si="3"/>
        <v>536364.4</v>
      </c>
      <c r="N189" s="46" t="str">
        <f>VLOOKUP(F189,products!$A$2:$B$13,2,FALSE)</f>
        <v>Meat</v>
      </c>
      <c r="O189" s="46" t="s">
        <v>113</v>
      </c>
      <c r="P189" s="46">
        <f t="array" ref="P189">WEEKDAY(B189,2)</f>
        <v>3</v>
      </c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>
      <c r="A190" s="56">
        <v>2.20607459E8</v>
      </c>
      <c r="B190" s="126">
        <v>41561.0</v>
      </c>
      <c r="C190" s="126">
        <v>41564.0</v>
      </c>
      <c r="D190" s="56" t="s">
        <v>10</v>
      </c>
      <c r="E190" s="56" t="s">
        <v>117</v>
      </c>
      <c r="F190" s="56">
        <v>2103.0</v>
      </c>
      <c r="G190" s="56" t="s">
        <v>43</v>
      </c>
      <c r="H190" s="56">
        <v>1504.0</v>
      </c>
      <c r="I190" s="127">
        <v>205.7</v>
      </c>
      <c r="J190" s="127">
        <v>117.11</v>
      </c>
      <c r="K190" s="83">
        <f t="shared" si="1"/>
        <v>309372.8</v>
      </c>
      <c r="L190" s="83">
        <f t="shared" si="2"/>
        <v>176133.44</v>
      </c>
      <c r="M190" s="83">
        <f t="shared" si="3"/>
        <v>133239.36</v>
      </c>
      <c r="N190" s="46" t="str">
        <f>VLOOKUP(F190,products!$A$2:$B$13,2,FALSE)</f>
        <v>Cereal</v>
      </c>
      <c r="O190" s="46" t="s">
        <v>117</v>
      </c>
      <c r="P190" s="46">
        <f t="array" ref="P190">WEEKDAY(B190,2)</f>
        <v>1</v>
      </c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>
      <c r="A191" s="56">
        <v>2.21628844E8</v>
      </c>
      <c r="B191" s="126">
        <v>40752.0</v>
      </c>
      <c r="C191" s="126">
        <v>40787.0</v>
      </c>
      <c r="D191" s="56" t="s">
        <v>89</v>
      </c>
      <c r="E191" s="56" t="s">
        <v>111</v>
      </c>
      <c r="F191" s="56">
        <v>2455.0</v>
      </c>
      <c r="G191" s="56" t="s">
        <v>42</v>
      </c>
      <c r="H191" s="56">
        <v>3755.0</v>
      </c>
      <c r="I191" s="127">
        <v>109.28</v>
      </c>
      <c r="J191" s="127">
        <v>35.84</v>
      </c>
      <c r="K191" s="83">
        <f t="shared" si="1"/>
        <v>410346.4</v>
      </c>
      <c r="L191" s="83">
        <f t="shared" si="2"/>
        <v>134579.2</v>
      </c>
      <c r="M191" s="83">
        <f t="shared" si="3"/>
        <v>275767.2</v>
      </c>
      <c r="N191" s="46" t="str">
        <f>VLOOKUP(F191,products!$A$2:$B$13,2,FALSE)</f>
        <v>Clothes</v>
      </c>
      <c r="O191" s="46" t="s">
        <v>111</v>
      </c>
      <c r="P191" s="46">
        <f t="array" ref="P191">WEEKDAY(B191,2)</f>
        <v>4</v>
      </c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>
      <c r="A192" s="56">
        <v>2.22720611E8</v>
      </c>
      <c r="B192" s="126">
        <v>40253.0</v>
      </c>
      <c r="C192" s="126">
        <v>40269.0</v>
      </c>
      <c r="D192" s="56" t="s">
        <v>93</v>
      </c>
      <c r="E192" s="56" t="s">
        <v>112</v>
      </c>
      <c r="F192" s="56">
        <v>7331.0</v>
      </c>
      <c r="G192" s="56" t="s">
        <v>42</v>
      </c>
      <c r="H192" s="56">
        <v>6833.0</v>
      </c>
      <c r="I192" s="127">
        <v>255.28</v>
      </c>
      <c r="J192" s="127">
        <v>159.42</v>
      </c>
      <c r="K192" s="83">
        <f t="shared" si="1"/>
        <v>1744328.24</v>
      </c>
      <c r="L192" s="83">
        <f t="shared" si="2"/>
        <v>1089316.86</v>
      </c>
      <c r="M192" s="83">
        <f t="shared" si="3"/>
        <v>655011.38</v>
      </c>
      <c r="N192" s="46" t="str">
        <f>VLOOKUP(F192,products!$A$2:$B$13,2,FALSE)</f>
        <v>Baby Food</v>
      </c>
      <c r="O192" s="46" t="s">
        <v>112</v>
      </c>
      <c r="P192" s="46">
        <f t="array" ref="P192">WEEKDAY(B192,2)</f>
        <v>2</v>
      </c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>
      <c r="A193" s="56">
        <v>2.23199975E8</v>
      </c>
      <c r="B193" s="126">
        <v>42695.0</v>
      </c>
      <c r="C193" s="126">
        <v>42739.0</v>
      </c>
      <c r="D193" s="56" t="s">
        <v>93</v>
      </c>
      <c r="E193" s="56" t="s">
        <v>135</v>
      </c>
      <c r="F193" s="56">
        <v>1270.0</v>
      </c>
      <c r="G193" s="56" t="s">
        <v>43</v>
      </c>
      <c r="H193" s="56">
        <v>8687.0</v>
      </c>
      <c r="I193" s="127">
        <v>47.45</v>
      </c>
      <c r="J193" s="127">
        <v>31.79</v>
      </c>
      <c r="K193" s="83">
        <f t="shared" si="1"/>
        <v>412198.15</v>
      </c>
      <c r="L193" s="83">
        <f t="shared" si="2"/>
        <v>276159.73</v>
      </c>
      <c r="M193" s="83">
        <f t="shared" si="3"/>
        <v>136038.42</v>
      </c>
      <c r="N193" s="46" t="str">
        <f>VLOOKUP(F193,products!$A$2:$B$13,2,FALSE)</f>
        <v>Beverages</v>
      </c>
      <c r="O193" s="46" t="s">
        <v>135</v>
      </c>
      <c r="P193" s="46">
        <f t="array" ref="P193">WEEKDAY(B193,2)</f>
        <v>1</v>
      </c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>
      <c r="A194" s="56">
        <v>2.23869454E8</v>
      </c>
      <c r="B194" s="126">
        <v>40328.0</v>
      </c>
      <c r="C194" s="126">
        <v>40356.0</v>
      </c>
      <c r="D194" s="56" t="s">
        <v>93</v>
      </c>
      <c r="E194" s="56" t="s">
        <v>127</v>
      </c>
      <c r="F194" s="56">
        <v>4594.0</v>
      </c>
      <c r="G194" s="56" t="s">
        <v>43</v>
      </c>
      <c r="H194" s="56">
        <v>6801.0</v>
      </c>
      <c r="I194" s="127">
        <v>9.33</v>
      </c>
      <c r="J194" s="127">
        <v>6.92</v>
      </c>
      <c r="K194" s="83">
        <f t="shared" si="1"/>
        <v>63453.33</v>
      </c>
      <c r="L194" s="83">
        <f t="shared" si="2"/>
        <v>47062.92</v>
      </c>
      <c r="M194" s="83">
        <f t="shared" si="3"/>
        <v>16390.41</v>
      </c>
      <c r="N194" s="46" t="str">
        <f>VLOOKUP(F194,products!$A$2:$B$13,2,FALSE)</f>
        <v>Fruits</v>
      </c>
      <c r="O194" s="46" t="s">
        <v>127</v>
      </c>
      <c r="P194" s="46">
        <f t="array" ref="P194">WEEKDAY(B194,2)</f>
        <v>7</v>
      </c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>
      <c r="A195" s="56">
        <v>2.2464708E8</v>
      </c>
      <c r="B195" s="126">
        <v>41813.0</v>
      </c>
      <c r="C195" s="126">
        <v>41850.0</v>
      </c>
      <c r="D195" s="56" t="s">
        <v>95</v>
      </c>
      <c r="E195" s="56" t="s">
        <v>96</v>
      </c>
      <c r="F195" s="56">
        <v>8681.0</v>
      </c>
      <c r="G195" s="56" t="s">
        <v>42</v>
      </c>
      <c r="H195" s="56">
        <v>6918.0</v>
      </c>
      <c r="I195" s="127">
        <v>651.21</v>
      </c>
      <c r="J195" s="127">
        <v>524.96</v>
      </c>
      <c r="K195" s="83">
        <f t="shared" si="1"/>
        <v>4505070.78</v>
      </c>
      <c r="L195" s="83">
        <f t="shared" si="2"/>
        <v>3631673.28</v>
      </c>
      <c r="M195" s="83">
        <f t="shared" si="3"/>
        <v>873397.5</v>
      </c>
      <c r="N195" s="46" t="str">
        <f>VLOOKUP(F195,products!$A$2:$B$13,2,FALSE)</f>
        <v>Office Supplies</v>
      </c>
      <c r="O195" s="46" t="s">
        <v>96</v>
      </c>
      <c r="P195" s="46">
        <f t="array" ref="P195">WEEKDAY(B195,2)</f>
        <v>1</v>
      </c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>
      <c r="A196" s="56">
        <v>2.282112E8</v>
      </c>
      <c r="B196" s="126">
        <v>41243.0</v>
      </c>
      <c r="C196" s="126">
        <v>41246.0</v>
      </c>
      <c r="D196" s="56" t="s">
        <v>95</v>
      </c>
      <c r="E196" s="56" t="s">
        <v>120</v>
      </c>
      <c r="F196" s="56">
        <v>8293.0</v>
      </c>
      <c r="G196" s="56" t="s">
        <v>43</v>
      </c>
      <c r="H196" s="56">
        <v>1620.0</v>
      </c>
      <c r="I196" s="127">
        <v>437.2</v>
      </c>
      <c r="J196" s="127">
        <v>263.33</v>
      </c>
      <c r="K196" s="83">
        <f t="shared" si="1"/>
        <v>708264</v>
      </c>
      <c r="L196" s="83">
        <f t="shared" si="2"/>
        <v>426594.6</v>
      </c>
      <c r="M196" s="83">
        <f t="shared" si="3"/>
        <v>281669.4</v>
      </c>
      <c r="N196" s="46" t="str">
        <f>VLOOKUP(F196,products!$A$2:$B$13,2,FALSE)</f>
        <v>Cosmetics</v>
      </c>
      <c r="O196" s="46" t="s">
        <v>120</v>
      </c>
      <c r="P196" s="46">
        <f t="array" ref="P196">WEEKDAY(B196,2)</f>
        <v>5</v>
      </c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>
      <c r="A197" s="56">
        <v>2.29105556E8</v>
      </c>
      <c r="B197" s="126">
        <v>40343.0</v>
      </c>
      <c r="C197" s="126">
        <v>40393.0</v>
      </c>
      <c r="D197" s="56" t="s">
        <v>93</v>
      </c>
      <c r="E197" s="56" t="e">
        <v>#N/A</v>
      </c>
      <c r="F197" s="56">
        <v>8875.0</v>
      </c>
      <c r="G197" s="56" t="s">
        <v>42</v>
      </c>
      <c r="H197" s="56">
        <v>6280.0</v>
      </c>
      <c r="I197" s="127">
        <v>421.89</v>
      </c>
      <c r="J197" s="127">
        <v>364.69</v>
      </c>
      <c r="K197" s="83">
        <f t="shared" si="1"/>
        <v>2649469.2</v>
      </c>
      <c r="L197" s="83">
        <f t="shared" si="2"/>
        <v>2290253.2</v>
      </c>
      <c r="M197" s="83">
        <f t="shared" si="3"/>
        <v>359216</v>
      </c>
      <c r="N197" s="46" t="str">
        <f>VLOOKUP(F197,products!$A$2:$B$13,2,FALSE)</f>
        <v>Meat</v>
      </c>
      <c r="O197" s="46" t="s">
        <v>92</v>
      </c>
      <c r="P197" s="46">
        <f t="array" ref="P197">WEEKDAY(B197,2)</f>
        <v>1</v>
      </c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>
      <c r="A198" s="56">
        <v>2.29355323E8</v>
      </c>
      <c r="B198" s="126">
        <v>40875.0</v>
      </c>
      <c r="C198" s="126">
        <v>40887.0</v>
      </c>
      <c r="D198" s="56" t="s">
        <v>93</v>
      </c>
      <c r="E198" s="56" t="s">
        <v>129</v>
      </c>
      <c r="F198" s="56">
        <v>5988.0</v>
      </c>
      <c r="G198" s="56" t="s">
        <v>42</v>
      </c>
      <c r="H198" s="56">
        <v>192.0</v>
      </c>
      <c r="I198" s="127">
        <v>154.06</v>
      </c>
      <c r="J198" s="127">
        <v>90.93</v>
      </c>
      <c r="K198" s="83">
        <f t="shared" si="1"/>
        <v>29579.52</v>
      </c>
      <c r="L198" s="83">
        <f t="shared" si="2"/>
        <v>17458.56</v>
      </c>
      <c r="M198" s="83">
        <f t="shared" si="3"/>
        <v>12120.96</v>
      </c>
      <c r="N198" s="46" t="str">
        <f>VLOOKUP(F198,products!$A$2:$B$13,2,FALSE)</f>
        <v>Vegetables</v>
      </c>
      <c r="O198" s="46" t="s">
        <v>129</v>
      </c>
      <c r="P198" s="46">
        <f t="array" ref="P198">WEEKDAY(B198,2)</f>
        <v>1</v>
      </c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>
      <c r="A199" s="56">
        <v>2.29693067E8</v>
      </c>
      <c r="B199" s="126">
        <v>41105.0</v>
      </c>
      <c r="C199" s="126">
        <v>41105.0</v>
      </c>
      <c r="D199" s="56" t="s">
        <v>93</v>
      </c>
      <c r="E199" s="56" t="s">
        <v>129</v>
      </c>
      <c r="F199" s="56">
        <v>8293.0</v>
      </c>
      <c r="G199" s="56" t="s">
        <v>43</v>
      </c>
      <c r="H199" s="56">
        <v>138.0</v>
      </c>
      <c r="I199" s="127">
        <v>437.2</v>
      </c>
      <c r="J199" s="127">
        <v>263.33</v>
      </c>
      <c r="K199" s="83">
        <f t="shared" si="1"/>
        <v>60333.6</v>
      </c>
      <c r="L199" s="83">
        <f t="shared" si="2"/>
        <v>36339.54</v>
      </c>
      <c r="M199" s="83">
        <f t="shared" si="3"/>
        <v>23994.06</v>
      </c>
      <c r="N199" s="46" t="str">
        <f>VLOOKUP(F199,products!$A$2:$B$13,2,FALSE)</f>
        <v>Cosmetics</v>
      </c>
      <c r="O199" s="46" t="s">
        <v>129</v>
      </c>
      <c r="P199" s="46">
        <f t="array" ref="P199">WEEKDAY(B199,2)</f>
        <v>7</v>
      </c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>
      <c r="A200" s="56">
        <v>2.31341445E8</v>
      </c>
      <c r="B200" s="126">
        <v>42244.0</v>
      </c>
      <c r="C200" s="126">
        <v>42284.0</v>
      </c>
      <c r="D200" s="56" t="s">
        <v>89</v>
      </c>
      <c r="E200" s="56" t="s">
        <v>133</v>
      </c>
      <c r="F200" s="56">
        <v>1270.0</v>
      </c>
      <c r="G200" s="56" t="s">
        <v>43</v>
      </c>
      <c r="H200" s="56">
        <v>7929.0</v>
      </c>
      <c r="I200" s="127">
        <v>47.45</v>
      </c>
      <c r="J200" s="127">
        <v>31.79</v>
      </c>
      <c r="K200" s="83">
        <f t="shared" si="1"/>
        <v>376231.05</v>
      </c>
      <c r="L200" s="83">
        <f t="shared" si="2"/>
        <v>252062.91</v>
      </c>
      <c r="M200" s="83">
        <f t="shared" si="3"/>
        <v>124168.14</v>
      </c>
      <c r="N200" s="46" t="str">
        <f>VLOOKUP(F200,products!$A$2:$B$13,2,FALSE)</f>
        <v>Beverages</v>
      </c>
      <c r="O200" s="46" t="s">
        <v>133</v>
      </c>
      <c r="P200" s="46">
        <f t="array" ref="P200">WEEKDAY(B200,2)</f>
        <v>5</v>
      </c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>
      <c r="A201" s="56">
        <v>2.31369769E8</v>
      </c>
      <c r="B201" s="126">
        <v>42133.0</v>
      </c>
      <c r="C201" s="126">
        <v>42140.0</v>
      </c>
      <c r="D201" s="56" t="s">
        <v>89</v>
      </c>
      <c r="E201" s="56" t="s">
        <v>96</v>
      </c>
      <c r="F201" s="56">
        <v>2455.0</v>
      </c>
      <c r="G201" s="56" t="s">
        <v>43</v>
      </c>
      <c r="H201" s="56">
        <v>6311.0</v>
      </c>
      <c r="I201" s="127">
        <v>109.28</v>
      </c>
      <c r="J201" s="127">
        <v>35.84</v>
      </c>
      <c r="K201" s="83">
        <f t="shared" si="1"/>
        <v>689666.08</v>
      </c>
      <c r="L201" s="83">
        <f t="shared" si="2"/>
        <v>226186.24</v>
      </c>
      <c r="M201" s="83">
        <f t="shared" si="3"/>
        <v>463479.84</v>
      </c>
      <c r="N201" s="46" t="str">
        <f>VLOOKUP(F201,products!$A$2:$B$13,2,FALSE)</f>
        <v>Clothes</v>
      </c>
      <c r="O201" s="46" t="s">
        <v>96</v>
      </c>
      <c r="P201" s="46">
        <f t="array" ref="P201">WEEKDAY(B201,2)</f>
        <v>6</v>
      </c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>
      <c r="A202" s="56">
        <v>2.31450879E8</v>
      </c>
      <c r="B202" s="126">
        <v>40181.0</v>
      </c>
      <c r="C202" s="126">
        <v>40231.0</v>
      </c>
      <c r="D202" s="56" t="s">
        <v>93</v>
      </c>
      <c r="E202" s="56" t="s">
        <v>101</v>
      </c>
      <c r="F202" s="56">
        <v>2455.0</v>
      </c>
      <c r="G202" s="56" t="s">
        <v>43</v>
      </c>
      <c r="H202" s="56">
        <v>313.0</v>
      </c>
      <c r="I202" s="127">
        <v>109.28</v>
      </c>
      <c r="J202" s="127">
        <v>35.84</v>
      </c>
      <c r="K202" s="83">
        <f t="shared" si="1"/>
        <v>34204.64</v>
      </c>
      <c r="L202" s="83">
        <f t="shared" si="2"/>
        <v>11217.92</v>
      </c>
      <c r="M202" s="83">
        <f t="shared" si="3"/>
        <v>22986.72</v>
      </c>
      <c r="N202" s="46" t="str">
        <f>VLOOKUP(F202,products!$A$2:$B$13,2,FALSE)</f>
        <v>Clothes</v>
      </c>
      <c r="O202" s="46" t="s">
        <v>101</v>
      </c>
      <c r="P202" s="46">
        <f t="array" ref="P202">WEEKDAY(B202,2)</f>
        <v>7</v>
      </c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>
      <c r="A203" s="56">
        <v>2.3186115E8</v>
      </c>
      <c r="B203" s="126">
        <v>41929.0</v>
      </c>
      <c r="C203" s="126">
        <v>41944.0</v>
      </c>
      <c r="D203" s="56" t="s">
        <v>93</v>
      </c>
      <c r="E203" s="56" t="s">
        <v>116</v>
      </c>
      <c r="F203" s="56">
        <v>8293.0</v>
      </c>
      <c r="G203" s="56" t="s">
        <v>43</v>
      </c>
      <c r="H203" s="56">
        <v>1722.0</v>
      </c>
      <c r="I203" s="127">
        <v>437.2</v>
      </c>
      <c r="J203" s="127">
        <v>263.33</v>
      </c>
      <c r="K203" s="83">
        <f t="shared" si="1"/>
        <v>752858.4</v>
      </c>
      <c r="L203" s="83">
        <f t="shared" si="2"/>
        <v>453454.26</v>
      </c>
      <c r="M203" s="83">
        <f t="shared" si="3"/>
        <v>299404.14</v>
      </c>
      <c r="N203" s="46" t="str">
        <f>VLOOKUP(F203,products!$A$2:$B$13,2,FALSE)</f>
        <v>Cosmetics</v>
      </c>
      <c r="O203" s="46" t="s">
        <v>116</v>
      </c>
      <c r="P203" s="46">
        <f t="array" ref="P203">WEEKDAY(B203,2)</f>
        <v>5</v>
      </c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>
      <c r="A204" s="56">
        <v>2.32196319E8</v>
      </c>
      <c r="B204" s="126">
        <v>42923.0</v>
      </c>
      <c r="C204" s="126">
        <v>42951.0</v>
      </c>
      <c r="D204" s="56" t="s">
        <v>93</v>
      </c>
      <c r="E204" s="56" t="s">
        <v>106</v>
      </c>
      <c r="F204" s="56">
        <v>7940.0</v>
      </c>
      <c r="G204" s="56" t="s">
        <v>42</v>
      </c>
      <c r="H204" s="56">
        <v>905.0</v>
      </c>
      <c r="I204" s="127">
        <v>668.27</v>
      </c>
      <c r="J204" s="127">
        <v>502.54</v>
      </c>
      <c r="K204" s="83">
        <f t="shared" si="1"/>
        <v>604784.35</v>
      </c>
      <c r="L204" s="83">
        <f t="shared" si="2"/>
        <v>454798.7</v>
      </c>
      <c r="M204" s="83">
        <f t="shared" si="3"/>
        <v>149985.65</v>
      </c>
      <c r="N204" s="46" t="str">
        <f>VLOOKUP(F204,products!$A$2:$B$13,2,FALSE)</f>
        <v>Household</v>
      </c>
      <c r="O204" s="46" t="s">
        <v>106</v>
      </c>
      <c r="P204" s="46">
        <f t="array" ref="P204">WEEKDAY(B204,2)</f>
        <v>5</v>
      </c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>
      <c r="A205" s="56">
        <v>2.33440434E8</v>
      </c>
      <c r="B205" s="126">
        <v>42374.0</v>
      </c>
      <c r="C205" s="126">
        <v>42417.0</v>
      </c>
      <c r="D205" s="56" t="s">
        <v>89</v>
      </c>
      <c r="E205" s="56" t="s">
        <v>109</v>
      </c>
      <c r="F205" s="56">
        <v>8681.0</v>
      </c>
      <c r="G205" s="56" t="s">
        <v>42</v>
      </c>
      <c r="H205" s="56">
        <v>9067.0</v>
      </c>
      <c r="I205" s="127">
        <v>651.21</v>
      </c>
      <c r="J205" s="127">
        <v>524.96</v>
      </c>
      <c r="K205" s="83">
        <f t="shared" si="1"/>
        <v>5904521.07</v>
      </c>
      <c r="L205" s="83">
        <f t="shared" si="2"/>
        <v>4759812.32</v>
      </c>
      <c r="M205" s="83">
        <f t="shared" si="3"/>
        <v>1144708.75</v>
      </c>
      <c r="N205" s="46" t="str">
        <f>VLOOKUP(F205,products!$A$2:$B$13,2,FALSE)</f>
        <v>Office Supplies</v>
      </c>
      <c r="O205" s="46" t="s">
        <v>109</v>
      </c>
      <c r="P205" s="46">
        <f t="array" ref="P205">WEEKDAY(B205,2)</f>
        <v>2</v>
      </c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>
      <c r="A206" s="56">
        <v>2.33709084E8</v>
      </c>
      <c r="B206" s="126">
        <v>41910.0</v>
      </c>
      <c r="C206" s="126">
        <v>41928.0</v>
      </c>
      <c r="D206" s="56" t="s">
        <v>89</v>
      </c>
      <c r="E206" s="56" t="s">
        <v>124</v>
      </c>
      <c r="F206" s="56">
        <v>2455.0</v>
      </c>
      <c r="G206" s="56" t="s">
        <v>42</v>
      </c>
      <c r="H206" s="56">
        <v>8566.0</v>
      </c>
      <c r="I206" s="127">
        <v>109.28</v>
      </c>
      <c r="J206" s="127">
        <v>35.84</v>
      </c>
      <c r="K206" s="83">
        <f t="shared" si="1"/>
        <v>936092.48</v>
      </c>
      <c r="L206" s="83">
        <f t="shared" si="2"/>
        <v>307005.44</v>
      </c>
      <c r="M206" s="83">
        <f t="shared" si="3"/>
        <v>629087.04</v>
      </c>
      <c r="N206" s="46" t="str">
        <f>VLOOKUP(F206,products!$A$2:$B$13,2,FALSE)</f>
        <v>Clothes</v>
      </c>
      <c r="O206" s="46" t="s">
        <v>124</v>
      </c>
      <c r="P206" s="46">
        <f t="array" ref="P206">WEEKDAY(B206,2)</f>
        <v>7</v>
      </c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>
      <c r="A207" s="56">
        <v>2.33811223E8</v>
      </c>
      <c r="B207" s="126">
        <v>42936.0</v>
      </c>
      <c r="C207" s="126">
        <v>42936.0</v>
      </c>
      <c r="D207" s="56" t="s">
        <v>10</v>
      </c>
      <c r="E207" s="56" t="s">
        <v>122</v>
      </c>
      <c r="F207" s="56">
        <v>8293.0</v>
      </c>
      <c r="G207" s="56" t="s">
        <v>43</v>
      </c>
      <c r="H207" s="56">
        <v>8792.0</v>
      </c>
      <c r="I207" s="127">
        <v>437.2</v>
      </c>
      <c r="J207" s="127">
        <v>263.33</v>
      </c>
      <c r="K207" s="83">
        <f t="shared" si="1"/>
        <v>3843862.4</v>
      </c>
      <c r="L207" s="83">
        <f t="shared" si="2"/>
        <v>2315197.36</v>
      </c>
      <c r="M207" s="83">
        <f t="shared" si="3"/>
        <v>1528665.04</v>
      </c>
      <c r="N207" s="46" t="str">
        <f>VLOOKUP(F207,products!$A$2:$B$13,2,FALSE)</f>
        <v>Cosmetics</v>
      </c>
      <c r="O207" s="46" t="s">
        <v>122</v>
      </c>
      <c r="P207" s="46">
        <f t="array" ref="P207">WEEKDAY(B207,2)</f>
        <v>4</v>
      </c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>
      <c r="A208" s="56">
        <v>2.34082448E8</v>
      </c>
      <c r="B208" s="126">
        <v>41707.0</v>
      </c>
      <c r="C208" s="126">
        <v>41707.0</v>
      </c>
      <c r="D208" s="56" t="s">
        <v>10</v>
      </c>
      <c r="E208" s="56" t="s">
        <v>94</v>
      </c>
      <c r="F208" s="56">
        <v>2455.0</v>
      </c>
      <c r="G208" s="56" t="s">
        <v>43</v>
      </c>
      <c r="H208" s="56">
        <v>9053.0</v>
      </c>
      <c r="I208" s="127">
        <v>109.28</v>
      </c>
      <c r="J208" s="127">
        <v>35.84</v>
      </c>
      <c r="K208" s="83">
        <f t="shared" si="1"/>
        <v>989311.84</v>
      </c>
      <c r="L208" s="83">
        <f t="shared" si="2"/>
        <v>324459.52</v>
      </c>
      <c r="M208" s="83">
        <f t="shared" si="3"/>
        <v>664852.32</v>
      </c>
      <c r="N208" s="46" t="str">
        <f>VLOOKUP(F208,products!$A$2:$B$13,2,FALSE)</f>
        <v>Clothes</v>
      </c>
      <c r="O208" s="46" t="s">
        <v>94</v>
      </c>
      <c r="P208" s="46">
        <f t="array" ref="P208">WEEKDAY(B208,2)</f>
        <v>7</v>
      </c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>
      <c r="A209" s="56">
        <v>2.36042392E8</v>
      </c>
      <c r="B209" s="126">
        <v>41627.0</v>
      </c>
      <c r="C209" s="126">
        <v>41665.0</v>
      </c>
      <c r="D209" s="56" t="s">
        <v>95</v>
      </c>
      <c r="E209" s="56" t="s">
        <v>100</v>
      </c>
      <c r="F209" s="56">
        <v>8681.0</v>
      </c>
      <c r="G209" s="56" t="s">
        <v>42</v>
      </c>
      <c r="H209" s="56">
        <v>9044.0</v>
      </c>
      <c r="I209" s="127">
        <v>651.21</v>
      </c>
      <c r="J209" s="127">
        <v>524.96</v>
      </c>
      <c r="K209" s="83">
        <f t="shared" si="1"/>
        <v>5889543.24</v>
      </c>
      <c r="L209" s="83">
        <f t="shared" si="2"/>
        <v>4747738.24</v>
      </c>
      <c r="M209" s="83">
        <f t="shared" si="3"/>
        <v>1141805</v>
      </c>
      <c r="N209" s="46" t="str">
        <f>VLOOKUP(F209,products!$A$2:$B$13,2,FALSE)</f>
        <v>Office Supplies</v>
      </c>
      <c r="O209" s="46" t="s">
        <v>100</v>
      </c>
      <c r="P209" s="46">
        <f t="array" ref="P209">WEEKDAY(B209,2)</f>
        <v>4</v>
      </c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>
      <c r="A210" s="56">
        <v>2.38170993E8</v>
      </c>
      <c r="B210" s="126">
        <v>41265.0</v>
      </c>
      <c r="C210" s="126">
        <v>41312.0</v>
      </c>
      <c r="D210" s="56" t="s">
        <v>93</v>
      </c>
      <c r="E210" s="56" t="s">
        <v>90</v>
      </c>
      <c r="F210" s="56">
        <v>1270.0</v>
      </c>
      <c r="G210" s="56" t="s">
        <v>42</v>
      </c>
      <c r="H210" s="56">
        <v>8944.0</v>
      </c>
      <c r="I210" s="127">
        <v>47.45</v>
      </c>
      <c r="J210" s="127">
        <v>31.79</v>
      </c>
      <c r="K210" s="83">
        <f t="shared" si="1"/>
        <v>424392.8</v>
      </c>
      <c r="L210" s="83">
        <f t="shared" si="2"/>
        <v>284329.76</v>
      </c>
      <c r="M210" s="83">
        <f t="shared" si="3"/>
        <v>140063.04</v>
      </c>
      <c r="N210" s="46" t="str">
        <f>VLOOKUP(F210,products!$A$2:$B$13,2,FALSE)</f>
        <v>Beverages</v>
      </c>
      <c r="O210" s="46" t="s">
        <v>90</v>
      </c>
      <c r="P210" s="46">
        <f t="array" ref="P210">WEEKDAY(B210,2)</f>
        <v>6</v>
      </c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>
      <c r="A211" s="56">
        <v>2.39048612E8</v>
      </c>
      <c r="B211" s="126">
        <v>42568.0</v>
      </c>
      <c r="C211" s="126">
        <v>42577.0</v>
      </c>
      <c r="D211" s="56" t="s">
        <v>93</v>
      </c>
      <c r="E211" s="56" t="s">
        <v>120</v>
      </c>
      <c r="F211" s="56">
        <v>3127.0</v>
      </c>
      <c r="G211" s="56" t="s">
        <v>43</v>
      </c>
      <c r="H211" s="56">
        <v>8651.0</v>
      </c>
      <c r="I211" s="127">
        <v>81.73</v>
      </c>
      <c r="J211" s="127">
        <v>56.67</v>
      </c>
      <c r="K211" s="83">
        <f t="shared" si="1"/>
        <v>707046.23</v>
      </c>
      <c r="L211" s="83">
        <f t="shared" si="2"/>
        <v>490252.17</v>
      </c>
      <c r="M211" s="83">
        <f t="shared" si="3"/>
        <v>216794.06</v>
      </c>
      <c r="N211" s="46" t="str">
        <f>VLOOKUP(F211,products!$A$2:$B$13,2,FALSE)</f>
        <v>Personal Care</v>
      </c>
      <c r="O211" s="46" t="s">
        <v>120</v>
      </c>
      <c r="P211" s="46">
        <f t="array" ref="P211">WEEKDAY(B211,2)</f>
        <v>7</v>
      </c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>
      <c r="A212" s="56">
        <v>2.39386355E8</v>
      </c>
      <c r="B212" s="126">
        <v>42798.0</v>
      </c>
      <c r="C212" s="126">
        <v>42845.0</v>
      </c>
      <c r="D212" s="56" t="s">
        <v>93</v>
      </c>
      <c r="E212" s="56" t="s">
        <v>120</v>
      </c>
      <c r="F212" s="56">
        <v>8681.0</v>
      </c>
      <c r="G212" s="56" t="s">
        <v>42</v>
      </c>
      <c r="H212" s="56">
        <v>8597.0</v>
      </c>
      <c r="I212" s="127">
        <v>651.21</v>
      </c>
      <c r="J212" s="127">
        <v>524.96</v>
      </c>
      <c r="K212" s="83">
        <f t="shared" si="1"/>
        <v>5598452.37</v>
      </c>
      <c r="L212" s="83">
        <f t="shared" si="2"/>
        <v>4513081.12</v>
      </c>
      <c r="M212" s="83">
        <f t="shared" si="3"/>
        <v>1085371.25</v>
      </c>
      <c r="N212" s="46" t="str">
        <f>VLOOKUP(F212,products!$A$2:$B$13,2,FALSE)</f>
        <v>Office Supplies</v>
      </c>
      <c r="O212" s="46" t="s">
        <v>120</v>
      </c>
      <c r="P212" s="46">
        <f t="array" ref="P212">WEEKDAY(B212,2)</f>
        <v>6</v>
      </c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>
      <c r="A213" s="56">
        <v>2.39554154E8</v>
      </c>
      <c r="B213" s="126">
        <v>40926.0</v>
      </c>
      <c r="C213" s="126">
        <v>40952.0</v>
      </c>
      <c r="D213" s="56" t="s">
        <v>93</v>
      </c>
      <c r="E213" s="56" t="s">
        <v>137</v>
      </c>
      <c r="F213" s="56">
        <v>8681.0</v>
      </c>
      <c r="G213" s="56" t="s">
        <v>42</v>
      </c>
      <c r="H213" s="56">
        <v>8253.0</v>
      </c>
      <c r="I213" s="127">
        <v>651.21</v>
      </c>
      <c r="J213" s="127">
        <v>524.96</v>
      </c>
      <c r="K213" s="83">
        <f t="shared" si="1"/>
        <v>5374436.13</v>
      </c>
      <c r="L213" s="83">
        <f t="shared" si="2"/>
        <v>4332494.88</v>
      </c>
      <c r="M213" s="83">
        <f t="shared" si="3"/>
        <v>1041941.25</v>
      </c>
      <c r="N213" s="46" t="str">
        <f>VLOOKUP(F213,products!$A$2:$B$13,2,FALSE)</f>
        <v>Office Supplies</v>
      </c>
      <c r="O213" s="46" t="s">
        <v>137</v>
      </c>
      <c r="P213" s="46">
        <f t="array" ref="P213">WEEKDAY(B213,2)</f>
        <v>3</v>
      </c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>
      <c r="A214" s="56">
        <v>2.41392648E8</v>
      </c>
      <c r="B214" s="126">
        <v>42788.0</v>
      </c>
      <c r="C214" s="126">
        <v>42810.0</v>
      </c>
      <c r="D214" s="56" t="s">
        <v>95</v>
      </c>
      <c r="E214" s="56" t="s">
        <v>119</v>
      </c>
      <c r="F214" s="56">
        <v>7940.0</v>
      </c>
      <c r="G214" s="56" t="s">
        <v>43</v>
      </c>
      <c r="H214" s="56">
        <v>2304.0</v>
      </c>
      <c r="I214" s="127">
        <v>668.27</v>
      </c>
      <c r="J214" s="127">
        <v>502.54</v>
      </c>
      <c r="K214" s="83">
        <f t="shared" si="1"/>
        <v>1539694.08</v>
      </c>
      <c r="L214" s="83">
        <f t="shared" si="2"/>
        <v>1157852.16</v>
      </c>
      <c r="M214" s="83">
        <f t="shared" si="3"/>
        <v>381841.92</v>
      </c>
      <c r="N214" s="46" t="str">
        <f>VLOOKUP(F214,products!$A$2:$B$13,2,FALSE)</f>
        <v>Household</v>
      </c>
      <c r="O214" s="46" t="s">
        <v>119</v>
      </c>
      <c r="P214" s="46">
        <f t="array" ref="P214">WEEKDAY(B214,2)</f>
        <v>3</v>
      </c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>
      <c r="A215" s="56">
        <v>2.42168128E8</v>
      </c>
      <c r="B215" s="126">
        <v>40300.0</v>
      </c>
      <c r="C215" s="126">
        <v>40301.0</v>
      </c>
      <c r="D215" s="56" t="s">
        <v>89</v>
      </c>
      <c r="E215" s="56" t="s">
        <v>114</v>
      </c>
      <c r="F215" s="56">
        <v>1270.0</v>
      </c>
      <c r="G215" s="56" t="s">
        <v>43</v>
      </c>
      <c r="H215" s="56">
        <v>1785.0</v>
      </c>
      <c r="I215" s="127">
        <v>47.45</v>
      </c>
      <c r="J215" s="127">
        <v>31.79</v>
      </c>
      <c r="K215" s="83">
        <f t="shared" si="1"/>
        <v>84698.25</v>
      </c>
      <c r="L215" s="83">
        <f t="shared" si="2"/>
        <v>56745.15</v>
      </c>
      <c r="M215" s="83">
        <f t="shared" si="3"/>
        <v>27953.1</v>
      </c>
      <c r="N215" s="46" t="str">
        <f>VLOOKUP(F215,products!$A$2:$B$13,2,FALSE)</f>
        <v>Beverages</v>
      </c>
      <c r="O215" s="46" t="s">
        <v>114</v>
      </c>
      <c r="P215" s="46">
        <f t="array" ref="P215">WEEKDAY(B215,2)</f>
        <v>7</v>
      </c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>
      <c r="A216" s="56">
        <v>2.42265546E8</v>
      </c>
      <c r="B216" s="126">
        <v>40883.0</v>
      </c>
      <c r="C216" s="126">
        <v>40915.0</v>
      </c>
      <c r="D216" s="56" t="s">
        <v>93</v>
      </c>
      <c r="E216" s="56" t="s">
        <v>107</v>
      </c>
      <c r="F216" s="56">
        <v>4594.0</v>
      </c>
      <c r="G216" s="56" t="s">
        <v>42</v>
      </c>
      <c r="H216" s="56">
        <v>614.0</v>
      </c>
      <c r="I216" s="127">
        <v>9.33</v>
      </c>
      <c r="J216" s="127">
        <v>6.92</v>
      </c>
      <c r="K216" s="83">
        <f t="shared" si="1"/>
        <v>5728.62</v>
      </c>
      <c r="L216" s="83">
        <f t="shared" si="2"/>
        <v>4248.88</v>
      </c>
      <c r="M216" s="83">
        <f t="shared" si="3"/>
        <v>1479.74</v>
      </c>
      <c r="N216" s="46" t="str">
        <f>VLOOKUP(F216,products!$A$2:$B$13,2,FALSE)</f>
        <v>Fruits</v>
      </c>
      <c r="O216" s="46" t="s">
        <v>107</v>
      </c>
      <c r="P216" s="46">
        <f t="array" ref="P216">WEEKDAY(B216,2)</f>
        <v>2</v>
      </c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>
      <c r="A217" s="56">
        <v>2.43070638E8</v>
      </c>
      <c r="B217" s="126">
        <v>40668.0</v>
      </c>
      <c r="C217" s="126">
        <v>40685.0</v>
      </c>
      <c r="D217" s="56" t="s">
        <v>89</v>
      </c>
      <c r="E217" s="56" t="s">
        <v>112</v>
      </c>
      <c r="F217" s="56">
        <v>8681.0</v>
      </c>
      <c r="G217" s="56" t="s">
        <v>42</v>
      </c>
      <c r="H217" s="56">
        <v>8858.0</v>
      </c>
      <c r="I217" s="127">
        <v>651.21</v>
      </c>
      <c r="J217" s="127">
        <v>524.96</v>
      </c>
      <c r="K217" s="83">
        <f t="shared" si="1"/>
        <v>5768418.18</v>
      </c>
      <c r="L217" s="83">
        <f t="shared" si="2"/>
        <v>4650095.68</v>
      </c>
      <c r="M217" s="83">
        <f t="shared" si="3"/>
        <v>1118322.5</v>
      </c>
      <c r="N217" s="46" t="str">
        <f>VLOOKUP(F217,products!$A$2:$B$13,2,FALSE)</f>
        <v>Office Supplies</v>
      </c>
      <c r="O217" s="46" t="s">
        <v>112</v>
      </c>
      <c r="P217" s="46">
        <f t="array" ref="P217">WEEKDAY(B217,2)</f>
        <v>4</v>
      </c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>
      <c r="A218" s="56">
        <v>2.43144452E8</v>
      </c>
      <c r="B218" s="126">
        <v>41804.0</v>
      </c>
      <c r="C218" s="126">
        <v>41836.0</v>
      </c>
      <c r="D218" s="56" t="s">
        <v>95</v>
      </c>
      <c r="E218" s="56" t="s">
        <v>102</v>
      </c>
      <c r="F218" s="56">
        <v>2103.0</v>
      </c>
      <c r="G218" s="56" t="s">
        <v>43</v>
      </c>
      <c r="H218" s="56">
        <v>701.0</v>
      </c>
      <c r="I218" s="127">
        <v>205.7</v>
      </c>
      <c r="J218" s="127">
        <v>117.11</v>
      </c>
      <c r="K218" s="83">
        <f t="shared" si="1"/>
        <v>144195.7</v>
      </c>
      <c r="L218" s="83">
        <f t="shared" si="2"/>
        <v>82094.11</v>
      </c>
      <c r="M218" s="83">
        <f t="shared" si="3"/>
        <v>62101.59</v>
      </c>
      <c r="N218" s="46" t="str">
        <f>VLOOKUP(F218,products!$A$2:$B$13,2,FALSE)</f>
        <v>Cereal</v>
      </c>
      <c r="O218" s="46" t="s">
        <v>102</v>
      </c>
      <c r="P218" s="46">
        <f t="array" ref="P218">WEEKDAY(B218,2)</f>
        <v>6</v>
      </c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>
      <c r="A219" s="56">
        <v>2.4322642E8</v>
      </c>
      <c r="B219" s="126">
        <v>41442.0</v>
      </c>
      <c r="C219" s="126">
        <v>41458.0</v>
      </c>
      <c r="D219" s="56" t="s">
        <v>95</v>
      </c>
      <c r="E219" s="56" t="e">
        <v>#N/A</v>
      </c>
      <c r="F219" s="56">
        <v>1270.0</v>
      </c>
      <c r="G219" s="56" t="s">
        <v>42</v>
      </c>
      <c r="H219" s="56">
        <v>4958.0</v>
      </c>
      <c r="I219" s="127">
        <v>47.45</v>
      </c>
      <c r="J219" s="127">
        <v>31.79</v>
      </c>
      <c r="K219" s="83">
        <f t="shared" si="1"/>
        <v>235257.1</v>
      </c>
      <c r="L219" s="83">
        <f t="shared" si="2"/>
        <v>157614.82</v>
      </c>
      <c r="M219" s="83">
        <f t="shared" si="3"/>
        <v>77642.28</v>
      </c>
      <c r="N219" s="46" t="str">
        <f>VLOOKUP(F219,products!$A$2:$B$13,2,FALSE)</f>
        <v>Beverages</v>
      </c>
      <c r="O219" s="46" t="s">
        <v>92</v>
      </c>
      <c r="P219" s="46">
        <f t="array" ref="P219">WEEKDAY(B219,2)</f>
        <v>1</v>
      </c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>
      <c r="A220" s="56">
        <v>2.43340575E8</v>
      </c>
      <c r="B220" s="126">
        <v>42588.0</v>
      </c>
      <c r="C220" s="126">
        <v>42617.0</v>
      </c>
      <c r="D220" s="56" t="s">
        <v>10</v>
      </c>
      <c r="E220" s="56" t="s">
        <v>94</v>
      </c>
      <c r="F220" s="56">
        <v>1270.0</v>
      </c>
      <c r="G220" s="56" t="s">
        <v>42</v>
      </c>
      <c r="H220" s="56">
        <v>8739.0</v>
      </c>
      <c r="I220" s="127">
        <v>47.45</v>
      </c>
      <c r="J220" s="127">
        <v>31.79</v>
      </c>
      <c r="K220" s="83">
        <f t="shared" si="1"/>
        <v>414665.55</v>
      </c>
      <c r="L220" s="83">
        <f t="shared" si="2"/>
        <v>277812.81</v>
      </c>
      <c r="M220" s="83">
        <f t="shared" si="3"/>
        <v>136852.74</v>
      </c>
      <c r="N220" s="46" t="str">
        <f>VLOOKUP(F220,products!$A$2:$B$13,2,FALSE)</f>
        <v>Beverages</v>
      </c>
      <c r="O220" s="46" t="s">
        <v>94</v>
      </c>
      <c r="P220" s="46">
        <f t="array" ref="P220">WEEKDAY(B220,2)</f>
        <v>6</v>
      </c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>
      <c r="A221" s="56">
        <v>2.43391644E8</v>
      </c>
      <c r="B221" s="126">
        <v>40335.0</v>
      </c>
      <c r="C221" s="126">
        <v>40356.0</v>
      </c>
      <c r="D221" s="56" t="s">
        <v>10</v>
      </c>
      <c r="E221" s="56" t="s">
        <v>104</v>
      </c>
      <c r="F221" s="56">
        <v>3127.0</v>
      </c>
      <c r="G221" s="56" t="s">
        <v>43</v>
      </c>
      <c r="H221" s="56">
        <v>3851.0</v>
      </c>
      <c r="I221" s="127">
        <v>81.73</v>
      </c>
      <c r="J221" s="127">
        <v>56.67</v>
      </c>
      <c r="K221" s="83">
        <f t="shared" si="1"/>
        <v>314742.23</v>
      </c>
      <c r="L221" s="83">
        <f t="shared" si="2"/>
        <v>218236.17</v>
      </c>
      <c r="M221" s="83">
        <f t="shared" si="3"/>
        <v>96506.06</v>
      </c>
      <c r="N221" s="46" t="str">
        <f>VLOOKUP(F221,products!$A$2:$B$13,2,FALSE)</f>
        <v>Personal Care</v>
      </c>
      <c r="O221" s="46" t="s">
        <v>104</v>
      </c>
      <c r="P221" s="46">
        <f t="array" ref="P221">WEEKDAY(B221,2)</f>
        <v>7</v>
      </c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>
      <c r="A222" s="56">
        <v>2.43521249E8</v>
      </c>
      <c r="B222" s="126">
        <v>42426.0</v>
      </c>
      <c r="C222" s="126">
        <v>42457.0</v>
      </c>
      <c r="D222" s="56" t="s">
        <v>93</v>
      </c>
      <c r="E222" s="56" t="s">
        <v>122</v>
      </c>
      <c r="F222" s="56">
        <v>8293.0</v>
      </c>
      <c r="G222" s="56" t="s">
        <v>43</v>
      </c>
      <c r="H222" s="56">
        <v>2204.0</v>
      </c>
      <c r="I222" s="127">
        <v>437.2</v>
      </c>
      <c r="J222" s="127">
        <v>263.33</v>
      </c>
      <c r="K222" s="83">
        <f t="shared" si="1"/>
        <v>963588.8</v>
      </c>
      <c r="L222" s="83">
        <f t="shared" si="2"/>
        <v>580379.32</v>
      </c>
      <c r="M222" s="83">
        <f t="shared" si="3"/>
        <v>383209.48</v>
      </c>
      <c r="N222" s="46" t="str">
        <f>VLOOKUP(F222,products!$A$2:$B$13,2,FALSE)</f>
        <v>Cosmetics</v>
      </c>
      <c r="O222" s="46" t="s">
        <v>122</v>
      </c>
      <c r="P222" s="46">
        <f t="array" ref="P222">WEEKDAY(B222,2)</f>
        <v>5</v>
      </c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>
      <c r="A223" s="56">
        <v>2.43684327E8</v>
      </c>
      <c r="B223" s="126">
        <v>42878.0</v>
      </c>
      <c r="C223" s="126">
        <v>42885.0</v>
      </c>
      <c r="D223" s="56" t="s">
        <v>95</v>
      </c>
      <c r="E223" s="56" t="s">
        <v>127</v>
      </c>
      <c r="F223" s="56">
        <v>7331.0</v>
      </c>
      <c r="G223" s="56" t="s">
        <v>43</v>
      </c>
      <c r="H223" s="56">
        <v>462.0</v>
      </c>
      <c r="I223" s="127">
        <v>255.28</v>
      </c>
      <c r="J223" s="127">
        <v>159.42</v>
      </c>
      <c r="K223" s="83">
        <f t="shared" si="1"/>
        <v>117939.36</v>
      </c>
      <c r="L223" s="83">
        <f t="shared" si="2"/>
        <v>73652.04</v>
      </c>
      <c r="M223" s="83">
        <f t="shared" si="3"/>
        <v>44287.32</v>
      </c>
      <c r="N223" s="46" t="str">
        <f>VLOOKUP(F223,products!$A$2:$B$13,2,FALSE)</f>
        <v>Baby Food</v>
      </c>
      <c r="O223" s="46" t="s">
        <v>127</v>
      </c>
      <c r="P223" s="46">
        <f t="array" ref="P223">WEEKDAY(B223,2)</f>
        <v>2</v>
      </c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>
      <c r="A224" s="56">
        <v>2.44023358E8</v>
      </c>
      <c r="B224" s="126">
        <v>42725.0</v>
      </c>
      <c r="C224" s="126">
        <v>42757.0</v>
      </c>
      <c r="D224" s="56" t="s">
        <v>93</v>
      </c>
      <c r="E224" s="56" t="s">
        <v>109</v>
      </c>
      <c r="F224" s="56">
        <v>1270.0</v>
      </c>
      <c r="G224" s="56" t="s">
        <v>42</v>
      </c>
      <c r="H224" s="56">
        <v>789.0</v>
      </c>
      <c r="I224" s="127">
        <v>47.45</v>
      </c>
      <c r="J224" s="127">
        <v>31.79</v>
      </c>
      <c r="K224" s="83">
        <f t="shared" si="1"/>
        <v>37438.05</v>
      </c>
      <c r="L224" s="83">
        <f t="shared" si="2"/>
        <v>25082.31</v>
      </c>
      <c r="M224" s="83">
        <f t="shared" si="3"/>
        <v>12355.74</v>
      </c>
      <c r="N224" s="46" t="str">
        <f>VLOOKUP(F224,products!$A$2:$B$13,2,FALSE)</f>
        <v>Beverages</v>
      </c>
      <c r="O224" s="46" t="s">
        <v>109</v>
      </c>
      <c r="P224" s="46">
        <f t="array" ref="P224">WEEKDAY(B224,2)</f>
        <v>3</v>
      </c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>
      <c r="A225" s="56">
        <v>2.45440852E8</v>
      </c>
      <c r="B225" s="126">
        <v>42336.0</v>
      </c>
      <c r="C225" s="126">
        <v>42355.0</v>
      </c>
      <c r="D225" s="56" t="s">
        <v>93</v>
      </c>
      <c r="E225" s="56" t="s">
        <v>97</v>
      </c>
      <c r="F225" s="56">
        <v>8875.0</v>
      </c>
      <c r="G225" s="56" t="s">
        <v>43</v>
      </c>
      <c r="H225" s="56">
        <v>257.0</v>
      </c>
      <c r="I225" s="127">
        <v>421.89</v>
      </c>
      <c r="J225" s="127">
        <v>364.69</v>
      </c>
      <c r="K225" s="83">
        <f t="shared" si="1"/>
        <v>108425.73</v>
      </c>
      <c r="L225" s="83">
        <f t="shared" si="2"/>
        <v>93725.33</v>
      </c>
      <c r="M225" s="83">
        <f t="shared" si="3"/>
        <v>14700.4</v>
      </c>
      <c r="N225" s="46" t="str">
        <f>VLOOKUP(F225,products!$A$2:$B$13,2,FALSE)</f>
        <v>Meat</v>
      </c>
      <c r="O225" s="46" t="s">
        <v>97</v>
      </c>
      <c r="P225" s="46">
        <f t="array" ref="P225">WEEKDAY(B225,2)</f>
        <v>6</v>
      </c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>
      <c r="A226" s="56">
        <v>2.45556294E8</v>
      </c>
      <c r="B226" s="126">
        <v>40334.0</v>
      </c>
      <c r="C226" s="126">
        <v>40354.0</v>
      </c>
      <c r="D226" s="56" t="s">
        <v>10</v>
      </c>
      <c r="E226" s="56" t="s">
        <v>128</v>
      </c>
      <c r="F226" s="56">
        <v>3127.0</v>
      </c>
      <c r="G226" s="56" t="s">
        <v>43</v>
      </c>
      <c r="H226" s="56">
        <v>4419.0</v>
      </c>
      <c r="I226" s="127">
        <v>81.73</v>
      </c>
      <c r="J226" s="127">
        <v>56.67</v>
      </c>
      <c r="K226" s="83">
        <f t="shared" si="1"/>
        <v>361164.87</v>
      </c>
      <c r="L226" s="83">
        <f t="shared" si="2"/>
        <v>250424.73</v>
      </c>
      <c r="M226" s="83">
        <f t="shared" si="3"/>
        <v>110740.14</v>
      </c>
      <c r="N226" s="46" t="str">
        <f>VLOOKUP(F226,products!$A$2:$B$13,2,FALSE)</f>
        <v>Personal Care</v>
      </c>
      <c r="O226" s="46" t="s">
        <v>128</v>
      </c>
      <c r="P226" s="46">
        <f t="array" ref="P226">WEEKDAY(B226,2)</f>
        <v>6</v>
      </c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>
      <c r="A227" s="56">
        <v>2.46603858E8</v>
      </c>
      <c r="B227" s="126">
        <v>40973.0</v>
      </c>
      <c r="C227" s="126">
        <v>41014.0</v>
      </c>
      <c r="D227" s="56" t="s">
        <v>95</v>
      </c>
      <c r="E227" s="56" t="s">
        <v>124</v>
      </c>
      <c r="F227" s="56">
        <v>8293.0</v>
      </c>
      <c r="G227" s="56" t="s">
        <v>42</v>
      </c>
      <c r="H227" s="56">
        <v>4417.0</v>
      </c>
      <c r="I227" s="127">
        <v>437.2</v>
      </c>
      <c r="J227" s="127">
        <v>263.33</v>
      </c>
      <c r="K227" s="83">
        <f t="shared" si="1"/>
        <v>1931112.4</v>
      </c>
      <c r="L227" s="83">
        <f t="shared" si="2"/>
        <v>1163128.61</v>
      </c>
      <c r="M227" s="83">
        <f t="shared" si="3"/>
        <v>767983.79</v>
      </c>
      <c r="N227" s="46" t="str">
        <f>VLOOKUP(F227,products!$A$2:$B$13,2,FALSE)</f>
        <v>Cosmetics</v>
      </c>
      <c r="O227" s="46" t="s">
        <v>124</v>
      </c>
      <c r="P227" s="46">
        <f t="array" ref="P227">WEEKDAY(B227,2)</f>
        <v>1</v>
      </c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>
      <c r="A228" s="56">
        <v>2.46922719E8</v>
      </c>
      <c r="B228" s="126">
        <v>42198.0</v>
      </c>
      <c r="C228" s="126">
        <v>42214.0</v>
      </c>
      <c r="D228" s="56" t="s">
        <v>95</v>
      </c>
      <c r="E228" s="56" t="s">
        <v>131</v>
      </c>
      <c r="F228" s="56">
        <v>8681.0</v>
      </c>
      <c r="G228" s="56" t="s">
        <v>43</v>
      </c>
      <c r="H228" s="56">
        <v>8775.0</v>
      </c>
      <c r="I228" s="127">
        <v>651.21</v>
      </c>
      <c r="J228" s="127">
        <v>524.96</v>
      </c>
      <c r="K228" s="83">
        <f t="shared" si="1"/>
        <v>5714367.75</v>
      </c>
      <c r="L228" s="83">
        <f t="shared" si="2"/>
        <v>4606524</v>
      </c>
      <c r="M228" s="83">
        <f t="shared" si="3"/>
        <v>1107843.75</v>
      </c>
      <c r="N228" s="46" t="str">
        <f>VLOOKUP(F228,products!$A$2:$B$13,2,FALSE)</f>
        <v>Office Supplies</v>
      </c>
      <c r="O228" s="46" t="s">
        <v>131</v>
      </c>
      <c r="P228" s="46">
        <f t="array" ref="P228">WEEKDAY(B228,2)</f>
        <v>1</v>
      </c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>
      <c r="A229" s="56">
        <v>2.49039304E8</v>
      </c>
      <c r="B229" s="126">
        <v>41715.0</v>
      </c>
      <c r="C229" s="126">
        <v>41760.0</v>
      </c>
      <c r="D229" s="56" t="s">
        <v>93</v>
      </c>
      <c r="E229" s="56" t="s">
        <v>111</v>
      </c>
      <c r="F229" s="56">
        <v>5988.0</v>
      </c>
      <c r="G229" s="56" t="s">
        <v>42</v>
      </c>
      <c r="H229" s="56">
        <v>5119.0</v>
      </c>
      <c r="I229" s="127">
        <v>154.06</v>
      </c>
      <c r="J229" s="127">
        <v>90.93</v>
      </c>
      <c r="K229" s="83">
        <f t="shared" si="1"/>
        <v>788633.14</v>
      </c>
      <c r="L229" s="83">
        <f t="shared" si="2"/>
        <v>465470.67</v>
      </c>
      <c r="M229" s="83">
        <f t="shared" si="3"/>
        <v>323162.47</v>
      </c>
      <c r="N229" s="46" t="str">
        <f>VLOOKUP(F229,products!$A$2:$B$13,2,FALSE)</f>
        <v>Vegetables</v>
      </c>
      <c r="O229" s="46" t="s">
        <v>111</v>
      </c>
      <c r="P229" s="46">
        <f t="array" ref="P229">WEEKDAY(B229,2)</f>
        <v>1</v>
      </c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>
      <c r="A230" s="56">
        <v>2.49606645E8</v>
      </c>
      <c r="B230" s="126">
        <v>41089.0</v>
      </c>
      <c r="C230" s="126">
        <v>41135.0</v>
      </c>
      <c r="D230" s="56" t="s">
        <v>10</v>
      </c>
      <c r="E230" s="56" t="s">
        <v>129</v>
      </c>
      <c r="F230" s="56">
        <v>4594.0</v>
      </c>
      <c r="G230" s="56" t="s">
        <v>42</v>
      </c>
      <c r="H230" s="56">
        <v>3008.0</v>
      </c>
      <c r="I230" s="127">
        <v>9.33</v>
      </c>
      <c r="J230" s="127">
        <v>6.92</v>
      </c>
      <c r="K230" s="83">
        <f t="shared" si="1"/>
        <v>28064.64</v>
      </c>
      <c r="L230" s="83">
        <f t="shared" si="2"/>
        <v>20815.36</v>
      </c>
      <c r="M230" s="83">
        <f t="shared" si="3"/>
        <v>7249.28</v>
      </c>
      <c r="N230" s="46" t="str">
        <f>VLOOKUP(F230,products!$A$2:$B$13,2,FALSE)</f>
        <v>Fruits</v>
      </c>
      <c r="O230" s="46" t="s">
        <v>129</v>
      </c>
      <c r="P230" s="46">
        <f t="array" ref="P230">WEEKDAY(B230,2)</f>
        <v>5</v>
      </c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>
      <c r="A231" s="56">
        <v>2.49765861E8</v>
      </c>
      <c r="B231" s="126">
        <v>42687.0</v>
      </c>
      <c r="C231" s="126">
        <v>42698.0</v>
      </c>
      <c r="D231" s="56" t="s">
        <v>89</v>
      </c>
      <c r="E231" s="56" t="s">
        <v>103</v>
      </c>
      <c r="F231" s="56">
        <v>2455.0</v>
      </c>
      <c r="G231" s="56" t="s">
        <v>43</v>
      </c>
      <c r="H231" s="56">
        <v>123.0</v>
      </c>
      <c r="I231" s="127">
        <v>109.28</v>
      </c>
      <c r="J231" s="127">
        <v>35.84</v>
      </c>
      <c r="K231" s="83">
        <f t="shared" si="1"/>
        <v>13441.44</v>
      </c>
      <c r="L231" s="83">
        <f t="shared" si="2"/>
        <v>4408.32</v>
      </c>
      <c r="M231" s="83">
        <f t="shared" si="3"/>
        <v>9033.12</v>
      </c>
      <c r="N231" s="46" t="str">
        <f>VLOOKUP(F231,products!$A$2:$B$13,2,FALSE)</f>
        <v>Clothes</v>
      </c>
      <c r="O231" s="46" t="s">
        <v>103</v>
      </c>
      <c r="P231" s="46">
        <f t="array" ref="P231">WEEKDAY(B231,2)</f>
        <v>7</v>
      </c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>
      <c r="A232" s="56">
        <v>2.50848186E8</v>
      </c>
      <c r="B232" s="126">
        <v>41304.0</v>
      </c>
      <c r="C232" s="126">
        <v>41340.0</v>
      </c>
      <c r="D232" s="56" t="s">
        <v>89</v>
      </c>
      <c r="E232" s="56" t="s">
        <v>107</v>
      </c>
      <c r="F232" s="56">
        <v>2455.0</v>
      </c>
      <c r="G232" s="56" t="s">
        <v>43</v>
      </c>
      <c r="H232" s="56">
        <v>407.0</v>
      </c>
      <c r="I232" s="127">
        <v>109.28</v>
      </c>
      <c r="J232" s="127">
        <v>35.84</v>
      </c>
      <c r="K232" s="83">
        <f t="shared" si="1"/>
        <v>44476.96</v>
      </c>
      <c r="L232" s="83">
        <f t="shared" si="2"/>
        <v>14586.88</v>
      </c>
      <c r="M232" s="83">
        <f t="shared" si="3"/>
        <v>29890.08</v>
      </c>
      <c r="N232" s="46" t="str">
        <f>VLOOKUP(F232,products!$A$2:$B$13,2,FALSE)</f>
        <v>Clothes</v>
      </c>
      <c r="O232" s="46" t="s">
        <v>107</v>
      </c>
      <c r="P232" s="46">
        <f t="array" ref="P232">WEEKDAY(B232,2)</f>
        <v>3</v>
      </c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>
      <c r="A233" s="56">
        <v>2.51208674E8</v>
      </c>
      <c r="B233" s="126">
        <v>42157.0</v>
      </c>
      <c r="C233" s="126">
        <v>42204.0</v>
      </c>
      <c r="D233" s="56" t="s">
        <v>89</v>
      </c>
      <c r="E233" s="56" t="s">
        <v>101</v>
      </c>
      <c r="F233" s="56">
        <v>8875.0</v>
      </c>
      <c r="G233" s="56" t="s">
        <v>42</v>
      </c>
      <c r="H233" s="56">
        <v>7084.0</v>
      </c>
      <c r="I233" s="127">
        <v>421.89</v>
      </c>
      <c r="J233" s="127">
        <v>364.69</v>
      </c>
      <c r="K233" s="83">
        <f t="shared" si="1"/>
        <v>2988668.76</v>
      </c>
      <c r="L233" s="83">
        <f t="shared" si="2"/>
        <v>2583463.96</v>
      </c>
      <c r="M233" s="83">
        <f t="shared" si="3"/>
        <v>405204.8</v>
      </c>
      <c r="N233" s="46" t="str">
        <f>VLOOKUP(F233,products!$A$2:$B$13,2,FALSE)</f>
        <v>Meat</v>
      </c>
      <c r="O233" s="46" t="s">
        <v>101</v>
      </c>
      <c r="P233" s="46">
        <f t="array" ref="P233">WEEKDAY(B233,2)</f>
        <v>2</v>
      </c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>
      <c r="A234" s="56">
        <v>2.51823222E8</v>
      </c>
      <c r="B234" s="126">
        <v>40424.0</v>
      </c>
      <c r="C234" s="126">
        <v>40452.0</v>
      </c>
      <c r="D234" s="56" t="s">
        <v>93</v>
      </c>
      <c r="E234" s="56" t="s">
        <v>103</v>
      </c>
      <c r="F234" s="56">
        <v>2455.0</v>
      </c>
      <c r="G234" s="56" t="s">
        <v>43</v>
      </c>
      <c r="H234" s="56">
        <v>8942.0</v>
      </c>
      <c r="I234" s="127">
        <v>109.28</v>
      </c>
      <c r="J234" s="127">
        <v>35.84</v>
      </c>
      <c r="K234" s="83">
        <f t="shared" si="1"/>
        <v>977181.76</v>
      </c>
      <c r="L234" s="83">
        <f t="shared" si="2"/>
        <v>320481.28</v>
      </c>
      <c r="M234" s="83">
        <f t="shared" si="3"/>
        <v>656700.48</v>
      </c>
      <c r="N234" s="46" t="str">
        <f>VLOOKUP(F234,products!$A$2:$B$13,2,FALSE)</f>
        <v>Clothes</v>
      </c>
      <c r="O234" s="46" t="s">
        <v>103</v>
      </c>
      <c r="P234" s="46">
        <f t="array" ref="P234">WEEKDAY(B234,2)</f>
        <v>5</v>
      </c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>
      <c r="A235" s="56">
        <v>2.51907765E8</v>
      </c>
      <c r="B235" s="126">
        <v>42064.0</v>
      </c>
      <c r="C235" s="126">
        <v>42101.0</v>
      </c>
      <c r="D235" s="56" t="s">
        <v>10</v>
      </c>
      <c r="E235" s="56" t="e">
        <v>#N/A</v>
      </c>
      <c r="F235" s="56">
        <v>8969.0</v>
      </c>
      <c r="G235" s="56" t="s">
        <v>42</v>
      </c>
      <c r="H235" s="56">
        <v>3961.0</v>
      </c>
      <c r="I235" s="127">
        <v>152.58</v>
      </c>
      <c r="J235" s="127">
        <v>97.44</v>
      </c>
      <c r="K235" s="83">
        <f t="shared" si="1"/>
        <v>604369.38</v>
      </c>
      <c r="L235" s="83">
        <f t="shared" si="2"/>
        <v>385959.84</v>
      </c>
      <c r="M235" s="83">
        <f t="shared" si="3"/>
        <v>218409.54</v>
      </c>
      <c r="N235" s="46" t="str">
        <f>VLOOKUP(F235,products!$A$2:$B$13,2,FALSE)</f>
        <v>Snacks</v>
      </c>
      <c r="O235" s="46" t="s">
        <v>92</v>
      </c>
      <c r="P235" s="46">
        <f t="array" ref="P235">WEEKDAY(B235,2)</f>
        <v>7</v>
      </c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>
      <c r="A236" s="56">
        <v>2.52541625E8</v>
      </c>
      <c r="B236" s="126">
        <v>42895.0</v>
      </c>
      <c r="C236" s="126">
        <v>42921.0</v>
      </c>
      <c r="D236" s="56" t="s">
        <v>10</v>
      </c>
      <c r="E236" s="56" t="e">
        <v>#N/A</v>
      </c>
      <c r="F236" s="56">
        <v>7331.0</v>
      </c>
      <c r="G236" s="56" t="s">
        <v>42</v>
      </c>
      <c r="H236" s="56">
        <v>1534.0</v>
      </c>
      <c r="I236" s="127">
        <v>255.28</v>
      </c>
      <c r="J236" s="127">
        <v>159.42</v>
      </c>
      <c r="K236" s="83">
        <f t="shared" si="1"/>
        <v>391599.52</v>
      </c>
      <c r="L236" s="83">
        <f t="shared" si="2"/>
        <v>244550.28</v>
      </c>
      <c r="M236" s="83">
        <f t="shared" si="3"/>
        <v>147049.24</v>
      </c>
      <c r="N236" s="46" t="str">
        <f>VLOOKUP(F236,products!$A$2:$B$13,2,FALSE)</f>
        <v>Baby Food</v>
      </c>
      <c r="O236" s="46" t="s">
        <v>92</v>
      </c>
      <c r="P236" s="46">
        <f t="array" ref="P236">WEEKDAY(B236,2)</f>
        <v>5</v>
      </c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>
      <c r="A237" s="56">
        <v>2.53055322E8</v>
      </c>
      <c r="B237" s="126">
        <v>42521.0</v>
      </c>
      <c r="C237" s="126">
        <v>42533.0</v>
      </c>
      <c r="D237" s="56" t="s">
        <v>95</v>
      </c>
      <c r="E237" s="56" t="s">
        <v>105</v>
      </c>
      <c r="F237" s="56">
        <v>1270.0</v>
      </c>
      <c r="G237" s="56" t="s">
        <v>43</v>
      </c>
      <c r="H237" s="56">
        <v>3548.0</v>
      </c>
      <c r="I237" s="127">
        <v>47.45</v>
      </c>
      <c r="J237" s="127">
        <v>31.79</v>
      </c>
      <c r="K237" s="83">
        <f t="shared" si="1"/>
        <v>168352.6</v>
      </c>
      <c r="L237" s="83">
        <f t="shared" si="2"/>
        <v>112790.92</v>
      </c>
      <c r="M237" s="83">
        <f t="shared" si="3"/>
        <v>55561.68</v>
      </c>
      <c r="N237" s="46" t="str">
        <f>VLOOKUP(F237,products!$A$2:$B$13,2,FALSE)</f>
        <v>Beverages</v>
      </c>
      <c r="O237" s="46" t="s">
        <v>105</v>
      </c>
      <c r="P237" s="46">
        <f t="array" ref="P237">WEEKDAY(B237,2)</f>
        <v>2</v>
      </c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>
      <c r="A238" s="56">
        <v>2.53211104E8</v>
      </c>
      <c r="B238" s="126">
        <v>40528.0</v>
      </c>
      <c r="C238" s="126">
        <v>40539.0</v>
      </c>
      <c r="D238" s="56" t="s">
        <v>10</v>
      </c>
      <c r="E238" s="56" t="s">
        <v>111</v>
      </c>
      <c r="F238" s="56">
        <v>8681.0</v>
      </c>
      <c r="G238" s="56" t="s">
        <v>43</v>
      </c>
      <c r="H238" s="56">
        <v>9648.0</v>
      </c>
      <c r="I238" s="127">
        <v>651.21</v>
      </c>
      <c r="J238" s="127">
        <v>524.96</v>
      </c>
      <c r="K238" s="83">
        <f t="shared" si="1"/>
        <v>6282874.08</v>
      </c>
      <c r="L238" s="83">
        <f t="shared" si="2"/>
        <v>5064814.08</v>
      </c>
      <c r="M238" s="83">
        <f t="shared" si="3"/>
        <v>1218060</v>
      </c>
      <c r="N238" s="46" t="str">
        <f>VLOOKUP(F238,products!$A$2:$B$13,2,FALSE)</f>
        <v>Office Supplies</v>
      </c>
      <c r="O238" s="46" t="s">
        <v>111</v>
      </c>
      <c r="P238" s="46">
        <f t="array" ref="P238">WEEKDAY(B238,2)</f>
        <v>4</v>
      </c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>
      <c r="A239" s="56">
        <v>2.55047452E8</v>
      </c>
      <c r="B239" s="126">
        <v>41183.0</v>
      </c>
      <c r="C239" s="126">
        <v>41212.0</v>
      </c>
      <c r="D239" s="56" t="s">
        <v>95</v>
      </c>
      <c r="E239" s="56" t="s">
        <v>108</v>
      </c>
      <c r="F239" s="56">
        <v>8969.0</v>
      </c>
      <c r="G239" s="56" t="s">
        <v>43</v>
      </c>
      <c r="H239" s="56">
        <v>3064.0</v>
      </c>
      <c r="I239" s="127">
        <v>152.58</v>
      </c>
      <c r="J239" s="127">
        <v>97.44</v>
      </c>
      <c r="K239" s="83">
        <f t="shared" si="1"/>
        <v>467505.12</v>
      </c>
      <c r="L239" s="83">
        <f t="shared" si="2"/>
        <v>298556.16</v>
      </c>
      <c r="M239" s="83">
        <f t="shared" si="3"/>
        <v>168948.96</v>
      </c>
      <c r="N239" s="46" t="str">
        <f>VLOOKUP(F239,products!$A$2:$B$13,2,FALSE)</f>
        <v>Snacks</v>
      </c>
      <c r="O239" s="46" t="s">
        <v>108</v>
      </c>
      <c r="P239" s="46">
        <f t="array" ref="P239">WEEKDAY(B239,2)</f>
        <v>1</v>
      </c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>
      <c r="A240" s="56">
        <v>2.56095016E8</v>
      </c>
      <c r="B240" s="126">
        <v>41822.0</v>
      </c>
      <c r="C240" s="126">
        <v>41872.0</v>
      </c>
      <c r="D240" s="56" t="s">
        <v>95</v>
      </c>
      <c r="E240" s="56" t="s">
        <v>94</v>
      </c>
      <c r="F240" s="56">
        <v>8681.0</v>
      </c>
      <c r="G240" s="56" t="s">
        <v>42</v>
      </c>
      <c r="H240" s="56">
        <v>3061.0</v>
      </c>
      <c r="I240" s="127">
        <v>651.21</v>
      </c>
      <c r="J240" s="127">
        <v>524.96</v>
      </c>
      <c r="K240" s="83">
        <f t="shared" si="1"/>
        <v>1993353.81</v>
      </c>
      <c r="L240" s="83">
        <f t="shared" si="2"/>
        <v>1606902.56</v>
      </c>
      <c r="M240" s="83">
        <f t="shared" si="3"/>
        <v>386451.25</v>
      </c>
      <c r="N240" s="46" t="str">
        <f>VLOOKUP(F240,products!$A$2:$B$13,2,FALSE)</f>
        <v>Office Supplies</v>
      </c>
      <c r="O240" s="46" t="s">
        <v>94</v>
      </c>
      <c r="P240" s="46">
        <f t="array" ref="P240">WEEKDAY(B240,2)</f>
        <v>3</v>
      </c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>
      <c r="A241" s="56">
        <v>2.59006392E8</v>
      </c>
      <c r="B241" s="126">
        <v>41416.0</v>
      </c>
      <c r="C241" s="126">
        <v>41431.0</v>
      </c>
      <c r="D241" s="56" t="s">
        <v>10</v>
      </c>
      <c r="E241" s="56" t="s">
        <v>99</v>
      </c>
      <c r="F241" s="56">
        <v>8681.0</v>
      </c>
      <c r="G241" s="56" t="s">
        <v>43</v>
      </c>
      <c r="H241" s="56">
        <v>4602.0</v>
      </c>
      <c r="I241" s="127">
        <v>651.21</v>
      </c>
      <c r="J241" s="127">
        <v>524.96</v>
      </c>
      <c r="K241" s="83">
        <f t="shared" si="1"/>
        <v>2996868.42</v>
      </c>
      <c r="L241" s="83">
        <f t="shared" si="2"/>
        <v>2415865.92</v>
      </c>
      <c r="M241" s="83">
        <f t="shared" si="3"/>
        <v>581002.5</v>
      </c>
      <c r="N241" s="46" t="str">
        <f>VLOOKUP(F241,products!$A$2:$B$13,2,FALSE)</f>
        <v>Office Supplies</v>
      </c>
      <c r="O241" s="46" t="s">
        <v>99</v>
      </c>
      <c r="P241" s="46">
        <f t="array" ref="P241">WEEKDAY(B241,2)</f>
        <v>3</v>
      </c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>
      <c r="A242" s="56">
        <v>2.59032571E8</v>
      </c>
      <c r="B242" s="126">
        <v>42864.0</v>
      </c>
      <c r="C242" s="126">
        <v>42868.0</v>
      </c>
      <c r="D242" s="56" t="s">
        <v>93</v>
      </c>
      <c r="E242" s="56" t="s">
        <v>109</v>
      </c>
      <c r="F242" s="56">
        <v>5988.0</v>
      </c>
      <c r="G242" s="56" t="s">
        <v>43</v>
      </c>
      <c r="H242" s="56">
        <v>2349.0</v>
      </c>
      <c r="I242" s="127">
        <v>154.06</v>
      </c>
      <c r="J242" s="127">
        <v>90.93</v>
      </c>
      <c r="K242" s="83">
        <f t="shared" si="1"/>
        <v>361886.94</v>
      </c>
      <c r="L242" s="83">
        <f t="shared" si="2"/>
        <v>213594.57</v>
      </c>
      <c r="M242" s="83">
        <f t="shared" si="3"/>
        <v>148292.37</v>
      </c>
      <c r="N242" s="46" t="str">
        <f>VLOOKUP(F242,products!$A$2:$B$13,2,FALSE)</f>
        <v>Vegetables</v>
      </c>
      <c r="O242" s="46" t="s">
        <v>109</v>
      </c>
      <c r="P242" s="46">
        <f t="array" ref="P242">WEEKDAY(B242,2)</f>
        <v>2</v>
      </c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>
      <c r="A243" s="56">
        <v>2.60630738E8</v>
      </c>
      <c r="B243" s="126">
        <v>42313.0</v>
      </c>
      <c r="C243" s="126">
        <v>42357.0</v>
      </c>
      <c r="D243" s="56" t="s">
        <v>89</v>
      </c>
      <c r="E243" s="56" t="e">
        <v>#N/A</v>
      </c>
      <c r="F243" s="56">
        <v>8293.0</v>
      </c>
      <c r="G243" s="56" t="s">
        <v>43</v>
      </c>
      <c r="H243" s="56">
        <v>5282.0</v>
      </c>
      <c r="I243" s="127">
        <v>437.2</v>
      </c>
      <c r="J243" s="127">
        <v>263.33</v>
      </c>
      <c r="K243" s="83">
        <f t="shared" si="1"/>
        <v>2309290.4</v>
      </c>
      <c r="L243" s="83">
        <f t="shared" si="2"/>
        <v>1390909.06</v>
      </c>
      <c r="M243" s="83">
        <f t="shared" si="3"/>
        <v>918381.34</v>
      </c>
      <c r="N243" s="46" t="str">
        <f>VLOOKUP(F243,products!$A$2:$B$13,2,FALSE)</f>
        <v>Cosmetics</v>
      </c>
      <c r="O243" s="46" t="s">
        <v>92</v>
      </c>
      <c r="P243" s="46">
        <f t="array" ref="P243">WEEKDAY(B243,2)</f>
        <v>4</v>
      </c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>
      <c r="A244" s="56">
        <v>2.6118735E8</v>
      </c>
      <c r="B244" s="126">
        <v>41184.0</v>
      </c>
      <c r="C244" s="126">
        <v>41185.0</v>
      </c>
      <c r="D244" s="56" t="s">
        <v>10</v>
      </c>
      <c r="E244" s="56" t="s">
        <v>127</v>
      </c>
      <c r="F244" s="56">
        <v>2455.0</v>
      </c>
      <c r="G244" s="56" t="s">
        <v>43</v>
      </c>
      <c r="H244" s="56">
        <v>9996.0</v>
      </c>
      <c r="I244" s="127">
        <v>109.28</v>
      </c>
      <c r="J244" s="127">
        <v>35.84</v>
      </c>
      <c r="K244" s="83">
        <f t="shared" si="1"/>
        <v>1092362.88</v>
      </c>
      <c r="L244" s="83">
        <f t="shared" si="2"/>
        <v>358256.64</v>
      </c>
      <c r="M244" s="83">
        <f t="shared" si="3"/>
        <v>734106.24</v>
      </c>
      <c r="N244" s="46" t="str">
        <f>VLOOKUP(F244,products!$A$2:$B$13,2,FALSE)</f>
        <v>Clothes</v>
      </c>
      <c r="O244" s="46" t="s">
        <v>127</v>
      </c>
      <c r="P244" s="46">
        <f t="array" ref="P244">WEEKDAY(B244,2)</f>
        <v>2</v>
      </c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>
      <c r="A245" s="56">
        <v>2.61640536E8</v>
      </c>
      <c r="B245" s="126">
        <v>42177.0</v>
      </c>
      <c r="C245" s="126">
        <v>42217.0</v>
      </c>
      <c r="D245" s="56" t="s">
        <v>89</v>
      </c>
      <c r="E245" s="56" t="s">
        <v>133</v>
      </c>
      <c r="F245" s="56">
        <v>7940.0</v>
      </c>
      <c r="G245" s="56" t="s">
        <v>42</v>
      </c>
      <c r="H245" s="56">
        <v>4104.0</v>
      </c>
      <c r="I245" s="127">
        <v>668.27</v>
      </c>
      <c r="J245" s="127">
        <v>502.54</v>
      </c>
      <c r="K245" s="83">
        <f t="shared" si="1"/>
        <v>2742580.08</v>
      </c>
      <c r="L245" s="83">
        <f t="shared" si="2"/>
        <v>2062424.16</v>
      </c>
      <c r="M245" s="83">
        <f t="shared" si="3"/>
        <v>680155.92</v>
      </c>
      <c r="N245" s="46" t="str">
        <f>VLOOKUP(F245,products!$A$2:$B$13,2,FALSE)</f>
        <v>Household</v>
      </c>
      <c r="O245" s="46" t="s">
        <v>133</v>
      </c>
      <c r="P245" s="46">
        <f t="array" ref="P245">WEEKDAY(B245,2)</f>
        <v>1</v>
      </c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>
      <c r="A246" s="56">
        <v>2.62177836E8</v>
      </c>
      <c r="B246" s="126">
        <v>41249.0</v>
      </c>
      <c r="C246" s="126">
        <v>41290.0</v>
      </c>
      <c r="D246" s="56" t="s">
        <v>95</v>
      </c>
      <c r="E246" s="56" t="s">
        <v>98</v>
      </c>
      <c r="F246" s="56">
        <v>4594.0</v>
      </c>
      <c r="G246" s="56" t="s">
        <v>42</v>
      </c>
      <c r="H246" s="56">
        <v>3103.0</v>
      </c>
      <c r="I246" s="127">
        <v>9.33</v>
      </c>
      <c r="J246" s="127">
        <v>6.92</v>
      </c>
      <c r="K246" s="83">
        <f t="shared" si="1"/>
        <v>28950.99</v>
      </c>
      <c r="L246" s="83">
        <f t="shared" si="2"/>
        <v>21472.76</v>
      </c>
      <c r="M246" s="83">
        <f t="shared" si="3"/>
        <v>7478.23</v>
      </c>
      <c r="N246" s="46" t="str">
        <f>VLOOKUP(F246,products!$A$2:$B$13,2,FALSE)</f>
        <v>Fruits</v>
      </c>
      <c r="O246" s="46" t="s">
        <v>98</v>
      </c>
      <c r="P246" s="46">
        <f t="array" ref="P246">WEEKDAY(B246,2)</f>
        <v>4</v>
      </c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>
      <c r="A247" s="56">
        <v>2.63098371E8</v>
      </c>
      <c r="B247" s="126">
        <v>41798.0</v>
      </c>
      <c r="C247" s="126">
        <v>41824.0</v>
      </c>
      <c r="D247" s="56" t="s">
        <v>93</v>
      </c>
      <c r="E247" s="56" t="s">
        <v>136</v>
      </c>
      <c r="F247" s="56">
        <v>3127.0</v>
      </c>
      <c r="G247" s="56" t="s">
        <v>43</v>
      </c>
      <c r="H247" s="56">
        <v>5509.0</v>
      </c>
      <c r="I247" s="127">
        <v>81.73</v>
      </c>
      <c r="J247" s="127">
        <v>56.67</v>
      </c>
      <c r="K247" s="83">
        <f t="shared" si="1"/>
        <v>450250.57</v>
      </c>
      <c r="L247" s="83">
        <f t="shared" si="2"/>
        <v>312195.03</v>
      </c>
      <c r="M247" s="83">
        <f t="shared" si="3"/>
        <v>138055.54</v>
      </c>
      <c r="N247" s="46" t="str">
        <f>VLOOKUP(F247,products!$A$2:$B$13,2,FALSE)</f>
        <v>Personal Care</v>
      </c>
      <c r="O247" s="46" t="s">
        <v>136</v>
      </c>
      <c r="P247" s="46">
        <f t="array" ref="P247">WEEKDAY(B247,2)</f>
        <v>7</v>
      </c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>
      <c r="A248" s="56">
        <v>2.6342796E8</v>
      </c>
      <c r="B248" s="126">
        <v>40761.0</v>
      </c>
      <c r="C248" s="126">
        <v>40806.0</v>
      </c>
      <c r="D248" s="56" t="s">
        <v>95</v>
      </c>
      <c r="E248" s="56" t="s">
        <v>118</v>
      </c>
      <c r="F248" s="56">
        <v>4594.0</v>
      </c>
      <c r="G248" s="56" t="s">
        <v>42</v>
      </c>
      <c r="H248" s="56">
        <v>3042.0</v>
      </c>
      <c r="I248" s="127">
        <v>9.33</v>
      </c>
      <c r="J248" s="127">
        <v>6.92</v>
      </c>
      <c r="K248" s="83">
        <f t="shared" si="1"/>
        <v>28381.86</v>
      </c>
      <c r="L248" s="83">
        <f t="shared" si="2"/>
        <v>21050.64</v>
      </c>
      <c r="M248" s="83">
        <f t="shared" si="3"/>
        <v>7331.22</v>
      </c>
      <c r="N248" s="46" t="str">
        <f>VLOOKUP(F248,products!$A$2:$B$13,2,FALSE)</f>
        <v>Fruits</v>
      </c>
      <c r="O248" s="46" t="s">
        <v>118</v>
      </c>
      <c r="P248" s="46">
        <f t="array" ref="P248">WEEKDAY(B248,2)</f>
        <v>6</v>
      </c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>
      <c r="A249" s="56">
        <v>2.63647687E8</v>
      </c>
      <c r="B249" s="126">
        <v>40991.0</v>
      </c>
      <c r="C249" s="126">
        <v>40998.0</v>
      </c>
      <c r="D249" s="56" t="s">
        <v>89</v>
      </c>
      <c r="E249" s="56" t="e">
        <v>#N/A</v>
      </c>
      <c r="F249" s="56">
        <v>2455.0</v>
      </c>
      <c r="G249" s="56" t="s">
        <v>43</v>
      </c>
      <c r="H249" s="56">
        <v>8064.0</v>
      </c>
      <c r="I249" s="127">
        <v>109.28</v>
      </c>
      <c r="J249" s="127">
        <v>35.84</v>
      </c>
      <c r="K249" s="83">
        <f t="shared" si="1"/>
        <v>881233.92</v>
      </c>
      <c r="L249" s="83">
        <f t="shared" si="2"/>
        <v>289013.76</v>
      </c>
      <c r="M249" s="83">
        <f t="shared" si="3"/>
        <v>592220.16</v>
      </c>
      <c r="N249" s="46" t="str">
        <f>VLOOKUP(F249,products!$A$2:$B$13,2,FALSE)</f>
        <v>Clothes</v>
      </c>
      <c r="O249" s="46" t="s">
        <v>92</v>
      </c>
      <c r="P249" s="46">
        <f t="array" ref="P249">WEEKDAY(B249,2)</f>
        <v>5</v>
      </c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>
      <c r="A250" s="56">
        <v>2.63852393E8</v>
      </c>
      <c r="B250" s="126">
        <v>41070.0</v>
      </c>
      <c r="C250" s="126">
        <v>41089.0</v>
      </c>
      <c r="D250" s="56" t="s">
        <v>93</v>
      </c>
      <c r="E250" s="56" t="e">
        <v>#N/A</v>
      </c>
      <c r="F250" s="56">
        <v>7331.0</v>
      </c>
      <c r="G250" s="56" t="s">
        <v>42</v>
      </c>
      <c r="H250" s="56">
        <v>8641.0</v>
      </c>
      <c r="I250" s="127">
        <v>255.28</v>
      </c>
      <c r="J250" s="127">
        <v>159.42</v>
      </c>
      <c r="K250" s="83">
        <f t="shared" si="1"/>
        <v>2205874.48</v>
      </c>
      <c r="L250" s="83">
        <f t="shared" si="2"/>
        <v>1377548.22</v>
      </c>
      <c r="M250" s="83">
        <f t="shared" si="3"/>
        <v>828326.26</v>
      </c>
      <c r="N250" s="46" t="str">
        <f>VLOOKUP(F250,products!$A$2:$B$13,2,FALSE)</f>
        <v>Baby Food</v>
      </c>
      <c r="O250" s="46" t="s">
        <v>92</v>
      </c>
      <c r="P250" s="46">
        <f t="array" ref="P250">WEEKDAY(B250,2)</f>
        <v>7</v>
      </c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>
      <c r="A251" s="56">
        <v>2.63882005E8</v>
      </c>
      <c r="B251" s="126">
        <v>40577.0</v>
      </c>
      <c r="C251" s="126">
        <v>40601.0</v>
      </c>
      <c r="D251" s="56" t="s">
        <v>89</v>
      </c>
      <c r="E251" s="56" t="s">
        <v>104</v>
      </c>
      <c r="F251" s="56">
        <v>1270.0</v>
      </c>
      <c r="G251" s="56" t="s">
        <v>43</v>
      </c>
      <c r="H251" s="56">
        <v>7404.0</v>
      </c>
      <c r="I251" s="127">
        <v>47.45</v>
      </c>
      <c r="J251" s="127">
        <v>31.79</v>
      </c>
      <c r="K251" s="83">
        <f t="shared" si="1"/>
        <v>351319.8</v>
      </c>
      <c r="L251" s="83">
        <f t="shared" si="2"/>
        <v>235373.16</v>
      </c>
      <c r="M251" s="83">
        <f t="shared" si="3"/>
        <v>115946.64</v>
      </c>
      <c r="N251" s="46" t="str">
        <f>VLOOKUP(F251,products!$A$2:$B$13,2,FALSE)</f>
        <v>Beverages</v>
      </c>
      <c r="O251" s="46" t="s">
        <v>104</v>
      </c>
      <c r="P251" s="46">
        <f t="array" ref="P251">WEEKDAY(B251,2)</f>
        <v>4</v>
      </c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>
      <c r="A252" s="56">
        <v>2.63977277E8</v>
      </c>
      <c r="B252" s="126">
        <v>42719.0</v>
      </c>
      <c r="C252" s="126">
        <v>42745.0</v>
      </c>
      <c r="D252" s="56" t="s">
        <v>95</v>
      </c>
      <c r="E252" s="56" t="s">
        <v>127</v>
      </c>
      <c r="F252" s="56">
        <v>8681.0</v>
      </c>
      <c r="G252" s="56" t="s">
        <v>42</v>
      </c>
      <c r="H252" s="56">
        <v>5597.0</v>
      </c>
      <c r="I252" s="127">
        <v>651.21</v>
      </c>
      <c r="J252" s="127">
        <v>524.96</v>
      </c>
      <c r="K252" s="83">
        <f t="shared" si="1"/>
        <v>3644822.37</v>
      </c>
      <c r="L252" s="83">
        <f t="shared" si="2"/>
        <v>2938201.12</v>
      </c>
      <c r="M252" s="83">
        <f t="shared" si="3"/>
        <v>706621.25</v>
      </c>
      <c r="N252" s="46" t="str">
        <f>VLOOKUP(F252,products!$A$2:$B$13,2,FALSE)</f>
        <v>Office Supplies</v>
      </c>
      <c r="O252" s="46" t="s">
        <v>127</v>
      </c>
      <c r="P252" s="46">
        <f t="array" ref="P252">WEEKDAY(B252,2)</f>
        <v>4</v>
      </c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>
      <c r="A253" s="56">
        <v>2.64163959E8</v>
      </c>
      <c r="B253" s="126">
        <v>42618.0</v>
      </c>
      <c r="C253" s="126">
        <v>42635.0</v>
      </c>
      <c r="D253" s="56" t="s">
        <v>10</v>
      </c>
      <c r="E253" s="56" t="s">
        <v>129</v>
      </c>
      <c r="F253" s="56">
        <v>1270.0</v>
      </c>
      <c r="G253" s="56" t="s">
        <v>43</v>
      </c>
      <c r="H253" s="56">
        <v>840.0</v>
      </c>
      <c r="I253" s="127">
        <v>47.45</v>
      </c>
      <c r="J253" s="127">
        <v>31.79</v>
      </c>
      <c r="K253" s="83">
        <f t="shared" si="1"/>
        <v>39858</v>
      </c>
      <c r="L253" s="83">
        <f t="shared" si="2"/>
        <v>26703.6</v>
      </c>
      <c r="M253" s="83">
        <f t="shared" si="3"/>
        <v>13154.4</v>
      </c>
      <c r="N253" s="46" t="str">
        <f>VLOOKUP(F253,products!$A$2:$B$13,2,FALSE)</f>
        <v>Beverages</v>
      </c>
      <c r="O253" s="46" t="s">
        <v>129</v>
      </c>
      <c r="P253" s="46">
        <f t="array" ref="P253">WEEKDAY(B253,2)</f>
        <v>1</v>
      </c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>
      <c r="A254" s="56">
        <v>2.64526593E8</v>
      </c>
      <c r="B254" s="126">
        <v>41912.0</v>
      </c>
      <c r="C254" s="126">
        <v>41919.0</v>
      </c>
      <c r="D254" s="56" t="s">
        <v>95</v>
      </c>
      <c r="E254" s="56" t="s">
        <v>105</v>
      </c>
      <c r="F254" s="56">
        <v>3127.0</v>
      </c>
      <c r="G254" s="56" t="s">
        <v>42</v>
      </c>
      <c r="H254" s="56">
        <v>8152.0</v>
      </c>
      <c r="I254" s="127">
        <v>81.73</v>
      </c>
      <c r="J254" s="127">
        <v>56.67</v>
      </c>
      <c r="K254" s="83">
        <f t="shared" si="1"/>
        <v>666262.96</v>
      </c>
      <c r="L254" s="83">
        <f t="shared" si="2"/>
        <v>461973.84</v>
      </c>
      <c r="M254" s="83">
        <f t="shared" si="3"/>
        <v>204289.12</v>
      </c>
      <c r="N254" s="46" t="str">
        <f>VLOOKUP(F254,products!$A$2:$B$13,2,FALSE)</f>
        <v>Personal Care</v>
      </c>
      <c r="O254" s="46" t="s">
        <v>105</v>
      </c>
      <c r="P254" s="46">
        <f t="array" ref="P254">WEEKDAY(B254,2)</f>
        <v>2</v>
      </c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>
      <c r="A255" s="56">
        <v>2.64856183E8</v>
      </c>
      <c r="B255" s="126">
        <v>40874.0</v>
      </c>
      <c r="C255" s="126">
        <v>40900.0</v>
      </c>
      <c r="D255" s="56" t="s">
        <v>93</v>
      </c>
      <c r="E255" s="56" t="s">
        <v>108</v>
      </c>
      <c r="F255" s="56">
        <v>4594.0</v>
      </c>
      <c r="G255" s="56" t="s">
        <v>43</v>
      </c>
      <c r="H255" s="56">
        <v>5685.0</v>
      </c>
      <c r="I255" s="127">
        <v>9.33</v>
      </c>
      <c r="J255" s="127">
        <v>6.92</v>
      </c>
      <c r="K255" s="83">
        <f t="shared" si="1"/>
        <v>53041.05</v>
      </c>
      <c r="L255" s="83">
        <f t="shared" si="2"/>
        <v>39340.2</v>
      </c>
      <c r="M255" s="83">
        <f t="shared" si="3"/>
        <v>13700.85</v>
      </c>
      <c r="N255" s="46" t="str">
        <f>VLOOKUP(F255,products!$A$2:$B$13,2,FALSE)</f>
        <v>Fruits</v>
      </c>
      <c r="O255" s="46" t="s">
        <v>108</v>
      </c>
      <c r="P255" s="46">
        <f t="array" ref="P255">WEEKDAY(B255,2)</f>
        <v>7</v>
      </c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>
      <c r="A256" s="56">
        <v>2.6492871E8</v>
      </c>
      <c r="B256" s="126">
        <v>42393.0</v>
      </c>
      <c r="C256" s="126">
        <v>42396.0</v>
      </c>
      <c r="D256" s="56" t="s">
        <v>93</v>
      </c>
      <c r="E256" s="56" t="s">
        <v>117</v>
      </c>
      <c r="F256" s="56">
        <v>2455.0</v>
      </c>
      <c r="G256" s="56" t="s">
        <v>42</v>
      </c>
      <c r="H256" s="56">
        <v>7147.0</v>
      </c>
      <c r="I256" s="127">
        <v>109.28</v>
      </c>
      <c r="J256" s="127">
        <v>35.84</v>
      </c>
      <c r="K256" s="83">
        <f t="shared" si="1"/>
        <v>781024.16</v>
      </c>
      <c r="L256" s="83">
        <f t="shared" si="2"/>
        <v>256148.48</v>
      </c>
      <c r="M256" s="83">
        <f t="shared" si="3"/>
        <v>524875.68</v>
      </c>
      <c r="N256" s="46" t="str">
        <f>VLOOKUP(F256,products!$A$2:$B$13,2,FALSE)</f>
        <v>Clothes</v>
      </c>
      <c r="O256" s="46" t="s">
        <v>117</v>
      </c>
      <c r="P256" s="46">
        <f t="array" ref="P256">WEEKDAY(B256,2)</f>
        <v>7</v>
      </c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>
      <c r="A257" s="56">
        <v>2.64959609E8</v>
      </c>
      <c r="B257" s="126">
        <v>41518.0</v>
      </c>
      <c r="C257" s="126">
        <v>41565.0</v>
      </c>
      <c r="D257" s="56" t="s">
        <v>10</v>
      </c>
      <c r="E257" s="56" t="s">
        <v>102</v>
      </c>
      <c r="F257" s="56">
        <v>8969.0</v>
      </c>
      <c r="G257" s="56" t="s">
        <v>43</v>
      </c>
      <c r="H257" s="56">
        <v>6291.0</v>
      </c>
      <c r="I257" s="127">
        <v>152.58</v>
      </c>
      <c r="J257" s="127">
        <v>97.44</v>
      </c>
      <c r="K257" s="83">
        <f t="shared" si="1"/>
        <v>959880.78</v>
      </c>
      <c r="L257" s="83">
        <f t="shared" si="2"/>
        <v>612995.04</v>
      </c>
      <c r="M257" s="83">
        <f t="shared" si="3"/>
        <v>346885.74</v>
      </c>
      <c r="N257" s="46" t="str">
        <f>VLOOKUP(F257,products!$A$2:$B$13,2,FALSE)</f>
        <v>Snacks</v>
      </c>
      <c r="O257" s="46" t="s">
        <v>102</v>
      </c>
      <c r="P257" s="46">
        <f t="array" ref="P257">WEEKDAY(B257,2)</f>
        <v>7</v>
      </c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>
      <c r="A258" s="56">
        <v>2.65191352E8</v>
      </c>
      <c r="B258" s="126">
        <v>41869.0</v>
      </c>
      <c r="C258" s="126">
        <v>41908.0</v>
      </c>
      <c r="D258" s="56" t="s">
        <v>89</v>
      </c>
      <c r="E258" s="56" t="s">
        <v>91</v>
      </c>
      <c r="F258" s="56">
        <v>8969.0</v>
      </c>
      <c r="G258" s="56" t="s">
        <v>42</v>
      </c>
      <c r="H258" s="56">
        <v>4869.0</v>
      </c>
      <c r="I258" s="127">
        <v>152.58</v>
      </c>
      <c r="J258" s="127">
        <v>97.44</v>
      </c>
      <c r="K258" s="83">
        <f t="shared" si="1"/>
        <v>742912.02</v>
      </c>
      <c r="L258" s="83">
        <f t="shared" si="2"/>
        <v>474435.36</v>
      </c>
      <c r="M258" s="83">
        <f t="shared" si="3"/>
        <v>268476.66</v>
      </c>
      <c r="N258" s="46" t="str">
        <f>VLOOKUP(F258,products!$A$2:$B$13,2,FALSE)</f>
        <v>Snacks</v>
      </c>
      <c r="O258" s="46" t="s">
        <v>91</v>
      </c>
      <c r="P258" s="46">
        <f t="array" ref="P258">WEEKDAY(B258,2)</f>
        <v>1</v>
      </c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>
      <c r="A259" s="56">
        <v>2.65914475E8</v>
      </c>
      <c r="B259" s="126">
        <v>42016.0</v>
      </c>
      <c r="C259" s="126">
        <v>42056.0</v>
      </c>
      <c r="D259" s="56" t="s">
        <v>89</v>
      </c>
      <c r="E259" s="56" t="s">
        <v>112</v>
      </c>
      <c r="F259" s="56">
        <v>8293.0</v>
      </c>
      <c r="G259" s="56" t="s">
        <v>43</v>
      </c>
      <c r="H259" s="56">
        <v>8857.0</v>
      </c>
      <c r="I259" s="127">
        <v>437.2</v>
      </c>
      <c r="J259" s="127">
        <v>263.33</v>
      </c>
      <c r="K259" s="83">
        <f t="shared" si="1"/>
        <v>3872280.4</v>
      </c>
      <c r="L259" s="83">
        <f t="shared" si="2"/>
        <v>2332313.81</v>
      </c>
      <c r="M259" s="83">
        <f t="shared" si="3"/>
        <v>1539966.59</v>
      </c>
      <c r="N259" s="46" t="str">
        <f>VLOOKUP(F259,products!$A$2:$B$13,2,FALSE)</f>
        <v>Cosmetics</v>
      </c>
      <c r="O259" s="46" t="s">
        <v>112</v>
      </c>
      <c r="P259" s="46">
        <f t="array" ref="P259">WEEKDAY(B259,2)</f>
        <v>1</v>
      </c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>
      <c r="A260" s="56">
        <v>2.66614854E8</v>
      </c>
      <c r="B260" s="126">
        <v>41540.0</v>
      </c>
      <c r="C260" s="126">
        <v>41557.0</v>
      </c>
      <c r="D260" s="56" t="s">
        <v>89</v>
      </c>
      <c r="E260" s="56" t="s">
        <v>91</v>
      </c>
      <c r="F260" s="56">
        <v>7940.0</v>
      </c>
      <c r="G260" s="56" t="s">
        <v>43</v>
      </c>
      <c r="H260" s="56">
        <v>6115.0</v>
      </c>
      <c r="I260" s="127">
        <v>668.27</v>
      </c>
      <c r="J260" s="127">
        <v>502.54</v>
      </c>
      <c r="K260" s="83">
        <f t="shared" si="1"/>
        <v>4086471.05</v>
      </c>
      <c r="L260" s="83">
        <f t="shared" si="2"/>
        <v>3073032.1</v>
      </c>
      <c r="M260" s="83">
        <f t="shared" si="3"/>
        <v>1013438.95</v>
      </c>
      <c r="N260" s="46" t="str">
        <f>VLOOKUP(F260,products!$A$2:$B$13,2,FALSE)</f>
        <v>Household</v>
      </c>
      <c r="O260" s="46" t="s">
        <v>91</v>
      </c>
      <c r="P260" s="46">
        <f t="array" ref="P260">WEEKDAY(B260,2)</f>
        <v>1</v>
      </c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>
      <c r="A261" s="56">
        <v>2.66638886E8</v>
      </c>
      <c r="B261" s="126">
        <v>41781.0</v>
      </c>
      <c r="C261" s="126">
        <v>41809.0</v>
      </c>
      <c r="D261" s="56" t="s">
        <v>10</v>
      </c>
      <c r="E261" s="56" t="s">
        <v>128</v>
      </c>
      <c r="F261" s="56">
        <v>7940.0</v>
      </c>
      <c r="G261" s="56" t="s">
        <v>43</v>
      </c>
      <c r="H261" s="56">
        <v>3227.0</v>
      </c>
      <c r="I261" s="127">
        <v>668.27</v>
      </c>
      <c r="J261" s="127">
        <v>502.54</v>
      </c>
      <c r="K261" s="83">
        <f t="shared" si="1"/>
        <v>2156507.29</v>
      </c>
      <c r="L261" s="83">
        <f t="shared" si="2"/>
        <v>1621696.58</v>
      </c>
      <c r="M261" s="83">
        <f t="shared" si="3"/>
        <v>534810.71</v>
      </c>
      <c r="N261" s="46" t="str">
        <f>VLOOKUP(F261,products!$A$2:$B$13,2,FALSE)</f>
        <v>Household</v>
      </c>
      <c r="O261" s="46" t="s">
        <v>128</v>
      </c>
      <c r="P261" s="46">
        <f t="array" ref="P261">WEEKDAY(B261,2)</f>
        <v>4</v>
      </c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>
      <c r="A262" s="56">
        <v>2.68373954E8</v>
      </c>
      <c r="B262" s="126">
        <v>40234.0</v>
      </c>
      <c r="C262" s="126">
        <v>40237.0</v>
      </c>
      <c r="D262" s="56" t="s">
        <v>95</v>
      </c>
      <c r="E262" s="56" t="s">
        <v>118</v>
      </c>
      <c r="F262" s="56">
        <v>8681.0</v>
      </c>
      <c r="G262" s="56" t="s">
        <v>43</v>
      </c>
      <c r="H262" s="56">
        <v>6672.0</v>
      </c>
      <c r="I262" s="127">
        <v>651.21</v>
      </c>
      <c r="J262" s="127">
        <v>524.96</v>
      </c>
      <c r="K262" s="83">
        <f t="shared" si="1"/>
        <v>4344873.12</v>
      </c>
      <c r="L262" s="83">
        <f t="shared" si="2"/>
        <v>3502533.12</v>
      </c>
      <c r="M262" s="83">
        <f t="shared" si="3"/>
        <v>842340</v>
      </c>
      <c r="N262" s="46" t="str">
        <f>VLOOKUP(F262,products!$A$2:$B$13,2,FALSE)</f>
        <v>Office Supplies</v>
      </c>
      <c r="O262" s="46" t="s">
        <v>118</v>
      </c>
      <c r="P262" s="46">
        <f t="array" ref="P262">WEEKDAY(B262,2)</f>
        <v>4</v>
      </c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>
      <c r="A263" s="56">
        <v>2.70358788E8</v>
      </c>
      <c r="B263" s="126">
        <v>41984.0</v>
      </c>
      <c r="C263" s="126">
        <v>42028.0</v>
      </c>
      <c r="D263" s="56" t="s">
        <v>89</v>
      </c>
      <c r="E263" s="56" t="s">
        <v>131</v>
      </c>
      <c r="F263" s="56">
        <v>1270.0</v>
      </c>
      <c r="G263" s="56" t="s">
        <v>42</v>
      </c>
      <c r="H263" s="56">
        <v>4028.0</v>
      </c>
      <c r="I263" s="127">
        <v>47.45</v>
      </c>
      <c r="J263" s="127">
        <v>31.79</v>
      </c>
      <c r="K263" s="83">
        <f t="shared" si="1"/>
        <v>191128.6</v>
      </c>
      <c r="L263" s="83">
        <f t="shared" si="2"/>
        <v>128050.12</v>
      </c>
      <c r="M263" s="83">
        <f t="shared" si="3"/>
        <v>63078.48</v>
      </c>
      <c r="N263" s="46" t="str">
        <f>VLOOKUP(F263,products!$A$2:$B$13,2,FALSE)</f>
        <v>Beverages</v>
      </c>
      <c r="O263" s="46" t="s">
        <v>131</v>
      </c>
      <c r="P263" s="46">
        <f t="array" ref="P263">WEEKDAY(B263,2)</f>
        <v>4</v>
      </c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>
      <c r="A264" s="56">
        <v>2.72361218E8</v>
      </c>
      <c r="B264" s="126">
        <v>40355.0</v>
      </c>
      <c r="C264" s="126">
        <v>40362.0</v>
      </c>
      <c r="D264" s="56" t="s">
        <v>10</v>
      </c>
      <c r="E264" s="56" t="s">
        <v>115</v>
      </c>
      <c r="F264" s="56">
        <v>8969.0</v>
      </c>
      <c r="G264" s="56" t="s">
        <v>42</v>
      </c>
      <c r="H264" s="56">
        <v>6592.0</v>
      </c>
      <c r="I264" s="127">
        <v>152.58</v>
      </c>
      <c r="J264" s="127">
        <v>97.44</v>
      </c>
      <c r="K264" s="83">
        <f t="shared" si="1"/>
        <v>1005807.36</v>
      </c>
      <c r="L264" s="83">
        <f t="shared" si="2"/>
        <v>642324.48</v>
      </c>
      <c r="M264" s="83">
        <f t="shared" si="3"/>
        <v>363482.88</v>
      </c>
      <c r="N264" s="46" t="str">
        <f>VLOOKUP(F264,products!$A$2:$B$13,2,FALSE)</f>
        <v>Snacks</v>
      </c>
      <c r="O264" s="46" t="s">
        <v>115</v>
      </c>
      <c r="P264" s="46">
        <f t="array" ref="P264">WEEKDAY(B264,2)</f>
        <v>6</v>
      </c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>
      <c r="A265" s="56">
        <v>2.72425591E8</v>
      </c>
      <c r="B265" s="126">
        <v>40606.0</v>
      </c>
      <c r="C265" s="126">
        <v>40623.0</v>
      </c>
      <c r="D265" s="56" t="s">
        <v>93</v>
      </c>
      <c r="E265" s="56" t="s">
        <v>135</v>
      </c>
      <c r="F265" s="56">
        <v>4594.0</v>
      </c>
      <c r="G265" s="56" t="s">
        <v>43</v>
      </c>
      <c r="H265" s="56">
        <v>5641.0</v>
      </c>
      <c r="I265" s="127">
        <v>9.33</v>
      </c>
      <c r="J265" s="127">
        <v>6.92</v>
      </c>
      <c r="K265" s="83">
        <f t="shared" si="1"/>
        <v>52630.53</v>
      </c>
      <c r="L265" s="83">
        <f t="shared" si="2"/>
        <v>39035.72</v>
      </c>
      <c r="M265" s="83">
        <f t="shared" si="3"/>
        <v>13594.81</v>
      </c>
      <c r="N265" s="46" t="str">
        <f>VLOOKUP(F265,products!$A$2:$B$13,2,FALSE)</f>
        <v>Fruits</v>
      </c>
      <c r="O265" s="46" t="s">
        <v>135</v>
      </c>
      <c r="P265" s="46">
        <f t="array" ref="P265">WEEKDAY(B265,2)</f>
        <v>5</v>
      </c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>
      <c r="A266" s="56">
        <v>2.73662412E8</v>
      </c>
      <c r="B266" s="126">
        <v>40379.0</v>
      </c>
      <c r="C266" s="126">
        <v>40382.0</v>
      </c>
      <c r="D266" s="56" t="s">
        <v>10</v>
      </c>
      <c r="E266" s="56" t="s">
        <v>125</v>
      </c>
      <c r="F266" s="56">
        <v>8875.0</v>
      </c>
      <c r="G266" s="56" t="s">
        <v>43</v>
      </c>
      <c r="H266" s="56">
        <v>1644.0</v>
      </c>
      <c r="I266" s="127">
        <v>421.89</v>
      </c>
      <c r="J266" s="127">
        <v>364.69</v>
      </c>
      <c r="K266" s="83">
        <f t="shared" si="1"/>
        <v>693587.16</v>
      </c>
      <c r="L266" s="83">
        <f t="shared" si="2"/>
        <v>599550.36</v>
      </c>
      <c r="M266" s="83">
        <f t="shared" si="3"/>
        <v>94036.8</v>
      </c>
      <c r="N266" s="46" t="str">
        <f>VLOOKUP(F266,products!$A$2:$B$13,2,FALSE)</f>
        <v>Meat</v>
      </c>
      <c r="O266" s="46" t="s">
        <v>125</v>
      </c>
      <c r="P266" s="46">
        <f t="array" ref="P266">WEEKDAY(B266,2)</f>
        <v>2</v>
      </c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>
      <c r="A267" s="56">
        <v>2.73940503E8</v>
      </c>
      <c r="B267" s="126">
        <v>40800.0</v>
      </c>
      <c r="C267" s="126">
        <v>40835.0</v>
      </c>
      <c r="D267" s="56" t="s">
        <v>93</v>
      </c>
      <c r="E267" s="56" t="s">
        <v>105</v>
      </c>
      <c r="F267" s="56">
        <v>2103.0</v>
      </c>
      <c r="G267" s="56" t="s">
        <v>43</v>
      </c>
      <c r="H267" s="56">
        <v>3937.0</v>
      </c>
      <c r="I267" s="127">
        <v>205.7</v>
      </c>
      <c r="J267" s="127">
        <v>117.11</v>
      </c>
      <c r="K267" s="83">
        <f t="shared" si="1"/>
        <v>809840.9</v>
      </c>
      <c r="L267" s="83">
        <f t="shared" si="2"/>
        <v>461062.07</v>
      </c>
      <c r="M267" s="83">
        <f t="shared" si="3"/>
        <v>348778.83</v>
      </c>
      <c r="N267" s="46" t="str">
        <f>VLOOKUP(F267,products!$A$2:$B$13,2,FALSE)</f>
        <v>Cereal</v>
      </c>
      <c r="O267" s="46" t="s">
        <v>105</v>
      </c>
      <c r="P267" s="46">
        <f t="array" ref="P267">WEEKDAY(B267,2)</f>
        <v>3</v>
      </c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>
      <c r="A268" s="56">
        <v>2.74694526E8</v>
      </c>
      <c r="B268" s="126">
        <v>42838.0</v>
      </c>
      <c r="C268" s="126">
        <v>42866.0</v>
      </c>
      <c r="D268" s="56" t="s">
        <v>10</v>
      </c>
      <c r="E268" s="56" t="s">
        <v>112</v>
      </c>
      <c r="F268" s="56">
        <v>3127.0</v>
      </c>
      <c r="G268" s="56" t="s">
        <v>42</v>
      </c>
      <c r="H268" s="56">
        <v>7069.0</v>
      </c>
      <c r="I268" s="127">
        <v>81.73</v>
      </c>
      <c r="J268" s="127">
        <v>56.67</v>
      </c>
      <c r="K268" s="83">
        <f t="shared" si="1"/>
        <v>577749.37</v>
      </c>
      <c r="L268" s="83">
        <f t="shared" si="2"/>
        <v>400600.23</v>
      </c>
      <c r="M268" s="83">
        <f t="shared" si="3"/>
        <v>177149.14</v>
      </c>
      <c r="N268" s="46" t="str">
        <f>VLOOKUP(F268,products!$A$2:$B$13,2,FALSE)</f>
        <v>Personal Care</v>
      </c>
      <c r="O268" s="46" t="s">
        <v>112</v>
      </c>
      <c r="P268" s="46">
        <f t="array" ref="P268">WEEKDAY(B268,2)</f>
        <v>4</v>
      </c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>
      <c r="A269" s="56">
        <v>2.74989354E8</v>
      </c>
      <c r="B269" s="126">
        <v>41057.0</v>
      </c>
      <c r="C269" s="126">
        <v>41100.0</v>
      </c>
      <c r="D269" s="56" t="s">
        <v>89</v>
      </c>
      <c r="E269" s="56" t="s">
        <v>132</v>
      </c>
      <c r="F269" s="56">
        <v>8969.0</v>
      </c>
      <c r="G269" s="56" t="s">
        <v>43</v>
      </c>
      <c r="H269" s="56">
        <v>4316.0</v>
      </c>
      <c r="I269" s="127">
        <v>152.58</v>
      </c>
      <c r="J269" s="127">
        <v>97.44</v>
      </c>
      <c r="K269" s="83">
        <f t="shared" si="1"/>
        <v>658535.28</v>
      </c>
      <c r="L269" s="83">
        <f t="shared" si="2"/>
        <v>420551.04</v>
      </c>
      <c r="M269" s="83">
        <f t="shared" si="3"/>
        <v>237984.24</v>
      </c>
      <c r="N269" s="46" t="str">
        <f>VLOOKUP(F269,products!$A$2:$B$13,2,FALSE)</f>
        <v>Snacks</v>
      </c>
      <c r="O269" s="46" t="s">
        <v>132</v>
      </c>
      <c r="P269" s="46">
        <f t="array" ref="P269">WEEKDAY(B269,2)</f>
        <v>1</v>
      </c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>
      <c r="A270" s="56">
        <v>2.76784074E8</v>
      </c>
      <c r="B270" s="126">
        <v>42084.0</v>
      </c>
      <c r="C270" s="126">
        <v>42109.0</v>
      </c>
      <c r="D270" s="56" t="s">
        <v>10</v>
      </c>
      <c r="E270" s="56" t="s">
        <v>100</v>
      </c>
      <c r="F270" s="56">
        <v>2455.0</v>
      </c>
      <c r="G270" s="56" t="s">
        <v>43</v>
      </c>
      <c r="H270" s="56">
        <v>5413.0</v>
      </c>
      <c r="I270" s="127">
        <v>109.28</v>
      </c>
      <c r="J270" s="127">
        <v>35.84</v>
      </c>
      <c r="K270" s="83">
        <f t="shared" si="1"/>
        <v>591532.64</v>
      </c>
      <c r="L270" s="83">
        <f t="shared" si="2"/>
        <v>194001.92</v>
      </c>
      <c r="M270" s="83">
        <f t="shared" si="3"/>
        <v>397530.72</v>
      </c>
      <c r="N270" s="46" t="str">
        <f>VLOOKUP(F270,products!$A$2:$B$13,2,FALSE)</f>
        <v>Clothes</v>
      </c>
      <c r="O270" s="46" t="s">
        <v>100</v>
      </c>
      <c r="P270" s="46">
        <f t="array" ref="P270">WEEKDAY(B270,2)</f>
        <v>6</v>
      </c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>
      <c r="A271" s="56">
        <v>2.76850593E8</v>
      </c>
      <c r="B271" s="126">
        <v>40776.0</v>
      </c>
      <c r="C271" s="126">
        <v>40789.0</v>
      </c>
      <c r="D271" s="56" t="s">
        <v>93</v>
      </c>
      <c r="E271" s="56" t="s">
        <v>112</v>
      </c>
      <c r="F271" s="56">
        <v>7331.0</v>
      </c>
      <c r="G271" s="56" t="s">
        <v>42</v>
      </c>
      <c r="H271" s="56">
        <v>5097.0</v>
      </c>
      <c r="I271" s="127">
        <v>255.28</v>
      </c>
      <c r="J271" s="127">
        <v>159.42</v>
      </c>
      <c r="K271" s="83">
        <f t="shared" si="1"/>
        <v>1301162.16</v>
      </c>
      <c r="L271" s="83">
        <f t="shared" si="2"/>
        <v>812563.74</v>
      </c>
      <c r="M271" s="83">
        <f t="shared" si="3"/>
        <v>488598.42</v>
      </c>
      <c r="N271" s="46" t="str">
        <f>VLOOKUP(F271,products!$A$2:$B$13,2,FALSE)</f>
        <v>Baby Food</v>
      </c>
      <c r="O271" s="46" t="s">
        <v>112</v>
      </c>
      <c r="P271" s="46">
        <f t="array" ref="P271">WEEKDAY(B271,2)</f>
        <v>7</v>
      </c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>
      <c r="A272" s="56">
        <v>2.78513133E8</v>
      </c>
      <c r="B272" s="126">
        <v>40476.0</v>
      </c>
      <c r="C272" s="126">
        <v>40487.0</v>
      </c>
      <c r="D272" s="56" t="s">
        <v>95</v>
      </c>
      <c r="E272" s="56" t="s">
        <v>119</v>
      </c>
      <c r="F272" s="56">
        <v>4594.0</v>
      </c>
      <c r="G272" s="56" t="s">
        <v>43</v>
      </c>
      <c r="H272" s="56">
        <v>7080.0</v>
      </c>
      <c r="I272" s="127">
        <v>9.33</v>
      </c>
      <c r="J272" s="127">
        <v>6.92</v>
      </c>
      <c r="K272" s="83">
        <f t="shared" si="1"/>
        <v>66056.4</v>
      </c>
      <c r="L272" s="83">
        <f t="shared" si="2"/>
        <v>48993.6</v>
      </c>
      <c r="M272" s="83">
        <f t="shared" si="3"/>
        <v>17062.8</v>
      </c>
      <c r="N272" s="46" t="str">
        <f>VLOOKUP(F272,products!$A$2:$B$13,2,FALSE)</f>
        <v>Fruits</v>
      </c>
      <c r="O272" s="46" t="s">
        <v>119</v>
      </c>
      <c r="P272" s="46">
        <f t="array" ref="P272">WEEKDAY(B272,2)</f>
        <v>1</v>
      </c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>
      <c r="A273" s="56">
        <v>2.79338395E8</v>
      </c>
      <c r="B273" s="126">
        <v>41649.0</v>
      </c>
      <c r="C273" s="126">
        <v>41694.0</v>
      </c>
      <c r="D273" s="56" t="s">
        <v>93</v>
      </c>
      <c r="E273" s="56" t="s">
        <v>111</v>
      </c>
      <c r="F273" s="56">
        <v>2103.0</v>
      </c>
      <c r="G273" s="56" t="s">
        <v>43</v>
      </c>
      <c r="H273" s="56">
        <v>1293.0</v>
      </c>
      <c r="I273" s="127">
        <v>205.7</v>
      </c>
      <c r="J273" s="127">
        <v>117.11</v>
      </c>
      <c r="K273" s="83">
        <f t="shared" si="1"/>
        <v>265970.1</v>
      </c>
      <c r="L273" s="83">
        <f t="shared" si="2"/>
        <v>151423.23</v>
      </c>
      <c r="M273" s="83">
        <f t="shared" si="3"/>
        <v>114546.87</v>
      </c>
      <c r="N273" s="46" t="str">
        <f>VLOOKUP(F273,products!$A$2:$B$13,2,FALSE)</f>
        <v>Cereal</v>
      </c>
      <c r="O273" s="46" t="s">
        <v>111</v>
      </c>
      <c r="P273" s="46">
        <f t="array" ref="P273">WEEKDAY(B273,2)</f>
        <v>5</v>
      </c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>
      <c r="A274" s="56">
        <v>2.79703605E8</v>
      </c>
      <c r="B274" s="126">
        <v>40179.0</v>
      </c>
      <c r="C274" s="126">
        <v>40188.0</v>
      </c>
      <c r="D274" s="56" t="s">
        <v>10</v>
      </c>
      <c r="E274" s="56" t="s">
        <v>123</v>
      </c>
      <c r="F274" s="56">
        <v>7331.0</v>
      </c>
      <c r="G274" s="56" t="s">
        <v>42</v>
      </c>
      <c r="H274" s="56">
        <v>9367.0</v>
      </c>
      <c r="I274" s="127">
        <v>255.28</v>
      </c>
      <c r="J274" s="127">
        <v>159.42</v>
      </c>
      <c r="K274" s="83">
        <f t="shared" si="1"/>
        <v>2391207.76</v>
      </c>
      <c r="L274" s="83">
        <f t="shared" si="2"/>
        <v>1493287.14</v>
      </c>
      <c r="M274" s="83">
        <f t="shared" si="3"/>
        <v>897920.62</v>
      </c>
      <c r="N274" s="46" t="str">
        <f>VLOOKUP(F274,products!$A$2:$B$13,2,FALSE)</f>
        <v>Baby Food</v>
      </c>
      <c r="O274" s="46" t="s">
        <v>123</v>
      </c>
      <c r="P274" s="46">
        <f t="array" ref="P274">WEEKDAY(B274,2)</f>
        <v>5</v>
      </c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>
      <c r="A275" s="56">
        <v>2.79816472E8</v>
      </c>
      <c r="B275" s="126">
        <v>41707.0</v>
      </c>
      <c r="C275" s="126">
        <v>41743.0</v>
      </c>
      <c r="D275" s="56" t="s">
        <v>95</v>
      </c>
      <c r="E275" s="56" t="s">
        <v>115</v>
      </c>
      <c r="F275" s="56">
        <v>8969.0</v>
      </c>
      <c r="G275" s="56" t="s">
        <v>42</v>
      </c>
      <c r="H275" s="56">
        <v>2767.0</v>
      </c>
      <c r="I275" s="127">
        <v>152.58</v>
      </c>
      <c r="J275" s="127">
        <v>97.44</v>
      </c>
      <c r="K275" s="83">
        <f t="shared" si="1"/>
        <v>422188.86</v>
      </c>
      <c r="L275" s="83">
        <f t="shared" si="2"/>
        <v>269616.48</v>
      </c>
      <c r="M275" s="83">
        <f t="shared" si="3"/>
        <v>152572.38</v>
      </c>
      <c r="N275" s="46" t="str">
        <f>VLOOKUP(F275,products!$A$2:$B$13,2,FALSE)</f>
        <v>Snacks</v>
      </c>
      <c r="O275" s="46" t="s">
        <v>115</v>
      </c>
      <c r="P275" s="46">
        <f t="array" ref="P275">WEEKDAY(B275,2)</f>
        <v>7</v>
      </c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>
      <c r="A276" s="56">
        <v>2.8019241E8</v>
      </c>
      <c r="B276" s="126">
        <v>40740.0</v>
      </c>
      <c r="C276" s="126">
        <v>40783.0</v>
      </c>
      <c r="D276" s="56" t="s">
        <v>95</v>
      </c>
      <c r="E276" s="56" t="s">
        <v>130</v>
      </c>
      <c r="F276" s="56">
        <v>2103.0</v>
      </c>
      <c r="G276" s="56" t="s">
        <v>43</v>
      </c>
      <c r="H276" s="56">
        <v>4016.0</v>
      </c>
      <c r="I276" s="127">
        <v>205.7</v>
      </c>
      <c r="J276" s="127">
        <v>117.11</v>
      </c>
      <c r="K276" s="83">
        <f t="shared" si="1"/>
        <v>826091.2</v>
      </c>
      <c r="L276" s="83">
        <f t="shared" si="2"/>
        <v>470313.76</v>
      </c>
      <c r="M276" s="83">
        <f t="shared" si="3"/>
        <v>355777.44</v>
      </c>
      <c r="N276" s="46" t="str">
        <f>VLOOKUP(F276,products!$A$2:$B$13,2,FALSE)</f>
        <v>Cereal</v>
      </c>
      <c r="O276" s="46" t="s">
        <v>130</v>
      </c>
      <c r="P276" s="46">
        <f t="array" ref="P276">WEEKDAY(B276,2)</f>
        <v>6</v>
      </c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>
      <c r="A277" s="56">
        <v>2.80477797E8</v>
      </c>
      <c r="B277" s="126">
        <v>40839.0</v>
      </c>
      <c r="C277" s="126">
        <v>40840.0</v>
      </c>
      <c r="D277" s="56" t="s">
        <v>93</v>
      </c>
      <c r="E277" s="56" t="s">
        <v>138</v>
      </c>
      <c r="F277" s="56">
        <v>2103.0</v>
      </c>
      <c r="G277" s="56" t="s">
        <v>42</v>
      </c>
      <c r="H277" s="56">
        <v>8468.0</v>
      </c>
      <c r="I277" s="127">
        <v>205.7</v>
      </c>
      <c r="J277" s="127">
        <v>117.11</v>
      </c>
      <c r="K277" s="83">
        <f t="shared" si="1"/>
        <v>1741867.6</v>
      </c>
      <c r="L277" s="83">
        <f t="shared" si="2"/>
        <v>991687.48</v>
      </c>
      <c r="M277" s="83">
        <f t="shared" si="3"/>
        <v>750180.12</v>
      </c>
      <c r="N277" s="46" t="str">
        <f>VLOOKUP(F277,products!$A$2:$B$13,2,FALSE)</f>
        <v>Cereal</v>
      </c>
      <c r="O277" s="46" t="s">
        <v>138</v>
      </c>
      <c r="P277" s="46">
        <f t="array" ref="P277">WEEKDAY(B277,2)</f>
        <v>7</v>
      </c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>
      <c r="A278" s="56">
        <v>2.81100928E8</v>
      </c>
      <c r="B278" s="126">
        <v>41168.0</v>
      </c>
      <c r="C278" s="126">
        <v>41216.0</v>
      </c>
      <c r="D278" s="56" t="s">
        <v>95</v>
      </c>
      <c r="E278" s="56" t="s">
        <v>126</v>
      </c>
      <c r="F278" s="56">
        <v>8969.0</v>
      </c>
      <c r="G278" s="56" t="s">
        <v>43</v>
      </c>
      <c r="H278" s="56">
        <v>2866.0</v>
      </c>
      <c r="I278" s="127">
        <v>152.58</v>
      </c>
      <c r="J278" s="127">
        <v>97.44</v>
      </c>
      <c r="K278" s="83">
        <f t="shared" si="1"/>
        <v>437294.28</v>
      </c>
      <c r="L278" s="83">
        <f t="shared" si="2"/>
        <v>279263.04</v>
      </c>
      <c r="M278" s="83">
        <f t="shared" si="3"/>
        <v>158031.24</v>
      </c>
      <c r="N278" s="46" t="str">
        <f>VLOOKUP(F278,products!$A$2:$B$13,2,FALSE)</f>
        <v>Snacks</v>
      </c>
      <c r="O278" s="46" t="s">
        <v>126</v>
      </c>
      <c r="P278" s="46">
        <f t="array" ref="P278">WEEKDAY(B278,2)</f>
        <v>7</v>
      </c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>
      <c r="A279" s="56">
        <v>2.82917964E8</v>
      </c>
      <c r="B279" s="126">
        <v>42024.0</v>
      </c>
      <c r="C279" s="126">
        <v>42031.0</v>
      </c>
      <c r="D279" s="56" t="s">
        <v>93</v>
      </c>
      <c r="E279" s="56" t="s">
        <v>111</v>
      </c>
      <c r="F279" s="56">
        <v>8681.0</v>
      </c>
      <c r="G279" s="56" t="s">
        <v>42</v>
      </c>
      <c r="H279" s="56">
        <v>567.0</v>
      </c>
      <c r="I279" s="127">
        <v>651.21</v>
      </c>
      <c r="J279" s="127">
        <v>524.96</v>
      </c>
      <c r="K279" s="83">
        <f t="shared" si="1"/>
        <v>369236.07</v>
      </c>
      <c r="L279" s="83">
        <f t="shared" si="2"/>
        <v>297652.32</v>
      </c>
      <c r="M279" s="83">
        <f t="shared" si="3"/>
        <v>71583.75</v>
      </c>
      <c r="N279" s="46" t="str">
        <f>VLOOKUP(F279,products!$A$2:$B$13,2,FALSE)</f>
        <v>Office Supplies</v>
      </c>
      <c r="O279" s="46" t="s">
        <v>111</v>
      </c>
      <c r="P279" s="46">
        <f t="array" ref="P279">WEEKDAY(B279,2)</f>
        <v>2</v>
      </c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>
      <c r="A280" s="56">
        <v>2.84108436E8</v>
      </c>
      <c r="B280" s="126">
        <v>41727.0</v>
      </c>
      <c r="C280" s="126">
        <v>41732.0</v>
      </c>
      <c r="D280" s="56" t="s">
        <v>89</v>
      </c>
      <c r="E280" s="56" t="s">
        <v>112</v>
      </c>
      <c r="F280" s="56">
        <v>8293.0</v>
      </c>
      <c r="G280" s="56" t="s">
        <v>43</v>
      </c>
      <c r="H280" s="56">
        <v>2854.0</v>
      </c>
      <c r="I280" s="127">
        <v>437.2</v>
      </c>
      <c r="J280" s="127">
        <v>263.33</v>
      </c>
      <c r="K280" s="83">
        <f t="shared" si="1"/>
        <v>1247768.8</v>
      </c>
      <c r="L280" s="83">
        <f t="shared" si="2"/>
        <v>751543.82</v>
      </c>
      <c r="M280" s="83">
        <f t="shared" si="3"/>
        <v>496224.98</v>
      </c>
      <c r="N280" s="46" t="str">
        <f>VLOOKUP(F280,products!$A$2:$B$13,2,FALSE)</f>
        <v>Cosmetics</v>
      </c>
      <c r="O280" s="46" t="s">
        <v>112</v>
      </c>
      <c r="P280" s="46">
        <f t="array" ref="P280">WEEKDAY(B280,2)</f>
        <v>6</v>
      </c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>
      <c r="A281" s="56">
        <v>2.84310567E8</v>
      </c>
      <c r="B281" s="126">
        <v>42571.0</v>
      </c>
      <c r="C281" s="126">
        <v>42615.0</v>
      </c>
      <c r="D281" s="56" t="s">
        <v>89</v>
      </c>
      <c r="E281" s="56" t="s">
        <v>106</v>
      </c>
      <c r="F281" s="56">
        <v>8293.0</v>
      </c>
      <c r="G281" s="56" t="s">
        <v>42</v>
      </c>
      <c r="H281" s="56">
        <v>2670.0</v>
      </c>
      <c r="I281" s="127">
        <v>437.2</v>
      </c>
      <c r="J281" s="127">
        <v>263.33</v>
      </c>
      <c r="K281" s="83">
        <f t="shared" si="1"/>
        <v>1167324</v>
      </c>
      <c r="L281" s="83">
        <f t="shared" si="2"/>
        <v>703091.1</v>
      </c>
      <c r="M281" s="83">
        <f t="shared" si="3"/>
        <v>464232.9</v>
      </c>
      <c r="N281" s="46" t="str">
        <f>VLOOKUP(F281,products!$A$2:$B$13,2,FALSE)</f>
        <v>Cosmetics</v>
      </c>
      <c r="O281" s="46" t="s">
        <v>106</v>
      </c>
      <c r="P281" s="46">
        <f t="array" ref="P281">WEEKDAY(B281,2)</f>
        <v>3</v>
      </c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>
      <c r="A282" s="56">
        <v>2.84403264E8</v>
      </c>
      <c r="B282" s="126">
        <v>42711.0</v>
      </c>
      <c r="C282" s="126">
        <v>42731.0</v>
      </c>
      <c r="D282" s="56" t="s">
        <v>10</v>
      </c>
      <c r="E282" s="56" t="s">
        <v>132</v>
      </c>
      <c r="F282" s="56">
        <v>5988.0</v>
      </c>
      <c r="G282" s="56" t="s">
        <v>42</v>
      </c>
      <c r="H282" s="56">
        <v>101.0</v>
      </c>
      <c r="I282" s="127">
        <v>154.06</v>
      </c>
      <c r="J282" s="127">
        <v>90.93</v>
      </c>
      <c r="K282" s="83">
        <f t="shared" si="1"/>
        <v>15560.06</v>
      </c>
      <c r="L282" s="83">
        <f t="shared" si="2"/>
        <v>9183.93</v>
      </c>
      <c r="M282" s="83">
        <f t="shared" si="3"/>
        <v>6376.13</v>
      </c>
      <c r="N282" s="46" t="str">
        <f>VLOOKUP(F282,products!$A$2:$B$13,2,FALSE)</f>
        <v>Vegetables</v>
      </c>
      <c r="O282" s="46" t="s">
        <v>132</v>
      </c>
      <c r="P282" s="46">
        <f t="array" ref="P282">WEEKDAY(B282,2)</f>
        <v>3</v>
      </c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>
      <c r="A283" s="56">
        <v>2.84435451E8</v>
      </c>
      <c r="B283" s="126">
        <v>41454.0</v>
      </c>
      <c r="C283" s="126">
        <v>41454.0</v>
      </c>
      <c r="D283" s="56" t="s">
        <v>10</v>
      </c>
      <c r="E283" s="56" t="s">
        <v>94</v>
      </c>
      <c r="F283" s="56">
        <v>3127.0</v>
      </c>
      <c r="G283" s="56" t="s">
        <v>42</v>
      </c>
      <c r="H283" s="56">
        <v>9625.0</v>
      </c>
      <c r="I283" s="127">
        <v>81.73</v>
      </c>
      <c r="J283" s="127">
        <v>56.67</v>
      </c>
      <c r="K283" s="83">
        <f t="shared" si="1"/>
        <v>786651.25</v>
      </c>
      <c r="L283" s="83">
        <f t="shared" si="2"/>
        <v>545448.75</v>
      </c>
      <c r="M283" s="83">
        <f t="shared" si="3"/>
        <v>241202.5</v>
      </c>
      <c r="N283" s="46" t="str">
        <f>VLOOKUP(F283,products!$A$2:$B$13,2,FALSE)</f>
        <v>Personal Care</v>
      </c>
      <c r="O283" s="46" t="s">
        <v>94</v>
      </c>
      <c r="P283" s="46">
        <f t="array" ref="P283">WEEKDAY(B283,2)</f>
        <v>6</v>
      </c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>
      <c r="A284" s="56">
        <v>2.84595954E8</v>
      </c>
      <c r="B284" s="126">
        <v>42670.0</v>
      </c>
      <c r="C284" s="126">
        <v>42672.0</v>
      </c>
      <c r="D284" s="56" t="s">
        <v>10</v>
      </c>
      <c r="E284" s="56" t="s">
        <v>120</v>
      </c>
      <c r="F284" s="56">
        <v>8293.0</v>
      </c>
      <c r="G284" s="56" t="s">
        <v>42</v>
      </c>
      <c r="H284" s="56">
        <v>7122.0</v>
      </c>
      <c r="I284" s="127">
        <v>437.2</v>
      </c>
      <c r="J284" s="127">
        <v>263.33</v>
      </c>
      <c r="K284" s="83">
        <f t="shared" si="1"/>
        <v>3113738.4</v>
      </c>
      <c r="L284" s="83">
        <f t="shared" si="2"/>
        <v>1875436.26</v>
      </c>
      <c r="M284" s="83">
        <f t="shared" si="3"/>
        <v>1238302.14</v>
      </c>
      <c r="N284" s="46" t="str">
        <f>VLOOKUP(F284,products!$A$2:$B$13,2,FALSE)</f>
        <v>Cosmetics</v>
      </c>
      <c r="O284" s="46" t="s">
        <v>120</v>
      </c>
      <c r="P284" s="46">
        <f t="array" ref="P284">WEEKDAY(B284,2)</f>
        <v>4</v>
      </c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>
      <c r="A285" s="56">
        <v>2.85343968E8</v>
      </c>
      <c r="B285" s="126">
        <v>41882.0</v>
      </c>
      <c r="C285" s="126">
        <v>41887.0</v>
      </c>
      <c r="D285" s="56" t="s">
        <v>10</v>
      </c>
      <c r="E285" s="56" t="s">
        <v>91</v>
      </c>
      <c r="F285" s="56">
        <v>5988.0</v>
      </c>
      <c r="G285" s="56" t="s">
        <v>43</v>
      </c>
      <c r="H285" s="56">
        <v>8476.0</v>
      </c>
      <c r="I285" s="127">
        <v>154.06</v>
      </c>
      <c r="J285" s="127">
        <v>90.93</v>
      </c>
      <c r="K285" s="83">
        <f t="shared" si="1"/>
        <v>1305812.56</v>
      </c>
      <c r="L285" s="83">
        <f t="shared" si="2"/>
        <v>770722.68</v>
      </c>
      <c r="M285" s="83">
        <f t="shared" si="3"/>
        <v>535089.88</v>
      </c>
      <c r="N285" s="46" t="str">
        <f>VLOOKUP(F285,products!$A$2:$B$13,2,FALSE)</f>
        <v>Vegetables</v>
      </c>
      <c r="O285" s="46" t="s">
        <v>91</v>
      </c>
      <c r="P285" s="46">
        <f t="array" ref="P285">WEEKDAY(B285,2)</f>
        <v>7</v>
      </c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>
      <c r="A286" s="56">
        <v>2.87151563E8</v>
      </c>
      <c r="B286" s="126">
        <v>41853.0</v>
      </c>
      <c r="C286" s="126">
        <v>41862.0</v>
      </c>
      <c r="D286" s="56" t="s">
        <v>89</v>
      </c>
      <c r="E286" s="56" t="s">
        <v>122</v>
      </c>
      <c r="F286" s="56">
        <v>3127.0</v>
      </c>
      <c r="G286" s="56" t="s">
        <v>42</v>
      </c>
      <c r="H286" s="56">
        <v>3383.0</v>
      </c>
      <c r="I286" s="127">
        <v>81.73</v>
      </c>
      <c r="J286" s="127">
        <v>56.67</v>
      </c>
      <c r="K286" s="83">
        <f t="shared" si="1"/>
        <v>276492.59</v>
      </c>
      <c r="L286" s="83">
        <f t="shared" si="2"/>
        <v>191714.61</v>
      </c>
      <c r="M286" s="83">
        <f t="shared" si="3"/>
        <v>84777.98</v>
      </c>
      <c r="N286" s="46" t="str">
        <f>VLOOKUP(F286,products!$A$2:$B$13,2,FALSE)</f>
        <v>Personal Care</v>
      </c>
      <c r="O286" s="46" t="s">
        <v>122</v>
      </c>
      <c r="P286" s="46">
        <f t="array" ref="P286">WEEKDAY(B286,2)</f>
        <v>6</v>
      </c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>
      <c r="A287" s="56">
        <v>2.87917602E8</v>
      </c>
      <c r="B287" s="126">
        <v>41246.0</v>
      </c>
      <c r="C287" s="126">
        <v>41279.0</v>
      </c>
      <c r="D287" s="56" t="s">
        <v>93</v>
      </c>
      <c r="E287" s="56" t="s">
        <v>100</v>
      </c>
      <c r="F287" s="56">
        <v>3127.0</v>
      </c>
      <c r="G287" s="56" t="s">
        <v>43</v>
      </c>
      <c r="H287" s="56">
        <v>71.0</v>
      </c>
      <c r="I287" s="127">
        <v>81.73</v>
      </c>
      <c r="J287" s="127">
        <v>56.67</v>
      </c>
      <c r="K287" s="83">
        <f t="shared" si="1"/>
        <v>5802.83</v>
      </c>
      <c r="L287" s="83">
        <f t="shared" si="2"/>
        <v>4023.57</v>
      </c>
      <c r="M287" s="83">
        <f t="shared" si="3"/>
        <v>1779.26</v>
      </c>
      <c r="N287" s="46" t="str">
        <f>VLOOKUP(F287,products!$A$2:$B$13,2,FALSE)</f>
        <v>Personal Care</v>
      </c>
      <c r="O287" s="46" t="s">
        <v>100</v>
      </c>
      <c r="P287" s="46">
        <f t="array" ref="P287">WEEKDAY(B287,2)</f>
        <v>1</v>
      </c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>
      <c r="A288" s="56">
        <v>2.88073384E8</v>
      </c>
      <c r="B288" s="126">
        <v>42019.0</v>
      </c>
      <c r="C288" s="126">
        <v>42051.0</v>
      </c>
      <c r="D288" s="56" t="s">
        <v>95</v>
      </c>
      <c r="E288" s="56" t="s">
        <v>138</v>
      </c>
      <c r="F288" s="56">
        <v>7331.0</v>
      </c>
      <c r="G288" s="56" t="s">
        <v>42</v>
      </c>
      <c r="H288" s="56">
        <v>6171.0</v>
      </c>
      <c r="I288" s="127">
        <v>255.28</v>
      </c>
      <c r="J288" s="127">
        <v>159.42</v>
      </c>
      <c r="K288" s="83">
        <f t="shared" si="1"/>
        <v>1575332.88</v>
      </c>
      <c r="L288" s="83">
        <f t="shared" si="2"/>
        <v>983780.82</v>
      </c>
      <c r="M288" s="83">
        <f t="shared" si="3"/>
        <v>591552.06</v>
      </c>
      <c r="N288" s="46" t="str">
        <f>VLOOKUP(F288,products!$A$2:$B$13,2,FALSE)</f>
        <v>Baby Food</v>
      </c>
      <c r="O288" s="46" t="s">
        <v>138</v>
      </c>
      <c r="P288" s="46">
        <f t="array" ref="P288">WEEKDAY(B288,2)</f>
        <v>4</v>
      </c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>
      <c r="A289" s="56">
        <v>2.88656175E8</v>
      </c>
      <c r="B289" s="126">
        <v>42338.0</v>
      </c>
      <c r="C289" s="126">
        <v>42368.0</v>
      </c>
      <c r="D289" s="56" t="s">
        <v>93</v>
      </c>
      <c r="E289" s="56" t="s">
        <v>133</v>
      </c>
      <c r="F289" s="56">
        <v>8681.0</v>
      </c>
      <c r="G289" s="56" t="s">
        <v>42</v>
      </c>
      <c r="H289" s="56">
        <v>8632.0</v>
      </c>
      <c r="I289" s="127">
        <v>651.21</v>
      </c>
      <c r="J289" s="127">
        <v>524.96</v>
      </c>
      <c r="K289" s="83">
        <f t="shared" si="1"/>
        <v>5621244.72</v>
      </c>
      <c r="L289" s="83">
        <f t="shared" si="2"/>
        <v>4531454.72</v>
      </c>
      <c r="M289" s="83">
        <f t="shared" si="3"/>
        <v>1089790</v>
      </c>
      <c r="N289" s="46" t="str">
        <f>VLOOKUP(F289,products!$A$2:$B$13,2,FALSE)</f>
        <v>Office Supplies</v>
      </c>
      <c r="O289" s="46" t="s">
        <v>133</v>
      </c>
      <c r="P289" s="46">
        <f t="array" ref="P289">WEEKDAY(B289,2)</f>
        <v>1</v>
      </c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>
      <c r="A290" s="56">
        <v>2.90317428E8</v>
      </c>
      <c r="B290" s="126">
        <v>42421.0</v>
      </c>
      <c r="C290" s="126">
        <v>42462.0</v>
      </c>
      <c r="D290" s="56" t="s">
        <v>89</v>
      </c>
      <c r="E290" s="56" t="s">
        <v>126</v>
      </c>
      <c r="F290" s="56">
        <v>8875.0</v>
      </c>
      <c r="G290" s="56" t="s">
        <v>43</v>
      </c>
      <c r="H290" s="56">
        <v>233.0</v>
      </c>
      <c r="I290" s="127">
        <v>421.89</v>
      </c>
      <c r="J290" s="127">
        <v>364.69</v>
      </c>
      <c r="K290" s="83">
        <f t="shared" si="1"/>
        <v>98300.37</v>
      </c>
      <c r="L290" s="83">
        <f t="shared" si="2"/>
        <v>84972.77</v>
      </c>
      <c r="M290" s="83">
        <f t="shared" si="3"/>
        <v>13327.6</v>
      </c>
      <c r="N290" s="46" t="str">
        <f>VLOOKUP(F290,products!$A$2:$B$13,2,FALSE)</f>
        <v>Meat</v>
      </c>
      <c r="O290" s="46" t="s">
        <v>126</v>
      </c>
      <c r="P290" s="46">
        <f t="array" ref="P290">WEEKDAY(B290,2)</f>
        <v>7</v>
      </c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>
      <c r="A291" s="56">
        <v>2.91160714E8</v>
      </c>
      <c r="B291" s="126">
        <v>41009.0</v>
      </c>
      <c r="C291" s="126">
        <v>41055.0</v>
      </c>
      <c r="D291" s="56" t="s">
        <v>95</v>
      </c>
      <c r="E291" s="56" t="s">
        <v>128</v>
      </c>
      <c r="F291" s="56">
        <v>8293.0</v>
      </c>
      <c r="G291" s="56" t="s">
        <v>43</v>
      </c>
      <c r="H291" s="56">
        <v>9780.0</v>
      </c>
      <c r="I291" s="127">
        <v>437.2</v>
      </c>
      <c r="J291" s="127">
        <v>263.33</v>
      </c>
      <c r="K291" s="83">
        <f t="shared" si="1"/>
        <v>4275816</v>
      </c>
      <c r="L291" s="83">
        <f t="shared" si="2"/>
        <v>2575367.4</v>
      </c>
      <c r="M291" s="83">
        <f t="shared" si="3"/>
        <v>1700448.6</v>
      </c>
      <c r="N291" s="46" t="str">
        <f>VLOOKUP(F291,products!$A$2:$B$13,2,FALSE)</f>
        <v>Cosmetics</v>
      </c>
      <c r="O291" s="46" t="s">
        <v>128</v>
      </c>
      <c r="P291" s="46">
        <f t="array" ref="P291">WEEKDAY(B291,2)</f>
        <v>2</v>
      </c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>
      <c r="A292" s="56">
        <v>2.91179597E8</v>
      </c>
      <c r="B292" s="126">
        <v>42779.0</v>
      </c>
      <c r="C292" s="126">
        <v>42786.0</v>
      </c>
      <c r="D292" s="56" t="s">
        <v>95</v>
      </c>
      <c r="E292" s="56" t="s">
        <v>129</v>
      </c>
      <c r="F292" s="56">
        <v>7940.0</v>
      </c>
      <c r="G292" s="56" t="s">
        <v>43</v>
      </c>
      <c r="H292" s="56">
        <v>5368.0</v>
      </c>
      <c r="I292" s="127">
        <v>668.27</v>
      </c>
      <c r="J292" s="127">
        <v>502.54</v>
      </c>
      <c r="K292" s="83">
        <f t="shared" si="1"/>
        <v>3587273.36</v>
      </c>
      <c r="L292" s="83">
        <f t="shared" si="2"/>
        <v>2697634.72</v>
      </c>
      <c r="M292" s="83">
        <f t="shared" si="3"/>
        <v>889638.64</v>
      </c>
      <c r="N292" s="46" t="str">
        <f>VLOOKUP(F292,products!$A$2:$B$13,2,FALSE)</f>
        <v>Household</v>
      </c>
      <c r="O292" s="46" t="s">
        <v>129</v>
      </c>
      <c r="P292" s="46">
        <f t="array" ref="P292">WEEKDAY(B292,2)</f>
        <v>1</v>
      </c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>
      <c r="A293" s="56">
        <v>2.91305768E8</v>
      </c>
      <c r="B293" s="126">
        <v>41279.0</v>
      </c>
      <c r="C293" s="126">
        <v>41280.0</v>
      </c>
      <c r="D293" s="56" t="s">
        <v>95</v>
      </c>
      <c r="E293" s="56" t="s">
        <v>133</v>
      </c>
      <c r="F293" s="56">
        <v>4594.0</v>
      </c>
      <c r="G293" s="56" t="s">
        <v>43</v>
      </c>
      <c r="H293" s="56">
        <v>2705.0</v>
      </c>
      <c r="I293" s="127">
        <v>9.33</v>
      </c>
      <c r="J293" s="127">
        <v>6.92</v>
      </c>
      <c r="K293" s="83">
        <f t="shared" si="1"/>
        <v>25237.65</v>
      </c>
      <c r="L293" s="83">
        <f t="shared" si="2"/>
        <v>18718.6</v>
      </c>
      <c r="M293" s="83">
        <f t="shared" si="3"/>
        <v>6519.05</v>
      </c>
      <c r="N293" s="46" t="str">
        <f>VLOOKUP(F293,products!$A$2:$B$13,2,FALSE)</f>
        <v>Fruits</v>
      </c>
      <c r="O293" s="46" t="s">
        <v>133</v>
      </c>
      <c r="P293" s="46">
        <f t="array" ref="P293">WEEKDAY(B293,2)</f>
        <v>6</v>
      </c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>
      <c r="A294" s="56">
        <v>2.91531503E8</v>
      </c>
      <c r="B294" s="126">
        <v>41570.0</v>
      </c>
      <c r="C294" s="126">
        <v>41573.0</v>
      </c>
      <c r="D294" s="56" t="s">
        <v>93</v>
      </c>
      <c r="E294" s="56" t="s">
        <v>96</v>
      </c>
      <c r="F294" s="56">
        <v>1270.0</v>
      </c>
      <c r="G294" s="56" t="s">
        <v>43</v>
      </c>
      <c r="H294" s="56">
        <v>9505.0</v>
      </c>
      <c r="I294" s="127">
        <v>47.45</v>
      </c>
      <c r="J294" s="127">
        <v>31.79</v>
      </c>
      <c r="K294" s="83">
        <f t="shared" si="1"/>
        <v>451012.25</v>
      </c>
      <c r="L294" s="83">
        <f t="shared" si="2"/>
        <v>302163.95</v>
      </c>
      <c r="M294" s="83">
        <f t="shared" si="3"/>
        <v>148848.3</v>
      </c>
      <c r="N294" s="46" t="str">
        <f>VLOOKUP(F294,products!$A$2:$B$13,2,FALSE)</f>
        <v>Beverages</v>
      </c>
      <c r="O294" s="46" t="s">
        <v>96</v>
      </c>
      <c r="P294" s="46">
        <f t="array" ref="P294">WEEKDAY(B294,2)</f>
        <v>3</v>
      </c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>
      <c r="A295" s="56">
        <v>2.91611325E8</v>
      </c>
      <c r="B295" s="126">
        <v>42767.0</v>
      </c>
      <c r="C295" s="126">
        <v>42776.0</v>
      </c>
      <c r="D295" s="56" t="s">
        <v>89</v>
      </c>
      <c r="E295" s="56" t="s">
        <v>123</v>
      </c>
      <c r="F295" s="56">
        <v>8969.0</v>
      </c>
      <c r="G295" s="56" t="s">
        <v>42</v>
      </c>
      <c r="H295" s="56">
        <v>3126.0</v>
      </c>
      <c r="I295" s="127">
        <v>152.58</v>
      </c>
      <c r="J295" s="127">
        <v>97.44</v>
      </c>
      <c r="K295" s="83">
        <f t="shared" si="1"/>
        <v>476965.08</v>
      </c>
      <c r="L295" s="83">
        <f t="shared" si="2"/>
        <v>304597.44</v>
      </c>
      <c r="M295" s="83">
        <f t="shared" si="3"/>
        <v>172367.64</v>
      </c>
      <c r="N295" s="46" t="str">
        <f>VLOOKUP(F295,products!$A$2:$B$13,2,FALSE)</f>
        <v>Snacks</v>
      </c>
      <c r="O295" s="46" t="s">
        <v>123</v>
      </c>
      <c r="P295" s="46">
        <f t="array" ref="P295">WEEKDAY(B295,2)</f>
        <v>3</v>
      </c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>
      <c r="A296" s="56">
        <v>2.91995418E8</v>
      </c>
      <c r="B296" s="126">
        <v>40300.0</v>
      </c>
      <c r="C296" s="126">
        <v>40335.0</v>
      </c>
      <c r="D296" s="56" t="s">
        <v>93</v>
      </c>
      <c r="E296" s="56" t="e">
        <v>#N/A</v>
      </c>
      <c r="F296" s="56">
        <v>4594.0</v>
      </c>
      <c r="G296" s="56" t="s">
        <v>43</v>
      </c>
      <c r="H296" s="56">
        <v>6788.0</v>
      </c>
      <c r="I296" s="127">
        <v>9.33</v>
      </c>
      <c r="J296" s="127">
        <v>6.92</v>
      </c>
      <c r="K296" s="83">
        <f t="shared" si="1"/>
        <v>63332.04</v>
      </c>
      <c r="L296" s="83">
        <f t="shared" si="2"/>
        <v>46972.96</v>
      </c>
      <c r="M296" s="83">
        <f t="shared" si="3"/>
        <v>16359.08</v>
      </c>
      <c r="N296" s="46" t="str">
        <f>VLOOKUP(F296,products!$A$2:$B$13,2,FALSE)</f>
        <v>Fruits</v>
      </c>
      <c r="O296" s="46" t="s">
        <v>92</v>
      </c>
      <c r="P296" s="46">
        <f t="array" ref="P296">WEEKDAY(B296,2)</f>
        <v>7</v>
      </c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>
      <c r="A297" s="56">
        <v>2.92424571E8</v>
      </c>
      <c r="B297" s="126">
        <v>41053.0</v>
      </c>
      <c r="C297" s="126">
        <v>41065.0</v>
      </c>
      <c r="D297" s="56" t="s">
        <v>10</v>
      </c>
      <c r="E297" s="56" t="e">
        <v>#N/A</v>
      </c>
      <c r="F297" s="56">
        <v>8293.0</v>
      </c>
      <c r="G297" s="56" t="s">
        <v>42</v>
      </c>
      <c r="H297" s="56">
        <v>3784.0</v>
      </c>
      <c r="I297" s="127">
        <v>437.2</v>
      </c>
      <c r="J297" s="127">
        <v>263.33</v>
      </c>
      <c r="K297" s="83">
        <f t="shared" si="1"/>
        <v>1654364.8</v>
      </c>
      <c r="L297" s="83">
        <f t="shared" si="2"/>
        <v>996440.72</v>
      </c>
      <c r="M297" s="83">
        <f t="shared" si="3"/>
        <v>657924.08</v>
      </c>
      <c r="N297" s="46" t="str">
        <f>VLOOKUP(F297,products!$A$2:$B$13,2,FALSE)</f>
        <v>Cosmetics</v>
      </c>
      <c r="O297" s="46" t="s">
        <v>92</v>
      </c>
      <c r="P297" s="46">
        <f t="array" ref="P297">WEEKDAY(B297,2)</f>
        <v>4</v>
      </c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>
      <c r="A298" s="56">
        <v>2.93178594E8</v>
      </c>
      <c r="B298" s="126">
        <v>40325.0</v>
      </c>
      <c r="C298" s="126">
        <v>40330.0</v>
      </c>
      <c r="D298" s="56" t="s">
        <v>10</v>
      </c>
      <c r="E298" s="56" t="s">
        <v>120</v>
      </c>
      <c r="F298" s="56">
        <v>3127.0</v>
      </c>
      <c r="G298" s="56" t="s">
        <v>43</v>
      </c>
      <c r="H298" s="56">
        <v>6916.0</v>
      </c>
      <c r="I298" s="127">
        <v>81.73</v>
      </c>
      <c r="J298" s="127">
        <v>56.67</v>
      </c>
      <c r="K298" s="83">
        <f t="shared" si="1"/>
        <v>565244.68</v>
      </c>
      <c r="L298" s="83">
        <f t="shared" si="2"/>
        <v>391929.72</v>
      </c>
      <c r="M298" s="83">
        <f t="shared" si="3"/>
        <v>173314.96</v>
      </c>
      <c r="N298" s="46" t="str">
        <f>VLOOKUP(F298,products!$A$2:$B$13,2,FALSE)</f>
        <v>Personal Care</v>
      </c>
      <c r="O298" s="46" t="s">
        <v>120</v>
      </c>
      <c r="P298" s="46">
        <f t="array" ref="P298">WEEKDAY(B298,2)</f>
        <v>4</v>
      </c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>
      <c r="A299" s="56">
        <v>2.95168149E8</v>
      </c>
      <c r="B299" s="126">
        <v>42518.0</v>
      </c>
      <c r="C299" s="126">
        <v>42567.0</v>
      </c>
      <c r="D299" s="56" t="s">
        <v>93</v>
      </c>
      <c r="E299" s="56" t="s">
        <v>104</v>
      </c>
      <c r="F299" s="56">
        <v>4594.0</v>
      </c>
      <c r="G299" s="56" t="s">
        <v>42</v>
      </c>
      <c r="H299" s="56">
        <v>5669.0</v>
      </c>
      <c r="I299" s="127">
        <v>9.33</v>
      </c>
      <c r="J299" s="127">
        <v>6.92</v>
      </c>
      <c r="K299" s="83">
        <f t="shared" si="1"/>
        <v>52891.77</v>
      </c>
      <c r="L299" s="83">
        <f t="shared" si="2"/>
        <v>39229.48</v>
      </c>
      <c r="M299" s="83">
        <f t="shared" si="3"/>
        <v>13662.29</v>
      </c>
      <c r="N299" s="46" t="str">
        <f>VLOOKUP(F299,products!$A$2:$B$13,2,FALSE)</f>
        <v>Fruits</v>
      </c>
      <c r="O299" s="46" t="s">
        <v>104</v>
      </c>
      <c r="P299" s="46">
        <f t="array" ref="P299">WEEKDAY(B299,2)</f>
        <v>6</v>
      </c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>
      <c r="A300" s="56">
        <v>2.95787847E8</v>
      </c>
      <c r="B300" s="126">
        <v>42022.0</v>
      </c>
      <c r="C300" s="126">
        <v>42051.0</v>
      </c>
      <c r="D300" s="56" t="s">
        <v>95</v>
      </c>
      <c r="E300" s="56" t="s">
        <v>129</v>
      </c>
      <c r="F300" s="56">
        <v>7331.0</v>
      </c>
      <c r="G300" s="56" t="s">
        <v>43</v>
      </c>
      <c r="H300" s="56">
        <v>9052.0</v>
      </c>
      <c r="I300" s="127">
        <v>255.28</v>
      </c>
      <c r="J300" s="127">
        <v>159.42</v>
      </c>
      <c r="K300" s="83">
        <f t="shared" si="1"/>
        <v>2310794.56</v>
      </c>
      <c r="L300" s="83">
        <f t="shared" si="2"/>
        <v>1443069.84</v>
      </c>
      <c r="M300" s="83">
        <f t="shared" si="3"/>
        <v>867724.72</v>
      </c>
      <c r="N300" s="46" t="str">
        <f>VLOOKUP(F300,products!$A$2:$B$13,2,FALSE)</f>
        <v>Baby Food</v>
      </c>
      <c r="O300" s="46" t="s">
        <v>129</v>
      </c>
      <c r="P300" s="46">
        <f t="array" ref="P300">WEEKDAY(B300,2)</f>
        <v>7</v>
      </c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>
      <c r="A301" s="56">
        <v>2.96073234E8</v>
      </c>
      <c r="B301" s="126">
        <v>42121.0</v>
      </c>
      <c r="C301" s="126">
        <v>42159.0</v>
      </c>
      <c r="D301" s="56" t="s">
        <v>10</v>
      </c>
      <c r="E301" s="56" t="s">
        <v>112</v>
      </c>
      <c r="F301" s="56">
        <v>7331.0</v>
      </c>
      <c r="G301" s="56" t="s">
        <v>42</v>
      </c>
      <c r="H301" s="56">
        <v>3504.0</v>
      </c>
      <c r="I301" s="127">
        <v>255.28</v>
      </c>
      <c r="J301" s="127">
        <v>159.42</v>
      </c>
      <c r="K301" s="83">
        <f t="shared" si="1"/>
        <v>894501.12</v>
      </c>
      <c r="L301" s="83">
        <f t="shared" si="2"/>
        <v>558607.68</v>
      </c>
      <c r="M301" s="83">
        <f t="shared" si="3"/>
        <v>335893.44</v>
      </c>
      <c r="N301" s="46" t="str">
        <f>VLOOKUP(F301,products!$A$2:$B$13,2,FALSE)</f>
        <v>Baby Food</v>
      </c>
      <c r="O301" s="46" t="s">
        <v>112</v>
      </c>
      <c r="P301" s="46">
        <f t="array" ref="P301">WEEKDAY(B301,2)</f>
        <v>1</v>
      </c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>
      <c r="A302" s="56">
        <v>2.98228013E8</v>
      </c>
      <c r="B302" s="126">
        <v>40441.0</v>
      </c>
      <c r="C302" s="126">
        <v>40476.0</v>
      </c>
      <c r="D302" s="56" t="s">
        <v>95</v>
      </c>
      <c r="E302" s="56" t="s">
        <v>132</v>
      </c>
      <c r="F302" s="56">
        <v>5988.0</v>
      </c>
      <c r="G302" s="56" t="s">
        <v>43</v>
      </c>
      <c r="H302" s="56">
        <v>1151.0</v>
      </c>
      <c r="I302" s="127">
        <v>154.06</v>
      </c>
      <c r="J302" s="127">
        <v>90.93</v>
      </c>
      <c r="K302" s="83">
        <f t="shared" si="1"/>
        <v>177323.06</v>
      </c>
      <c r="L302" s="83">
        <f t="shared" si="2"/>
        <v>104660.43</v>
      </c>
      <c r="M302" s="83">
        <f t="shared" si="3"/>
        <v>72662.63</v>
      </c>
      <c r="N302" s="46" t="str">
        <f>VLOOKUP(F302,products!$A$2:$B$13,2,FALSE)</f>
        <v>Vegetables</v>
      </c>
      <c r="O302" s="46" t="s">
        <v>132</v>
      </c>
      <c r="P302" s="46">
        <f t="array" ref="P302">WEEKDAY(B302,2)</f>
        <v>1</v>
      </c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>
      <c r="A303" s="56">
        <v>2.98978602E8</v>
      </c>
      <c r="B303" s="126">
        <v>41655.0</v>
      </c>
      <c r="C303" s="126">
        <v>41667.0</v>
      </c>
      <c r="D303" s="56" t="s">
        <v>89</v>
      </c>
      <c r="E303" s="56" t="s">
        <v>97</v>
      </c>
      <c r="F303" s="56">
        <v>2455.0</v>
      </c>
      <c r="G303" s="56" t="s">
        <v>42</v>
      </c>
      <c r="H303" s="56">
        <v>3267.0</v>
      </c>
      <c r="I303" s="127">
        <v>109.28</v>
      </c>
      <c r="J303" s="127">
        <v>35.84</v>
      </c>
      <c r="K303" s="83">
        <f t="shared" si="1"/>
        <v>357017.76</v>
      </c>
      <c r="L303" s="83">
        <f t="shared" si="2"/>
        <v>117089.28</v>
      </c>
      <c r="M303" s="83">
        <f t="shared" si="3"/>
        <v>239928.48</v>
      </c>
      <c r="N303" s="46" t="str">
        <f>VLOOKUP(F303,products!$A$2:$B$13,2,FALSE)</f>
        <v>Clothes</v>
      </c>
      <c r="O303" s="46" t="s">
        <v>97</v>
      </c>
      <c r="P303" s="46">
        <f t="array" ref="P303">WEEKDAY(B303,2)</f>
        <v>4</v>
      </c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>
      <c r="A304" s="56">
        <v>2.99335229E8</v>
      </c>
      <c r="B304" s="126">
        <v>40889.0</v>
      </c>
      <c r="C304" s="126">
        <v>40901.0</v>
      </c>
      <c r="D304" s="56" t="s">
        <v>89</v>
      </c>
      <c r="E304" s="56" t="s">
        <v>105</v>
      </c>
      <c r="F304" s="56">
        <v>8293.0</v>
      </c>
      <c r="G304" s="56" t="s">
        <v>42</v>
      </c>
      <c r="H304" s="56">
        <v>8801.0</v>
      </c>
      <c r="I304" s="127">
        <v>437.2</v>
      </c>
      <c r="J304" s="127">
        <v>263.33</v>
      </c>
      <c r="K304" s="83">
        <f t="shared" si="1"/>
        <v>3847797.2</v>
      </c>
      <c r="L304" s="83">
        <f t="shared" si="2"/>
        <v>2317567.33</v>
      </c>
      <c r="M304" s="83">
        <f t="shared" si="3"/>
        <v>1530229.87</v>
      </c>
      <c r="N304" s="46" t="str">
        <f>VLOOKUP(F304,products!$A$2:$B$13,2,FALSE)</f>
        <v>Cosmetics</v>
      </c>
      <c r="O304" s="46" t="s">
        <v>105</v>
      </c>
      <c r="P304" s="46">
        <f t="array" ref="P304">WEEKDAY(B304,2)</f>
        <v>1</v>
      </c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>
      <c r="A305" s="56">
        <v>2.99739491E8</v>
      </c>
      <c r="B305" s="126">
        <v>42576.0</v>
      </c>
      <c r="C305" s="126">
        <v>42614.0</v>
      </c>
      <c r="D305" s="56" t="s">
        <v>89</v>
      </c>
      <c r="E305" s="56" t="e">
        <v>#N/A</v>
      </c>
      <c r="F305" s="56">
        <v>4594.0</v>
      </c>
      <c r="G305" s="56" t="s">
        <v>42</v>
      </c>
      <c r="H305" s="56">
        <v>8431.0</v>
      </c>
      <c r="I305" s="127">
        <v>9.33</v>
      </c>
      <c r="J305" s="127">
        <v>6.92</v>
      </c>
      <c r="K305" s="83">
        <f t="shared" si="1"/>
        <v>78661.23</v>
      </c>
      <c r="L305" s="83">
        <f t="shared" si="2"/>
        <v>58342.52</v>
      </c>
      <c r="M305" s="83">
        <f t="shared" si="3"/>
        <v>20318.71</v>
      </c>
      <c r="N305" s="46" t="str">
        <f>VLOOKUP(F305,products!$A$2:$B$13,2,FALSE)</f>
        <v>Fruits</v>
      </c>
      <c r="O305" s="46" t="s">
        <v>92</v>
      </c>
      <c r="P305" s="46">
        <f t="array" ref="P305">WEEKDAY(B305,2)</f>
        <v>1</v>
      </c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>
      <c r="A306" s="56">
        <v>3.02015721E8</v>
      </c>
      <c r="B306" s="126">
        <v>41720.0</v>
      </c>
      <c r="C306" s="126">
        <v>41746.0</v>
      </c>
      <c r="D306" s="56" t="s">
        <v>95</v>
      </c>
      <c r="E306" s="56" t="s">
        <v>91</v>
      </c>
      <c r="F306" s="56">
        <v>7331.0</v>
      </c>
      <c r="G306" s="56" t="s">
        <v>43</v>
      </c>
      <c r="H306" s="56">
        <v>2018.0</v>
      </c>
      <c r="I306" s="127">
        <v>255.28</v>
      </c>
      <c r="J306" s="127">
        <v>159.42</v>
      </c>
      <c r="K306" s="83">
        <f t="shared" si="1"/>
        <v>515155.04</v>
      </c>
      <c r="L306" s="83">
        <f t="shared" si="2"/>
        <v>321709.56</v>
      </c>
      <c r="M306" s="83">
        <f t="shared" si="3"/>
        <v>193445.48</v>
      </c>
      <c r="N306" s="46" t="str">
        <f>VLOOKUP(F306,products!$A$2:$B$13,2,FALSE)</f>
        <v>Baby Food</v>
      </c>
      <c r="O306" s="46" t="s">
        <v>91</v>
      </c>
      <c r="P306" s="46">
        <f t="array" ref="P306">WEEKDAY(B306,2)</f>
        <v>6</v>
      </c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>
      <c r="A307" s="56">
        <v>3.02442729E8</v>
      </c>
      <c r="B307" s="126">
        <v>41266.0</v>
      </c>
      <c r="C307" s="126">
        <v>41291.0</v>
      </c>
      <c r="D307" s="56" t="s">
        <v>10</v>
      </c>
      <c r="E307" s="56" t="s">
        <v>112</v>
      </c>
      <c r="F307" s="56">
        <v>7331.0</v>
      </c>
      <c r="G307" s="56" t="s">
        <v>42</v>
      </c>
      <c r="H307" s="56">
        <v>8379.0</v>
      </c>
      <c r="I307" s="127">
        <v>255.28</v>
      </c>
      <c r="J307" s="127">
        <v>159.42</v>
      </c>
      <c r="K307" s="83">
        <f t="shared" si="1"/>
        <v>2138991.12</v>
      </c>
      <c r="L307" s="83">
        <f t="shared" si="2"/>
        <v>1335780.18</v>
      </c>
      <c r="M307" s="83">
        <f t="shared" si="3"/>
        <v>803210.94</v>
      </c>
      <c r="N307" s="46" t="str">
        <f>VLOOKUP(F307,products!$A$2:$B$13,2,FALSE)</f>
        <v>Baby Food</v>
      </c>
      <c r="O307" s="46" t="s">
        <v>112</v>
      </c>
      <c r="P307" s="46">
        <f t="array" ref="P307">WEEKDAY(B307,2)</f>
        <v>7</v>
      </c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>
      <c r="A308" s="56">
        <v>3.02744853E8</v>
      </c>
      <c r="B308" s="126">
        <v>41928.0</v>
      </c>
      <c r="C308" s="126">
        <v>41945.0</v>
      </c>
      <c r="D308" s="56" t="s">
        <v>95</v>
      </c>
      <c r="E308" s="56" t="s">
        <v>123</v>
      </c>
      <c r="F308" s="56">
        <v>3127.0</v>
      </c>
      <c r="G308" s="56" t="s">
        <v>42</v>
      </c>
      <c r="H308" s="56">
        <v>7785.0</v>
      </c>
      <c r="I308" s="127">
        <v>81.73</v>
      </c>
      <c r="J308" s="127">
        <v>56.67</v>
      </c>
      <c r="K308" s="83">
        <f t="shared" si="1"/>
        <v>636268.05</v>
      </c>
      <c r="L308" s="83">
        <f t="shared" si="2"/>
        <v>441175.95</v>
      </c>
      <c r="M308" s="83">
        <f t="shared" si="3"/>
        <v>195092.1</v>
      </c>
      <c r="N308" s="46" t="str">
        <f>VLOOKUP(F308,products!$A$2:$B$13,2,FALSE)</f>
        <v>Personal Care</v>
      </c>
      <c r="O308" s="46" t="s">
        <v>123</v>
      </c>
      <c r="P308" s="46">
        <f t="array" ref="P308">WEEKDAY(B308,2)</f>
        <v>4</v>
      </c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>
      <c r="A309" s="56">
        <v>3.03534495E8</v>
      </c>
      <c r="B309" s="126">
        <v>40768.0</v>
      </c>
      <c r="C309" s="126">
        <v>40773.0</v>
      </c>
      <c r="D309" s="56" t="s">
        <v>95</v>
      </c>
      <c r="E309" s="56" t="s">
        <v>137</v>
      </c>
      <c r="F309" s="56">
        <v>4594.0</v>
      </c>
      <c r="G309" s="56" t="s">
        <v>42</v>
      </c>
      <c r="H309" s="56">
        <v>1457.0</v>
      </c>
      <c r="I309" s="127">
        <v>9.33</v>
      </c>
      <c r="J309" s="127">
        <v>6.92</v>
      </c>
      <c r="K309" s="83">
        <f t="shared" si="1"/>
        <v>13593.81</v>
      </c>
      <c r="L309" s="83">
        <f t="shared" si="2"/>
        <v>10082.44</v>
      </c>
      <c r="M309" s="83">
        <f t="shared" si="3"/>
        <v>3511.37</v>
      </c>
      <c r="N309" s="46" t="str">
        <f>VLOOKUP(F309,products!$A$2:$B$13,2,FALSE)</f>
        <v>Fruits</v>
      </c>
      <c r="O309" s="46" t="s">
        <v>137</v>
      </c>
      <c r="P309" s="46">
        <f t="array" ref="P309">WEEKDAY(B309,2)</f>
        <v>6</v>
      </c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>
      <c r="A310" s="56">
        <v>3.05569112E8</v>
      </c>
      <c r="B310" s="126">
        <v>40647.0</v>
      </c>
      <c r="C310" s="126">
        <v>40697.0</v>
      </c>
      <c r="D310" s="56" t="s">
        <v>89</v>
      </c>
      <c r="E310" s="56" t="s">
        <v>98</v>
      </c>
      <c r="F310" s="56">
        <v>5988.0</v>
      </c>
      <c r="G310" s="56" t="s">
        <v>42</v>
      </c>
      <c r="H310" s="56">
        <v>3545.0</v>
      </c>
      <c r="I310" s="127">
        <v>154.06</v>
      </c>
      <c r="J310" s="127">
        <v>90.93</v>
      </c>
      <c r="K310" s="83">
        <f t="shared" si="1"/>
        <v>546142.7</v>
      </c>
      <c r="L310" s="83">
        <f t="shared" si="2"/>
        <v>322346.85</v>
      </c>
      <c r="M310" s="83">
        <f t="shared" si="3"/>
        <v>223795.85</v>
      </c>
      <c r="N310" s="46" t="str">
        <f>VLOOKUP(F310,products!$A$2:$B$13,2,FALSE)</f>
        <v>Vegetables</v>
      </c>
      <c r="O310" s="46" t="s">
        <v>98</v>
      </c>
      <c r="P310" s="46">
        <f t="array" ref="P310">WEEKDAY(B310,2)</f>
        <v>4</v>
      </c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>
      <c r="A311" s="56">
        <v>3.05616748E8</v>
      </c>
      <c r="B311" s="126">
        <v>40335.0</v>
      </c>
      <c r="C311" s="126">
        <v>40360.0</v>
      </c>
      <c r="D311" s="56" t="s">
        <v>89</v>
      </c>
      <c r="E311" s="56" t="s">
        <v>94</v>
      </c>
      <c r="F311" s="56">
        <v>2103.0</v>
      </c>
      <c r="G311" s="56" t="s">
        <v>42</v>
      </c>
      <c r="H311" s="56">
        <v>7642.0</v>
      </c>
      <c r="I311" s="127">
        <v>205.7</v>
      </c>
      <c r="J311" s="127">
        <v>117.11</v>
      </c>
      <c r="K311" s="83">
        <f t="shared" si="1"/>
        <v>1571959.4</v>
      </c>
      <c r="L311" s="83">
        <f t="shared" si="2"/>
        <v>894954.62</v>
      </c>
      <c r="M311" s="83">
        <f t="shared" si="3"/>
        <v>677004.78</v>
      </c>
      <c r="N311" s="46" t="str">
        <f>VLOOKUP(F311,products!$A$2:$B$13,2,FALSE)</f>
        <v>Cereal</v>
      </c>
      <c r="O311" s="46" t="s">
        <v>94</v>
      </c>
      <c r="P311" s="46">
        <f t="array" ref="P311">WEEKDAY(B311,2)</f>
        <v>7</v>
      </c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>
      <c r="A312" s="56">
        <v>3.06256616E8</v>
      </c>
      <c r="B312" s="126">
        <v>41227.0</v>
      </c>
      <c r="C312" s="126">
        <v>41231.0</v>
      </c>
      <c r="D312" s="56" t="s">
        <v>93</v>
      </c>
      <c r="E312" s="56" t="s">
        <v>126</v>
      </c>
      <c r="F312" s="56">
        <v>3127.0</v>
      </c>
      <c r="G312" s="56" t="s">
        <v>42</v>
      </c>
      <c r="H312" s="56">
        <v>6993.0</v>
      </c>
      <c r="I312" s="127">
        <v>81.73</v>
      </c>
      <c r="J312" s="127">
        <v>56.67</v>
      </c>
      <c r="K312" s="83">
        <f t="shared" si="1"/>
        <v>571537.89</v>
      </c>
      <c r="L312" s="83">
        <f t="shared" si="2"/>
        <v>396293.31</v>
      </c>
      <c r="M312" s="83">
        <f t="shared" si="3"/>
        <v>175244.58</v>
      </c>
      <c r="N312" s="46" t="str">
        <f>VLOOKUP(F312,products!$A$2:$B$13,2,FALSE)</f>
        <v>Personal Care</v>
      </c>
      <c r="O312" s="46" t="s">
        <v>126</v>
      </c>
      <c r="P312" s="46">
        <f t="array" ref="P312">WEEKDAY(B312,2)</f>
        <v>3</v>
      </c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>
      <c r="A313" s="56">
        <v>3.06839406E8</v>
      </c>
      <c r="B313" s="126">
        <v>41546.0</v>
      </c>
      <c r="C313" s="126">
        <v>41548.0</v>
      </c>
      <c r="D313" s="56" t="s">
        <v>95</v>
      </c>
      <c r="E313" s="56" t="s">
        <v>135</v>
      </c>
      <c r="F313" s="56">
        <v>7331.0</v>
      </c>
      <c r="G313" s="56" t="s">
        <v>42</v>
      </c>
      <c r="H313" s="56">
        <v>9454.0</v>
      </c>
      <c r="I313" s="127">
        <v>255.28</v>
      </c>
      <c r="J313" s="127">
        <v>159.42</v>
      </c>
      <c r="K313" s="83">
        <f t="shared" si="1"/>
        <v>2413417.12</v>
      </c>
      <c r="L313" s="83">
        <f t="shared" si="2"/>
        <v>1507156.68</v>
      </c>
      <c r="M313" s="83">
        <f t="shared" si="3"/>
        <v>906260.44</v>
      </c>
      <c r="N313" s="46" t="str">
        <f>VLOOKUP(F313,products!$A$2:$B$13,2,FALSE)</f>
        <v>Baby Food</v>
      </c>
      <c r="O313" s="46" t="s">
        <v>135</v>
      </c>
      <c r="P313" s="46">
        <f t="array" ref="P313">WEEKDAY(B313,2)</f>
        <v>7</v>
      </c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>
      <c r="A314" s="56">
        <v>3.07305467E8</v>
      </c>
      <c r="B314" s="126">
        <v>41484.0</v>
      </c>
      <c r="C314" s="126">
        <v>41496.0</v>
      </c>
      <c r="D314" s="56" t="s">
        <v>89</v>
      </c>
      <c r="E314" s="56" t="e">
        <v>#N/A</v>
      </c>
      <c r="F314" s="56">
        <v>4594.0</v>
      </c>
      <c r="G314" s="56" t="s">
        <v>43</v>
      </c>
      <c r="H314" s="56">
        <v>7371.0</v>
      </c>
      <c r="I314" s="127">
        <v>9.33</v>
      </c>
      <c r="J314" s="127">
        <v>6.92</v>
      </c>
      <c r="K314" s="83">
        <f t="shared" si="1"/>
        <v>68771.43</v>
      </c>
      <c r="L314" s="83">
        <f t="shared" si="2"/>
        <v>51007.32</v>
      </c>
      <c r="M314" s="83">
        <f t="shared" si="3"/>
        <v>17764.11</v>
      </c>
      <c r="N314" s="46" t="str">
        <f>VLOOKUP(F314,products!$A$2:$B$13,2,FALSE)</f>
        <v>Fruits</v>
      </c>
      <c r="O314" s="46" t="s">
        <v>92</v>
      </c>
      <c r="P314" s="46">
        <f t="array" ref="P314">WEEKDAY(B314,2)</f>
        <v>1</v>
      </c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>
      <c r="A315" s="56">
        <v>3.07721745E8</v>
      </c>
      <c r="B315" s="126">
        <v>40526.0</v>
      </c>
      <c r="C315" s="126">
        <v>40544.0</v>
      </c>
      <c r="D315" s="56" t="s">
        <v>89</v>
      </c>
      <c r="E315" s="56" t="s">
        <v>126</v>
      </c>
      <c r="F315" s="56">
        <v>8969.0</v>
      </c>
      <c r="G315" s="56" t="s">
        <v>43</v>
      </c>
      <c r="H315" s="56">
        <v>558.0</v>
      </c>
      <c r="I315" s="127">
        <v>152.58</v>
      </c>
      <c r="J315" s="127">
        <v>97.44</v>
      </c>
      <c r="K315" s="83">
        <f t="shared" si="1"/>
        <v>85139.64</v>
      </c>
      <c r="L315" s="83">
        <f t="shared" si="2"/>
        <v>54371.52</v>
      </c>
      <c r="M315" s="83">
        <f t="shared" si="3"/>
        <v>30768.12</v>
      </c>
      <c r="N315" s="46" t="str">
        <f>VLOOKUP(F315,products!$A$2:$B$13,2,FALSE)</f>
        <v>Snacks</v>
      </c>
      <c r="O315" s="46" t="s">
        <v>126</v>
      </c>
      <c r="P315" s="46">
        <f t="array" ref="P315">WEEKDAY(B315,2)</f>
        <v>2</v>
      </c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>
      <c r="A316" s="56">
        <v>3.08582627E8</v>
      </c>
      <c r="B316" s="126">
        <v>41266.0</v>
      </c>
      <c r="C316" s="126">
        <v>41314.0</v>
      </c>
      <c r="D316" s="56" t="s">
        <v>10</v>
      </c>
      <c r="E316" s="56" t="s">
        <v>91</v>
      </c>
      <c r="F316" s="56">
        <v>1270.0</v>
      </c>
      <c r="G316" s="56" t="s">
        <v>42</v>
      </c>
      <c r="H316" s="56">
        <v>5312.0</v>
      </c>
      <c r="I316" s="127">
        <v>47.45</v>
      </c>
      <c r="J316" s="127">
        <v>31.79</v>
      </c>
      <c r="K316" s="83">
        <f t="shared" si="1"/>
        <v>252054.4</v>
      </c>
      <c r="L316" s="83">
        <f t="shared" si="2"/>
        <v>168868.48</v>
      </c>
      <c r="M316" s="83">
        <f t="shared" si="3"/>
        <v>83185.92</v>
      </c>
      <c r="N316" s="46" t="str">
        <f>VLOOKUP(F316,products!$A$2:$B$13,2,FALSE)</f>
        <v>Beverages</v>
      </c>
      <c r="O316" s="46" t="s">
        <v>91</v>
      </c>
      <c r="P316" s="46">
        <f t="array" ref="P316">WEEKDAY(B316,2)</f>
        <v>7</v>
      </c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>
      <c r="A317" s="56">
        <v>3.09148681E8</v>
      </c>
      <c r="B317" s="126">
        <v>41022.0</v>
      </c>
      <c r="C317" s="126">
        <v>41034.0</v>
      </c>
      <c r="D317" s="56" t="s">
        <v>89</v>
      </c>
      <c r="E317" s="56" t="s">
        <v>98</v>
      </c>
      <c r="F317" s="56">
        <v>7940.0</v>
      </c>
      <c r="G317" s="56" t="s">
        <v>42</v>
      </c>
      <c r="H317" s="56">
        <v>2819.0</v>
      </c>
      <c r="I317" s="127">
        <v>668.27</v>
      </c>
      <c r="J317" s="127">
        <v>502.54</v>
      </c>
      <c r="K317" s="83">
        <f t="shared" si="1"/>
        <v>1883853.13</v>
      </c>
      <c r="L317" s="83">
        <f t="shared" si="2"/>
        <v>1416660.26</v>
      </c>
      <c r="M317" s="83">
        <f t="shared" si="3"/>
        <v>467192.87</v>
      </c>
      <c r="N317" s="46" t="str">
        <f>VLOOKUP(F317,products!$A$2:$B$13,2,FALSE)</f>
        <v>Household</v>
      </c>
      <c r="O317" s="46" t="s">
        <v>98</v>
      </c>
      <c r="P317" s="46">
        <f t="array" ref="P317">WEEKDAY(B317,2)</f>
        <v>1</v>
      </c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>
      <c r="A318" s="56">
        <v>3.09188163E8</v>
      </c>
      <c r="B318" s="126">
        <v>42209.0</v>
      </c>
      <c r="C318" s="126">
        <v>42228.0</v>
      </c>
      <c r="D318" s="56" t="s">
        <v>10</v>
      </c>
      <c r="E318" s="56" t="s">
        <v>109</v>
      </c>
      <c r="F318" s="56">
        <v>4594.0</v>
      </c>
      <c r="G318" s="56" t="s">
        <v>43</v>
      </c>
      <c r="H318" s="56">
        <v>4503.0</v>
      </c>
      <c r="I318" s="127">
        <v>9.33</v>
      </c>
      <c r="J318" s="127">
        <v>6.92</v>
      </c>
      <c r="K318" s="83">
        <f t="shared" si="1"/>
        <v>42012.99</v>
      </c>
      <c r="L318" s="83">
        <f t="shared" si="2"/>
        <v>31160.76</v>
      </c>
      <c r="M318" s="83">
        <f t="shared" si="3"/>
        <v>10852.23</v>
      </c>
      <c r="N318" s="46" t="str">
        <f>VLOOKUP(F318,products!$A$2:$B$13,2,FALSE)</f>
        <v>Fruits</v>
      </c>
      <c r="O318" s="46" t="s">
        <v>109</v>
      </c>
      <c r="P318" s="46">
        <f t="array" ref="P318">WEEKDAY(B318,2)</f>
        <v>5</v>
      </c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>
      <c r="A319" s="56">
        <v>3.09285581E8</v>
      </c>
      <c r="B319" s="126">
        <v>42792.0</v>
      </c>
      <c r="C319" s="126">
        <v>42842.0</v>
      </c>
      <c r="D319" s="56" t="s">
        <v>95</v>
      </c>
      <c r="E319" s="56" t="s">
        <v>127</v>
      </c>
      <c r="F319" s="56">
        <v>3127.0</v>
      </c>
      <c r="G319" s="56" t="s">
        <v>42</v>
      </c>
      <c r="H319" s="56">
        <v>3331.0</v>
      </c>
      <c r="I319" s="127">
        <v>81.73</v>
      </c>
      <c r="J319" s="127">
        <v>56.67</v>
      </c>
      <c r="K319" s="83">
        <f t="shared" si="1"/>
        <v>272242.63</v>
      </c>
      <c r="L319" s="83">
        <f t="shared" si="2"/>
        <v>188767.77</v>
      </c>
      <c r="M319" s="83">
        <f t="shared" si="3"/>
        <v>83474.86</v>
      </c>
      <c r="N319" s="46" t="str">
        <f>VLOOKUP(F319,products!$A$2:$B$13,2,FALSE)</f>
        <v>Personal Care</v>
      </c>
      <c r="O319" s="46" t="s">
        <v>127</v>
      </c>
      <c r="P319" s="46">
        <f t="array" ref="P319">WEEKDAY(B319,2)</f>
        <v>7</v>
      </c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>
      <c r="A320" s="56">
        <v>3.09342658E8</v>
      </c>
      <c r="B320" s="126">
        <v>40599.0</v>
      </c>
      <c r="C320" s="126">
        <v>40630.0</v>
      </c>
      <c r="D320" s="56" t="s">
        <v>10</v>
      </c>
      <c r="E320" s="56" t="s">
        <v>126</v>
      </c>
      <c r="F320" s="56">
        <v>3127.0</v>
      </c>
      <c r="G320" s="56" t="s">
        <v>43</v>
      </c>
      <c r="H320" s="56">
        <v>222.0</v>
      </c>
      <c r="I320" s="127">
        <v>81.73</v>
      </c>
      <c r="J320" s="127">
        <v>56.67</v>
      </c>
      <c r="K320" s="83">
        <f t="shared" si="1"/>
        <v>18144.06</v>
      </c>
      <c r="L320" s="83">
        <f t="shared" si="2"/>
        <v>12580.74</v>
      </c>
      <c r="M320" s="83">
        <f t="shared" si="3"/>
        <v>5563.32</v>
      </c>
      <c r="N320" s="46" t="str">
        <f>VLOOKUP(F320,products!$A$2:$B$13,2,FALSE)</f>
        <v>Personal Care</v>
      </c>
      <c r="O320" s="46" t="s">
        <v>126</v>
      </c>
      <c r="P320" s="46">
        <f t="array" ref="P320">WEEKDAY(B320,2)</f>
        <v>5</v>
      </c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>
      <c r="A321" s="56">
        <v>3.09655511E8</v>
      </c>
      <c r="B321" s="126">
        <v>41764.0</v>
      </c>
      <c r="C321" s="126">
        <v>41780.0</v>
      </c>
      <c r="D321" s="56" t="s">
        <v>10</v>
      </c>
      <c r="E321" s="56" t="s">
        <v>99</v>
      </c>
      <c r="F321" s="56">
        <v>3127.0</v>
      </c>
      <c r="G321" s="56" t="s">
        <v>42</v>
      </c>
      <c r="H321" s="52">
        <f>MEDIAN(H2:H1331)</f>
        <v>4958</v>
      </c>
      <c r="I321" s="127">
        <v>81.73</v>
      </c>
      <c r="J321" s="127">
        <v>56.67</v>
      </c>
      <c r="K321" s="83">
        <f t="shared" si="1"/>
        <v>405217.34</v>
      </c>
      <c r="L321" s="83">
        <f t="shared" si="2"/>
        <v>280969.86</v>
      </c>
      <c r="M321" s="83">
        <f t="shared" si="3"/>
        <v>124247.48</v>
      </c>
      <c r="N321" s="46" t="str">
        <f>VLOOKUP(F321,products!$A$2:$B$13,2,FALSE)</f>
        <v>Personal Care</v>
      </c>
      <c r="O321" s="46" t="s">
        <v>99</v>
      </c>
      <c r="P321" s="46">
        <f t="array" ref="P321">WEEKDAY(B321,2)</f>
        <v>1</v>
      </c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>
      <c r="A322" s="56">
        <v>3.1058892E8</v>
      </c>
      <c r="B322" s="126">
        <v>41257.0</v>
      </c>
      <c r="C322" s="126">
        <v>41280.0</v>
      </c>
      <c r="D322" s="56" t="s">
        <v>95</v>
      </c>
      <c r="E322" s="56" t="s">
        <v>112</v>
      </c>
      <c r="F322" s="56">
        <v>8293.0</v>
      </c>
      <c r="G322" s="56" t="s">
        <v>42</v>
      </c>
      <c r="H322" s="56">
        <v>9018.0</v>
      </c>
      <c r="I322" s="127">
        <v>437.2</v>
      </c>
      <c r="J322" s="127">
        <v>263.33</v>
      </c>
      <c r="K322" s="83">
        <f t="shared" si="1"/>
        <v>3942669.6</v>
      </c>
      <c r="L322" s="83">
        <f t="shared" si="2"/>
        <v>2374709.94</v>
      </c>
      <c r="M322" s="83">
        <f t="shared" si="3"/>
        <v>1567959.66</v>
      </c>
      <c r="N322" s="46" t="str">
        <f>VLOOKUP(F322,products!$A$2:$B$13,2,FALSE)</f>
        <v>Cosmetics</v>
      </c>
      <c r="O322" s="46" t="s">
        <v>112</v>
      </c>
      <c r="P322" s="46">
        <f t="array" ref="P322">WEEKDAY(B322,2)</f>
        <v>5</v>
      </c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>
      <c r="A323" s="56">
        <v>3.11221492E8</v>
      </c>
      <c r="B323" s="126">
        <v>42471.0</v>
      </c>
      <c r="C323" s="126">
        <v>42497.0</v>
      </c>
      <c r="D323" s="56" t="s">
        <v>93</v>
      </c>
      <c r="E323" s="56" t="s">
        <v>132</v>
      </c>
      <c r="F323" s="56">
        <v>4594.0</v>
      </c>
      <c r="G323" s="56" t="s">
        <v>43</v>
      </c>
      <c r="H323" s="56">
        <v>6210.0</v>
      </c>
      <c r="I323" s="127">
        <v>9.33</v>
      </c>
      <c r="J323" s="127">
        <v>6.92</v>
      </c>
      <c r="K323" s="83">
        <f t="shared" si="1"/>
        <v>57939.3</v>
      </c>
      <c r="L323" s="83">
        <f t="shared" si="2"/>
        <v>42973.2</v>
      </c>
      <c r="M323" s="83">
        <f t="shared" si="3"/>
        <v>14966.1</v>
      </c>
      <c r="N323" s="46" t="str">
        <f>VLOOKUP(F323,products!$A$2:$B$13,2,FALSE)</f>
        <v>Fruits</v>
      </c>
      <c r="O323" s="46" t="s">
        <v>132</v>
      </c>
      <c r="P323" s="46">
        <f t="array" ref="P323">WEEKDAY(B323,2)</f>
        <v>1</v>
      </c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>
      <c r="A324" s="56">
        <v>3.1168884E8</v>
      </c>
      <c r="B324" s="126">
        <v>42026.0</v>
      </c>
      <c r="C324" s="126">
        <v>42049.0</v>
      </c>
      <c r="D324" s="56" t="s">
        <v>93</v>
      </c>
      <c r="E324" s="56" t="s">
        <v>103</v>
      </c>
      <c r="F324" s="56">
        <v>3127.0</v>
      </c>
      <c r="G324" s="56" t="s">
        <v>42</v>
      </c>
      <c r="H324" s="56">
        <v>4509.0</v>
      </c>
      <c r="I324" s="127">
        <v>81.73</v>
      </c>
      <c r="J324" s="127">
        <v>56.67</v>
      </c>
      <c r="K324" s="83">
        <f t="shared" si="1"/>
        <v>368520.57</v>
      </c>
      <c r="L324" s="83">
        <f t="shared" si="2"/>
        <v>255525.03</v>
      </c>
      <c r="M324" s="83">
        <f t="shared" si="3"/>
        <v>112995.54</v>
      </c>
      <c r="N324" s="46" t="str">
        <f>VLOOKUP(F324,products!$A$2:$B$13,2,FALSE)</f>
        <v>Personal Care</v>
      </c>
      <c r="O324" s="46" t="s">
        <v>103</v>
      </c>
      <c r="P324" s="46">
        <f t="array" ref="P324">WEEKDAY(B324,2)</f>
        <v>4</v>
      </c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>
      <c r="A325" s="56">
        <v>3.11921012E8</v>
      </c>
      <c r="B325" s="126">
        <v>40405.0</v>
      </c>
      <c r="C325" s="126">
        <v>40416.0</v>
      </c>
      <c r="D325" s="56" t="s">
        <v>95</v>
      </c>
      <c r="E325" s="56" t="s">
        <v>116</v>
      </c>
      <c r="F325" s="56">
        <v>1270.0</v>
      </c>
      <c r="G325" s="56" t="s">
        <v>43</v>
      </c>
      <c r="H325" s="56">
        <v>3214.0</v>
      </c>
      <c r="I325" s="127">
        <v>47.45</v>
      </c>
      <c r="J325" s="127">
        <v>31.79</v>
      </c>
      <c r="K325" s="83">
        <f t="shared" si="1"/>
        <v>152504.3</v>
      </c>
      <c r="L325" s="83">
        <f t="shared" si="2"/>
        <v>102173.06</v>
      </c>
      <c r="M325" s="83">
        <f t="shared" si="3"/>
        <v>50331.24</v>
      </c>
      <c r="N325" s="46" t="str">
        <f>VLOOKUP(F325,products!$A$2:$B$13,2,FALSE)</f>
        <v>Beverages</v>
      </c>
      <c r="O325" s="46" t="s">
        <v>116</v>
      </c>
      <c r="P325" s="46">
        <f t="array" ref="P325">WEEKDAY(B325,2)</f>
        <v>7</v>
      </c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>
      <c r="A326" s="56">
        <v>3.11956632E8</v>
      </c>
      <c r="B326" s="126">
        <v>42739.0</v>
      </c>
      <c r="C326" s="126">
        <v>42745.0</v>
      </c>
      <c r="D326" s="56" t="s">
        <v>10</v>
      </c>
      <c r="E326" s="56" t="s">
        <v>117</v>
      </c>
      <c r="F326" s="56">
        <v>8293.0</v>
      </c>
      <c r="G326" s="56" t="s">
        <v>42</v>
      </c>
      <c r="H326" s="56">
        <v>3755.0</v>
      </c>
      <c r="I326" s="127">
        <v>437.2</v>
      </c>
      <c r="J326" s="127">
        <v>263.33</v>
      </c>
      <c r="K326" s="83">
        <f t="shared" si="1"/>
        <v>1641686</v>
      </c>
      <c r="L326" s="83">
        <f t="shared" si="2"/>
        <v>988804.15</v>
      </c>
      <c r="M326" s="83">
        <f t="shared" si="3"/>
        <v>652881.85</v>
      </c>
      <c r="N326" s="46" t="str">
        <f>VLOOKUP(F326,products!$A$2:$B$13,2,FALSE)</f>
        <v>Cosmetics</v>
      </c>
      <c r="O326" s="46" t="s">
        <v>117</v>
      </c>
      <c r="P326" s="46">
        <f t="array" ref="P326">WEEKDAY(B326,2)</f>
        <v>3</v>
      </c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>
      <c r="A327" s="56">
        <v>3.13178002E8</v>
      </c>
      <c r="B327" s="126">
        <v>41566.0</v>
      </c>
      <c r="C327" s="126">
        <v>41614.0</v>
      </c>
      <c r="D327" s="56" t="s">
        <v>10</v>
      </c>
      <c r="E327" s="56" t="s">
        <v>125</v>
      </c>
      <c r="F327" s="56">
        <v>1270.0</v>
      </c>
      <c r="G327" s="56" t="s">
        <v>42</v>
      </c>
      <c r="H327" s="56">
        <v>5185.0</v>
      </c>
      <c r="I327" s="127">
        <v>47.45</v>
      </c>
      <c r="J327" s="127">
        <v>31.79</v>
      </c>
      <c r="K327" s="83">
        <f t="shared" si="1"/>
        <v>246028.25</v>
      </c>
      <c r="L327" s="83">
        <f t="shared" si="2"/>
        <v>164831.15</v>
      </c>
      <c r="M327" s="83">
        <f t="shared" si="3"/>
        <v>81197.1</v>
      </c>
      <c r="N327" s="46" t="str">
        <f>VLOOKUP(F327,products!$A$2:$B$13,2,FALSE)</f>
        <v>Beverages</v>
      </c>
      <c r="O327" s="46" t="s">
        <v>125</v>
      </c>
      <c r="P327" s="46">
        <f t="array" ref="P327">WEEKDAY(B327,2)</f>
        <v>6</v>
      </c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>
      <c r="A328" s="56">
        <v>3.13705861E8</v>
      </c>
      <c r="B328" s="126">
        <v>42519.0</v>
      </c>
      <c r="C328" s="126">
        <v>42561.0</v>
      </c>
      <c r="D328" s="56" t="s">
        <v>93</v>
      </c>
      <c r="E328" s="56" t="s">
        <v>94</v>
      </c>
      <c r="F328" s="56">
        <v>4594.0</v>
      </c>
      <c r="G328" s="56" t="s">
        <v>42</v>
      </c>
      <c r="H328" s="56">
        <v>1390.0</v>
      </c>
      <c r="I328" s="127">
        <v>9.33</v>
      </c>
      <c r="J328" s="127">
        <v>6.92</v>
      </c>
      <c r="K328" s="83">
        <f t="shared" si="1"/>
        <v>12968.7</v>
      </c>
      <c r="L328" s="83">
        <f t="shared" si="2"/>
        <v>9618.8</v>
      </c>
      <c r="M328" s="83">
        <f t="shared" si="3"/>
        <v>3349.9</v>
      </c>
      <c r="N328" s="46" t="str">
        <f>VLOOKUP(F328,products!$A$2:$B$13,2,FALSE)</f>
        <v>Fruits</v>
      </c>
      <c r="O328" s="46" t="s">
        <v>94</v>
      </c>
      <c r="P328" s="46">
        <f t="array" ref="P328">WEEKDAY(B328,2)</f>
        <v>7</v>
      </c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>
      <c r="A329" s="56">
        <v>3.13821303E8</v>
      </c>
      <c r="B329" s="126">
        <v>40517.0</v>
      </c>
      <c r="C329" s="126">
        <v>40560.0</v>
      </c>
      <c r="D329" s="56" t="s">
        <v>95</v>
      </c>
      <c r="E329" s="56" t="s">
        <v>123</v>
      </c>
      <c r="F329" s="56">
        <v>8681.0</v>
      </c>
      <c r="G329" s="56" t="s">
        <v>43</v>
      </c>
      <c r="H329" s="56">
        <v>5552.0</v>
      </c>
      <c r="I329" s="127">
        <v>651.21</v>
      </c>
      <c r="J329" s="127">
        <v>524.96</v>
      </c>
      <c r="K329" s="83">
        <f t="shared" si="1"/>
        <v>3615517.92</v>
      </c>
      <c r="L329" s="83">
        <f t="shared" si="2"/>
        <v>2914577.92</v>
      </c>
      <c r="M329" s="83">
        <f t="shared" si="3"/>
        <v>700940</v>
      </c>
      <c r="N329" s="46" t="str">
        <f>VLOOKUP(F329,products!$A$2:$B$13,2,FALSE)</f>
        <v>Office Supplies</v>
      </c>
      <c r="O329" s="46" t="s">
        <v>123</v>
      </c>
      <c r="P329" s="46">
        <f t="array" ref="P329">WEEKDAY(B329,2)</f>
        <v>7</v>
      </c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>
      <c r="A330" s="56">
        <v>3.14782178E8</v>
      </c>
      <c r="B330" s="126">
        <v>41075.0</v>
      </c>
      <c r="C330" s="126">
        <v>41102.0</v>
      </c>
      <c r="D330" s="56" t="s">
        <v>93</v>
      </c>
      <c r="E330" s="56" t="s">
        <v>126</v>
      </c>
      <c r="F330" s="56">
        <v>7331.0</v>
      </c>
      <c r="G330" s="56" t="s">
        <v>42</v>
      </c>
      <c r="H330" s="56">
        <v>9896.0</v>
      </c>
      <c r="I330" s="127">
        <v>255.28</v>
      </c>
      <c r="J330" s="127">
        <v>159.42</v>
      </c>
      <c r="K330" s="83">
        <f t="shared" si="1"/>
        <v>2526250.88</v>
      </c>
      <c r="L330" s="83">
        <f t="shared" si="2"/>
        <v>1577620.32</v>
      </c>
      <c r="M330" s="83">
        <f t="shared" si="3"/>
        <v>948630.56</v>
      </c>
      <c r="N330" s="46" t="str">
        <f>VLOOKUP(F330,products!$A$2:$B$13,2,FALSE)</f>
        <v>Baby Food</v>
      </c>
      <c r="O330" s="46" t="s">
        <v>126</v>
      </c>
      <c r="P330" s="46">
        <f t="array" ref="P330">WEEKDAY(B330,2)</f>
        <v>5</v>
      </c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>
      <c r="A331" s="56">
        <v>3.15066277E8</v>
      </c>
      <c r="B331" s="126">
        <v>41557.0</v>
      </c>
      <c r="C331" s="126">
        <v>41606.0</v>
      </c>
      <c r="D331" s="56" t="s">
        <v>93</v>
      </c>
      <c r="E331" s="56" t="s">
        <v>96</v>
      </c>
      <c r="F331" s="56">
        <v>8969.0</v>
      </c>
      <c r="G331" s="56" t="s">
        <v>42</v>
      </c>
      <c r="H331" s="56">
        <v>3968.0</v>
      </c>
      <c r="I331" s="127">
        <v>152.58</v>
      </c>
      <c r="J331" s="127">
        <v>97.44</v>
      </c>
      <c r="K331" s="83">
        <f t="shared" si="1"/>
        <v>605437.44</v>
      </c>
      <c r="L331" s="83">
        <f t="shared" si="2"/>
        <v>386641.92</v>
      </c>
      <c r="M331" s="83">
        <f t="shared" si="3"/>
        <v>218795.52</v>
      </c>
      <c r="N331" s="46" t="str">
        <f>VLOOKUP(F331,products!$A$2:$B$13,2,FALSE)</f>
        <v>Snacks</v>
      </c>
      <c r="O331" s="46" t="s">
        <v>96</v>
      </c>
      <c r="P331" s="46">
        <f t="array" ref="P331">WEEKDAY(B331,2)</f>
        <v>4</v>
      </c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>
      <c r="A332" s="56">
        <v>3.16466176E8</v>
      </c>
      <c r="B332" s="126">
        <v>41781.0</v>
      </c>
      <c r="C332" s="126">
        <v>41792.0</v>
      </c>
      <c r="D332" s="56" t="s">
        <v>95</v>
      </c>
      <c r="E332" s="56" t="s">
        <v>117</v>
      </c>
      <c r="F332" s="56">
        <v>7331.0</v>
      </c>
      <c r="G332" s="56" t="s">
        <v>42</v>
      </c>
      <c r="H332" s="56">
        <v>8229.0</v>
      </c>
      <c r="I332" s="127">
        <v>255.28</v>
      </c>
      <c r="J332" s="127">
        <v>159.42</v>
      </c>
      <c r="K332" s="83">
        <f t="shared" si="1"/>
        <v>2100699.12</v>
      </c>
      <c r="L332" s="83">
        <f t="shared" si="2"/>
        <v>1311867.18</v>
      </c>
      <c r="M332" s="83">
        <f t="shared" si="3"/>
        <v>788831.94</v>
      </c>
      <c r="N332" s="46" t="str">
        <f>VLOOKUP(F332,products!$A$2:$B$13,2,FALSE)</f>
        <v>Baby Food</v>
      </c>
      <c r="O332" s="46" t="s">
        <v>117</v>
      </c>
      <c r="P332" s="46">
        <f t="array" ref="P332">WEEKDAY(B332,2)</f>
        <v>4</v>
      </c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>
      <c r="A333" s="56">
        <v>3.17006051E8</v>
      </c>
      <c r="B333" s="126">
        <v>42855.0</v>
      </c>
      <c r="C333" s="126">
        <v>42891.0</v>
      </c>
      <c r="D333" s="56" t="s">
        <v>95</v>
      </c>
      <c r="E333" s="56" t="s">
        <v>138</v>
      </c>
      <c r="F333" s="56">
        <v>1270.0</v>
      </c>
      <c r="G333" s="56" t="s">
        <v>42</v>
      </c>
      <c r="H333" s="56">
        <v>7990.0</v>
      </c>
      <c r="I333" s="127">
        <v>47.45</v>
      </c>
      <c r="J333" s="127">
        <v>31.79</v>
      </c>
      <c r="K333" s="83">
        <f t="shared" si="1"/>
        <v>379125.5</v>
      </c>
      <c r="L333" s="83">
        <f t="shared" si="2"/>
        <v>254002.1</v>
      </c>
      <c r="M333" s="83">
        <f t="shared" si="3"/>
        <v>125123.4</v>
      </c>
      <c r="N333" s="46" t="str">
        <f>VLOOKUP(F333,products!$A$2:$B$13,2,FALSE)</f>
        <v>Beverages</v>
      </c>
      <c r="O333" s="46" t="s">
        <v>138</v>
      </c>
      <c r="P333" s="46">
        <f t="array" ref="P333">WEEKDAY(B333,2)</f>
        <v>7</v>
      </c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>
      <c r="A334" s="56">
        <v>3.18523538E8</v>
      </c>
      <c r="B334" s="126">
        <v>42284.0</v>
      </c>
      <c r="C334" s="126">
        <v>42313.0</v>
      </c>
      <c r="D334" s="56" t="s">
        <v>89</v>
      </c>
      <c r="E334" s="56" t="s">
        <v>117</v>
      </c>
      <c r="F334" s="56">
        <v>2103.0</v>
      </c>
      <c r="G334" s="56" t="s">
        <v>43</v>
      </c>
      <c r="H334" s="56">
        <v>7048.0</v>
      </c>
      <c r="I334" s="127">
        <v>205.7</v>
      </c>
      <c r="J334" s="127">
        <v>117.11</v>
      </c>
      <c r="K334" s="83">
        <f t="shared" si="1"/>
        <v>1449773.6</v>
      </c>
      <c r="L334" s="83">
        <f t="shared" si="2"/>
        <v>825391.28</v>
      </c>
      <c r="M334" s="83">
        <f t="shared" si="3"/>
        <v>624382.32</v>
      </c>
      <c r="N334" s="46" t="str">
        <f>VLOOKUP(F334,products!$A$2:$B$13,2,FALSE)</f>
        <v>Cereal</v>
      </c>
      <c r="O334" s="46" t="s">
        <v>117</v>
      </c>
      <c r="P334" s="46">
        <f t="array" ref="P334">WEEKDAY(B334,2)</f>
        <v>3</v>
      </c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>
      <c r="A335" s="56">
        <v>3.20431125E8</v>
      </c>
      <c r="B335" s="126">
        <v>42074.0</v>
      </c>
      <c r="C335" s="126">
        <v>42111.0</v>
      </c>
      <c r="D335" s="56" t="s">
        <v>95</v>
      </c>
      <c r="E335" s="56" t="s">
        <v>128</v>
      </c>
      <c r="F335" s="56">
        <v>1270.0</v>
      </c>
      <c r="G335" s="56" t="s">
        <v>43</v>
      </c>
      <c r="H335" s="56">
        <v>1545.0</v>
      </c>
      <c r="I335" s="127">
        <v>47.45</v>
      </c>
      <c r="J335" s="127">
        <v>31.79</v>
      </c>
      <c r="K335" s="83">
        <f t="shared" si="1"/>
        <v>73310.25</v>
      </c>
      <c r="L335" s="83">
        <f t="shared" si="2"/>
        <v>49115.55</v>
      </c>
      <c r="M335" s="83">
        <f t="shared" si="3"/>
        <v>24194.7</v>
      </c>
      <c r="N335" s="46" t="str">
        <f>VLOOKUP(F335,products!$A$2:$B$13,2,FALSE)</f>
        <v>Beverages</v>
      </c>
      <c r="O335" s="46" t="s">
        <v>128</v>
      </c>
      <c r="P335" s="46">
        <f t="array" ref="P335">WEEKDAY(B335,2)</f>
        <v>3</v>
      </c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>
      <c r="A336" s="56">
        <v>3.21628463E8</v>
      </c>
      <c r="B336" s="126">
        <v>40660.0</v>
      </c>
      <c r="C336" s="126">
        <v>40677.0</v>
      </c>
      <c r="D336" s="56" t="s">
        <v>93</v>
      </c>
      <c r="E336" s="56" t="s">
        <v>106</v>
      </c>
      <c r="F336" s="56">
        <v>7940.0</v>
      </c>
      <c r="G336" s="56" t="s">
        <v>43</v>
      </c>
      <c r="H336" s="56">
        <v>5864.0</v>
      </c>
      <c r="I336" s="127">
        <v>668.27</v>
      </c>
      <c r="J336" s="127">
        <v>502.54</v>
      </c>
      <c r="K336" s="83">
        <f t="shared" si="1"/>
        <v>3918735.28</v>
      </c>
      <c r="L336" s="83">
        <f t="shared" si="2"/>
        <v>2946894.56</v>
      </c>
      <c r="M336" s="83">
        <f t="shared" si="3"/>
        <v>971840.72</v>
      </c>
      <c r="N336" s="46" t="str">
        <f>VLOOKUP(F336,products!$A$2:$B$13,2,FALSE)</f>
        <v>Household</v>
      </c>
      <c r="O336" s="46" t="s">
        <v>106</v>
      </c>
      <c r="P336" s="46">
        <f t="array" ref="P336">WEEKDAY(B336,2)</f>
        <v>3</v>
      </c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>
      <c r="A337" s="56">
        <v>3.22524106E8</v>
      </c>
      <c r="B337" s="126">
        <v>42144.0</v>
      </c>
      <c r="C337" s="126">
        <v>42144.0</v>
      </c>
      <c r="D337" s="56" t="s">
        <v>10</v>
      </c>
      <c r="E337" s="56" t="s">
        <v>114</v>
      </c>
      <c r="F337" s="56">
        <v>2103.0</v>
      </c>
      <c r="G337" s="56" t="s">
        <v>42</v>
      </c>
      <c r="H337" s="56">
        <v>905.0</v>
      </c>
      <c r="I337" s="127">
        <v>205.7</v>
      </c>
      <c r="J337" s="127">
        <v>117.11</v>
      </c>
      <c r="K337" s="83">
        <f t="shared" si="1"/>
        <v>186158.5</v>
      </c>
      <c r="L337" s="83">
        <f t="shared" si="2"/>
        <v>105984.55</v>
      </c>
      <c r="M337" s="83">
        <f t="shared" si="3"/>
        <v>80173.95</v>
      </c>
      <c r="N337" s="46" t="str">
        <f>VLOOKUP(F337,products!$A$2:$B$13,2,FALSE)</f>
        <v>Cereal</v>
      </c>
      <c r="O337" s="46" t="s">
        <v>114</v>
      </c>
      <c r="P337" s="46">
        <f t="array" ref="P337">WEEKDAY(B337,2)</f>
        <v>3</v>
      </c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>
      <c r="A338" s="56">
        <v>3.23293578E8</v>
      </c>
      <c r="B338" s="126">
        <v>42362.0</v>
      </c>
      <c r="C338" s="126">
        <v>42402.0</v>
      </c>
      <c r="D338" s="56" t="s">
        <v>95</v>
      </c>
      <c r="E338" s="56" t="s">
        <v>118</v>
      </c>
      <c r="F338" s="56">
        <v>2103.0</v>
      </c>
      <c r="G338" s="56" t="s">
        <v>43</v>
      </c>
      <c r="H338" s="56">
        <v>8609.0</v>
      </c>
      <c r="I338" s="127">
        <v>205.7</v>
      </c>
      <c r="J338" s="127">
        <v>117.11</v>
      </c>
      <c r="K338" s="83">
        <f t="shared" si="1"/>
        <v>1770871.3</v>
      </c>
      <c r="L338" s="83">
        <f t="shared" si="2"/>
        <v>1008199.99</v>
      </c>
      <c r="M338" s="83">
        <f t="shared" si="3"/>
        <v>762671.31</v>
      </c>
      <c r="N338" s="46" t="str">
        <f>VLOOKUP(F338,products!$A$2:$B$13,2,FALSE)</f>
        <v>Cereal</v>
      </c>
      <c r="O338" s="46" t="s">
        <v>118</v>
      </c>
      <c r="P338" s="46">
        <f t="array" ref="P338">WEEKDAY(B338,2)</f>
        <v>4</v>
      </c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>
      <c r="A339" s="56">
        <v>3.25314033E8</v>
      </c>
      <c r="B339" s="126">
        <v>40914.0</v>
      </c>
      <c r="C339" s="126">
        <v>40938.0</v>
      </c>
      <c r="D339" s="56" t="s">
        <v>95</v>
      </c>
      <c r="E339" s="56" t="s">
        <v>108</v>
      </c>
      <c r="F339" s="56">
        <v>2455.0</v>
      </c>
      <c r="G339" s="56" t="s">
        <v>43</v>
      </c>
      <c r="H339" s="56">
        <v>6506.0</v>
      </c>
      <c r="I339" s="127">
        <v>109.28</v>
      </c>
      <c r="J339" s="127">
        <v>35.84</v>
      </c>
      <c r="K339" s="83">
        <f t="shared" si="1"/>
        <v>710975.68</v>
      </c>
      <c r="L339" s="83">
        <f t="shared" si="2"/>
        <v>233175.04</v>
      </c>
      <c r="M339" s="83">
        <f t="shared" si="3"/>
        <v>477800.64</v>
      </c>
      <c r="N339" s="46" t="str">
        <f>VLOOKUP(F339,products!$A$2:$B$13,2,FALSE)</f>
        <v>Clothes</v>
      </c>
      <c r="O339" s="46" t="s">
        <v>108</v>
      </c>
      <c r="P339" s="46">
        <f t="array" ref="P339">WEEKDAY(B339,2)</f>
        <v>5</v>
      </c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>
      <c r="A340" s="56">
        <v>3.27072703E8</v>
      </c>
      <c r="B340" s="126">
        <v>41579.0</v>
      </c>
      <c r="C340" s="126">
        <v>41594.0</v>
      </c>
      <c r="D340" s="56" t="s">
        <v>10</v>
      </c>
      <c r="E340" s="56" t="s">
        <v>96</v>
      </c>
      <c r="F340" s="56">
        <v>8293.0</v>
      </c>
      <c r="G340" s="56" t="s">
        <v>43</v>
      </c>
      <c r="H340" s="56">
        <v>6936.0</v>
      </c>
      <c r="I340" s="127">
        <v>437.2</v>
      </c>
      <c r="J340" s="127">
        <v>263.33</v>
      </c>
      <c r="K340" s="83">
        <f t="shared" si="1"/>
        <v>3032419.2</v>
      </c>
      <c r="L340" s="83">
        <f t="shared" si="2"/>
        <v>1826456.88</v>
      </c>
      <c r="M340" s="83">
        <f t="shared" si="3"/>
        <v>1205962.32</v>
      </c>
      <c r="N340" s="46" t="str">
        <f>VLOOKUP(F340,products!$A$2:$B$13,2,FALSE)</f>
        <v>Cosmetics</v>
      </c>
      <c r="O340" s="46" t="s">
        <v>96</v>
      </c>
      <c r="P340" s="46">
        <f t="array" ref="P340">WEEKDAY(B340,2)</f>
        <v>5</v>
      </c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>
      <c r="A341" s="56">
        <v>3.27604424E8</v>
      </c>
      <c r="B341" s="126">
        <v>41385.0</v>
      </c>
      <c r="C341" s="126">
        <v>41407.0</v>
      </c>
      <c r="D341" s="56" t="s">
        <v>93</v>
      </c>
      <c r="E341" s="56" t="s">
        <v>123</v>
      </c>
      <c r="F341" s="56">
        <v>1270.0</v>
      </c>
      <c r="G341" s="56" t="s">
        <v>43</v>
      </c>
      <c r="H341" s="56">
        <v>4284.0</v>
      </c>
      <c r="I341" s="127">
        <v>47.45</v>
      </c>
      <c r="J341" s="127">
        <v>31.79</v>
      </c>
      <c r="K341" s="83">
        <f t="shared" si="1"/>
        <v>203275.8</v>
      </c>
      <c r="L341" s="83">
        <f t="shared" si="2"/>
        <v>136188.36</v>
      </c>
      <c r="M341" s="83">
        <f t="shared" si="3"/>
        <v>67087.44</v>
      </c>
      <c r="N341" s="46" t="str">
        <f>VLOOKUP(F341,products!$A$2:$B$13,2,FALSE)</f>
        <v>Beverages</v>
      </c>
      <c r="O341" s="46" t="s">
        <v>123</v>
      </c>
      <c r="P341" s="46">
        <f t="array" ref="P341">WEEKDAY(B341,2)</f>
        <v>7</v>
      </c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>
      <c r="A342" s="56">
        <v>3.28322827E8</v>
      </c>
      <c r="B342" s="126">
        <v>41090.0</v>
      </c>
      <c r="C342" s="126">
        <v>41109.0</v>
      </c>
      <c r="D342" s="56" t="s">
        <v>10</v>
      </c>
      <c r="E342" s="56" t="s">
        <v>128</v>
      </c>
      <c r="F342" s="56">
        <v>8293.0</v>
      </c>
      <c r="G342" s="56" t="s">
        <v>43</v>
      </c>
      <c r="H342" s="56">
        <v>6876.0</v>
      </c>
      <c r="I342" s="127">
        <v>437.2</v>
      </c>
      <c r="J342" s="127">
        <v>263.33</v>
      </c>
      <c r="K342" s="83">
        <f t="shared" si="1"/>
        <v>3006187.2</v>
      </c>
      <c r="L342" s="83">
        <f t="shared" si="2"/>
        <v>1810657.08</v>
      </c>
      <c r="M342" s="83">
        <f t="shared" si="3"/>
        <v>1195530.12</v>
      </c>
      <c r="N342" s="46" t="str">
        <f>VLOOKUP(F342,products!$A$2:$B$13,2,FALSE)</f>
        <v>Cosmetics</v>
      </c>
      <c r="O342" s="46" t="s">
        <v>128</v>
      </c>
      <c r="P342" s="46">
        <f t="array" ref="P342">WEEKDAY(B342,2)</f>
        <v>6</v>
      </c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>
      <c r="A343" s="56">
        <v>3.28721082E8</v>
      </c>
      <c r="B343" s="126">
        <v>42718.0</v>
      </c>
      <c r="C343" s="126">
        <v>42722.0</v>
      </c>
      <c r="D343" s="56" t="s">
        <v>93</v>
      </c>
      <c r="E343" s="56" t="e">
        <v>#N/A</v>
      </c>
      <c r="F343" s="56">
        <v>7331.0</v>
      </c>
      <c r="G343" s="56" t="s">
        <v>43</v>
      </c>
      <c r="H343" s="56">
        <v>4728.0</v>
      </c>
      <c r="I343" s="127">
        <v>255.28</v>
      </c>
      <c r="J343" s="127">
        <v>159.42</v>
      </c>
      <c r="K343" s="83">
        <f t="shared" si="1"/>
        <v>1206963.84</v>
      </c>
      <c r="L343" s="83">
        <f t="shared" si="2"/>
        <v>753737.76</v>
      </c>
      <c r="M343" s="83">
        <f t="shared" si="3"/>
        <v>453226.08</v>
      </c>
      <c r="N343" s="46" t="str">
        <f>VLOOKUP(F343,products!$A$2:$B$13,2,FALSE)</f>
        <v>Baby Food</v>
      </c>
      <c r="O343" s="46" t="s">
        <v>92</v>
      </c>
      <c r="P343" s="46">
        <f t="array" ref="P343">WEEKDAY(B343,2)</f>
        <v>3</v>
      </c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>
      <c r="A344" s="56">
        <v>3.29529607E8</v>
      </c>
      <c r="B344" s="126">
        <v>40561.0</v>
      </c>
      <c r="C344" s="126">
        <v>40566.0</v>
      </c>
      <c r="D344" s="56" t="s">
        <v>93</v>
      </c>
      <c r="E344" s="56" t="s">
        <v>113</v>
      </c>
      <c r="F344" s="56">
        <v>8293.0</v>
      </c>
      <c r="G344" s="56" t="s">
        <v>43</v>
      </c>
      <c r="H344" s="56">
        <v>3988.0</v>
      </c>
      <c r="I344" s="127">
        <v>437.2</v>
      </c>
      <c r="J344" s="127">
        <v>263.33</v>
      </c>
      <c r="K344" s="83">
        <f t="shared" si="1"/>
        <v>1743553.6</v>
      </c>
      <c r="L344" s="83">
        <f t="shared" si="2"/>
        <v>1050160.04</v>
      </c>
      <c r="M344" s="83">
        <f t="shared" si="3"/>
        <v>693393.56</v>
      </c>
      <c r="N344" s="46" t="str">
        <f>VLOOKUP(F344,products!$A$2:$B$13,2,FALSE)</f>
        <v>Cosmetics</v>
      </c>
      <c r="O344" s="46" t="s">
        <v>113</v>
      </c>
      <c r="P344" s="46">
        <f t="array" ref="P344">WEEKDAY(B344,2)</f>
        <v>2</v>
      </c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>
      <c r="A345" s="56">
        <v>3.30590474E8</v>
      </c>
      <c r="B345" s="126">
        <v>40938.0</v>
      </c>
      <c r="C345" s="126">
        <v>40982.0</v>
      </c>
      <c r="D345" s="56" t="s">
        <v>93</v>
      </c>
      <c r="E345" s="56" t="s">
        <v>90</v>
      </c>
      <c r="F345" s="56">
        <v>8681.0</v>
      </c>
      <c r="G345" s="56" t="s">
        <v>43</v>
      </c>
      <c r="H345" s="56">
        <v>7923.0</v>
      </c>
      <c r="I345" s="127">
        <v>651.21</v>
      </c>
      <c r="J345" s="127">
        <v>524.96</v>
      </c>
      <c r="K345" s="83">
        <f t="shared" si="1"/>
        <v>5159536.83</v>
      </c>
      <c r="L345" s="83">
        <f t="shared" si="2"/>
        <v>4159258.08</v>
      </c>
      <c r="M345" s="83">
        <f t="shared" si="3"/>
        <v>1000278.75</v>
      </c>
      <c r="N345" s="46" t="str">
        <f>VLOOKUP(F345,products!$A$2:$B$13,2,FALSE)</f>
        <v>Office Supplies</v>
      </c>
      <c r="O345" s="46" t="s">
        <v>90</v>
      </c>
      <c r="P345" s="46">
        <f t="array" ref="P345">WEEKDAY(B345,2)</f>
        <v>1</v>
      </c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>
      <c r="A346" s="56">
        <v>3.32268464E8</v>
      </c>
      <c r="B346" s="126">
        <v>41584.0</v>
      </c>
      <c r="C346" s="126">
        <v>41622.0</v>
      </c>
      <c r="D346" s="56" t="s">
        <v>10</v>
      </c>
      <c r="E346" s="56" t="s">
        <v>106</v>
      </c>
      <c r="F346" s="56">
        <v>2103.0</v>
      </c>
      <c r="G346" s="56" t="s">
        <v>43</v>
      </c>
      <c r="H346" s="56">
        <v>4477.0</v>
      </c>
      <c r="I346" s="127">
        <v>205.7</v>
      </c>
      <c r="J346" s="127">
        <v>117.11</v>
      </c>
      <c r="K346" s="83">
        <f t="shared" si="1"/>
        <v>920918.9</v>
      </c>
      <c r="L346" s="83">
        <f t="shared" si="2"/>
        <v>524301.47</v>
      </c>
      <c r="M346" s="83">
        <f t="shared" si="3"/>
        <v>396617.43</v>
      </c>
      <c r="N346" s="46" t="str">
        <f>VLOOKUP(F346,products!$A$2:$B$13,2,FALSE)</f>
        <v>Cereal</v>
      </c>
      <c r="O346" s="46" t="s">
        <v>106</v>
      </c>
      <c r="P346" s="46">
        <f t="array" ref="P346">WEEKDAY(B346,2)</f>
        <v>3</v>
      </c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>
      <c r="A347" s="56">
        <v>3.32353007E8</v>
      </c>
      <c r="B347" s="126">
        <v>40457.0</v>
      </c>
      <c r="C347" s="126">
        <v>40504.0</v>
      </c>
      <c r="D347" s="56" t="s">
        <v>95</v>
      </c>
      <c r="E347" s="56" t="s">
        <v>123</v>
      </c>
      <c r="F347" s="56">
        <v>8293.0</v>
      </c>
      <c r="G347" s="56" t="s">
        <v>43</v>
      </c>
      <c r="H347" s="56">
        <v>9495.0</v>
      </c>
      <c r="I347" s="127">
        <v>437.2</v>
      </c>
      <c r="J347" s="127">
        <v>263.33</v>
      </c>
      <c r="K347" s="83">
        <f t="shared" si="1"/>
        <v>4151214</v>
      </c>
      <c r="L347" s="83">
        <f t="shared" si="2"/>
        <v>2500318.35</v>
      </c>
      <c r="M347" s="83">
        <f t="shared" si="3"/>
        <v>1650895.65</v>
      </c>
      <c r="N347" s="46" t="str">
        <f>VLOOKUP(F347,products!$A$2:$B$13,2,FALSE)</f>
        <v>Cosmetics</v>
      </c>
      <c r="O347" s="46" t="s">
        <v>123</v>
      </c>
      <c r="P347" s="46">
        <f t="array" ref="P347">WEEKDAY(B347,2)</f>
        <v>3</v>
      </c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>
      <c r="A348" s="56">
        <v>3.3330444E8</v>
      </c>
      <c r="B348" s="126">
        <v>42897.0</v>
      </c>
      <c r="C348" s="126">
        <v>42921.0</v>
      </c>
      <c r="D348" s="56" t="s">
        <v>93</v>
      </c>
      <c r="E348" s="56" t="s">
        <v>108</v>
      </c>
      <c r="F348" s="56">
        <v>8875.0</v>
      </c>
      <c r="G348" s="56" t="s">
        <v>43</v>
      </c>
      <c r="H348" s="56">
        <v>1046.0</v>
      </c>
      <c r="I348" s="127">
        <v>421.89</v>
      </c>
      <c r="J348" s="127">
        <v>364.69</v>
      </c>
      <c r="K348" s="83">
        <f t="shared" si="1"/>
        <v>441296.94</v>
      </c>
      <c r="L348" s="83">
        <f t="shared" si="2"/>
        <v>381465.74</v>
      </c>
      <c r="M348" s="83">
        <f t="shared" si="3"/>
        <v>59831.2</v>
      </c>
      <c r="N348" s="46" t="str">
        <f>VLOOKUP(F348,products!$A$2:$B$13,2,FALSE)</f>
        <v>Meat</v>
      </c>
      <c r="O348" s="46" t="s">
        <v>108</v>
      </c>
      <c r="P348" s="46">
        <f t="array" ref="P348">WEEKDAY(B348,2)</f>
        <v>7</v>
      </c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>
      <c r="A349" s="56">
        <v>3.34539973E8</v>
      </c>
      <c r="B349" s="126">
        <v>40286.0</v>
      </c>
      <c r="C349" s="126">
        <v>40309.0</v>
      </c>
      <c r="D349" s="56" t="s">
        <v>89</v>
      </c>
      <c r="E349" s="56" t="s">
        <v>126</v>
      </c>
      <c r="F349" s="56">
        <v>2455.0</v>
      </c>
      <c r="G349" s="56" t="s">
        <v>43</v>
      </c>
      <c r="H349" s="56">
        <v>6667.0</v>
      </c>
      <c r="I349" s="127">
        <v>109.28</v>
      </c>
      <c r="J349" s="127">
        <v>35.84</v>
      </c>
      <c r="K349" s="83">
        <f t="shared" si="1"/>
        <v>728569.76</v>
      </c>
      <c r="L349" s="83">
        <f t="shared" si="2"/>
        <v>238945.28</v>
      </c>
      <c r="M349" s="83">
        <f t="shared" si="3"/>
        <v>489624.48</v>
      </c>
      <c r="N349" s="46" t="str">
        <f>VLOOKUP(F349,products!$A$2:$B$13,2,FALSE)</f>
        <v>Clothes</v>
      </c>
      <c r="O349" s="46" t="s">
        <v>126</v>
      </c>
      <c r="P349" s="46">
        <f t="array" ref="P349">WEEKDAY(B349,2)</f>
        <v>7</v>
      </c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>
      <c r="A350" s="56">
        <v>3.36111962E8</v>
      </c>
      <c r="B350" s="126">
        <v>41053.0</v>
      </c>
      <c r="C350" s="126">
        <v>41076.0</v>
      </c>
      <c r="D350" s="56" t="s">
        <v>89</v>
      </c>
      <c r="E350" s="56" t="e">
        <v>#N/A</v>
      </c>
      <c r="F350" s="56">
        <v>3127.0</v>
      </c>
      <c r="G350" s="56" t="s">
        <v>42</v>
      </c>
      <c r="H350" s="56">
        <v>1854.0</v>
      </c>
      <c r="I350" s="127">
        <v>81.73</v>
      </c>
      <c r="J350" s="127">
        <v>56.67</v>
      </c>
      <c r="K350" s="83">
        <f t="shared" si="1"/>
        <v>151527.42</v>
      </c>
      <c r="L350" s="83">
        <f t="shared" si="2"/>
        <v>105066.18</v>
      </c>
      <c r="M350" s="83">
        <f t="shared" si="3"/>
        <v>46461.24</v>
      </c>
      <c r="N350" s="46" t="str">
        <f>VLOOKUP(F350,products!$A$2:$B$13,2,FALSE)</f>
        <v>Personal Care</v>
      </c>
      <c r="O350" s="46" t="s">
        <v>92</v>
      </c>
      <c r="P350" s="46">
        <f t="array" ref="P350">WEEKDAY(B350,2)</f>
        <v>4</v>
      </c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>
      <c r="A351" s="56">
        <v>3.36813628E8</v>
      </c>
      <c r="B351" s="126">
        <v>40194.0</v>
      </c>
      <c r="C351" s="126">
        <v>40232.0</v>
      </c>
      <c r="D351" s="56" t="s">
        <v>10</v>
      </c>
      <c r="E351" s="56" t="s">
        <v>132</v>
      </c>
      <c r="F351" s="56">
        <v>8293.0</v>
      </c>
      <c r="G351" s="56" t="s">
        <v>42</v>
      </c>
      <c r="H351" s="56">
        <v>9492.0</v>
      </c>
      <c r="I351" s="127">
        <v>437.2</v>
      </c>
      <c r="J351" s="127">
        <v>263.33</v>
      </c>
      <c r="K351" s="83">
        <f t="shared" si="1"/>
        <v>4149902.4</v>
      </c>
      <c r="L351" s="83">
        <f t="shared" si="2"/>
        <v>2499528.36</v>
      </c>
      <c r="M351" s="83">
        <f t="shared" si="3"/>
        <v>1650374.04</v>
      </c>
      <c r="N351" s="46" t="str">
        <f>VLOOKUP(F351,products!$A$2:$B$13,2,FALSE)</f>
        <v>Cosmetics</v>
      </c>
      <c r="O351" s="46" t="s">
        <v>132</v>
      </c>
      <c r="P351" s="46">
        <f t="array" ref="P351">WEEKDAY(B351,2)</f>
        <v>6</v>
      </c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>
      <c r="A352" s="56">
        <v>3.37354791E8</v>
      </c>
      <c r="B352" s="126">
        <v>40886.0</v>
      </c>
      <c r="C352" s="126">
        <v>40936.0</v>
      </c>
      <c r="D352" s="56" t="s">
        <v>93</v>
      </c>
      <c r="E352" s="56" t="s">
        <v>90</v>
      </c>
      <c r="F352" s="56">
        <v>8293.0</v>
      </c>
      <c r="G352" s="56" t="s">
        <v>42</v>
      </c>
      <c r="H352" s="56">
        <v>9634.0</v>
      </c>
      <c r="I352" s="127">
        <v>437.2</v>
      </c>
      <c r="J352" s="127">
        <v>263.33</v>
      </c>
      <c r="K352" s="83">
        <f t="shared" si="1"/>
        <v>4211984.8</v>
      </c>
      <c r="L352" s="83">
        <f t="shared" si="2"/>
        <v>2536921.22</v>
      </c>
      <c r="M352" s="83">
        <f t="shared" si="3"/>
        <v>1675063.58</v>
      </c>
      <c r="N352" s="46" t="str">
        <f>VLOOKUP(F352,products!$A$2:$B$13,2,FALSE)</f>
        <v>Cosmetics</v>
      </c>
      <c r="O352" s="46" t="s">
        <v>90</v>
      </c>
      <c r="P352" s="46">
        <f t="array" ref="P352">WEEKDAY(B352,2)</f>
        <v>5</v>
      </c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>
      <c r="A353" s="56">
        <v>3.39786803E8</v>
      </c>
      <c r="B353" s="126">
        <v>40803.0</v>
      </c>
      <c r="C353" s="126">
        <v>40841.0</v>
      </c>
      <c r="D353" s="56" t="s">
        <v>95</v>
      </c>
      <c r="E353" s="56" t="s">
        <v>107</v>
      </c>
      <c r="F353" s="56">
        <v>8681.0</v>
      </c>
      <c r="G353" s="56" t="s">
        <v>42</v>
      </c>
      <c r="H353" s="56">
        <v>9321.0</v>
      </c>
      <c r="I353" s="127">
        <v>651.21</v>
      </c>
      <c r="J353" s="127">
        <v>524.96</v>
      </c>
      <c r="K353" s="83">
        <f t="shared" si="1"/>
        <v>6069928.41</v>
      </c>
      <c r="L353" s="83">
        <f t="shared" si="2"/>
        <v>4893152.16</v>
      </c>
      <c r="M353" s="83">
        <f t="shared" si="3"/>
        <v>1176776.25</v>
      </c>
      <c r="N353" s="46" t="str">
        <f>VLOOKUP(F353,products!$A$2:$B$13,2,FALSE)</f>
        <v>Office Supplies</v>
      </c>
      <c r="O353" s="46" t="s">
        <v>107</v>
      </c>
      <c r="P353" s="46">
        <f t="array" ref="P353">WEEKDAY(B353,2)</f>
        <v>6</v>
      </c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>
      <c r="A354" s="56">
        <v>3.39999663E8</v>
      </c>
      <c r="B354" s="126">
        <v>42150.0</v>
      </c>
      <c r="C354" s="126">
        <v>42168.0</v>
      </c>
      <c r="D354" s="56" t="s">
        <v>93</v>
      </c>
      <c r="E354" s="56" t="s">
        <v>112</v>
      </c>
      <c r="F354" s="56">
        <v>8969.0</v>
      </c>
      <c r="G354" s="56" t="s">
        <v>43</v>
      </c>
      <c r="H354" s="56">
        <v>2311.0</v>
      </c>
      <c r="I354" s="127">
        <v>152.58</v>
      </c>
      <c r="J354" s="127">
        <v>97.44</v>
      </c>
      <c r="K354" s="83">
        <f t="shared" si="1"/>
        <v>352612.38</v>
      </c>
      <c r="L354" s="83">
        <f t="shared" si="2"/>
        <v>225183.84</v>
      </c>
      <c r="M354" s="83">
        <f t="shared" si="3"/>
        <v>127428.54</v>
      </c>
      <c r="N354" s="46" t="str">
        <f>VLOOKUP(F354,products!$A$2:$B$13,2,FALSE)</f>
        <v>Snacks</v>
      </c>
      <c r="O354" s="46" t="s">
        <v>112</v>
      </c>
      <c r="P354" s="46">
        <f t="array" ref="P354">WEEKDAY(B354,2)</f>
        <v>2</v>
      </c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>
      <c r="A355" s="56">
        <v>3.40213811E8</v>
      </c>
      <c r="B355" s="126">
        <v>40349.0</v>
      </c>
      <c r="C355" s="126">
        <v>40385.0</v>
      </c>
      <c r="D355" s="56" t="s">
        <v>10</v>
      </c>
      <c r="E355" s="56" t="s">
        <v>97</v>
      </c>
      <c r="F355" s="56">
        <v>8681.0</v>
      </c>
      <c r="G355" s="56" t="s">
        <v>43</v>
      </c>
      <c r="H355" s="56">
        <v>5682.0</v>
      </c>
      <c r="I355" s="127">
        <v>651.21</v>
      </c>
      <c r="J355" s="127">
        <v>524.96</v>
      </c>
      <c r="K355" s="83">
        <f t="shared" si="1"/>
        <v>3700175.22</v>
      </c>
      <c r="L355" s="83">
        <f t="shared" si="2"/>
        <v>2982822.72</v>
      </c>
      <c r="M355" s="83">
        <f t="shared" si="3"/>
        <v>717352.5</v>
      </c>
      <c r="N355" s="46" t="str">
        <f>VLOOKUP(F355,products!$A$2:$B$13,2,FALSE)</f>
        <v>Office Supplies</v>
      </c>
      <c r="O355" s="46" t="s">
        <v>97</v>
      </c>
      <c r="P355" s="46">
        <f t="array" ref="P355">WEEKDAY(B355,2)</f>
        <v>7</v>
      </c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>
      <c r="A356" s="56">
        <v>3.41398274E8</v>
      </c>
      <c r="B356" s="126">
        <v>42757.0</v>
      </c>
      <c r="C356" s="126">
        <v>42801.0</v>
      </c>
      <c r="D356" s="56" t="s">
        <v>93</v>
      </c>
      <c r="E356" s="56" t="s">
        <v>102</v>
      </c>
      <c r="F356" s="56">
        <v>8969.0</v>
      </c>
      <c r="G356" s="56" t="s">
        <v>42</v>
      </c>
      <c r="H356" s="56">
        <v>6191.0</v>
      </c>
      <c r="I356" s="127">
        <v>152.58</v>
      </c>
      <c r="J356" s="127">
        <v>97.44</v>
      </c>
      <c r="K356" s="83">
        <f t="shared" si="1"/>
        <v>944622.78</v>
      </c>
      <c r="L356" s="83">
        <f t="shared" si="2"/>
        <v>603251.04</v>
      </c>
      <c r="M356" s="83">
        <f t="shared" si="3"/>
        <v>341371.74</v>
      </c>
      <c r="N356" s="46" t="str">
        <f>VLOOKUP(F356,products!$A$2:$B$13,2,FALSE)</f>
        <v>Snacks</v>
      </c>
      <c r="O356" s="46" t="s">
        <v>102</v>
      </c>
      <c r="P356" s="46">
        <f t="array" ref="P356">WEEKDAY(B356,2)</f>
        <v>7</v>
      </c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>
      <c r="A357" s="56">
        <v>3.43185698E8</v>
      </c>
      <c r="B357" s="126">
        <v>41340.0</v>
      </c>
      <c r="C357" s="126">
        <v>41389.0</v>
      </c>
      <c r="D357" s="56" t="s">
        <v>95</v>
      </c>
      <c r="E357" s="56" t="s">
        <v>117</v>
      </c>
      <c r="F357" s="56">
        <v>8681.0</v>
      </c>
      <c r="G357" s="56" t="s">
        <v>42</v>
      </c>
      <c r="H357" s="56">
        <v>5129.0</v>
      </c>
      <c r="I357" s="127">
        <v>651.21</v>
      </c>
      <c r="J357" s="127">
        <v>524.96</v>
      </c>
      <c r="K357" s="83">
        <f t="shared" si="1"/>
        <v>3340056.09</v>
      </c>
      <c r="L357" s="83">
        <f t="shared" si="2"/>
        <v>2692519.84</v>
      </c>
      <c r="M357" s="83">
        <f t="shared" si="3"/>
        <v>647536.25</v>
      </c>
      <c r="N357" s="46" t="str">
        <f>VLOOKUP(F357,products!$A$2:$B$13,2,FALSE)</f>
        <v>Office Supplies</v>
      </c>
      <c r="O357" s="46" t="s">
        <v>117</v>
      </c>
      <c r="P357" s="46">
        <f t="array" ref="P357">WEEKDAY(B357,2)</f>
        <v>4</v>
      </c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>
      <c r="A358" s="56">
        <v>3.43730294E8</v>
      </c>
      <c r="B358" s="126">
        <v>42856.0</v>
      </c>
      <c r="C358" s="126">
        <v>42883.0</v>
      </c>
      <c r="D358" s="56" t="s">
        <v>93</v>
      </c>
      <c r="E358" s="56" t="s">
        <v>124</v>
      </c>
      <c r="F358" s="56">
        <v>8681.0</v>
      </c>
      <c r="G358" s="56" t="s">
        <v>43</v>
      </c>
      <c r="H358" s="56">
        <v>6287.0</v>
      </c>
      <c r="I358" s="127">
        <v>651.21</v>
      </c>
      <c r="J358" s="127">
        <v>524.96</v>
      </c>
      <c r="K358" s="83">
        <f t="shared" si="1"/>
        <v>4094157.27</v>
      </c>
      <c r="L358" s="83">
        <f t="shared" si="2"/>
        <v>3300423.52</v>
      </c>
      <c r="M358" s="83">
        <f t="shared" si="3"/>
        <v>793733.75</v>
      </c>
      <c r="N358" s="46" t="str">
        <f>VLOOKUP(F358,products!$A$2:$B$13,2,FALSE)</f>
        <v>Office Supplies</v>
      </c>
      <c r="O358" s="46" t="s">
        <v>124</v>
      </c>
      <c r="P358" s="46">
        <f t="array" ref="P358">WEEKDAY(B358,2)</f>
        <v>1</v>
      </c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>
      <c r="A359" s="56">
        <v>3.4388951E8</v>
      </c>
      <c r="B359" s="126">
        <v>41689.0</v>
      </c>
      <c r="C359" s="126">
        <v>41731.0</v>
      </c>
      <c r="D359" s="56" t="s">
        <v>89</v>
      </c>
      <c r="E359" s="56" t="s">
        <v>113</v>
      </c>
      <c r="F359" s="56">
        <v>1270.0</v>
      </c>
      <c r="G359" s="56" t="s">
        <v>43</v>
      </c>
      <c r="H359" s="56">
        <v>3403.0</v>
      </c>
      <c r="I359" s="127">
        <v>47.45</v>
      </c>
      <c r="J359" s="127">
        <v>31.79</v>
      </c>
      <c r="K359" s="83">
        <f t="shared" si="1"/>
        <v>161472.35</v>
      </c>
      <c r="L359" s="83">
        <f t="shared" si="2"/>
        <v>108181.37</v>
      </c>
      <c r="M359" s="83">
        <f t="shared" si="3"/>
        <v>53290.98</v>
      </c>
      <c r="N359" s="46" t="str">
        <f>VLOOKUP(F359,products!$A$2:$B$13,2,FALSE)</f>
        <v>Beverages</v>
      </c>
      <c r="O359" s="46" t="s">
        <v>113</v>
      </c>
      <c r="P359" s="46">
        <f t="array" ref="P359">WEEKDAY(B359,2)</f>
        <v>3</v>
      </c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>
      <c r="A360" s="56">
        <v>3.44160735E8</v>
      </c>
      <c r="B360" s="126">
        <v>40460.0</v>
      </c>
      <c r="C360" s="126">
        <v>40502.0</v>
      </c>
      <c r="D360" s="56" t="s">
        <v>89</v>
      </c>
      <c r="E360" s="56" t="s">
        <v>121</v>
      </c>
      <c r="F360" s="56">
        <v>8875.0</v>
      </c>
      <c r="G360" s="56" t="s">
        <v>43</v>
      </c>
      <c r="H360" s="56">
        <v>3664.0</v>
      </c>
      <c r="I360" s="127">
        <v>421.89</v>
      </c>
      <c r="J360" s="127">
        <v>364.69</v>
      </c>
      <c r="K360" s="83">
        <f t="shared" si="1"/>
        <v>1545804.96</v>
      </c>
      <c r="L360" s="83">
        <f t="shared" si="2"/>
        <v>1336224.16</v>
      </c>
      <c r="M360" s="83">
        <f t="shared" si="3"/>
        <v>209580.8</v>
      </c>
      <c r="N360" s="46" t="str">
        <f>VLOOKUP(F360,products!$A$2:$B$13,2,FALSE)</f>
        <v>Meat</v>
      </c>
      <c r="O360" s="46" t="s">
        <v>121</v>
      </c>
      <c r="P360" s="46">
        <f t="array" ref="P360">WEEKDAY(B360,2)</f>
        <v>6</v>
      </c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>
      <c r="A361" s="56">
        <v>3.46498763E8</v>
      </c>
      <c r="B361" s="126">
        <v>40620.0</v>
      </c>
      <c r="C361" s="126">
        <v>40635.0</v>
      </c>
      <c r="D361" s="56" t="s">
        <v>93</v>
      </c>
      <c r="E361" s="56" t="s">
        <v>136</v>
      </c>
      <c r="F361" s="56">
        <v>5988.0</v>
      </c>
      <c r="G361" s="56" t="s">
        <v>43</v>
      </c>
      <c r="H361" s="56">
        <v>5539.0</v>
      </c>
      <c r="I361" s="127">
        <v>154.06</v>
      </c>
      <c r="J361" s="127">
        <v>90.93</v>
      </c>
      <c r="K361" s="83">
        <f t="shared" si="1"/>
        <v>853338.34</v>
      </c>
      <c r="L361" s="83">
        <f t="shared" si="2"/>
        <v>503661.27</v>
      </c>
      <c r="M361" s="83">
        <f t="shared" si="3"/>
        <v>349677.07</v>
      </c>
      <c r="N361" s="46" t="str">
        <f>VLOOKUP(F361,products!$A$2:$B$13,2,FALSE)</f>
        <v>Vegetables</v>
      </c>
      <c r="O361" s="46" t="s">
        <v>136</v>
      </c>
      <c r="P361" s="46">
        <f t="array" ref="P361">WEEKDAY(B361,2)</f>
        <v>5</v>
      </c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>
      <c r="A362" s="56">
        <v>3.47609412E8</v>
      </c>
      <c r="B362" s="126">
        <v>41892.0</v>
      </c>
      <c r="C362" s="126">
        <v>41899.0</v>
      </c>
      <c r="D362" s="56" t="s">
        <v>10</v>
      </c>
      <c r="E362" s="56" t="s">
        <v>122</v>
      </c>
      <c r="F362" s="56">
        <v>8293.0</v>
      </c>
      <c r="G362" s="56" t="s">
        <v>42</v>
      </c>
      <c r="H362" s="56">
        <v>4205.0</v>
      </c>
      <c r="I362" s="127">
        <v>437.2</v>
      </c>
      <c r="J362" s="127">
        <v>263.33</v>
      </c>
      <c r="K362" s="83">
        <f t="shared" si="1"/>
        <v>1838426</v>
      </c>
      <c r="L362" s="83">
        <f t="shared" si="2"/>
        <v>1107302.65</v>
      </c>
      <c r="M362" s="83">
        <f t="shared" si="3"/>
        <v>731123.35</v>
      </c>
      <c r="N362" s="46" t="str">
        <f>VLOOKUP(F362,products!$A$2:$B$13,2,FALSE)</f>
        <v>Cosmetics</v>
      </c>
      <c r="O362" s="46" t="s">
        <v>122</v>
      </c>
      <c r="P362" s="46">
        <f t="array" ref="P362">WEEKDAY(B362,2)</f>
        <v>3</v>
      </c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>
      <c r="A363" s="56">
        <v>3.48080623E8</v>
      </c>
      <c r="B363" s="126">
        <v>40301.0</v>
      </c>
      <c r="C363" s="126">
        <v>40317.0</v>
      </c>
      <c r="D363" s="56" t="s">
        <v>89</v>
      </c>
      <c r="E363" s="56" t="s">
        <v>128</v>
      </c>
      <c r="F363" s="56">
        <v>8969.0</v>
      </c>
      <c r="G363" s="56" t="s">
        <v>43</v>
      </c>
      <c r="H363" s="56">
        <v>3646.0</v>
      </c>
      <c r="I363" s="127">
        <v>152.58</v>
      </c>
      <c r="J363" s="127">
        <v>97.44</v>
      </c>
      <c r="K363" s="83">
        <f t="shared" si="1"/>
        <v>556306.68</v>
      </c>
      <c r="L363" s="83">
        <f t="shared" si="2"/>
        <v>355266.24</v>
      </c>
      <c r="M363" s="83">
        <f t="shared" si="3"/>
        <v>201040.44</v>
      </c>
      <c r="N363" s="46" t="str">
        <f>VLOOKUP(F363,products!$A$2:$B$13,2,FALSE)</f>
        <v>Snacks</v>
      </c>
      <c r="O363" s="46" t="s">
        <v>128</v>
      </c>
      <c r="P363" s="46">
        <f t="array" ref="P363">WEEKDAY(B363,2)</f>
        <v>1</v>
      </c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>
      <c r="A364" s="56">
        <v>3.4906038E8</v>
      </c>
      <c r="B364" s="126">
        <v>42629.0</v>
      </c>
      <c r="C364" s="126">
        <v>42641.0</v>
      </c>
      <c r="D364" s="56" t="s">
        <v>95</v>
      </c>
      <c r="E364" s="56" t="s">
        <v>119</v>
      </c>
      <c r="F364" s="56">
        <v>7331.0</v>
      </c>
      <c r="G364" s="56" t="s">
        <v>43</v>
      </c>
      <c r="H364" s="56">
        <v>3578.0</v>
      </c>
      <c r="I364" s="127">
        <v>255.28</v>
      </c>
      <c r="J364" s="127">
        <v>159.42</v>
      </c>
      <c r="K364" s="83">
        <f t="shared" si="1"/>
        <v>913391.84</v>
      </c>
      <c r="L364" s="83">
        <f t="shared" si="2"/>
        <v>570404.76</v>
      </c>
      <c r="M364" s="83">
        <f t="shared" si="3"/>
        <v>342987.08</v>
      </c>
      <c r="N364" s="46" t="str">
        <f>VLOOKUP(F364,products!$A$2:$B$13,2,FALSE)</f>
        <v>Baby Food</v>
      </c>
      <c r="O364" s="46" t="s">
        <v>119</v>
      </c>
      <c r="P364" s="46">
        <f t="array" ref="P364">WEEKDAY(B364,2)</f>
        <v>5</v>
      </c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>
      <c r="A365" s="56">
        <v>3.49212729E8</v>
      </c>
      <c r="B365" s="126">
        <v>42578.0</v>
      </c>
      <c r="C365" s="126">
        <v>42624.0</v>
      </c>
      <c r="D365" s="56" t="s">
        <v>10</v>
      </c>
      <c r="E365" s="56" t="s">
        <v>125</v>
      </c>
      <c r="F365" s="56">
        <v>8875.0</v>
      </c>
      <c r="G365" s="56" t="s">
        <v>43</v>
      </c>
      <c r="H365" s="56">
        <v>8662.0</v>
      </c>
      <c r="I365" s="127">
        <v>421.89</v>
      </c>
      <c r="J365" s="127">
        <v>364.69</v>
      </c>
      <c r="K365" s="83">
        <f t="shared" si="1"/>
        <v>3654411.18</v>
      </c>
      <c r="L365" s="83">
        <f t="shared" si="2"/>
        <v>3158944.78</v>
      </c>
      <c r="M365" s="83">
        <f t="shared" si="3"/>
        <v>495466.4</v>
      </c>
      <c r="N365" s="46" t="str">
        <f>VLOOKUP(F365,products!$A$2:$B$13,2,FALSE)</f>
        <v>Meat</v>
      </c>
      <c r="O365" s="46" t="s">
        <v>125</v>
      </c>
      <c r="P365" s="46">
        <f t="array" ref="P365">WEEKDAY(B365,2)</f>
        <v>3</v>
      </c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>
      <c r="A366" s="56">
        <v>3.50550401E8</v>
      </c>
      <c r="B366" s="126">
        <v>40993.0</v>
      </c>
      <c r="C366" s="126">
        <v>41021.0</v>
      </c>
      <c r="D366" s="56" t="s">
        <v>95</v>
      </c>
      <c r="E366" s="56" t="s">
        <v>91</v>
      </c>
      <c r="F366" s="56">
        <v>8293.0</v>
      </c>
      <c r="G366" s="56" t="s">
        <v>43</v>
      </c>
      <c r="H366" s="56">
        <v>4508.0</v>
      </c>
      <c r="I366" s="127">
        <v>437.2</v>
      </c>
      <c r="J366" s="127">
        <v>263.33</v>
      </c>
      <c r="K366" s="83">
        <f t="shared" si="1"/>
        <v>1970897.6</v>
      </c>
      <c r="L366" s="83">
        <f t="shared" si="2"/>
        <v>1187091.64</v>
      </c>
      <c r="M366" s="83">
        <f t="shared" si="3"/>
        <v>783805.96</v>
      </c>
      <c r="N366" s="46" t="str">
        <f>VLOOKUP(F366,products!$A$2:$B$13,2,FALSE)</f>
        <v>Cosmetics</v>
      </c>
      <c r="O366" s="46" t="s">
        <v>91</v>
      </c>
      <c r="P366" s="46">
        <f t="array" ref="P366">WEEKDAY(B366,2)</f>
        <v>7</v>
      </c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>
      <c r="A367" s="56">
        <v>3.50977408E8</v>
      </c>
      <c r="B367" s="126">
        <v>40538.0</v>
      </c>
      <c r="C367" s="126">
        <v>40565.0</v>
      </c>
      <c r="D367" s="56" t="s">
        <v>10</v>
      </c>
      <c r="E367" s="56" t="s">
        <v>119</v>
      </c>
      <c r="F367" s="56">
        <v>8293.0</v>
      </c>
      <c r="G367" s="56" t="s">
        <v>43</v>
      </c>
      <c r="H367" s="56">
        <v>869.0</v>
      </c>
      <c r="I367" s="127">
        <v>437.2</v>
      </c>
      <c r="J367" s="127">
        <v>263.33</v>
      </c>
      <c r="K367" s="83">
        <f t="shared" si="1"/>
        <v>379926.8</v>
      </c>
      <c r="L367" s="83">
        <f t="shared" si="2"/>
        <v>228833.77</v>
      </c>
      <c r="M367" s="83">
        <f t="shared" si="3"/>
        <v>151093.03</v>
      </c>
      <c r="N367" s="46" t="str">
        <f>VLOOKUP(F367,products!$A$2:$B$13,2,FALSE)</f>
        <v>Cosmetics</v>
      </c>
      <c r="O367" s="46" t="s">
        <v>119</v>
      </c>
      <c r="P367" s="46">
        <f t="array" ref="P367">WEEKDAY(B367,2)</f>
        <v>7</v>
      </c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>
      <c r="A368" s="56">
        <v>3.51247346E8</v>
      </c>
      <c r="B368" s="126">
        <v>42458.0</v>
      </c>
      <c r="C368" s="126">
        <v>42498.0</v>
      </c>
      <c r="D368" s="56" t="s">
        <v>95</v>
      </c>
      <c r="E368" s="56" t="s">
        <v>136</v>
      </c>
      <c r="F368" s="56">
        <v>3127.0</v>
      </c>
      <c r="G368" s="56" t="s">
        <v>43</v>
      </c>
      <c r="H368" s="56">
        <v>750.0</v>
      </c>
      <c r="I368" s="127">
        <v>81.73</v>
      </c>
      <c r="J368" s="127">
        <v>56.67</v>
      </c>
      <c r="K368" s="83">
        <f t="shared" si="1"/>
        <v>61297.5</v>
      </c>
      <c r="L368" s="83">
        <f t="shared" si="2"/>
        <v>42502.5</v>
      </c>
      <c r="M368" s="83">
        <f t="shared" si="3"/>
        <v>18795</v>
      </c>
      <c r="N368" s="46" t="str">
        <f>VLOOKUP(F368,products!$A$2:$B$13,2,FALSE)</f>
        <v>Personal Care</v>
      </c>
      <c r="O368" s="46" t="s">
        <v>136</v>
      </c>
      <c r="P368" s="46">
        <f t="array" ref="P368">WEEKDAY(B368,2)</f>
        <v>2</v>
      </c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>
      <c r="A369" s="56">
        <v>3.52342545E8</v>
      </c>
      <c r="B369" s="126">
        <v>42785.0</v>
      </c>
      <c r="C369" s="126">
        <v>42821.0</v>
      </c>
      <c r="D369" s="56" t="s">
        <v>89</v>
      </c>
      <c r="E369" s="56" t="s">
        <v>98</v>
      </c>
      <c r="F369" s="56">
        <v>8969.0</v>
      </c>
      <c r="G369" s="56" t="s">
        <v>42</v>
      </c>
      <c r="H369" s="56">
        <v>4844.0</v>
      </c>
      <c r="I369" s="127">
        <v>152.58</v>
      </c>
      <c r="J369" s="127">
        <v>97.44</v>
      </c>
      <c r="K369" s="83">
        <f t="shared" si="1"/>
        <v>739097.52</v>
      </c>
      <c r="L369" s="83">
        <f t="shared" si="2"/>
        <v>471999.36</v>
      </c>
      <c r="M369" s="83">
        <f t="shared" si="3"/>
        <v>267098.16</v>
      </c>
      <c r="N369" s="46" t="str">
        <f>VLOOKUP(F369,products!$A$2:$B$13,2,FALSE)</f>
        <v>Snacks</v>
      </c>
      <c r="O369" s="46" t="s">
        <v>98</v>
      </c>
      <c r="P369" s="46">
        <f t="array" ref="P369">WEEKDAY(B369,2)</f>
        <v>7</v>
      </c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>
      <c r="A370" s="56">
        <v>3.5319184E8</v>
      </c>
      <c r="B370" s="126">
        <v>41433.0</v>
      </c>
      <c r="C370" s="126">
        <v>41464.0</v>
      </c>
      <c r="D370" s="56" t="s">
        <v>95</v>
      </c>
      <c r="E370" s="56" t="s">
        <v>117</v>
      </c>
      <c r="F370" s="56">
        <v>2455.0</v>
      </c>
      <c r="G370" s="56" t="s">
        <v>42</v>
      </c>
      <c r="H370" s="56">
        <v>6169.0</v>
      </c>
      <c r="I370" s="127">
        <v>109.28</v>
      </c>
      <c r="J370" s="127">
        <v>35.84</v>
      </c>
      <c r="K370" s="83">
        <f t="shared" si="1"/>
        <v>674148.32</v>
      </c>
      <c r="L370" s="83">
        <f t="shared" si="2"/>
        <v>221096.96</v>
      </c>
      <c r="M370" s="83">
        <f t="shared" si="3"/>
        <v>453051.36</v>
      </c>
      <c r="N370" s="46" t="str">
        <f>VLOOKUP(F370,products!$A$2:$B$13,2,FALSE)</f>
        <v>Clothes</v>
      </c>
      <c r="O370" s="46" t="s">
        <v>117</v>
      </c>
      <c r="P370" s="46">
        <f t="array" ref="P370">WEEKDAY(B370,2)</f>
        <v>6</v>
      </c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>
      <c r="A371" s="56">
        <v>3.53320157E8</v>
      </c>
      <c r="B371" s="126">
        <v>41140.0</v>
      </c>
      <c r="C371" s="126">
        <v>41143.0</v>
      </c>
      <c r="D371" s="56" t="s">
        <v>93</v>
      </c>
      <c r="E371" s="56" t="s">
        <v>94</v>
      </c>
      <c r="F371" s="56">
        <v>8293.0</v>
      </c>
      <c r="G371" s="56" t="s">
        <v>42</v>
      </c>
      <c r="H371" s="56">
        <v>4141.0</v>
      </c>
      <c r="I371" s="127">
        <v>437.2</v>
      </c>
      <c r="J371" s="127">
        <v>263.33</v>
      </c>
      <c r="K371" s="83">
        <f t="shared" si="1"/>
        <v>1810445.2</v>
      </c>
      <c r="L371" s="83">
        <f t="shared" si="2"/>
        <v>1090449.53</v>
      </c>
      <c r="M371" s="83">
        <f t="shared" si="3"/>
        <v>719995.67</v>
      </c>
      <c r="N371" s="46" t="str">
        <f>VLOOKUP(F371,products!$A$2:$B$13,2,FALSE)</f>
        <v>Cosmetics</v>
      </c>
      <c r="O371" s="46" t="s">
        <v>94</v>
      </c>
      <c r="P371" s="46">
        <f t="array" ref="P371">WEEKDAY(B371,2)</f>
        <v>7</v>
      </c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>
      <c r="A372" s="56">
        <v>3.53383243E8</v>
      </c>
      <c r="B372" s="126">
        <v>41774.0</v>
      </c>
      <c r="C372" s="126">
        <v>41799.0</v>
      </c>
      <c r="D372" s="56" t="s">
        <v>93</v>
      </c>
      <c r="E372" s="56" t="e">
        <v>#N/A</v>
      </c>
      <c r="F372" s="56">
        <v>8681.0</v>
      </c>
      <c r="G372" s="56" t="s">
        <v>43</v>
      </c>
      <c r="H372" s="56">
        <v>2809.0</v>
      </c>
      <c r="I372" s="127">
        <v>651.21</v>
      </c>
      <c r="J372" s="127">
        <v>524.96</v>
      </c>
      <c r="K372" s="83">
        <f t="shared" si="1"/>
        <v>1829248.89</v>
      </c>
      <c r="L372" s="83">
        <f t="shared" si="2"/>
        <v>1474612.64</v>
      </c>
      <c r="M372" s="83">
        <f t="shared" si="3"/>
        <v>354636.25</v>
      </c>
      <c r="N372" s="46" t="str">
        <f>VLOOKUP(F372,products!$A$2:$B$13,2,FALSE)</f>
        <v>Office Supplies</v>
      </c>
      <c r="O372" s="46" t="s">
        <v>92</v>
      </c>
      <c r="P372" s="46">
        <f t="array" ref="P372">WEEKDAY(B372,2)</f>
        <v>4</v>
      </c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>
      <c r="A373" s="56">
        <v>3.53415429E8</v>
      </c>
      <c r="B373" s="126">
        <v>40516.0</v>
      </c>
      <c r="C373" s="126">
        <v>40520.0</v>
      </c>
      <c r="D373" s="56" t="s">
        <v>89</v>
      </c>
      <c r="E373" s="56" t="s">
        <v>114</v>
      </c>
      <c r="F373" s="56">
        <v>3127.0</v>
      </c>
      <c r="G373" s="56" t="s">
        <v>43</v>
      </c>
      <c r="H373" s="56">
        <v>2334.0</v>
      </c>
      <c r="I373" s="127">
        <v>81.73</v>
      </c>
      <c r="J373" s="127">
        <v>56.67</v>
      </c>
      <c r="K373" s="83">
        <f t="shared" si="1"/>
        <v>190757.82</v>
      </c>
      <c r="L373" s="83">
        <f t="shared" si="2"/>
        <v>132267.78</v>
      </c>
      <c r="M373" s="83">
        <f t="shared" si="3"/>
        <v>58490.04</v>
      </c>
      <c r="N373" s="46" t="str">
        <f>VLOOKUP(F373,products!$A$2:$B$13,2,FALSE)</f>
        <v>Personal Care</v>
      </c>
      <c r="O373" s="46" t="s">
        <v>114</v>
      </c>
      <c r="P373" s="46">
        <f t="array" ref="P373">WEEKDAY(B373,2)</f>
        <v>6</v>
      </c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>
      <c r="A374" s="56">
        <v>3.5347594E8</v>
      </c>
      <c r="B374" s="126">
        <v>41914.0</v>
      </c>
      <c r="C374" s="126">
        <v>41916.0</v>
      </c>
      <c r="D374" s="56" t="s">
        <v>95</v>
      </c>
      <c r="E374" s="56" t="s">
        <v>121</v>
      </c>
      <c r="F374" s="56">
        <v>3127.0</v>
      </c>
      <c r="G374" s="56" t="s">
        <v>42</v>
      </c>
      <c r="H374" s="56">
        <v>240.0</v>
      </c>
      <c r="I374" s="127">
        <v>81.73</v>
      </c>
      <c r="J374" s="127">
        <v>56.67</v>
      </c>
      <c r="K374" s="83">
        <f t="shared" si="1"/>
        <v>19615.2</v>
      </c>
      <c r="L374" s="83">
        <f t="shared" si="2"/>
        <v>13600.8</v>
      </c>
      <c r="M374" s="83">
        <f t="shared" si="3"/>
        <v>6014.4</v>
      </c>
      <c r="N374" s="46" t="str">
        <f>VLOOKUP(F374,products!$A$2:$B$13,2,FALSE)</f>
        <v>Personal Care</v>
      </c>
      <c r="O374" s="46" t="s">
        <v>121</v>
      </c>
      <c r="P374" s="46">
        <f t="array" ref="P374">WEEKDAY(B374,2)</f>
        <v>4</v>
      </c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>
      <c r="A375" s="56">
        <v>3.53492677E8</v>
      </c>
      <c r="B375" s="126">
        <v>42477.0</v>
      </c>
      <c r="C375" s="126">
        <v>42513.0</v>
      </c>
      <c r="D375" s="56" t="s">
        <v>10</v>
      </c>
      <c r="E375" s="56" t="s">
        <v>123</v>
      </c>
      <c r="F375" s="56">
        <v>4594.0</v>
      </c>
      <c r="G375" s="56" t="s">
        <v>42</v>
      </c>
      <c r="H375" s="56">
        <v>5193.0</v>
      </c>
      <c r="I375" s="127">
        <v>9.33</v>
      </c>
      <c r="J375" s="127">
        <v>6.92</v>
      </c>
      <c r="K375" s="83">
        <f t="shared" si="1"/>
        <v>48450.69</v>
      </c>
      <c r="L375" s="83">
        <f t="shared" si="2"/>
        <v>35935.56</v>
      </c>
      <c r="M375" s="83">
        <f t="shared" si="3"/>
        <v>12515.13</v>
      </c>
      <c r="N375" s="46" t="str">
        <f>VLOOKUP(F375,products!$A$2:$B$13,2,FALSE)</f>
        <v>Fruits</v>
      </c>
      <c r="O375" s="46" t="s">
        <v>123</v>
      </c>
      <c r="P375" s="46">
        <f t="array" ref="P375">WEEKDAY(B375,2)</f>
        <v>7</v>
      </c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>
      <c r="A376" s="56">
        <v>3.54270303E8</v>
      </c>
      <c r="B376" s="126">
        <v>41196.0</v>
      </c>
      <c r="C376" s="126">
        <v>41240.0</v>
      </c>
      <c r="D376" s="56" t="s">
        <v>93</v>
      </c>
      <c r="E376" s="56" t="s">
        <v>120</v>
      </c>
      <c r="F376" s="56">
        <v>5988.0</v>
      </c>
      <c r="G376" s="56" t="s">
        <v>42</v>
      </c>
      <c r="H376" s="56">
        <v>5310.0</v>
      </c>
      <c r="I376" s="127">
        <v>154.06</v>
      </c>
      <c r="J376" s="127">
        <v>90.93</v>
      </c>
      <c r="K376" s="83">
        <f t="shared" si="1"/>
        <v>818058.6</v>
      </c>
      <c r="L376" s="83">
        <f t="shared" si="2"/>
        <v>482838.3</v>
      </c>
      <c r="M376" s="83">
        <f t="shared" si="3"/>
        <v>335220.3</v>
      </c>
      <c r="N376" s="46" t="str">
        <f>VLOOKUP(F376,products!$A$2:$B$13,2,FALSE)</f>
        <v>Vegetables</v>
      </c>
      <c r="O376" s="46" t="s">
        <v>120</v>
      </c>
      <c r="P376" s="46">
        <f t="array" ref="P376">WEEKDAY(B376,2)</f>
        <v>7</v>
      </c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>
      <c r="A377" s="56">
        <v>3.54655683E8</v>
      </c>
      <c r="B377" s="126">
        <v>41114.0</v>
      </c>
      <c r="C377" s="126">
        <v>41121.0</v>
      </c>
      <c r="D377" s="56" t="s">
        <v>89</v>
      </c>
      <c r="E377" s="56" t="s">
        <v>119</v>
      </c>
      <c r="F377" s="56">
        <v>1270.0</v>
      </c>
      <c r="G377" s="56" t="s">
        <v>42</v>
      </c>
      <c r="H377" s="56">
        <v>9353.0</v>
      </c>
      <c r="I377" s="127">
        <v>47.45</v>
      </c>
      <c r="J377" s="127">
        <v>31.79</v>
      </c>
      <c r="K377" s="83">
        <f t="shared" si="1"/>
        <v>443799.85</v>
      </c>
      <c r="L377" s="83">
        <f t="shared" si="2"/>
        <v>297331.87</v>
      </c>
      <c r="M377" s="83">
        <f t="shared" si="3"/>
        <v>146467.98</v>
      </c>
      <c r="N377" s="46" t="str">
        <f>VLOOKUP(F377,products!$A$2:$B$13,2,FALSE)</f>
        <v>Beverages</v>
      </c>
      <c r="O377" s="46" t="s">
        <v>119</v>
      </c>
      <c r="P377" s="46">
        <f t="array" ref="P377">WEEKDAY(B377,2)</f>
        <v>2</v>
      </c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>
      <c r="A378" s="56">
        <v>3.54667699E8</v>
      </c>
      <c r="B378" s="126">
        <v>41234.0</v>
      </c>
      <c r="C378" s="126">
        <v>41272.0</v>
      </c>
      <c r="D378" s="56" t="s">
        <v>93</v>
      </c>
      <c r="E378" s="56" t="s">
        <v>99</v>
      </c>
      <c r="F378" s="56">
        <v>8681.0</v>
      </c>
      <c r="G378" s="56" t="s">
        <v>42</v>
      </c>
      <c r="H378" s="56">
        <v>2908.0</v>
      </c>
      <c r="I378" s="127">
        <v>651.21</v>
      </c>
      <c r="J378" s="127">
        <v>524.96</v>
      </c>
      <c r="K378" s="83">
        <f t="shared" si="1"/>
        <v>1893718.68</v>
      </c>
      <c r="L378" s="83">
        <f t="shared" si="2"/>
        <v>1526583.68</v>
      </c>
      <c r="M378" s="83">
        <f t="shared" si="3"/>
        <v>367135</v>
      </c>
      <c r="N378" s="46" t="str">
        <f>VLOOKUP(F378,products!$A$2:$B$13,2,FALSE)</f>
        <v>Office Supplies</v>
      </c>
      <c r="O378" s="46" t="s">
        <v>99</v>
      </c>
      <c r="P378" s="46">
        <f t="array" ref="P378">WEEKDAY(B378,2)</f>
        <v>3</v>
      </c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>
      <c r="A379" s="56">
        <v>3.54931628E8</v>
      </c>
      <c r="B379" s="126">
        <v>40328.0</v>
      </c>
      <c r="C379" s="126">
        <v>40337.0</v>
      </c>
      <c r="D379" s="56" t="s">
        <v>95</v>
      </c>
      <c r="E379" s="56" t="s">
        <v>127</v>
      </c>
      <c r="F379" s="56">
        <v>3127.0</v>
      </c>
      <c r="G379" s="56" t="s">
        <v>42</v>
      </c>
      <c r="H379" s="56">
        <v>1011.0</v>
      </c>
      <c r="I379" s="127">
        <v>81.73</v>
      </c>
      <c r="J379" s="127">
        <v>56.67</v>
      </c>
      <c r="K379" s="83">
        <f t="shared" si="1"/>
        <v>82629.03</v>
      </c>
      <c r="L379" s="83">
        <f t="shared" si="2"/>
        <v>57293.37</v>
      </c>
      <c r="M379" s="83">
        <f t="shared" si="3"/>
        <v>25335.66</v>
      </c>
      <c r="N379" s="46" t="str">
        <f>VLOOKUP(F379,products!$A$2:$B$13,2,FALSE)</f>
        <v>Personal Care</v>
      </c>
      <c r="O379" s="46" t="s">
        <v>127</v>
      </c>
      <c r="P379" s="46">
        <f t="array" ref="P379">WEEKDAY(B379,2)</f>
        <v>7</v>
      </c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>
      <c r="A380" s="56">
        <v>3.55534589E8</v>
      </c>
      <c r="B380" s="126">
        <v>42035.0</v>
      </c>
      <c r="C380" s="126">
        <v>42041.0</v>
      </c>
      <c r="D380" s="56" t="s">
        <v>95</v>
      </c>
      <c r="E380" s="56" t="s">
        <v>138</v>
      </c>
      <c r="F380" s="56">
        <v>2455.0</v>
      </c>
      <c r="G380" s="56" t="s">
        <v>43</v>
      </c>
      <c r="H380" s="56">
        <v>9440.0</v>
      </c>
      <c r="I380" s="127">
        <v>109.28</v>
      </c>
      <c r="J380" s="127">
        <v>35.84</v>
      </c>
      <c r="K380" s="83">
        <f t="shared" si="1"/>
        <v>1031603.2</v>
      </c>
      <c r="L380" s="83">
        <f t="shared" si="2"/>
        <v>338329.6</v>
      </c>
      <c r="M380" s="83">
        <f t="shared" si="3"/>
        <v>693273.6</v>
      </c>
      <c r="N380" s="46" t="str">
        <f>VLOOKUP(F380,products!$A$2:$B$13,2,FALSE)</f>
        <v>Clothes</v>
      </c>
      <c r="O380" s="46" t="s">
        <v>138</v>
      </c>
      <c r="P380" s="46">
        <f t="array" ref="P380">WEEKDAY(B380,2)</f>
        <v>6</v>
      </c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>
      <c r="A381" s="56">
        <v>3.56413495E8</v>
      </c>
      <c r="B381" s="126">
        <v>40190.0</v>
      </c>
      <c r="C381" s="126">
        <v>40196.0</v>
      </c>
      <c r="D381" s="56" t="s">
        <v>93</v>
      </c>
      <c r="E381" s="56" t="s">
        <v>133</v>
      </c>
      <c r="F381" s="56">
        <v>3127.0</v>
      </c>
      <c r="G381" s="56" t="s">
        <v>42</v>
      </c>
      <c r="H381" s="56">
        <v>9528.0</v>
      </c>
      <c r="I381" s="127">
        <v>81.73</v>
      </c>
      <c r="J381" s="127">
        <v>56.67</v>
      </c>
      <c r="K381" s="83">
        <f t="shared" si="1"/>
        <v>778723.44</v>
      </c>
      <c r="L381" s="83">
        <f t="shared" si="2"/>
        <v>539951.76</v>
      </c>
      <c r="M381" s="83">
        <f t="shared" si="3"/>
        <v>238771.68</v>
      </c>
      <c r="N381" s="46" t="str">
        <f>VLOOKUP(F381,products!$A$2:$B$13,2,FALSE)</f>
        <v>Personal Care</v>
      </c>
      <c r="O381" s="46" t="s">
        <v>133</v>
      </c>
      <c r="P381" s="46">
        <f t="array" ref="P381">WEEKDAY(B381,2)</f>
        <v>2</v>
      </c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>
      <c r="A382" s="56">
        <v>3.5743488E8</v>
      </c>
      <c r="B382" s="126">
        <v>42146.0</v>
      </c>
      <c r="C382" s="126">
        <v>42184.0</v>
      </c>
      <c r="D382" s="56" t="s">
        <v>10</v>
      </c>
      <c r="E382" s="56" t="s">
        <v>94</v>
      </c>
      <c r="F382" s="56">
        <v>8293.0</v>
      </c>
      <c r="G382" s="56" t="s">
        <v>43</v>
      </c>
      <c r="H382" s="56">
        <v>1779.0</v>
      </c>
      <c r="I382" s="127">
        <v>437.2</v>
      </c>
      <c r="J382" s="127">
        <v>263.33</v>
      </c>
      <c r="K382" s="83">
        <f t="shared" si="1"/>
        <v>777778.8</v>
      </c>
      <c r="L382" s="83">
        <f t="shared" si="2"/>
        <v>468464.07</v>
      </c>
      <c r="M382" s="83">
        <f t="shared" si="3"/>
        <v>309314.73</v>
      </c>
      <c r="N382" s="46" t="str">
        <f>VLOOKUP(F382,products!$A$2:$B$13,2,FALSE)</f>
        <v>Cosmetics</v>
      </c>
      <c r="O382" s="46" t="s">
        <v>94</v>
      </c>
      <c r="P382" s="46">
        <f t="array" ref="P382">WEEKDAY(B382,2)</f>
        <v>5</v>
      </c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>
      <c r="A383" s="56">
        <v>3.57482516E8</v>
      </c>
      <c r="B383" s="126">
        <v>41834.0</v>
      </c>
      <c r="C383" s="126">
        <v>41848.0</v>
      </c>
      <c r="D383" s="56" t="s">
        <v>10</v>
      </c>
      <c r="E383" s="56" t="s">
        <v>127</v>
      </c>
      <c r="F383" s="56">
        <v>1270.0</v>
      </c>
      <c r="G383" s="56" t="s">
        <v>43</v>
      </c>
      <c r="H383" s="56">
        <v>5875.0</v>
      </c>
      <c r="I383" s="127">
        <v>47.45</v>
      </c>
      <c r="J383" s="127">
        <v>31.79</v>
      </c>
      <c r="K383" s="83">
        <f t="shared" si="1"/>
        <v>278768.75</v>
      </c>
      <c r="L383" s="83">
        <f t="shared" si="2"/>
        <v>186766.25</v>
      </c>
      <c r="M383" s="83">
        <f t="shared" si="3"/>
        <v>92002.5</v>
      </c>
      <c r="N383" s="46" t="str">
        <f>VLOOKUP(F383,products!$A$2:$B$13,2,FALSE)</f>
        <v>Beverages</v>
      </c>
      <c r="O383" s="46" t="s">
        <v>127</v>
      </c>
      <c r="P383" s="46">
        <f t="array" ref="P383">WEEKDAY(B383,2)</f>
        <v>1</v>
      </c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>
      <c r="A384" s="56">
        <v>3.57930982E8</v>
      </c>
      <c r="B384" s="126">
        <v>42385.0</v>
      </c>
      <c r="C384" s="126">
        <v>42434.0</v>
      </c>
      <c r="D384" s="56" t="s">
        <v>10</v>
      </c>
      <c r="E384" s="56" t="s">
        <v>131</v>
      </c>
      <c r="F384" s="56">
        <v>2455.0</v>
      </c>
      <c r="G384" s="56" t="s">
        <v>42</v>
      </c>
      <c r="H384" s="56">
        <v>8586.0</v>
      </c>
      <c r="I384" s="127">
        <v>109.28</v>
      </c>
      <c r="J384" s="127">
        <v>35.84</v>
      </c>
      <c r="K384" s="83">
        <f t="shared" si="1"/>
        <v>938278.08</v>
      </c>
      <c r="L384" s="83">
        <f t="shared" si="2"/>
        <v>307722.24</v>
      </c>
      <c r="M384" s="83">
        <f t="shared" si="3"/>
        <v>630555.84</v>
      </c>
      <c r="N384" s="46" t="str">
        <f>VLOOKUP(F384,products!$A$2:$B$13,2,FALSE)</f>
        <v>Clothes</v>
      </c>
      <c r="O384" s="46" t="s">
        <v>131</v>
      </c>
      <c r="P384" s="46">
        <f t="array" ref="P384">WEEKDAY(B384,2)</f>
        <v>6</v>
      </c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>
      <c r="A385" s="56">
        <v>3.57943856E8</v>
      </c>
      <c r="B385" s="126">
        <v>41329.0</v>
      </c>
      <c r="C385" s="126">
        <v>41350.0</v>
      </c>
      <c r="D385" s="56" t="s">
        <v>93</v>
      </c>
      <c r="E385" s="56" t="s">
        <v>90</v>
      </c>
      <c r="F385" s="56">
        <v>7331.0</v>
      </c>
      <c r="G385" s="56" t="s">
        <v>42</v>
      </c>
      <c r="H385" s="56">
        <v>2396.0</v>
      </c>
      <c r="I385" s="127">
        <v>255.28</v>
      </c>
      <c r="J385" s="127">
        <v>159.42</v>
      </c>
      <c r="K385" s="83">
        <f t="shared" si="1"/>
        <v>611650.88</v>
      </c>
      <c r="L385" s="83">
        <f t="shared" si="2"/>
        <v>381970.32</v>
      </c>
      <c r="M385" s="83">
        <f t="shared" si="3"/>
        <v>229680.56</v>
      </c>
      <c r="N385" s="46" t="str">
        <f>VLOOKUP(F385,products!$A$2:$B$13,2,FALSE)</f>
        <v>Baby Food</v>
      </c>
      <c r="O385" s="46" t="s">
        <v>90</v>
      </c>
      <c r="P385" s="46">
        <f t="array" ref="P385">WEEKDAY(B385,2)</f>
        <v>7</v>
      </c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>
      <c r="A386" s="56">
        <v>3.58594453E8</v>
      </c>
      <c r="B386" s="126">
        <v>42724.0</v>
      </c>
      <c r="C386" s="126">
        <v>42768.0</v>
      </c>
      <c r="D386" s="56" t="s">
        <v>93</v>
      </c>
      <c r="E386" s="56" t="s">
        <v>137</v>
      </c>
      <c r="F386" s="56">
        <v>8969.0</v>
      </c>
      <c r="G386" s="56" t="s">
        <v>42</v>
      </c>
      <c r="H386" s="56">
        <v>4922.0</v>
      </c>
      <c r="I386" s="127">
        <v>152.58</v>
      </c>
      <c r="J386" s="127">
        <v>97.44</v>
      </c>
      <c r="K386" s="83">
        <f t="shared" si="1"/>
        <v>750998.76</v>
      </c>
      <c r="L386" s="83">
        <f t="shared" si="2"/>
        <v>479599.68</v>
      </c>
      <c r="M386" s="83">
        <f t="shared" si="3"/>
        <v>271399.08</v>
      </c>
      <c r="N386" s="46" t="str">
        <f>VLOOKUP(F386,products!$A$2:$B$13,2,FALSE)</f>
        <v>Snacks</v>
      </c>
      <c r="O386" s="46" t="s">
        <v>137</v>
      </c>
      <c r="P386" s="46">
        <f t="array" ref="P386">WEEKDAY(B386,2)</f>
        <v>2</v>
      </c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>
      <c r="A387" s="56">
        <v>3.58624064E8</v>
      </c>
      <c r="B387" s="126">
        <v>42231.0</v>
      </c>
      <c r="C387" s="126">
        <v>42280.0</v>
      </c>
      <c r="D387" s="56" t="s">
        <v>95</v>
      </c>
      <c r="E387" s="56" t="s">
        <v>111</v>
      </c>
      <c r="F387" s="56">
        <v>2455.0</v>
      </c>
      <c r="G387" s="56" t="s">
        <v>42</v>
      </c>
      <c r="H387" s="56">
        <v>3685.0</v>
      </c>
      <c r="I387" s="127">
        <v>109.28</v>
      </c>
      <c r="J387" s="127">
        <v>35.84</v>
      </c>
      <c r="K387" s="83">
        <f t="shared" si="1"/>
        <v>402696.8</v>
      </c>
      <c r="L387" s="83">
        <f t="shared" si="2"/>
        <v>132070.4</v>
      </c>
      <c r="M387" s="83">
        <f t="shared" si="3"/>
        <v>270626.4</v>
      </c>
      <c r="N387" s="46" t="str">
        <f>VLOOKUP(F387,products!$A$2:$B$13,2,FALSE)</f>
        <v>Clothes</v>
      </c>
      <c r="O387" s="46" t="s">
        <v>111</v>
      </c>
      <c r="P387" s="46">
        <f t="array" ref="P387">WEEKDAY(B387,2)</f>
        <v>6</v>
      </c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>
      <c r="A388" s="56">
        <v>3.59197413E8</v>
      </c>
      <c r="B388" s="126">
        <v>41665.0</v>
      </c>
      <c r="C388" s="126">
        <v>41706.0</v>
      </c>
      <c r="D388" s="56" t="s">
        <v>93</v>
      </c>
      <c r="E388" s="56" t="s">
        <v>102</v>
      </c>
      <c r="F388" s="56">
        <v>7331.0</v>
      </c>
      <c r="G388" s="56" t="s">
        <v>43</v>
      </c>
      <c r="H388" s="56">
        <v>3352.0</v>
      </c>
      <c r="I388" s="127">
        <v>255.28</v>
      </c>
      <c r="J388" s="127">
        <v>159.42</v>
      </c>
      <c r="K388" s="83">
        <f t="shared" si="1"/>
        <v>855698.56</v>
      </c>
      <c r="L388" s="83">
        <f t="shared" si="2"/>
        <v>534375.84</v>
      </c>
      <c r="M388" s="83">
        <f t="shared" si="3"/>
        <v>321322.72</v>
      </c>
      <c r="N388" s="46" t="str">
        <f>VLOOKUP(F388,products!$A$2:$B$13,2,FALSE)</f>
        <v>Baby Food</v>
      </c>
      <c r="O388" s="46" t="s">
        <v>102</v>
      </c>
      <c r="P388" s="46">
        <f t="array" ref="P388">WEEKDAY(B388,2)</f>
        <v>7</v>
      </c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>
      <c r="A389" s="56">
        <v>3.59893071E8</v>
      </c>
      <c r="B389" s="126">
        <v>40746.0</v>
      </c>
      <c r="C389" s="126">
        <v>40761.0</v>
      </c>
      <c r="D389" s="56" t="s">
        <v>95</v>
      </c>
      <c r="E389" s="56" t="s">
        <v>126</v>
      </c>
      <c r="F389" s="56">
        <v>5988.0</v>
      </c>
      <c r="G389" s="56" t="s">
        <v>43</v>
      </c>
      <c r="H389" s="56">
        <v>9212.0</v>
      </c>
      <c r="I389" s="127">
        <v>154.06</v>
      </c>
      <c r="J389" s="127">
        <v>90.93</v>
      </c>
      <c r="K389" s="83">
        <f t="shared" si="1"/>
        <v>1419200.72</v>
      </c>
      <c r="L389" s="83">
        <f t="shared" si="2"/>
        <v>837647.16</v>
      </c>
      <c r="M389" s="83">
        <f t="shared" si="3"/>
        <v>581553.56</v>
      </c>
      <c r="N389" s="46" t="str">
        <f>VLOOKUP(F389,products!$A$2:$B$13,2,FALSE)</f>
        <v>Vegetables</v>
      </c>
      <c r="O389" s="46" t="s">
        <v>126</v>
      </c>
      <c r="P389" s="46">
        <f t="array" ref="P389">WEEKDAY(B389,2)</f>
        <v>5</v>
      </c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>
      <c r="A390" s="56">
        <v>3.61311852E8</v>
      </c>
      <c r="B390" s="126">
        <v>42741.0</v>
      </c>
      <c r="C390" s="126">
        <v>42781.0</v>
      </c>
      <c r="D390" s="56" t="s">
        <v>93</v>
      </c>
      <c r="E390" s="56" t="s">
        <v>100</v>
      </c>
      <c r="F390" s="56">
        <v>7331.0</v>
      </c>
      <c r="G390" s="56" t="s">
        <v>42</v>
      </c>
      <c r="H390" s="56">
        <v>9061.0</v>
      </c>
      <c r="I390" s="127">
        <v>255.28</v>
      </c>
      <c r="J390" s="127">
        <v>159.42</v>
      </c>
      <c r="K390" s="83">
        <f t="shared" si="1"/>
        <v>2313092.08</v>
      </c>
      <c r="L390" s="83">
        <f t="shared" si="2"/>
        <v>1444504.62</v>
      </c>
      <c r="M390" s="83">
        <f t="shared" si="3"/>
        <v>868587.46</v>
      </c>
      <c r="N390" s="46" t="str">
        <f>VLOOKUP(F390,products!$A$2:$B$13,2,FALSE)</f>
        <v>Baby Food</v>
      </c>
      <c r="O390" s="46" t="s">
        <v>100</v>
      </c>
      <c r="P390" s="46">
        <f t="array" ref="P390">WEEKDAY(B390,2)</f>
        <v>5</v>
      </c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>
      <c r="A391" s="56">
        <v>3.61659038E8</v>
      </c>
      <c r="B391" s="126">
        <v>41090.0</v>
      </c>
      <c r="C391" s="126">
        <v>41124.0</v>
      </c>
      <c r="D391" s="56" t="s">
        <v>93</v>
      </c>
      <c r="E391" s="56" t="s">
        <v>107</v>
      </c>
      <c r="F391" s="56">
        <v>2103.0</v>
      </c>
      <c r="G391" s="56" t="s">
        <v>43</v>
      </c>
      <c r="H391" s="56">
        <v>1801.0</v>
      </c>
      <c r="I391" s="127">
        <v>205.7</v>
      </c>
      <c r="J391" s="127">
        <v>117.11</v>
      </c>
      <c r="K391" s="83">
        <f t="shared" si="1"/>
        <v>370465.7</v>
      </c>
      <c r="L391" s="83">
        <f t="shared" si="2"/>
        <v>210915.11</v>
      </c>
      <c r="M391" s="83">
        <f t="shared" si="3"/>
        <v>159550.59</v>
      </c>
      <c r="N391" s="46" t="str">
        <f>VLOOKUP(F391,products!$A$2:$B$13,2,FALSE)</f>
        <v>Cereal</v>
      </c>
      <c r="O391" s="46" t="s">
        <v>107</v>
      </c>
      <c r="P391" s="46">
        <f t="array" ref="P391">WEEKDAY(B391,2)</f>
        <v>6</v>
      </c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>
      <c r="A392" s="56">
        <v>3.61725556E8</v>
      </c>
      <c r="B392" s="126">
        <v>42548.0</v>
      </c>
      <c r="C392" s="126">
        <v>42569.0</v>
      </c>
      <c r="D392" s="56" t="s">
        <v>93</v>
      </c>
      <c r="E392" s="56" t="s">
        <v>120</v>
      </c>
      <c r="F392" s="56">
        <v>5988.0</v>
      </c>
      <c r="G392" s="56" t="s">
        <v>42</v>
      </c>
      <c r="H392" s="56">
        <v>1485.0</v>
      </c>
      <c r="I392" s="127">
        <v>154.06</v>
      </c>
      <c r="J392" s="127">
        <v>90.93</v>
      </c>
      <c r="K392" s="83">
        <f t="shared" si="1"/>
        <v>228779.1</v>
      </c>
      <c r="L392" s="83">
        <f t="shared" si="2"/>
        <v>135031.05</v>
      </c>
      <c r="M392" s="83">
        <f t="shared" si="3"/>
        <v>93748.05</v>
      </c>
      <c r="N392" s="46" t="str">
        <f>VLOOKUP(F392,products!$A$2:$B$13,2,FALSE)</f>
        <v>Vegetables</v>
      </c>
      <c r="O392" s="46" t="s">
        <v>120</v>
      </c>
      <c r="P392" s="46">
        <f t="array" ref="P392">WEEKDAY(B392,2)</f>
        <v>1</v>
      </c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>
      <c r="A393" s="56">
        <v>3.62258565E8</v>
      </c>
      <c r="B393" s="126">
        <v>41972.0</v>
      </c>
      <c r="C393" s="126">
        <v>41987.0</v>
      </c>
      <c r="D393" s="56" t="s">
        <v>10</v>
      </c>
      <c r="E393" s="56" t="s">
        <v>101</v>
      </c>
      <c r="F393" s="56">
        <v>4594.0</v>
      </c>
      <c r="G393" s="56" t="s">
        <v>42</v>
      </c>
      <c r="H393" s="56">
        <v>9214.0</v>
      </c>
      <c r="I393" s="127">
        <v>9.33</v>
      </c>
      <c r="J393" s="127">
        <v>6.92</v>
      </c>
      <c r="K393" s="83">
        <f t="shared" si="1"/>
        <v>85966.62</v>
      </c>
      <c r="L393" s="83">
        <f t="shared" si="2"/>
        <v>63760.88</v>
      </c>
      <c r="M393" s="83">
        <f t="shared" si="3"/>
        <v>22205.74</v>
      </c>
      <c r="N393" s="46" t="str">
        <f>VLOOKUP(F393,products!$A$2:$B$13,2,FALSE)</f>
        <v>Fruits</v>
      </c>
      <c r="O393" s="46" t="s">
        <v>101</v>
      </c>
      <c r="P393" s="46">
        <f t="array" ref="P393">WEEKDAY(B393,2)</f>
        <v>6</v>
      </c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>
      <c r="A394" s="56">
        <v>3.64715468E8</v>
      </c>
      <c r="B394" s="126">
        <v>40954.0</v>
      </c>
      <c r="C394" s="126">
        <v>40958.0</v>
      </c>
      <c r="D394" s="56" t="s">
        <v>89</v>
      </c>
      <c r="E394" s="56" t="s">
        <v>99</v>
      </c>
      <c r="F394" s="56">
        <v>8293.0</v>
      </c>
      <c r="G394" s="56" t="s">
        <v>42</v>
      </c>
      <c r="H394" s="56">
        <v>6267.0</v>
      </c>
      <c r="I394" s="127">
        <v>437.2</v>
      </c>
      <c r="J394" s="127">
        <v>263.33</v>
      </c>
      <c r="K394" s="83">
        <f t="shared" si="1"/>
        <v>2739932.4</v>
      </c>
      <c r="L394" s="83">
        <f t="shared" si="2"/>
        <v>1650289.11</v>
      </c>
      <c r="M394" s="83">
        <f t="shared" si="3"/>
        <v>1089643.29</v>
      </c>
      <c r="N394" s="46" t="str">
        <f>VLOOKUP(F394,products!$A$2:$B$13,2,FALSE)</f>
        <v>Cosmetics</v>
      </c>
      <c r="O394" s="46" t="s">
        <v>99</v>
      </c>
      <c r="P394" s="46">
        <f t="array" ref="P394">WEEKDAY(B394,2)</f>
        <v>3</v>
      </c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>
      <c r="A395" s="56">
        <v>3.64854514E8</v>
      </c>
      <c r="B395" s="126">
        <v>41165.0</v>
      </c>
      <c r="C395" s="126">
        <v>41185.0</v>
      </c>
      <c r="D395" s="56" t="s">
        <v>89</v>
      </c>
      <c r="E395" s="56" t="e">
        <v>#N/A</v>
      </c>
      <c r="F395" s="56">
        <v>7331.0</v>
      </c>
      <c r="G395" s="56" t="s">
        <v>42</v>
      </c>
      <c r="H395" s="56">
        <v>7413.0</v>
      </c>
      <c r="I395" s="127">
        <v>255.28</v>
      </c>
      <c r="J395" s="127">
        <v>159.42</v>
      </c>
      <c r="K395" s="83">
        <f t="shared" si="1"/>
        <v>1892390.64</v>
      </c>
      <c r="L395" s="83">
        <f t="shared" si="2"/>
        <v>1181780.46</v>
      </c>
      <c r="M395" s="83">
        <f t="shared" si="3"/>
        <v>710610.18</v>
      </c>
      <c r="N395" s="46" t="str">
        <f>VLOOKUP(F395,products!$A$2:$B$13,2,FALSE)</f>
        <v>Baby Food</v>
      </c>
      <c r="O395" s="46" t="s">
        <v>92</v>
      </c>
      <c r="P395" s="46">
        <f t="array" ref="P395">WEEKDAY(B395,2)</f>
        <v>4</v>
      </c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>
      <c r="A396" s="56">
        <v>3.67328155E8</v>
      </c>
      <c r="B396" s="126">
        <v>40710.0</v>
      </c>
      <c r="C396" s="126">
        <v>40754.0</v>
      </c>
      <c r="D396" s="56" t="s">
        <v>93</v>
      </c>
      <c r="E396" s="56" t="s">
        <v>97</v>
      </c>
      <c r="F396" s="56">
        <v>7940.0</v>
      </c>
      <c r="G396" s="56" t="s">
        <v>43</v>
      </c>
      <c r="H396" s="56">
        <v>9419.0</v>
      </c>
      <c r="I396" s="127">
        <v>668.27</v>
      </c>
      <c r="J396" s="127">
        <v>502.54</v>
      </c>
      <c r="K396" s="83">
        <f t="shared" si="1"/>
        <v>6294435.13</v>
      </c>
      <c r="L396" s="83">
        <f t="shared" si="2"/>
        <v>4733424.26</v>
      </c>
      <c r="M396" s="83">
        <f t="shared" si="3"/>
        <v>1561010.87</v>
      </c>
      <c r="N396" s="46" t="str">
        <f>VLOOKUP(F396,products!$A$2:$B$13,2,FALSE)</f>
        <v>Household</v>
      </c>
      <c r="O396" s="46" t="s">
        <v>97</v>
      </c>
      <c r="P396" s="46">
        <f t="array" ref="P396">WEEKDAY(B396,2)</f>
        <v>4</v>
      </c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>
      <c r="A397" s="56">
        <v>3.68865811E8</v>
      </c>
      <c r="B397" s="126">
        <v>41528.0</v>
      </c>
      <c r="C397" s="126">
        <v>41563.0</v>
      </c>
      <c r="D397" s="56" t="s">
        <v>93</v>
      </c>
      <c r="E397" s="56" t="s">
        <v>100</v>
      </c>
      <c r="F397" s="56">
        <v>8681.0</v>
      </c>
      <c r="G397" s="56" t="s">
        <v>43</v>
      </c>
      <c r="H397" s="56">
        <v>4445.0</v>
      </c>
      <c r="I397" s="127">
        <v>651.21</v>
      </c>
      <c r="J397" s="127">
        <v>524.96</v>
      </c>
      <c r="K397" s="83">
        <f t="shared" si="1"/>
        <v>2894628.45</v>
      </c>
      <c r="L397" s="83">
        <f t="shared" si="2"/>
        <v>2333447.2</v>
      </c>
      <c r="M397" s="83">
        <f t="shared" si="3"/>
        <v>561181.25</v>
      </c>
      <c r="N397" s="46" t="str">
        <f>VLOOKUP(F397,products!$A$2:$B$13,2,FALSE)</f>
        <v>Office Supplies</v>
      </c>
      <c r="O397" s="46" t="s">
        <v>100</v>
      </c>
      <c r="P397" s="46">
        <f t="array" ref="P397">WEEKDAY(B397,2)</f>
        <v>3</v>
      </c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>
      <c r="A398" s="56">
        <v>3.69170081E8</v>
      </c>
      <c r="B398" s="126">
        <v>40631.0</v>
      </c>
      <c r="C398" s="126">
        <v>40636.0</v>
      </c>
      <c r="D398" s="56" t="s">
        <v>95</v>
      </c>
      <c r="E398" s="56" t="s">
        <v>132</v>
      </c>
      <c r="F398" s="56">
        <v>7331.0</v>
      </c>
      <c r="G398" s="56" t="s">
        <v>42</v>
      </c>
      <c r="H398" s="56">
        <v>4486.0</v>
      </c>
      <c r="I398" s="127">
        <v>255.28</v>
      </c>
      <c r="J398" s="127">
        <v>159.42</v>
      </c>
      <c r="K398" s="83">
        <f t="shared" si="1"/>
        <v>1145186.08</v>
      </c>
      <c r="L398" s="83">
        <f t="shared" si="2"/>
        <v>715158.12</v>
      </c>
      <c r="M398" s="83">
        <f t="shared" si="3"/>
        <v>430027.96</v>
      </c>
      <c r="N398" s="46" t="str">
        <f>VLOOKUP(F398,products!$A$2:$B$13,2,FALSE)</f>
        <v>Baby Food</v>
      </c>
      <c r="O398" s="46" t="s">
        <v>132</v>
      </c>
      <c r="P398" s="46">
        <f t="array" ref="P398">WEEKDAY(B398,2)</f>
        <v>2</v>
      </c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>
      <c r="A399" s="56">
        <v>3.70484149E8</v>
      </c>
      <c r="B399" s="126">
        <v>42365.0</v>
      </c>
      <c r="C399" s="126">
        <v>42388.0</v>
      </c>
      <c r="D399" s="56" t="s">
        <v>10</v>
      </c>
      <c r="E399" s="56" t="e">
        <v>#N/A</v>
      </c>
      <c r="F399" s="56">
        <v>1270.0</v>
      </c>
      <c r="G399" s="56" t="s">
        <v>43</v>
      </c>
      <c r="H399" s="56">
        <v>3348.0</v>
      </c>
      <c r="I399" s="127">
        <v>47.45</v>
      </c>
      <c r="J399" s="127">
        <v>31.79</v>
      </c>
      <c r="K399" s="83">
        <f t="shared" si="1"/>
        <v>158862.6</v>
      </c>
      <c r="L399" s="83">
        <f t="shared" si="2"/>
        <v>106432.92</v>
      </c>
      <c r="M399" s="83">
        <f t="shared" si="3"/>
        <v>52429.68</v>
      </c>
      <c r="N399" s="46" t="str">
        <f>VLOOKUP(F399,products!$A$2:$B$13,2,FALSE)</f>
        <v>Beverages</v>
      </c>
      <c r="O399" s="46" t="s">
        <v>92</v>
      </c>
      <c r="P399" s="46">
        <f t="array" ref="P399">WEEKDAY(B399,2)</f>
        <v>7</v>
      </c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>
      <c r="A400" s="56">
        <v>3.71814954E8</v>
      </c>
      <c r="B400" s="126">
        <v>41896.0</v>
      </c>
      <c r="C400" s="126">
        <v>41920.0</v>
      </c>
      <c r="D400" s="56" t="s">
        <v>89</v>
      </c>
      <c r="E400" s="56" t="s">
        <v>111</v>
      </c>
      <c r="F400" s="56">
        <v>3127.0</v>
      </c>
      <c r="G400" s="56" t="s">
        <v>43</v>
      </c>
      <c r="H400" s="56">
        <v>7162.0</v>
      </c>
      <c r="I400" s="127">
        <v>81.73</v>
      </c>
      <c r="J400" s="127">
        <v>56.67</v>
      </c>
      <c r="K400" s="83">
        <f t="shared" si="1"/>
        <v>585350.26</v>
      </c>
      <c r="L400" s="83">
        <f t="shared" si="2"/>
        <v>405870.54</v>
      </c>
      <c r="M400" s="83">
        <f t="shared" si="3"/>
        <v>179479.72</v>
      </c>
      <c r="N400" s="46" t="str">
        <f>VLOOKUP(F400,products!$A$2:$B$13,2,FALSE)</f>
        <v>Personal Care</v>
      </c>
      <c r="O400" s="46" t="s">
        <v>111</v>
      </c>
      <c r="P400" s="46">
        <f t="array" ref="P400">WEEKDAY(B400,2)</f>
        <v>7</v>
      </c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>
      <c r="A401" s="56">
        <v>3.74663245E8</v>
      </c>
      <c r="B401" s="126">
        <v>40856.0</v>
      </c>
      <c r="C401" s="126">
        <v>40873.0</v>
      </c>
      <c r="D401" s="56" t="s">
        <v>10</v>
      </c>
      <c r="E401" s="56" t="e">
        <v>#N/A</v>
      </c>
      <c r="F401" s="56">
        <v>8681.0</v>
      </c>
      <c r="G401" s="56" t="s">
        <v>43</v>
      </c>
      <c r="H401" s="56">
        <v>35.0</v>
      </c>
      <c r="I401" s="127">
        <v>651.21</v>
      </c>
      <c r="J401" s="127">
        <v>524.96</v>
      </c>
      <c r="K401" s="83">
        <f t="shared" si="1"/>
        <v>22792.35</v>
      </c>
      <c r="L401" s="83">
        <f t="shared" si="2"/>
        <v>18373.6</v>
      </c>
      <c r="M401" s="83">
        <f t="shared" si="3"/>
        <v>4418.75</v>
      </c>
      <c r="N401" s="46" t="str">
        <f>VLOOKUP(F401,products!$A$2:$B$13,2,FALSE)</f>
        <v>Office Supplies</v>
      </c>
      <c r="O401" s="46" t="s">
        <v>92</v>
      </c>
      <c r="P401" s="46">
        <f t="array" ref="P401">WEEKDAY(B401,2)</f>
        <v>3</v>
      </c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>
      <c r="A402" s="56">
        <v>3.74848639E8</v>
      </c>
      <c r="B402" s="126">
        <v>41137.0</v>
      </c>
      <c r="C402" s="126">
        <v>41158.0</v>
      </c>
      <c r="D402" s="56" t="s">
        <v>95</v>
      </c>
      <c r="E402" s="56" t="s">
        <v>98</v>
      </c>
      <c r="F402" s="56">
        <v>2455.0</v>
      </c>
      <c r="G402" s="56" t="s">
        <v>43</v>
      </c>
      <c r="H402" s="56">
        <v>4897.0</v>
      </c>
      <c r="I402" s="127">
        <v>109.28</v>
      </c>
      <c r="J402" s="127">
        <v>35.84</v>
      </c>
      <c r="K402" s="83">
        <f t="shared" si="1"/>
        <v>535144.16</v>
      </c>
      <c r="L402" s="83">
        <f t="shared" si="2"/>
        <v>175508.48</v>
      </c>
      <c r="M402" s="83">
        <f t="shared" si="3"/>
        <v>359635.68</v>
      </c>
      <c r="N402" s="46" t="str">
        <f>VLOOKUP(F402,products!$A$2:$B$13,2,FALSE)</f>
        <v>Clothes</v>
      </c>
      <c r="O402" s="46" t="s">
        <v>98</v>
      </c>
      <c r="P402" s="46">
        <f t="array" ref="P402">WEEKDAY(B402,2)</f>
        <v>4</v>
      </c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>
      <c r="A403" s="56">
        <v>3.78216636E8</v>
      </c>
      <c r="B403" s="126">
        <v>42549.0</v>
      </c>
      <c r="C403" s="126">
        <v>42590.0</v>
      </c>
      <c r="D403" s="56" t="s">
        <v>95</v>
      </c>
      <c r="E403" s="56" t="s">
        <v>110</v>
      </c>
      <c r="F403" s="56">
        <v>2455.0</v>
      </c>
      <c r="G403" s="56" t="s">
        <v>43</v>
      </c>
      <c r="H403" s="56">
        <v>1562.0</v>
      </c>
      <c r="I403" s="127">
        <v>109.28</v>
      </c>
      <c r="J403" s="127">
        <v>35.84</v>
      </c>
      <c r="K403" s="83">
        <f t="shared" si="1"/>
        <v>170695.36</v>
      </c>
      <c r="L403" s="83">
        <f t="shared" si="2"/>
        <v>55982.08</v>
      </c>
      <c r="M403" s="83">
        <f t="shared" si="3"/>
        <v>114713.28</v>
      </c>
      <c r="N403" s="46" t="str">
        <f>VLOOKUP(F403,products!$A$2:$B$13,2,FALSE)</f>
        <v>Clothes</v>
      </c>
      <c r="O403" s="46" t="s">
        <v>110</v>
      </c>
      <c r="P403" s="46">
        <f t="array" ref="P403">WEEKDAY(B403,2)</f>
        <v>2</v>
      </c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>
      <c r="A404" s="56">
        <v>3.78714883E8</v>
      </c>
      <c r="B404" s="126">
        <v>41229.0</v>
      </c>
      <c r="C404" s="126">
        <v>41259.0</v>
      </c>
      <c r="D404" s="56" t="s">
        <v>89</v>
      </c>
      <c r="E404" s="56" t="s">
        <v>94</v>
      </c>
      <c r="F404" s="56">
        <v>8293.0</v>
      </c>
      <c r="G404" s="56" t="s">
        <v>42</v>
      </c>
      <c r="H404" s="56">
        <v>9005.0</v>
      </c>
      <c r="I404" s="127">
        <v>437.2</v>
      </c>
      <c r="J404" s="127">
        <v>263.33</v>
      </c>
      <c r="K404" s="83">
        <f t="shared" si="1"/>
        <v>3936986</v>
      </c>
      <c r="L404" s="83">
        <f t="shared" si="2"/>
        <v>2371286.65</v>
      </c>
      <c r="M404" s="83">
        <f t="shared" si="3"/>
        <v>1565699.35</v>
      </c>
      <c r="N404" s="46" t="str">
        <f>VLOOKUP(F404,products!$A$2:$B$13,2,FALSE)</f>
        <v>Cosmetics</v>
      </c>
      <c r="O404" s="46" t="s">
        <v>94</v>
      </c>
      <c r="P404" s="46">
        <f t="array" ref="P404">WEEKDAY(B404,2)</f>
        <v>5</v>
      </c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>
      <c r="A405" s="56">
        <v>3.7887324E8</v>
      </c>
      <c r="B405" s="126">
        <v>41238.0</v>
      </c>
      <c r="C405" s="126">
        <v>41241.0</v>
      </c>
      <c r="D405" s="56" t="s">
        <v>95</v>
      </c>
      <c r="E405" s="56" t="s">
        <v>128</v>
      </c>
      <c r="F405" s="56">
        <v>1270.0</v>
      </c>
      <c r="G405" s="56" t="s">
        <v>43</v>
      </c>
      <c r="H405" s="56">
        <v>5866.0</v>
      </c>
      <c r="I405" s="127">
        <v>47.45</v>
      </c>
      <c r="J405" s="127">
        <v>31.79</v>
      </c>
      <c r="K405" s="83">
        <f t="shared" si="1"/>
        <v>278341.7</v>
      </c>
      <c r="L405" s="83">
        <f t="shared" si="2"/>
        <v>186480.14</v>
      </c>
      <c r="M405" s="83">
        <f t="shared" si="3"/>
        <v>91861.56</v>
      </c>
      <c r="N405" s="46" t="str">
        <f>VLOOKUP(F405,products!$A$2:$B$13,2,FALSE)</f>
        <v>Beverages</v>
      </c>
      <c r="O405" s="46" t="s">
        <v>128</v>
      </c>
      <c r="P405" s="46">
        <f t="array" ref="P405">WEEKDAY(B405,2)</f>
        <v>7</v>
      </c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>
      <c r="A406" s="56">
        <v>3.79900634E8</v>
      </c>
      <c r="B406" s="126">
        <v>40489.0</v>
      </c>
      <c r="C406" s="126">
        <v>40514.0</v>
      </c>
      <c r="D406" s="56" t="s">
        <v>93</v>
      </c>
      <c r="E406" s="56" t="s">
        <v>100</v>
      </c>
      <c r="F406" s="56">
        <v>2455.0</v>
      </c>
      <c r="G406" s="56" t="s">
        <v>42</v>
      </c>
      <c r="H406" s="56">
        <v>9895.0</v>
      </c>
      <c r="I406" s="127">
        <v>109.28</v>
      </c>
      <c r="J406" s="127">
        <v>35.84</v>
      </c>
      <c r="K406" s="83">
        <f t="shared" si="1"/>
        <v>1081325.6</v>
      </c>
      <c r="L406" s="83">
        <f t="shared" si="2"/>
        <v>354636.8</v>
      </c>
      <c r="M406" s="83">
        <f t="shared" si="3"/>
        <v>726688.8</v>
      </c>
      <c r="N406" s="46" t="str">
        <f>VLOOKUP(F406,products!$A$2:$B$13,2,FALSE)</f>
        <v>Clothes</v>
      </c>
      <c r="O406" s="46" t="s">
        <v>100</v>
      </c>
      <c r="P406" s="46">
        <f t="array" ref="P406">WEEKDAY(B406,2)</f>
        <v>7</v>
      </c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>
      <c r="A407" s="56">
        <v>3.80379998E8</v>
      </c>
      <c r="B407" s="126">
        <v>42930.0</v>
      </c>
      <c r="C407" s="126">
        <v>42932.0</v>
      </c>
      <c r="D407" s="56" t="s">
        <v>10</v>
      </c>
      <c r="E407" s="56" t="s">
        <v>131</v>
      </c>
      <c r="F407" s="56">
        <v>7940.0</v>
      </c>
      <c r="G407" s="56" t="s">
        <v>43</v>
      </c>
      <c r="H407" s="56">
        <v>1749.0</v>
      </c>
      <c r="I407" s="127">
        <v>668.27</v>
      </c>
      <c r="J407" s="127">
        <v>502.54</v>
      </c>
      <c r="K407" s="83">
        <f t="shared" si="1"/>
        <v>1168804.23</v>
      </c>
      <c r="L407" s="83">
        <f t="shared" si="2"/>
        <v>878942.46</v>
      </c>
      <c r="M407" s="83">
        <f t="shared" si="3"/>
        <v>289861.77</v>
      </c>
      <c r="N407" s="46" t="str">
        <f>VLOOKUP(F407,products!$A$2:$B$13,2,FALSE)</f>
        <v>Household</v>
      </c>
      <c r="O407" s="46" t="s">
        <v>131</v>
      </c>
      <c r="P407" s="46">
        <f t="array" ref="P407">WEEKDAY(B407,2)</f>
        <v>5</v>
      </c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>
      <c r="A408" s="56">
        <v>3.80498874E8</v>
      </c>
      <c r="B408" s="126">
        <v>41753.0</v>
      </c>
      <c r="C408" s="126">
        <v>41772.0</v>
      </c>
      <c r="D408" s="56" t="s">
        <v>95</v>
      </c>
      <c r="E408" s="56" t="s">
        <v>125</v>
      </c>
      <c r="F408" s="56">
        <v>2455.0</v>
      </c>
      <c r="G408" s="56" t="s">
        <v>43</v>
      </c>
      <c r="H408" s="56">
        <v>6927.0</v>
      </c>
      <c r="I408" s="127">
        <v>109.28</v>
      </c>
      <c r="J408" s="127">
        <v>35.84</v>
      </c>
      <c r="K408" s="83">
        <f t="shared" si="1"/>
        <v>756982.56</v>
      </c>
      <c r="L408" s="83">
        <f t="shared" si="2"/>
        <v>248263.68</v>
      </c>
      <c r="M408" s="83">
        <f t="shared" si="3"/>
        <v>508718.88</v>
      </c>
      <c r="N408" s="46" t="str">
        <f>VLOOKUP(F408,products!$A$2:$B$13,2,FALSE)</f>
        <v>Clothes</v>
      </c>
      <c r="O408" s="46" t="s">
        <v>125</v>
      </c>
      <c r="P408" s="46">
        <f t="array" ref="P408">WEEKDAY(B408,2)</f>
        <v>4</v>
      </c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>
      <c r="A409" s="56">
        <v>3.80610454E8</v>
      </c>
      <c r="B409" s="126">
        <v>40898.0</v>
      </c>
      <c r="C409" s="126">
        <v>40906.0</v>
      </c>
      <c r="D409" s="56" t="s">
        <v>10</v>
      </c>
      <c r="E409" s="56" t="s">
        <v>91</v>
      </c>
      <c r="F409" s="56">
        <v>8875.0</v>
      </c>
      <c r="G409" s="56" t="s">
        <v>42</v>
      </c>
      <c r="H409" s="56">
        <v>9946.0</v>
      </c>
      <c r="I409" s="127">
        <v>421.89</v>
      </c>
      <c r="J409" s="127">
        <v>364.69</v>
      </c>
      <c r="K409" s="83">
        <f t="shared" si="1"/>
        <v>4196117.94</v>
      </c>
      <c r="L409" s="83">
        <f t="shared" si="2"/>
        <v>3627206.74</v>
      </c>
      <c r="M409" s="83">
        <f t="shared" si="3"/>
        <v>568911.2</v>
      </c>
      <c r="N409" s="46" t="str">
        <f>VLOOKUP(F409,products!$A$2:$B$13,2,FALSE)</f>
        <v>Meat</v>
      </c>
      <c r="O409" s="46" t="s">
        <v>91</v>
      </c>
      <c r="P409" s="46">
        <f t="array" ref="P409">WEEKDAY(B409,2)</f>
        <v>3</v>
      </c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>
      <c r="A410" s="56">
        <v>3.80684268E8</v>
      </c>
      <c r="B410" s="126">
        <v>42034.0</v>
      </c>
      <c r="C410" s="126">
        <v>42058.0</v>
      </c>
      <c r="D410" s="56" t="s">
        <v>89</v>
      </c>
      <c r="E410" s="56" t="s">
        <v>107</v>
      </c>
      <c r="F410" s="56">
        <v>8293.0</v>
      </c>
      <c r="G410" s="56" t="s">
        <v>42</v>
      </c>
      <c r="H410" s="56">
        <v>1789.0</v>
      </c>
      <c r="I410" s="127">
        <v>437.2</v>
      </c>
      <c r="J410" s="127">
        <v>263.33</v>
      </c>
      <c r="K410" s="83">
        <f t="shared" si="1"/>
        <v>782150.8</v>
      </c>
      <c r="L410" s="83">
        <f t="shared" si="2"/>
        <v>471097.37</v>
      </c>
      <c r="M410" s="83">
        <f t="shared" si="3"/>
        <v>311053.43</v>
      </c>
      <c r="N410" s="46" t="str">
        <f>VLOOKUP(F410,products!$A$2:$B$13,2,FALSE)</f>
        <v>Cosmetics</v>
      </c>
      <c r="O410" s="46" t="s">
        <v>107</v>
      </c>
      <c r="P410" s="46">
        <f t="array" ref="P410">WEEKDAY(B410,2)</f>
        <v>5</v>
      </c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>
      <c r="A411" s="56">
        <v>3.80733191E8</v>
      </c>
      <c r="B411" s="126">
        <v>41340.0</v>
      </c>
      <c r="C411" s="126">
        <v>41377.0</v>
      </c>
      <c r="D411" s="56" t="s">
        <v>10</v>
      </c>
      <c r="E411" s="56" t="s">
        <v>128</v>
      </c>
      <c r="F411" s="56">
        <v>7331.0</v>
      </c>
      <c r="G411" s="56" t="s">
        <v>42</v>
      </c>
      <c r="H411" s="56">
        <v>6267.0</v>
      </c>
      <c r="I411" s="127">
        <v>255.28</v>
      </c>
      <c r="J411" s="127">
        <v>159.42</v>
      </c>
      <c r="K411" s="83">
        <f t="shared" si="1"/>
        <v>1599839.76</v>
      </c>
      <c r="L411" s="83">
        <f t="shared" si="2"/>
        <v>999085.14</v>
      </c>
      <c r="M411" s="83">
        <f t="shared" si="3"/>
        <v>600754.62</v>
      </c>
      <c r="N411" s="46" t="str">
        <f>VLOOKUP(F411,products!$A$2:$B$13,2,FALSE)</f>
        <v>Baby Food</v>
      </c>
      <c r="O411" s="46" t="s">
        <v>128</v>
      </c>
      <c r="P411" s="46">
        <f t="array" ref="P411">WEEKDAY(B411,2)</f>
        <v>4</v>
      </c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>
      <c r="A412" s="56">
        <v>3.81759297E8</v>
      </c>
      <c r="B412" s="126">
        <v>40972.0</v>
      </c>
      <c r="C412" s="126">
        <v>40993.0</v>
      </c>
      <c r="D412" s="56" t="s">
        <v>10</v>
      </c>
      <c r="E412" s="56" t="s">
        <v>94</v>
      </c>
      <c r="F412" s="56">
        <v>2455.0</v>
      </c>
      <c r="G412" s="56" t="s">
        <v>43</v>
      </c>
      <c r="H412" s="56">
        <v>9914.0</v>
      </c>
      <c r="I412" s="127">
        <v>109.28</v>
      </c>
      <c r="J412" s="127">
        <v>35.84</v>
      </c>
      <c r="K412" s="83">
        <f t="shared" si="1"/>
        <v>1083401.92</v>
      </c>
      <c r="L412" s="83">
        <f t="shared" si="2"/>
        <v>355317.76</v>
      </c>
      <c r="M412" s="83">
        <f t="shared" si="3"/>
        <v>728084.16</v>
      </c>
      <c r="N412" s="46" t="str">
        <f>VLOOKUP(F412,products!$A$2:$B$13,2,FALSE)</f>
        <v>Clothes</v>
      </c>
      <c r="O412" s="46" t="s">
        <v>94</v>
      </c>
      <c r="P412" s="46">
        <f t="array" ref="P412">WEEKDAY(B412,2)</f>
        <v>7</v>
      </c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>
      <c r="A413" s="56">
        <v>3.81774747E8</v>
      </c>
      <c r="B413" s="126">
        <v>41918.0</v>
      </c>
      <c r="C413" s="126">
        <v>41935.0</v>
      </c>
      <c r="D413" s="56" t="s">
        <v>10</v>
      </c>
      <c r="E413" s="56" t="s">
        <v>90</v>
      </c>
      <c r="F413" s="56">
        <v>4594.0</v>
      </c>
      <c r="G413" s="56" t="s">
        <v>42</v>
      </c>
      <c r="H413" s="56">
        <v>4486.0</v>
      </c>
      <c r="I413" s="127">
        <v>9.33</v>
      </c>
      <c r="J413" s="127">
        <v>6.92</v>
      </c>
      <c r="K413" s="83">
        <f t="shared" si="1"/>
        <v>41854.38</v>
      </c>
      <c r="L413" s="83">
        <f t="shared" si="2"/>
        <v>31043.12</v>
      </c>
      <c r="M413" s="83">
        <f t="shared" si="3"/>
        <v>10811.26</v>
      </c>
      <c r="N413" s="46" t="str">
        <f>VLOOKUP(F413,products!$A$2:$B$13,2,FALSE)</f>
        <v>Fruits</v>
      </c>
      <c r="O413" s="46" t="s">
        <v>90</v>
      </c>
      <c r="P413" s="46">
        <f t="array" ref="P413">WEEKDAY(B413,2)</f>
        <v>1</v>
      </c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>
      <c r="A414" s="56">
        <v>3.82581126E8</v>
      </c>
      <c r="B414" s="126">
        <v>41321.0</v>
      </c>
      <c r="C414" s="126">
        <v>41360.0</v>
      </c>
      <c r="D414" s="56" t="s">
        <v>89</v>
      </c>
      <c r="E414" s="56" t="s">
        <v>127</v>
      </c>
      <c r="F414" s="56">
        <v>3127.0</v>
      </c>
      <c r="G414" s="56" t="s">
        <v>42</v>
      </c>
      <c r="H414" s="56">
        <v>3112.0</v>
      </c>
      <c r="I414" s="127">
        <v>81.73</v>
      </c>
      <c r="J414" s="127">
        <v>56.67</v>
      </c>
      <c r="K414" s="83">
        <f t="shared" si="1"/>
        <v>254343.76</v>
      </c>
      <c r="L414" s="83">
        <f t="shared" si="2"/>
        <v>176357.04</v>
      </c>
      <c r="M414" s="83">
        <f t="shared" si="3"/>
        <v>77986.72</v>
      </c>
      <c r="N414" s="46" t="str">
        <f>VLOOKUP(F414,products!$A$2:$B$13,2,FALSE)</f>
        <v>Personal Care</v>
      </c>
      <c r="O414" s="46" t="s">
        <v>127</v>
      </c>
      <c r="P414" s="46">
        <f t="array" ref="P414">WEEKDAY(B414,2)</f>
        <v>6</v>
      </c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>
      <c r="A415" s="56">
        <v>3.83611094E8</v>
      </c>
      <c r="B415" s="126">
        <v>42573.0</v>
      </c>
      <c r="C415" s="126">
        <v>42608.0</v>
      </c>
      <c r="D415" s="56" t="s">
        <v>95</v>
      </c>
      <c r="E415" s="56" t="s">
        <v>116</v>
      </c>
      <c r="F415" s="56">
        <v>2455.0</v>
      </c>
      <c r="G415" s="56" t="s">
        <v>43</v>
      </c>
      <c r="H415" s="56">
        <v>7902.0</v>
      </c>
      <c r="I415" s="127">
        <v>109.28</v>
      </c>
      <c r="J415" s="127">
        <v>35.84</v>
      </c>
      <c r="K415" s="83">
        <f t="shared" si="1"/>
        <v>863530.56</v>
      </c>
      <c r="L415" s="83">
        <f t="shared" si="2"/>
        <v>283207.68</v>
      </c>
      <c r="M415" s="83">
        <f t="shared" si="3"/>
        <v>580322.88</v>
      </c>
      <c r="N415" s="46" t="str">
        <f>VLOOKUP(F415,products!$A$2:$B$13,2,FALSE)</f>
        <v>Clothes</v>
      </c>
      <c r="O415" s="46" t="s">
        <v>116</v>
      </c>
      <c r="P415" s="46">
        <f t="array" ref="P415">WEEKDAY(B415,2)</f>
        <v>5</v>
      </c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>
      <c r="A416" s="56">
        <v>3.84128224E8</v>
      </c>
      <c r="B416" s="126">
        <v>40257.0</v>
      </c>
      <c r="C416" s="126">
        <v>40294.0</v>
      </c>
      <c r="D416" s="56" t="s">
        <v>89</v>
      </c>
      <c r="E416" s="56" t="s">
        <v>90</v>
      </c>
      <c r="F416" s="56">
        <v>7940.0</v>
      </c>
      <c r="G416" s="56" t="s">
        <v>42</v>
      </c>
      <c r="H416" s="56">
        <v>933.0</v>
      </c>
      <c r="I416" s="127">
        <v>668.27</v>
      </c>
      <c r="J416" s="127">
        <v>502.54</v>
      </c>
      <c r="K416" s="83">
        <f t="shared" si="1"/>
        <v>623495.91</v>
      </c>
      <c r="L416" s="83">
        <f t="shared" si="2"/>
        <v>468869.82</v>
      </c>
      <c r="M416" s="83">
        <f t="shared" si="3"/>
        <v>154626.09</v>
      </c>
      <c r="N416" s="46" t="str">
        <f>VLOOKUP(F416,products!$A$2:$B$13,2,FALSE)</f>
        <v>Household</v>
      </c>
      <c r="O416" s="46" t="s">
        <v>90</v>
      </c>
      <c r="P416" s="46">
        <f t="array" ref="P416">WEEKDAY(B416,2)</f>
        <v>6</v>
      </c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>
      <c r="A417" s="56">
        <v>3.84483993E8</v>
      </c>
      <c r="B417" s="126">
        <v>40668.0</v>
      </c>
      <c r="C417" s="126">
        <v>40713.0</v>
      </c>
      <c r="D417" s="56" t="s">
        <v>93</v>
      </c>
      <c r="E417" s="56" t="s">
        <v>118</v>
      </c>
      <c r="F417" s="56">
        <v>5988.0</v>
      </c>
      <c r="G417" s="56" t="s">
        <v>42</v>
      </c>
      <c r="H417" s="56">
        <v>6212.0</v>
      </c>
      <c r="I417" s="127">
        <v>154.06</v>
      </c>
      <c r="J417" s="127">
        <v>90.93</v>
      </c>
      <c r="K417" s="83">
        <f t="shared" si="1"/>
        <v>957020.72</v>
      </c>
      <c r="L417" s="83">
        <f t="shared" si="2"/>
        <v>564857.16</v>
      </c>
      <c r="M417" s="83">
        <f t="shared" si="3"/>
        <v>392163.56</v>
      </c>
      <c r="N417" s="46" t="str">
        <f>VLOOKUP(F417,products!$A$2:$B$13,2,FALSE)</f>
        <v>Vegetables</v>
      </c>
      <c r="O417" s="46" t="s">
        <v>118</v>
      </c>
      <c r="P417" s="46">
        <f t="array" ref="P417">WEEKDAY(B417,2)</f>
        <v>4</v>
      </c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>
      <c r="A418" s="56">
        <v>3.84601581E8</v>
      </c>
      <c r="B418" s="126">
        <v>42638.0</v>
      </c>
      <c r="C418" s="126">
        <v>42662.0</v>
      </c>
      <c r="D418" s="56" t="s">
        <v>89</v>
      </c>
      <c r="E418" s="56" t="s">
        <v>107</v>
      </c>
      <c r="F418" s="56">
        <v>4594.0</v>
      </c>
      <c r="G418" s="56" t="s">
        <v>43</v>
      </c>
      <c r="H418" s="56">
        <v>1009.0</v>
      </c>
      <c r="I418" s="127">
        <v>9.33</v>
      </c>
      <c r="J418" s="127">
        <v>6.92</v>
      </c>
      <c r="K418" s="83">
        <f t="shared" si="1"/>
        <v>9413.97</v>
      </c>
      <c r="L418" s="83">
        <f t="shared" si="2"/>
        <v>6982.28</v>
      </c>
      <c r="M418" s="83">
        <f t="shared" si="3"/>
        <v>2431.69</v>
      </c>
      <c r="N418" s="46" t="str">
        <f>VLOOKUP(F418,products!$A$2:$B$13,2,FALSE)</f>
        <v>Fruits</v>
      </c>
      <c r="O418" s="46" t="s">
        <v>107</v>
      </c>
      <c r="P418" s="46">
        <f t="array" ref="P418">WEEKDAY(B418,2)</f>
        <v>7</v>
      </c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>
      <c r="A419" s="56">
        <v>3.84976232E8</v>
      </c>
      <c r="B419" s="126">
        <v>42053.0</v>
      </c>
      <c r="C419" s="126">
        <v>42097.0</v>
      </c>
      <c r="D419" s="56" t="s">
        <v>93</v>
      </c>
      <c r="E419" s="56" t="s">
        <v>137</v>
      </c>
      <c r="F419" s="56">
        <v>8681.0</v>
      </c>
      <c r="G419" s="56" t="s">
        <v>43</v>
      </c>
      <c r="H419" s="56">
        <v>1877.0</v>
      </c>
      <c r="I419" s="127">
        <v>651.21</v>
      </c>
      <c r="J419" s="127">
        <v>524.96</v>
      </c>
      <c r="K419" s="83">
        <f t="shared" si="1"/>
        <v>1222321.17</v>
      </c>
      <c r="L419" s="83">
        <f t="shared" si="2"/>
        <v>985349.92</v>
      </c>
      <c r="M419" s="83">
        <f t="shared" si="3"/>
        <v>236971.25</v>
      </c>
      <c r="N419" s="46" t="str">
        <f>VLOOKUP(F419,products!$A$2:$B$13,2,FALSE)</f>
        <v>Office Supplies</v>
      </c>
      <c r="O419" s="46" t="s">
        <v>137</v>
      </c>
      <c r="P419" s="46">
        <f t="array" ref="P419">WEEKDAY(B419,2)</f>
        <v>3</v>
      </c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>
      <c r="A420" s="56">
        <v>3.85080945E8</v>
      </c>
      <c r="B420" s="126">
        <v>42314.0</v>
      </c>
      <c r="C420" s="126">
        <v>42315.0</v>
      </c>
      <c r="D420" s="56" t="s">
        <v>89</v>
      </c>
      <c r="E420" s="56" t="s">
        <v>108</v>
      </c>
      <c r="F420" s="56">
        <v>8293.0</v>
      </c>
      <c r="G420" s="56" t="s">
        <v>42</v>
      </c>
      <c r="H420" s="56">
        <v>2864.0</v>
      </c>
      <c r="I420" s="127">
        <v>437.2</v>
      </c>
      <c r="J420" s="127">
        <v>263.33</v>
      </c>
      <c r="K420" s="83">
        <f t="shared" si="1"/>
        <v>1252140.8</v>
      </c>
      <c r="L420" s="83">
        <f t="shared" si="2"/>
        <v>754177.12</v>
      </c>
      <c r="M420" s="83">
        <f t="shared" si="3"/>
        <v>497963.68</v>
      </c>
      <c r="N420" s="46" t="str">
        <f>VLOOKUP(F420,products!$A$2:$B$13,2,FALSE)</f>
        <v>Cosmetics</v>
      </c>
      <c r="O420" s="46" t="s">
        <v>108</v>
      </c>
      <c r="P420" s="46">
        <f t="array" ref="P420">WEEKDAY(B420,2)</f>
        <v>5</v>
      </c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>
      <c r="A421" s="56">
        <v>3.85340154E8</v>
      </c>
      <c r="B421" s="126">
        <v>40965.0</v>
      </c>
      <c r="C421" s="126">
        <v>40986.0</v>
      </c>
      <c r="D421" s="56" t="s">
        <v>89</v>
      </c>
      <c r="E421" s="56" t="s">
        <v>100</v>
      </c>
      <c r="F421" s="56">
        <v>8293.0</v>
      </c>
      <c r="G421" s="56" t="s">
        <v>42</v>
      </c>
      <c r="H421" s="56">
        <v>9569.0</v>
      </c>
      <c r="I421" s="127">
        <v>437.2</v>
      </c>
      <c r="J421" s="127">
        <v>263.33</v>
      </c>
      <c r="K421" s="83">
        <f t="shared" si="1"/>
        <v>4183566.8</v>
      </c>
      <c r="L421" s="83">
        <f t="shared" si="2"/>
        <v>2519804.77</v>
      </c>
      <c r="M421" s="83">
        <f t="shared" si="3"/>
        <v>1663762.03</v>
      </c>
      <c r="N421" s="46" t="str">
        <f>VLOOKUP(F421,products!$A$2:$B$13,2,FALSE)</f>
        <v>Cosmetics</v>
      </c>
      <c r="O421" s="46" t="s">
        <v>100</v>
      </c>
      <c r="P421" s="46">
        <f t="array" ref="P421">WEEKDAY(B421,2)</f>
        <v>7</v>
      </c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>
      <c r="A422" s="56">
        <v>3.86009633E8</v>
      </c>
      <c r="B422" s="126">
        <v>41364.0</v>
      </c>
      <c r="C422" s="126">
        <v>41369.0</v>
      </c>
      <c r="D422" s="56" t="s">
        <v>89</v>
      </c>
      <c r="E422" s="56" t="s">
        <v>110</v>
      </c>
      <c r="F422" s="56">
        <v>3127.0</v>
      </c>
      <c r="G422" s="56" t="s">
        <v>42</v>
      </c>
      <c r="H422" s="56">
        <v>7683.0</v>
      </c>
      <c r="I422" s="127">
        <v>81.73</v>
      </c>
      <c r="J422" s="127">
        <v>56.67</v>
      </c>
      <c r="K422" s="83">
        <f t="shared" si="1"/>
        <v>627931.59</v>
      </c>
      <c r="L422" s="83">
        <f t="shared" si="2"/>
        <v>435395.61</v>
      </c>
      <c r="M422" s="83">
        <f t="shared" si="3"/>
        <v>192535.98</v>
      </c>
      <c r="N422" s="46" t="str">
        <f>VLOOKUP(F422,products!$A$2:$B$13,2,FALSE)</f>
        <v>Personal Care</v>
      </c>
      <c r="O422" s="46" t="s">
        <v>110</v>
      </c>
      <c r="P422" s="46">
        <f t="array" ref="P422">WEEKDAY(B422,2)</f>
        <v>7</v>
      </c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>
      <c r="A423" s="56">
        <v>3.86319911E8</v>
      </c>
      <c r="B423" s="126">
        <v>40528.0</v>
      </c>
      <c r="C423" s="126">
        <v>40545.0</v>
      </c>
      <c r="D423" s="56" t="s">
        <v>10</v>
      </c>
      <c r="E423" s="56" t="s">
        <v>98</v>
      </c>
      <c r="F423" s="56">
        <v>5988.0</v>
      </c>
      <c r="G423" s="56" t="s">
        <v>43</v>
      </c>
      <c r="H423" s="56">
        <v>9501.0</v>
      </c>
      <c r="I423" s="127">
        <v>154.06</v>
      </c>
      <c r="J423" s="127">
        <v>90.93</v>
      </c>
      <c r="K423" s="83">
        <f t="shared" si="1"/>
        <v>1463724.06</v>
      </c>
      <c r="L423" s="83">
        <f t="shared" si="2"/>
        <v>863925.93</v>
      </c>
      <c r="M423" s="83">
        <f t="shared" si="3"/>
        <v>599798.13</v>
      </c>
      <c r="N423" s="46" t="str">
        <f>VLOOKUP(F423,products!$A$2:$B$13,2,FALSE)</f>
        <v>Vegetables</v>
      </c>
      <c r="O423" s="46" t="s">
        <v>98</v>
      </c>
      <c r="P423" s="46">
        <f t="array" ref="P423">WEEKDAY(B423,2)</f>
        <v>4</v>
      </c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>
      <c r="A424" s="56">
        <v>3.86440074E8</v>
      </c>
      <c r="B424" s="126">
        <v>41734.0</v>
      </c>
      <c r="C424" s="126">
        <v>41754.0</v>
      </c>
      <c r="D424" s="56" t="s">
        <v>10</v>
      </c>
      <c r="E424" s="56" t="s">
        <v>106</v>
      </c>
      <c r="F424" s="56">
        <v>3127.0</v>
      </c>
      <c r="G424" s="56" t="s">
        <v>42</v>
      </c>
      <c r="H424" s="56">
        <v>5060.0</v>
      </c>
      <c r="I424" s="127">
        <v>81.73</v>
      </c>
      <c r="J424" s="127">
        <v>56.67</v>
      </c>
      <c r="K424" s="83">
        <f t="shared" si="1"/>
        <v>413553.8</v>
      </c>
      <c r="L424" s="83">
        <f t="shared" si="2"/>
        <v>286750.2</v>
      </c>
      <c r="M424" s="83">
        <f t="shared" si="3"/>
        <v>126803.6</v>
      </c>
      <c r="N424" s="46" t="str">
        <f>VLOOKUP(F424,products!$A$2:$B$13,2,FALSE)</f>
        <v>Personal Care</v>
      </c>
      <c r="O424" s="46" t="s">
        <v>106</v>
      </c>
      <c r="P424" s="46">
        <f t="array" ref="P424">WEEKDAY(B424,2)</f>
        <v>6</v>
      </c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>
      <c r="A425" s="56">
        <v>3.86601865E8</v>
      </c>
      <c r="B425" s="126">
        <v>42568.0</v>
      </c>
      <c r="C425" s="126">
        <v>42577.0</v>
      </c>
      <c r="D425" s="56" t="s">
        <v>93</v>
      </c>
      <c r="E425" s="56" t="s">
        <v>110</v>
      </c>
      <c r="F425" s="56">
        <v>5988.0</v>
      </c>
      <c r="G425" s="56" t="s">
        <v>43</v>
      </c>
      <c r="H425" s="56">
        <v>2938.0</v>
      </c>
      <c r="I425" s="127">
        <v>154.06</v>
      </c>
      <c r="J425" s="127">
        <v>90.93</v>
      </c>
      <c r="K425" s="83">
        <f t="shared" si="1"/>
        <v>452628.28</v>
      </c>
      <c r="L425" s="83">
        <f t="shared" si="2"/>
        <v>267152.34</v>
      </c>
      <c r="M425" s="83">
        <f t="shared" si="3"/>
        <v>185475.94</v>
      </c>
      <c r="N425" s="46" t="str">
        <f>VLOOKUP(F425,products!$A$2:$B$13,2,FALSE)</f>
        <v>Vegetables</v>
      </c>
      <c r="O425" s="46" t="s">
        <v>110</v>
      </c>
      <c r="P425" s="46">
        <f t="array" ref="P425">WEEKDAY(B425,2)</f>
        <v>7</v>
      </c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>
      <c r="A426" s="56">
        <v>3.87098824E8</v>
      </c>
      <c r="B426" s="126">
        <v>41631.0</v>
      </c>
      <c r="C426" s="126">
        <v>41643.0</v>
      </c>
      <c r="D426" s="56" t="s">
        <v>95</v>
      </c>
      <c r="E426" s="56" t="s">
        <v>103</v>
      </c>
      <c r="F426" s="56">
        <v>3127.0</v>
      </c>
      <c r="G426" s="56" t="s">
        <v>42</v>
      </c>
      <c r="H426" s="56">
        <v>9999.0</v>
      </c>
      <c r="I426" s="127">
        <v>81.73</v>
      </c>
      <c r="J426" s="127">
        <v>56.67</v>
      </c>
      <c r="K426" s="83">
        <f t="shared" si="1"/>
        <v>817218.27</v>
      </c>
      <c r="L426" s="83">
        <f t="shared" si="2"/>
        <v>566643.33</v>
      </c>
      <c r="M426" s="83">
        <f t="shared" si="3"/>
        <v>250574.94</v>
      </c>
      <c r="N426" s="46" t="str">
        <f>VLOOKUP(F426,products!$A$2:$B$13,2,FALSE)</f>
        <v>Personal Care</v>
      </c>
      <c r="O426" s="46" t="s">
        <v>103</v>
      </c>
      <c r="P426" s="46">
        <f t="array" ref="P426">WEEKDAY(B426,2)</f>
        <v>1</v>
      </c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>
      <c r="A427" s="56">
        <v>3.8872832E8</v>
      </c>
      <c r="B427" s="126">
        <v>40999.0</v>
      </c>
      <c r="C427" s="126">
        <v>41039.0</v>
      </c>
      <c r="D427" s="56" t="s">
        <v>10</v>
      </c>
      <c r="E427" s="56" t="s">
        <v>133</v>
      </c>
      <c r="F427" s="56">
        <v>8969.0</v>
      </c>
      <c r="G427" s="56" t="s">
        <v>42</v>
      </c>
      <c r="H427" s="56">
        <v>2203.0</v>
      </c>
      <c r="I427" s="127">
        <v>152.58</v>
      </c>
      <c r="J427" s="127">
        <v>97.44</v>
      </c>
      <c r="K427" s="83">
        <f t="shared" si="1"/>
        <v>336133.74</v>
      </c>
      <c r="L427" s="83">
        <f t="shared" si="2"/>
        <v>214660.32</v>
      </c>
      <c r="M427" s="83">
        <f t="shared" si="3"/>
        <v>121473.42</v>
      </c>
      <c r="N427" s="46" t="str">
        <f>VLOOKUP(F427,products!$A$2:$B$13,2,FALSE)</f>
        <v>Snacks</v>
      </c>
      <c r="O427" s="46" t="s">
        <v>133</v>
      </c>
      <c r="P427" s="46">
        <f t="array" ref="P427">WEEKDAY(B427,2)</f>
        <v>6</v>
      </c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>
      <c r="A428" s="56">
        <v>3.91026866E8</v>
      </c>
      <c r="B428" s="126">
        <v>42738.0</v>
      </c>
      <c r="C428" s="126">
        <v>42743.0</v>
      </c>
      <c r="D428" s="56" t="s">
        <v>10</v>
      </c>
      <c r="E428" s="56" t="s">
        <v>98</v>
      </c>
      <c r="F428" s="56">
        <v>8293.0</v>
      </c>
      <c r="G428" s="56" t="s">
        <v>42</v>
      </c>
      <c r="H428" s="56">
        <v>2394.0</v>
      </c>
      <c r="I428" s="127">
        <v>437.2</v>
      </c>
      <c r="J428" s="127">
        <v>263.33</v>
      </c>
      <c r="K428" s="83">
        <f t="shared" si="1"/>
        <v>1046656.8</v>
      </c>
      <c r="L428" s="83">
        <f t="shared" si="2"/>
        <v>630412.02</v>
      </c>
      <c r="M428" s="83">
        <f t="shared" si="3"/>
        <v>416244.78</v>
      </c>
      <c r="N428" s="46" t="str">
        <f>VLOOKUP(F428,products!$A$2:$B$13,2,FALSE)</f>
        <v>Cosmetics</v>
      </c>
      <c r="O428" s="46" t="s">
        <v>98</v>
      </c>
      <c r="P428" s="46">
        <f t="array" ref="P428">WEEKDAY(B428,2)</f>
        <v>2</v>
      </c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>
      <c r="A429" s="56">
        <v>3.91200673E8</v>
      </c>
      <c r="B429" s="126">
        <v>40927.0</v>
      </c>
      <c r="C429" s="126">
        <v>40952.0</v>
      </c>
      <c r="D429" s="56" t="s">
        <v>93</v>
      </c>
      <c r="E429" s="56" t="s">
        <v>97</v>
      </c>
      <c r="F429" s="56">
        <v>8681.0</v>
      </c>
      <c r="G429" s="56" t="s">
        <v>43</v>
      </c>
      <c r="H429" s="56">
        <v>3827.0</v>
      </c>
      <c r="I429" s="127">
        <v>651.21</v>
      </c>
      <c r="J429" s="127">
        <v>524.96</v>
      </c>
      <c r="K429" s="83">
        <f t="shared" si="1"/>
        <v>2492180.67</v>
      </c>
      <c r="L429" s="83">
        <f t="shared" si="2"/>
        <v>2009021.92</v>
      </c>
      <c r="M429" s="83">
        <f t="shared" si="3"/>
        <v>483158.75</v>
      </c>
      <c r="N429" s="46" t="str">
        <f>VLOOKUP(F429,products!$A$2:$B$13,2,FALSE)</f>
        <v>Office Supplies</v>
      </c>
      <c r="O429" s="46" t="s">
        <v>97</v>
      </c>
      <c r="P429" s="46">
        <f t="array" ref="P429">WEEKDAY(B429,2)</f>
        <v>4</v>
      </c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>
      <c r="A430" s="56">
        <v>3.91849982E8</v>
      </c>
      <c r="B430" s="126">
        <v>42704.0</v>
      </c>
      <c r="C430" s="126">
        <v>42715.0</v>
      </c>
      <c r="D430" s="56" t="s">
        <v>95</v>
      </c>
      <c r="E430" s="56" t="s">
        <v>102</v>
      </c>
      <c r="F430" s="56">
        <v>2103.0</v>
      </c>
      <c r="G430" s="56" t="s">
        <v>42</v>
      </c>
      <c r="H430" s="56">
        <v>5972.0</v>
      </c>
      <c r="I430" s="127">
        <v>205.7</v>
      </c>
      <c r="J430" s="127">
        <v>117.11</v>
      </c>
      <c r="K430" s="83">
        <f t="shared" si="1"/>
        <v>1228440.4</v>
      </c>
      <c r="L430" s="83">
        <f t="shared" si="2"/>
        <v>699380.92</v>
      </c>
      <c r="M430" s="83">
        <f t="shared" si="3"/>
        <v>529059.48</v>
      </c>
      <c r="N430" s="46" t="str">
        <f>VLOOKUP(F430,products!$A$2:$B$13,2,FALSE)</f>
        <v>Cereal</v>
      </c>
      <c r="O430" s="46" t="s">
        <v>102</v>
      </c>
      <c r="P430" s="46">
        <f t="array" ref="P430">WEEKDAY(B430,2)</f>
        <v>3</v>
      </c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>
      <c r="A431" s="56">
        <v>3.92217338E8</v>
      </c>
      <c r="B431" s="126">
        <v>42441.0</v>
      </c>
      <c r="C431" s="126">
        <v>42444.0</v>
      </c>
      <c r="D431" s="56" t="s">
        <v>93</v>
      </c>
      <c r="E431" s="56" t="s">
        <v>90</v>
      </c>
      <c r="F431" s="56">
        <v>8969.0</v>
      </c>
      <c r="G431" s="56" t="s">
        <v>42</v>
      </c>
      <c r="H431" s="56">
        <v>4681.0</v>
      </c>
      <c r="I431" s="127">
        <v>152.58</v>
      </c>
      <c r="J431" s="127">
        <v>97.44</v>
      </c>
      <c r="K431" s="83">
        <f t="shared" si="1"/>
        <v>714226.98</v>
      </c>
      <c r="L431" s="83">
        <f t="shared" si="2"/>
        <v>456116.64</v>
      </c>
      <c r="M431" s="83">
        <f t="shared" si="3"/>
        <v>258110.34</v>
      </c>
      <c r="N431" s="46" t="str">
        <f>VLOOKUP(F431,products!$A$2:$B$13,2,FALSE)</f>
        <v>Snacks</v>
      </c>
      <c r="O431" s="46" t="s">
        <v>90</v>
      </c>
      <c r="P431" s="46">
        <f t="array" ref="P431">WEEKDAY(B431,2)</f>
        <v>6</v>
      </c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>
      <c r="A432" s="56">
        <v>3.92252957E8</v>
      </c>
      <c r="B432" s="126">
        <v>42008.0</v>
      </c>
      <c r="C432" s="126">
        <v>42057.0</v>
      </c>
      <c r="D432" s="56" t="s">
        <v>89</v>
      </c>
      <c r="E432" s="56" t="s">
        <v>98</v>
      </c>
      <c r="F432" s="56">
        <v>2103.0</v>
      </c>
      <c r="G432" s="56" t="s">
        <v>42</v>
      </c>
      <c r="H432" s="56">
        <v>5222.0</v>
      </c>
      <c r="I432" s="127">
        <v>205.7</v>
      </c>
      <c r="J432" s="127">
        <v>117.11</v>
      </c>
      <c r="K432" s="83">
        <f t="shared" si="1"/>
        <v>1074165.4</v>
      </c>
      <c r="L432" s="83">
        <f t="shared" si="2"/>
        <v>611548.42</v>
      </c>
      <c r="M432" s="83">
        <f t="shared" si="3"/>
        <v>462616.98</v>
      </c>
      <c r="N432" s="46" t="str">
        <f>VLOOKUP(F432,products!$A$2:$B$13,2,FALSE)</f>
        <v>Cereal</v>
      </c>
      <c r="O432" s="46" t="s">
        <v>98</v>
      </c>
      <c r="P432" s="46">
        <f t="array" ref="P432">WEEKDAY(B432,2)</f>
        <v>7</v>
      </c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>
      <c r="A433" s="56">
        <v>3.92518174E8</v>
      </c>
      <c r="B433" s="126">
        <v>40719.0</v>
      </c>
      <c r="C433" s="126">
        <v>40727.0</v>
      </c>
      <c r="D433" s="56" t="s">
        <v>89</v>
      </c>
      <c r="E433" s="56" t="s">
        <v>91</v>
      </c>
      <c r="F433" s="56">
        <v>5988.0</v>
      </c>
      <c r="G433" s="56" t="s">
        <v>42</v>
      </c>
      <c r="H433" s="56">
        <v>3705.0</v>
      </c>
      <c r="I433" s="127">
        <v>154.06</v>
      </c>
      <c r="J433" s="127">
        <v>90.93</v>
      </c>
      <c r="K433" s="83">
        <f t="shared" si="1"/>
        <v>570792.3</v>
      </c>
      <c r="L433" s="83">
        <f t="shared" si="2"/>
        <v>336895.65</v>
      </c>
      <c r="M433" s="83">
        <f t="shared" si="3"/>
        <v>233896.65</v>
      </c>
      <c r="N433" s="46" t="str">
        <f>VLOOKUP(F433,products!$A$2:$B$13,2,FALSE)</f>
        <v>Vegetables</v>
      </c>
      <c r="O433" s="46" t="s">
        <v>91</v>
      </c>
      <c r="P433" s="46">
        <f t="array" ref="P433">WEEKDAY(B433,2)</f>
        <v>6</v>
      </c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>
      <c r="A434" s="56">
        <v>3.92676532E8</v>
      </c>
      <c r="B434" s="126">
        <v>40729.0</v>
      </c>
      <c r="C434" s="126">
        <v>40761.0</v>
      </c>
      <c r="D434" s="56" t="s">
        <v>95</v>
      </c>
      <c r="E434" s="56" t="s">
        <v>108</v>
      </c>
      <c r="F434" s="56">
        <v>2103.0</v>
      </c>
      <c r="G434" s="56" t="s">
        <v>42</v>
      </c>
      <c r="H434" s="56">
        <v>567.0</v>
      </c>
      <c r="I434" s="127">
        <v>205.7</v>
      </c>
      <c r="J434" s="127">
        <v>117.11</v>
      </c>
      <c r="K434" s="83">
        <f t="shared" si="1"/>
        <v>116631.9</v>
      </c>
      <c r="L434" s="83">
        <f t="shared" si="2"/>
        <v>66401.37</v>
      </c>
      <c r="M434" s="83">
        <f t="shared" si="3"/>
        <v>50230.53</v>
      </c>
      <c r="N434" s="46" t="str">
        <f>VLOOKUP(F434,products!$A$2:$B$13,2,FALSE)</f>
        <v>Cereal</v>
      </c>
      <c r="O434" s="46" t="s">
        <v>108</v>
      </c>
      <c r="P434" s="46">
        <f t="array" ref="P434">WEEKDAY(B434,2)</f>
        <v>2</v>
      </c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>
      <c r="A435" s="56">
        <v>3.92752492E8</v>
      </c>
      <c r="B435" s="126">
        <v>40306.0</v>
      </c>
      <c r="C435" s="126">
        <v>40332.0</v>
      </c>
      <c r="D435" s="56" t="s">
        <v>95</v>
      </c>
      <c r="E435" s="56" t="s">
        <v>121</v>
      </c>
      <c r="F435" s="56">
        <v>3127.0</v>
      </c>
      <c r="G435" s="56" t="s">
        <v>42</v>
      </c>
      <c r="H435" s="56">
        <v>3045.0</v>
      </c>
      <c r="I435" s="127">
        <v>81.73</v>
      </c>
      <c r="J435" s="127">
        <v>56.67</v>
      </c>
      <c r="K435" s="83">
        <f t="shared" si="1"/>
        <v>248867.85</v>
      </c>
      <c r="L435" s="83">
        <f t="shared" si="2"/>
        <v>172560.15</v>
      </c>
      <c r="M435" s="83">
        <f t="shared" si="3"/>
        <v>76307.7</v>
      </c>
      <c r="N435" s="46" t="str">
        <f>VLOOKUP(F435,products!$A$2:$B$13,2,FALSE)</f>
        <v>Personal Care</v>
      </c>
      <c r="O435" s="46" t="s">
        <v>121</v>
      </c>
      <c r="P435" s="46">
        <f t="array" ref="P435">WEEKDAY(B435,2)</f>
        <v>6</v>
      </c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>
      <c r="A436" s="56">
        <v>3.93709933E8</v>
      </c>
      <c r="B436" s="126">
        <v>42806.0</v>
      </c>
      <c r="C436" s="126">
        <v>42850.0</v>
      </c>
      <c r="D436" s="56" t="s">
        <v>10</v>
      </c>
      <c r="E436" s="56" t="s">
        <v>97</v>
      </c>
      <c r="F436" s="56">
        <v>4594.0</v>
      </c>
      <c r="G436" s="56" t="s">
        <v>42</v>
      </c>
      <c r="H436" s="56">
        <v>6373.0</v>
      </c>
      <c r="I436" s="127">
        <v>9.33</v>
      </c>
      <c r="J436" s="127">
        <v>6.92</v>
      </c>
      <c r="K436" s="83">
        <f t="shared" si="1"/>
        <v>59460.09</v>
      </c>
      <c r="L436" s="83">
        <f t="shared" si="2"/>
        <v>44101.16</v>
      </c>
      <c r="M436" s="83">
        <f t="shared" si="3"/>
        <v>15358.93</v>
      </c>
      <c r="N436" s="46" t="str">
        <f>VLOOKUP(F436,products!$A$2:$B$13,2,FALSE)</f>
        <v>Fruits</v>
      </c>
      <c r="O436" s="46" t="s">
        <v>97</v>
      </c>
      <c r="P436" s="46">
        <f t="array" ref="P436">WEEKDAY(B436,2)</f>
        <v>7</v>
      </c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>
      <c r="A437" s="56">
        <v>3.93842971E8</v>
      </c>
      <c r="B437" s="126">
        <v>40190.0</v>
      </c>
      <c r="C437" s="126">
        <v>40209.0</v>
      </c>
      <c r="D437" s="56" t="s">
        <v>93</v>
      </c>
      <c r="E437" s="56" t="s">
        <v>91</v>
      </c>
      <c r="F437" s="56">
        <v>2455.0</v>
      </c>
      <c r="G437" s="56" t="s">
        <v>42</v>
      </c>
      <c r="H437" s="56">
        <v>5742.0</v>
      </c>
      <c r="I437" s="127">
        <v>109.28</v>
      </c>
      <c r="J437" s="127">
        <v>35.84</v>
      </c>
      <c r="K437" s="83">
        <f t="shared" si="1"/>
        <v>627485.76</v>
      </c>
      <c r="L437" s="83">
        <f t="shared" si="2"/>
        <v>205793.28</v>
      </c>
      <c r="M437" s="83">
        <f t="shared" si="3"/>
        <v>421692.48</v>
      </c>
      <c r="N437" s="46" t="str">
        <f>VLOOKUP(F437,products!$A$2:$B$13,2,FALSE)</f>
        <v>Clothes</v>
      </c>
      <c r="O437" s="46" t="s">
        <v>91</v>
      </c>
      <c r="P437" s="46">
        <f t="array" ref="P437">WEEKDAY(B437,2)</f>
        <v>2</v>
      </c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>
      <c r="A438" s="56">
        <v>3.9385842E8</v>
      </c>
      <c r="B438" s="126">
        <v>41135.0</v>
      </c>
      <c r="C438" s="126">
        <v>41150.0</v>
      </c>
      <c r="D438" s="56" t="s">
        <v>93</v>
      </c>
      <c r="E438" s="56" t="s">
        <v>96</v>
      </c>
      <c r="F438" s="56">
        <v>4594.0</v>
      </c>
      <c r="G438" s="56" t="s">
        <v>42</v>
      </c>
      <c r="H438" s="56">
        <v>314.0</v>
      </c>
      <c r="I438" s="127">
        <v>9.33</v>
      </c>
      <c r="J438" s="127">
        <v>6.92</v>
      </c>
      <c r="K438" s="83">
        <f t="shared" si="1"/>
        <v>2929.62</v>
      </c>
      <c r="L438" s="83">
        <f t="shared" si="2"/>
        <v>2172.88</v>
      </c>
      <c r="M438" s="83">
        <f t="shared" si="3"/>
        <v>756.74</v>
      </c>
      <c r="N438" s="46" t="str">
        <f>VLOOKUP(F438,products!$A$2:$B$13,2,FALSE)</f>
        <v>Fruits</v>
      </c>
      <c r="O438" s="46" t="s">
        <v>96</v>
      </c>
      <c r="P438" s="46">
        <f t="array" ref="P438">WEEKDAY(B438,2)</f>
        <v>2</v>
      </c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>
      <c r="A439" s="56">
        <v>3.94110763E8</v>
      </c>
      <c r="B439" s="126">
        <v>40903.0</v>
      </c>
      <c r="C439" s="126">
        <v>40906.0</v>
      </c>
      <c r="D439" s="56" t="s">
        <v>10</v>
      </c>
      <c r="E439" s="56" t="s">
        <v>109</v>
      </c>
      <c r="F439" s="56">
        <v>5988.0</v>
      </c>
      <c r="G439" s="56" t="s">
        <v>42</v>
      </c>
      <c r="H439" s="56">
        <v>4988.0</v>
      </c>
      <c r="I439" s="127">
        <v>154.06</v>
      </c>
      <c r="J439" s="127">
        <v>90.93</v>
      </c>
      <c r="K439" s="83">
        <f t="shared" si="1"/>
        <v>768451.28</v>
      </c>
      <c r="L439" s="83">
        <f t="shared" si="2"/>
        <v>453558.84</v>
      </c>
      <c r="M439" s="83">
        <f t="shared" si="3"/>
        <v>314892.44</v>
      </c>
      <c r="N439" s="46" t="str">
        <f>VLOOKUP(F439,products!$A$2:$B$13,2,FALSE)</f>
        <v>Vegetables</v>
      </c>
      <c r="O439" s="46" t="s">
        <v>109</v>
      </c>
      <c r="P439" s="46">
        <f t="array" ref="P439">WEEKDAY(B439,2)</f>
        <v>1</v>
      </c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>
      <c r="A440" s="56">
        <v>3.94356667E8</v>
      </c>
      <c r="B440" s="126">
        <v>42581.0</v>
      </c>
      <c r="C440" s="126">
        <v>42586.0</v>
      </c>
      <c r="D440" s="56" t="s">
        <v>10</v>
      </c>
      <c r="E440" s="56" t="s">
        <v>103</v>
      </c>
      <c r="F440" s="56">
        <v>7940.0</v>
      </c>
      <c r="G440" s="56" t="s">
        <v>43</v>
      </c>
      <c r="H440" s="56">
        <v>7756.0</v>
      </c>
      <c r="I440" s="127">
        <v>668.27</v>
      </c>
      <c r="J440" s="127">
        <v>502.54</v>
      </c>
      <c r="K440" s="83">
        <f t="shared" si="1"/>
        <v>5183102.12</v>
      </c>
      <c r="L440" s="83">
        <f t="shared" si="2"/>
        <v>3897700.24</v>
      </c>
      <c r="M440" s="83">
        <f t="shared" si="3"/>
        <v>1285401.88</v>
      </c>
      <c r="N440" s="46" t="str">
        <f>VLOOKUP(F440,products!$A$2:$B$13,2,FALSE)</f>
        <v>Household</v>
      </c>
      <c r="O440" s="46" t="s">
        <v>103</v>
      </c>
      <c r="P440" s="46">
        <f t="array" ref="P440">WEEKDAY(B440,2)</f>
        <v>6</v>
      </c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>
      <c r="A441" s="56">
        <v>3.9445666E8</v>
      </c>
      <c r="B441" s="126">
        <v>42400.0</v>
      </c>
      <c r="C441" s="126">
        <v>42409.0</v>
      </c>
      <c r="D441" s="56" t="s">
        <v>95</v>
      </c>
      <c r="E441" s="56" t="s">
        <v>94</v>
      </c>
      <c r="F441" s="56">
        <v>4594.0</v>
      </c>
      <c r="G441" s="56" t="s">
        <v>43</v>
      </c>
      <c r="H441" s="56">
        <v>7346.0</v>
      </c>
      <c r="I441" s="127">
        <v>9.33</v>
      </c>
      <c r="J441" s="127">
        <v>6.92</v>
      </c>
      <c r="K441" s="83">
        <f t="shared" si="1"/>
        <v>68538.18</v>
      </c>
      <c r="L441" s="83">
        <f t="shared" si="2"/>
        <v>50834.32</v>
      </c>
      <c r="M441" s="83">
        <f t="shared" si="3"/>
        <v>17703.86</v>
      </c>
      <c r="N441" s="46" t="str">
        <f>VLOOKUP(F441,products!$A$2:$B$13,2,FALSE)</f>
        <v>Fruits</v>
      </c>
      <c r="O441" s="46" t="s">
        <v>94</v>
      </c>
      <c r="P441" s="46">
        <f t="array" ref="P441">WEEKDAY(B441,2)</f>
        <v>7</v>
      </c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>
      <c r="A442" s="56">
        <v>3.95562589E8</v>
      </c>
      <c r="B442" s="126">
        <v>40463.0</v>
      </c>
      <c r="C442" s="126">
        <v>40513.0</v>
      </c>
      <c r="D442" s="56" t="s">
        <v>10</v>
      </c>
      <c r="E442" s="56" t="s">
        <v>91</v>
      </c>
      <c r="F442" s="56">
        <v>1270.0</v>
      </c>
      <c r="G442" s="56" t="s">
        <v>43</v>
      </c>
      <c r="H442" s="56">
        <v>4615.0</v>
      </c>
      <c r="I442" s="127">
        <v>47.45</v>
      </c>
      <c r="J442" s="127">
        <v>31.79</v>
      </c>
      <c r="K442" s="83">
        <f t="shared" si="1"/>
        <v>218981.75</v>
      </c>
      <c r="L442" s="83">
        <f t="shared" si="2"/>
        <v>146710.85</v>
      </c>
      <c r="M442" s="83">
        <f t="shared" si="3"/>
        <v>72270.9</v>
      </c>
      <c r="N442" s="46" t="str">
        <f>VLOOKUP(F442,products!$A$2:$B$13,2,FALSE)</f>
        <v>Beverages</v>
      </c>
      <c r="O442" s="46" t="s">
        <v>91</v>
      </c>
      <c r="P442" s="46">
        <f t="array" ref="P442">WEEKDAY(B442,2)</f>
        <v>2</v>
      </c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>
      <c r="A443" s="56">
        <v>3.96462953E8</v>
      </c>
      <c r="B443" s="126">
        <v>42390.0</v>
      </c>
      <c r="C443" s="126">
        <v>42426.0</v>
      </c>
      <c r="D443" s="56" t="s">
        <v>93</v>
      </c>
      <c r="E443" s="56" t="s">
        <v>127</v>
      </c>
      <c r="F443" s="56">
        <v>3127.0</v>
      </c>
      <c r="G443" s="56" t="s">
        <v>42</v>
      </c>
      <c r="H443" s="56">
        <v>1053.0</v>
      </c>
      <c r="I443" s="127">
        <v>81.73</v>
      </c>
      <c r="J443" s="127">
        <v>56.67</v>
      </c>
      <c r="K443" s="83">
        <f t="shared" si="1"/>
        <v>86061.69</v>
      </c>
      <c r="L443" s="83">
        <f t="shared" si="2"/>
        <v>59673.51</v>
      </c>
      <c r="M443" s="83">
        <f t="shared" si="3"/>
        <v>26388.18</v>
      </c>
      <c r="N443" s="46" t="str">
        <f>VLOOKUP(F443,products!$A$2:$B$13,2,FALSE)</f>
        <v>Personal Care</v>
      </c>
      <c r="O443" s="46" t="s">
        <v>127</v>
      </c>
      <c r="P443" s="46">
        <f t="array" ref="P443">WEEKDAY(B443,2)</f>
        <v>4</v>
      </c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>
      <c r="A444" s="56">
        <v>3.96552217E8</v>
      </c>
      <c r="B444" s="126">
        <v>41706.0</v>
      </c>
      <c r="C444" s="126">
        <v>41753.0</v>
      </c>
      <c r="D444" s="56" t="s">
        <v>89</v>
      </c>
      <c r="E444" s="56" t="s">
        <v>108</v>
      </c>
      <c r="F444" s="56">
        <v>2455.0</v>
      </c>
      <c r="G444" s="56" t="s">
        <v>42</v>
      </c>
      <c r="H444" s="56">
        <v>7468.0</v>
      </c>
      <c r="I444" s="127">
        <v>109.28</v>
      </c>
      <c r="J444" s="127">
        <v>35.84</v>
      </c>
      <c r="K444" s="83">
        <f t="shared" si="1"/>
        <v>816103.04</v>
      </c>
      <c r="L444" s="83">
        <f t="shared" si="2"/>
        <v>267653.12</v>
      </c>
      <c r="M444" s="83">
        <f t="shared" si="3"/>
        <v>548449.92</v>
      </c>
      <c r="N444" s="46" t="str">
        <f>VLOOKUP(F444,products!$A$2:$B$13,2,FALSE)</f>
        <v>Clothes</v>
      </c>
      <c r="O444" s="46" t="s">
        <v>108</v>
      </c>
      <c r="P444" s="46">
        <f t="array" ref="P444">WEEKDAY(B444,2)</f>
        <v>6</v>
      </c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>
      <c r="A445" s="56">
        <v>3.96718728E8</v>
      </c>
      <c r="B445" s="126">
        <v>40216.0</v>
      </c>
      <c r="C445" s="126">
        <v>40255.0</v>
      </c>
      <c r="D445" s="56" t="s">
        <v>93</v>
      </c>
      <c r="E445" s="56" t="s">
        <v>133</v>
      </c>
      <c r="F445" s="56">
        <v>3127.0</v>
      </c>
      <c r="G445" s="56" t="s">
        <v>42</v>
      </c>
      <c r="H445" s="56">
        <v>6742.0</v>
      </c>
      <c r="I445" s="127">
        <v>81.73</v>
      </c>
      <c r="J445" s="127">
        <v>56.67</v>
      </c>
      <c r="K445" s="83">
        <f t="shared" si="1"/>
        <v>551023.66</v>
      </c>
      <c r="L445" s="83">
        <f t="shared" si="2"/>
        <v>382069.14</v>
      </c>
      <c r="M445" s="83">
        <f t="shared" si="3"/>
        <v>168954.52</v>
      </c>
      <c r="N445" s="46" t="str">
        <f>VLOOKUP(F445,products!$A$2:$B$13,2,FALSE)</f>
        <v>Personal Care</v>
      </c>
      <c r="O445" s="46" t="s">
        <v>133</v>
      </c>
      <c r="P445" s="46">
        <f t="array" ref="P445">WEEKDAY(B445,2)</f>
        <v>7</v>
      </c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>
      <c r="A446" s="56">
        <v>3.96832883E8</v>
      </c>
      <c r="B446" s="126">
        <v>41362.0</v>
      </c>
      <c r="C446" s="126">
        <v>41364.0</v>
      </c>
      <c r="D446" s="56" t="s">
        <v>89</v>
      </c>
      <c r="E446" s="56" t="s">
        <v>99</v>
      </c>
      <c r="F446" s="56">
        <v>3127.0</v>
      </c>
      <c r="G446" s="56" t="s">
        <v>42</v>
      </c>
      <c r="H446" s="56">
        <v>523.0</v>
      </c>
      <c r="I446" s="127">
        <v>81.73</v>
      </c>
      <c r="J446" s="127">
        <v>56.67</v>
      </c>
      <c r="K446" s="83">
        <f t="shared" si="1"/>
        <v>42744.79</v>
      </c>
      <c r="L446" s="83">
        <f t="shared" si="2"/>
        <v>29638.41</v>
      </c>
      <c r="M446" s="83">
        <f t="shared" si="3"/>
        <v>13106.38</v>
      </c>
      <c r="N446" s="46" t="str">
        <f>VLOOKUP(F446,products!$A$2:$B$13,2,FALSE)</f>
        <v>Personal Care</v>
      </c>
      <c r="O446" s="46" t="s">
        <v>99</v>
      </c>
      <c r="P446" s="46">
        <f t="array" ref="P446">WEEKDAY(B446,2)</f>
        <v>5</v>
      </c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>
      <c r="A447" s="56">
        <v>3.97874438E8</v>
      </c>
      <c r="B447" s="126">
        <v>41941.0</v>
      </c>
      <c r="C447" s="126">
        <v>41974.0</v>
      </c>
      <c r="D447" s="56" t="s">
        <v>89</v>
      </c>
      <c r="E447" s="56" t="s">
        <v>96</v>
      </c>
      <c r="F447" s="56">
        <v>1270.0</v>
      </c>
      <c r="G447" s="56" t="s">
        <v>43</v>
      </c>
      <c r="H447" s="56">
        <v>8743.0</v>
      </c>
      <c r="I447" s="127">
        <v>47.45</v>
      </c>
      <c r="J447" s="127">
        <v>31.79</v>
      </c>
      <c r="K447" s="83">
        <f t="shared" si="1"/>
        <v>414855.35</v>
      </c>
      <c r="L447" s="83">
        <f t="shared" si="2"/>
        <v>277939.97</v>
      </c>
      <c r="M447" s="83">
        <f t="shared" si="3"/>
        <v>136915.38</v>
      </c>
      <c r="N447" s="46" t="str">
        <f>VLOOKUP(F447,products!$A$2:$B$13,2,FALSE)</f>
        <v>Beverages</v>
      </c>
      <c r="O447" s="46" t="s">
        <v>96</v>
      </c>
      <c r="P447" s="46">
        <f t="array" ref="P447">WEEKDAY(B447,2)</f>
        <v>3</v>
      </c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>
      <c r="A448" s="56">
        <v>3.98104035E8</v>
      </c>
      <c r="B448" s="126">
        <v>41085.0</v>
      </c>
      <c r="C448" s="126">
        <v>41133.0</v>
      </c>
      <c r="D448" s="56" t="s">
        <v>93</v>
      </c>
      <c r="E448" s="56" t="s">
        <v>112</v>
      </c>
      <c r="F448" s="56">
        <v>7331.0</v>
      </c>
      <c r="G448" s="56" t="s">
        <v>42</v>
      </c>
      <c r="H448" s="56">
        <v>6686.0</v>
      </c>
      <c r="I448" s="127">
        <v>255.28</v>
      </c>
      <c r="J448" s="127">
        <v>159.42</v>
      </c>
      <c r="K448" s="83">
        <f t="shared" si="1"/>
        <v>1706802.08</v>
      </c>
      <c r="L448" s="83">
        <f t="shared" si="2"/>
        <v>1065882.12</v>
      </c>
      <c r="M448" s="83">
        <f t="shared" si="3"/>
        <v>640919.96</v>
      </c>
      <c r="N448" s="46" t="str">
        <f>VLOOKUP(F448,products!$A$2:$B$13,2,FALSE)</f>
        <v>Baby Food</v>
      </c>
      <c r="O448" s="46" t="s">
        <v>112</v>
      </c>
      <c r="P448" s="46">
        <f t="array" ref="P448">WEEKDAY(B448,2)</f>
        <v>1</v>
      </c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>
      <c r="A449" s="56">
        <v>3.98333632E8</v>
      </c>
      <c r="B449" s="126">
        <v>40228.0</v>
      </c>
      <c r="C449" s="126">
        <v>40239.0</v>
      </c>
      <c r="D449" s="56" t="s">
        <v>10</v>
      </c>
      <c r="E449" s="56" t="s">
        <v>100</v>
      </c>
      <c r="F449" s="56">
        <v>2103.0</v>
      </c>
      <c r="G449" s="56" t="s">
        <v>42</v>
      </c>
      <c r="H449" s="56">
        <v>4629.0</v>
      </c>
      <c r="I449" s="127">
        <v>205.7</v>
      </c>
      <c r="J449" s="127">
        <v>117.11</v>
      </c>
      <c r="K449" s="83">
        <f t="shared" si="1"/>
        <v>952185.3</v>
      </c>
      <c r="L449" s="83">
        <f t="shared" si="2"/>
        <v>542102.19</v>
      </c>
      <c r="M449" s="83">
        <f t="shared" si="3"/>
        <v>410083.11</v>
      </c>
      <c r="N449" s="46" t="str">
        <f>VLOOKUP(F449,products!$A$2:$B$13,2,FALSE)</f>
        <v>Cereal</v>
      </c>
      <c r="O449" s="46" t="s">
        <v>100</v>
      </c>
      <c r="P449" s="46">
        <f t="array" ref="P449">WEEKDAY(B449,2)</f>
        <v>5</v>
      </c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>
      <c r="A450" s="56">
        <v>3.98645198E8</v>
      </c>
      <c r="B450" s="126">
        <v>41776.0</v>
      </c>
      <c r="C450" s="126">
        <v>41785.0</v>
      </c>
      <c r="D450" s="56" t="s">
        <v>95</v>
      </c>
      <c r="E450" s="56" t="s">
        <v>123</v>
      </c>
      <c r="F450" s="56">
        <v>7331.0</v>
      </c>
      <c r="G450" s="56" t="s">
        <v>42</v>
      </c>
      <c r="H450" s="56">
        <v>6828.0</v>
      </c>
      <c r="I450" s="127">
        <v>255.28</v>
      </c>
      <c r="J450" s="127">
        <v>159.42</v>
      </c>
      <c r="K450" s="83">
        <f t="shared" si="1"/>
        <v>1743051.84</v>
      </c>
      <c r="L450" s="83">
        <f t="shared" si="2"/>
        <v>1088519.76</v>
      </c>
      <c r="M450" s="83">
        <f t="shared" si="3"/>
        <v>654532.08</v>
      </c>
      <c r="N450" s="46" t="str">
        <f>VLOOKUP(F450,products!$A$2:$B$13,2,FALSE)</f>
        <v>Baby Food</v>
      </c>
      <c r="O450" s="46" t="s">
        <v>123</v>
      </c>
      <c r="P450" s="46">
        <f t="array" ref="P450">WEEKDAY(B450,2)</f>
        <v>6</v>
      </c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>
      <c r="A451" s="56">
        <v>3.99115979E8</v>
      </c>
      <c r="B451" s="126">
        <v>42156.0</v>
      </c>
      <c r="C451" s="126">
        <v>42179.0</v>
      </c>
      <c r="D451" s="56" t="s">
        <v>95</v>
      </c>
      <c r="E451" s="56" t="s">
        <v>98</v>
      </c>
      <c r="F451" s="56">
        <v>5988.0</v>
      </c>
      <c r="G451" s="56" t="s">
        <v>43</v>
      </c>
      <c r="H451" s="56">
        <v>6142.0</v>
      </c>
      <c r="I451" s="127">
        <v>154.06</v>
      </c>
      <c r="J451" s="127">
        <v>90.93</v>
      </c>
      <c r="K451" s="83">
        <f t="shared" si="1"/>
        <v>946236.52</v>
      </c>
      <c r="L451" s="83">
        <f t="shared" si="2"/>
        <v>558492.06</v>
      </c>
      <c r="M451" s="83">
        <f t="shared" si="3"/>
        <v>387744.46</v>
      </c>
      <c r="N451" s="46" t="str">
        <f>VLOOKUP(F451,products!$A$2:$B$13,2,FALSE)</f>
        <v>Vegetables</v>
      </c>
      <c r="O451" s="46" t="s">
        <v>98</v>
      </c>
      <c r="P451" s="46">
        <f t="array" ref="P451">WEEKDAY(B451,2)</f>
        <v>1</v>
      </c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>
      <c r="A452" s="56">
        <v>3.99256312E8</v>
      </c>
      <c r="B452" s="126">
        <v>41984.0</v>
      </c>
      <c r="C452" s="126">
        <v>42009.0</v>
      </c>
      <c r="D452" s="56" t="s">
        <v>93</v>
      </c>
      <c r="E452" s="56" t="s">
        <v>104</v>
      </c>
      <c r="F452" s="56">
        <v>4594.0</v>
      </c>
      <c r="G452" s="56" t="s">
        <v>43</v>
      </c>
      <c r="H452" s="56">
        <v>7670.0</v>
      </c>
      <c r="I452" s="127">
        <v>9.33</v>
      </c>
      <c r="J452" s="127">
        <v>6.92</v>
      </c>
      <c r="K452" s="83">
        <f t="shared" si="1"/>
        <v>71561.1</v>
      </c>
      <c r="L452" s="83">
        <f t="shared" si="2"/>
        <v>53076.4</v>
      </c>
      <c r="M452" s="83">
        <f t="shared" si="3"/>
        <v>18484.7</v>
      </c>
      <c r="N452" s="46" t="str">
        <f>VLOOKUP(F452,products!$A$2:$B$13,2,FALSE)</f>
        <v>Fruits</v>
      </c>
      <c r="O452" s="46" t="s">
        <v>104</v>
      </c>
      <c r="P452" s="46">
        <f t="array" ref="P452">WEEKDAY(B452,2)</f>
        <v>4</v>
      </c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>
      <c r="A453" s="56">
        <v>4.00267398E8</v>
      </c>
      <c r="B453" s="126">
        <v>41466.0</v>
      </c>
      <c r="C453" s="126">
        <v>41475.0</v>
      </c>
      <c r="D453" s="56" t="s">
        <v>89</v>
      </c>
      <c r="E453" s="56" t="s">
        <v>118</v>
      </c>
      <c r="F453" s="56">
        <v>8969.0</v>
      </c>
      <c r="G453" s="56" t="s">
        <v>42</v>
      </c>
      <c r="H453" s="56">
        <v>6873.0</v>
      </c>
      <c r="I453" s="127">
        <v>152.58</v>
      </c>
      <c r="J453" s="127">
        <v>97.44</v>
      </c>
      <c r="K453" s="83">
        <f t="shared" si="1"/>
        <v>1048682.34</v>
      </c>
      <c r="L453" s="83">
        <f t="shared" si="2"/>
        <v>669705.12</v>
      </c>
      <c r="M453" s="83">
        <f t="shared" si="3"/>
        <v>378977.22</v>
      </c>
      <c r="N453" s="46" t="str">
        <f>VLOOKUP(F453,products!$A$2:$B$13,2,FALSE)</f>
        <v>Snacks</v>
      </c>
      <c r="O453" s="46" t="s">
        <v>118</v>
      </c>
      <c r="P453" s="46">
        <f t="array" ref="P453">WEEKDAY(B453,2)</f>
        <v>4</v>
      </c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>
      <c r="A454" s="56">
        <v>4.00904691E8</v>
      </c>
      <c r="B454" s="126">
        <v>40357.0</v>
      </c>
      <c r="C454" s="126">
        <v>40371.0</v>
      </c>
      <c r="D454" s="56" t="s">
        <v>89</v>
      </c>
      <c r="E454" s="56" t="s">
        <v>124</v>
      </c>
      <c r="F454" s="56">
        <v>2103.0</v>
      </c>
      <c r="G454" s="56" t="s">
        <v>42</v>
      </c>
      <c r="H454" s="56">
        <v>5462.0</v>
      </c>
      <c r="I454" s="127">
        <v>205.7</v>
      </c>
      <c r="J454" s="127">
        <v>117.11</v>
      </c>
      <c r="K454" s="83">
        <f t="shared" si="1"/>
        <v>1123533.4</v>
      </c>
      <c r="L454" s="83">
        <f t="shared" si="2"/>
        <v>639654.82</v>
      </c>
      <c r="M454" s="83">
        <f t="shared" si="3"/>
        <v>483878.58</v>
      </c>
      <c r="N454" s="46" t="str">
        <f>VLOOKUP(F454,products!$A$2:$B$13,2,FALSE)</f>
        <v>Cereal</v>
      </c>
      <c r="O454" s="46" t="s">
        <v>124</v>
      </c>
      <c r="P454" s="46">
        <f t="array" ref="P454">WEEKDAY(B454,2)</f>
        <v>1</v>
      </c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>
      <c r="A455" s="56">
        <v>4.01993882E8</v>
      </c>
      <c r="B455" s="126">
        <v>40623.0</v>
      </c>
      <c r="C455" s="126">
        <v>40644.0</v>
      </c>
      <c r="D455" s="56" t="s">
        <v>89</v>
      </c>
      <c r="E455" s="56" t="s">
        <v>113</v>
      </c>
      <c r="F455" s="56">
        <v>2103.0</v>
      </c>
      <c r="G455" s="56" t="s">
        <v>42</v>
      </c>
      <c r="H455" s="56">
        <v>7778.0</v>
      </c>
      <c r="I455" s="127">
        <v>205.7</v>
      </c>
      <c r="J455" s="127">
        <v>117.11</v>
      </c>
      <c r="K455" s="83">
        <f t="shared" si="1"/>
        <v>1599934.6</v>
      </c>
      <c r="L455" s="83">
        <f t="shared" si="2"/>
        <v>910881.58</v>
      </c>
      <c r="M455" s="83">
        <f t="shared" si="3"/>
        <v>689053.02</v>
      </c>
      <c r="N455" s="46" t="str">
        <f>VLOOKUP(F455,products!$A$2:$B$13,2,FALSE)</f>
        <v>Cereal</v>
      </c>
      <c r="O455" s="46" t="s">
        <v>113</v>
      </c>
      <c r="P455" s="46">
        <f t="array" ref="P455">WEEKDAY(B455,2)</f>
        <v>1</v>
      </c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>
      <c r="A456" s="56">
        <v>4.03337991E8</v>
      </c>
      <c r="B456" s="126">
        <v>42658.0</v>
      </c>
      <c r="C456" s="126">
        <v>42698.0</v>
      </c>
      <c r="D456" s="56" t="s">
        <v>93</v>
      </c>
      <c r="E456" s="56" t="s">
        <v>128</v>
      </c>
      <c r="F456" s="56">
        <v>5988.0</v>
      </c>
      <c r="G456" s="56" t="s">
        <v>42</v>
      </c>
      <c r="H456" s="56">
        <v>5529.0</v>
      </c>
      <c r="I456" s="127">
        <v>154.06</v>
      </c>
      <c r="J456" s="127">
        <v>90.93</v>
      </c>
      <c r="K456" s="83">
        <f t="shared" si="1"/>
        <v>851797.74</v>
      </c>
      <c r="L456" s="83">
        <f t="shared" si="2"/>
        <v>502751.97</v>
      </c>
      <c r="M456" s="83">
        <f t="shared" si="3"/>
        <v>349045.77</v>
      </c>
      <c r="N456" s="46" t="str">
        <f>VLOOKUP(F456,products!$A$2:$B$13,2,FALSE)</f>
        <v>Vegetables</v>
      </c>
      <c r="O456" s="46" t="s">
        <v>128</v>
      </c>
      <c r="P456" s="46">
        <f t="array" ref="P456">WEEKDAY(B456,2)</f>
        <v>6</v>
      </c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>
      <c r="A457" s="56">
        <v>4.03665006E8</v>
      </c>
      <c r="B457" s="126">
        <v>42385.0</v>
      </c>
      <c r="C457" s="126">
        <v>42419.0</v>
      </c>
      <c r="D457" s="56" t="s">
        <v>10</v>
      </c>
      <c r="E457" s="56" t="s">
        <v>116</v>
      </c>
      <c r="F457" s="56">
        <v>8969.0</v>
      </c>
      <c r="G457" s="56" t="s">
        <v>42</v>
      </c>
      <c r="H457" s="56">
        <v>2300.0</v>
      </c>
      <c r="I457" s="127">
        <v>152.58</v>
      </c>
      <c r="J457" s="127">
        <v>97.44</v>
      </c>
      <c r="K457" s="83">
        <f t="shared" si="1"/>
        <v>350934</v>
      </c>
      <c r="L457" s="83">
        <f t="shared" si="2"/>
        <v>224112</v>
      </c>
      <c r="M457" s="83">
        <f t="shared" si="3"/>
        <v>126822</v>
      </c>
      <c r="N457" s="46" t="str">
        <f>VLOOKUP(F457,products!$A$2:$B$13,2,FALSE)</f>
        <v>Snacks</v>
      </c>
      <c r="O457" s="46" t="s">
        <v>116</v>
      </c>
      <c r="P457" s="46">
        <f t="array" ref="P457">WEEKDAY(B457,2)</f>
        <v>6</v>
      </c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>
      <c r="A458" s="56">
        <v>4.04789817E8</v>
      </c>
      <c r="B458" s="126">
        <v>42219.0</v>
      </c>
      <c r="C458" s="126">
        <v>42255.0</v>
      </c>
      <c r="D458" s="56" t="s">
        <v>93</v>
      </c>
      <c r="E458" s="56" t="s">
        <v>115</v>
      </c>
      <c r="F458" s="56">
        <v>7331.0</v>
      </c>
      <c r="G458" s="56" t="s">
        <v>43</v>
      </c>
      <c r="H458" s="56">
        <v>5157.0</v>
      </c>
      <c r="I458" s="127">
        <v>255.28</v>
      </c>
      <c r="J458" s="127">
        <v>159.42</v>
      </c>
      <c r="K458" s="83">
        <f t="shared" si="1"/>
        <v>1316478.96</v>
      </c>
      <c r="L458" s="83">
        <f t="shared" si="2"/>
        <v>822128.94</v>
      </c>
      <c r="M458" s="83">
        <f t="shared" si="3"/>
        <v>494350.02</v>
      </c>
      <c r="N458" s="46" t="str">
        <f>VLOOKUP(F458,products!$A$2:$B$13,2,FALSE)</f>
        <v>Baby Food</v>
      </c>
      <c r="O458" s="46" t="s">
        <v>115</v>
      </c>
      <c r="P458" s="46">
        <f t="array" ref="P458">WEEKDAY(B458,2)</f>
        <v>1</v>
      </c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>
      <c r="A459" s="56">
        <v>4.05986297E8</v>
      </c>
      <c r="B459" s="126">
        <v>41982.0</v>
      </c>
      <c r="C459" s="126">
        <v>42006.0</v>
      </c>
      <c r="D459" s="56" t="s">
        <v>93</v>
      </c>
      <c r="E459" s="56" t="s">
        <v>100</v>
      </c>
      <c r="F459" s="56">
        <v>7331.0</v>
      </c>
      <c r="G459" s="56" t="s">
        <v>43</v>
      </c>
      <c r="H459" s="56">
        <v>9222.0</v>
      </c>
      <c r="I459" s="127">
        <v>255.28</v>
      </c>
      <c r="J459" s="127">
        <v>159.42</v>
      </c>
      <c r="K459" s="83">
        <f t="shared" si="1"/>
        <v>2354192.16</v>
      </c>
      <c r="L459" s="83">
        <f t="shared" si="2"/>
        <v>1470171.24</v>
      </c>
      <c r="M459" s="83">
        <f t="shared" si="3"/>
        <v>884020.92</v>
      </c>
      <c r="N459" s="46" t="str">
        <f>VLOOKUP(F459,products!$A$2:$B$13,2,FALSE)</f>
        <v>Baby Food</v>
      </c>
      <c r="O459" s="46" t="s">
        <v>100</v>
      </c>
      <c r="P459" s="46">
        <f t="array" ref="P459">WEEKDAY(B459,2)</f>
        <v>2</v>
      </c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>
      <c r="A460" s="56">
        <v>4.06270396E8</v>
      </c>
      <c r="B460" s="126">
        <v>42463.0</v>
      </c>
      <c r="C460" s="126">
        <v>42509.0</v>
      </c>
      <c r="D460" s="56" t="s">
        <v>93</v>
      </c>
      <c r="E460" s="56" t="s">
        <v>105</v>
      </c>
      <c r="F460" s="56">
        <v>8969.0</v>
      </c>
      <c r="G460" s="56" t="s">
        <v>43</v>
      </c>
      <c r="H460" s="56">
        <v>3293.0</v>
      </c>
      <c r="I460" s="127">
        <v>152.58</v>
      </c>
      <c r="J460" s="127">
        <v>97.44</v>
      </c>
      <c r="K460" s="83">
        <f t="shared" si="1"/>
        <v>502445.94</v>
      </c>
      <c r="L460" s="83">
        <f t="shared" si="2"/>
        <v>320869.92</v>
      </c>
      <c r="M460" s="83">
        <f t="shared" si="3"/>
        <v>181576.02</v>
      </c>
      <c r="N460" s="46" t="str">
        <f>VLOOKUP(F460,products!$A$2:$B$13,2,FALSE)</f>
        <v>Snacks</v>
      </c>
      <c r="O460" s="46" t="s">
        <v>105</v>
      </c>
      <c r="P460" s="46">
        <f t="array" ref="P460">WEEKDAY(B460,2)</f>
        <v>7</v>
      </c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>
      <c r="A461" s="56">
        <v>4.06564366E8</v>
      </c>
      <c r="B461" s="126">
        <v>41858.0</v>
      </c>
      <c r="C461" s="126">
        <v>41876.0</v>
      </c>
      <c r="D461" s="56" t="s">
        <v>89</v>
      </c>
      <c r="E461" s="56" t="s">
        <v>131</v>
      </c>
      <c r="F461" s="56">
        <v>5988.0</v>
      </c>
      <c r="G461" s="56" t="s">
        <v>43</v>
      </c>
      <c r="H461" s="56">
        <v>286.0</v>
      </c>
      <c r="I461" s="127">
        <v>154.06</v>
      </c>
      <c r="J461" s="127">
        <v>90.93</v>
      </c>
      <c r="K461" s="83">
        <f t="shared" si="1"/>
        <v>44061.16</v>
      </c>
      <c r="L461" s="83">
        <f t="shared" si="2"/>
        <v>26005.98</v>
      </c>
      <c r="M461" s="83">
        <f t="shared" si="3"/>
        <v>18055.18</v>
      </c>
      <c r="N461" s="46" t="str">
        <f>VLOOKUP(F461,products!$A$2:$B$13,2,FALSE)</f>
        <v>Vegetables</v>
      </c>
      <c r="O461" s="46" t="s">
        <v>131</v>
      </c>
      <c r="P461" s="46">
        <f t="array" ref="P461">WEEKDAY(B461,2)</f>
        <v>4</v>
      </c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>
      <c r="A462" s="56">
        <v>4.07220542E8</v>
      </c>
      <c r="B462" s="126">
        <v>42519.0</v>
      </c>
      <c r="C462" s="126">
        <v>42555.0</v>
      </c>
      <c r="D462" s="56" t="s">
        <v>93</v>
      </c>
      <c r="E462" s="56" t="s">
        <v>132</v>
      </c>
      <c r="F462" s="56">
        <v>2103.0</v>
      </c>
      <c r="G462" s="56" t="s">
        <v>43</v>
      </c>
      <c r="H462" s="56">
        <v>4463.0</v>
      </c>
      <c r="I462" s="127">
        <v>205.7</v>
      </c>
      <c r="J462" s="127">
        <v>117.11</v>
      </c>
      <c r="K462" s="83">
        <f t="shared" si="1"/>
        <v>918039.1</v>
      </c>
      <c r="L462" s="83">
        <f t="shared" si="2"/>
        <v>522661.93</v>
      </c>
      <c r="M462" s="83">
        <f t="shared" si="3"/>
        <v>395377.17</v>
      </c>
      <c r="N462" s="46" t="str">
        <f>VLOOKUP(F462,products!$A$2:$B$13,2,FALSE)</f>
        <v>Cereal</v>
      </c>
      <c r="O462" s="46" t="s">
        <v>132</v>
      </c>
      <c r="P462" s="46">
        <f t="array" ref="P462">WEEKDAY(B462,2)</f>
        <v>7</v>
      </c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>
      <c r="A463" s="56">
        <v>4.08540618E8</v>
      </c>
      <c r="B463" s="126">
        <v>41547.0</v>
      </c>
      <c r="C463" s="126">
        <v>41591.0</v>
      </c>
      <c r="D463" s="56" t="s">
        <v>89</v>
      </c>
      <c r="E463" s="56" t="s">
        <v>120</v>
      </c>
      <c r="F463" s="56">
        <v>5988.0</v>
      </c>
      <c r="G463" s="56" t="s">
        <v>42</v>
      </c>
      <c r="H463" s="56">
        <v>5102.0</v>
      </c>
      <c r="I463" s="127">
        <v>154.06</v>
      </c>
      <c r="J463" s="127">
        <v>90.93</v>
      </c>
      <c r="K463" s="83">
        <f t="shared" si="1"/>
        <v>786014.12</v>
      </c>
      <c r="L463" s="83">
        <f t="shared" si="2"/>
        <v>463924.86</v>
      </c>
      <c r="M463" s="83">
        <f t="shared" si="3"/>
        <v>322089.26</v>
      </c>
      <c r="N463" s="46" t="str">
        <f>VLOOKUP(F463,products!$A$2:$B$13,2,FALSE)</f>
        <v>Vegetables</v>
      </c>
      <c r="O463" s="46" t="s">
        <v>120</v>
      </c>
      <c r="P463" s="46">
        <f t="array" ref="P463">WEEKDAY(B463,2)</f>
        <v>1</v>
      </c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>
      <c r="A464" s="56">
        <v>4.09112679E8</v>
      </c>
      <c r="B464" s="126">
        <v>41363.0</v>
      </c>
      <c r="C464" s="126">
        <v>41412.0</v>
      </c>
      <c r="D464" s="56" t="s">
        <v>95</v>
      </c>
      <c r="E464" s="56" t="s">
        <v>94</v>
      </c>
      <c r="F464" s="56">
        <v>5988.0</v>
      </c>
      <c r="G464" s="56" t="s">
        <v>43</v>
      </c>
      <c r="H464" s="56">
        <v>4388.0</v>
      </c>
      <c r="I464" s="127">
        <v>154.06</v>
      </c>
      <c r="J464" s="127">
        <v>90.93</v>
      </c>
      <c r="K464" s="83">
        <f t="shared" si="1"/>
        <v>676015.28</v>
      </c>
      <c r="L464" s="83">
        <f t="shared" si="2"/>
        <v>399000.84</v>
      </c>
      <c r="M464" s="83">
        <f t="shared" si="3"/>
        <v>277014.44</v>
      </c>
      <c r="N464" s="46" t="str">
        <f>VLOOKUP(F464,products!$A$2:$B$13,2,FALSE)</f>
        <v>Vegetables</v>
      </c>
      <c r="O464" s="46" t="s">
        <v>94</v>
      </c>
      <c r="P464" s="46">
        <f t="array" ref="P464">WEEKDAY(B464,2)</f>
        <v>6</v>
      </c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>
      <c r="A465" s="56">
        <v>4.09514796E8</v>
      </c>
      <c r="B465" s="126">
        <v>41844.0</v>
      </c>
      <c r="C465" s="126">
        <v>41889.0</v>
      </c>
      <c r="D465" s="56" t="s">
        <v>93</v>
      </c>
      <c r="E465" s="56" t="s">
        <v>133</v>
      </c>
      <c r="F465" s="56">
        <v>3127.0</v>
      </c>
      <c r="G465" s="56" t="s">
        <v>43</v>
      </c>
      <c r="H465" s="56">
        <v>3383.0</v>
      </c>
      <c r="I465" s="127">
        <v>81.73</v>
      </c>
      <c r="J465" s="127">
        <v>56.67</v>
      </c>
      <c r="K465" s="83">
        <f t="shared" si="1"/>
        <v>276492.59</v>
      </c>
      <c r="L465" s="83">
        <f t="shared" si="2"/>
        <v>191714.61</v>
      </c>
      <c r="M465" s="83">
        <f t="shared" si="3"/>
        <v>84777.98</v>
      </c>
      <c r="N465" s="46" t="str">
        <f>VLOOKUP(F465,products!$A$2:$B$13,2,FALSE)</f>
        <v>Personal Care</v>
      </c>
      <c r="O465" s="46" t="s">
        <v>133</v>
      </c>
      <c r="P465" s="46">
        <f t="array" ref="P465">WEEKDAY(B465,2)</f>
        <v>4</v>
      </c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>
      <c r="A466" s="56">
        <v>4.10229337E8</v>
      </c>
      <c r="B466" s="126">
        <v>42695.0</v>
      </c>
      <c r="C466" s="126">
        <v>42726.0</v>
      </c>
      <c r="D466" s="56" t="s">
        <v>89</v>
      </c>
      <c r="E466" s="56" t="s">
        <v>115</v>
      </c>
      <c r="F466" s="56">
        <v>8681.0</v>
      </c>
      <c r="G466" s="56" t="s">
        <v>43</v>
      </c>
      <c r="H466" s="56">
        <v>4832.0</v>
      </c>
      <c r="I466" s="127">
        <v>651.21</v>
      </c>
      <c r="J466" s="127">
        <v>524.96</v>
      </c>
      <c r="K466" s="83">
        <f t="shared" si="1"/>
        <v>3146646.72</v>
      </c>
      <c r="L466" s="83">
        <f t="shared" si="2"/>
        <v>2536606.72</v>
      </c>
      <c r="M466" s="83">
        <f t="shared" si="3"/>
        <v>610040</v>
      </c>
      <c r="N466" s="46" t="str">
        <f>VLOOKUP(F466,products!$A$2:$B$13,2,FALSE)</f>
        <v>Office Supplies</v>
      </c>
      <c r="O466" s="46" t="s">
        <v>115</v>
      </c>
      <c r="P466" s="46">
        <f t="array" ref="P466">WEEKDAY(B466,2)</f>
        <v>1</v>
      </c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>
      <c r="A467" s="56">
        <v>4.10291135E8</v>
      </c>
      <c r="B467" s="126">
        <v>40945.0</v>
      </c>
      <c r="C467" s="126">
        <v>40961.0</v>
      </c>
      <c r="D467" s="56" t="s">
        <v>93</v>
      </c>
      <c r="E467" s="56" t="s">
        <v>104</v>
      </c>
      <c r="F467" s="56">
        <v>3127.0</v>
      </c>
      <c r="G467" s="56" t="s">
        <v>42</v>
      </c>
      <c r="H467" s="56">
        <v>3119.0</v>
      </c>
      <c r="I467" s="127">
        <v>81.73</v>
      </c>
      <c r="J467" s="127">
        <v>56.67</v>
      </c>
      <c r="K467" s="83">
        <f t="shared" si="1"/>
        <v>254915.87</v>
      </c>
      <c r="L467" s="83">
        <f t="shared" si="2"/>
        <v>176753.73</v>
      </c>
      <c r="M467" s="83">
        <f t="shared" si="3"/>
        <v>78162.14</v>
      </c>
      <c r="N467" s="46" t="str">
        <f>VLOOKUP(F467,products!$A$2:$B$13,2,FALSE)</f>
        <v>Personal Care</v>
      </c>
      <c r="O467" s="46" t="s">
        <v>104</v>
      </c>
      <c r="P467" s="46">
        <f t="array" ref="P467">WEEKDAY(B467,2)</f>
        <v>1</v>
      </c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>
      <c r="A468" s="56">
        <v>4.10514724E8</v>
      </c>
      <c r="B468" s="126">
        <v>42795.0</v>
      </c>
      <c r="C468" s="126">
        <v>42835.0</v>
      </c>
      <c r="D468" s="56" t="s">
        <v>10</v>
      </c>
      <c r="E468" s="56" t="s">
        <v>91</v>
      </c>
      <c r="F468" s="56">
        <v>8681.0</v>
      </c>
      <c r="G468" s="56" t="s">
        <v>42</v>
      </c>
      <c r="H468" s="56">
        <v>9284.0</v>
      </c>
      <c r="I468" s="127">
        <v>651.21</v>
      </c>
      <c r="J468" s="127">
        <v>524.96</v>
      </c>
      <c r="K468" s="83">
        <f t="shared" si="1"/>
        <v>6045833.64</v>
      </c>
      <c r="L468" s="83">
        <f t="shared" si="2"/>
        <v>4873728.64</v>
      </c>
      <c r="M468" s="83">
        <f t="shared" si="3"/>
        <v>1172105</v>
      </c>
      <c r="N468" s="46" t="str">
        <f>VLOOKUP(F468,products!$A$2:$B$13,2,FALSE)</f>
        <v>Office Supplies</v>
      </c>
      <c r="O468" s="46" t="s">
        <v>91</v>
      </c>
      <c r="P468" s="46">
        <f t="array" ref="P468">WEEKDAY(B468,2)</f>
        <v>3</v>
      </c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>
      <c r="A469" s="56">
        <v>4.10740888E8</v>
      </c>
      <c r="B469" s="126">
        <v>41114.0</v>
      </c>
      <c r="C469" s="126">
        <v>41153.0</v>
      </c>
      <c r="D469" s="56" t="s">
        <v>95</v>
      </c>
      <c r="E469" s="56" t="s">
        <v>133</v>
      </c>
      <c r="F469" s="56">
        <v>8875.0</v>
      </c>
      <c r="G469" s="56" t="s">
        <v>43</v>
      </c>
      <c r="H469" s="56">
        <v>6211.0</v>
      </c>
      <c r="I469" s="127">
        <v>421.89</v>
      </c>
      <c r="J469" s="127">
        <v>364.69</v>
      </c>
      <c r="K469" s="83">
        <f t="shared" si="1"/>
        <v>2620358.79</v>
      </c>
      <c r="L469" s="83">
        <f t="shared" si="2"/>
        <v>2265089.59</v>
      </c>
      <c r="M469" s="83">
        <f t="shared" si="3"/>
        <v>355269.2</v>
      </c>
      <c r="N469" s="46" t="str">
        <f>VLOOKUP(F469,products!$A$2:$B$13,2,FALSE)</f>
        <v>Meat</v>
      </c>
      <c r="O469" s="46" t="s">
        <v>133</v>
      </c>
      <c r="P469" s="46">
        <f t="array" ref="P469">WEEKDAY(B469,2)</f>
        <v>2</v>
      </c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>
      <c r="A470" s="56">
        <v>4.12215459E8</v>
      </c>
      <c r="B470" s="126">
        <v>41298.0</v>
      </c>
      <c r="C470" s="126">
        <v>41305.0</v>
      </c>
      <c r="D470" s="56" t="s">
        <v>95</v>
      </c>
      <c r="E470" s="56" t="s">
        <v>138</v>
      </c>
      <c r="F470" s="56">
        <v>2103.0</v>
      </c>
      <c r="G470" s="56" t="s">
        <v>43</v>
      </c>
      <c r="H470" s="56">
        <v>2569.0</v>
      </c>
      <c r="I470" s="127">
        <v>205.7</v>
      </c>
      <c r="J470" s="127">
        <v>117.11</v>
      </c>
      <c r="K470" s="83">
        <f t="shared" si="1"/>
        <v>528443.3</v>
      </c>
      <c r="L470" s="83">
        <f t="shared" si="2"/>
        <v>300855.59</v>
      </c>
      <c r="M470" s="83">
        <f t="shared" si="3"/>
        <v>227587.71</v>
      </c>
      <c r="N470" s="46" t="str">
        <f>VLOOKUP(F470,products!$A$2:$B$13,2,FALSE)</f>
        <v>Cereal</v>
      </c>
      <c r="O470" s="46" t="s">
        <v>138</v>
      </c>
      <c r="P470" s="46">
        <f t="array" ref="P470">WEEKDAY(B470,2)</f>
        <v>4</v>
      </c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>
      <c r="A471" s="56">
        <v>4.12416303E8</v>
      </c>
      <c r="B471" s="126">
        <v>42524.0</v>
      </c>
      <c r="C471" s="126">
        <v>42532.0</v>
      </c>
      <c r="D471" s="56" t="s">
        <v>89</v>
      </c>
      <c r="E471" s="56" t="s">
        <v>120</v>
      </c>
      <c r="F471" s="56">
        <v>7331.0</v>
      </c>
      <c r="G471" s="56" t="s">
        <v>42</v>
      </c>
      <c r="H471" s="56">
        <v>2004.0</v>
      </c>
      <c r="I471" s="127">
        <v>255.28</v>
      </c>
      <c r="J471" s="127">
        <v>159.42</v>
      </c>
      <c r="K471" s="83">
        <f t="shared" si="1"/>
        <v>511581.12</v>
      </c>
      <c r="L471" s="83">
        <f t="shared" si="2"/>
        <v>319477.68</v>
      </c>
      <c r="M471" s="83">
        <f t="shared" si="3"/>
        <v>192103.44</v>
      </c>
      <c r="N471" s="46" t="str">
        <f>VLOOKUP(F471,products!$A$2:$B$13,2,FALSE)</f>
        <v>Baby Food</v>
      </c>
      <c r="O471" s="46" t="s">
        <v>120</v>
      </c>
      <c r="P471" s="46">
        <f t="array" ref="P471">WEEKDAY(B471,2)</f>
        <v>5</v>
      </c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>
      <c r="A472" s="56">
        <v>4.13078916E8</v>
      </c>
      <c r="B472" s="126">
        <v>41274.0</v>
      </c>
      <c r="C472" s="126">
        <v>41285.0</v>
      </c>
      <c r="D472" s="56" t="s">
        <v>93</v>
      </c>
      <c r="E472" s="56" t="s">
        <v>116</v>
      </c>
      <c r="F472" s="56">
        <v>5988.0</v>
      </c>
      <c r="G472" s="56" t="s">
        <v>43</v>
      </c>
      <c r="H472" s="56">
        <v>8086.0</v>
      </c>
      <c r="I472" s="127">
        <v>154.06</v>
      </c>
      <c r="J472" s="127">
        <v>90.93</v>
      </c>
      <c r="K472" s="83">
        <f t="shared" si="1"/>
        <v>1245729.16</v>
      </c>
      <c r="L472" s="83">
        <f t="shared" si="2"/>
        <v>735259.98</v>
      </c>
      <c r="M472" s="83">
        <f t="shared" si="3"/>
        <v>510469.18</v>
      </c>
      <c r="N472" s="46" t="str">
        <f>VLOOKUP(F472,products!$A$2:$B$13,2,FALSE)</f>
        <v>Vegetables</v>
      </c>
      <c r="O472" s="46" t="s">
        <v>116</v>
      </c>
      <c r="P472" s="46">
        <f t="array" ref="P472">WEEKDAY(B472,2)</f>
        <v>1</v>
      </c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>
      <c r="A473" s="56">
        <v>4.13245427E8</v>
      </c>
      <c r="B473" s="126">
        <v>42550.0</v>
      </c>
      <c r="C473" s="126">
        <v>42553.0</v>
      </c>
      <c r="D473" s="56" t="s">
        <v>10</v>
      </c>
      <c r="E473" s="56" t="s">
        <v>128</v>
      </c>
      <c r="F473" s="56">
        <v>4594.0</v>
      </c>
      <c r="G473" s="56" t="s">
        <v>42</v>
      </c>
      <c r="H473" s="56">
        <v>7360.0</v>
      </c>
      <c r="I473" s="127">
        <v>9.33</v>
      </c>
      <c r="J473" s="127">
        <v>6.92</v>
      </c>
      <c r="K473" s="83">
        <f t="shared" si="1"/>
        <v>68668.8</v>
      </c>
      <c r="L473" s="83">
        <f t="shared" si="2"/>
        <v>50931.2</v>
      </c>
      <c r="M473" s="83">
        <f t="shared" si="3"/>
        <v>17737.6</v>
      </c>
      <c r="N473" s="46" t="str">
        <f>VLOOKUP(F473,products!$A$2:$B$13,2,FALSE)</f>
        <v>Fruits</v>
      </c>
      <c r="O473" s="46" t="s">
        <v>128</v>
      </c>
      <c r="P473" s="46">
        <f t="array" ref="P473">WEEKDAY(B473,2)</f>
        <v>3</v>
      </c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>
      <c r="A474" s="56">
        <v>4.13951814E8</v>
      </c>
      <c r="B474" s="126">
        <v>42134.0</v>
      </c>
      <c r="C474" s="126">
        <v>42155.0</v>
      </c>
      <c r="D474" s="56" t="s">
        <v>10</v>
      </c>
      <c r="E474" s="56" t="s">
        <v>118</v>
      </c>
      <c r="F474" s="56">
        <v>1270.0</v>
      </c>
      <c r="G474" s="56" t="s">
        <v>42</v>
      </c>
      <c r="H474" s="56">
        <v>6395.0</v>
      </c>
      <c r="I474" s="127">
        <v>47.45</v>
      </c>
      <c r="J474" s="127">
        <v>31.79</v>
      </c>
      <c r="K474" s="83">
        <f t="shared" si="1"/>
        <v>303442.75</v>
      </c>
      <c r="L474" s="83">
        <f t="shared" si="2"/>
        <v>203297.05</v>
      </c>
      <c r="M474" s="83">
        <f t="shared" si="3"/>
        <v>100145.7</v>
      </c>
      <c r="N474" s="46" t="str">
        <f>VLOOKUP(F474,products!$A$2:$B$13,2,FALSE)</f>
        <v>Beverages</v>
      </c>
      <c r="O474" s="46" t="s">
        <v>118</v>
      </c>
      <c r="P474" s="46">
        <f t="array" ref="P474">WEEKDAY(B474,2)</f>
        <v>7</v>
      </c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>
      <c r="A475" s="56">
        <v>4.14359509E8</v>
      </c>
      <c r="B475" s="126">
        <v>41881.0</v>
      </c>
      <c r="C475" s="126">
        <v>41893.0</v>
      </c>
      <c r="D475" s="56" t="s">
        <v>10</v>
      </c>
      <c r="E475" s="56" t="s">
        <v>105</v>
      </c>
      <c r="F475" s="56">
        <v>7331.0</v>
      </c>
      <c r="G475" s="56" t="s">
        <v>42</v>
      </c>
      <c r="H475" s="56">
        <v>7042.0</v>
      </c>
      <c r="I475" s="127">
        <v>255.28</v>
      </c>
      <c r="J475" s="127">
        <v>159.42</v>
      </c>
      <c r="K475" s="83">
        <f t="shared" si="1"/>
        <v>1797681.76</v>
      </c>
      <c r="L475" s="83">
        <f t="shared" si="2"/>
        <v>1122635.64</v>
      </c>
      <c r="M475" s="83">
        <f t="shared" si="3"/>
        <v>675046.12</v>
      </c>
      <c r="N475" s="46" t="str">
        <f>VLOOKUP(F475,products!$A$2:$B$13,2,FALSE)</f>
        <v>Baby Food</v>
      </c>
      <c r="O475" s="46" t="s">
        <v>105</v>
      </c>
      <c r="P475" s="46">
        <f t="array" ref="P475">WEEKDAY(B475,2)</f>
        <v>6</v>
      </c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>
      <c r="A476" s="56">
        <v>4.14579665E8</v>
      </c>
      <c r="B476" s="126">
        <v>42906.0</v>
      </c>
      <c r="C476" s="126">
        <v>42926.0</v>
      </c>
      <c r="D476" s="56" t="s">
        <v>95</v>
      </c>
      <c r="E476" s="56" t="s">
        <v>130</v>
      </c>
      <c r="F476" s="56">
        <v>8969.0</v>
      </c>
      <c r="G476" s="56" t="s">
        <v>43</v>
      </c>
      <c r="H476" s="56">
        <v>2191.0</v>
      </c>
      <c r="I476" s="127">
        <v>152.58</v>
      </c>
      <c r="J476" s="127">
        <v>97.44</v>
      </c>
      <c r="K476" s="83">
        <f t="shared" si="1"/>
        <v>334302.78</v>
      </c>
      <c r="L476" s="83">
        <f t="shared" si="2"/>
        <v>213491.04</v>
      </c>
      <c r="M476" s="83">
        <f t="shared" si="3"/>
        <v>120811.74</v>
      </c>
      <c r="N476" s="46" t="str">
        <f>VLOOKUP(F476,products!$A$2:$B$13,2,FALSE)</f>
        <v>Snacks</v>
      </c>
      <c r="O476" s="46" t="s">
        <v>130</v>
      </c>
      <c r="P476" s="46">
        <f t="array" ref="P476">WEEKDAY(B476,2)</f>
        <v>2</v>
      </c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>
      <c r="A477" s="56">
        <v>4.15837943E8</v>
      </c>
      <c r="B477" s="126">
        <v>40918.0</v>
      </c>
      <c r="C477" s="126">
        <v>40962.0</v>
      </c>
      <c r="D477" s="56" t="s">
        <v>89</v>
      </c>
      <c r="E477" s="56" t="s">
        <v>128</v>
      </c>
      <c r="F477" s="56">
        <v>7331.0</v>
      </c>
      <c r="G477" s="56" t="s">
        <v>42</v>
      </c>
      <c r="H477" s="56">
        <v>4543.0</v>
      </c>
      <c r="I477" s="127">
        <v>255.28</v>
      </c>
      <c r="J477" s="127">
        <v>159.42</v>
      </c>
      <c r="K477" s="83">
        <f t="shared" si="1"/>
        <v>1159737.04</v>
      </c>
      <c r="L477" s="83">
        <f t="shared" si="2"/>
        <v>724245.06</v>
      </c>
      <c r="M477" s="83">
        <f t="shared" si="3"/>
        <v>435491.98</v>
      </c>
      <c r="N477" s="46" t="str">
        <f>VLOOKUP(F477,products!$A$2:$B$13,2,FALSE)</f>
        <v>Baby Food</v>
      </c>
      <c r="O477" s="46" t="s">
        <v>128</v>
      </c>
      <c r="P477" s="46">
        <f t="array" ref="P477">WEEKDAY(B477,2)</f>
        <v>2</v>
      </c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>
      <c r="A478" s="56">
        <v>4.16682088E8</v>
      </c>
      <c r="B478" s="126">
        <v>41095.0</v>
      </c>
      <c r="C478" s="126">
        <v>41135.0</v>
      </c>
      <c r="D478" s="56" t="s">
        <v>95</v>
      </c>
      <c r="E478" s="56" t="s">
        <v>90</v>
      </c>
      <c r="F478" s="56">
        <v>5988.0</v>
      </c>
      <c r="G478" s="56" t="s">
        <v>42</v>
      </c>
      <c r="H478" s="56">
        <v>4344.0</v>
      </c>
      <c r="I478" s="127">
        <v>154.06</v>
      </c>
      <c r="J478" s="127">
        <v>90.93</v>
      </c>
      <c r="K478" s="83">
        <f t="shared" si="1"/>
        <v>669236.64</v>
      </c>
      <c r="L478" s="83">
        <f t="shared" si="2"/>
        <v>394999.92</v>
      </c>
      <c r="M478" s="83">
        <f t="shared" si="3"/>
        <v>274236.72</v>
      </c>
      <c r="N478" s="46" t="str">
        <f>VLOOKUP(F478,products!$A$2:$B$13,2,FALSE)</f>
        <v>Vegetables</v>
      </c>
      <c r="O478" s="46" t="s">
        <v>90</v>
      </c>
      <c r="P478" s="46">
        <f t="array" ref="P478">WEEKDAY(B478,2)</f>
        <v>4</v>
      </c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>
      <c r="A479" s="56">
        <v>4.16953313E8</v>
      </c>
      <c r="B479" s="126">
        <v>42633.0</v>
      </c>
      <c r="C479" s="126">
        <v>42672.0</v>
      </c>
      <c r="D479" s="56" t="s">
        <v>95</v>
      </c>
      <c r="E479" s="56" t="s">
        <v>127</v>
      </c>
      <c r="F479" s="56">
        <v>1270.0</v>
      </c>
      <c r="G479" s="56" t="s">
        <v>42</v>
      </c>
      <c r="H479" s="56">
        <v>4606.0</v>
      </c>
      <c r="I479" s="127">
        <v>47.45</v>
      </c>
      <c r="J479" s="127">
        <v>31.79</v>
      </c>
      <c r="K479" s="83">
        <f t="shared" si="1"/>
        <v>218554.7</v>
      </c>
      <c r="L479" s="83">
        <f t="shared" si="2"/>
        <v>146424.74</v>
      </c>
      <c r="M479" s="83">
        <f t="shared" si="3"/>
        <v>72129.96</v>
      </c>
      <c r="N479" s="46" t="str">
        <f>VLOOKUP(F479,products!$A$2:$B$13,2,FALSE)</f>
        <v>Beverages</v>
      </c>
      <c r="O479" s="46" t="s">
        <v>127</v>
      </c>
      <c r="P479" s="46">
        <f t="array" ref="P479">WEEKDAY(B479,2)</f>
        <v>2</v>
      </c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>
      <c r="A480" s="56">
        <v>4.18404281E8</v>
      </c>
      <c r="B480" s="126">
        <v>40604.0</v>
      </c>
      <c r="C480" s="126">
        <v>40648.0</v>
      </c>
      <c r="D480" s="56" t="s">
        <v>89</v>
      </c>
      <c r="E480" s="56" t="s">
        <v>101</v>
      </c>
      <c r="F480" s="56">
        <v>8969.0</v>
      </c>
      <c r="G480" s="56" t="s">
        <v>42</v>
      </c>
      <c r="H480" s="56">
        <v>3979.0</v>
      </c>
      <c r="I480" s="127">
        <v>152.58</v>
      </c>
      <c r="J480" s="127">
        <v>97.44</v>
      </c>
      <c r="K480" s="83">
        <f t="shared" si="1"/>
        <v>607115.82</v>
      </c>
      <c r="L480" s="83">
        <f t="shared" si="2"/>
        <v>387713.76</v>
      </c>
      <c r="M480" s="83">
        <f t="shared" si="3"/>
        <v>219402.06</v>
      </c>
      <c r="N480" s="46" t="str">
        <f>VLOOKUP(F480,products!$A$2:$B$13,2,FALSE)</f>
        <v>Snacks</v>
      </c>
      <c r="O480" s="46" t="s">
        <v>101</v>
      </c>
      <c r="P480" s="46">
        <f t="array" ref="P480">WEEKDAY(B480,2)</f>
        <v>3</v>
      </c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>
      <c r="A481" s="56">
        <v>4.20875346E8</v>
      </c>
      <c r="B481" s="126">
        <v>40914.0</v>
      </c>
      <c r="C481" s="126">
        <v>40957.0</v>
      </c>
      <c r="D481" s="56" t="s">
        <v>93</v>
      </c>
      <c r="E481" s="56" t="s">
        <v>110</v>
      </c>
      <c r="F481" s="56">
        <v>8293.0</v>
      </c>
      <c r="G481" s="56" t="s">
        <v>42</v>
      </c>
      <c r="H481" s="56">
        <v>5223.0</v>
      </c>
      <c r="I481" s="127">
        <v>437.2</v>
      </c>
      <c r="J481" s="127">
        <v>263.33</v>
      </c>
      <c r="K481" s="83">
        <f t="shared" si="1"/>
        <v>2283495.6</v>
      </c>
      <c r="L481" s="83">
        <f t="shared" si="2"/>
        <v>1375372.59</v>
      </c>
      <c r="M481" s="83">
        <f t="shared" si="3"/>
        <v>908123.01</v>
      </c>
      <c r="N481" s="46" t="str">
        <f>VLOOKUP(F481,products!$A$2:$B$13,2,FALSE)</f>
        <v>Cosmetics</v>
      </c>
      <c r="O481" s="46" t="s">
        <v>110</v>
      </c>
      <c r="P481" s="46">
        <f t="array" ref="P481">WEEKDAY(B481,2)</f>
        <v>5</v>
      </c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>
      <c r="A482" s="56">
        <v>4.21456849E8</v>
      </c>
      <c r="B482" s="126">
        <v>41615.0</v>
      </c>
      <c r="C482" s="126">
        <v>41618.0</v>
      </c>
      <c r="D482" s="56" t="s">
        <v>89</v>
      </c>
      <c r="E482" s="56" t="e">
        <v>#N/A</v>
      </c>
      <c r="F482" s="56">
        <v>8875.0</v>
      </c>
      <c r="G482" s="56" t="s">
        <v>43</v>
      </c>
      <c r="H482" s="56">
        <v>7302.0</v>
      </c>
      <c r="I482" s="127">
        <v>421.89</v>
      </c>
      <c r="J482" s="127">
        <v>364.69</v>
      </c>
      <c r="K482" s="83">
        <f t="shared" si="1"/>
        <v>3080640.78</v>
      </c>
      <c r="L482" s="83">
        <f t="shared" si="2"/>
        <v>2662966.38</v>
      </c>
      <c r="M482" s="83">
        <f t="shared" si="3"/>
        <v>417674.4</v>
      </c>
      <c r="N482" s="46" t="str">
        <f>VLOOKUP(F482,products!$A$2:$B$13,2,FALSE)</f>
        <v>Meat</v>
      </c>
      <c r="O482" s="46" t="s">
        <v>92</v>
      </c>
      <c r="P482" s="46">
        <f t="array" ref="P482">WEEKDAY(B482,2)</f>
        <v>6</v>
      </c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>
      <c r="A483" s="56">
        <v>4.21660268E8</v>
      </c>
      <c r="B483" s="126">
        <v>42077.0</v>
      </c>
      <c r="C483" s="126">
        <v>42105.0</v>
      </c>
      <c r="D483" s="56" t="s">
        <v>10</v>
      </c>
      <c r="E483" s="56" t="s">
        <v>127</v>
      </c>
      <c r="F483" s="56">
        <v>7940.0</v>
      </c>
      <c r="G483" s="56" t="s">
        <v>42</v>
      </c>
      <c r="H483" s="56">
        <v>7498.0</v>
      </c>
      <c r="I483" s="127">
        <v>668.27</v>
      </c>
      <c r="J483" s="127">
        <v>502.54</v>
      </c>
      <c r="K483" s="83">
        <f t="shared" si="1"/>
        <v>5010688.46</v>
      </c>
      <c r="L483" s="83">
        <f t="shared" si="2"/>
        <v>3768044.92</v>
      </c>
      <c r="M483" s="83">
        <f t="shared" si="3"/>
        <v>1242643.54</v>
      </c>
      <c r="N483" s="46" t="str">
        <f>VLOOKUP(F483,products!$A$2:$B$13,2,FALSE)</f>
        <v>Household</v>
      </c>
      <c r="O483" s="46" t="s">
        <v>127</v>
      </c>
      <c r="P483" s="46">
        <f t="array" ref="P483">WEEKDAY(B483,2)</f>
        <v>6</v>
      </c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>
      <c r="A484" s="56">
        <v>4.22568786E8</v>
      </c>
      <c r="B484" s="126">
        <v>42505.0</v>
      </c>
      <c r="C484" s="126">
        <v>42538.0</v>
      </c>
      <c r="D484" s="56" t="s">
        <v>95</v>
      </c>
      <c r="E484" s="56" t="s">
        <v>112</v>
      </c>
      <c r="F484" s="56">
        <v>8875.0</v>
      </c>
      <c r="G484" s="56" t="s">
        <v>43</v>
      </c>
      <c r="H484" s="56">
        <v>6349.0</v>
      </c>
      <c r="I484" s="127">
        <v>421.89</v>
      </c>
      <c r="J484" s="127">
        <v>364.69</v>
      </c>
      <c r="K484" s="83">
        <f t="shared" si="1"/>
        <v>2678579.61</v>
      </c>
      <c r="L484" s="83">
        <f t="shared" si="2"/>
        <v>2315416.81</v>
      </c>
      <c r="M484" s="83">
        <f t="shared" si="3"/>
        <v>363162.8</v>
      </c>
      <c r="N484" s="46" t="str">
        <f>VLOOKUP(F484,products!$A$2:$B$13,2,FALSE)</f>
        <v>Meat</v>
      </c>
      <c r="O484" s="46" t="s">
        <v>112</v>
      </c>
      <c r="P484" s="46">
        <f t="array" ref="P484">WEEKDAY(B484,2)</f>
        <v>7</v>
      </c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>
      <c r="A485" s="56">
        <v>4.24181544E8</v>
      </c>
      <c r="B485" s="126">
        <v>41310.0</v>
      </c>
      <c r="C485" s="126">
        <v>41337.0</v>
      </c>
      <c r="D485" s="56" t="s">
        <v>95</v>
      </c>
      <c r="E485" s="56" t="s">
        <v>101</v>
      </c>
      <c r="F485" s="56">
        <v>2103.0</v>
      </c>
      <c r="G485" s="56" t="s">
        <v>43</v>
      </c>
      <c r="H485" s="56">
        <v>3600.0</v>
      </c>
      <c r="I485" s="127">
        <v>205.7</v>
      </c>
      <c r="J485" s="127">
        <v>117.11</v>
      </c>
      <c r="K485" s="83">
        <f t="shared" si="1"/>
        <v>740520</v>
      </c>
      <c r="L485" s="83">
        <f t="shared" si="2"/>
        <v>421596</v>
      </c>
      <c r="M485" s="83">
        <f t="shared" si="3"/>
        <v>318924</v>
      </c>
      <c r="N485" s="46" t="str">
        <f>VLOOKUP(F485,products!$A$2:$B$13,2,FALSE)</f>
        <v>Cereal</v>
      </c>
      <c r="O485" s="46" t="s">
        <v>101</v>
      </c>
      <c r="P485" s="46">
        <f t="array" ref="P485">WEEKDAY(B485,2)</f>
        <v>2</v>
      </c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>
      <c r="A486" s="56">
        <v>4.24297845E8</v>
      </c>
      <c r="B486" s="126">
        <v>40897.0</v>
      </c>
      <c r="C486" s="126">
        <v>40916.0</v>
      </c>
      <c r="D486" s="56" t="s">
        <v>89</v>
      </c>
      <c r="E486" s="56" t="s">
        <v>91</v>
      </c>
      <c r="F486" s="56">
        <v>1270.0</v>
      </c>
      <c r="G486" s="56" t="s">
        <v>43</v>
      </c>
      <c r="H486" s="56">
        <v>8016.0</v>
      </c>
      <c r="I486" s="127">
        <v>47.45</v>
      </c>
      <c r="J486" s="127">
        <v>31.79</v>
      </c>
      <c r="K486" s="83">
        <f t="shared" si="1"/>
        <v>380359.2</v>
      </c>
      <c r="L486" s="83">
        <f t="shared" si="2"/>
        <v>254828.64</v>
      </c>
      <c r="M486" s="83">
        <f t="shared" si="3"/>
        <v>125530.56</v>
      </c>
      <c r="N486" s="46" t="str">
        <f>VLOOKUP(F486,products!$A$2:$B$13,2,FALSE)</f>
        <v>Beverages</v>
      </c>
      <c r="O486" s="46" t="s">
        <v>91</v>
      </c>
      <c r="P486" s="46">
        <f t="array" ref="P486">WEEKDAY(B486,2)</f>
        <v>2</v>
      </c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>
      <c r="A487" s="56">
        <v>4.24541604E8</v>
      </c>
      <c r="B487" s="126">
        <v>41369.0</v>
      </c>
      <c r="C487" s="126">
        <v>41411.0</v>
      </c>
      <c r="D487" s="56" t="s">
        <v>95</v>
      </c>
      <c r="E487" s="56" t="s">
        <v>122</v>
      </c>
      <c r="F487" s="56">
        <v>8681.0</v>
      </c>
      <c r="G487" s="56" t="s">
        <v>42</v>
      </c>
      <c r="H487" s="56">
        <v>150.0</v>
      </c>
      <c r="I487" s="127">
        <v>651.21</v>
      </c>
      <c r="J487" s="127">
        <v>524.96</v>
      </c>
      <c r="K487" s="83">
        <f t="shared" si="1"/>
        <v>97681.5</v>
      </c>
      <c r="L487" s="83">
        <f t="shared" si="2"/>
        <v>78744</v>
      </c>
      <c r="M487" s="83">
        <f t="shared" si="3"/>
        <v>18937.5</v>
      </c>
      <c r="N487" s="46" t="str">
        <f>VLOOKUP(F487,products!$A$2:$B$13,2,FALSE)</f>
        <v>Office Supplies</v>
      </c>
      <c r="O487" s="46" t="s">
        <v>122</v>
      </c>
      <c r="P487" s="46">
        <f t="array" ref="P487">WEEKDAY(B487,2)</f>
        <v>5</v>
      </c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>
      <c r="A488" s="56">
        <v>4.25547969E8</v>
      </c>
      <c r="B488" s="126">
        <v>40409.0</v>
      </c>
      <c r="C488" s="126">
        <v>40432.0</v>
      </c>
      <c r="D488" s="56" t="s">
        <v>95</v>
      </c>
      <c r="E488" s="56" t="s">
        <v>128</v>
      </c>
      <c r="F488" s="56">
        <v>1270.0</v>
      </c>
      <c r="G488" s="56" t="s">
        <v>43</v>
      </c>
      <c r="H488" s="56">
        <v>7955.0</v>
      </c>
      <c r="I488" s="127">
        <v>47.45</v>
      </c>
      <c r="J488" s="127">
        <v>31.79</v>
      </c>
      <c r="K488" s="83">
        <f t="shared" si="1"/>
        <v>377464.75</v>
      </c>
      <c r="L488" s="83">
        <f t="shared" si="2"/>
        <v>252889.45</v>
      </c>
      <c r="M488" s="83">
        <f t="shared" si="3"/>
        <v>124575.3</v>
      </c>
      <c r="N488" s="46" t="str">
        <f>VLOOKUP(F488,products!$A$2:$B$13,2,FALSE)</f>
        <v>Beverages</v>
      </c>
      <c r="O488" s="46" t="s">
        <v>128</v>
      </c>
      <c r="P488" s="46">
        <f t="array" ref="P488">WEEKDAY(B488,2)</f>
        <v>4</v>
      </c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>
      <c r="A489" s="56">
        <v>4.27432811E8</v>
      </c>
      <c r="B489" s="126">
        <v>42341.0</v>
      </c>
      <c r="C489" s="126">
        <v>42349.0</v>
      </c>
      <c r="D489" s="56" t="s">
        <v>95</v>
      </c>
      <c r="E489" s="56" t="s">
        <v>130</v>
      </c>
      <c r="F489" s="56">
        <v>8969.0</v>
      </c>
      <c r="G489" s="56" t="s">
        <v>43</v>
      </c>
      <c r="H489" s="56">
        <v>5722.0</v>
      </c>
      <c r="I489" s="127">
        <v>152.58</v>
      </c>
      <c r="J489" s="127">
        <v>97.44</v>
      </c>
      <c r="K489" s="83">
        <f t="shared" si="1"/>
        <v>873062.76</v>
      </c>
      <c r="L489" s="83">
        <f t="shared" si="2"/>
        <v>557551.68</v>
      </c>
      <c r="M489" s="83">
        <f t="shared" si="3"/>
        <v>315511.08</v>
      </c>
      <c r="N489" s="46" t="str">
        <f>VLOOKUP(F489,products!$A$2:$B$13,2,FALSE)</f>
        <v>Snacks</v>
      </c>
      <c r="O489" s="46" t="s">
        <v>130</v>
      </c>
      <c r="P489" s="46">
        <f t="array" ref="P489">WEEKDAY(B489,2)</f>
        <v>4</v>
      </c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>
      <c r="A490" s="56">
        <v>4.28419864E8</v>
      </c>
      <c r="B490" s="126">
        <v>41582.0</v>
      </c>
      <c r="C490" s="126">
        <v>41613.0</v>
      </c>
      <c r="D490" s="56" t="s">
        <v>89</v>
      </c>
      <c r="E490" s="56" t="s">
        <v>97</v>
      </c>
      <c r="F490" s="56">
        <v>8681.0</v>
      </c>
      <c r="G490" s="56" t="s">
        <v>42</v>
      </c>
      <c r="H490" s="56">
        <v>7813.0</v>
      </c>
      <c r="I490" s="127">
        <v>651.21</v>
      </c>
      <c r="J490" s="127">
        <v>524.96</v>
      </c>
      <c r="K490" s="83">
        <f t="shared" si="1"/>
        <v>5087903.73</v>
      </c>
      <c r="L490" s="83">
        <f t="shared" si="2"/>
        <v>4101512.48</v>
      </c>
      <c r="M490" s="83">
        <f t="shared" si="3"/>
        <v>986391.25</v>
      </c>
      <c r="N490" s="46" t="str">
        <f>VLOOKUP(F490,products!$A$2:$B$13,2,FALSE)</f>
        <v>Office Supplies</v>
      </c>
      <c r="O490" s="46" t="s">
        <v>97</v>
      </c>
      <c r="P490" s="46">
        <f t="array" ref="P490">WEEKDAY(B490,2)</f>
        <v>1</v>
      </c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>
      <c r="A491" s="56">
        <v>4.29123675E8</v>
      </c>
      <c r="B491" s="126">
        <v>41930.0</v>
      </c>
      <c r="C491" s="126">
        <v>41954.0</v>
      </c>
      <c r="D491" s="56" t="s">
        <v>89</v>
      </c>
      <c r="E491" s="56" t="e">
        <v>#N/A</v>
      </c>
      <c r="F491" s="56">
        <v>8969.0</v>
      </c>
      <c r="G491" s="56" t="s">
        <v>42</v>
      </c>
      <c r="H491" s="56">
        <v>6086.0</v>
      </c>
      <c r="I491" s="127">
        <v>152.58</v>
      </c>
      <c r="J491" s="127">
        <v>97.44</v>
      </c>
      <c r="K491" s="83">
        <f t="shared" si="1"/>
        <v>928601.88</v>
      </c>
      <c r="L491" s="83">
        <f t="shared" si="2"/>
        <v>593019.84</v>
      </c>
      <c r="M491" s="83">
        <f t="shared" si="3"/>
        <v>335582.04</v>
      </c>
      <c r="N491" s="46" t="str">
        <f>VLOOKUP(F491,products!$A$2:$B$13,2,FALSE)</f>
        <v>Snacks</v>
      </c>
      <c r="O491" s="46" t="s">
        <v>92</v>
      </c>
      <c r="P491" s="46">
        <f t="array" ref="P491">WEEKDAY(B491,2)</f>
        <v>6</v>
      </c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>
      <c r="A492" s="56">
        <v>4.3068751E8</v>
      </c>
      <c r="B492" s="126">
        <v>41430.0</v>
      </c>
      <c r="C492" s="126">
        <v>41435.0</v>
      </c>
      <c r="D492" s="56" t="s">
        <v>10</v>
      </c>
      <c r="E492" s="56" t="s">
        <v>103</v>
      </c>
      <c r="F492" s="56">
        <v>3127.0</v>
      </c>
      <c r="G492" s="56" t="s">
        <v>43</v>
      </c>
      <c r="H492" s="56">
        <v>8860.0</v>
      </c>
      <c r="I492" s="127">
        <v>81.73</v>
      </c>
      <c r="J492" s="127">
        <v>56.67</v>
      </c>
      <c r="K492" s="83">
        <f t="shared" si="1"/>
        <v>724127.8</v>
      </c>
      <c r="L492" s="83">
        <f t="shared" si="2"/>
        <v>502096.2</v>
      </c>
      <c r="M492" s="83">
        <f t="shared" si="3"/>
        <v>222031.6</v>
      </c>
      <c r="N492" s="46" t="str">
        <f>VLOOKUP(F492,products!$A$2:$B$13,2,FALSE)</f>
        <v>Personal Care</v>
      </c>
      <c r="O492" s="46" t="s">
        <v>103</v>
      </c>
      <c r="P492" s="46">
        <f t="array" ref="P492">WEEKDAY(B492,2)</f>
        <v>3</v>
      </c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>
      <c r="A493" s="56">
        <v>4.31240689E8</v>
      </c>
      <c r="B493" s="126">
        <v>42242.0</v>
      </c>
      <c r="C493" s="126">
        <v>42290.0</v>
      </c>
      <c r="D493" s="56" t="s">
        <v>93</v>
      </c>
      <c r="E493" s="56" t="s">
        <v>138</v>
      </c>
      <c r="F493" s="56">
        <v>2103.0</v>
      </c>
      <c r="G493" s="56" t="s">
        <v>43</v>
      </c>
      <c r="H493" s="56">
        <v>2558.0</v>
      </c>
      <c r="I493" s="127">
        <v>205.7</v>
      </c>
      <c r="J493" s="127">
        <v>117.11</v>
      </c>
      <c r="K493" s="83">
        <f t="shared" si="1"/>
        <v>526180.6</v>
      </c>
      <c r="L493" s="83">
        <f t="shared" si="2"/>
        <v>299567.38</v>
      </c>
      <c r="M493" s="83">
        <f t="shared" si="3"/>
        <v>226613.22</v>
      </c>
      <c r="N493" s="46" t="str">
        <f>VLOOKUP(F493,products!$A$2:$B$13,2,FALSE)</f>
        <v>Cereal</v>
      </c>
      <c r="O493" s="46" t="s">
        <v>138</v>
      </c>
      <c r="P493" s="46">
        <f t="array" ref="P493">WEEKDAY(B493,2)</f>
        <v>3</v>
      </c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>
      <c r="A494" s="56">
        <v>4.31432092E8</v>
      </c>
      <c r="B494" s="126">
        <v>42583.0</v>
      </c>
      <c r="C494" s="126">
        <v>42626.0</v>
      </c>
      <c r="D494" s="56" t="s">
        <v>95</v>
      </c>
      <c r="E494" s="56" t="s">
        <v>119</v>
      </c>
      <c r="F494" s="56">
        <v>2455.0</v>
      </c>
      <c r="G494" s="56" t="s">
        <v>42</v>
      </c>
      <c r="H494" s="56">
        <v>9198.0</v>
      </c>
      <c r="I494" s="127">
        <v>109.28</v>
      </c>
      <c r="J494" s="127">
        <v>35.84</v>
      </c>
      <c r="K494" s="83">
        <f t="shared" si="1"/>
        <v>1005157.44</v>
      </c>
      <c r="L494" s="83">
        <f t="shared" si="2"/>
        <v>329656.32</v>
      </c>
      <c r="M494" s="83">
        <f t="shared" si="3"/>
        <v>675501.12</v>
      </c>
      <c r="N494" s="46" t="str">
        <f>VLOOKUP(F494,products!$A$2:$B$13,2,FALSE)</f>
        <v>Clothes</v>
      </c>
      <c r="O494" s="46" t="s">
        <v>119</v>
      </c>
      <c r="P494" s="46">
        <f t="array" ref="P494">WEEKDAY(B494,2)</f>
        <v>1</v>
      </c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>
      <c r="A495" s="56">
        <v>4.31753098E8</v>
      </c>
      <c r="B495" s="126">
        <v>42249.0</v>
      </c>
      <c r="C495" s="126">
        <v>42296.0</v>
      </c>
      <c r="D495" s="56" t="s">
        <v>89</v>
      </c>
      <c r="E495" s="56" t="s">
        <v>96</v>
      </c>
      <c r="F495" s="56">
        <v>1270.0</v>
      </c>
      <c r="G495" s="56" t="s">
        <v>43</v>
      </c>
      <c r="H495" s="56">
        <v>4191.0</v>
      </c>
      <c r="I495" s="127">
        <v>47.45</v>
      </c>
      <c r="J495" s="127">
        <v>31.79</v>
      </c>
      <c r="K495" s="83">
        <f t="shared" si="1"/>
        <v>198862.95</v>
      </c>
      <c r="L495" s="83">
        <f t="shared" si="2"/>
        <v>133231.89</v>
      </c>
      <c r="M495" s="83">
        <f t="shared" si="3"/>
        <v>65631.06</v>
      </c>
      <c r="N495" s="46" t="str">
        <f>VLOOKUP(F495,products!$A$2:$B$13,2,FALSE)</f>
        <v>Beverages</v>
      </c>
      <c r="O495" s="46" t="s">
        <v>96</v>
      </c>
      <c r="P495" s="46">
        <f t="array" ref="P495">WEEKDAY(B495,2)</f>
        <v>3</v>
      </c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>
      <c r="A496" s="56">
        <v>4.32031619E8</v>
      </c>
      <c r="B496" s="126">
        <v>40699.0</v>
      </c>
      <c r="C496" s="126">
        <v>40723.0</v>
      </c>
      <c r="D496" s="56" t="s">
        <v>95</v>
      </c>
      <c r="E496" s="56" t="s">
        <v>101</v>
      </c>
      <c r="F496" s="56">
        <v>1270.0</v>
      </c>
      <c r="G496" s="56" t="s">
        <v>43</v>
      </c>
      <c r="H496" s="56">
        <v>6612.0</v>
      </c>
      <c r="I496" s="127">
        <v>47.45</v>
      </c>
      <c r="J496" s="127">
        <v>31.79</v>
      </c>
      <c r="K496" s="83">
        <f t="shared" si="1"/>
        <v>313739.4</v>
      </c>
      <c r="L496" s="83">
        <f t="shared" si="2"/>
        <v>210195.48</v>
      </c>
      <c r="M496" s="83">
        <f t="shared" si="3"/>
        <v>103543.92</v>
      </c>
      <c r="N496" s="46" t="str">
        <f>VLOOKUP(F496,products!$A$2:$B$13,2,FALSE)</f>
        <v>Beverages</v>
      </c>
      <c r="O496" s="46" t="s">
        <v>101</v>
      </c>
      <c r="P496" s="46">
        <f t="array" ref="P496">WEEKDAY(B496,2)</f>
        <v>7</v>
      </c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>
      <c r="A497" s="56">
        <v>4.33079183E8</v>
      </c>
      <c r="B497" s="126">
        <v>41338.0</v>
      </c>
      <c r="C497" s="126">
        <v>41383.0</v>
      </c>
      <c r="D497" s="56" t="s">
        <v>89</v>
      </c>
      <c r="E497" s="56" t="s">
        <v>110</v>
      </c>
      <c r="F497" s="56">
        <v>8681.0</v>
      </c>
      <c r="G497" s="56" t="s">
        <v>42</v>
      </c>
      <c r="H497" s="56">
        <v>6609.0</v>
      </c>
      <c r="I497" s="127">
        <v>651.21</v>
      </c>
      <c r="J497" s="127">
        <v>524.96</v>
      </c>
      <c r="K497" s="83">
        <f t="shared" si="1"/>
        <v>4303846.89</v>
      </c>
      <c r="L497" s="83">
        <f t="shared" si="2"/>
        <v>3469460.64</v>
      </c>
      <c r="M497" s="83">
        <f t="shared" si="3"/>
        <v>834386.25</v>
      </c>
      <c r="N497" s="46" t="str">
        <f>VLOOKUP(F497,products!$A$2:$B$13,2,FALSE)</f>
        <v>Office Supplies</v>
      </c>
      <c r="O497" s="46" t="s">
        <v>110</v>
      </c>
      <c r="P497" s="46">
        <f t="array" ref="P497">WEEKDAY(B497,2)</f>
        <v>2</v>
      </c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>
      <c r="A498" s="56">
        <v>4.337345E8</v>
      </c>
      <c r="B498" s="126">
        <v>40409.0</v>
      </c>
      <c r="C498" s="126">
        <v>40429.0</v>
      </c>
      <c r="D498" s="56" t="s">
        <v>93</v>
      </c>
      <c r="E498" s="56" t="s">
        <v>100</v>
      </c>
      <c r="F498" s="56">
        <v>8681.0</v>
      </c>
      <c r="G498" s="56" t="s">
        <v>42</v>
      </c>
      <c r="H498" s="56">
        <v>532.0</v>
      </c>
      <c r="I498" s="127">
        <v>651.21</v>
      </c>
      <c r="J498" s="127">
        <v>524.96</v>
      </c>
      <c r="K498" s="83">
        <f t="shared" si="1"/>
        <v>346443.72</v>
      </c>
      <c r="L498" s="83">
        <f t="shared" si="2"/>
        <v>279278.72</v>
      </c>
      <c r="M498" s="83">
        <f t="shared" si="3"/>
        <v>67165</v>
      </c>
      <c r="N498" s="46" t="str">
        <f>VLOOKUP(F498,products!$A$2:$B$13,2,FALSE)</f>
        <v>Office Supplies</v>
      </c>
      <c r="O498" s="46" t="s">
        <v>100</v>
      </c>
      <c r="P498" s="46">
        <f t="array" ref="P498">WEEKDAY(B498,2)</f>
        <v>4</v>
      </c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>
      <c r="A499" s="56">
        <v>4.34013879E8</v>
      </c>
      <c r="B499" s="126">
        <v>40448.0</v>
      </c>
      <c r="C499" s="126">
        <v>40487.0</v>
      </c>
      <c r="D499" s="56" t="s">
        <v>95</v>
      </c>
      <c r="E499" s="56" t="s">
        <v>136</v>
      </c>
      <c r="F499" s="56">
        <v>8293.0</v>
      </c>
      <c r="G499" s="56" t="s">
        <v>42</v>
      </c>
      <c r="H499" s="56">
        <v>3206.0</v>
      </c>
      <c r="I499" s="127">
        <v>437.2</v>
      </c>
      <c r="J499" s="127">
        <v>263.33</v>
      </c>
      <c r="K499" s="83">
        <f t="shared" si="1"/>
        <v>1401663.2</v>
      </c>
      <c r="L499" s="83">
        <f t="shared" si="2"/>
        <v>844235.98</v>
      </c>
      <c r="M499" s="83">
        <f t="shared" si="3"/>
        <v>557427.22</v>
      </c>
      <c r="N499" s="46" t="str">
        <f>VLOOKUP(F499,products!$A$2:$B$13,2,FALSE)</f>
        <v>Cosmetics</v>
      </c>
      <c r="O499" s="46" t="s">
        <v>136</v>
      </c>
      <c r="P499" s="46">
        <f t="array" ref="P499">WEEKDAY(B499,2)</f>
        <v>1</v>
      </c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>
      <c r="A500" s="56">
        <v>4.34275662E8</v>
      </c>
      <c r="B500" s="126">
        <v>41101.0</v>
      </c>
      <c r="C500" s="126">
        <v>41134.0</v>
      </c>
      <c r="D500" s="56" t="s">
        <v>95</v>
      </c>
      <c r="E500" s="56" t="s">
        <v>133</v>
      </c>
      <c r="F500" s="56">
        <v>8681.0</v>
      </c>
      <c r="G500" s="56" t="s">
        <v>42</v>
      </c>
      <c r="H500" s="56">
        <v>674.0</v>
      </c>
      <c r="I500" s="127">
        <v>651.21</v>
      </c>
      <c r="J500" s="127">
        <v>524.96</v>
      </c>
      <c r="K500" s="83">
        <f t="shared" si="1"/>
        <v>438915.54</v>
      </c>
      <c r="L500" s="83">
        <f t="shared" si="2"/>
        <v>353823.04</v>
      </c>
      <c r="M500" s="83">
        <f t="shared" si="3"/>
        <v>85092.5</v>
      </c>
      <c r="N500" s="46" t="str">
        <f>VLOOKUP(F500,products!$A$2:$B$13,2,FALSE)</f>
        <v>Office Supplies</v>
      </c>
      <c r="O500" s="46" t="s">
        <v>133</v>
      </c>
      <c r="P500" s="46">
        <f t="array" ref="P500">WEEKDAY(B500,2)</f>
        <v>3</v>
      </c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>
      <c r="A501" s="56">
        <v>4.34485948E8</v>
      </c>
      <c r="B501" s="126">
        <v>40446.0</v>
      </c>
      <c r="C501" s="126">
        <v>40485.0</v>
      </c>
      <c r="D501" s="56" t="s">
        <v>93</v>
      </c>
      <c r="E501" s="56" t="s">
        <v>120</v>
      </c>
      <c r="F501" s="56">
        <v>3127.0</v>
      </c>
      <c r="G501" s="56" t="s">
        <v>43</v>
      </c>
      <c r="H501" s="56">
        <v>2902.0</v>
      </c>
      <c r="I501" s="127">
        <v>81.73</v>
      </c>
      <c r="J501" s="127">
        <v>56.67</v>
      </c>
      <c r="K501" s="83">
        <f t="shared" si="1"/>
        <v>237180.46</v>
      </c>
      <c r="L501" s="83">
        <f t="shared" si="2"/>
        <v>164456.34</v>
      </c>
      <c r="M501" s="83">
        <f t="shared" si="3"/>
        <v>72724.12</v>
      </c>
      <c r="N501" s="46" t="str">
        <f>VLOOKUP(F501,products!$A$2:$B$13,2,FALSE)</f>
        <v>Personal Care</v>
      </c>
      <c r="O501" s="46" t="s">
        <v>120</v>
      </c>
      <c r="P501" s="46">
        <f t="array" ref="P501">WEEKDAY(B501,2)</f>
        <v>6</v>
      </c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>
      <c r="A502" s="56">
        <v>4.35463559E8</v>
      </c>
      <c r="B502" s="126">
        <v>41568.0</v>
      </c>
      <c r="C502" s="126">
        <v>41574.0</v>
      </c>
      <c r="D502" s="56" t="s">
        <v>10</v>
      </c>
      <c r="E502" s="56" t="s">
        <v>112</v>
      </c>
      <c r="F502" s="56">
        <v>1270.0</v>
      </c>
      <c r="G502" s="56" t="s">
        <v>43</v>
      </c>
      <c r="H502" s="56">
        <v>2199.0</v>
      </c>
      <c r="I502" s="127">
        <v>47.45</v>
      </c>
      <c r="J502" s="127">
        <v>31.79</v>
      </c>
      <c r="K502" s="83">
        <f t="shared" si="1"/>
        <v>104342.55</v>
      </c>
      <c r="L502" s="83">
        <f t="shared" si="2"/>
        <v>69906.21</v>
      </c>
      <c r="M502" s="83">
        <f t="shared" si="3"/>
        <v>34436.34</v>
      </c>
      <c r="N502" s="46" t="str">
        <f>VLOOKUP(F502,products!$A$2:$B$13,2,FALSE)</f>
        <v>Beverages</v>
      </c>
      <c r="O502" s="46" t="s">
        <v>112</v>
      </c>
      <c r="P502" s="46">
        <f t="array" ref="P502">WEEKDAY(B502,2)</f>
        <v>1</v>
      </c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>
      <c r="A503" s="56">
        <v>4.36606395E8</v>
      </c>
      <c r="B503" s="126">
        <v>41582.0</v>
      </c>
      <c r="C503" s="126">
        <v>41611.0</v>
      </c>
      <c r="D503" s="56" t="s">
        <v>10</v>
      </c>
      <c r="E503" s="56" t="e">
        <v>#N/A</v>
      </c>
      <c r="F503" s="56">
        <v>1270.0</v>
      </c>
      <c r="G503" s="56" t="s">
        <v>42</v>
      </c>
      <c r="H503" s="56">
        <v>389.0</v>
      </c>
      <c r="I503" s="127">
        <v>47.45</v>
      </c>
      <c r="J503" s="127">
        <v>31.79</v>
      </c>
      <c r="K503" s="83">
        <f t="shared" si="1"/>
        <v>18458.05</v>
      </c>
      <c r="L503" s="83">
        <f t="shared" si="2"/>
        <v>12366.31</v>
      </c>
      <c r="M503" s="83">
        <f t="shared" si="3"/>
        <v>6091.74</v>
      </c>
      <c r="N503" s="46" t="str">
        <f>VLOOKUP(F503,products!$A$2:$B$13,2,FALSE)</f>
        <v>Beverages</v>
      </c>
      <c r="O503" s="46" t="s">
        <v>92</v>
      </c>
      <c r="P503" s="46">
        <f t="array" ref="P503">WEEKDAY(B503,2)</f>
        <v>1</v>
      </c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>
      <c r="A504" s="56">
        <v>4.36969029E8</v>
      </c>
      <c r="B504" s="126">
        <v>40876.0</v>
      </c>
      <c r="C504" s="126">
        <v>40894.0</v>
      </c>
      <c r="D504" s="56" t="s">
        <v>10</v>
      </c>
      <c r="E504" s="56" t="s">
        <v>98</v>
      </c>
      <c r="F504" s="56">
        <v>8875.0</v>
      </c>
      <c r="G504" s="56" t="s">
        <v>42</v>
      </c>
      <c r="H504" s="56">
        <v>7701.0</v>
      </c>
      <c r="I504" s="127">
        <v>421.89</v>
      </c>
      <c r="J504" s="127">
        <v>364.69</v>
      </c>
      <c r="K504" s="83">
        <f t="shared" si="1"/>
        <v>3248974.89</v>
      </c>
      <c r="L504" s="83">
        <f t="shared" si="2"/>
        <v>2808477.69</v>
      </c>
      <c r="M504" s="83">
        <f t="shared" si="3"/>
        <v>440497.2</v>
      </c>
      <c r="N504" s="46" t="str">
        <f>VLOOKUP(F504,products!$A$2:$B$13,2,FALSE)</f>
        <v>Meat</v>
      </c>
      <c r="O504" s="46" t="s">
        <v>98</v>
      </c>
      <c r="P504" s="46">
        <f t="array" ref="P504">WEEKDAY(B504,2)</f>
        <v>2</v>
      </c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>
      <c r="A505" s="56">
        <v>4.37083184E8</v>
      </c>
      <c r="B505" s="126">
        <v>42022.0</v>
      </c>
      <c r="C505" s="126">
        <v>42054.0</v>
      </c>
      <c r="D505" s="56" t="s">
        <v>10</v>
      </c>
      <c r="E505" s="56" t="s">
        <v>132</v>
      </c>
      <c r="F505" s="56">
        <v>8875.0</v>
      </c>
      <c r="G505" s="56" t="s">
        <v>43</v>
      </c>
      <c r="H505" s="56">
        <v>1482.0</v>
      </c>
      <c r="I505" s="127">
        <v>421.89</v>
      </c>
      <c r="J505" s="127">
        <v>364.69</v>
      </c>
      <c r="K505" s="83">
        <f t="shared" si="1"/>
        <v>625240.98</v>
      </c>
      <c r="L505" s="83">
        <f t="shared" si="2"/>
        <v>540470.58</v>
      </c>
      <c r="M505" s="83">
        <f t="shared" si="3"/>
        <v>84770.4</v>
      </c>
      <c r="N505" s="46" t="str">
        <f>VLOOKUP(F505,products!$A$2:$B$13,2,FALSE)</f>
        <v>Meat</v>
      </c>
      <c r="O505" s="46" t="s">
        <v>132</v>
      </c>
      <c r="P505" s="46">
        <f t="array" ref="P505">WEEKDAY(B505,2)</f>
        <v>7</v>
      </c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>
      <c r="A506" s="56">
        <v>4.37604176E8</v>
      </c>
      <c r="B506" s="126">
        <v>41326.0</v>
      </c>
      <c r="C506" s="126">
        <v>41371.0</v>
      </c>
      <c r="D506" s="56" t="s">
        <v>93</v>
      </c>
      <c r="E506" s="56" t="s">
        <v>107</v>
      </c>
      <c r="F506" s="56">
        <v>8969.0</v>
      </c>
      <c r="G506" s="56" t="s">
        <v>43</v>
      </c>
      <c r="H506" s="56">
        <v>5655.0</v>
      </c>
      <c r="I506" s="127">
        <v>152.58</v>
      </c>
      <c r="J506" s="127">
        <v>97.44</v>
      </c>
      <c r="K506" s="83">
        <f t="shared" si="1"/>
        <v>862839.9</v>
      </c>
      <c r="L506" s="83">
        <f t="shared" si="2"/>
        <v>551023.2</v>
      </c>
      <c r="M506" s="83">
        <f t="shared" si="3"/>
        <v>311816.7</v>
      </c>
      <c r="N506" s="46" t="str">
        <f>VLOOKUP(F506,products!$A$2:$B$13,2,FALSE)</f>
        <v>Snacks</v>
      </c>
      <c r="O506" s="46" t="s">
        <v>107</v>
      </c>
      <c r="P506" s="46">
        <f t="array" ref="P506">WEEKDAY(B506,2)</f>
        <v>4</v>
      </c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>
      <c r="A507" s="56">
        <v>4.38683927E8</v>
      </c>
      <c r="B507" s="126">
        <v>40707.0</v>
      </c>
      <c r="C507" s="126">
        <v>40753.0</v>
      </c>
      <c r="D507" s="56" t="s">
        <v>93</v>
      </c>
      <c r="E507" s="56" t="s">
        <v>105</v>
      </c>
      <c r="F507" s="56">
        <v>3127.0</v>
      </c>
      <c r="G507" s="56" t="s">
        <v>43</v>
      </c>
      <c r="H507" s="56">
        <v>5177.0</v>
      </c>
      <c r="I507" s="127">
        <v>81.73</v>
      </c>
      <c r="J507" s="127">
        <v>56.67</v>
      </c>
      <c r="K507" s="83">
        <f t="shared" si="1"/>
        <v>423116.21</v>
      </c>
      <c r="L507" s="83">
        <f t="shared" si="2"/>
        <v>293380.59</v>
      </c>
      <c r="M507" s="83">
        <f t="shared" si="3"/>
        <v>129735.62</v>
      </c>
      <c r="N507" s="46" t="str">
        <f>VLOOKUP(F507,products!$A$2:$B$13,2,FALSE)</f>
        <v>Personal Care</v>
      </c>
      <c r="O507" s="46" t="s">
        <v>105</v>
      </c>
      <c r="P507" s="46">
        <f t="array" ref="P507">WEEKDAY(B507,2)</f>
        <v>1</v>
      </c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>
      <c r="A508" s="56">
        <v>4.39114367E8</v>
      </c>
      <c r="B508" s="126">
        <v>41077.0</v>
      </c>
      <c r="C508" s="126">
        <v>41086.0</v>
      </c>
      <c r="D508" s="56" t="s">
        <v>89</v>
      </c>
      <c r="E508" s="56" t="s">
        <v>103</v>
      </c>
      <c r="F508" s="56">
        <v>3127.0</v>
      </c>
      <c r="G508" s="56" t="s">
        <v>43</v>
      </c>
      <c r="H508" s="56">
        <v>2554.0</v>
      </c>
      <c r="I508" s="127">
        <v>81.73</v>
      </c>
      <c r="J508" s="127">
        <v>56.67</v>
      </c>
      <c r="K508" s="83">
        <f t="shared" si="1"/>
        <v>208738.42</v>
      </c>
      <c r="L508" s="83">
        <f t="shared" si="2"/>
        <v>144735.18</v>
      </c>
      <c r="M508" s="83">
        <f t="shared" si="3"/>
        <v>64003.24</v>
      </c>
      <c r="N508" s="46" t="str">
        <f>VLOOKUP(F508,products!$A$2:$B$13,2,FALSE)</f>
        <v>Personal Care</v>
      </c>
      <c r="O508" s="46" t="s">
        <v>103</v>
      </c>
      <c r="P508" s="46">
        <f t="array" ref="P508">WEEKDAY(B508,2)</f>
        <v>7</v>
      </c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>
      <c r="A509" s="56">
        <v>4.39204919E8</v>
      </c>
      <c r="B509" s="126">
        <v>42777.0</v>
      </c>
      <c r="C509" s="126">
        <v>42785.0</v>
      </c>
      <c r="D509" s="56" t="s">
        <v>93</v>
      </c>
      <c r="E509" s="56" t="s">
        <v>137</v>
      </c>
      <c r="F509" s="56">
        <v>1270.0</v>
      </c>
      <c r="G509" s="56" t="s">
        <v>43</v>
      </c>
      <c r="H509" s="56">
        <v>9350.0</v>
      </c>
      <c r="I509" s="127">
        <v>47.45</v>
      </c>
      <c r="J509" s="127">
        <v>31.79</v>
      </c>
      <c r="K509" s="83">
        <f t="shared" si="1"/>
        <v>443657.5</v>
      </c>
      <c r="L509" s="83">
        <f t="shared" si="2"/>
        <v>297236.5</v>
      </c>
      <c r="M509" s="83">
        <f t="shared" si="3"/>
        <v>146421</v>
      </c>
      <c r="N509" s="46" t="str">
        <f>VLOOKUP(F509,products!$A$2:$B$13,2,FALSE)</f>
        <v>Beverages</v>
      </c>
      <c r="O509" s="46" t="s">
        <v>137</v>
      </c>
      <c r="P509" s="46">
        <f t="array" ref="P509">WEEKDAY(B509,2)</f>
        <v>6</v>
      </c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>
      <c r="A510" s="56">
        <v>4.3964008E8</v>
      </c>
      <c r="B510" s="126">
        <v>40823.0</v>
      </c>
      <c r="C510" s="126">
        <v>40849.0</v>
      </c>
      <c r="D510" s="56" t="s">
        <v>93</v>
      </c>
      <c r="E510" s="56" t="s">
        <v>106</v>
      </c>
      <c r="F510" s="56">
        <v>2103.0</v>
      </c>
      <c r="G510" s="56" t="s">
        <v>43</v>
      </c>
      <c r="H510" s="56">
        <v>8124.0</v>
      </c>
      <c r="I510" s="127">
        <v>205.7</v>
      </c>
      <c r="J510" s="127">
        <v>117.11</v>
      </c>
      <c r="K510" s="83">
        <f t="shared" si="1"/>
        <v>1671106.8</v>
      </c>
      <c r="L510" s="83">
        <f t="shared" si="2"/>
        <v>951401.64</v>
      </c>
      <c r="M510" s="83">
        <f t="shared" si="3"/>
        <v>719705.16</v>
      </c>
      <c r="N510" s="46" t="str">
        <f>VLOOKUP(F510,products!$A$2:$B$13,2,FALSE)</f>
        <v>Cereal</v>
      </c>
      <c r="O510" s="46" t="s">
        <v>106</v>
      </c>
      <c r="P510" s="46">
        <f t="array" ref="P510">WEEKDAY(B510,2)</f>
        <v>5</v>
      </c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>
      <c r="A511" s="56">
        <v>4.39725911E8</v>
      </c>
      <c r="B511" s="126">
        <v>42080.0</v>
      </c>
      <c r="C511" s="126">
        <v>42101.0</v>
      </c>
      <c r="D511" s="56" t="s">
        <v>93</v>
      </c>
      <c r="E511" s="56" t="s">
        <v>101</v>
      </c>
      <c r="F511" s="56">
        <v>4594.0</v>
      </c>
      <c r="G511" s="56" t="s">
        <v>42</v>
      </c>
      <c r="H511" s="56">
        <v>3524.0</v>
      </c>
      <c r="I511" s="127">
        <v>9.33</v>
      </c>
      <c r="J511" s="127">
        <v>6.92</v>
      </c>
      <c r="K511" s="83">
        <f t="shared" si="1"/>
        <v>32878.92</v>
      </c>
      <c r="L511" s="83">
        <f t="shared" si="2"/>
        <v>24386.08</v>
      </c>
      <c r="M511" s="83">
        <f t="shared" si="3"/>
        <v>8492.84</v>
      </c>
      <c r="N511" s="46" t="str">
        <f>VLOOKUP(F511,products!$A$2:$B$13,2,FALSE)</f>
        <v>Fruits</v>
      </c>
      <c r="O511" s="46" t="s">
        <v>101</v>
      </c>
      <c r="P511" s="46">
        <f t="array" ref="P511">WEEKDAY(B511,2)</f>
        <v>2</v>
      </c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>
      <c r="A512" s="56">
        <v>4.42318427E8</v>
      </c>
      <c r="B512" s="126">
        <v>40448.0</v>
      </c>
      <c r="C512" s="126">
        <v>40459.0</v>
      </c>
      <c r="D512" s="56" t="s">
        <v>95</v>
      </c>
      <c r="E512" s="56" t="s">
        <v>128</v>
      </c>
      <c r="F512" s="56">
        <v>7331.0</v>
      </c>
      <c r="G512" s="56" t="s">
        <v>43</v>
      </c>
      <c r="H512" s="56">
        <v>707.0</v>
      </c>
      <c r="I512" s="127">
        <v>255.28</v>
      </c>
      <c r="J512" s="127">
        <v>159.42</v>
      </c>
      <c r="K512" s="83">
        <f t="shared" si="1"/>
        <v>180482.96</v>
      </c>
      <c r="L512" s="83">
        <f t="shared" si="2"/>
        <v>112709.94</v>
      </c>
      <c r="M512" s="83">
        <f t="shared" si="3"/>
        <v>67773.02</v>
      </c>
      <c r="N512" s="46" t="str">
        <f>VLOOKUP(F512,products!$A$2:$B$13,2,FALSE)</f>
        <v>Baby Food</v>
      </c>
      <c r="O512" s="46" t="s">
        <v>128</v>
      </c>
      <c r="P512" s="46">
        <f t="array" ref="P512">WEEKDAY(B512,2)</f>
        <v>1</v>
      </c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>
      <c r="A513" s="56">
        <v>4.43125665E8</v>
      </c>
      <c r="B513" s="126">
        <v>41440.0</v>
      </c>
      <c r="C513" s="126">
        <v>41464.0</v>
      </c>
      <c r="D513" s="56" t="s">
        <v>89</v>
      </c>
      <c r="E513" s="56" t="s">
        <v>91</v>
      </c>
      <c r="F513" s="56">
        <v>2103.0</v>
      </c>
      <c r="G513" s="56" t="s">
        <v>42</v>
      </c>
      <c r="H513" s="56">
        <v>9586.0</v>
      </c>
      <c r="I513" s="127">
        <v>205.7</v>
      </c>
      <c r="J513" s="127">
        <v>117.11</v>
      </c>
      <c r="K513" s="83">
        <f t="shared" si="1"/>
        <v>1971840.2</v>
      </c>
      <c r="L513" s="83">
        <f t="shared" si="2"/>
        <v>1122616.46</v>
      </c>
      <c r="M513" s="83">
        <f t="shared" si="3"/>
        <v>849223.74</v>
      </c>
      <c r="N513" s="46" t="str">
        <f>VLOOKUP(F513,products!$A$2:$B$13,2,FALSE)</f>
        <v>Cereal</v>
      </c>
      <c r="O513" s="46" t="s">
        <v>91</v>
      </c>
      <c r="P513" s="46">
        <f t="array" ref="P513">WEEKDAY(B513,2)</f>
        <v>6</v>
      </c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>
      <c r="A514" s="56">
        <v>4.43347108E8</v>
      </c>
      <c r="B514" s="126">
        <v>42083.0</v>
      </c>
      <c r="C514" s="126">
        <v>42103.0</v>
      </c>
      <c r="D514" s="56" t="s">
        <v>89</v>
      </c>
      <c r="E514" s="56" t="s">
        <v>128</v>
      </c>
      <c r="F514" s="56">
        <v>2103.0</v>
      </c>
      <c r="G514" s="56" t="s">
        <v>42</v>
      </c>
      <c r="H514" s="56">
        <v>5116.0</v>
      </c>
      <c r="I514" s="127">
        <v>205.7</v>
      </c>
      <c r="J514" s="127">
        <v>117.11</v>
      </c>
      <c r="K514" s="83">
        <f t="shared" si="1"/>
        <v>1052361.2</v>
      </c>
      <c r="L514" s="83">
        <f t="shared" si="2"/>
        <v>599134.76</v>
      </c>
      <c r="M514" s="83">
        <f t="shared" si="3"/>
        <v>453226.44</v>
      </c>
      <c r="N514" s="46" t="str">
        <f>VLOOKUP(F514,products!$A$2:$B$13,2,FALSE)</f>
        <v>Cereal</v>
      </c>
      <c r="O514" s="46" t="s">
        <v>128</v>
      </c>
      <c r="P514" s="46">
        <f t="array" ref="P514">WEEKDAY(B514,2)</f>
        <v>5</v>
      </c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>
      <c r="A515" s="56">
        <v>4.43544518E8</v>
      </c>
      <c r="B515" s="126">
        <v>42484.0</v>
      </c>
      <c r="C515" s="126">
        <v>42488.0</v>
      </c>
      <c r="D515" s="56" t="s">
        <v>10</v>
      </c>
      <c r="E515" s="56" t="s">
        <v>128</v>
      </c>
      <c r="F515" s="56">
        <v>1270.0</v>
      </c>
      <c r="G515" s="56" t="s">
        <v>43</v>
      </c>
      <c r="H515" s="56">
        <v>3534.0</v>
      </c>
      <c r="I515" s="127">
        <v>47.45</v>
      </c>
      <c r="J515" s="127">
        <v>31.79</v>
      </c>
      <c r="K515" s="83">
        <f t="shared" si="1"/>
        <v>167688.3</v>
      </c>
      <c r="L515" s="83">
        <f t="shared" si="2"/>
        <v>112345.86</v>
      </c>
      <c r="M515" s="83">
        <f t="shared" si="3"/>
        <v>55342.44</v>
      </c>
      <c r="N515" s="46" t="str">
        <f>VLOOKUP(F515,products!$A$2:$B$13,2,FALSE)</f>
        <v>Beverages</v>
      </c>
      <c r="O515" s="46" t="s">
        <v>128</v>
      </c>
      <c r="P515" s="46">
        <f t="array" ref="P515">WEEKDAY(B515,2)</f>
        <v>7</v>
      </c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>
      <c r="A516" s="56">
        <v>4.43551385E8</v>
      </c>
      <c r="B516" s="126">
        <v>41367.0</v>
      </c>
      <c r="C516" s="126">
        <v>41403.0</v>
      </c>
      <c r="D516" s="56" t="s">
        <v>93</v>
      </c>
      <c r="E516" s="56" t="s">
        <v>132</v>
      </c>
      <c r="F516" s="56">
        <v>7331.0</v>
      </c>
      <c r="G516" s="56" t="s">
        <v>43</v>
      </c>
      <c r="H516" s="56">
        <v>5566.0</v>
      </c>
      <c r="I516" s="127">
        <v>255.28</v>
      </c>
      <c r="J516" s="127">
        <v>159.42</v>
      </c>
      <c r="K516" s="83">
        <f t="shared" si="1"/>
        <v>1420888.48</v>
      </c>
      <c r="L516" s="83">
        <f t="shared" si="2"/>
        <v>887331.72</v>
      </c>
      <c r="M516" s="83">
        <f t="shared" si="3"/>
        <v>533556.76</v>
      </c>
      <c r="N516" s="46" t="str">
        <f>VLOOKUP(F516,products!$A$2:$B$13,2,FALSE)</f>
        <v>Baby Food</v>
      </c>
      <c r="O516" s="46" t="s">
        <v>132</v>
      </c>
      <c r="P516" s="46">
        <f t="array" ref="P516">WEEKDAY(B516,2)</f>
        <v>3</v>
      </c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>
      <c r="A517" s="56">
        <v>4.44234168E8</v>
      </c>
      <c r="B517" s="126">
        <v>41505.0</v>
      </c>
      <c r="C517" s="126">
        <v>41544.0</v>
      </c>
      <c r="D517" s="56" t="s">
        <v>89</v>
      </c>
      <c r="E517" s="56" t="s">
        <v>138</v>
      </c>
      <c r="F517" s="56">
        <v>7331.0</v>
      </c>
      <c r="G517" s="56" t="s">
        <v>43</v>
      </c>
      <c r="H517" s="56">
        <v>7617.0</v>
      </c>
      <c r="I517" s="127">
        <v>255.28</v>
      </c>
      <c r="J517" s="127">
        <v>159.42</v>
      </c>
      <c r="K517" s="83">
        <f t="shared" si="1"/>
        <v>1944467.76</v>
      </c>
      <c r="L517" s="83">
        <f t="shared" si="2"/>
        <v>1214302.14</v>
      </c>
      <c r="M517" s="83">
        <f t="shared" si="3"/>
        <v>730165.62</v>
      </c>
      <c r="N517" s="46" t="str">
        <f>VLOOKUP(F517,products!$A$2:$B$13,2,FALSE)</f>
        <v>Baby Food</v>
      </c>
      <c r="O517" s="46" t="s">
        <v>138</v>
      </c>
      <c r="P517" s="46">
        <f t="array" ref="P517">WEEKDAY(B517,2)</f>
        <v>1</v>
      </c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>
      <c r="A518" s="56">
        <v>4.44798934E8</v>
      </c>
      <c r="B518" s="126">
        <v>41643.0</v>
      </c>
      <c r="C518" s="126">
        <v>41659.0</v>
      </c>
      <c r="D518" s="56" t="s">
        <v>89</v>
      </c>
      <c r="E518" s="56" t="s">
        <v>115</v>
      </c>
      <c r="F518" s="56">
        <v>7940.0</v>
      </c>
      <c r="G518" s="56" t="s">
        <v>43</v>
      </c>
      <c r="H518" s="56">
        <v>4744.0</v>
      </c>
      <c r="I518" s="127">
        <v>668.27</v>
      </c>
      <c r="J518" s="127">
        <v>502.54</v>
      </c>
      <c r="K518" s="83">
        <f t="shared" si="1"/>
        <v>3170272.88</v>
      </c>
      <c r="L518" s="83">
        <f t="shared" si="2"/>
        <v>2384049.76</v>
      </c>
      <c r="M518" s="83">
        <f t="shared" si="3"/>
        <v>786223.12</v>
      </c>
      <c r="N518" s="46" t="str">
        <f>VLOOKUP(F518,products!$A$2:$B$13,2,FALSE)</f>
        <v>Household</v>
      </c>
      <c r="O518" s="46" t="s">
        <v>115</v>
      </c>
      <c r="P518" s="46">
        <f t="array" ref="P518">WEEKDAY(B518,2)</f>
        <v>6</v>
      </c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>
      <c r="A519" s="56">
        <v>4.4480623E8</v>
      </c>
      <c r="B519" s="126">
        <v>41321.0</v>
      </c>
      <c r="C519" s="126">
        <v>41365.0</v>
      </c>
      <c r="D519" s="56" t="s">
        <v>95</v>
      </c>
      <c r="E519" s="56" t="s">
        <v>114</v>
      </c>
      <c r="F519" s="56">
        <v>2103.0</v>
      </c>
      <c r="G519" s="56" t="s">
        <v>43</v>
      </c>
      <c r="H519" s="56">
        <v>6903.0</v>
      </c>
      <c r="I519" s="127">
        <v>205.7</v>
      </c>
      <c r="J519" s="127">
        <v>117.11</v>
      </c>
      <c r="K519" s="83">
        <f t="shared" si="1"/>
        <v>1419947.1</v>
      </c>
      <c r="L519" s="83">
        <f t="shared" si="2"/>
        <v>808410.33</v>
      </c>
      <c r="M519" s="83">
        <f t="shared" si="3"/>
        <v>611536.77</v>
      </c>
      <c r="N519" s="46" t="str">
        <f>VLOOKUP(F519,products!$A$2:$B$13,2,FALSE)</f>
        <v>Cereal</v>
      </c>
      <c r="O519" s="46" t="s">
        <v>114</v>
      </c>
      <c r="P519" s="46">
        <f t="array" ref="P519">WEEKDAY(B519,2)</f>
        <v>6</v>
      </c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>
      <c r="A520" s="56">
        <v>4.45273578E8</v>
      </c>
      <c r="B520" s="126">
        <v>40876.0</v>
      </c>
      <c r="C520" s="126">
        <v>40917.0</v>
      </c>
      <c r="D520" s="56" t="s">
        <v>95</v>
      </c>
      <c r="E520" s="56" t="s">
        <v>130</v>
      </c>
      <c r="F520" s="56">
        <v>8681.0</v>
      </c>
      <c r="G520" s="56" t="s">
        <v>42</v>
      </c>
      <c r="H520" s="56">
        <v>5201.0</v>
      </c>
      <c r="I520" s="127">
        <v>651.21</v>
      </c>
      <c r="J520" s="127">
        <v>524.96</v>
      </c>
      <c r="K520" s="83">
        <f t="shared" si="1"/>
        <v>3386943.21</v>
      </c>
      <c r="L520" s="83">
        <f t="shared" si="2"/>
        <v>2730316.96</v>
      </c>
      <c r="M520" s="83">
        <f t="shared" si="3"/>
        <v>656626.25</v>
      </c>
      <c r="N520" s="46" t="str">
        <f>VLOOKUP(F520,products!$A$2:$B$13,2,FALSE)</f>
        <v>Office Supplies</v>
      </c>
      <c r="O520" s="46" t="s">
        <v>130</v>
      </c>
      <c r="P520" s="46">
        <f t="array" ref="P520">WEEKDAY(B520,2)</f>
        <v>2</v>
      </c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>
      <c r="A521" s="56">
        <v>4.45708739E8</v>
      </c>
      <c r="B521" s="126">
        <v>41689.0</v>
      </c>
      <c r="C521" s="126">
        <v>41697.0</v>
      </c>
      <c r="D521" s="56" t="s">
        <v>95</v>
      </c>
      <c r="E521" s="56" t="s">
        <v>112</v>
      </c>
      <c r="F521" s="56">
        <v>3127.0</v>
      </c>
      <c r="G521" s="56" t="s">
        <v>43</v>
      </c>
      <c r="H521" s="56">
        <v>3975.0</v>
      </c>
      <c r="I521" s="127">
        <v>81.73</v>
      </c>
      <c r="J521" s="127">
        <v>56.67</v>
      </c>
      <c r="K521" s="83">
        <f t="shared" si="1"/>
        <v>324876.75</v>
      </c>
      <c r="L521" s="83">
        <f t="shared" si="2"/>
        <v>225263.25</v>
      </c>
      <c r="M521" s="83">
        <f t="shared" si="3"/>
        <v>99613.5</v>
      </c>
      <c r="N521" s="46" t="str">
        <f>VLOOKUP(F521,products!$A$2:$B$13,2,FALSE)</f>
        <v>Personal Care</v>
      </c>
      <c r="O521" s="46" t="s">
        <v>112</v>
      </c>
      <c r="P521" s="46">
        <f t="array" ref="P521">WEEKDAY(B521,2)</f>
        <v>3</v>
      </c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>
      <c r="A522" s="56">
        <v>4.45952498E8</v>
      </c>
      <c r="B522" s="126">
        <v>42161.0</v>
      </c>
      <c r="C522" s="126">
        <v>42192.0</v>
      </c>
      <c r="D522" s="56" t="s">
        <v>10</v>
      </c>
      <c r="E522" s="56" t="s">
        <v>90</v>
      </c>
      <c r="F522" s="56">
        <v>2103.0</v>
      </c>
      <c r="G522" s="56" t="s">
        <v>42</v>
      </c>
      <c r="H522" s="56">
        <v>6109.0</v>
      </c>
      <c r="I522" s="127">
        <v>205.7</v>
      </c>
      <c r="J522" s="127">
        <v>117.11</v>
      </c>
      <c r="K522" s="83">
        <f t="shared" si="1"/>
        <v>1256621.3</v>
      </c>
      <c r="L522" s="83">
        <f t="shared" si="2"/>
        <v>715424.99</v>
      </c>
      <c r="M522" s="83">
        <f t="shared" si="3"/>
        <v>541196.31</v>
      </c>
      <c r="N522" s="46" t="str">
        <f>VLOOKUP(F522,products!$A$2:$B$13,2,FALSE)</f>
        <v>Cereal</v>
      </c>
      <c r="O522" s="46" t="s">
        <v>90</v>
      </c>
      <c r="P522" s="46">
        <f t="array" ref="P522">WEEKDAY(B522,2)</f>
        <v>6</v>
      </c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>
      <c r="A523" s="56">
        <v>4.46019017E8</v>
      </c>
      <c r="B523" s="126">
        <v>40853.0</v>
      </c>
      <c r="C523" s="126">
        <v>40872.0</v>
      </c>
      <c r="D523" s="56" t="s">
        <v>10</v>
      </c>
      <c r="E523" s="56" t="s">
        <v>113</v>
      </c>
      <c r="F523" s="56">
        <v>5988.0</v>
      </c>
      <c r="G523" s="56" t="s">
        <v>43</v>
      </c>
      <c r="H523" s="56">
        <v>5794.0</v>
      </c>
      <c r="I523" s="127">
        <v>154.06</v>
      </c>
      <c r="J523" s="127">
        <v>90.93</v>
      </c>
      <c r="K523" s="83">
        <f t="shared" si="1"/>
        <v>892623.64</v>
      </c>
      <c r="L523" s="83">
        <f t="shared" si="2"/>
        <v>526848.42</v>
      </c>
      <c r="M523" s="83">
        <f t="shared" si="3"/>
        <v>365775.22</v>
      </c>
      <c r="N523" s="46" t="str">
        <f>VLOOKUP(F523,products!$A$2:$B$13,2,FALSE)</f>
        <v>Vegetables</v>
      </c>
      <c r="O523" s="46" t="s">
        <v>113</v>
      </c>
      <c r="P523" s="46">
        <f t="array" ref="P523">WEEKDAY(B523,2)</f>
        <v>7</v>
      </c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>
      <c r="A524" s="56">
        <v>4.46045196E8</v>
      </c>
      <c r="B524" s="126">
        <v>42301.0</v>
      </c>
      <c r="C524" s="126">
        <v>42309.0</v>
      </c>
      <c r="D524" s="56" t="s">
        <v>93</v>
      </c>
      <c r="E524" s="56" t="s">
        <v>98</v>
      </c>
      <c r="F524" s="56">
        <v>4594.0</v>
      </c>
      <c r="G524" s="56" t="s">
        <v>42</v>
      </c>
      <c r="H524" s="56">
        <v>3540.0</v>
      </c>
      <c r="I524" s="127">
        <v>9.33</v>
      </c>
      <c r="J524" s="127">
        <v>6.92</v>
      </c>
      <c r="K524" s="83">
        <f t="shared" si="1"/>
        <v>33028.2</v>
      </c>
      <c r="L524" s="83">
        <f t="shared" si="2"/>
        <v>24496.8</v>
      </c>
      <c r="M524" s="83">
        <f t="shared" si="3"/>
        <v>8531.4</v>
      </c>
      <c r="N524" s="46" t="str">
        <f>VLOOKUP(F524,products!$A$2:$B$13,2,FALSE)</f>
        <v>Fruits</v>
      </c>
      <c r="O524" s="46" t="s">
        <v>98</v>
      </c>
      <c r="P524" s="46">
        <f t="array" ref="P524">WEEKDAY(B524,2)</f>
        <v>6</v>
      </c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>
      <c r="A525" s="56">
        <v>4.4718331E8</v>
      </c>
      <c r="B525" s="126">
        <v>41873.0</v>
      </c>
      <c r="C525" s="126">
        <v>41901.0</v>
      </c>
      <c r="D525" s="56" t="s">
        <v>10</v>
      </c>
      <c r="E525" s="56" t="s">
        <v>120</v>
      </c>
      <c r="F525" s="56">
        <v>8293.0</v>
      </c>
      <c r="G525" s="56" t="s">
        <v>42</v>
      </c>
      <c r="H525" s="56">
        <v>334.0</v>
      </c>
      <c r="I525" s="127">
        <v>437.2</v>
      </c>
      <c r="J525" s="127">
        <v>263.33</v>
      </c>
      <c r="K525" s="83">
        <f t="shared" si="1"/>
        <v>146024.8</v>
      </c>
      <c r="L525" s="83">
        <f t="shared" si="2"/>
        <v>87952.22</v>
      </c>
      <c r="M525" s="83">
        <f t="shared" si="3"/>
        <v>58072.58</v>
      </c>
      <c r="N525" s="46" t="str">
        <f>VLOOKUP(F525,products!$A$2:$B$13,2,FALSE)</f>
        <v>Cosmetics</v>
      </c>
      <c r="O525" s="46" t="s">
        <v>120</v>
      </c>
      <c r="P525" s="46">
        <f t="array" ref="P525">WEEKDAY(B525,2)</f>
        <v>5</v>
      </c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>
      <c r="A526" s="56">
        <v>4.47536504E8</v>
      </c>
      <c r="B526" s="126">
        <v>40282.0</v>
      </c>
      <c r="C526" s="126">
        <v>40293.0</v>
      </c>
      <c r="D526" s="56" t="s">
        <v>95</v>
      </c>
      <c r="E526" s="56" t="s">
        <v>91</v>
      </c>
      <c r="F526" s="56">
        <v>8875.0</v>
      </c>
      <c r="G526" s="56" t="s">
        <v>42</v>
      </c>
      <c r="H526" s="56">
        <v>4852.0</v>
      </c>
      <c r="I526" s="127">
        <v>421.89</v>
      </c>
      <c r="J526" s="127">
        <v>364.69</v>
      </c>
      <c r="K526" s="83">
        <f t="shared" si="1"/>
        <v>2047010.28</v>
      </c>
      <c r="L526" s="83">
        <f t="shared" si="2"/>
        <v>1769475.88</v>
      </c>
      <c r="M526" s="83">
        <f t="shared" si="3"/>
        <v>277534.4</v>
      </c>
      <c r="N526" s="46" t="str">
        <f>VLOOKUP(F526,products!$A$2:$B$13,2,FALSE)</f>
        <v>Meat</v>
      </c>
      <c r="O526" s="46" t="s">
        <v>91</v>
      </c>
      <c r="P526" s="46">
        <f t="array" ref="P526">WEEKDAY(B526,2)</f>
        <v>3</v>
      </c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>
      <c r="A527" s="56">
        <v>4.47684133E8</v>
      </c>
      <c r="B527" s="126">
        <v>42554.0</v>
      </c>
      <c r="C527" s="126">
        <v>42596.0</v>
      </c>
      <c r="D527" s="56" t="s">
        <v>89</v>
      </c>
      <c r="E527" s="56" t="s">
        <v>97</v>
      </c>
      <c r="F527" s="56">
        <v>8969.0</v>
      </c>
      <c r="G527" s="56" t="s">
        <v>42</v>
      </c>
      <c r="H527" s="56">
        <v>8538.0</v>
      </c>
      <c r="I527" s="127">
        <v>152.58</v>
      </c>
      <c r="J527" s="127">
        <v>97.44</v>
      </c>
      <c r="K527" s="83">
        <f t="shared" si="1"/>
        <v>1302728.04</v>
      </c>
      <c r="L527" s="83">
        <f t="shared" si="2"/>
        <v>831942.72</v>
      </c>
      <c r="M527" s="83">
        <f t="shared" si="3"/>
        <v>470785.32</v>
      </c>
      <c r="N527" s="46" t="str">
        <f>VLOOKUP(F527,products!$A$2:$B$13,2,FALSE)</f>
        <v>Snacks</v>
      </c>
      <c r="O527" s="46" t="s">
        <v>97</v>
      </c>
      <c r="P527" s="46">
        <f t="array" ref="P527">WEEKDAY(B527,2)</f>
        <v>7</v>
      </c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>
      <c r="A528" s="56">
        <v>4.4920634E8</v>
      </c>
      <c r="B528" s="126">
        <v>42426.0</v>
      </c>
      <c r="C528" s="126">
        <v>42463.0</v>
      </c>
      <c r="D528" s="56" t="s">
        <v>95</v>
      </c>
      <c r="E528" s="56" t="s">
        <v>97</v>
      </c>
      <c r="F528" s="56">
        <v>2103.0</v>
      </c>
      <c r="G528" s="56" t="s">
        <v>42</v>
      </c>
      <c r="H528" s="56">
        <v>8993.0</v>
      </c>
      <c r="I528" s="127">
        <v>205.7</v>
      </c>
      <c r="J528" s="127">
        <v>117.11</v>
      </c>
      <c r="K528" s="83">
        <f t="shared" si="1"/>
        <v>1849860.1</v>
      </c>
      <c r="L528" s="83">
        <f t="shared" si="2"/>
        <v>1053170.23</v>
      </c>
      <c r="M528" s="83">
        <f t="shared" si="3"/>
        <v>796689.87</v>
      </c>
      <c r="N528" s="46" t="str">
        <f>VLOOKUP(F528,products!$A$2:$B$13,2,FALSE)</f>
        <v>Cereal</v>
      </c>
      <c r="O528" s="46" t="s">
        <v>97</v>
      </c>
      <c r="P528" s="46">
        <f t="array" ref="P528">WEEKDAY(B528,2)</f>
        <v>5</v>
      </c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>
      <c r="A529" s="56">
        <v>4.50041043E8</v>
      </c>
      <c r="B529" s="126">
        <v>41718.0</v>
      </c>
      <c r="C529" s="126">
        <v>41745.0</v>
      </c>
      <c r="D529" s="56" t="s">
        <v>93</v>
      </c>
      <c r="E529" s="56" t="s">
        <v>115</v>
      </c>
      <c r="F529" s="56">
        <v>8293.0</v>
      </c>
      <c r="G529" s="56" t="s">
        <v>42</v>
      </c>
      <c r="H529" s="56">
        <v>6000.0</v>
      </c>
      <c r="I529" s="127">
        <v>437.2</v>
      </c>
      <c r="J529" s="127">
        <v>263.33</v>
      </c>
      <c r="K529" s="83">
        <f t="shared" si="1"/>
        <v>2623200</v>
      </c>
      <c r="L529" s="83">
        <f t="shared" si="2"/>
        <v>1579980</v>
      </c>
      <c r="M529" s="83">
        <f t="shared" si="3"/>
        <v>1043220</v>
      </c>
      <c r="N529" s="46" t="str">
        <f>VLOOKUP(F529,products!$A$2:$B$13,2,FALSE)</f>
        <v>Cosmetics</v>
      </c>
      <c r="O529" s="46" t="s">
        <v>115</v>
      </c>
      <c r="P529" s="46">
        <f t="array" ref="P529">WEEKDAY(B529,2)</f>
        <v>4</v>
      </c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>
      <c r="A530" s="56">
        <v>4.50550019E8</v>
      </c>
      <c r="B530" s="126">
        <v>40901.0</v>
      </c>
      <c r="C530" s="126">
        <v>40910.0</v>
      </c>
      <c r="D530" s="56" t="s">
        <v>89</v>
      </c>
      <c r="E530" s="56" t="s">
        <v>111</v>
      </c>
      <c r="F530" s="56">
        <v>7331.0</v>
      </c>
      <c r="G530" s="56" t="s">
        <v>42</v>
      </c>
      <c r="H530" s="56">
        <v>6618.0</v>
      </c>
      <c r="I530" s="127">
        <v>255.28</v>
      </c>
      <c r="J530" s="127">
        <v>159.42</v>
      </c>
      <c r="K530" s="83">
        <f t="shared" si="1"/>
        <v>1689443.04</v>
      </c>
      <c r="L530" s="83">
        <f t="shared" si="2"/>
        <v>1055041.56</v>
      </c>
      <c r="M530" s="83">
        <f t="shared" si="3"/>
        <v>634401.48</v>
      </c>
      <c r="N530" s="46" t="str">
        <f>VLOOKUP(F530,products!$A$2:$B$13,2,FALSE)</f>
        <v>Baby Food</v>
      </c>
      <c r="O530" s="46" t="s">
        <v>111</v>
      </c>
      <c r="P530" s="46">
        <f t="array" ref="P530">WEEKDAY(B530,2)</f>
        <v>6</v>
      </c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>
      <c r="A531" s="56">
        <v>4.52471768E8</v>
      </c>
      <c r="B531" s="126">
        <v>42018.0</v>
      </c>
      <c r="C531" s="126">
        <v>42045.0</v>
      </c>
      <c r="D531" s="56" t="s">
        <v>93</v>
      </c>
      <c r="E531" s="56" t="s">
        <v>132</v>
      </c>
      <c r="F531" s="56">
        <v>4594.0</v>
      </c>
      <c r="G531" s="56" t="s">
        <v>42</v>
      </c>
      <c r="H531" s="56">
        <v>5306.0</v>
      </c>
      <c r="I531" s="127">
        <v>9.33</v>
      </c>
      <c r="J531" s="127">
        <v>6.92</v>
      </c>
      <c r="K531" s="83">
        <f t="shared" si="1"/>
        <v>49504.98</v>
      </c>
      <c r="L531" s="83">
        <f t="shared" si="2"/>
        <v>36717.52</v>
      </c>
      <c r="M531" s="83">
        <f t="shared" si="3"/>
        <v>12787.46</v>
      </c>
      <c r="N531" s="46" t="str">
        <f>VLOOKUP(F531,products!$A$2:$B$13,2,FALSE)</f>
        <v>Fruits</v>
      </c>
      <c r="O531" s="46" t="s">
        <v>132</v>
      </c>
      <c r="P531" s="46">
        <f t="array" ref="P531">WEEKDAY(B531,2)</f>
        <v>3</v>
      </c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>
      <c r="A532" s="56">
        <v>4.52559745E8</v>
      </c>
      <c r="B532" s="126">
        <v>41716.0</v>
      </c>
      <c r="C532" s="126">
        <v>41717.0</v>
      </c>
      <c r="D532" s="56" t="s">
        <v>93</v>
      </c>
      <c r="E532" s="56" t="e">
        <v>#N/A</v>
      </c>
      <c r="F532" s="56">
        <v>5988.0</v>
      </c>
      <c r="G532" s="56" t="s">
        <v>42</v>
      </c>
      <c r="H532" s="56">
        <v>1340.0</v>
      </c>
      <c r="I532" s="127">
        <v>154.06</v>
      </c>
      <c r="J532" s="127">
        <v>90.93</v>
      </c>
      <c r="K532" s="83">
        <f t="shared" si="1"/>
        <v>206440.4</v>
      </c>
      <c r="L532" s="83">
        <f t="shared" si="2"/>
        <v>121846.2</v>
      </c>
      <c r="M532" s="83">
        <f t="shared" si="3"/>
        <v>84594.2</v>
      </c>
      <c r="N532" s="46" t="str">
        <f>VLOOKUP(F532,products!$A$2:$B$13,2,FALSE)</f>
        <v>Vegetables</v>
      </c>
      <c r="O532" s="46" t="s">
        <v>92</v>
      </c>
      <c r="P532" s="46">
        <f t="array" ref="P532">WEEKDAY(B532,2)</f>
        <v>2</v>
      </c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>
      <c r="A533" s="56">
        <v>4.54550588E8</v>
      </c>
      <c r="B533" s="126">
        <v>40761.0</v>
      </c>
      <c r="C533" s="126">
        <v>40792.0</v>
      </c>
      <c r="D533" s="56" t="s">
        <v>10</v>
      </c>
      <c r="E533" s="56" t="s">
        <v>106</v>
      </c>
      <c r="F533" s="56">
        <v>2103.0</v>
      </c>
      <c r="G533" s="56" t="s">
        <v>43</v>
      </c>
      <c r="H533" s="56">
        <v>475.0</v>
      </c>
      <c r="I533" s="127">
        <v>205.7</v>
      </c>
      <c r="J533" s="127">
        <v>117.11</v>
      </c>
      <c r="K533" s="83">
        <f t="shared" si="1"/>
        <v>97707.5</v>
      </c>
      <c r="L533" s="83">
        <f t="shared" si="2"/>
        <v>55627.25</v>
      </c>
      <c r="M533" s="83">
        <f t="shared" si="3"/>
        <v>42080.25</v>
      </c>
      <c r="N533" s="46" t="str">
        <f>VLOOKUP(F533,products!$A$2:$B$13,2,FALSE)</f>
        <v>Cereal</v>
      </c>
      <c r="O533" s="46" t="s">
        <v>106</v>
      </c>
      <c r="P533" s="46">
        <f t="array" ref="P533">WEEKDAY(B533,2)</f>
        <v>6</v>
      </c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>
      <c r="A534" s="56">
        <v>4.55040681E8</v>
      </c>
      <c r="B534" s="126">
        <v>40940.0</v>
      </c>
      <c r="C534" s="126">
        <v>40941.0</v>
      </c>
      <c r="D534" s="56" t="s">
        <v>93</v>
      </c>
      <c r="E534" s="56" t="s">
        <v>97</v>
      </c>
      <c r="F534" s="56">
        <v>5988.0</v>
      </c>
      <c r="G534" s="56" t="s">
        <v>42</v>
      </c>
      <c r="H534" s="56">
        <v>5504.0</v>
      </c>
      <c r="I534" s="127">
        <v>154.06</v>
      </c>
      <c r="J534" s="127">
        <v>90.93</v>
      </c>
      <c r="K534" s="83">
        <f t="shared" si="1"/>
        <v>847946.24</v>
      </c>
      <c r="L534" s="83">
        <f t="shared" si="2"/>
        <v>500478.72</v>
      </c>
      <c r="M534" s="83">
        <f t="shared" si="3"/>
        <v>347467.52</v>
      </c>
      <c r="N534" s="46" t="str">
        <f>VLOOKUP(F534,products!$A$2:$B$13,2,FALSE)</f>
        <v>Vegetables</v>
      </c>
      <c r="O534" s="46" t="s">
        <v>97</v>
      </c>
      <c r="P534" s="46">
        <f t="array" ref="P534">WEEKDAY(B534,2)</f>
        <v>3</v>
      </c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>
      <c r="A535" s="56">
        <v>4.56192958E8</v>
      </c>
      <c r="B535" s="126">
        <v>41839.0</v>
      </c>
      <c r="C535" s="126">
        <v>41869.0</v>
      </c>
      <c r="D535" s="56" t="s">
        <v>93</v>
      </c>
      <c r="E535" s="56" t="s">
        <v>119</v>
      </c>
      <c r="F535" s="56">
        <v>3127.0</v>
      </c>
      <c r="G535" s="56" t="s">
        <v>43</v>
      </c>
      <c r="H535" s="56">
        <v>6489.0</v>
      </c>
      <c r="I535" s="127">
        <v>81.73</v>
      </c>
      <c r="J535" s="127">
        <v>56.67</v>
      </c>
      <c r="K535" s="83">
        <f t="shared" si="1"/>
        <v>530345.97</v>
      </c>
      <c r="L535" s="83">
        <f t="shared" si="2"/>
        <v>367731.63</v>
      </c>
      <c r="M535" s="83">
        <f t="shared" si="3"/>
        <v>162614.34</v>
      </c>
      <c r="N535" s="46" t="str">
        <f>VLOOKUP(F535,products!$A$2:$B$13,2,FALSE)</f>
        <v>Personal Care</v>
      </c>
      <c r="O535" s="46" t="s">
        <v>119</v>
      </c>
      <c r="P535" s="46">
        <f t="array" ref="P535">WEEKDAY(B535,2)</f>
        <v>6</v>
      </c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>
      <c r="A536" s="56">
        <v>4.56527268E8</v>
      </c>
      <c r="B536" s="126">
        <v>41244.0</v>
      </c>
      <c r="C536" s="126">
        <v>41245.0</v>
      </c>
      <c r="D536" s="56" t="s">
        <v>93</v>
      </c>
      <c r="E536" s="56" t="s">
        <v>109</v>
      </c>
      <c r="F536" s="56">
        <v>8681.0</v>
      </c>
      <c r="G536" s="56" t="s">
        <v>42</v>
      </c>
      <c r="H536" s="56">
        <v>5419.0</v>
      </c>
      <c r="I536" s="127">
        <v>651.21</v>
      </c>
      <c r="J536" s="127">
        <v>524.96</v>
      </c>
      <c r="K536" s="83">
        <f t="shared" si="1"/>
        <v>3528906.99</v>
      </c>
      <c r="L536" s="83">
        <f t="shared" si="2"/>
        <v>2844758.24</v>
      </c>
      <c r="M536" s="83">
        <f t="shared" si="3"/>
        <v>684148.75</v>
      </c>
      <c r="N536" s="46" t="str">
        <f>VLOOKUP(F536,products!$A$2:$B$13,2,FALSE)</f>
        <v>Office Supplies</v>
      </c>
      <c r="O536" s="46" t="s">
        <v>109</v>
      </c>
      <c r="P536" s="46">
        <f t="array" ref="P536">WEEKDAY(B536,2)</f>
        <v>6</v>
      </c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>
      <c r="A537" s="56">
        <v>4.56934964E8</v>
      </c>
      <c r="B537" s="126">
        <v>40991.0</v>
      </c>
      <c r="C537" s="126">
        <v>41034.0</v>
      </c>
      <c r="D537" s="56" t="s">
        <v>93</v>
      </c>
      <c r="E537" s="56" t="s">
        <v>120</v>
      </c>
      <c r="F537" s="56">
        <v>8875.0</v>
      </c>
      <c r="G537" s="56" t="s">
        <v>42</v>
      </c>
      <c r="H537" s="56">
        <v>6065.0</v>
      </c>
      <c r="I537" s="127">
        <v>421.89</v>
      </c>
      <c r="J537" s="127">
        <v>364.69</v>
      </c>
      <c r="K537" s="83">
        <f t="shared" si="1"/>
        <v>2558762.85</v>
      </c>
      <c r="L537" s="83">
        <f t="shared" si="2"/>
        <v>2211844.85</v>
      </c>
      <c r="M537" s="83">
        <f t="shared" si="3"/>
        <v>346918</v>
      </c>
      <c r="N537" s="46" t="str">
        <f>VLOOKUP(F537,products!$A$2:$B$13,2,FALSE)</f>
        <v>Meat</v>
      </c>
      <c r="O537" s="46" t="s">
        <v>120</v>
      </c>
      <c r="P537" s="46">
        <f t="array" ref="P537">WEEKDAY(B537,2)</f>
        <v>5</v>
      </c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>
      <c r="A538" s="56">
        <v>4.58816373E8</v>
      </c>
      <c r="B538" s="126">
        <v>42098.0</v>
      </c>
      <c r="C538" s="126">
        <v>42110.0</v>
      </c>
      <c r="D538" s="56" t="s">
        <v>93</v>
      </c>
      <c r="E538" s="56" t="e">
        <v>#N/A</v>
      </c>
      <c r="F538" s="56">
        <v>8681.0</v>
      </c>
      <c r="G538" s="56" t="s">
        <v>42</v>
      </c>
      <c r="H538" s="56">
        <v>2815.0</v>
      </c>
      <c r="I538" s="127">
        <v>651.21</v>
      </c>
      <c r="J538" s="127">
        <v>524.96</v>
      </c>
      <c r="K538" s="83">
        <f t="shared" si="1"/>
        <v>1833156.15</v>
      </c>
      <c r="L538" s="83">
        <f t="shared" si="2"/>
        <v>1477762.4</v>
      </c>
      <c r="M538" s="83">
        <f t="shared" si="3"/>
        <v>355393.75</v>
      </c>
      <c r="N538" s="46" t="str">
        <f>VLOOKUP(F538,products!$A$2:$B$13,2,FALSE)</f>
        <v>Office Supplies</v>
      </c>
      <c r="O538" s="46" t="s">
        <v>92</v>
      </c>
      <c r="P538" s="46">
        <f t="array" ref="P538">WEEKDAY(B538,2)</f>
        <v>6</v>
      </c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>
      <c r="A539" s="56">
        <v>4.59277713E8</v>
      </c>
      <c r="B539" s="126">
        <v>41593.0</v>
      </c>
      <c r="C539" s="126">
        <v>41612.0</v>
      </c>
      <c r="D539" s="56" t="s">
        <v>89</v>
      </c>
      <c r="E539" s="56" t="s">
        <v>98</v>
      </c>
      <c r="F539" s="56">
        <v>8875.0</v>
      </c>
      <c r="G539" s="56" t="s">
        <v>43</v>
      </c>
      <c r="H539" s="56">
        <v>9336.0</v>
      </c>
      <c r="I539" s="127">
        <v>421.89</v>
      </c>
      <c r="J539" s="127">
        <v>364.69</v>
      </c>
      <c r="K539" s="83">
        <f t="shared" si="1"/>
        <v>3938765.04</v>
      </c>
      <c r="L539" s="83">
        <f t="shared" si="2"/>
        <v>3404745.84</v>
      </c>
      <c r="M539" s="83">
        <f t="shared" si="3"/>
        <v>534019.2</v>
      </c>
      <c r="N539" s="46" t="str">
        <f>VLOOKUP(F539,products!$A$2:$B$13,2,FALSE)</f>
        <v>Meat</v>
      </c>
      <c r="O539" s="46" t="s">
        <v>98</v>
      </c>
      <c r="P539" s="46">
        <f t="array" ref="P539">WEEKDAY(B539,2)</f>
        <v>5</v>
      </c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>
      <c r="A540" s="56">
        <v>4.59372985E8</v>
      </c>
      <c r="B540" s="126">
        <v>40969.0</v>
      </c>
      <c r="C540" s="126">
        <v>40990.0</v>
      </c>
      <c r="D540" s="56" t="s">
        <v>95</v>
      </c>
      <c r="E540" s="56" t="s">
        <v>126</v>
      </c>
      <c r="F540" s="56">
        <v>7331.0</v>
      </c>
      <c r="G540" s="56" t="s">
        <v>42</v>
      </c>
      <c r="H540" s="56">
        <v>7529.0</v>
      </c>
      <c r="I540" s="127">
        <v>255.28</v>
      </c>
      <c r="J540" s="127">
        <v>159.42</v>
      </c>
      <c r="K540" s="83">
        <f t="shared" si="1"/>
        <v>1922003.12</v>
      </c>
      <c r="L540" s="83">
        <f t="shared" si="2"/>
        <v>1200273.18</v>
      </c>
      <c r="M540" s="83">
        <f t="shared" si="3"/>
        <v>721729.94</v>
      </c>
      <c r="N540" s="46" t="str">
        <f>VLOOKUP(F540,products!$A$2:$B$13,2,FALSE)</f>
        <v>Baby Food</v>
      </c>
      <c r="O540" s="46" t="s">
        <v>126</v>
      </c>
      <c r="P540" s="46">
        <f t="array" ref="P540">WEEKDAY(B540,2)</f>
        <v>4</v>
      </c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>
      <c r="A541" s="56">
        <v>4.60693061E8</v>
      </c>
      <c r="B541" s="126">
        <v>42763.0</v>
      </c>
      <c r="C541" s="126">
        <v>42791.0</v>
      </c>
      <c r="D541" s="56" t="s">
        <v>10</v>
      </c>
      <c r="E541" s="56" t="s">
        <v>102</v>
      </c>
      <c r="F541" s="56">
        <v>4594.0</v>
      </c>
      <c r="G541" s="56" t="s">
        <v>42</v>
      </c>
      <c r="H541" s="56">
        <v>8169.0</v>
      </c>
      <c r="I541" s="127">
        <v>9.33</v>
      </c>
      <c r="J541" s="127">
        <v>6.92</v>
      </c>
      <c r="K541" s="83">
        <f t="shared" si="1"/>
        <v>76216.77</v>
      </c>
      <c r="L541" s="83">
        <f t="shared" si="2"/>
        <v>56529.48</v>
      </c>
      <c r="M541" s="83">
        <f t="shared" si="3"/>
        <v>19687.29</v>
      </c>
      <c r="N541" s="46" t="str">
        <f>VLOOKUP(F541,products!$A$2:$B$13,2,FALSE)</f>
        <v>Fruits</v>
      </c>
      <c r="O541" s="46" t="s">
        <v>102</v>
      </c>
      <c r="P541" s="46">
        <f t="array" ref="P541">WEEKDAY(B541,2)</f>
        <v>6</v>
      </c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>
      <c r="A542" s="56">
        <v>4.61445796E8</v>
      </c>
      <c r="B542" s="126">
        <v>42417.0</v>
      </c>
      <c r="C542" s="126">
        <v>42451.0</v>
      </c>
      <c r="D542" s="56" t="s">
        <v>93</v>
      </c>
      <c r="E542" s="56" t="e">
        <v>#N/A</v>
      </c>
      <c r="F542" s="56">
        <v>3127.0</v>
      </c>
      <c r="G542" s="56" t="s">
        <v>43</v>
      </c>
      <c r="H542" s="56">
        <v>920.0</v>
      </c>
      <c r="I542" s="127">
        <v>81.73</v>
      </c>
      <c r="J542" s="127">
        <v>56.67</v>
      </c>
      <c r="K542" s="83">
        <f t="shared" si="1"/>
        <v>75191.6</v>
      </c>
      <c r="L542" s="83">
        <f t="shared" si="2"/>
        <v>52136.4</v>
      </c>
      <c r="M542" s="83">
        <f t="shared" si="3"/>
        <v>23055.2</v>
      </c>
      <c r="N542" s="46" t="str">
        <f>VLOOKUP(F542,products!$A$2:$B$13,2,FALSE)</f>
        <v>Personal Care</v>
      </c>
      <c r="O542" s="46" t="s">
        <v>92</v>
      </c>
      <c r="P542" s="46">
        <f t="array" ref="P542">WEEKDAY(B542,2)</f>
        <v>3</v>
      </c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>
      <c r="A543" s="56">
        <v>4.61917865E8</v>
      </c>
      <c r="B543" s="126">
        <v>42415.0</v>
      </c>
      <c r="C543" s="126">
        <v>42450.0</v>
      </c>
      <c r="D543" s="56" t="s">
        <v>10</v>
      </c>
      <c r="E543" s="56" t="s">
        <v>94</v>
      </c>
      <c r="F543" s="56">
        <v>7331.0</v>
      </c>
      <c r="G543" s="56" t="s">
        <v>42</v>
      </c>
      <c r="H543" s="56">
        <v>616.0</v>
      </c>
      <c r="I543" s="127">
        <v>255.28</v>
      </c>
      <c r="J543" s="127">
        <v>159.42</v>
      </c>
      <c r="K543" s="83">
        <f t="shared" si="1"/>
        <v>157252.48</v>
      </c>
      <c r="L543" s="83">
        <f t="shared" si="2"/>
        <v>98202.72</v>
      </c>
      <c r="M543" s="83">
        <f t="shared" si="3"/>
        <v>59049.76</v>
      </c>
      <c r="N543" s="46" t="str">
        <f>VLOOKUP(F543,products!$A$2:$B$13,2,FALSE)</f>
        <v>Baby Food</v>
      </c>
      <c r="O543" s="46" t="s">
        <v>94</v>
      </c>
      <c r="P543" s="46">
        <f t="array" ref="P543">WEEKDAY(B543,2)</f>
        <v>1</v>
      </c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>
      <c r="A544" s="56">
        <v>4.62561166E8</v>
      </c>
      <c r="B544" s="126">
        <v>41366.0</v>
      </c>
      <c r="C544" s="126">
        <v>41396.0</v>
      </c>
      <c r="D544" s="56" t="s">
        <v>95</v>
      </c>
      <c r="E544" s="56" t="s">
        <v>98</v>
      </c>
      <c r="F544" s="56">
        <v>8875.0</v>
      </c>
      <c r="G544" s="56" t="s">
        <v>43</v>
      </c>
      <c r="H544" s="56">
        <v>983.0</v>
      </c>
      <c r="I544" s="127">
        <v>421.89</v>
      </c>
      <c r="J544" s="127">
        <v>364.69</v>
      </c>
      <c r="K544" s="83">
        <f t="shared" si="1"/>
        <v>414717.87</v>
      </c>
      <c r="L544" s="83">
        <f t="shared" si="2"/>
        <v>358490.27</v>
      </c>
      <c r="M544" s="83">
        <f t="shared" si="3"/>
        <v>56227.6</v>
      </c>
      <c r="N544" s="46" t="str">
        <f>VLOOKUP(F544,products!$A$2:$B$13,2,FALSE)</f>
        <v>Meat</v>
      </c>
      <c r="O544" s="46" t="s">
        <v>98</v>
      </c>
      <c r="P544" s="46">
        <f t="array" ref="P544">WEEKDAY(B544,2)</f>
        <v>2</v>
      </c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>
      <c r="A545" s="56">
        <v>4.63591134E8</v>
      </c>
      <c r="B545" s="126">
        <v>42618.0</v>
      </c>
      <c r="C545" s="126">
        <v>42644.0</v>
      </c>
      <c r="D545" s="56" t="s">
        <v>10</v>
      </c>
      <c r="E545" s="56" t="s">
        <v>107</v>
      </c>
      <c r="F545" s="56">
        <v>7940.0</v>
      </c>
      <c r="G545" s="56" t="s">
        <v>42</v>
      </c>
      <c r="H545" s="56">
        <v>5773.0</v>
      </c>
      <c r="I545" s="127">
        <v>668.27</v>
      </c>
      <c r="J545" s="127">
        <v>502.54</v>
      </c>
      <c r="K545" s="83">
        <f t="shared" si="1"/>
        <v>3857922.71</v>
      </c>
      <c r="L545" s="83">
        <f t="shared" si="2"/>
        <v>2901163.42</v>
      </c>
      <c r="M545" s="83">
        <f t="shared" si="3"/>
        <v>956759.29</v>
      </c>
      <c r="N545" s="46" t="str">
        <f>VLOOKUP(F545,products!$A$2:$B$13,2,FALSE)</f>
        <v>Household</v>
      </c>
      <c r="O545" s="46" t="s">
        <v>107</v>
      </c>
      <c r="P545" s="46">
        <f t="array" ref="P545">WEEKDAY(B545,2)</f>
        <v>1</v>
      </c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>
      <c r="A546" s="56">
        <v>4.6491121E8</v>
      </c>
      <c r="B546" s="126">
        <v>41646.0</v>
      </c>
      <c r="C546" s="126">
        <v>41680.0</v>
      </c>
      <c r="D546" s="56" t="s">
        <v>93</v>
      </c>
      <c r="E546" s="56" t="s">
        <v>126</v>
      </c>
      <c r="F546" s="56">
        <v>8969.0</v>
      </c>
      <c r="G546" s="56" t="s">
        <v>42</v>
      </c>
      <c r="H546" s="56">
        <v>6413.0</v>
      </c>
      <c r="I546" s="127">
        <v>152.58</v>
      </c>
      <c r="J546" s="127">
        <v>97.44</v>
      </c>
      <c r="K546" s="83">
        <f t="shared" si="1"/>
        <v>978495.54</v>
      </c>
      <c r="L546" s="83">
        <f t="shared" si="2"/>
        <v>624882.72</v>
      </c>
      <c r="M546" s="83">
        <f t="shared" si="3"/>
        <v>353612.82</v>
      </c>
      <c r="N546" s="46" t="str">
        <f>VLOOKUP(F546,products!$A$2:$B$13,2,FALSE)</f>
        <v>Snacks</v>
      </c>
      <c r="O546" s="46" t="s">
        <v>126</v>
      </c>
      <c r="P546" s="46">
        <f t="array" ref="P546">WEEKDAY(B546,2)</f>
        <v>2</v>
      </c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>
      <c r="A547" s="56">
        <v>4.65753209E8</v>
      </c>
      <c r="B547" s="126">
        <v>40616.0</v>
      </c>
      <c r="C547" s="126">
        <v>40616.0</v>
      </c>
      <c r="D547" s="56" t="s">
        <v>10</v>
      </c>
      <c r="E547" s="56" t="s">
        <v>100</v>
      </c>
      <c r="F547" s="56">
        <v>5988.0</v>
      </c>
      <c r="G547" s="56" t="s">
        <v>42</v>
      </c>
      <c r="H547" s="56">
        <v>5579.0</v>
      </c>
      <c r="I547" s="127">
        <v>154.06</v>
      </c>
      <c r="J547" s="127">
        <v>90.93</v>
      </c>
      <c r="K547" s="83">
        <f t="shared" si="1"/>
        <v>859500.74</v>
      </c>
      <c r="L547" s="83">
        <f t="shared" si="2"/>
        <v>507298.47</v>
      </c>
      <c r="M547" s="83">
        <f t="shared" si="3"/>
        <v>352202.27</v>
      </c>
      <c r="N547" s="46" t="str">
        <f>VLOOKUP(F547,products!$A$2:$B$13,2,FALSE)</f>
        <v>Vegetables</v>
      </c>
      <c r="O547" s="46" t="s">
        <v>100</v>
      </c>
      <c r="P547" s="46">
        <f t="array" ref="P547">WEEKDAY(B547,2)</f>
        <v>1</v>
      </c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>
      <c r="A548" s="56">
        <v>4.66517961E8</v>
      </c>
      <c r="B548" s="126">
        <v>40391.0</v>
      </c>
      <c r="C548" s="126">
        <v>40428.0</v>
      </c>
      <c r="D548" s="56" t="s">
        <v>93</v>
      </c>
      <c r="E548" s="56" t="s">
        <v>116</v>
      </c>
      <c r="F548" s="56">
        <v>4594.0</v>
      </c>
      <c r="G548" s="56" t="s">
        <v>43</v>
      </c>
      <c r="H548" s="56">
        <v>1886.0</v>
      </c>
      <c r="I548" s="127">
        <v>9.33</v>
      </c>
      <c r="J548" s="127">
        <v>6.92</v>
      </c>
      <c r="K548" s="83">
        <f t="shared" si="1"/>
        <v>17596.38</v>
      </c>
      <c r="L548" s="83">
        <f t="shared" si="2"/>
        <v>13051.12</v>
      </c>
      <c r="M548" s="83">
        <f t="shared" si="3"/>
        <v>4545.26</v>
      </c>
      <c r="N548" s="46" t="str">
        <f>VLOOKUP(F548,products!$A$2:$B$13,2,FALSE)</f>
        <v>Fruits</v>
      </c>
      <c r="O548" s="46" t="s">
        <v>116</v>
      </c>
      <c r="P548" s="46">
        <f t="array" ref="P548">WEEKDAY(B548,2)</f>
        <v>7</v>
      </c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>
      <c r="A549" s="56">
        <v>4.66988742E8</v>
      </c>
      <c r="B549" s="126">
        <v>40771.0</v>
      </c>
      <c r="C549" s="126">
        <v>40771.0</v>
      </c>
      <c r="D549" s="56" t="s">
        <v>89</v>
      </c>
      <c r="E549" s="56" t="s">
        <v>112</v>
      </c>
      <c r="F549" s="56">
        <v>3127.0</v>
      </c>
      <c r="G549" s="56" t="s">
        <v>42</v>
      </c>
      <c r="H549" s="56">
        <v>1201.0</v>
      </c>
      <c r="I549" s="127">
        <v>81.73</v>
      </c>
      <c r="J549" s="127">
        <v>56.67</v>
      </c>
      <c r="K549" s="83">
        <f t="shared" si="1"/>
        <v>98157.73</v>
      </c>
      <c r="L549" s="83">
        <f t="shared" si="2"/>
        <v>68060.67</v>
      </c>
      <c r="M549" s="83">
        <f t="shared" si="3"/>
        <v>30097.06</v>
      </c>
      <c r="N549" s="46" t="str">
        <f>VLOOKUP(F549,products!$A$2:$B$13,2,FALSE)</f>
        <v>Personal Care</v>
      </c>
      <c r="O549" s="46" t="s">
        <v>112</v>
      </c>
      <c r="P549" s="46">
        <f t="array" ref="P549">WEEKDAY(B549,2)</f>
        <v>2</v>
      </c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>
      <c r="A550" s="56">
        <v>4.67045819E8</v>
      </c>
      <c r="B550" s="126">
        <v>41344.0</v>
      </c>
      <c r="C550" s="126">
        <v>41376.0</v>
      </c>
      <c r="D550" s="56" t="s">
        <v>89</v>
      </c>
      <c r="E550" s="56" t="e">
        <v>#N/A</v>
      </c>
      <c r="F550" s="56">
        <v>3127.0</v>
      </c>
      <c r="G550" s="56" t="s">
        <v>43</v>
      </c>
      <c r="H550" s="56">
        <v>8092.0</v>
      </c>
      <c r="I550" s="127">
        <v>81.73</v>
      </c>
      <c r="J550" s="127">
        <v>56.67</v>
      </c>
      <c r="K550" s="83">
        <f t="shared" si="1"/>
        <v>661359.16</v>
      </c>
      <c r="L550" s="83">
        <f t="shared" si="2"/>
        <v>458573.64</v>
      </c>
      <c r="M550" s="83">
        <f t="shared" si="3"/>
        <v>202785.52</v>
      </c>
      <c r="N550" s="46" t="str">
        <f>VLOOKUP(F550,products!$A$2:$B$13,2,FALSE)</f>
        <v>Personal Care</v>
      </c>
      <c r="O550" s="46" t="s">
        <v>92</v>
      </c>
      <c r="P550" s="46">
        <f t="array" ref="P550">WEEKDAY(B550,2)</f>
        <v>1</v>
      </c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>
      <c r="A551" s="56">
        <v>4.67138516E8</v>
      </c>
      <c r="B551" s="126">
        <v>41485.0</v>
      </c>
      <c r="C551" s="126">
        <v>41494.0</v>
      </c>
      <c r="D551" s="56" t="s">
        <v>95</v>
      </c>
      <c r="E551" s="56" t="s">
        <v>120</v>
      </c>
      <c r="F551" s="56">
        <v>2455.0</v>
      </c>
      <c r="G551" s="56" t="s">
        <v>43</v>
      </c>
      <c r="H551" s="56">
        <v>5523.0</v>
      </c>
      <c r="I551" s="127">
        <v>109.28</v>
      </c>
      <c r="J551" s="127">
        <v>35.84</v>
      </c>
      <c r="K551" s="83">
        <f t="shared" si="1"/>
        <v>603553.44</v>
      </c>
      <c r="L551" s="83">
        <f t="shared" si="2"/>
        <v>197944.32</v>
      </c>
      <c r="M551" s="83">
        <f t="shared" si="3"/>
        <v>405609.12</v>
      </c>
      <c r="N551" s="46" t="str">
        <f>VLOOKUP(F551,products!$A$2:$B$13,2,FALSE)</f>
        <v>Clothes</v>
      </c>
      <c r="O551" s="46" t="s">
        <v>120</v>
      </c>
      <c r="P551" s="46">
        <f t="array" ref="P551">WEEKDAY(B551,2)</f>
        <v>2</v>
      </c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>
      <c r="A552" s="56">
        <v>4.67312324E8</v>
      </c>
      <c r="B552" s="126">
        <v>42439.0</v>
      </c>
      <c r="C552" s="126">
        <v>42468.0</v>
      </c>
      <c r="D552" s="56" t="s">
        <v>10</v>
      </c>
      <c r="E552" s="56" t="s">
        <v>114</v>
      </c>
      <c r="F552" s="56">
        <v>7331.0</v>
      </c>
      <c r="G552" s="56" t="s">
        <v>43</v>
      </c>
      <c r="H552" s="56">
        <v>6956.0</v>
      </c>
      <c r="I552" s="127">
        <v>255.28</v>
      </c>
      <c r="J552" s="127">
        <v>159.42</v>
      </c>
      <c r="K552" s="83">
        <f t="shared" si="1"/>
        <v>1775727.68</v>
      </c>
      <c r="L552" s="83">
        <f t="shared" si="2"/>
        <v>1108925.52</v>
      </c>
      <c r="M552" s="83">
        <f t="shared" si="3"/>
        <v>666802.16</v>
      </c>
      <c r="N552" s="46" t="str">
        <f>VLOOKUP(F552,products!$A$2:$B$13,2,FALSE)</f>
        <v>Baby Food</v>
      </c>
      <c r="O552" s="46" t="s">
        <v>114</v>
      </c>
      <c r="P552" s="46">
        <f t="array" ref="P552">WEEKDAY(B552,2)</f>
        <v>4</v>
      </c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>
      <c r="A553" s="56">
        <v>4.67924726E8</v>
      </c>
      <c r="B553" s="126">
        <v>42265.0</v>
      </c>
      <c r="C553" s="126">
        <v>42297.0</v>
      </c>
      <c r="D553" s="56" t="s">
        <v>10</v>
      </c>
      <c r="E553" s="56" t="s">
        <v>123</v>
      </c>
      <c r="F553" s="56">
        <v>8681.0</v>
      </c>
      <c r="G553" s="56" t="s">
        <v>42</v>
      </c>
      <c r="H553" s="56">
        <v>8179.0</v>
      </c>
      <c r="I553" s="127">
        <v>651.21</v>
      </c>
      <c r="J553" s="127">
        <v>524.96</v>
      </c>
      <c r="K553" s="83">
        <f t="shared" si="1"/>
        <v>5326246.59</v>
      </c>
      <c r="L553" s="83">
        <f t="shared" si="2"/>
        <v>4293647.84</v>
      </c>
      <c r="M553" s="83">
        <f t="shared" si="3"/>
        <v>1032598.75</v>
      </c>
      <c r="N553" s="46" t="str">
        <f>VLOOKUP(F553,products!$A$2:$B$13,2,FALSE)</f>
        <v>Office Supplies</v>
      </c>
      <c r="O553" s="46" t="s">
        <v>123</v>
      </c>
      <c r="P553" s="46">
        <f t="array" ref="P553">WEEKDAY(B553,2)</f>
        <v>5</v>
      </c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>
      <c r="A554" s="56">
        <v>4.68320834E8</v>
      </c>
      <c r="B554" s="126">
        <v>42686.0</v>
      </c>
      <c r="C554" s="126">
        <v>42725.0</v>
      </c>
      <c r="D554" s="56" t="s">
        <v>89</v>
      </c>
      <c r="E554" s="56" t="s">
        <v>118</v>
      </c>
      <c r="F554" s="56">
        <v>5988.0</v>
      </c>
      <c r="G554" s="56" t="s">
        <v>42</v>
      </c>
      <c r="H554" s="56">
        <v>5397.0</v>
      </c>
      <c r="I554" s="127">
        <v>154.06</v>
      </c>
      <c r="J554" s="127">
        <v>90.93</v>
      </c>
      <c r="K554" s="83">
        <f t="shared" si="1"/>
        <v>831461.82</v>
      </c>
      <c r="L554" s="83">
        <f t="shared" si="2"/>
        <v>490749.21</v>
      </c>
      <c r="M554" s="83">
        <f t="shared" si="3"/>
        <v>340712.61</v>
      </c>
      <c r="N554" s="46" t="str">
        <f>VLOOKUP(F554,products!$A$2:$B$13,2,FALSE)</f>
        <v>Vegetables</v>
      </c>
      <c r="O554" s="46" t="s">
        <v>118</v>
      </c>
      <c r="P554" s="46">
        <f t="array" ref="P554">WEEKDAY(B554,2)</f>
        <v>6</v>
      </c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>
      <c r="A555" s="56">
        <v>4.68803632E8</v>
      </c>
      <c r="B555" s="126">
        <v>40421.0</v>
      </c>
      <c r="C555" s="126">
        <v>40453.0</v>
      </c>
      <c r="D555" s="56" t="s">
        <v>93</v>
      </c>
      <c r="E555" s="56" t="s">
        <v>125</v>
      </c>
      <c r="F555" s="56">
        <v>4594.0</v>
      </c>
      <c r="G555" s="56" t="s">
        <v>43</v>
      </c>
      <c r="H555" s="56">
        <v>8267.0</v>
      </c>
      <c r="I555" s="127">
        <v>9.33</v>
      </c>
      <c r="J555" s="127">
        <v>6.92</v>
      </c>
      <c r="K555" s="83">
        <f t="shared" si="1"/>
        <v>77131.11</v>
      </c>
      <c r="L555" s="83">
        <f t="shared" si="2"/>
        <v>57207.64</v>
      </c>
      <c r="M555" s="83">
        <f t="shared" si="3"/>
        <v>19923.47</v>
      </c>
      <c r="N555" s="46" t="str">
        <f>VLOOKUP(F555,products!$A$2:$B$13,2,FALSE)</f>
        <v>Fruits</v>
      </c>
      <c r="O555" s="46" t="s">
        <v>125</v>
      </c>
      <c r="P555" s="46">
        <f t="array" ref="P555">WEEKDAY(B555,2)</f>
        <v>2</v>
      </c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>
      <c r="A556" s="56">
        <v>4.69129359E8</v>
      </c>
      <c r="B556" s="126">
        <v>40530.0</v>
      </c>
      <c r="C556" s="126">
        <v>40569.0</v>
      </c>
      <c r="D556" s="56" t="s">
        <v>89</v>
      </c>
      <c r="E556" s="56" t="s">
        <v>107</v>
      </c>
      <c r="F556" s="56">
        <v>8875.0</v>
      </c>
      <c r="G556" s="56" t="s">
        <v>42</v>
      </c>
      <c r="H556" s="56">
        <v>4657.0</v>
      </c>
      <c r="I556" s="127">
        <v>421.89</v>
      </c>
      <c r="J556" s="127">
        <v>364.69</v>
      </c>
      <c r="K556" s="83">
        <f t="shared" si="1"/>
        <v>1964741.73</v>
      </c>
      <c r="L556" s="83">
        <f t="shared" si="2"/>
        <v>1698361.33</v>
      </c>
      <c r="M556" s="83">
        <f t="shared" si="3"/>
        <v>266380.4</v>
      </c>
      <c r="N556" s="46" t="str">
        <f>VLOOKUP(F556,products!$A$2:$B$13,2,FALSE)</f>
        <v>Meat</v>
      </c>
      <c r="O556" s="46" t="s">
        <v>107</v>
      </c>
      <c r="P556" s="46">
        <f t="array" ref="P556">WEEKDAY(B556,2)</f>
        <v>6</v>
      </c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>
      <c r="A557" s="56">
        <v>4.69144809E8</v>
      </c>
      <c r="B557" s="126">
        <v>41475.0</v>
      </c>
      <c r="C557" s="126">
        <v>41510.0</v>
      </c>
      <c r="D557" s="56" t="s">
        <v>89</v>
      </c>
      <c r="E557" s="56" t="s">
        <v>112</v>
      </c>
      <c r="F557" s="56">
        <v>2103.0</v>
      </c>
      <c r="G557" s="56" t="s">
        <v>42</v>
      </c>
      <c r="H557" s="56">
        <v>9229.0</v>
      </c>
      <c r="I557" s="127">
        <v>205.7</v>
      </c>
      <c r="J557" s="127">
        <v>117.11</v>
      </c>
      <c r="K557" s="83">
        <f t="shared" si="1"/>
        <v>1898405.3</v>
      </c>
      <c r="L557" s="83">
        <f t="shared" si="2"/>
        <v>1080808.19</v>
      </c>
      <c r="M557" s="83">
        <f t="shared" si="3"/>
        <v>817597.11</v>
      </c>
      <c r="N557" s="46" t="str">
        <f>VLOOKUP(F557,products!$A$2:$B$13,2,FALSE)</f>
        <v>Cereal</v>
      </c>
      <c r="O557" s="46" t="s">
        <v>112</v>
      </c>
      <c r="P557" s="46">
        <f t="array" ref="P557">WEEKDAY(B557,2)</f>
        <v>6</v>
      </c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>
      <c r="A558" s="56">
        <v>4.69197165E8</v>
      </c>
      <c r="B558" s="126">
        <v>41605.0</v>
      </c>
      <c r="C558" s="126">
        <v>41619.0</v>
      </c>
      <c r="D558" s="56" t="s">
        <v>10</v>
      </c>
      <c r="E558" s="56" t="s">
        <v>124</v>
      </c>
      <c r="F558" s="56">
        <v>1270.0</v>
      </c>
      <c r="G558" s="56" t="s">
        <v>43</v>
      </c>
      <c r="H558" s="56">
        <v>4723.0</v>
      </c>
      <c r="I558" s="127">
        <v>47.45</v>
      </c>
      <c r="J558" s="127">
        <v>31.79</v>
      </c>
      <c r="K558" s="83">
        <f t="shared" si="1"/>
        <v>224106.35</v>
      </c>
      <c r="L558" s="83">
        <f t="shared" si="2"/>
        <v>150144.17</v>
      </c>
      <c r="M558" s="83">
        <f t="shared" si="3"/>
        <v>73962.18</v>
      </c>
      <c r="N558" s="46" t="str">
        <f>VLOOKUP(F558,products!$A$2:$B$13,2,FALSE)</f>
        <v>Beverages</v>
      </c>
      <c r="O558" s="46" t="s">
        <v>124</v>
      </c>
      <c r="P558" s="46">
        <f t="array" ref="P558">WEEKDAY(B558,2)</f>
        <v>3</v>
      </c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>
      <c r="A559" s="56">
        <v>4.69840466E8</v>
      </c>
      <c r="B559" s="126">
        <v>40556.0</v>
      </c>
      <c r="C559" s="126">
        <v>40565.0</v>
      </c>
      <c r="D559" s="56" t="s">
        <v>95</v>
      </c>
      <c r="E559" s="56" t="s">
        <v>106</v>
      </c>
      <c r="F559" s="56">
        <v>5988.0</v>
      </c>
      <c r="G559" s="56" t="s">
        <v>42</v>
      </c>
      <c r="H559" s="56">
        <v>5090.0</v>
      </c>
      <c r="I559" s="127">
        <v>154.06</v>
      </c>
      <c r="J559" s="127">
        <v>90.93</v>
      </c>
      <c r="K559" s="83">
        <f t="shared" si="1"/>
        <v>784165.4</v>
      </c>
      <c r="L559" s="83">
        <f t="shared" si="2"/>
        <v>462833.7</v>
      </c>
      <c r="M559" s="83">
        <f t="shared" si="3"/>
        <v>321331.7</v>
      </c>
      <c r="N559" s="46" t="str">
        <f>VLOOKUP(F559,products!$A$2:$B$13,2,FALSE)</f>
        <v>Vegetables</v>
      </c>
      <c r="O559" s="46" t="s">
        <v>106</v>
      </c>
      <c r="P559" s="46">
        <f t="array" ref="P559">WEEKDAY(B559,2)</f>
        <v>4</v>
      </c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>
      <c r="A560" s="56">
        <v>4.69974792E8</v>
      </c>
      <c r="B560" s="126">
        <v>40324.0</v>
      </c>
      <c r="C560" s="126">
        <v>40346.0</v>
      </c>
      <c r="D560" s="56" t="s">
        <v>89</v>
      </c>
      <c r="E560" s="56" t="s">
        <v>132</v>
      </c>
      <c r="F560" s="56">
        <v>7331.0</v>
      </c>
      <c r="G560" s="56" t="s">
        <v>42</v>
      </c>
      <c r="H560" s="56">
        <v>4840.0</v>
      </c>
      <c r="I560" s="127">
        <v>255.28</v>
      </c>
      <c r="J560" s="127">
        <v>159.42</v>
      </c>
      <c r="K560" s="83">
        <f t="shared" si="1"/>
        <v>1235555.2</v>
      </c>
      <c r="L560" s="83">
        <f t="shared" si="2"/>
        <v>771592.8</v>
      </c>
      <c r="M560" s="83">
        <f t="shared" si="3"/>
        <v>463962.4</v>
      </c>
      <c r="N560" s="46" t="str">
        <f>VLOOKUP(F560,products!$A$2:$B$13,2,FALSE)</f>
        <v>Baby Food</v>
      </c>
      <c r="O560" s="46" t="s">
        <v>132</v>
      </c>
      <c r="P560" s="46">
        <f t="array" ref="P560">WEEKDAY(B560,2)</f>
        <v>3</v>
      </c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>
      <c r="A561" s="56">
        <v>4.70503079E8</v>
      </c>
      <c r="B561" s="126">
        <v>42072.0</v>
      </c>
      <c r="C561" s="126">
        <v>42084.0</v>
      </c>
      <c r="D561" s="56" t="s">
        <v>95</v>
      </c>
      <c r="E561" s="56" t="s">
        <v>131</v>
      </c>
      <c r="F561" s="56">
        <v>2455.0</v>
      </c>
      <c r="G561" s="56" t="s">
        <v>42</v>
      </c>
      <c r="H561" s="56">
        <v>1172.0</v>
      </c>
      <c r="I561" s="127">
        <v>109.28</v>
      </c>
      <c r="J561" s="127">
        <v>35.84</v>
      </c>
      <c r="K561" s="83">
        <f t="shared" si="1"/>
        <v>128076.16</v>
      </c>
      <c r="L561" s="83">
        <f t="shared" si="2"/>
        <v>42004.48</v>
      </c>
      <c r="M561" s="83">
        <f t="shared" si="3"/>
        <v>86071.68</v>
      </c>
      <c r="N561" s="46" t="str">
        <f>VLOOKUP(F561,products!$A$2:$B$13,2,FALSE)</f>
        <v>Clothes</v>
      </c>
      <c r="O561" s="46" t="s">
        <v>131</v>
      </c>
      <c r="P561" s="46">
        <f t="array" ref="P561">WEEKDAY(B561,2)</f>
        <v>1</v>
      </c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>
      <c r="A562" s="56">
        <v>4.71348512E8</v>
      </c>
      <c r="B562" s="126">
        <v>41867.0</v>
      </c>
      <c r="C562" s="126">
        <v>41913.0</v>
      </c>
      <c r="D562" s="56" t="s">
        <v>89</v>
      </c>
      <c r="E562" s="56" t="s">
        <v>138</v>
      </c>
      <c r="F562" s="56">
        <v>4594.0</v>
      </c>
      <c r="G562" s="56" t="s">
        <v>43</v>
      </c>
      <c r="H562" s="56">
        <v>1354.0</v>
      </c>
      <c r="I562" s="127">
        <v>9.33</v>
      </c>
      <c r="J562" s="127">
        <v>6.92</v>
      </c>
      <c r="K562" s="83">
        <f t="shared" si="1"/>
        <v>12632.82</v>
      </c>
      <c r="L562" s="83">
        <f t="shared" si="2"/>
        <v>9369.68</v>
      </c>
      <c r="M562" s="83">
        <f t="shared" si="3"/>
        <v>3263.14</v>
      </c>
      <c r="N562" s="46" t="str">
        <f>VLOOKUP(F562,products!$A$2:$B$13,2,FALSE)</f>
        <v>Fruits</v>
      </c>
      <c r="O562" s="46" t="s">
        <v>138</v>
      </c>
      <c r="P562" s="46">
        <f t="array" ref="P562">WEEKDAY(B562,2)</f>
        <v>6</v>
      </c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>
      <c r="A563" s="56">
        <v>4.71484124E8</v>
      </c>
      <c r="B563" s="126">
        <v>41252.0</v>
      </c>
      <c r="C563" s="126">
        <v>41298.0</v>
      </c>
      <c r="D563" s="56" t="s">
        <v>89</v>
      </c>
      <c r="E563" s="56" t="s">
        <v>135</v>
      </c>
      <c r="F563" s="56">
        <v>7331.0</v>
      </c>
      <c r="G563" s="56" t="s">
        <v>43</v>
      </c>
      <c r="H563" s="56">
        <v>1485.0</v>
      </c>
      <c r="I563" s="127">
        <v>255.28</v>
      </c>
      <c r="J563" s="127">
        <v>159.42</v>
      </c>
      <c r="K563" s="83">
        <f t="shared" si="1"/>
        <v>379090.8</v>
      </c>
      <c r="L563" s="83">
        <f t="shared" si="2"/>
        <v>236738.7</v>
      </c>
      <c r="M563" s="83">
        <f t="shared" si="3"/>
        <v>142352.1</v>
      </c>
      <c r="N563" s="46" t="str">
        <f>VLOOKUP(F563,products!$A$2:$B$13,2,FALSE)</f>
        <v>Baby Food</v>
      </c>
      <c r="O563" s="46" t="s">
        <v>135</v>
      </c>
      <c r="P563" s="46">
        <f t="array" ref="P563">WEEKDAY(B563,2)</f>
        <v>7</v>
      </c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>
      <c r="A564" s="56">
        <v>4.73845756E8</v>
      </c>
      <c r="B564" s="126">
        <v>40859.0</v>
      </c>
      <c r="C564" s="126">
        <v>40893.0</v>
      </c>
      <c r="D564" s="56" t="s">
        <v>95</v>
      </c>
      <c r="E564" s="56" t="s">
        <v>111</v>
      </c>
      <c r="F564" s="56">
        <v>3127.0</v>
      </c>
      <c r="G564" s="56" t="s">
        <v>42</v>
      </c>
      <c r="H564" s="56">
        <v>344.0</v>
      </c>
      <c r="I564" s="127">
        <v>81.73</v>
      </c>
      <c r="J564" s="127">
        <v>56.67</v>
      </c>
      <c r="K564" s="83">
        <f t="shared" si="1"/>
        <v>28115.12</v>
      </c>
      <c r="L564" s="83">
        <f t="shared" si="2"/>
        <v>19494.48</v>
      </c>
      <c r="M564" s="83">
        <f t="shared" si="3"/>
        <v>8620.64</v>
      </c>
      <c r="N564" s="46" t="str">
        <f>VLOOKUP(F564,products!$A$2:$B$13,2,FALSE)</f>
        <v>Personal Care</v>
      </c>
      <c r="O564" s="46" t="s">
        <v>111</v>
      </c>
      <c r="P564" s="46">
        <f t="array" ref="P564">WEEKDAY(B564,2)</f>
        <v>6</v>
      </c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>
      <c r="A565" s="56">
        <v>4.7517656E8</v>
      </c>
      <c r="B565" s="126">
        <v>40390.0</v>
      </c>
      <c r="C565" s="126">
        <v>40425.0</v>
      </c>
      <c r="D565" s="56" t="s">
        <v>93</v>
      </c>
      <c r="E565" s="56" t="s">
        <v>112</v>
      </c>
      <c r="F565" s="56">
        <v>4594.0</v>
      </c>
      <c r="G565" s="56" t="s">
        <v>43</v>
      </c>
      <c r="H565" s="56">
        <v>4159.0</v>
      </c>
      <c r="I565" s="127">
        <v>9.33</v>
      </c>
      <c r="J565" s="127">
        <v>6.92</v>
      </c>
      <c r="K565" s="83">
        <f t="shared" si="1"/>
        <v>38803.47</v>
      </c>
      <c r="L565" s="83">
        <f t="shared" si="2"/>
        <v>28780.28</v>
      </c>
      <c r="M565" s="83">
        <f t="shared" si="3"/>
        <v>10023.19</v>
      </c>
      <c r="N565" s="46" t="str">
        <f>VLOOKUP(F565,products!$A$2:$B$13,2,FALSE)</f>
        <v>Fruits</v>
      </c>
      <c r="O565" s="46" t="s">
        <v>112</v>
      </c>
      <c r="P565" s="46">
        <f t="array" ref="P565">WEEKDAY(B565,2)</f>
        <v>6</v>
      </c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>
      <c r="A566" s="56">
        <v>4.75992381E8</v>
      </c>
      <c r="B566" s="126">
        <v>40677.0</v>
      </c>
      <c r="C566" s="126">
        <v>40689.0</v>
      </c>
      <c r="D566" s="56" t="s">
        <v>95</v>
      </c>
      <c r="E566" s="56" t="s">
        <v>107</v>
      </c>
      <c r="F566" s="56">
        <v>2455.0</v>
      </c>
      <c r="G566" s="56" t="s">
        <v>43</v>
      </c>
      <c r="H566" s="56">
        <v>5578.0</v>
      </c>
      <c r="I566" s="127">
        <v>109.28</v>
      </c>
      <c r="J566" s="127">
        <v>35.84</v>
      </c>
      <c r="K566" s="83">
        <f t="shared" si="1"/>
        <v>609563.84</v>
      </c>
      <c r="L566" s="83">
        <f t="shared" si="2"/>
        <v>199915.52</v>
      </c>
      <c r="M566" s="83">
        <f t="shared" si="3"/>
        <v>409648.32</v>
      </c>
      <c r="N566" s="46" t="str">
        <f>VLOOKUP(F566,products!$A$2:$B$13,2,FALSE)</f>
        <v>Clothes</v>
      </c>
      <c r="O566" s="46" t="s">
        <v>107</v>
      </c>
      <c r="P566" s="46">
        <f t="array" ref="P566">WEEKDAY(B566,2)</f>
        <v>6</v>
      </c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>
      <c r="A567" s="56">
        <v>4.76453721E8</v>
      </c>
      <c r="B567" s="126">
        <v>42938.0</v>
      </c>
      <c r="C567" s="126">
        <v>42957.0</v>
      </c>
      <c r="D567" s="56" t="s">
        <v>10</v>
      </c>
      <c r="E567" s="56" t="s">
        <v>120</v>
      </c>
      <c r="F567" s="56">
        <v>8969.0</v>
      </c>
      <c r="G567" s="56" t="s">
        <v>42</v>
      </c>
      <c r="H567" s="56">
        <v>2099.0</v>
      </c>
      <c r="I567" s="127">
        <v>152.58</v>
      </c>
      <c r="J567" s="127">
        <v>97.44</v>
      </c>
      <c r="K567" s="83">
        <f t="shared" si="1"/>
        <v>320265.42</v>
      </c>
      <c r="L567" s="83">
        <f t="shared" si="2"/>
        <v>204526.56</v>
      </c>
      <c r="M567" s="83">
        <f t="shared" si="3"/>
        <v>115738.86</v>
      </c>
      <c r="N567" s="46" t="str">
        <f>VLOOKUP(F567,products!$A$2:$B$13,2,FALSE)</f>
        <v>Snacks</v>
      </c>
      <c r="O567" s="46" t="s">
        <v>120</v>
      </c>
      <c r="P567" s="46">
        <f t="array" ref="P567">WEEKDAY(B567,2)</f>
        <v>6</v>
      </c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>
      <c r="A568" s="56">
        <v>4.76633536E8</v>
      </c>
      <c r="B568" s="126">
        <v>41187.0</v>
      </c>
      <c r="C568" s="126">
        <v>41216.0</v>
      </c>
      <c r="D568" s="56" t="s">
        <v>10</v>
      </c>
      <c r="E568" s="56" t="s">
        <v>131</v>
      </c>
      <c r="F568" s="56">
        <v>5988.0</v>
      </c>
      <c r="G568" s="56" t="s">
        <v>43</v>
      </c>
      <c r="H568" s="56">
        <v>5310.0</v>
      </c>
      <c r="I568" s="127">
        <v>154.06</v>
      </c>
      <c r="J568" s="127">
        <v>90.93</v>
      </c>
      <c r="K568" s="83">
        <f t="shared" si="1"/>
        <v>818058.6</v>
      </c>
      <c r="L568" s="83">
        <f t="shared" si="2"/>
        <v>482838.3</v>
      </c>
      <c r="M568" s="83">
        <f t="shared" si="3"/>
        <v>335220.3</v>
      </c>
      <c r="N568" s="46" t="str">
        <f>VLOOKUP(F568,products!$A$2:$B$13,2,FALSE)</f>
        <v>Vegetables</v>
      </c>
      <c r="O568" s="46" t="s">
        <v>131</v>
      </c>
      <c r="P568" s="46">
        <f t="array" ref="P568">WEEKDAY(B568,2)</f>
        <v>5</v>
      </c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>
      <c r="A569" s="56">
        <v>4.7679404E8</v>
      </c>
      <c r="B569" s="126">
        <v>42404.0</v>
      </c>
      <c r="C569" s="126">
        <v>42436.0</v>
      </c>
      <c r="D569" s="56" t="s">
        <v>95</v>
      </c>
      <c r="E569" s="56" t="s">
        <v>125</v>
      </c>
      <c r="F569" s="56">
        <v>1270.0</v>
      </c>
      <c r="G569" s="56" t="s">
        <v>43</v>
      </c>
      <c r="H569" s="56">
        <v>2807.0</v>
      </c>
      <c r="I569" s="127">
        <v>47.45</v>
      </c>
      <c r="J569" s="127">
        <v>31.79</v>
      </c>
      <c r="K569" s="83">
        <f t="shared" si="1"/>
        <v>133192.15</v>
      </c>
      <c r="L569" s="83">
        <f t="shared" si="2"/>
        <v>89234.53</v>
      </c>
      <c r="M569" s="83">
        <f t="shared" si="3"/>
        <v>43957.62</v>
      </c>
      <c r="N569" s="46" t="str">
        <f>VLOOKUP(F569,products!$A$2:$B$13,2,FALSE)</f>
        <v>Beverages</v>
      </c>
      <c r="O569" s="46" t="s">
        <v>125</v>
      </c>
      <c r="P569" s="46">
        <f t="array" ref="P569">WEEKDAY(B569,2)</f>
        <v>4</v>
      </c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>
      <c r="A570" s="56">
        <v>4.7699145E8</v>
      </c>
      <c r="B570" s="126">
        <v>42805.0</v>
      </c>
      <c r="C570" s="126">
        <v>42821.0</v>
      </c>
      <c r="D570" s="56" t="s">
        <v>93</v>
      </c>
      <c r="E570" s="56" t="s">
        <v>125</v>
      </c>
      <c r="F570" s="56">
        <v>8969.0</v>
      </c>
      <c r="G570" s="56" t="s">
        <v>42</v>
      </c>
      <c r="H570" s="56">
        <v>1225.0</v>
      </c>
      <c r="I570" s="127">
        <v>152.58</v>
      </c>
      <c r="J570" s="127">
        <v>97.44</v>
      </c>
      <c r="K570" s="83">
        <f t="shared" si="1"/>
        <v>186910.5</v>
      </c>
      <c r="L570" s="83">
        <f t="shared" si="2"/>
        <v>119364</v>
      </c>
      <c r="M570" s="83">
        <f t="shared" si="3"/>
        <v>67546.5</v>
      </c>
      <c r="N570" s="46" t="str">
        <f>VLOOKUP(F570,products!$A$2:$B$13,2,FALSE)</f>
        <v>Snacks</v>
      </c>
      <c r="O570" s="46" t="s">
        <v>125</v>
      </c>
      <c r="P570" s="46">
        <f t="array" ref="P570">WEEKDAY(B570,2)</f>
        <v>6</v>
      </c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>
      <c r="A571" s="56">
        <v>4.77282845E8</v>
      </c>
      <c r="B571" s="126">
        <v>40198.0</v>
      </c>
      <c r="C571" s="126">
        <v>40213.0</v>
      </c>
      <c r="D571" s="56" t="s">
        <v>95</v>
      </c>
      <c r="E571" s="56" t="s">
        <v>101</v>
      </c>
      <c r="F571" s="56">
        <v>2103.0</v>
      </c>
      <c r="G571" s="56" t="s">
        <v>42</v>
      </c>
      <c r="H571" s="56">
        <v>7455.0</v>
      </c>
      <c r="I571" s="127">
        <v>205.7</v>
      </c>
      <c r="J571" s="127">
        <v>117.11</v>
      </c>
      <c r="K571" s="83">
        <f t="shared" si="1"/>
        <v>1533493.5</v>
      </c>
      <c r="L571" s="83">
        <f t="shared" si="2"/>
        <v>873055.05</v>
      </c>
      <c r="M571" s="83">
        <f t="shared" si="3"/>
        <v>660438.45</v>
      </c>
      <c r="N571" s="46" t="str">
        <f>VLOOKUP(F571,products!$A$2:$B$13,2,FALSE)</f>
        <v>Cereal</v>
      </c>
      <c r="O571" s="46" t="s">
        <v>101</v>
      </c>
      <c r="P571" s="46">
        <f t="array" ref="P571">WEEKDAY(B571,2)</f>
        <v>3</v>
      </c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>
      <c r="A572" s="56">
        <v>4.77633464E8</v>
      </c>
      <c r="B572" s="126">
        <v>42138.0</v>
      </c>
      <c r="C572" s="126">
        <v>42162.0</v>
      </c>
      <c r="D572" s="56" t="s">
        <v>95</v>
      </c>
      <c r="E572" s="56" t="s">
        <v>90</v>
      </c>
      <c r="F572" s="56">
        <v>8293.0</v>
      </c>
      <c r="G572" s="56" t="s">
        <v>43</v>
      </c>
      <c r="H572" s="56">
        <v>1211.0</v>
      </c>
      <c r="I572" s="127">
        <v>437.2</v>
      </c>
      <c r="J572" s="127">
        <v>263.33</v>
      </c>
      <c r="K572" s="83">
        <f t="shared" si="1"/>
        <v>529449.2</v>
      </c>
      <c r="L572" s="83">
        <f t="shared" si="2"/>
        <v>318892.63</v>
      </c>
      <c r="M572" s="83">
        <f t="shared" si="3"/>
        <v>210556.57</v>
      </c>
      <c r="N572" s="46" t="str">
        <f>VLOOKUP(F572,products!$A$2:$B$13,2,FALSE)</f>
        <v>Cosmetics</v>
      </c>
      <c r="O572" s="46" t="s">
        <v>90</v>
      </c>
      <c r="P572" s="46">
        <f t="array" ref="P572">WEEKDAY(B572,2)</f>
        <v>4</v>
      </c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>
      <c r="A573" s="56">
        <v>4.7805103E8</v>
      </c>
      <c r="B573" s="126">
        <v>40798.0</v>
      </c>
      <c r="C573" s="126">
        <v>40815.0</v>
      </c>
      <c r="D573" s="56" t="s">
        <v>10</v>
      </c>
      <c r="E573" s="56" t="s">
        <v>114</v>
      </c>
      <c r="F573" s="56">
        <v>1270.0</v>
      </c>
      <c r="G573" s="56" t="s">
        <v>42</v>
      </c>
      <c r="H573" s="56">
        <v>4778.0</v>
      </c>
      <c r="I573" s="127">
        <v>47.45</v>
      </c>
      <c r="J573" s="127">
        <v>31.79</v>
      </c>
      <c r="K573" s="83">
        <f t="shared" si="1"/>
        <v>226716.1</v>
      </c>
      <c r="L573" s="83">
        <f t="shared" si="2"/>
        <v>151892.62</v>
      </c>
      <c r="M573" s="83">
        <f t="shared" si="3"/>
        <v>74823.48</v>
      </c>
      <c r="N573" s="46" t="str">
        <f>VLOOKUP(F573,products!$A$2:$B$13,2,FALSE)</f>
        <v>Beverages</v>
      </c>
      <c r="O573" s="46" t="s">
        <v>114</v>
      </c>
      <c r="P573" s="46">
        <f t="array" ref="P573">WEEKDAY(B573,2)</f>
        <v>1</v>
      </c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>
      <c r="A574" s="56">
        <v>4.78840672E8</v>
      </c>
      <c r="B574" s="126">
        <v>42404.0</v>
      </c>
      <c r="C574" s="126">
        <v>42409.0</v>
      </c>
      <c r="D574" s="56" t="s">
        <v>93</v>
      </c>
      <c r="E574" s="56" t="s">
        <v>135</v>
      </c>
      <c r="F574" s="56">
        <v>3127.0</v>
      </c>
      <c r="G574" s="56" t="s">
        <v>43</v>
      </c>
      <c r="H574" s="56">
        <v>8451.0</v>
      </c>
      <c r="I574" s="127">
        <v>81.73</v>
      </c>
      <c r="J574" s="127">
        <v>56.67</v>
      </c>
      <c r="K574" s="83">
        <f t="shared" si="1"/>
        <v>690700.23</v>
      </c>
      <c r="L574" s="83">
        <f t="shared" si="2"/>
        <v>478918.17</v>
      </c>
      <c r="M574" s="83">
        <f t="shared" si="3"/>
        <v>211782.06</v>
      </c>
      <c r="N574" s="46" t="str">
        <f>VLOOKUP(F574,products!$A$2:$B$13,2,FALSE)</f>
        <v>Personal Care</v>
      </c>
      <c r="O574" s="46" t="s">
        <v>135</v>
      </c>
      <c r="P574" s="46">
        <f t="array" ref="P574">WEEKDAY(B574,2)</f>
        <v>4</v>
      </c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>
      <c r="A575" s="56">
        <v>4.79171121E8</v>
      </c>
      <c r="B575" s="126">
        <v>40189.0</v>
      </c>
      <c r="C575" s="126">
        <v>40205.0</v>
      </c>
      <c r="D575" s="56" t="s">
        <v>10</v>
      </c>
      <c r="E575" s="56" t="s">
        <v>115</v>
      </c>
      <c r="F575" s="56">
        <v>7331.0</v>
      </c>
      <c r="G575" s="56" t="s">
        <v>42</v>
      </c>
      <c r="H575" s="56">
        <v>6238.0</v>
      </c>
      <c r="I575" s="127">
        <v>255.28</v>
      </c>
      <c r="J575" s="127">
        <v>159.42</v>
      </c>
      <c r="K575" s="83">
        <f t="shared" si="1"/>
        <v>1592436.64</v>
      </c>
      <c r="L575" s="83">
        <f t="shared" si="2"/>
        <v>994461.96</v>
      </c>
      <c r="M575" s="83">
        <f t="shared" si="3"/>
        <v>597974.68</v>
      </c>
      <c r="N575" s="46" t="str">
        <f>VLOOKUP(F575,products!$A$2:$B$13,2,FALSE)</f>
        <v>Baby Food</v>
      </c>
      <c r="O575" s="46" t="s">
        <v>115</v>
      </c>
      <c r="P575" s="46">
        <f t="array" ref="P575">WEEKDAY(B575,2)</f>
        <v>1</v>
      </c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>
      <c r="A576" s="56">
        <v>4.79234206E8</v>
      </c>
      <c r="B576" s="126">
        <v>40823.0</v>
      </c>
      <c r="C576" s="126">
        <v>40861.0</v>
      </c>
      <c r="D576" s="56" t="s">
        <v>95</v>
      </c>
      <c r="E576" s="56" t="s">
        <v>107</v>
      </c>
      <c r="F576" s="56">
        <v>4594.0</v>
      </c>
      <c r="G576" s="56" t="s">
        <v>43</v>
      </c>
      <c r="H576" s="56">
        <v>4906.0</v>
      </c>
      <c r="I576" s="127">
        <v>9.33</v>
      </c>
      <c r="J576" s="127">
        <v>6.92</v>
      </c>
      <c r="K576" s="83">
        <f t="shared" si="1"/>
        <v>45772.98</v>
      </c>
      <c r="L576" s="83">
        <f t="shared" si="2"/>
        <v>33949.52</v>
      </c>
      <c r="M576" s="83">
        <f t="shared" si="3"/>
        <v>11823.46</v>
      </c>
      <c r="N576" s="46" t="str">
        <f>VLOOKUP(F576,products!$A$2:$B$13,2,FALSE)</f>
        <v>Fruits</v>
      </c>
      <c r="O576" s="46" t="s">
        <v>107</v>
      </c>
      <c r="P576" s="46">
        <f t="array" ref="P576">WEEKDAY(B576,2)</f>
        <v>5</v>
      </c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>
      <c r="A577" s="56">
        <v>4.80652987E8</v>
      </c>
      <c r="B577" s="126">
        <v>42817.0</v>
      </c>
      <c r="C577" s="126">
        <v>42830.0</v>
      </c>
      <c r="D577" s="56" t="s">
        <v>93</v>
      </c>
      <c r="E577" s="56" t="s">
        <v>126</v>
      </c>
      <c r="F577" s="56">
        <v>7331.0</v>
      </c>
      <c r="G577" s="56" t="s">
        <v>42</v>
      </c>
      <c r="H577" s="56">
        <v>4755.0</v>
      </c>
      <c r="I577" s="127">
        <v>255.28</v>
      </c>
      <c r="J577" s="127">
        <v>159.42</v>
      </c>
      <c r="K577" s="83">
        <f t="shared" si="1"/>
        <v>1213856.4</v>
      </c>
      <c r="L577" s="83">
        <f t="shared" si="2"/>
        <v>758042.1</v>
      </c>
      <c r="M577" s="83">
        <f t="shared" si="3"/>
        <v>455814.3</v>
      </c>
      <c r="N577" s="46" t="str">
        <f>VLOOKUP(F577,products!$A$2:$B$13,2,FALSE)</f>
        <v>Baby Food</v>
      </c>
      <c r="O577" s="46" t="s">
        <v>126</v>
      </c>
      <c r="P577" s="46">
        <f t="array" ref="P577">WEEKDAY(B577,2)</f>
        <v>4</v>
      </c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>
      <c r="A578" s="56">
        <v>4.80904042E8</v>
      </c>
      <c r="B578" s="126">
        <v>40201.0</v>
      </c>
      <c r="C578" s="126">
        <v>40214.0</v>
      </c>
      <c r="D578" s="56" t="s">
        <v>10</v>
      </c>
      <c r="E578" s="56" t="s">
        <v>128</v>
      </c>
      <c r="F578" s="56">
        <v>8969.0</v>
      </c>
      <c r="G578" s="56" t="s">
        <v>42</v>
      </c>
      <c r="H578" s="56">
        <v>9048.0</v>
      </c>
      <c r="I578" s="127">
        <v>152.58</v>
      </c>
      <c r="J578" s="127">
        <v>97.44</v>
      </c>
      <c r="K578" s="83">
        <f t="shared" si="1"/>
        <v>1380543.84</v>
      </c>
      <c r="L578" s="83">
        <f t="shared" si="2"/>
        <v>881637.12</v>
      </c>
      <c r="M578" s="83">
        <f t="shared" si="3"/>
        <v>498906.72</v>
      </c>
      <c r="N578" s="46" t="str">
        <f>VLOOKUP(F578,products!$A$2:$B$13,2,FALSE)</f>
        <v>Snacks</v>
      </c>
      <c r="O578" s="46" t="s">
        <v>128</v>
      </c>
      <c r="P578" s="46">
        <f t="array" ref="P578">WEEKDAY(B578,2)</f>
        <v>6</v>
      </c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>
      <c r="A579" s="56">
        <v>4.81114327E8</v>
      </c>
      <c r="B579" s="126">
        <v>42312.0</v>
      </c>
      <c r="C579" s="126">
        <v>42332.0</v>
      </c>
      <c r="D579" s="56" t="s">
        <v>89</v>
      </c>
      <c r="E579" s="56" t="s">
        <v>90</v>
      </c>
      <c r="F579" s="56">
        <v>2103.0</v>
      </c>
      <c r="G579" s="56" t="s">
        <v>43</v>
      </c>
      <c r="H579" s="56">
        <v>1276.0</v>
      </c>
      <c r="I579" s="127">
        <v>205.7</v>
      </c>
      <c r="J579" s="127">
        <v>117.11</v>
      </c>
      <c r="K579" s="83">
        <f t="shared" si="1"/>
        <v>262473.2</v>
      </c>
      <c r="L579" s="83">
        <f t="shared" si="2"/>
        <v>149432.36</v>
      </c>
      <c r="M579" s="83">
        <f t="shared" si="3"/>
        <v>113040.84</v>
      </c>
      <c r="N579" s="46" t="str">
        <f>VLOOKUP(F579,products!$A$2:$B$13,2,FALSE)</f>
        <v>Cereal</v>
      </c>
      <c r="O579" s="46" t="s">
        <v>90</v>
      </c>
      <c r="P579" s="46">
        <f t="array" ref="P579">WEEKDAY(B579,2)</f>
        <v>3</v>
      </c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>
      <c r="A580" s="56">
        <v>4.81308305E8</v>
      </c>
      <c r="B580" s="126">
        <v>41889.0</v>
      </c>
      <c r="C580" s="126">
        <v>41928.0</v>
      </c>
      <c r="D580" s="56" t="s">
        <v>10</v>
      </c>
      <c r="E580" s="56" t="s">
        <v>130</v>
      </c>
      <c r="F580" s="56">
        <v>7331.0</v>
      </c>
      <c r="G580" s="56" t="s">
        <v>42</v>
      </c>
      <c r="H580" s="56">
        <v>8678.0</v>
      </c>
      <c r="I580" s="127">
        <v>255.28</v>
      </c>
      <c r="J580" s="127">
        <v>159.42</v>
      </c>
      <c r="K580" s="83">
        <f t="shared" si="1"/>
        <v>2215319.84</v>
      </c>
      <c r="L580" s="83">
        <f t="shared" si="2"/>
        <v>1383446.76</v>
      </c>
      <c r="M580" s="83">
        <f t="shared" si="3"/>
        <v>831873.08</v>
      </c>
      <c r="N580" s="46" t="str">
        <f>VLOOKUP(F580,products!$A$2:$B$13,2,FALSE)</f>
        <v>Baby Food</v>
      </c>
      <c r="O580" s="46" t="s">
        <v>130</v>
      </c>
      <c r="P580" s="46">
        <f t="array" ref="P580">WEEKDAY(B580,2)</f>
        <v>7</v>
      </c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>
      <c r="A581" s="56">
        <v>4.81976497E8</v>
      </c>
      <c r="B581" s="126">
        <v>42670.0</v>
      </c>
      <c r="C581" s="126">
        <v>42707.0</v>
      </c>
      <c r="D581" s="56" t="s">
        <v>95</v>
      </c>
      <c r="E581" s="56" t="s">
        <v>105</v>
      </c>
      <c r="F581" s="56">
        <v>4594.0</v>
      </c>
      <c r="G581" s="56" t="s">
        <v>43</v>
      </c>
      <c r="H581" s="56">
        <v>6411.0</v>
      </c>
      <c r="I581" s="127">
        <v>9.33</v>
      </c>
      <c r="J581" s="127">
        <v>6.92</v>
      </c>
      <c r="K581" s="83">
        <f t="shared" si="1"/>
        <v>59814.63</v>
      </c>
      <c r="L581" s="83">
        <f t="shared" si="2"/>
        <v>44364.12</v>
      </c>
      <c r="M581" s="83">
        <f t="shared" si="3"/>
        <v>15450.51</v>
      </c>
      <c r="N581" s="46" t="str">
        <f>VLOOKUP(F581,products!$A$2:$B$13,2,FALSE)</f>
        <v>Fruits</v>
      </c>
      <c r="O581" s="46" t="s">
        <v>105</v>
      </c>
      <c r="P581" s="46">
        <f t="array" ref="P581">WEEKDAY(B581,2)</f>
        <v>4</v>
      </c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>
      <c r="A582" s="56">
        <v>4.83438193E8</v>
      </c>
      <c r="B582" s="126">
        <v>41144.0</v>
      </c>
      <c r="C582" s="126">
        <v>41178.0</v>
      </c>
      <c r="D582" s="56" t="s">
        <v>95</v>
      </c>
      <c r="E582" s="56" t="s">
        <v>102</v>
      </c>
      <c r="F582" s="56">
        <v>8875.0</v>
      </c>
      <c r="G582" s="56" t="s">
        <v>43</v>
      </c>
      <c r="H582" s="56">
        <v>8959.0</v>
      </c>
      <c r="I582" s="127">
        <v>421.89</v>
      </c>
      <c r="J582" s="127">
        <v>364.69</v>
      </c>
      <c r="K582" s="83">
        <f t="shared" si="1"/>
        <v>3779712.51</v>
      </c>
      <c r="L582" s="83">
        <f t="shared" si="2"/>
        <v>3267257.71</v>
      </c>
      <c r="M582" s="83">
        <f t="shared" si="3"/>
        <v>512454.8</v>
      </c>
      <c r="N582" s="46" t="str">
        <f>VLOOKUP(F582,products!$A$2:$B$13,2,FALSE)</f>
        <v>Meat</v>
      </c>
      <c r="O582" s="46" t="s">
        <v>102</v>
      </c>
      <c r="P582" s="46">
        <f t="array" ref="P582">WEEKDAY(B582,2)</f>
        <v>4</v>
      </c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>
      <c r="A583" s="56">
        <v>4.83655774E8</v>
      </c>
      <c r="B583" s="126">
        <v>42934.0</v>
      </c>
      <c r="C583" s="126">
        <v>42952.0</v>
      </c>
      <c r="D583" s="56" t="s">
        <v>95</v>
      </c>
      <c r="E583" s="56" t="e">
        <v>#N/A</v>
      </c>
      <c r="F583" s="56">
        <v>2103.0</v>
      </c>
      <c r="G583" s="56" t="s">
        <v>42</v>
      </c>
      <c r="H583" s="56">
        <v>3346.0</v>
      </c>
      <c r="I583" s="127">
        <v>205.7</v>
      </c>
      <c r="J583" s="127">
        <v>117.11</v>
      </c>
      <c r="K583" s="83">
        <f t="shared" si="1"/>
        <v>688272.2</v>
      </c>
      <c r="L583" s="83">
        <f t="shared" si="2"/>
        <v>391850.06</v>
      </c>
      <c r="M583" s="83">
        <f t="shared" si="3"/>
        <v>296422.14</v>
      </c>
      <c r="N583" s="46" t="str">
        <f>VLOOKUP(F583,products!$A$2:$B$13,2,FALSE)</f>
        <v>Cereal</v>
      </c>
      <c r="O583" s="46" t="s">
        <v>92</v>
      </c>
      <c r="P583" s="46">
        <f t="array" ref="P583">WEEKDAY(B583,2)</f>
        <v>2</v>
      </c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>
      <c r="A584" s="56">
        <v>4.83981502E8</v>
      </c>
      <c r="B584" s="126">
        <v>40277.0</v>
      </c>
      <c r="C584" s="126">
        <v>40302.0</v>
      </c>
      <c r="D584" s="56" t="s">
        <v>95</v>
      </c>
      <c r="E584" s="56" t="s">
        <v>104</v>
      </c>
      <c r="F584" s="56">
        <v>8681.0</v>
      </c>
      <c r="G584" s="56" t="s">
        <v>43</v>
      </c>
      <c r="H584" s="56">
        <v>9736.0</v>
      </c>
      <c r="I584" s="127">
        <v>651.21</v>
      </c>
      <c r="J584" s="127">
        <v>524.96</v>
      </c>
      <c r="K584" s="83">
        <f t="shared" si="1"/>
        <v>6340180.56</v>
      </c>
      <c r="L584" s="83">
        <f t="shared" si="2"/>
        <v>5111010.56</v>
      </c>
      <c r="M584" s="83">
        <f t="shared" si="3"/>
        <v>1229170</v>
      </c>
      <c r="N584" s="46" t="str">
        <f>VLOOKUP(F584,products!$A$2:$B$13,2,FALSE)</f>
        <v>Office Supplies</v>
      </c>
      <c r="O584" s="46" t="s">
        <v>104</v>
      </c>
      <c r="P584" s="46">
        <f t="array" ref="P584">WEEKDAY(B584,2)</f>
        <v>5</v>
      </c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>
      <c r="A585" s="56">
        <v>4.85165965E8</v>
      </c>
      <c r="B585" s="126">
        <v>42685.0</v>
      </c>
      <c r="C585" s="126">
        <v>42718.0</v>
      </c>
      <c r="D585" s="56" t="s">
        <v>10</v>
      </c>
      <c r="E585" s="56" t="s">
        <v>98</v>
      </c>
      <c r="F585" s="56">
        <v>8969.0</v>
      </c>
      <c r="G585" s="56" t="s">
        <v>43</v>
      </c>
      <c r="H585" s="56">
        <v>245.0</v>
      </c>
      <c r="I585" s="127">
        <v>152.58</v>
      </c>
      <c r="J585" s="127">
        <v>97.44</v>
      </c>
      <c r="K585" s="83">
        <f t="shared" si="1"/>
        <v>37382.1</v>
      </c>
      <c r="L585" s="83">
        <f t="shared" si="2"/>
        <v>23872.8</v>
      </c>
      <c r="M585" s="83">
        <f t="shared" si="3"/>
        <v>13509.3</v>
      </c>
      <c r="N585" s="46" t="str">
        <f>VLOOKUP(F585,products!$A$2:$B$13,2,FALSE)</f>
        <v>Snacks</v>
      </c>
      <c r="O585" s="46" t="s">
        <v>98</v>
      </c>
      <c r="P585" s="46">
        <f t="array" ref="P585">WEEKDAY(B585,2)</f>
        <v>5</v>
      </c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>
      <c r="A586" s="56">
        <v>4.85929429E8</v>
      </c>
      <c r="B586" s="126">
        <v>42842.0</v>
      </c>
      <c r="C586" s="126">
        <v>42874.0</v>
      </c>
      <c r="D586" s="56" t="s">
        <v>10</v>
      </c>
      <c r="E586" s="56" t="s">
        <v>113</v>
      </c>
      <c r="F586" s="56">
        <v>3127.0</v>
      </c>
      <c r="G586" s="56" t="s">
        <v>42</v>
      </c>
      <c r="H586" s="56">
        <v>6171.0</v>
      </c>
      <c r="I586" s="127">
        <v>81.73</v>
      </c>
      <c r="J586" s="127">
        <v>56.67</v>
      </c>
      <c r="K586" s="83">
        <f t="shared" si="1"/>
        <v>504355.83</v>
      </c>
      <c r="L586" s="83">
        <f t="shared" si="2"/>
        <v>349710.57</v>
      </c>
      <c r="M586" s="83">
        <f t="shared" si="3"/>
        <v>154645.26</v>
      </c>
      <c r="N586" s="46" t="str">
        <f>VLOOKUP(F586,products!$A$2:$B$13,2,FALSE)</f>
        <v>Personal Care</v>
      </c>
      <c r="O586" s="46" t="s">
        <v>113</v>
      </c>
      <c r="P586" s="46">
        <f t="array" ref="P586">WEEKDAY(B586,2)</f>
        <v>1</v>
      </c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>
      <c r="A587" s="56">
        <v>4.86345708E8</v>
      </c>
      <c r="B587" s="126">
        <v>41885.0</v>
      </c>
      <c r="C587" s="126">
        <v>41923.0</v>
      </c>
      <c r="D587" s="56" t="s">
        <v>95</v>
      </c>
      <c r="E587" s="56" t="s">
        <v>111</v>
      </c>
      <c r="F587" s="56">
        <v>8293.0</v>
      </c>
      <c r="G587" s="56" t="s">
        <v>42</v>
      </c>
      <c r="H587" s="56">
        <v>9357.0</v>
      </c>
      <c r="I587" s="127">
        <v>437.2</v>
      </c>
      <c r="J587" s="127">
        <v>263.33</v>
      </c>
      <c r="K587" s="83">
        <f t="shared" si="1"/>
        <v>4090880.4</v>
      </c>
      <c r="L587" s="83">
        <f t="shared" si="2"/>
        <v>2463978.81</v>
      </c>
      <c r="M587" s="83">
        <f t="shared" si="3"/>
        <v>1626901.59</v>
      </c>
      <c r="N587" s="46" t="str">
        <f>VLOOKUP(F587,products!$A$2:$B$13,2,FALSE)</f>
        <v>Cosmetics</v>
      </c>
      <c r="O587" s="46" t="s">
        <v>111</v>
      </c>
      <c r="P587" s="46">
        <f t="array" ref="P587">WEEKDAY(B587,2)</f>
        <v>3</v>
      </c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>
      <c r="A588" s="56">
        <v>4.8646115E8</v>
      </c>
      <c r="B588" s="126">
        <v>42648.0</v>
      </c>
      <c r="C588" s="126">
        <v>42687.0</v>
      </c>
      <c r="D588" s="56" t="s">
        <v>89</v>
      </c>
      <c r="E588" s="56" t="s">
        <v>124</v>
      </c>
      <c r="F588" s="56">
        <v>5988.0</v>
      </c>
      <c r="G588" s="56" t="s">
        <v>42</v>
      </c>
      <c r="H588" s="56">
        <v>3519.0</v>
      </c>
      <c r="I588" s="127">
        <v>154.06</v>
      </c>
      <c r="J588" s="127">
        <v>90.93</v>
      </c>
      <c r="K588" s="83">
        <f t="shared" si="1"/>
        <v>542137.14</v>
      </c>
      <c r="L588" s="83">
        <f t="shared" si="2"/>
        <v>319982.67</v>
      </c>
      <c r="M588" s="83">
        <f t="shared" si="3"/>
        <v>222154.47</v>
      </c>
      <c r="N588" s="46" t="str">
        <f>VLOOKUP(F588,products!$A$2:$B$13,2,FALSE)</f>
        <v>Vegetables</v>
      </c>
      <c r="O588" s="46" t="s">
        <v>124</v>
      </c>
      <c r="P588" s="46">
        <f t="array" ref="P588">WEEKDAY(B588,2)</f>
        <v>3</v>
      </c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>
      <c r="A589" s="56">
        <v>4.8831638E8</v>
      </c>
      <c r="B589" s="126">
        <v>42308.0</v>
      </c>
      <c r="C589" s="126">
        <v>42326.0</v>
      </c>
      <c r="D589" s="56" t="s">
        <v>93</v>
      </c>
      <c r="E589" s="56" t="s">
        <v>138</v>
      </c>
      <c r="F589" s="56">
        <v>4594.0</v>
      </c>
      <c r="G589" s="56" t="s">
        <v>43</v>
      </c>
      <c r="H589" s="56">
        <v>2523.0</v>
      </c>
      <c r="I589" s="127">
        <v>9.33</v>
      </c>
      <c r="J589" s="127">
        <v>6.92</v>
      </c>
      <c r="K589" s="83">
        <f t="shared" si="1"/>
        <v>23539.59</v>
      </c>
      <c r="L589" s="83">
        <f t="shared" si="2"/>
        <v>17459.16</v>
      </c>
      <c r="M589" s="83">
        <f t="shared" si="3"/>
        <v>6080.43</v>
      </c>
      <c r="N589" s="46" t="str">
        <f>VLOOKUP(F589,products!$A$2:$B$13,2,FALSE)</f>
        <v>Fruits</v>
      </c>
      <c r="O589" s="46" t="s">
        <v>138</v>
      </c>
      <c r="P589" s="46">
        <f t="array" ref="P589">WEEKDAY(B589,2)</f>
        <v>6</v>
      </c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>
      <c r="A590" s="56">
        <v>4.88815915E8</v>
      </c>
      <c r="B590" s="126">
        <v>40605.0</v>
      </c>
      <c r="C590" s="126">
        <v>40650.0</v>
      </c>
      <c r="D590" s="56" t="s">
        <v>89</v>
      </c>
      <c r="E590" s="56" t="s">
        <v>99</v>
      </c>
      <c r="F590" s="56">
        <v>8969.0</v>
      </c>
      <c r="G590" s="56" t="s">
        <v>42</v>
      </c>
      <c r="H590" s="56">
        <v>347.0</v>
      </c>
      <c r="I590" s="127">
        <v>152.58</v>
      </c>
      <c r="J590" s="127">
        <v>97.44</v>
      </c>
      <c r="K590" s="83">
        <f t="shared" si="1"/>
        <v>52945.26</v>
      </c>
      <c r="L590" s="83">
        <f t="shared" si="2"/>
        <v>33811.68</v>
      </c>
      <c r="M590" s="83">
        <f t="shared" si="3"/>
        <v>19133.58</v>
      </c>
      <c r="N590" s="46" t="str">
        <f>VLOOKUP(F590,products!$A$2:$B$13,2,FALSE)</f>
        <v>Snacks</v>
      </c>
      <c r="O590" s="46" t="s">
        <v>99</v>
      </c>
      <c r="P590" s="46">
        <f t="array" ref="P590">WEEKDAY(B590,2)</f>
        <v>4</v>
      </c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>
      <c r="A591" s="56">
        <v>4.89600837E8</v>
      </c>
      <c r="B591" s="126">
        <v>41768.0</v>
      </c>
      <c r="C591" s="126">
        <v>41799.0</v>
      </c>
      <c r="D591" s="56" t="s">
        <v>10</v>
      </c>
      <c r="E591" s="56" t="s">
        <v>118</v>
      </c>
      <c r="F591" s="56">
        <v>5988.0</v>
      </c>
      <c r="G591" s="56" t="s">
        <v>42</v>
      </c>
      <c r="H591" s="56">
        <v>2622.0</v>
      </c>
      <c r="I591" s="127">
        <v>154.06</v>
      </c>
      <c r="J591" s="127">
        <v>90.93</v>
      </c>
      <c r="K591" s="83">
        <f t="shared" si="1"/>
        <v>403945.32</v>
      </c>
      <c r="L591" s="83">
        <f t="shared" si="2"/>
        <v>238418.46</v>
      </c>
      <c r="M591" s="83">
        <f t="shared" si="3"/>
        <v>165526.86</v>
      </c>
      <c r="N591" s="46" t="str">
        <f>VLOOKUP(F591,products!$A$2:$B$13,2,FALSE)</f>
        <v>Vegetables</v>
      </c>
      <c r="O591" s="46" t="s">
        <v>118</v>
      </c>
      <c r="P591" s="46">
        <f t="array" ref="P591">WEEKDAY(B591,2)</f>
        <v>5</v>
      </c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>
      <c r="A592" s="56">
        <v>4.89848029E8</v>
      </c>
      <c r="B592" s="126">
        <v>40299.0</v>
      </c>
      <c r="C592" s="126">
        <v>40318.0</v>
      </c>
      <c r="D592" s="56" t="s">
        <v>89</v>
      </c>
      <c r="E592" s="56" t="e">
        <v>#N/A</v>
      </c>
      <c r="F592" s="56">
        <v>8969.0</v>
      </c>
      <c r="G592" s="56" t="s">
        <v>42</v>
      </c>
      <c r="H592" s="56">
        <v>5772.0</v>
      </c>
      <c r="I592" s="127">
        <v>152.58</v>
      </c>
      <c r="J592" s="127">
        <v>97.44</v>
      </c>
      <c r="K592" s="83">
        <f t="shared" si="1"/>
        <v>880691.76</v>
      </c>
      <c r="L592" s="83">
        <f t="shared" si="2"/>
        <v>562423.68</v>
      </c>
      <c r="M592" s="83">
        <f t="shared" si="3"/>
        <v>318268.08</v>
      </c>
      <c r="N592" s="46" t="str">
        <f>VLOOKUP(F592,products!$A$2:$B$13,2,FALSE)</f>
        <v>Snacks</v>
      </c>
      <c r="O592" s="46" t="s">
        <v>92</v>
      </c>
      <c r="P592" s="46">
        <f t="array" ref="P592">WEEKDAY(B592,2)</f>
        <v>6</v>
      </c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>
      <c r="A593" s="56">
        <v>4.91547477E8</v>
      </c>
      <c r="B593" s="126">
        <v>41950.0</v>
      </c>
      <c r="C593" s="126">
        <v>41950.0</v>
      </c>
      <c r="D593" s="56" t="s">
        <v>95</v>
      </c>
      <c r="E593" s="56" t="e">
        <v>#N/A</v>
      </c>
      <c r="F593" s="56">
        <v>5988.0</v>
      </c>
      <c r="G593" s="56" t="s">
        <v>43</v>
      </c>
      <c r="H593" s="56">
        <v>8676.0</v>
      </c>
      <c r="I593" s="127">
        <v>154.06</v>
      </c>
      <c r="J593" s="127">
        <v>90.93</v>
      </c>
      <c r="K593" s="83">
        <f t="shared" si="1"/>
        <v>1336624.56</v>
      </c>
      <c r="L593" s="83">
        <f t="shared" si="2"/>
        <v>788908.68</v>
      </c>
      <c r="M593" s="83">
        <f t="shared" si="3"/>
        <v>547715.88</v>
      </c>
      <c r="N593" s="46" t="str">
        <f>VLOOKUP(F593,products!$A$2:$B$13,2,FALSE)</f>
        <v>Vegetables</v>
      </c>
      <c r="O593" s="46" t="s">
        <v>92</v>
      </c>
      <c r="P593" s="46">
        <f t="array" ref="P593">WEEKDAY(B593,2)</f>
        <v>5</v>
      </c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>
      <c r="A594" s="56">
        <v>4.92353856E8</v>
      </c>
      <c r="B594" s="126">
        <v>41353.0</v>
      </c>
      <c r="C594" s="126">
        <v>41375.0</v>
      </c>
      <c r="D594" s="56" t="s">
        <v>93</v>
      </c>
      <c r="E594" s="56" t="s">
        <v>108</v>
      </c>
      <c r="F594" s="56">
        <v>7940.0</v>
      </c>
      <c r="G594" s="56" t="s">
        <v>43</v>
      </c>
      <c r="H594" s="56">
        <v>7302.0</v>
      </c>
      <c r="I594" s="127">
        <v>668.27</v>
      </c>
      <c r="J594" s="127">
        <v>502.54</v>
      </c>
      <c r="K594" s="83">
        <f t="shared" si="1"/>
        <v>4879707.54</v>
      </c>
      <c r="L594" s="83">
        <f t="shared" si="2"/>
        <v>3669547.08</v>
      </c>
      <c r="M594" s="83">
        <f t="shared" si="3"/>
        <v>1210160.46</v>
      </c>
      <c r="N594" s="46" t="str">
        <f>VLOOKUP(F594,products!$A$2:$B$13,2,FALSE)</f>
        <v>Household</v>
      </c>
      <c r="O594" s="46" t="s">
        <v>108</v>
      </c>
      <c r="P594" s="46">
        <f t="array" ref="P594">WEEKDAY(B594,2)</f>
        <v>3</v>
      </c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>
      <c r="A595" s="56">
        <v>4.95450627E8</v>
      </c>
      <c r="B595" s="126">
        <v>41227.0</v>
      </c>
      <c r="C595" s="126">
        <v>41269.0</v>
      </c>
      <c r="D595" s="56" t="s">
        <v>93</v>
      </c>
      <c r="E595" s="56" t="s">
        <v>109</v>
      </c>
      <c r="F595" s="56">
        <v>2103.0</v>
      </c>
      <c r="G595" s="56" t="s">
        <v>42</v>
      </c>
      <c r="H595" s="56">
        <v>3705.0</v>
      </c>
      <c r="I595" s="127">
        <v>205.7</v>
      </c>
      <c r="J595" s="127">
        <v>117.11</v>
      </c>
      <c r="K595" s="83">
        <f t="shared" si="1"/>
        <v>762118.5</v>
      </c>
      <c r="L595" s="83">
        <f t="shared" si="2"/>
        <v>433892.55</v>
      </c>
      <c r="M595" s="83">
        <f t="shared" si="3"/>
        <v>328225.95</v>
      </c>
      <c r="N595" s="46" t="str">
        <f>VLOOKUP(F595,products!$A$2:$B$13,2,FALSE)</f>
        <v>Cereal</v>
      </c>
      <c r="O595" s="46" t="s">
        <v>109</v>
      </c>
      <c r="P595" s="46">
        <f t="array" ref="P595">WEEKDAY(B595,2)</f>
        <v>3</v>
      </c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>
      <c r="A596" s="56">
        <v>4.95593106E8</v>
      </c>
      <c r="B596" s="126">
        <v>42262.0</v>
      </c>
      <c r="C596" s="126">
        <v>42285.0</v>
      </c>
      <c r="D596" s="56" t="s">
        <v>89</v>
      </c>
      <c r="E596" s="56" t="s">
        <v>96</v>
      </c>
      <c r="F596" s="56">
        <v>1270.0</v>
      </c>
      <c r="G596" s="56" t="s">
        <v>42</v>
      </c>
      <c r="H596" s="56">
        <v>5868.0</v>
      </c>
      <c r="I596" s="127">
        <v>47.45</v>
      </c>
      <c r="J596" s="127">
        <v>31.79</v>
      </c>
      <c r="K596" s="83">
        <f t="shared" si="1"/>
        <v>278436.6</v>
      </c>
      <c r="L596" s="83">
        <f t="shared" si="2"/>
        <v>186543.72</v>
      </c>
      <c r="M596" s="83">
        <f t="shared" si="3"/>
        <v>91892.88</v>
      </c>
      <c r="N596" s="46" t="str">
        <f>VLOOKUP(F596,products!$A$2:$B$13,2,FALSE)</f>
        <v>Beverages</v>
      </c>
      <c r="O596" s="46" t="s">
        <v>96</v>
      </c>
      <c r="P596" s="46">
        <f t="array" ref="P596">WEEKDAY(B596,2)</f>
        <v>2</v>
      </c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>
      <c r="A597" s="56">
        <v>4.95631301E8</v>
      </c>
      <c r="B597" s="126">
        <v>41065.0</v>
      </c>
      <c r="C597" s="126">
        <v>41108.0</v>
      </c>
      <c r="D597" s="56" t="s">
        <v>89</v>
      </c>
      <c r="E597" s="56" t="s">
        <v>123</v>
      </c>
      <c r="F597" s="56">
        <v>5988.0</v>
      </c>
      <c r="G597" s="56" t="s">
        <v>43</v>
      </c>
      <c r="H597" s="56">
        <v>7171.0</v>
      </c>
      <c r="I597" s="127">
        <v>154.06</v>
      </c>
      <c r="J597" s="127">
        <v>90.93</v>
      </c>
      <c r="K597" s="83">
        <f t="shared" si="1"/>
        <v>1104764.26</v>
      </c>
      <c r="L597" s="83">
        <f t="shared" si="2"/>
        <v>652059.03</v>
      </c>
      <c r="M597" s="83">
        <f t="shared" si="3"/>
        <v>452705.23</v>
      </c>
      <c r="N597" s="46" t="str">
        <f>VLOOKUP(F597,products!$A$2:$B$13,2,FALSE)</f>
        <v>Vegetables</v>
      </c>
      <c r="O597" s="46" t="s">
        <v>123</v>
      </c>
      <c r="P597" s="46">
        <f t="array" ref="P597">WEEKDAY(B597,2)</f>
        <v>2</v>
      </c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>
      <c r="A598" s="56">
        <v>4.96826493E8</v>
      </c>
      <c r="B598" s="126">
        <v>41210.0</v>
      </c>
      <c r="C598" s="126">
        <v>41254.0</v>
      </c>
      <c r="D598" s="56" t="s">
        <v>93</v>
      </c>
      <c r="E598" s="56" t="s">
        <v>102</v>
      </c>
      <c r="F598" s="56">
        <v>4594.0</v>
      </c>
      <c r="G598" s="56" t="s">
        <v>43</v>
      </c>
      <c r="H598" s="56">
        <v>855.0</v>
      </c>
      <c r="I598" s="127">
        <v>9.33</v>
      </c>
      <c r="J598" s="127">
        <v>6.92</v>
      </c>
      <c r="K598" s="83">
        <f t="shared" si="1"/>
        <v>7977.15</v>
      </c>
      <c r="L598" s="83">
        <f t="shared" si="2"/>
        <v>5916.6</v>
      </c>
      <c r="M598" s="83">
        <f t="shared" si="3"/>
        <v>2060.55</v>
      </c>
      <c r="N598" s="46" t="str">
        <f>VLOOKUP(F598,products!$A$2:$B$13,2,FALSE)</f>
        <v>Fruits</v>
      </c>
      <c r="O598" s="46" t="s">
        <v>102</v>
      </c>
      <c r="P598" s="46">
        <f t="array" ref="P598">WEEKDAY(B598,2)</f>
        <v>7</v>
      </c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>
      <c r="A599" s="56">
        <v>4.97466361E8</v>
      </c>
      <c r="B599" s="126">
        <v>42102.0</v>
      </c>
      <c r="C599" s="126">
        <v>42125.0</v>
      </c>
      <c r="D599" s="56" t="s">
        <v>10</v>
      </c>
      <c r="E599" s="56" t="s">
        <v>109</v>
      </c>
      <c r="F599" s="56">
        <v>7940.0</v>
      </c>
      <c r="G599" s="56" t="s">
        <v>42</v>
      </c>
      <c r="H599" s="56">
        <v>206.0</v>
      </c>
      <c r="I599" s="127">
        <v>668.27</v>
      </c>
      <c r="J599" s="127">
        <v>502.54</v>
      </c>
      <c r="K599" s="83">
        <f t="shared" si="1"/>
        <v>137663.62</v>
      </c>
      <c r="L599" s="83">
        <f t="shared" si="2"/>
        <v>103523.24</v>
      </c>
      <c r="M599" s="83">
        <f t="shared" si="3"/>
        <v>34140.38</v>
      </c>
      <c r="N599" s="46" t="str">
        <f>VLOOKUP(F599,products!$A$2:$B$13,2,FALSE)</f>
        <v>Household</v>
      </c>
      <c r="O599" s="46" t="s">
        <v>109</v>
      </c>
      <c r="P599" s="46">
        <f t="array" ref="P599">WEEKDAY(B599,2)</f>
        <v>3</v>
      </c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>
      <c r="A600" s="56">
        <v>4.97506701E8</v>
      </c>
      <c r="B600" s="126">
        <v>42112.0</v>
      </c>
      <c r="C600" s="126">
        <v>42134.0</v>
      </c>
      <c r="D600" s="56" t="s">
        <v>95</v>
      </c>
      <c r="E600" s="56" t="s">
        <v>127</v>
      </c>
      <c r="F600" s="56">
        <v>7331.0</v>
      </c>
      <c r="G600" s="56" t="s">
        <v>43</v>
      </c>
      <c r="H600" s="56">
        <v>2144.0</v>
      </c>
      <c r="I600" s="127">
        <v>255.28</v>
      </c>
      <c r="J600" s="127">
        <v>159.42</v>
      </c>
      <c r="K600" s="83">
        <f t="shared" si="1"/>
        <v>547320.32</v>
      </c>
      <c r="L600" s="83">
        <f t="shared" si="2"/>
        <v>341796.48</v>
      </c>
      <c r="M600" s="83">
        <f t="shared" si="3"/>
        <v>205523.84</v>
      </c>
      <c r="N600" s="46" t="str">
        <f>VLOOKUP(F600,products!$A$2:$B$13,2,FALSE)</f>
        <v>Baby Food</v>
      </c>
      <c r="O600" s="46" t="s">
        <v>127</v>
      </c>
      <c r="P600" s="46">
        <f t="array" ref="P600">WEEKDAY(B600,2)</f>
        <v>6</v>
      </c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>
      <c r="A601" s="56">
        <v>4.97554337E8</v>
      </c>
      <c r="B601" s="126">
        <v>41800.0</v>
      </c>
      <c r="C601" s="126">
        <v>41848.0</v>
      </c>
      <c r="D601" s="56" t="s">
        <v>95</v>
      </c>
      <c r="E601" s="56" t="s">
        <v>108</v>
      </c>
      <c r="F601" s="56">
        <v>2455.0</v>
      </c>
      <c r="G601" s="56" t="s">
        <v>43</v>
      </c>
      <c r="H601" s="56">
        <v>6240.0</v>
      </c>
      <c r="I601" s="127">
        <v>109.28</v>
      </c>
      <c r="J601" s="127">
        <v>35.84</v>
      </c>
      <c r="K601" s="83">
        <f t="shared" si="1"/>
        <v>681907.2</v>
      </c>
      <c r="L601" s="83">
        <f t="shared" si="2"/>
        <v>223641.6</v>
      </c>
      <c r="M601" s="83">
        <f t="shared" si="3"/>
        <v>458265.6</v>
      </c>
      <c r="N601" s="46" t="str">
        <f>VLOOKUP(F601,products!$A$2:$B$13,2,FALSE)</f>
        <v>Clothes</v>
      </c>
      <c r="O601" s="46" t="s">
        <v>108</v>
      </c>
      <c r="P601" s="46">
        <f t="array" ref="P601">WEEKDAY(B601,2)</f>
        <v>2</v>
      </c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>
      <c r="A602" s="56">
        <v>4.98089492E8</v>
      </c>
      <c r="B602" s="126">
        <v>42431.0</v>
      </c>
      <c r="C602" s="126">
        <v>42451.0</v>
      </c>
      <c r="D602" s="56" t="s">
        <v>93</v>
      </c>
      <c r="E602" s="56" t="s">
        <v>108</v>
      </c>
      <c r="F602" s="56">
        <v>8875.0</v>
      </c>
      <c r="G602" s="56" t="s">
        <v>43</v>
      </c>
      <c r="H602" s="56">
        <v>4604.0</v>
      </c>
      <c r="I602" s="127">
        <v>421.89</v>
      </c>
      <c r="J602" s="127">
        <v>364.69</v>
      </c>
      <c r="K602" s="83">
        <f t="shared" si="1"/>
        <v>1942381.56</v>
      </c>
      <c r="L602" s="83">
        <f t="shared" si="2"/>
        <v>1679032.76</v>
      </c>
      <c r="M602" s="83">
        <f t="shared" si="3"/>
        <v>263348.8</v>
      </c>
      <c r="N602" s="46" t="str">
        <f>VLOOKUP(F602,products!$A$2:$B$13,2,FALSE)</f>
        <v>Meat</v>
      </c>
      <c r="O602" s="46" t="s">
        <v>108</v>
      </c>
      <c r="P602" s="46">
        <f t="array" ref="P602">WEEKDAY(B602,2)</f>
        <v>3</v>
      </c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>
      <c r="A603" s="56">
        <v>4.98201072E8</v>
      </c>
      <c r="B603" s="126">
        <v>41576.0</v>
      </c>
      <c r="C603" s="126">
        <v>41585.0</v>
      </c>
      <c r="D603" s="56" t="s">
        <v>95</v>
      </c>
      <c r="E603" s="56" t="s">
        <v>104</v>
      </c>
      <c r="F603" s="56">
        <v>8293.0</v>
      </c>
      <c r="G603" s="56" t="s">
        <v>43</v>
      </c>
      <c r="H603" s="56">
        <v>7623.0</v>
      </c>
      <c r="I603" s="127">
        <v>437.2</v>
      </c>
      <c r="J603" s="127">
        <v>263.33</v>
      </c>
      <c r="K603" s="83">
        <f t="shared" si="1"/>
        <v>3332775.6</v>
      </c>
      <c r="L603" s="83">
        <f t="shared" si="2"/>
        <v>2007364.59</v>
      </c>
      <c r="M603" s="83">
        <f t="shared" si="3"/>
        <v>1325411.01</v>
      </c>
      <c r="N603" s="46" t="str">
        <f>VLOOKUP(F603,products!$A$2:$B$13,2,FALSE)</f>
        <v>Cosmetics</v>
      </c>
      <c r="O603" s="46" t="s">
        <v>104</v>
      </c>
      <c r="P603" s="46">
        <f t="array" ref="P603">WEEKDAY(B603,2)</f>
        <v>2</v>
      </c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>
      <c r="A604" s="56">
        <v>4.9894694E8</v>
      </c>
      <c r="B604" s="126">
        <v>42347.0</v>
      </c>
      <c r="C604" s="126">
        <v>42380.0</v>
      </c>
      <c r="D604" s="56" t="s">
        <v>10</v>
      </c>
      <c r="E604" s="56" t="s">
        <v>133</v>
      </c>
      <c r="F604" s="56">
        <v>8875.0</v>
      </c>
      <c r="G604" s="56" t="s">
        <v>42</v>
      </c>
      <c r="H604" s="56">
        <v>8342.0</v>
      </c>
      <c r="I604" s="127">
        <v>421.89</v>
      </c>
      <c r="J604" s="127">
        <v>364.69</v>
      </c>
      <c r="K604" s="83">
        <f t="shared" si="1"/>
        <v>3519406.38</v>
      </c>
      <c r="L604" s="83">
        <f t="shared" si="2"/>
        <v>3042243.98</v>
      </c>
      <c r="M604" s="83">
        <f t="shared" si="3"/>
        <v>477162.4</v>
      </c>
      <c r="N604" s="46" t="str">
        <f>VLOOKUP(F604,products!$A$2:$B$13,2,FALSE)</f>
        <v>Meat</v>
      </c>
      <c r="O604" s="46" t="s">
        <v>133</v>
      </c>
      <c r="P604" s="46">
        <f t="array" ref="P604">WEEKDAY(B604,2)</f>
        <v>3</v>
      </c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>
      <c r="A605" s="56">
        <v>4.99101436E8</v>
      </c>
      <c r="B605" s="126">
        <v>40737.0</v>
      </c>
      <c r="C605" s="126">
        <v>40783.0</v>
      </c>
      <c r="D605" s="56" t="s">
        <v>10</v>
      </c>
      <c r="E605" s="56" t="e">
        <v>#N/A</v>
      </c>
      <c r="F605" s="56">
        <v>8969.0</v>
      </c>
      <c r="G605" s="56" t="s">
        <v>42</v>
      </c>
      <c r="H605" s="56">
        <v>4061.0</v>
      </c>
      <c r="I605" s="127">
        <v>152.58</v>
      </c>
      <c r="J605" s="127">
        <v>97.44</v>
      </c>
      <c r="K605" s="83">
        <f t="shared" si="1"/>
        <v>619627.38</v>
      </c>
      <c r="L605" s="83">
        <f t="shared" si="2"/>
        <v>395703.84</v>
      </c>
      <c r="M605" s="83">
        <f t="shared" si="3"/>
        <v>223923.54</v>
      </c>
      <c r="N605" s="46" t="str">
        <f>VLOOKUP(F605,products!$A$2:$B$13,2,FALSE)</f>
        <v>Snacks</v>
      </c>
      <c r="O605" s="46" t="s">
        <v>92</v>
      </c>
      <c r="P605" s="46">
        <f t="array" ref="P605">WEEKDAY(B605,2)</f>
        <v>3</v>
      </c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>
      <c r="A606" s="56">
        <v>5.04024684E8</v>
      </c>
      <c r="B606" s="126">
        <v>42352.0</v>
      </c>
      <c r="C606" s="126">
        <v>42383.0</v>
      </c>
      <c r="D606" s="56" t="s">
        <v>95</v>
      </c>
      <c r="E606" s="56" t="s">
        <v>113</v>
      </c>
      <c r="F606" s="56">
        <v>2103.0</v>
      </c>
      <c r="G606" s="56" t="s">
        <v>43</v>
      </c>
      <c r="H606" s="56">
        <v>959.0</v>
      </c>
      <c r="I606" s="127">
        <v>205.7</v>
      </c>
      <c r="J606" s="127">
        <v>117.11</v>
      </c>
      <c r="K606" s="83">
        <f t="shared" si="1"/>
        <v>197266.3</v>
      </c>
      <c r="L606" s="83">
        <f t="shared" si="2"/>
        <v>112308.49</v>
      </c>
      <c r="M606" s="83">
        <f t="shared" si="3"/>
        <v>84957.81</v>
      </c>
      <c r="N606" s="46" t="str">
        <f>VLOOKUP(F606,products!$A$2:$B$13,2,FALSE)</f>
        <v>Cereal</v>
      </c>
      <c r="O606" s="46" t="s">
        <v>113</v>
      </c>
      <c r="P606" s="46">
        <f t="array" ref="P606">WEEKDAY(B606,2)</f>
        <v>1</v>
      </c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>
      <c r="A607" s="56">
        <v>5.04973971E8</v>
      </c>
      <c r="B607" s="126">
        <v>40819.0</v>
      </c>
      <c r="C607" s="126">
        <v>40849.0</v>
      </c>
      <c r="D607" s="56" t="s">
        <v>89</v>
      </c>
      <c r="E607" s="56" t="s">
        <v>128</v>
      </c>
      <c r="F607" s="56">
        <v>8875.0</v>
      </c>
      <c r="G607" s="56" t="s">
        <v>43</v>
      </c>
      <c r="H607" s="56">
        <v>1875.0</v>
      </c>
      <c r="I607" s="127">
        <v>421.89</v>
      </c>
      <c r="J607" s="127">
        <v>364.69</v>
      </c>
      <c r="K607" s="83">
        <f t="shared" si="1"/>
        <v>791043.75</v>
      </c>
      <c r="L607" s="83">
        <f t="shared" si="2"/>
        <v>683793.75</v>
      </c>
      <c r="M607" s="83">
        <f t="shared" si="3"/>
        <v>107250</v>
      </c>
      <c r="N607" s="46" t="str">
        <f>VLOOKUP(F607,products!$A$2:$B$13,2,FALSE)</f>
        <v>Meat</v>
      </c>
      <c r="O607" s="46" t="s">
        <v>128</v>
      </c>
      <c r="P607" s="46">
        <f t="array" ref="P607">WEEKDAY(B607,2)</f>
        <v>1</v>
      </c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>
      <c r="A608" s="56">
        <v>5.0586704E8</v>
      </c>
      <c r="B608" s="126">
        <v>40302.0</v>
      </c>
      <c r="C608" s="126">
        <v>40341.0</v>
      </c>
      <c r="D608" s="56" t="s">
        <v>93</v>
      </c>
      <c r="E608" s="56" t="s">
        <v>125</v>
      </c>
      <c r="F608" s="56">
        <v>2455.0</v>
      </c>
      <c r="G608" s="56" t="s">
        <v>42</v>
      </c>
      <c r="H608" s="56">
        <v>6153.0</v>
      </c>
      <c r="I608" s="127">
        <v>109.28</v>
      </c>
      <c r="J608" s="127">
        <v>35.84</v>
      </c>
      <c r="K608" s="83">
        <f t="shared" si="1"/>
        <v>672399.84</v>
      </c>
      <c r="L608" s="83">
        <f t="shared" si="2"/>
        <v>220523.52</v>
      </c>
      <c r="M608" s="83">
        <f t="shared" si="3"/>
        <v>451876.32</v>
      </c>
      <c r="N608" s="46" t="str">
        <f>VLOOKUP(F608,products!$A$2:$B$13,2,FALSE)</f>
        <v>Clothes</v>
      </c>
      <c r="O608" s="46" t="s">
        <v>125</v>
      </c>
      <c r="P608" s="46">
        <f t="array" ref="P608">WEEKDAY(B608,2)</f>
        <v>2</v>
      </c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>
      <c r="A609" s="56">
        <v>5.07040774E8</v>
      </c>
      <c r="B609" s="126">
        <v>42207.0</v>
      </c>
      <c r="C609" s="126">
        <v>42210.0</v>
      </c>
      <c r="D609" s="56" t="s">
        <v>93</v>
      </c>
      <c r="E609" s="56" t="s">
        <v>117</v>
      </c>
      <c r="F609" s="56">
        <v>8969.0</v>
      </c>
      <c r="G609" s="56" t="s">
        <v>43</v>
      </c>
      <c r="H609" s="56">
        <v>3488.0</v>
      </c>
      <c r="I609" s="127">
        <v>152.58</v>
      </c>
      <c r="J609" s="127">
        <v>97.44</v>
      </c>
      <c r="K609" s="83">
        <f t="shared" si="1"/>
        <v>532199.04</v>
      </c>
      <c r="L609" s="83">
        <f t="shared" si="2"/>
        <v>339870.72</v>
      </c>
      <c r="M609" s="83">
        <f t="shared" si="3"/>
        <v>192328.32</v>
      </c>
      <c r="N609" s="46" t="str">
        <f>VLOOKUP(F609,products!$A$2:$B$13,2,FALSE)</f>
        <v>Snacks</v>
      </c>
      <c r="O609" s="46" t="s">
        <v>117</v>
      </c>
      <c r="P609" s="46">
        <f t="array" ref="P609">WEEKDAY(B609,2)</f>
        <v>3</v>
      </c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>
      <c r="A610" s="56">
        <v>5.07531726E8</v>
      </c>
      <c r="B610" s="126">
        <v>41209.0</v>
      </c>
      <c r="C610" s="126">
        <v>41224.0</v>
      </c>
      <c r="D610" s="56" t="s">
        <v>95</v>
      </c>
      <c r="E610" s="56" t="s">
        <v>132</v>
      </c>
      <c r="F610" s="56">
        <v>8969.0</v>
      </c>
      <c r="G610" s="56" t="s">
        <v>42</v>
      </c>
      <c r="H610" s="56">
        <v>8771.0</v>
      </c>
      <c r="I610" s="127">
        <v>152.58</v>
      </c>
      <c r="J610" s="127">
        <v>97.44</v>
      </c>
      <c r="K610" s="83">
        <f t="shared" si="1"/>
        <v>1338279.18</v>
      </c>
      <c r="L610" s="83">
        <f t="shared" si="2"/>
        <v>854646.24</v>
      </c>
      <c r="M610" s="83">
        <f t="shared" si="3"/>
        <v>483632.94</v>
      </c>
      <c r="N610" s="46" t="str">
        <f>VLOOKUP(F610,products!$A$2:$B$13,2,FALSE)</f>
        <v>Snacks</v>
      </c>
      <c r="O610" s="46" t="s">
        <v>132</v>
      </c>
      <c r="P610" s="46">
        <f t="array" ref="P610">WEEKDAY(B610,2)</f>
        <v>6</v>
      </c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>
      <c r="A611" s="56">
        <v>5.08014523E8</v>
      </c>
      <c r="B611" s="126">
        <v>41709.0</v>
      </c>
      <c r="C611" s="126">
        <v>41718.0</v>
      </c>
      <c r="D611" s="56" t="s">
        <v>95</v>
      </c>
      <c r="E611" s="56" t="e">
        <v>#N/A</v>
      </c>
      <c r="F611" s="56">
        <v>2455.0</v>
      </c>
      <c r="G611" s="56" t="s">
        <v>42</v>
      </c>
      <c r="H611" s="56">
        <v>1642.0</v>
      </c>
      <c r="I611" s="127">
        <v>109.28</v>
      </c>
      <c r="J611" s="127">
        <v>35.84</v>
      </c>
      <c r="K611" s="83">
        <f t="shared" si="1"/>
        <v>179437.76</v>
      </c>
      <c r="L611" s="83">
        <f t="shared" si="2"/>
        <v>58849.28</v>
      </c>
      <c r="M611" s="83">
        <f t="shared" si="3"/>
        <v>120588.48</v>
      </c>
      <c r="N611" s="46" t="str">
        <f>VLOOKUP(F611,products!$A$2:$B$13,2,FALSE)</f>
        <v>Clothes</v>
      </c>
      <c r="O611" s="46" t="s">
        <v>92</v>
      </c>
      <c r="P611" s="46">
        <f t="array" ref="P611">WEEKDAY(B611,2)</f>
        <v>2</v>
      </c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>
      <c r="A612" s="56">
        <v>5.09356057E8</v>
      </c>
      <c r="B612" s="126">
        <v>41743.0</v>
      </c>
      <c r="C612" s="126">
        <v>41746.0</v>
      </c>
      <c r="D612" s="56" t="s">
        <v>95</v>
      </c>
      <c r="E612" s="56" t="s">
        <v>90</v>
      </c>
      <c r="F612" s="56">
        <v>2455.0</v>
      </c>
      <c r="G612" s="56" t="s">
        <v>43</v>
      </c>
      <c r="H612" s="56">
        <v>8631.0</v>
      </c>
      <c r="I612" s="127">
        <v>109.28</v>
      </c>
      <c r="J612" s="127">
        <v>35.84</v>
      </c>
      <c r="K612" s="83">
        <f t="shared" si="1"/>
        <v>943195.68</v>
      </c>
      <c r="L612" s="83">
        <f t="shared" si="2"/>
        <v>309335.04</v>
      </c>
      <c r="M612" s="83">
        <f t="shared" si="3"/>
        <v>633860.64</v>
      </c>
      <c r="N612" s="46" t="str">
        <f>VLOOKUP(F612,products!$A$2:$B$13,2,FALSE)</f>
        <v>Clothes</v>
      </c>
      <c r="O612" s="46" t="s">
        <v>90</v>
      </c>
      <c r="P612" s="46">
        <f t="array" ref="P612">WEEKDAY(B612,2)</f>
        <v>1</v>
      </c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>
      <c r="A613" s="56">
        <v>5.09380948E8</v>
      </c>
      <c r="B613" s="126">
        <v>40808.0</v>
      </c>
      <c r="C613" s="126">
        <v>40813.0</v>
      </c>
      <c r="D613" s="56" t="s">
        <v>89</v>
      </c>
      <c r="E613" s="56" t="s">
        <v>103</v>
      </c>
      <c r="F613" s="56">
        <v>3127.0</v>
      </c>
      <c r="G613" s="56" t="s">
        <v>42</v>
      </c>
      <c r="H613" s="56">
        <v>5997.0</v>
      </c>
      <c r="I613" s="127">
        <v>81.73</v>
      </c>
      <c r="J613" s="127">
        <v>56.67</v>
      </c>
      <c r="K613" s="83">
        <f t="shared" si="1"/>
        <v>490134.81</v>
      </c>
      <c r="L613" s="83">
        <f t="shared" si="2"/>
        <v>339849.99</v>
      </c>
      <c r="M613" s="83">
        <f t="shared" si="3"/>
        <v>150284.82</v>
      </c>
      <c r="N613" s="46" t="str">
        <f>VLOOKUP(F613,products!$A$2:$B$13,2,FALSE)</f>
        <v>Personal Care</v>
      </c>
      <c r="O613" s="46" t="s">
        <v>103</v>
      </c>
      <c r="P613" s="46">
        <f t="array" ref="P613">WEEKDAY(B613,2)</f>
        <v>4</v>
      </c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>
      <c r="A614" s="56">
        <v>5.10762822E8</v>
      </c>
      <c r="B614" s="126">
        <v>40851.0</v>
      </c>
      <c r="C614" s="126">
        <v>40899.0</v>
      </c>
      <c r="D614" s="56" t="s">
        <v>93</v>
      </c>
      <c r="E614" s="56" t="e">
        <v>#N/A</v>
      </c>
      <c r="F614" s="56">
        <v>1270.0</v>
      </c>
      <c r="G614" s="56" t="s">
        <v>42</v>
      </c>
      <c r="H614" s="56">
        <v>4924.0</v>
      </c>
      <c r="I614" s="127">
        <v>47.45</v>
      </c>
      <c r="J614" s="127">
        <v>31.79</v>
      </c>
      <c r="K614" s="83">
        <f t="shared" si="1"/>
        <v>233643.8</v>
      </c>
      <c r="L614" s="83">
        <f t="shared" si="2"/>
        <v>156533.96</v>
      </c>
      <c r="M614" s="83">
        <f t="shared" si="3"/>
        <v>77109.84</v>
      </c>
      <c r="N614" s="46" t="str">
        <f>VLOOKUP(F614,products!$A$2:$B$13,2,FALSE)</f>
        <v>Beverages</v>
      </c>
      <c r="O614" s="46" t="s">
        <v>92</v>
      </c>
      <c r="P614" s="46">
        <f t="array" ref="P614">WEEKDAY(B614,2)</f>
        <v>5</v>
      </c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>
      <c r="A615" s="56">
        <v>5.10956799E8</v>
      </c>
      <c r="B615" s="126">
        <v>40428.0</v>
      </c>
      <c r="C615" s="126">
        <v>40444.0</v>
      </c>
      <c r="D615" s="56" t="s">
        <v>95</v>
      </c>
      <c r="E615" s="56" t="s">
        <v>107</v>
      </c>
      <c r="F615" s="56">
        <v>8969.0</v>
      </c>
      <c r="G615" s="56" t="s">
        <v>43</v>
      </c>
      <c r="H615" s="56">
        <v>2326.0</v>
      </c>
      <c r="I615" s="127">
        <v>152.58</v>
      </c>
      <c r="J615" s="127">
        <v>97.44</v>
      </c>
      <c r="K615" s="83">
        <f t="shared" si="1"/>
        <v>354901.08</v>
      </c>
      <c r="L615" s="83">
        <f t="shared" si="2"/>
        <v>226645.44</v>
      </c>
      <c r="M615" s="83">
        <f t="shared" si="3"/>
        <v>128255.64</v>
      </c>
      <c r="N615" s="46" t="str">
        <f>VLOOKUP(F615,products!$A$2:$B$13,2,FALSE)</f>
        <v>Snacks</v>
      </c>
      <c r="O615" s="46" t="s">
        <v>107</v>
      </c>
      <c r="P615" s="46">
        <f t="array" ref="P615">WEEKDAY(B615,2)</f>
        <v>2</v>
      </c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>
      <c r="A616" s="56">
        <v>5.11155498E8</v>
      </c>
      <c r="B616" s="126">
        <v>40447.0</v>
      </c>
      <c r="C616" s="126">
        <v>40486.0</v>
      </c>
      <c r="D616" s="56" t="s">
        <v>95</v>
      </c>
      <c r="E616" s="56" t="s">
        <v>135</v>
      </c>
      <c r="F616" s="56">
        <v>1270.0</v>
      </c>
      <c r="G616" s="56" t="s">
        <v>42</v>
      </c>
      <c r="H616" s="56">
        <v>1126.0</v>
      </c>
      <c r="I616" s="127">
        <v>47.45</v>
      </c>
      <c r="J616" s="127">
        <v>31.79</v>
      </c>
      <c r="K616" s="83">
        <f t="shared" si="1"/>
        <v>53428.7</v>
      </c>
      <c r="L616" s="83">
        <f t="shared" si="2"/>
        <v>35795.54</v>
      </c>
      <c r="M616" s="83">
        <f t="shared" si="3"/>
        <v>17633.16</v>
      </c>
      <c r="N616" s="46" t="str">
        <f>VLOOKUP(F616,products!$A$2:$B$13,2,FALSE)</f>
        <v>Beverages</v>
      </c>
      <c r="O616" s="46" t="s">
        <v>135</v>
      </c>
      <c r="P616" s="46">
        <f t="array" ref="P616">WEEKDAY(B616,2)</f>
        <v>7</v>
      </c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>
      <c r="A617" s="56">
        <v>5.1171211E8</v>
      </c>
      <c r="B617" s="126">
        <v>42084.0</v>
      </c>
      <c r="C617" s="126">
        <v>42131.0</v>
      </c>
      <c r="D617" s="56" t="s">
        <v>10</v>
      </c>
      <c r="E617" s="56" t="s">
        <v>118</v>
      </c>
      <c r="F617" s="56">
        <v>8681.0</v>
      </c>
      <c r="G617" s="56" t="s">
        <v>42</v>
      </c>
      <c r="H617" s="56">
        <v>5839.0</v>
      </c>
      <c r="I617" s="127">
        <v>651.21</v>
      </c>
      <c r="J617" s="127">
        <v>524.96</v>
      </c>
      <c r="K617" s="83">
        <f t="shared" si="1"/>
        <v>3802415.19</v>
      </c>
      <c r="L617" s="83">
        <f t="shared" si="2"/>
        <v>3065241.44</v>
      </c>
      <c r="M617" s="83">
        <f t="shared" si="3"/>
        <v>737173.75</v>
      </c>
      <c r="N617" s="46" t="str">
        <f>VLOOKUP(F617,products!$A$2:$B$13,2,FALSE)</f>
        <v>Office Supplies</v>
      </c>
      <c r="O617" s="46" t="s">
        <v>118</v>
      </c>
      <c r="P617" s="46">
        <f t="array" ref="P617">WEEKDAY(B617,2)</f>
        <v>6</v>
      </c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>
      <c r="A618" s="56">
        <v>5.12662255E8</v>
      </c>
      <c r="B618" s="126">
        <v>42139.0</v>
      </c>
      <c r="C618" s="126">
        <v>42177.0</v>
      </c>
      <c r="D618" s="56" t="s">
        <v>93</v>
      </c>
      <c r="E618" s="56" t="s">
        <v>114</v>
      </c>
      <c r="F618" s="56">
        <v>7940.0</v>
      </c>
      <c r="G618" s="56" t="s">
        <v>42</v>
      </c>
      <c r="H618" s="56">
        <v>7009.0</v>
      </c>
      <c r="I618" s="127">
        <v>668.27</v>
      </c>
      <c r="J618" s="127">
        <v>502.54</v>
      </c>
      <c r="K618" s="83">
        <f t="shared" si="1"/>
        <v>4683904.43</v>
      </c>
      <c r="L618" s="83">
        <f t="shared" si="2"/>
        <v>3522302.86</v>
      </c>
      <c r="M618" s="83">
        <f t="shared" si="3"/>
        <v>1161601.57</v>
      </c>
      <c r="N618" s="46" t="str">
        <f>VLOOKUP(F618,products!$A$2:$B$13,2,FALSE)</f>
        <v>Household</v>
      </c>
      <c r="O618" s="46" t="s">
        <v>114</v>
      </c>
      <c r="P618" s="46">
        <f t="array" ref="P618">WEEKDAY(B618,2)</f>
        <v>5</v>
      </c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>
      <c r="A619" s="56">
        <v>5.12714612E8</v>
      </c>
      <c r="B619" s="126">
        <v>42270.0</v>
      </c>
      <c r="C619" s="126">
        <v>42286.0</v>
      </c>
      <c r="D619" s="56" t="s">
        <v>95</v>
      </c>
      <c r="E619" s="56" t="s">
        <v>109</v>
      </c>
      <c r="F619" s="56">
        <v>8875.0</v>
      </c>
      <c r="G619" s="56" t="s">
        <v>43</v>
      </c>
      <c r="H619" s="56">
        <v>2502.0</v>
      </c>
      <c r="I619" s="127">
        <v>421.89</v>
      </c>
      <c r="J619" s="127">
        <v>364.69</v>
      </c>
      <c r="K619" s="83">
        <f t="shared" si="1"/>
        <v>1055568.78</v>
      </c>
      <c r="L619" s="83">
        <f t="shared" si="2"/>
        <v>912454.38</v>
      </c>
      <c r="M619" s="83">
        <f t="shared" si="3"/>
        <v>143114.4</v>
      </c>
      <c r="N619" s="46" t="str">
        <f>VLOOKUP(F619,products!$A$2:$B$13,2,FALSE)</f>
        <v>Meat</v>
      </c>
      <c r="O619" s="46" t="s">
        <v>109</v>
      </c>
      <c r="P619" s="46">
        <f t="array" ref="P619">WEEKDAY(B619,2)</f>
        <v>3</v>
      </c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>
      <c r="A620" s="56">
        <v>5.13026177E8</v>
      </c>
      <c r="B620" s="126">
        <v>41051.0</v>
      </c>
      <c r="C620" s="126">
        <v>41065.0</v>
      </c>
      <c r="D620" s="56" t="s">
        <v>89</v>
      </c>
      <c r="E620" s="56" t="s">
        <v>125</v>
      </c>
      <c r="F620" s="56">
        <v>8681.0</v>
      </c>
      <c r="G620" s="56" t="s">
        <v>43</v>
      </c>
      <c r="H620" s="56">
        <v>4701.0</v>
      </c>
      <c r="I620" s="127">
        <v>651.21</v>
      </c>
      <c r="J620" s="127">
        <v>524.96</v>
      </c>
      <c r="K620" s="83">
        <f t="shared" si="1"/>
        <v>3061338.21</v>
      </c>
      <c r="L620" s="83">
        <f t="shared" si="2"/>
        <v>2467836.96</v>
      </c>
      <c r="M620" s="83">
        <f t="shared" si="3"/>
        <v>593501.25</v>
      </c>
      <c r="N620" s="46" t="str">
        <f>VLOOKUP(F620,products!$A$2:$B$13,2,FALSE)</f>
        <v>Office Supplies</v>
      </c>
      <c r="O620" s="46" t="s">
        <v>125</v>
      </c>
      <c r="P620" s="46">
        <f t="array" ref="P620">WEEKDAY(B620,2)</f>
        <v>2</v>
      </c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>
      <c r="A621" s="56">
        <v>5.13611114E8</v>
      </c>
      <c r="B621" s="126">
        <v>42577.0</v>
      </c>
      <c r="C621" s="126">
        <v>42618.0</v>
      </c>
      <c r="D621" s="56" t="s">
        <v>95</v>
      </c>
      <c r="E621" s="56" t="s">
        <v>121</v>
      </c>
      <c r="F621" s="56">
        <v>2455.0</v>
      </c>
      <c r="G621" s="56" t="s">
        <v>42</v>
      </c>
      <c r="H621" s="56">
        <v>7797.0</v>
      </c>
      <c r="I621" s="127">
        <v>109.28</v>
      </c>
      <c r="J621" s="127">
        <v>35.84</v>
      </c>
      <c r="K621" s="83">
        <f t="shared" si="1"/>
        <v>852056.16</v>
      </c>
      <c r="L621" s="83">
        <f t="shared" si="2"/>
        <v>279444.48</v>
      </c>
      <c r="M621" s="83">
        <f t="shared" si="3"/>
        <v>572611.68</v>
      </c>
      <c r="N621" s="46" t="str">
        <f>VLOOKUP(F621,products!$A$2:$B$13,2,FALSE)</f>
        <v>Clothes</v>
      </c>
      <c r="O621" s="46" t="s">
        <v>121</v>
      </c>
      <c r="P621" s="46">
        <f t="array" ref="P621">WEEKDAY(B621,2)</f>
        <v>2</v>
      </c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>
      <c r="A622" s="56">
        <v>5.13802516E8</v>
      </c>
      <c r="B622" s="126">
        <v>42918.0</v>
      </c>
      <c r="C622" s="126">
        <v>42954.0</v>
      </c>
      <c r="D622" s="56" t="s">
        <v>93</v>
      </c>
      <c r="E622" s="56" t="s">
        <v>98</v>
      </c>
      <c r="F622" s="56">
        <v>8681.0</v>
      </c>
      <c r="G622" s="56" t="s">
        <v>43</v>
      </c>
      <c r="H622" s="56">
        <v>4437.0</v>
      </c>
      <c r="I622" s="127">
        <v>651.21</v>
      </c>
      <c r="J622" s="127">
        <v>524.96</v>
      </c>
      <c r="K622" s="83">
        <f t="shared" si="1"/>
        <v>2889418.77</v>
      </c>
      <c r="L622" s="83">
        <f t="shared" si="2"/>
        <v>2329247.52</v>
      </c>
      <c r="M622" s="83">
        <f t="shared" si="3"/>
        <v>560171.25</v>
      </c>
      <c r="N622" s="46" t="str">
        <f>VLOOKUP(F622,products!$A$2:$B$13,2,FALSE)</f>
        <v>Office Supplies</v>
      </c>
      <c r="O622" s="46" t="s">
        <v>98</v>
      </c>
      <c r="P622" s="46">
        <f t="array" ref="P622">WEEKDAY(B622,2)</f>
        <v>7</v>
      </c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>
      <c r="A623" s="56">
        <v>5.15771901E8</v>
      </c>
      <c r="B623" s="126">
        <v>40958.0</v>
      </c>
      <c r="C623" s="126">
        <v>40987.0</v>
      </c>
      <c r="D623" s="56" t="s">
        <v>93</v>
      </c>
      <c r="E623" s="56" t="s">
        <v>120</v>
      </c>
      <c r="F623" s="56">
        <v>5988.0</v>
      </c>
      <c r="G623" s="56" t="s">
        <v>42</v>
      </c>
      <c r="H623" s="56">
        <v>7222.0</v>
      </c>
      <c r="I623" s="127">
        <v>154.06</v>
      </c>
      <c r="J623" s="127">
        <v>90.93</v>
      </c>
      <c r="K623" s="83">
        <f t="shared" si="1"/>
        <v>1112621.32</v>
      </c>
      <c r="L623" s="83">
        <f t="shared" si="2"/>
        <v>656696.46</v>
      </c>
      <c r="M623" s="83">
        <f t="shared" si="3"/>
        <v>455924.86</v>
      </c>
      <c r="N623" s="46" t="str">
        <f>VLOOKUP(F623,products!$A$2:$B$13,2,FALSE)</f>
        <v>Vegetables</v>
      </c>
      <c r="O623" s="46" t="s">
        <v>120</v>
      </c>
      <c r="P623" s="46">
        <f t="array" ref="P623">WEEKDAY(B623,2)</f>
        <v>7</v>
      </c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>
      <c r="A624" s="56">
        <v>5.15773189E8</v>
      </c>
      <c r="B624" s="126">
        <v>40575.0</v>
      </c>
      <c r="C624" s="126">
        <v>40591.0</v>
      </c>
      <c r="D624" s="56" t="s">
        <v>95</v>
      </c>
      <c r="E624" s="56" t="e">
        <v>#N/A</v>
      </c>
      <c r="F624" s="56">
        <v>8875.0</v>
      </c>
      <c r="G624" s="56" t="s">
        <v>42</v>
      </c>
      <c r="H624" s="56">
        <v>7603.0</v>
      </c>
      <c r="I624" s="127">
        <v>421.89</v>
      </c>
      <c r="J624" s="127">
        <v>364.69</v>
      </c>
      <c r="K624" s="83">
        <f t="shared" si="1"/>
        <v>3207629.67</v>
      </c>
      <c r="L624" s="83">
        <f t="shared" si="2"/>
        <v>2772738.07</v>
      </c>
      <c r="M624" s="83">
        <f t="shared" si="3"/>
        <v>434891.6</v>
      </c>
      <c r="N624" s="46" t="str">
        <f>VLOOKUP(F624,products!$A$2:$B$13,2,FALSE)</f>
        <v>Meat</v>
      </c>
      <c r="O624" s="46" t="s">
        <v>92</v>
      </c>
      <c r="P624" s="46">
        <f t="array" ref="P624">WEEKDAY(B624,2)</f>
        <v>2</v>
      </c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>
      <c r="A625" s="56">
        <v>5.16122949E8</v>
      </c>
      <c r="B625" s="126">
        <v>40926.0</v>
      </c>
      <c r="C625" s="126">
        <v>40960.0</v>
      </c>
      <c r="D625" s="56" t="s">
        <v>89</v>
      </c>
      <c r="E625" s="56" t="s">
        <v>118</v>
      </c>
      <c r="F625" s="56">
        <v>8969.0</v>
      </c>
      <c r="G625" s="56" t="s">
        <v>43</v>
      </c>
      <c r="H625" s="56">
        <v>1105.0</v>
      </c>
      <c r="I625" s="127">
        <v>152.58</v>
      </c>
      <c r="J625" s="127">
        <v>97.44</v>
      </c>
      <c r="K625" s="83">
        <f t="shared" si="1"/>
        <v>168600.9</v>
      </c>
      <c r="L625" s="83">
        <f t="shared" si="2"/>
        <v>107671.2</v>
      </c>
      <c r="M625" s="83">
        <f t="shared" si="3"/>
        <v>60929.7</v>
      </c>
      <c r="N625" s="46" t="str">
        <f>VLOOKUP(F625,products!$A$2:$B$13,2,FALSE)</f>
        <v>Snacks</v>
      </c>
      <c r="O625" s="46" t="s">
        <v>118</v>
      </c>
      <c r="P625" s="46">
        <f t="array" ref="P625">WEEKDAY(B625,2)</f>
        <v>3</v>
      </c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>
      <c r="A626" s="56">
        <v>5.16460692E8</v>
      </c>
      <c r="B626" s="126">
        <v>41155.0</v>
      </c>
      <c r="C626" s="126">
        <v>41176.0</v>
      </c>
      <c r="D626" s="56" t="s">
        <v>89</v>
      </c>
      <c r="E626" s="56" t="s">
        <v>101</v>
      </c>
      <c r="F626" s="56">
        <v>7940.0</v>
      </c>
      <c r="G626" s="56" t="s">
        <v>42</v>
      </c>
      <c r="H626" s="56">
        <v>1051.0</v>
      </c>
      <c r="I626" s="127">
        <v>668.27</v>
      </c>
      <c r="J626" s="127">
        <v>502.54</v>
      </c>
      <c r="K626" s="83">
        <f t="shared" si="1"/>
        <v>702351.77</v>
      </c>
      <c r="L626" s="83">
        <f t="shared" si="2"/>
        <v>528169.54</v>
      </c>
      <c r="M626" s="83">
        <f t="shared" si="3"/>
        <v>174182.23</v>
      </c>
      <c r="N626" s="46" t="str">
        <f>VLOOKUP(F626,products!$A$2:$B$13,2,FALSE)</f>
        <v>Household</v>
      </c>
      <c r="O626" s="46" t="s">
        <v>101</v>
      </c>
      <c r="P626" s="46">
        <f t="array" ref="P626">WEEKDAY(B626,2)</f>
        <v>1</v>
      </c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>
      <c r="A627" s="56">
        <v>5.16485583E8</v>
      </c>
      <c r="B627" s="126">
        <v>40220.0</v>
      </c>
      <c r="C627" s="126">
        <v>40243.0</v>
      </c>
      <c r="D627" s="56" t="s">
        <v>89</v>
      </c>
      <c r="E627" s="56" t="s">
        <v>102</v>
      </c>
      <c r="F627" s="56">
        <v>8875.0</v>
      </c>
      <c r="G627" s="56" t="s">
        <v>42</v>
      </c>
      <c r="H627" s="56">
        <v>8416.0</v>
      </c>
      <c r="I627" s="127">
        <v>421.89</v>
      </c>
      <c r="J627" s="127">
        <v>364.69</v>
      </c>
      <c r="K627" s="83">
        <f t="shared" si="1"/>
        <v>3550626.24</v>
      </c>
      <c r="L627" s="83">
        <f t="shared" si="2"/>
        <v>3069231.04</v>
      </c>
      <c r="M627" s="83">
        <f t="shared" si="3"/>
        <v>481395.2</v>
      </c>
      <c r="N627" s="46" t="str">
        <f>VLOOKUP(F627,products!$A$2:$B$13,2,FALSE)</f>
        <v>Meat</v>
      </c>
      <c r="O627" s="46" t="s">
        <v>102</v>
      </c>
      <c r="P627" s="46">
        <f t="array" ref="P627">WEEKDAY(B627,2)</f>
        <v>4</v>
      </c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>
      <c r="A628" s="56">
        <v>5.16599738E8</v>
      </c>
      <c r="B628" s="126">
        <v>41366.0</v>
      </c>
      <c r="C628" s="126">
        <v>41403.0</v>
      </c>
      <c r="D628" s="56" t="s">
        <v>89</v>
      </c>
      <c r="E628" s="56" t="s">
        <v>138</v>
      </c>
      <c r="F628" s="56">
        <v>8681.0</v>
      </c>
      <c r="G628" s="56" t="s">
        <v>42</v>
      </c>
      <c r="H628" s="56">
        <v>2197.0</v>
      </c>
      <c r="I628" s="127">
        <v>651.21</v>
      </c>
      <c r="J628" s="127">
        <v>524.96</v>
      </c>
      <c r="K628" s="83">
        <f t="shared" si="1"/>
        <v>1430708.37</v>
      </c>
      <c r="L628" s="83">
        <f t="shared" si="2"/>
        <v>1153337.12</v>
      </c>
      <c r="M628" s="83">
        <f t="shared" si="3"/>
        <v>277371.25</v>
      </c>
      <c r="N628" s="46" t="str">
        <f>VLOOKUP(F628,products!$A$2:$B$13,2,FALSE)</f>
        <v>Office Supplies</v>
      </c>
      <c r="O628" s="46" t="s">
        <v>138</v>
      </c>
      <c r="P628" s="46">
        <f t="array" ref="P628">WEEKDAY(B628,2)</f>
        <v>2</v>
      </c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>
      <c r="A629" s="56">
        <v>5.16635358E8</v>
      </c>
      <c r="B629" s="126">
        <v>40933.0</v>
      </c>
      <c r="C629" s="126">
        <v>40965.0</v>
      </c>
      <c r="D629" s="56" t="s">
        <v>95</v>
      </c>
      <c r="E629" s="56" t="s">
        <v>110</v>
      </c>
      <c r="F629" s="56">
        <v>7940.0</v>
      </c>
      <c r="G629" s="56" t="s">
        <v>43</v>
      </c>
      <c r="H629" s="56">
        <v>2738.0</v>
      </c>
      <c r="I629" s="127">
        <v>668.27</v>
      </c>
      <c r="J629" s="127">
        <v>502.54</v>
      </c>
      <c r="K629" s="83">
        <f t="shared" si="1"/>
        <v>1829723.26</v>
      </c>
      <c r="L629" s="83">
        <f t="shared" si="2"/>
        <v>1375954.52</v>
      </c>
      <c r="M629" s="83">
        <f t="shared" si="3"/>
        <v>453768.74</v>
      </c>
      <c r="N629" s="46" t="str">
        <f>VLOOKUP(F629,products!$A$2:$B$13,2,FALSE)</f>
        <v>Household</v>
      </c>
      <c r="O629" s="46" t="s">
        <v>110</v>
      </c>
      <c r="P629" s="46">
        <f t="array" ref="P629">WEEKDAY(B629,2)</f>
        <v>3</v>
      </c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>
      <c r="A630" s="56">
        <v>5.16994559E8</v>
      </c>
      <c r="B630" s="126">
        <v>42169.0</v>
      </c>
      <c r="C630" s="126">
        <v>42175.0</v>
      </c>
      <c r="D630" s="56" t="s">
        <v>95</v>
      </c>
      <c r="E630" s="56" t="s">
        <v>138</v>
      </c>
      <c r="F630" s="56">
        <v>4594.0</v>
      </c>
      <c r="G630" s="56" t="s">
        <v>42</v>
      </c>
      <c r="H630" s="56">
        <v>9034.0</v>
      </c>
      <c r="I630" s="127">
        <v>9.33</v>
      </c>
      <c r="J630" s="127">
        <v>6.92</v>
      </c>
      <c r="K630" s="83">
        <f t="shared" si="1"/>
        <v>84287.22</v>
      </c>
      <c r="L630" s="83">
        <f t="shared" si="2"/>
        <v>62515.28</v>
      </c>
      <c r="M630" s="83">
        <f t="shared" si="3"/>
        <v>21771.94</v>
      </c>
      <c r="N630" s="46" t="str">
        <f>VLOOKUP(F630,products!$A$2:$B$13,2,FALSE)</f>
        <v>Fruits</v>
      </c>
      <c r="O630" s="46" t="s">
        <v>138</v>
      </c>
      <c r="P630" s="46">
        <f t="array" ref="P630">WEEKDAY(B630,2)</f>
        <v>7</v>
      </c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>
      <c r="A631" s="56">
        <v>5.17097985E8</v>
      </c>
      <c r="B631" s="126">
        <v>42812.0</v>
      </c>
      <c r="C631" s="126">
        <v>42839.0</v>
      </c>
      <c r="D631" s="56" t="s">
        <v>89</v>
      </c>
      <c r="E631" s="56" t="s">
        <v>124</v>
      </c>
      <c r="F631" s="56">
        <v>8969.0</v>
      </c>
      <c r="G631" s="56" t="s">
        <v>43</v>
      </c>
      <c r="H631" s="56">
        <v>9640.0</v>
      </c>
      <c r="I631" s="127">
        <v>152.58</v>
      </c>
      <c r="J631" s="127">
        <v>97.44</v>
      </c>
      <c r="K631" s="83">
        <f t="shared" si="1"/>
        <v>1470871.2</v>
      </c>
      <c r="L631" s="83">
        <f t="shared" si="2"/>
        <v>939321.6</v>
      </c>
      <c r="M631" s="83">
        <f t="shared" si="3"/>
        <v>531549.6</v>
      </c>
      <c r="N631" s="46" t="str">
        <f>VLOOKUP(F631,products!$A$2:$B$13,2,FALSE)</f>
        <v>Snacks</v>
      </c>
      <c r="O631" s="46" t="s">
        <v>124</v>
      </c>
      <c r="P631" s="46">
        <f t="array" ref="P631">WEEKDAY(B631,2)</f>
        <v>6</v>
      </c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>
      <c r="A632" s="56">
        <v>5.17514264E8</v>
      </c>
      <c r="B632" s="126">
        <v>41854.0</v>
      </c>
      <c r="C632" s="126">
        <v>41886.0</v>
      </c>
      <c r="D632" s="56" t="s">
        <v>93</v>
      </c>
      <c r="E632" s="56" t="s">
        <v>102</v>
      </c>
      <c r="F632" s="56">
        <v>8875.0</v>
      </c>
      <c r="G632" s="56" t="s">
        <v>42</v>
      </c>
      <c r="H632" s="56">
        <v>2826.0</v>
      </c>
      <c r="I632" s="127">
        <v>421.89</v>
      </c>
      <c r="J632" s="127">
        <v>364.69</v>
      </c>
      <c r="K632" s="83">
        <f t="shared" si="1"/>
        <v>1192261.14</v>
      </c>
      <c r="L632" s="83">
        <f t="shared" si="2"/>
        <v>1030613.94</v>
      </c>
      <c r="M632" s="83">
        <f t="shared" si="3"/>
        <v>161647.2</v>
      </c>
      <c r="N632" s="46" t="str">
        <f>VLOOKUP(F632,products!$A$2:$B$13,2,FALSE)</f>
        <v>Meat</v>
      </c>
      <c r="O632" s="46" t="s">
        <v>102</v>
      </c>
      <c r="P632" s="46">
        <f t="array" ref="P632">WEEKDAY(B632,2)</f>
        <v>7</v>
      </c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>
      <c r="A633" s="56">
        <v>5.18421494E8</v>
      </c>
      <c r="B633" s="126">
        <v>42665.0</v>
      </c>
      <c r="C633" s="126">
        <v>42665.0</v>
      </c>
      <c r="D633" s="56" t="s">
        <v>95</v>
      </c>
      <c r="E633" s="56" t="s">
        <v>120</v>
      </c>
      <c r="F633" s="56">
        <v>2103.0</v>
      </c>
      <c r="G633" s="56" t="s">
        <v>43</v>
      </c>
      <c r="H633" s="56">
        <v>1296.0</v>
      </c>
      <c r="I633" s="127">
        <v>205.7</v>
      </c>
      <c r="J633" s="127">
        <v>117.11</v>
      </c>
      <c r="K633" s="83">
        <f t="shared" si="1"/>
        <v>266587.2</v>
      </c>
      <c r="L633" s="83">
        <f t="shared" si="2"/>
        <v>151774.56</v>
      </c>
      <c r="M633" s="83">
        <f t="shared" si="3"/>
        <v>114812.64</v>
      </c>
      <c r="N633" s="46" t="str">
        <f>VLOOKUP(F633,products!$A$2:$B$13,2,FALSE)</f>
        <v>Cereal</v>
      </c>
      <c r="O633" s="46" t="s">
        <v>120</v>
      </c>
      <c r="P633" s="46">
        <f t="array" ref="P633">WEEKDAY(B633,2)</f>
        <v>6</v>
      </c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>
      <c r="A634" s="56">
        <v>5.19380223E8</v>
      </c>
      <c r="B634" s="126">
        <v>42016.0</v>
      </c>
      <c r="C634" s="126">
        <v>42021.0</v>
      </c>
      <c r="D634" s="56" t="s">
        <v>89</v>
      </c>
      <c r="E634" s="56" t="s">
        <v>109</v>
      </c>
      <c r="F634" s="56">
        <v>8969.0</v>
      </c>
      <c r="G634" s="56" t="s">
        <v>43</v>
      </c>
      <c r="H634" s="56">
        <v>5005.0</v>
      </c>
      <c r="I634" s="127">
        <v>152.58</v>
      </c>
      <c r="J634" s="127">
        <v>97.44</v>
      </c>
      <c r="K634" s="83">
        <f t="shared" si="1"/>
        <v>763662.9</v>
      </c>
      <c r="L634" s="83">
        <f t="shared" si="2"/>
        <v>487687.2</v>
      </c>
      <c r="M634" s="83">
        <f t="shared" si="3"/>
        <v>275975.7</v>
      </c>
      <c r="N634" s="46" t="str">
        <f>VLOOKUP(F634,products!$A$2:$B$13,2,FALSE)</f>
        <v>Snacks</v>
      </c>
      <c r="O634" s="46" t="s">
        <v>109</v>
      </c>
      <c r="P634" s="46">
        <f t="array" ref="P634">WEEKDAY(B634,2)</f>
        <v>1</v>
      </c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>
      <c r="A635" s="56">
        <v>5.2039088E8</v>
      </c>
      <c r="B635" s="126">
        <v>40704.0</v>
      </c>
      <c r="C635" s="126">
        <v>40748.0</v>
      </c>
      <c r="D635" s="56" t="s">
        <v>89</v>
      </c>
      <c r="E635" s="56" t="s">
        <v>106</v>
      </c>
      <c r="F635" s="56">
        <v>2103.0</v>
      </c>
      <c r="G635" s="56" t="s">
        <v>42</v>
      </c>
      <c r="H635" s="56">
        <v>4080.0</v>
      </c>
      <c r="I635" s="127">
        <v>205.7</v>
      </c>
      <c r="J635" s="127">
        <v>117.11</v>
      </c>
      <c r="K635" s="83">
        <f t="shared" si="1"/>
        <v>839256</v>
      </c>
      <c r="L635" s="83">
        <f t="shared" si="2"/>
        <v>477808.8</v>
      </c>
      <c r="M635" s="83">
        <f t="shared" si="3"/>
        <v>361447.2</v>
      </c>
      <c r="N635" s="46" t="str">
        <f>VLOOKUP(F635,products!$A$2:$B$13,2,FALSE)</f>
        <v>Cereal</v>
      </c>
      <c r="O635" s="46" t="s">
        <v>106</v>
      </c>
      <c r="P635" s="46">
        <f t="array" ref="P635">WEEKDAY(B635,2)</f>
        <v>5</v>
      </c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>
      <c r="A636" s="56">
        <v>5.20777547E8</v>
      </c>
      <c r="B636" s="126">
        <v>40239.0</v>
      </c>
      <c r="C636" s="126">
        <v>40283.0</v>
      </c>
      <c r="D636" s="56" t="s">
        <v>10</v>
      </c>
      <c r="E636" s="56" t="s">
        <v>125</v>
      </c>
      <c r="F636" s="56">
        <v>2455.0</v>
      </c>
      <c r="G636" s="56" t="s">
        <v>42</v>
      </c>
      <c r="H636" s="56">
        <v>8504.0</v>
      </c>
      <c r="I636" s="127">
        <v>109.28</v>
      </c>
      <c r="J636" s="127">
        <v>35.84</v>
      </c>
      <c r="K636" s="83">
        <f t="shared" si="1"/>
        <v>929317.12</v>
      </c>
      <c r="L636" s="83">
        <f t="shared" si="2"/>
        <v>304783.36</v>
      </c>
      <c r="M636" s="83">
        <f t="shared" si="3"/>
        <v>624533.76</v>
      </c>
      <c r="N636" s="46" t="str">
        <f>VLOOKUP(F636,products!$A$2:$B$13,2,FALSE)</f>
        <v>Clothes</v>
      </c>
      <c r="O636" s="46" t="s">
        <v>125</v>
      </c>
      <c r="P636" s="46">
        <f t="array" ref="P636">WEEKDAY(B636,2)</f>
        <v>2</v>
      </c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>
      <c r="A637" s="56">
        <v>5.20915305E8</v>
      </c>
      <c r="B637" s="126">
        <v>40832.0</v>
      </c>
      <c r="C637" s="126">
        <v>40854.0</v>
      </c>
      <c r="D637" s="56" t="s">
        <v>95</v>
      </c>
      <c r="E637" s="56" t="s">
        <v>111</v>
      </c>
      <c r="F637" s="56">
        <v>8681.0</v>
      </c>
      <c r="G637" s="56" t="s">
        <v>42</v>
      </c>
      <c r="H637" s="56">
        <v>9270.0</v>
      </c>
      <c r="I637" s="127">
        <v>651.21</v>
      </c>
      <c r="J637" s="127">
        <v>524.96</v>
      </c>
      <c r="K637" s="83">
        <f t="shared" si="1"/>
        <v>6036716.7</v>
      </c>
      <c r="L637" s="83">
        <f t="shared" si="2"/>
        <v>4866379.2</v>
      </c>
      <c r="M637" s="83">
        <f t="shared" si="3"/>
        <v>1170337.5</v>
      </c>
      <c r="N637" s="46" t="str">
        <f>VLOOKUP(F637,products!$A$2:$B$13,2,FALSE)</f>
        <v>Office Supplies</v>
      </c>
      <c r="O637" s="46" t="s">
        <v>111</v>
      </c>
      <c r="P637" s="46">
        <f t="array" ref="P637">WEEKDAY(B637,2)</f>
        <v>7</v>
      </c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>
      <c r="A638" s="56">
        <v>5.21681344E8</v>
      </c>
      <c r="B638" s="126">
        <v>40225.0</v>
      </c>
      <c r="C638" s="126">
        <v>40271.0</v>
      </c>
      <c r="D638" s="56" t="s">
        <v>89</v>
      </c>
      <c r="E638" s="56" t="s">
        <v>114</v>
      </c>
      <c r="F638" s="56">
        <v>8681.0</v>
      </c>
      <c r="G638" s="56" t="s">
        <v>43</v>
      </c>
      <c r="H638" s="56">
        <v>5957.0</v>
      </c>
      <c r="I638" s="127">
        <v>651.21</v>
      </c>
      <c r="J638" s="127">
        <v>524.96</v>
      </c>
      <c r="K638" s="83">
        <f t="shared" si="1"/>
        <v>3879257.97</v>
      </c>
      <c r="L638" s="83">
        <f t="shared" si="2"/>
        <v>3127186.72</v>
      </c>
      <c r="M638" s="83">
        <f t="shared" si="3"/>
        <v>752071.25</v>
      </c>
      <c r="N638" s="46" t="str">
        <f>VLOOKUP(F638,products!$A$2:$B$13,2,FALSE)</f>
        <v>Office Supplies</v>
      </c>
      <c r="O638" s="46" t="s">
        <v>114</v>
      </c>
      <c r="P638" s="46">
        <f t="array" ref="P638">WEEKDAY(B638,2)</f>
        <v>2</v>
      </c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>
      <c r="A639" s="56">
        <v>5.21874034E8</v>
      </c>
      <c r="B639" s="126">
        <v>40184.0</v>
      </c>
      <c r="C639" s="126">
        <v>40212.0</v>
      </c>
      <c r="D639" s="56" t="s">
        <v>89</v>
      </c>
      <c r="E639" s="56" t="s">
        <v>116</v>
      </c>
      <c r="F639" s="56">
        <v>8293.0</v>
      </c>
      <c r="G639" s="56" t="s">
        <v>42</v>
      </c>
      <c r="H639" s="56">
        <v>2979.0</v>
      </c>
      <c r="I639" s="127">
        <v>437.2</v>
      </c>
      <c r="J639" s="127">
        <v>263.33</v>
      </c>
      <c r="K639" s="83">
        <f t="shared" si="1"/>
        <v>1302418.8</v>
      </c>
      <c r="L639" s="83">
        <f t="shared" si="2"/>
        <v>784460.07</v>
      </c>
      <c r="M639" s="83">
        <f t="shared" si="3"/>
        <v>517958.73</v>
      </c>
      <c r="N639" s="46" t="str">
        <f>VLOOKUP(F639,products!$A$2:$B$13,2,FALSE)</f>
        <v>Cosmetics</v>
      </c>
      <c r="O639" s="46" t="s">
        <v>116</v>
      </c>
      <c r="P639" s="46">
        <f t="array" ref="P639">WEEKDAY(B639,2)</f>
        <v>3</v>
      </c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>
      <c r="A640" s="56">
        <v>5.22323358E8</v>
      </c>
      <c r="B640" s="126">
        <v>42324.0</v>
      </c>
      <c r="C640" s="126">
        <v>42328.0</v>
      </c>
      <c r="D640" s="56" t="s">
        <v>95</v>
      </c>
      <c r="E640" s="56" t="s">
        <v>105</v>
      </c>
      <c r="F640" s="56">
        <v>2455.0</v>
      </c>
      <c r="G640" s="56" t="s">
        <v>43</v>
      </c>
      <c r="H640" s="56">
        <v>5944.0</v>
      </c>
      <c r="I640" s="127">
        <v>109.28</v>
      </c>
      <c r="J640" s="127">
        <v>35.84</v>
      </c>
      <c r="K640" s="83">
        <f t="shared" si="1"/>
        <v>649560.32</v>
      </c>
      <c r="L640" s="83">
        <f t="shared" si="2"/>
        <v>213032.96</v>
      </c>
      <c r="M640" s="83">
        <f t="shared" si="3"/>
        <v>436527.36</v>
      </c>
      <c r="N640" s="46" t="str">
        <f>VLOOKUP(F640,products!$A$2:$B$13,2,FALSE)</f>
        <v>Clothes</v>
      </c>
      <c r="O640" s="46" t="s">
        <v>105</v>
      </c>
      <c r="P640" s="46">
        <f t="array" ref="P640">WEEKDAY(B640,2)</f>
        <v>1</v>
      </c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>
      <c r="A641" s="56">
        <v>5.23580348E8</v>
      </c>
      <c r="B641" s="126">
        <v>40719.0</v>
      </c>
      <c r="C641" s="126">
        <v>40759.0</v>
      </c>
      <c r="D641" s="56" t="s">
        <v>10</v>
      </c>
      <c r="E641" s="56" t="s">
        <v>91</v>
      </c>
      <c r="F641" s="56">
        <v>2455.0</v>
      </c>
      <c r="G641" s="56" t="s">
        <v>43</v>
      </c>
      <c r="H641" s="56">
        <v>7915.0</v>
      </c>
      <c r="I641" s="127">
        <v>109.28</v>
      </c>
      <c r="J641" s="127">
        <v>35.84</v>
      </c>
      <c r="K641" s="83">
        <f t="shared" si="1"/>
        <v>864951.2</v>
      </c>
      <c r="L641" s="83">
        <f t="shared" si="2"/>
        <v>283673.6</v>
      </c>
      <c r="M641" s="83">
        <f t="shared" si="3"/>
        <v>581277.6</v>
      </c>
      <c r="N641" s="46" t="str">
        <f>VLOOKUP(F641,products!$A$2:$B$13,2,FALSE)</f>
        <v>Clothes</v>
      </c>
      <c r="O641" s="46" t="s">
        <v>91</v>
      </c>
      <c r="P641" s="46">
        <f t="array" ref="P641">WEEKDAY(B641,2)</f>
        <v>6</v>
      </c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>
      <c r="A642" s="56">
        <v>5.23707807E8</v>
      </c>
      <c r="B642" s="126">
        <v>41603.0</v>
      </c>
      <c r="C642" s="126">
        <v>41624.0</v>
      </c>
      <c r="D642" s="56" t="s">
        <v>89</v>
      </c>
      <c r="E642" s="56" t="s">
        <v>133</v>
      </c>
      <c r="F642" s="56">
        <v>5988.0</v>
      </c>
      <c r="G642" s="56" t="s">
        <v>43</v>
      </c>
      <c r="H642" s="56">
        <v>5633.0</v>
      </c>
      <c r="I642" s="127">
        <v>154.06</v>
      </c>
      <c r="J642" s="127">
        <v>90.93</v>
      </c>
      <c r="K642" s="83">
        <f t="shared" si="1"/>
        <v>867819.98</v>
      </c>
      <c r="L642" s="83">
        <f t="shared" si="2"/>
        <v>512208.69</v>
      </c>
      <c r="M642" s="83">
        <f t="shared" si="3"/>
        <v>355611.29</v>
      </c>
      <c r="N642" s="46" t="str">
        <f>VLOOKUP(F642,products!$A$2:$B$13,2,FALSE)</f>
        <v>Vegetables</v>
      </c>
      <c r="O642" s="46" t="s">
        <v>133</v>
      </c>
      <c r="P642" s="46">
        <f t="array" ref="P642">WEEKDAY(B642,2)</f>
        <v>1</v>
      </c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>
      <c r="A643" s="56">
        <v>5.23836123E8</v>
      </c>
      <c r="B643" s="126">
        <v>41311.0</v>
      </c>
      <c r="C643" s="126">
        <v>41355.0</v>
      </c>
      <c r="D643" s="56" t="s">
        <v>10</v>
      </c>
      <c r="E643" s="56" t="s">
        <v>110</v>
      </c>
      <c r="F643" s="56">
        <v>2455.0</v>
      </c>
      <c r="G643" s="56" t="s">
        <v>43</v>
      </c>
      <c r="H643" s="56">
        <v>3605.0</v>
      </c>
      <c r="I643" s="127">
        <v>109.28</v>
      </c>
      <c r="J643" s="127">
        <v>35.84</v>
      </c>
      <c r="K643" s="83">
        <f t="shared" si="1"/>
        <v>393954.4</v>
      </c>
      <c r="L643" s="83">
        <f t="shared" si="2"/>
        <v>129203.2</v>
      </c>
      <c r="M643" s="83">
        <f t="shared" si="3"/>
        <v>264751.2</v>
      </c>
      <c r="N643" s="46" t="str">
        <f>VLOOKUP(F643,products!$A$2:$B$13,2,FALSE)</f>
        <v>Clothes</v>
      </c>
      <c r="O643" s="46" t="s">
        <v>110</v>
      </c>
      <c r="P643" s="46">
        <f t="array" ref="P643">WEEKDAY(B643,2)</f>
        <v>3</v>
      </c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>
      <c r="A644" s="56">
        <v>5.23899209E8</v>
      </c>
      <c r="B644" s="126">
        <v>41944.0</v>
      </c>
      <c r="C644" s="126">
        <v>41959.0</v>
      </c>
      <c r="D644" s="56" t="s">
        <v>10</v>
      </c>
      <c r="E644" s="56" t="s">
        <v>100</v>
      </c>
      <c r="F644" s="56">
        <v>7331.0</v>
      </c>
      <c r="G644" s="56" t="s">
        <v>42</v>
      </c>
      <c r="H644" s="56">
        <v>2273.0</v>
      </c>
      <c r="I644" s="127">
        <v>255.28</v>
      </c>
      <c r="J644" s="127">
        <v>159.42</v>
      </c>
      <c r="K644" s="83">
        <f t="shared" si="1"/>
        <v>580251.44</v>
      </c>
      <c r="L644" s="83">
        <f t="shared" si="2"/>
        <v>362361.66</v>
      </c>
      <c r="M644" s="83">
        <f t="shared" si="3"/>
        <v>217889.78</v>
      </c>
      <c r="N644" s="46" t="str">
        <f>VLOOKUP(F644,products!$A$2:$B$13,2,FALSE)</f>
        <v>Baby Food</v>
      </c>
      <c r="O644" s="46" t="s">
        <v>100</v>
      </c>
      <c r="P644" s="46">
        <f t="array" ref="P644">WEEKDAY(B644,2)</f>
        <v>6</v>
      </c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>
      <c r="A645" s="56">
        <v>5.24844634E8</v>
      </c>
      <c r="B645" s="126">
        <v>41557.0</v>
      </c>
      <c r="C645" s="126">
        <v>41560.0</v>
      </c>
      <c r="D645" s="56" t="s">
        <v>89</v>
      </c>
      <c r="E645" s="56" t="s">
        <v>138</v>
      </c>
      <c r="F645" s="56">
        <v>2103.0</v>
      </c>
      <c r="G645" s="56" t="s">
        <v>42</v>
      </c>
      <c r="H645" s="56">
        <v>2045.0</v>
      </c>
      <c r="I645" s="127">
        <v>205.7</v>
      </c>
      <c r="J645" s="127">
        <v>117.11</v>
      </c>
      <c r="K645" s="83">
        <f t="shared" si="1"/>
        <v>420656.5</v>
      </c>
      <c r="L645" s="83">
        <f t="shared" si="2"/>
        <v>239489.95</v>
      </c>
      <c r="M645" s="83">
        <f t="shared" si="3"/>
        <v>181166.55</v>
      </c>
      <c r="N645" s="46" t="str">
        <f>VLOOKUP(F645,products!$A$2:$B$13,2,FALSE)</f>
        <v>Cereal</v>
      </c>
      <c r="O645" s="46" t="s">
        <v>138</v>
      </c>
      <c r="P645" s="46">
        <f t="array" ref="P645">WEEKDAY(B645,2)</f>
        <v>4</v>
      </c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>
      <c r="A646" s="56">
        <v>5.24972951E8</v>
      </c>
      <c r="B646" s="126">
        <v>41265.0</v>
      </c>
      <c r="C646" s="126">
        <v>41291.0</v>
      </c>
      <c r="D646" s="56" t="s">
        <v>93</v>
      </c>
      <c r="E646" s="56" t="s">
        <v>105</v>
      </c>
      <c r="F646" s="56">
        <v>8875.0</v>
      </c>
      <c r="G646" s="56" t="s">
        <v>42</v>
      </c>
      <c r="H646" s="56">
        <v>17.0</v>
      </c>
      <c r="I646" s="127">
        <v>421.89</v>
      </c>
      <c r="J646" s="127">
        <v>364.69</v>
      </c>
      <c r="K646" s="83">
        <f t="shared" si="1"/>
        <v>7172.13</v>
      </c>
      <c r="L646" s="83">
        <f t="shared" si="2"/>
        <v>6199.73</v>
      </c>
      <c r="M646" s="83">
        <f t="shared" si="3"/>
        <v>972.4</v>
      </c>
      <c r="N646" s="46" t="str">
        <f>VLOOKUP(F646,products!$A$2:$B$13,2,FALSE)</f>
        <v>Meat</v>
      </c>
      <c r="O646" s="46" t="s">
        <v>105</v>
      </c>
      <c r="P646" s="46">
        <f t="array" ref="P646">WEEKDAY(B646,2)</f>
        <v>6</v>
      </c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>
      <c r="A647" s="56">
        <v>5.25321424E8</v>
      </c>
      <c r="B647" s="126">
        <v>41998.0</v>
      </c>
      <c r="C647" s="126">
        <v>42004.0</v>
      </c>
      <c r="D647" s="56" t="s">
        <v>95</v>
      </c>
      <c r="E647" s="56" t="s">
        <v>94</v>
      </c>
      <c r="F647" s="56">
        <v>7940.0</v>
      </c>
      <c r="G647" s="56" t="s">
        <v>43</v>
      </c>
      <c r="H647" s="56">
        <v>3138.0</v>
      </c>
      <c r="I647" s="127">
        <v>668.27</v>
      </c>
      <c r="J647" s="127">
        <v>502.54</v>
      </c>
      <c r="K647" s="83">
        <f t="shared" si="1"/>
        <v>2097031.26</v>
      </c>
      <c r="L647" s="83">
        <f t="shared" si="2"/>
        <v>1576970.52</v>
      </c>
      <c r="M647" s="83">
        <f t="shared" si="3"/>
        <v>520060.74</v>
      </c>
      <c r="N647" s="46" t="str">
        <f>VLOOKUP(F647,products!$A$2:$B$13,2,FALSE)</f>
        <v>Household</v>
      </c>
      <c r="O647" s="46" t="s">
        <v>94</v>
      </c>
      <c r="P647" s="46">
        <f t="array" ref="P647">WEEKDAY(B647,2)</f>
        <v>4</v>
      </c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>
      <c r="A648" s="56">
        <v>5.25472486E8</v>
      </c>
      <c r="B648" s="126">
        <v>42329.0</v>
      </c>
      <c r="C648" s="126">
        <v>42331.0</v>
      </c>
      <c r="D648" s="56" t="s">
        <v>89</v>
      </c>
      <c r="E648" s="56" t="s">
        <v>119</v>
      </c>
      <c r="F648" s="56">
        <v>7331.0</v>
      </c>
      <c r="G648" s="56" t="s">
        <v>43</v>
      </c>
      <c r="H648" s="56">
        <v>7840.0</v>
      </c>
      <c r="I648" s="127">
        <v>255.28</v>
      </c>
      <c r="J648" s="127">
        <v>159.42</v>
      </c>
      <c r="K648" s="83">
        <f t="shared" si="1"/>
        <v>2001395.2</v>
      </c>
      <c r="L648" s="83">
        <f t="shared" si="2"/>
        <v>1249852.8</v>
      </c>
      <c r="M648" s="83">
        <f t="shared" si="3"/>
        <v>751542.4</v>
      </c>
      <c r="N648" s="46" t="str">
        <f>VLOOKUP(F648,products!$A$2:$B$13,2,FALSE)</f>
        <v>Baby Food</v>
      </c>
      <c r="O648" s="46" t="s">
        <v>119</v>
      </c>
      <c r="P648" s="46">
        <f t="array" ref="P648">WEEKDAY(B648,2)</f>
        <v>6</v>
      </c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>
      <c r="A649" s="56">
        <v>5.25749719E8</v>
      </c>
      <c r="B649" s="126">
        <v>41161.0</v>
      </c>
      <c r="C649" s="126">
        <v>41204.0</v>
      </c>
      <c r="D649" s="56" t="s">
        <v>93</v>
      </c>
      <c r="E649" s="56" t="s">
        <v>116</v>
      </c>
      <c r="F649" s="56">
        <v>8969.0</v>
      </c>
      <c r="G649" s="56" t="s">
        <v>43</v>
      </c>
      <c r="H649" s="56">
        <v>9880.0</v>
      </c>
      <c r="I649" s="127">
        <v>152.58</v>
      </c>
      <c r="J649" s="127">
        <v>97.44</v>
      </c>
      <c r="K649" s="83">
        <f t="shared" si="1"/>
        <v>1507490.4</v>
      </c>
      <c r="L649" s="83">
        <f t="shared" si="2"/>
        <v>962707.2</v>
      </c>
      <c r="M649" s="83">
        <f t="shared" si="3"/>
        <v>544783.2</v>
      </c>
      <c r="N649" s="46" t="str">
        <f>VLOOKUP(F649,products!$A$2:$B$13,2,FALSE)</f>
        <v>Snacks</v>
      </c>
      <c r="O649" s="46" t="s">
        <v>116</v>
      </c>
      <c r="P649" s="46">
        <f t="array" ref="P649">WEEKDAY(B649,2)</f>
        <v>7</v>
      </c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>
      <c r="A650" s="56">
        <v>5.26018369E8</v>
      </c>
      <c r="B650" s="126">
        <v>40697.0</v>
      </c>
      <c r="C650" s="126">
        <v>40715.0</v>
      </c>
      <c r="D650" s="56" t="s">
        <v>89</v>
      </c>
      <c r="E650" s="56" t="e">
        <v>#N/A</v>
      </c>
      <c r="F650" s="56">
        <v>8293.0</v>
      </c>
      <c r="G650" s="56" t="s">
        <v>43</v>
      </c>
      <c r="H650" s="56">
        <v>9379.0</v>
      </c>
      <c r="I650" s="127">
        <v>437.2</v>
      </c>
      <c r="J650" s="127">
        <v>263.33</v>
      </c>
      <c r="K650" s="83">
        <f t="shared" si="1"/>
        <v>4100498.8</v>
      </c>
      <c r="L650" s="83">
        <f t="shared" si="2"/>
        <v>2469772.07</v>
      </c>
      <c r="M650" s="83">
        <f t="shared" si="3"/>
        <v>1630726.73</v>
      </c>
      <c r="N650" s="46" t="str">
        <f>VLOOKUP(F650,products!$A$2:$B$13,2,FALSE)</f>
        <v>Cosmetics</v>
      </c>
      <c r="O650" s="46" t="s">
        <v>92</v>
      </c>
      <c r="P650" s="46">
        <f t="array" ref="P650">WEEKDAY(B650,2)</f>
        <v>5</v>
      </c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>
      <c r="A651" s="56">
        <v>5.26350104E8</v>
      </c>
      <c r="B651" s="126">
        <v>40866.0</v>
      </c>
      <c r="C651" s="126">
        <v>40881.0</v>
      </c>
      <c r="D651" s="56" t="s">
        <v>89</v>
      </c>
      <c r="E651" s="56" t="s">
        <v>94</v>
      </c>
      <c r="F651" s="56">
        <v>2455.0</v>
      </c>
      <c r="G651" s="56" t="s">
        <v>42</v>
      </c>
      <c r="H651" s="56">
        <v>7547.0</v>
      </c>
      <c r="I651" s="127">
        <v>109.28</v>
      </c>
      <c r="J651" s="127">
        <v>35.84</v>
      </c>
      <c r="K651" s="83">
        <f t="shared" si="1"/>
        <v>824736.16</v>
      </c>
      <c r="L651" s="83">
        <f t="shared" si="2"/>
        <v>270484.48</v>
      </c>
      <c r="M651" s="83">
        <f t="shared" si="3"/>
        <v>554251.68</v>
      </c>
      <c r="N651" s="46" t="str">
        <f>VLOOKUP(F651,products!$A$2:$B$13,2,FALSE)</f>
        <v>Clothes</v>
      </c>
      <c r="O651" s="46" t="s">
        <v>94</v>
      </c>
      <c r="P651" s="46">
        <f t="array" ref="P651">WEEKDAY(B651,2)</f>
        <v>6</v>
      </c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>
      <c r="A652" s="56">
        <v>5.26533353E8</v>
      </c>
      <c r="B652" s="126">
        <v>42706.0</v>
      </c>
      <c r="C652" s="126">
        <v>42747.0</v>
      </c>
      <c r="D652" s="56" t="s">
        <v>89</v>
      </c>
      <c r="E652" s="56" t="s">
        <v>102</v>
      </c>
      <c r="F652" s="56">
        <v>4594.0</v>
      </c>
      <c r="G652" s="56" t="s">
        <v>43</v>
      </c>
      <c r="H652" s="56">
        <v>1775.0</v>
      </c>
      <c r="I652" s="127">
        <v>9.33</v>
      </c>
      <c r="J652" s="127">
        <v>6.92</v>
      </c>
      <c r="K652" s="83">
        <f t="shared" si="1"/>
        <v>16560.75</v>
      </c>
      <c r="L652" s="83">
        <f t="shared" si="2"/>
        <v>12283</v>
      </c>
      <c r="M652" s="83">
        <f t="shared" si="3"/>
        <v>4277.75</v>
      </c>
      <c r="N652" s="46" t="str">
        <f>VLOOKUP(F652,products!$A$2:$B$13,2,FALSE)</f>
        <v>Fruits</v>
      </c>
      <c r="O652" s="46" t="s">
        <v>102</v>
      </c>
      <c r="P652" s="46">
        <f t="array" ref="P652">WEEKDAY(B652,2)</f>
        <v>5</v>
      </c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>
      <c r="A653" s="56">
        <v>5.27079236E8</v>
      </c>
      <c r="B653" s="126">
        <v>41074.0</v>
      </c>
      <c r="C653" s="126">
        <v>41080.0</v>
      </c>
      <c r="D653" s="56" t="s">
        <v>89</v>
      </c>
      <c r="E653" s="56" t="s">
        <v>114</v>
      </c>
      <c r="F653" s="56">
        <v>5988.0</v>
      </c>
      <c r="G653" s="56" t="s">
        <v>43</v>
      </c>
      <c r="H653" s="56">
        <v>3314.0</v>
      </c>
      <c r="I653" s="127">
        <v>154.06</v>
      </c>
      <c r="J653" s="127">
        <v>90.93</v>
      </c>
      <c r="K653" s="83">
        <f t="shared" si="1"/>
        <v>510554.84</v>
      </c>
      <c r="L653" s="83">
        <f t="shared" si="2"/>
        <v>301342.02</v>
      </c>
      <c r="M653" s="83">
        <f t="shared" si="3"/>
        <v>209212.82</v>
      </c>
      <c r="N653" s="46" t="str">
        <f>VLOOKUP(F653,products!$A$2:$B$13,2,FALSE)</f>
        <v>Vegetables</v>
      </c>
      <c r="O653" s="46" t="s">
        <v>114</v>
      </c>
      <c r="P653" s="46">
        <f t="array" ref="P653">WEEKDAY(B653,2)</f>
        <v>4</v>
      </c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>
      <c r="A654" s="56">
        <v>5.2725991E8</v>
      </c>
      <c r="B654" s="126">
        <v>40912.0</v>
      </c>
      <c r="C654" s="126">
        <v>40919.0</v>
      </c>
      <c r="D654" s="56" t="s">
        <v>95</v>
      </c>
      <c r="E654" s="56" t="s">
        <v>129</v>
      </c>
      <c r="F654" s="56">
        <v>3127.0</v>
      </c>
      <c r="G654" s="56" t="s">
        <v>43</v>
      </c>
      <c r="H654" s="56">
        <v>6779.0</v>
      </c>
      <c r="I654" s="127">
        <v>81.73</v>
      </c>
      <c r="J654" s="127">
        <v>56.67</v>
      </c>
      <c r="K654" s="83">
        <f t="shared" si="1"/>
        <v>554047.67</v>
      </c>
      <c r="L654" s="83">
        <f t="shared" si="2"/>
        <v>384165.93</v>
      </c>
      <c r="M654" s="83">
        <f t="shared" si="3"/>
        <v>169881.74</v>
      </c>
      <c r="N654" s="46" t="str">
        <f>VLOOKUP(F654,products!$A$2:$B$13,2,FALSE)</f>
        <v>Personal Care</v>
      </c>
      <c r="O654" s="46" t="s">
        <v>129</v>
      </c>
      <c r="P654" s="46">
        <f t="array" ref="P654">WEEKDAY(B654,2)</f>
        <v>3</v>
      </c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>
      <c r="A655" s="56">
        <v>5.27509677E8</v>
      </c>
      <c r="B655" s="126">
        <v>41444.0</v>
      </c>
      <c r="C655" s="126">
        <v>41465.0</v>
      </c>
      <c r="D655" s="56" t="s">
        <v>10</v>
      </c>
      <c r="E655" s="56" t="s">
        <v>137</v>
      </c>
      <c r="F655" s="56">
        <v>8681.0</v>
      </c>
      <c r="G655" s="56" t="s">
        <v>43</v>
      </c>
      <c r="H655" s="56">
        <v>691.0</v>
      </c>
      <c r="I655" s="127">
        <v>651.21</v>
      </c>
      <c r="J655" s="127">
        <v>524.96</v>
      </c>
      <c r="K655" s="83">
        <f t="shared" si="1"/>
        <v>449986.11</v>
      </c>
      <c r="L655" s="83">
        <f t="shared" si="2"/>
        <v>362747.36</v>
      </c>
      <c r="M655" s="83">
        <f t="shared" si="3"/>
        <v>87238.75</v>
      </c>
      <c r="N655" s="46" t="str">
        <f>VLOOKUP(F655,products!$A$2:$B$13,2,FALSE)</f>
        <v>Office Supplies</v>
      </c>
      <c r="O655" s="46" t="s">
        <v>137</v>
      </c>
      <c r="P655" s="46">
        <f t="array" ref="P655">WEEKDAY(B655,2)</f>
        <v>3</v>
      </c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>
      <c r="A656" s="56">
        <v>5.30262696E8</v>
      </c>
      <c r="B656" s="126">
        <v>41028.0</v>
      </c>
      <c r="C656" s="126">
        <v>41040.0</v>
      </c>
      <c r="D656" s="56" t="s">
        <v>10</v>
      </c>
      <c r="E656" s="56" t="s">
        <v>110</v>
      </c>
      <c r="F656" s="56">
        <v>2455.0</v>
      </c>
      <c r="G656" s="56" t="s">
        <v>42</v>
      </c>
      <c r="H656" s="56">
        <v>5370.0</v>
      </c>
      <c r="I656" s="127">
        <v>109.28</v>
      </c>
      <c r="J656" s="127">
        <v>35.84</v>
      </c>
      <c r="K656" s="83">
        <f t="shared" si="1"/>
        <v>586833.6</v>
      </c>
      <c r="L656" s="83">
        <f t="shared" si="2"/>
        <v>192460.8</v>
      </c>
      <c r="M656" s="83">
        <f t="shared" si="3"/>
        <v>394372.8</v>
      </c>
      <c r="N656" s="46" t="str">
        <f>VLOOKUP(F656,products!$A$2:$B$13,2,FALSE)</f>
        <v>Clothes</v>
      </c>
      <c r="O656" s="46" t="s">
        <v>110</v>
      </c>
      <c r="P656" s="46">
        <f t="array" ref="P656">WEEKDAY(B656,2)</f>
        <v>7</v>
      </c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>
      <c r="A657" s="56">
        <v>5.30702579E8</v>
      </c>
      <c r="B657" s="126">
        <v>42284.0</v>
      </c>
      <c r="C657" s="126">
        <v>42317.0</v>
      </c>
      <c r="D657" s="56" t="s">
        <v>89</v>
      </c>
      <c r="E657" s="56" t="s">
        <v>103</v>
      </c>
      <c r="F657" s="56">
        <v>7331.0</v>
      </c>
      <c r="G657" s="56" t="s">
        <v>42</v>
      </c>
      <c r="H657" s="56">
        <v>5541.0</v>
      </c>
      <c r="I657" s="127">
        <v>255.28</v>
      </c>
      <c r="J657" s="127">
        <v>159.42</v>
      </c>
      <c r="K657" s="83">
        <f t="shared" si="1"/>
        <v>1414506.48</v>
      </c>
      <c r="L657" s="83">
        <f t="shared" si="2"/>
        <v>883346.22</v>
      </c>
      <c r="M657" s="83">
        <f t="shared" si="3"/>
        <v>531160.26</v>
      </c>
      <c r="N657" s="46" t="str">
        <f>VLOOKUP(F657,products!$A$2:$B$13,2,FALSE)</f>
        <v>Baby Food</v>
      </c>
      <c r="O657" s="46" t="s">
        <v>103</v>
      </c>
      <c r="P657" s="46">
        <f t="array" ref="P657">WEEKDAY(B657,2)</f>
        <v>3</v>
      </c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>
      <c r="A658" s="56">
        <v>5.30882394E8</v>
      </c>
      <c r="B658" s="126">
        <v>40533.0</v>
      </c>
      <c r="C658" s="126">
        <v>40576.0</v>
      </c>
      <c r="D658" s="56" t="s">
        <v>89</v>
      </c>
      <c r="E658" s="56" t="s">
        <v>99</v>
      </c>
      <c r="F658" s="56">
        <v>8875.0</v>
      </c>
      <c r="G658" s="56" t="s">
        <v>43</v>
      </c>
      <c r="H658" s="56">
        <v>8753.0</v>
      </c>
      <c r="I658" s="127">
        <v>421.89</v>
      </c>
      <c r="J658" s="127">
        <v>364.69</v>
      </c>
      <c r="K658" s="83">
        <f t="shared" si="1"/>
        <v>3692803.17</v>
      </c>
      <c r="L658" s="83">
        <f t="shared" si="2"/>
        <v>3192131.57</v>
      </c>
      <c r="M658" s="83">
        <f t="shared" si="3"/>
        <v>500671.6</v>
      </c>
      <c r="N658" s="46" t="str">
        <f>VLOOKUP(F658,products!$A$2:$B$13,2,FALSE)</f>
        <v>Meat</v>
      </c>
      <c r="O658" s="46" t="s">
        <v>99</v>
      </c>
      <c r="P658" s="46">
        <f t="array" ref="P658">WEEKDAY(B658,2)</f>
        <v>2</v>
      </c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>
      <c r="A659" s="56">
        <v>5.31281936E8</v>
      </c>
      <c r="B659" s="126">
        <v>41778.0</v>
      </c>
      <c r="C659" s="126">
        <v>41793.0</v>
      </c>
      <c r="D659" s="56" t="s">
        <v>10</v>
      </c>
      <c r="E659" s="56" t="s">
        <v>97</v>
      </c>
      <c r="F659" s="56">
        <v>8875.0</v>
      </c>
      <c r="G659" s="56" t="s">
        <v>43</v>
      </c>
      <c r="H659" s="56">
        <v>6986.0</v>
      </c>
      <c r="I659" s="127">
        <v>421.89</v>
      </c>
      <c r="J659" s="127">
        <v>364.69</v>
      </c>
      <c r="K659" s="83">
        <f t="shared" si="1"/>
        <v>2947323.54</v>
      </c>
      <c r="L659" s="83">
        <f t="shared" si="2"/>
        <v>2547724.34</v>
      </c>
      <c r="M659" s="83">
        <f t="shared" si="3"/>
        <v>399599.2</v>
      </c>
      <c r="N659" s="46" t="str">
        <f>VLOOKUP(F659,products!$A$2:$B$13,2,FALSE)</f>
        <v>Meat</v>
      </c>
      <c r="O659" s="46" t="s">
        <v>97</v>
      </c>
      <c r="P659" s="46">
        <f t="array" ref="P659">WEEKDAY(B659,2)</f>
        <v>1</v>
      </c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>
      <c r="A660" s="56">
        <v>5.33314406E8</v>
      </c>
      <c r="B660" s="126">
        <v>40450.0</v>
      </c>
      <c r="C660" s="126">
        <v>40480.0</v>
      </c>
      <c r="D660" s="56" t="s">
        <v>10</v>
      </c>
      <c r="E660" s="56" t="s">
        <v>128</v>
      </c>
      <c r="F660" s="56">
        <v>7940.0</v>
      </c>
      <c r="G660" s="56" t="s">
        <v>43</v>
      </c>
      <c r="H660" s="56">
        <v>8439.0</v>
      </c>
      <c r="I660" s="127">
        <v>668.27</v>
      </c>
      <c r="J660" s="127">
        <v>502.54</v>
      </c>
      <c r="K660" s="83">
        <f t="shared" si="1"/>
        <v>5639530.53</v>
      </c>
      <c r="L660" s="83">
        <f t="shared" si="2"/>
        <v>4240935.06</v>
      </c>
      <c r="M660" s="83">
        <f t="shared" si="3"/>
        <v>1398595.47</v>
      </c>
      <c r="N660" s="46" t="str">
        <f>VLOOKUP(F660,products!$A$2:$B$13,2,FALSE)</f>
        <v>Household</v>
      </c>
      <c r="O660" s="46" t="s">
        <v>128</v>
      </c>
      <c r="P660" s="46">
        <f t="array" ref="P660">WEEKDAY(B660,2)</f>
        <v>3</v>
      </c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>
      <c r="A661" s="56">
        <v>5.33597218E8</v>
      </c>
      <c r="B661" s="126">
        <v>41314.0</v>
      </c>
      <c r="C661" s="126">
        <v>41329.0</v>
      </c>
      <c r="D661" s="56" t="s">
        <v>89</v>
      </c>
      <c r="E661" s="56" t="s">
        <v>115</v>
      </c>
      <c r="F661" s="56">
        <v>8681.0</v>
      </c>
      <c r="G661" s="56" t="s">
        <v>43</v>
      </c>
      <c r="H661" s="56">
        <v>2130.0</v>
      </c>
      <c r="I661" s="127">
        <v>651.21</v>
      </c>
      <c r="J661" s="127">
        <v>524.96</v>
      </c>
      <c r="K661" s="83">
        <f t="shared" si="1"/>
        <v>1387077.3</v>
      </c>
      <c r="L661" s="83">
        <f t="shared" si="2"/>
        <v>1118164.8</v>
      </c>
      <c r="M661" s="83">
        <f t="shared" si="3"/>
        <v>268912.5</v>
      </c>
      <c r="N661" s="46" t="str">
        <f>VLOOKUP(F661,products!$A$2:$B$13,2,FALSE)</f>
        <v>Office Supplies</v>
      </c>
      <c r="O661" s="46" t="s">
        <v>115</v>
      </c>
      <c r="P661" s="46">
        <f t="array" ref="P661">WEEKDAY(B661,2)</f>
        <v>6</v>
      </c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>
      <c r="A662" s="56">
        <v>5.34641349E8</v>
      </c>
      <c r="B662" s="126">
        <v>41128.0</v>
      </c>
      <c r="C662" s="126">
        <v>41148.0</v>
      </c>
      <c r="D662" s="56" t="s">
        <v>93</v>
      </c>
      <c r="E662" s="56" t="s">
        <v>111</v>
      </c>
      <c r="F662" s="56">
        <v>1270.0</v>
      </c>
      <c r="G662" s="56" t="s">
        <v>42</v>
      </c>
      <c r="H662" s="56">
        <v>1111.0</v>
      </c>
      <c r="I662" s="127">
        <v>47.45</v>
      </c>
      <c r="J662" s="127">
        <v>31.79</v>
      </c>
      <c r="K662" s="83">
        <f t="shared" si="1"/>
        <v>52716.95</v>
      </c>
      <c r="L662" s="83">
        <f t="shared" si="2"/>
        <v>35318.69</v>
      </c>
      <c r="M662" s="83">
        <f t="shared" si="3"/>
        <v>17398.26</v>
      </c>
      <c r="N662" s="46" t="str">
        <f>VLOOKUP(F662,products!$A$2:$B$13,2,FALSE)</f>
        <v>Beverages</v>
      </c>
      <c r="O662" s="46" t="s">
        <v>111</v>
      </c>
      <c r="P662" s="46">
        <f t="array" ref="P662">WEEKDAY(B662,2)</f>
        <v>2</v>
      </c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>
      <c r="A663" s="56">
        <v>5.34709155E8</v>
      </c>
      <c r="B663" s="126">
        <v>42204.0</v>
      </c>
      <c r="C663" s="126">
        <v>42249.0</v>
      </c>
      <c r="D663" s="56" t="s">
        <v>95</v>
      </c>
      <c r="E663" s="56" t="s">
        <v>106</v>
      </c>
      <c r="F663" s="56">
        <v>5988.0</v>
      </c>
      <c r="G663" s="56" t="s">
        <v>43</v>
      </c>
      <c r="H663" s="56">
        <v>1176.0</v>
      </c>
      <c r="I663" s="127">
        <v>154.06</v>
      </c>
      <c r="J663" s="127">
        <v>90.93</v>
      </c>
      <c r="K663" s="83">
        <f t="shared" si="1"/>
        <v>181174.56</v>
      </c>
      <c r="L663" s="83">
        <f t="shared" si="2"/>
        <v>106933.68</v>
      </c>
      <c r="M663" s="83">
        <f t="shared" si="3"/>
        <v>74240.88</v>
      </c>
      <c r="N663" s="46" t="str">
        <f>VLOOKUP(F663,products!$A$2:$B$13,2,FALSE)</f>
        <v>Vegetables</v>
      </c>
      <c r="O663" s="46" t="s">
        <v>106</v>
      </c>
      <c r="P663" s="46">
        <f t="array" ref="P663">WEEKDAY(B663,2)</f>
        <v>7</v>
      </c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>
      <c r="A664" s="56">
        <v>5.35740411E8</v>
      </c>
      <c r="B664" s="126">
        <v>40308.0</v>
      </c>
      <c r="C664" s="126">
        <v>40336.0</v>
      </c>
      <c r="D664" s="56" t="s">
        <v>89</v>
      </c>
      <c r="E664" s="56" t="s">
        <v>118</v>
      </c>
      <c r="F664" s="56">
        <v>3127.0</v>
      </c>
      <c r="G664" s="56" t="s">
        <v>42</v>
      </c>
      <c r="H664" s="56">
        <v>6348.0</v>
      </c>
      <c r="I664" s="127">
        <v>81.73</v>
      </c>
      <c r="J664" s="127">
        <v>56.67</v>
      </c>
      <c r="K664" s="83">
        <f t="shared" si="1"/>
        <v>518822.04</v>
      </c>
      <c r="L664" s="83">
        <f t="shared" si="2"/>
        <v>359741.16</v>
      </c>
      <c r="M664" s="83">
        <f t="shared" si="3"/>
        <v>159080.88</v>
      </c>
      <c r="N664" s="46" t="str">
        <f>VLOOKUP(F664,products!$A$2:$B$13,2,FALSE)</f>
        <v>Personal Care</v>
      </c>
      <c r="O664" s="46" t="s">
        <v>118</v>
      </c>
      <c r="P664" s="46">
        <f t="array" ref="P664">WEEKDAY(B664,2)</f>
        <v>1</v>
      </c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>
      <c r="A665" s="56">
        <v>5.3609575E8</v>
      </c>
      <c r="B665" s="126">
        <v>42690.0</v>
      </c>
      <c r="C665" s="126">
        <v>42730.0</v>
      </c>
      <c r="D665" s="56" t="s">
        <v>10</v>
      </c>
      <c r="E665" s="56" t="s">
        <v>96</v>
      </c>
      <c r="F665" s="56">
        <v>8969.0</v>
      </c>
      <c r="G665" s="56" t="s">
        <v>42</v>
      </c>
      <c r="H665" s="56">
        <v>1500.0</v>
      </c>
      <c r="I665" s="127">
        <v>152.58</v>
      </c>
      <c r="J665" s="127">
        <v>97.44</v>
      </c>
      <c r="K665" s="83">
        <f t="shared" si="1"/>
        <v>228870</v>
      </c>
      <c r="L665" s="83">
        <f t="shared" si="2"/>
        <v>146160</v>
      </c>
      <c r="M665" s="83">
        <f t="shared" si="3"/>
        <v>82710</v>
      </c>
      <c r="N665" s="46" t="str">
        <f>VLOOKUP(F665,products!$A$2:$B$13,2,FALSE)</f>
        <v>Snacks</v>
      </c>
      <c r="O665" s="46" t="s">
        <v>96</v>
      </c>
      <c r="P665" s="46">
        <f t="array" ref="P665">WEEKDAY(B665,2)</f>
        <v>3</v>
      </c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>
      <c r="A666" s="56">
        <v>5.38430345E8</v>
      </c>
      <c r="B666" s="126">
        <v>42025.0</v>
      </c>
      <c r="C666" s="126">
        <v>42073.0</v>
      </c>
      <c r="D666" s="56" t="s">
        <v>95</v>
      </c>
      <c r="E666" s="56" t="s">
        <v>123</v>
      </c>
      <c r="F666" s="56">
        <v>2455.0</v>
      </c>
      <c r="G666" s="56" t="s">
        <v>42</v>
      </c>
      <c r="H666" s="56">
        <v>2359.0</v>
      </c>
      <c r="I666" s="127">
        <v>109.28</v>
      </c>
      <c r="J666" s="127">
        <v>35.84</v>
      </c>
      <c r="K666" s="83">
        <f t="shared" si="1"/>
        <v>257791.52</v>
      </c>
      <c r="L666" s="83">
        <f t="shared" si="2"/>
        <v>84546.56</v>
      </c>
      <c r="M666" s="83">
        <f t="shared" si="3"/>
        <v>173244.96</v>
      </c>
      <c r="N666" s="46" t="str">
        <f>VLOOKUP(F666,products!$A$2:$B$13,2,FALSE)</f>
        <v>Clothes</v>
      </c>
      <c r="O666" s="46" t="s">
        <v>123</v>
      </c>
      <c r="P666" s="46">
        <f t="array" ref="P666">WEEKDAY(B666,2)</f>
        <v>3</v>
      </c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>
      <c r="A667" s="56">
        <v>5.39002406E8</v>
      </c>
      <c r="B667" s="126">
        <v>41841.0</v>
      </c>
      <c r="C667" s="126">
        <v>41843.0</v>
      </c>
      <c r="D667" s="56" t="s">
        <v>10</v>
      </c>
      <c r="E667" s="56" t="s">
        <v>135</v>
      </c>
      <c r="F667" s="56">
        <v>2455.0</v>
      </c>
      <c r="G667" s="56" t="s">
        <v>43</v>
      </c>
      <c r="H667" s="56">
        <v>1645.0</v>
      </c>
      <c r="I667" s="127">
        <v>109.28</v>
      </c>
      <c r="J667" s="127">
        <v>35.84</v>
      </c>
      <c r="K667" s="83">
        <f t="shared" si="1"/>
        <v>179765.6</v>
      </c>
      <c r="L667" s="83">
        <f t="shared" si="2"/>
        <v>58956.8</v>
      </c>
      <c r="M667" s="83">
        <f t="shared" si="3"/>
        <v>120808.8</v>
      </c>
      <c r="N667" s="46" t="str">
        <f>VLOOKUP(F667,products!$A$2:$B$13,2,FALSE)</f>
        <v>Clothes</v>
      </c>
      <c r="O667" s="46" t="s">
        <v>135</v>
      </c>
      <c r="P667" s="46">
        <f t="array" ref="P667">WEEKDAY(B667,2)</f>
        <v>1</v>
      </c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>
      <c r="A668" s="56">
        <v>5.4098252E8</v>
      </c>
      <c r="B668" s="126">
        <v>40383.0</v>
      </c>
      <c r="C668" s="126">
        <v>40422.0</v>
      </c>
      <c r="D668" s="56" t="s">
        <v>93</v>
      </c>
      <c r="E668" s="56" t="s">
        <v>118</v>
      </c>
      <c r="F668" s="56">
        <v>8293.0</v>
      </c>
      <c r="G668" s="56" t="s">
        <v>42</v>
      </c>
      <c r="H668" s="56">
        <v>7604.0</v>
      </c>
      <c r="I668" s="127">
        <v>437.2</v>
      </c>
      <c r="J668" s="127">
        <v>263.33</v>
      </c>
      <c r="K668" s="83">
        <f t="shared" si="1"/>
        <v>3324468.8</v>
      </c>
      <c r="L668" s="83">
        <f t="shared" si="2"/>
        <v>2002361.32</v>
      </c>
      <c r="M668" s="83">
        <f t="shared" si="3"/>
        <v>1322107.48</v>
      </c>
      <c r="N668" s="46" t="str">
        <f>VLOOKUP(F668,products!$A$2:$B$13,2,FALSE)</f>
        <v>Cosmetics</v>
      </c>
      <c r="O668" s="46" t="s">
        <v>118</v>
      </c>
      <c r="P668" s="46">
        <f t="array" ref="P668">WEEKDAY(B668,2)</f>
        <v>6</v>
      </c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>
      <c r="A669" s="56">
        <v>5.43322694E8</v>
      </c>
      <c r="B669" s="126">
        <v>41750.0</v>
      </c>
      <c r="C669" s="126">
        <v>41791.0</v>
      </c>
      <c r="D669" s="56" t="s">
        <v>89</v>
      </c>
      <c r="E669" s="56" t="s">
        <v>111</v>
      </c>
      <c r="F669" s="56">
        <v>1270.0</v>
      </c>
      <c r="G669" s="56" t="s">
        <v>42</v>
      </c>
      <c r="H669" s="56">
        <v>114.0</v>
      </c>
      <c r="I669" s="127">
        <v>47.45</v>
      </c>
      <c r="J669" s="127">
        <v>31.79</v>
      </c>
      <c r="K669" s="83">
        <f t="shared" si="1"/>
        <v>5409.3</v>
      </c>
      <c r="L669" s="83">
        <f t="shared" si="2"/>
        <v>3624.06</v>
      </c>
      <c r="M669" s="83">
        <f t="shared" si="3"/>
        <v>1785.24</v>
      </c>
      <c r="N669" s="46" t="str">
        <f>VLOOKUP(F669,products!$A$2:$B$13,2,FALSE)</f>
        <v>Beverages</v>
      </c>
      <c r="O669" s="46" t="s">
        <v>111</v>
      </c>
      <c r="P669" s="46">
        <f t="array" ref="P669">WEEKDAY(B669,2)</f>
        <v>1</v>
      </c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>
      <c r="A670" s="56">
        <v>5.43396508E8</v>
      </c>
      <c r="B670" s="126">
        <v>42886.0</v>
      </c>
      <c r="C670" s="126">
        <v>42891.0</v>
      </c>
      <c r="D670" s="56" t="s">
        <v>10</v>
      </c>
      <c r="E670" s="56" t="s">
        <v>129</v>
      </c>
      <c r="F670" s="56">
        <v>8875.0</v>
      </c>
      <c r="G670" s="56" t="s">
        <v>43</v>
      </c>
      <c r="H670" s="56">
        <v>1957.0</v>
      </c>
      <c r="I670" s="127">
        <v>421.89</v>
      </c>
      <c r="J670" s="127">
        <v>364.69</v>
      </c>
      <c r="K670" s="83">
        <f t="shared" si="1"/>
        <v>825638.73</v>
      </c>
      <c r="L670" s="83">
        <f t="shared" si="2"/>
        <v>713698.33</v>
      </c>
      <c r="M670" s="83">
        <f t="shared" si="3"/>
        <v>111940.4</v>
      </c>
      <c r="N670" s="46" t="str">
        <f>VLOOKUP(F670,products!$A$2:$B$13,2,FALSE)</f>
        <v>Meat</v>
      </c>
      <c r="O670" s="46" t="s">
        <v>129</v>
      </c>
      <c r="P670" s="46">
        <f t="array" ref="P670">WEEKDAY(B670,2)</f>
        <v>3</v>
      </c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>
      <c r="A671" s="56">
        <v>5.44284856E8</v>
      </c>
      <c r="B671" s="126">
        <v>41926.0</v>
      </c>
      <c r="C671" s="126">
        <v>41937.0</v>
      </c>
      <c r="D671" s="56" t="s">
        <v>89</v>
      </c>
      <c r="E671" s="56" t="s">
        <v>110</v>
      </c>
      <c r="F671" s="56">
        <v>7940.0</v>
      </c>
      <c r="G671" s="56" t="s">
        <v>42</v>
      </c>
      <c r="H671" s="56">
        <v>4839.0</v>
      </c>
      <c r="I671" s="127">
        <v>668.27</v>
      </c>
      <c r="J671" s="127">
        <v>502.54</v>
      </c>
      <c r="K671" s="83">
        <f t="shared" si="1"/>
        <v>3233758.53</v>
      </c>
      <c r="L671" s="83">
        <f t="shared" si="2"/>
        <v>2431791.06</v>
      </c>
      <c r="M671" s="83">
        <f t="shared" si="3"/>
        <v>801967.47</v>
      </c>
      <c r="N671" s="46" t="str">
        <f>VLOOKUP(F671,products!$A$2:$B$13,2,FALSE)</f>
        <v>Household</v>
      </c>
      <c r="O671" s="46" t="s">
        <v>110</v>
      </c>
      <c r="P671" s="46">
        <f t="array" ref="P671">WEEKDAY(B671,2)</f>
        <v>2</v>
      </c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>
      <c r="A672" s="56">
        <v>5.44741475E8</v>
      </c>
      <c r="B672" s="126">
        <v>40978.0</v>
      </c>
      <c r="C672" s="126">
        <v>40993.0</v>
      </c>
      <c r="D672" s="56" t="s">
        <v>10</v>
      </c>
      <c r="E672" s="56" t="s">
        <v>121</v>
      </c>
      <c r="F672" s="56">
        <v>3127.0</v>
      </c>
      <c r="G672" s="56" t="s">
        <v>43</v>
      </c>
      <c r="H672" s="56">
        <v>9963.0</v>
      </c>
      <c r="I672" s="127">
        <v>81.73</v>
      </c>
      <c r="J672" s="127">
        <v>56.67</v>
      </c>
      <c r="K672" s="83">
        <f t="shared" si="1"/>
        <v>814275.99</v>
      </c>
      <c r="L672" s="83">
        <f t="shared" si="2"/>
        <v>564603.21</v>
      </c>
      <c r="M672" s="83">
        <f t="shared" si="3"/>
        <v>249672.78</v>
      </c>
      <c r="N672" s="46" t="str">
        <f>VLOOKUP(F672,products!$A$2:$B$13,2,FALSE)</f>
        <v>Personal Care</v>
      </c>
      <c r="O672" s="46" t="s">
        <v>121</v>
      </c>
      <c r="P672" s="46">
        <f t="array" ref="P672">WEEKDAY(B672,2)</f>
        <v>6</v>
      </c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>
      <c r="A673" s="56">
        <v>5.45059049E8</v>
      </c>
      <c r="B673" s="126">
        <v>42586.0</v>
      </c>
      <c r="C673" s="126">
        <v>42590.0</v>
      </c>
      <c r="D673" s="56" t="s">
        <v>95</v>
      </c>
      <c r="E673" s="56" t="s">
        <v>129</v>
      </c>
      <c r="F673" s="56">
        <v>2455.0</v>
      </c>
      <c r="G673" s="56" t="s">
        <v>42</v>
      </c>
      <c r="H673" s="56">
        <v>3940.0</v>
      </c>
      <c r="I673" s="127">
        <v>109.28</v>
      </c>
      <c r="J673" s="127">
        <v>35.84</v>
      </c>
      <c r="K673" s="83">
        <f t="shared" si="1"/>
        <v>430563.2</v>
      </c>
      <c r="L673" s="83">
        <f t="shared" si="2"/>
        <v>141209.6</v>
      </c>
      <c r="M673" s="83">
        <f t="shared" si="3"/>
        <v>289353.6</v>
      </c>
      <c r="N673" s="46" t="str">
        <f>VLOOKUP(F673,products!$A$2:$B$13,2,FALSE)</f>
        <v>Clothes</v>
      </c>
      <c r="O673" s="46" t="s">
        <v>129</v>
      </c>
      <c r="P673" s="46">
        <f t="array" ref="P673">WEEKDAY(B673,2)</f>
        <v>4</v>
      </c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>
      <c r="A674" s="56">
        <v>5.46081721E8</v>
      </c>
      <c r="B674" s="126">
        <v>41394.0</v>
      </c>
      <c r="C674" s="126">
        <v>41416.0</v>
      </c>
      <c r="D674" s="56" t="s">
        <v>95</v>
      </c>
      <c r="E674" s="56" t="s">
        <v>106</v>
      </c>
      <c r="F674" s="56">
        <v>8875.0</v>
      </c>
      <c r="G674" s="56" t="s">
        <v>43</v>
      </c>
      <c r="H674" s="56">
        <v>6571.0</v>
      </c>
      <c r="I674" s="127">
        <v>421.89</v>
      </c>
      <c r="J674" s="127">
        <v>364.69</v>
      </c>
      <c r="K674" s="83">
        <f t="shared" si="1"/>
        <v>2772239.19</v>
      </c>
      <c r="L674" s="83">
        <f t="shared" si="2"/>
        <v>2396377.99</v>
      </c>
      <c r="M674" s="83">
        <f t="shared" si="3"/>
        <v>375861.2</v>
      </c>
      <c r="N674" s="46" t="str">
        <f>VLOOKUP(F674,products!$A$2:$B$13,2,FALSE)</f>
        <v>Meat</v>
      </c>
      <c r="O674" s="46" t="s">
        <v>106</v>
      </c>
      <c r="P674" s="46">
        <f t="array" ref="P674">WEEKDAY(B674,2)</f>
        <v>2</v>
      </c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>
      <c r="A675" s="56">
        <v>5.46140086E8</v>
      </c>
      <c r="B675" s="126">
        <v>41585.0</v>
      </c>
      <c r="C675" s="126">
        <v>41627.0</v>
      </c>
      <c r="D675" s="56" t="s">
        <v>93</v>
      </c>
      <c r="E675" s="56" t="s">
        <v>137</v>
      </c>
      <c r="F675" s="56">
        <v>3127.0</v>
      </c>
      <c r="G675" s="56" t="s">
        <v>42</v>
      </c>
      <c r="H675" s="56">
        <v>3843.0</v>
      </c>
      <c r="I675" s="127">
        <v>81.73</v>
      </c>
      <c r="J675" s="127">
        <v>56.67</v>
      </c>
      <c r="K675" s="83">
        <f t="shared" si="1"/>
        <v>314088.39</v>
      </c>
      <c r="L675" s="83">
        <f t="shared" si="2"/>
        <v>217782.81</v>
      </c>
      <c r="M675" s="83">
        <f t="shared" si="3"/>
        <v>96305.58</v>
      </c>
      <c r="N675" s="46" t="str">
        <f>VLOOKUP(F675,products!$A$2:$B$13,2,FALSE)</f>
        <v>Personal Care</v>
      </c>
      <c r="O675" s="46" t="s">
        <v>137</v>
      </c>
      <c r="P675" s="46">
        <f t="array" ref="P675">WEEKDAY(B675,2)</f>
        <v>4</v>
      </c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>
      <c r="A676" s="56">
        <v>5.46544349E8</v>
      </c>
      <c r="B676" s="126">
        <v>40507.0</v>
      </c>
      <c r="C676" s="126">
        <v>40524.0</v>
      </c>
      <c r="D676" s="56" t="s">
        <v>93</v>
      </c>
      <c r="E676" s="56" t="s">
        <v>94</v>
      </c>
      <c r="F676" s="56">
        <v>7940.0</v>
      </c>
      <c r="G676" s="56" t="s">
        <v>42</v>
      </c>
      <c r="H676" s="56">
        <v>3473.0</v>
      </c>
      <c r="I676" s="127">
        <v>668.27</v>
      </c>
      <c r="J676" s="127">
        <v>502.54</v>
      </c>
      <c r="K676" s="83">
        <f t="shared" si="1"/>
        <v>2320901.71</v>
      </c>
      <c r="L676" s="83">
        <f t="shared" si="2"/>
        <v>1745321.42</v>
      </c>
      <c r="M676" s="83">
        <f t="shared" si="3"/>
        <v>575580.29</v>
      </c>
      <c r="N676" s="46" t="str">
        <f>VLOOKUP(F676,products!$A$2:$B$13,2,FALSE)</f>
        <v>Household</v>
      </c>
      <c r="O676" s="46" t="s">
        <v>94</v>
      </c>
      <c r="P676" s="46">
        <f t="array" ref="P676">WEEKDAY(B676,2)</f>
        <v>4</v>
      </c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>
      <c r="A677" s="56">
        <v>5.47225844E8</v>
      </c>
      <c r="B677" s="126">
        <v>41027.0</v>
      </c>
      <c r="C677" s="126">
        <v>41059.0</v>
      </c>
      <c r="D677" s="56" t="s">
        <v>93</v>
      </c>
      <c r="E677" s="56" t="s">
        <v>127</v>
      </c>
      <c r="F677" s="56">
        <v>3127.0</v>
      </c>
      <c r="G677" s="56" t="s">
        <v>42</v>
      </c>
      <c r="H677" s="56">
        <v>5143.0</v>
      </c>
      <c r="I677" s="127">
        <v>81.73</v>
      </c>
      <c r="J677" s="127">
        <v>56.67</v>
      </c>
      <c r="K677" s="83">
        <f t="shared" si="1"/>
        <v>420337.39</v>
      </c>
      <c r="L677" s="83">
        <f t="shared" si="2"/>
        <v>291453.81</v>
      </c>
      <c r="M677" s="83">
        <f t="shared" si="3"/>
        <v>128883.58</v>
      </c>
      <c r="N677" s="46" t="str">
        <f>VLOOKUP(F677,products!$A$2:$B$13,2,FALSE)</f>
        <v>Personal Care</v>
      </c>
      <c r="O677" s="46" t="s">
        <v>127</v>
      </c>
      <c r="P677" s="46">
        <f t="array" ref="P677">WEEKDAY(B677,2)</f>
        <v>6</v>
      </c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>
      <c r="A678" s="56">
        <v>5.47587192E8</v>
      </c>
      <c r="B678" s="126">
        <v>40703.0</v>
      </c>
      <c r="C678" s="126">
        <v>40738.0</v>
      </c>
      <c r="D678" s="56" t="s">
        <v>89</v>
      </c>
      <c r="E678" s="56" t="e">
        <v>#N/A</v>
      </c>
      <c r="F678" s="56">
        <v>2103.0</v>
      </c>
      <c r="G678" s="56" t="s">
        <v>43</v>
      </c>
      <c r="H678" s="56">
        <v>2073.0</v>
      </c>
      <c r="I678" s="127">
        <v>205.7</v>
      </c>
      <c r="J678" s="127">
        <v>117.11</v>
      </c>
      <c r="K678" s="83">
        <f t="shared" si="1"/>
        <v>426416.1</v>
      </c>
      <c r="L678" s="83">
        <f t="shared" si="2"/>
        <v>242769.03</v>
      </c>
      <c r="M678" s="83">
        <f t="shared" si="3"/>
        <v>183647.07</v>
      </c>
      <c r="N678" s="46" t="str">
        <f>VLOOKUP(F678,products!$A$2:$B$13,2,FALSE)</f>
        <v>Cereal</v>
      </c>
      <c r="O678" s="46" t="s">
        <v>92</v>
      </c>
      <c r="P678" s="46">
        <f t="array" ref="P678">WEEKDAY(B678,2)</f>
        <v>4</v>
      </c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>
      <c r="A679" s="56">
        <v>5.47625386E8</v>
      </c>
      <c r="B679" s="126">
        <v>42272.0</v>
      </c>
      <c r="C679" s="126">
        <v>42276.0</v>
      </c>
      <c r="D679" s="56" t="s">
        <v>95</v>
      </c>
      <c r="E679" s="56" t="s">
        <v>107</v>
      </c>
      <c r="F679" s="56">
        <v>3127.0</v>
      </c>
      <c r="G679" s="56" t="s">
        <v>42</v>
      </c>
      <c r="H679" s="56">
        <v>3376.0</v>
      </c>
      <c r="I679" s="127">
        <v>81.73</v>
      </c>
      <c r="J679" s="127">
        <v>56.67</v>
      </c>
      <c r="K679" s="83">
        <f t="shared" si="1"/>
        <v>275920.48</v>
      </c>
      <c r="L679" s="83">
        <f t="shared" si="2"/>
        <v>191317.92</v>
      </c>
      <c r="M679" s="83">
        <f t="shared" si="3"/>
        <v>84602.56</v>
      </c>
      <c r="N679" s="46" t="str">
        <f>VLOOKUP(F679,products!$A$2:$B$13,2,FALSE)</f>
        <v>Personal Care</v>
      </c>
      <c r="O679" s="46" t="s">
        <v>107</v>
      </c>
      <c r="P679" s="46">
        <f t="array" ref="P679">WEEKDAY(B679,2)</f>
        <v>5</v>
      </c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>
      <c r="A680" s="56">
        <v>5.48015487E8</v>
      </c>
      <c r="B680" s="126">
        <v>42632.0</v>
      </c>
      <c r="C680" s="126">
        <v>42652.0</v>
      </c>
      <c r="D680" s="56" t="s">
        <v>93</v>
      </c>
      <c r="E680" s="56" t="s">
        <v>127</v>
      </c>
      <c r="F680" s="56">
        <v>4594.0</v>
      </c>
      <c r="G680" s="56" t="s">
        <v>43</v>
      </c>
      <c r="H680" s="56">
        <v>8815.0</v>
      </c>
      <c r="I680" s="127">
        <v>9.33</v>
      </c>
      <c r="J680" s="127">
        <v>6.92</v>
      </c>
      <c r="K680" s="83">
        <f t="shared" si="1"/>
        <v>82243.95</v>
      </c>
      <c r="L680" s="83">
        <f t="shared" si="2"/>
        <v>60999.8</v>
      </c>
      <c r="M680" s="83">
        <f t="shared" si="3"/>
        <v>21244.15</v>
      </c>
      <c r="N680" s="46" t="str">
        <f>VLOOKUP(F680,products!$A$2:$B$13,2,FALSE)</f>
        <v>Fruits</v>
      </c>
      <c r="O680" s="46" t="s">
        <v>127</v>
      </c>
      <c r="P680" s="46">
        <f t="array" ref="P680">WEEKDAY(B680,2)</f>
        <v>1</v>
      </c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>
      <c r="A681" s="56">
        <v>5.48343789E8</v>
      </c>
      <c r="B681" s="126">
        <v>41977.0</v>
      </c>
      <c r="C681" s="126">
        <v>41979.0</v>
      </c>
      <c r="D681" s="56" t="s">
        <v>93</v>
      </c>
      <c r="E681" s="56" t="s">
        <v>108</v>
      </c>
      <c r="F681" s="56">
        <v>8969.0</v>
      </c>
      <c r="G681" s="56" t="s">
        <v>42</v>
      </c>
      <c r="H681" s="56">
        <v>5967.0</v>
      </c>
      <c r="I681" s="127">
        <v>152.58</v>
      </c>
      <c r="J681" s="127">
        <v>97.44</v>
      </c>
      <c r="K681" s="83">
        <f t="shared" si="1"/>
        <v>910444.86</v>
      </c>
      <c r="L681" s="83">
        <f t="shared" si="2"/>
        <v>581424.48</v>
      </c>
      <c r="M681" s="83">
        <f t="shared" si="3"/>
        <v>329020.38</v>
      </c>
      <c r="N681" s="46" t="str">
        <f>VLOOKUP(F681,products!$A$2:$B$13,2,FALSE)</f>
        <v>Snacks</v>
      </c>
      <c r="O681" s="46" t="s">
        <v>108</v>
      </c>
      <c r="P681" s="46">
        <f t="array" ref="P681">WEEKDAY(B681,2)</f>
        <v>4</v>
      </c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>
      <c r="A682" s="56">
        <v>5.48403012E8</v>
      </c>
      <c r="B682" s="126">
        <v>40991.0</v>
      </c>
      <c r="C682" s="126">
        <v>41003.0</v>
      </c>
      <c r="D682" s="56" t="s">
        <v>10</v>
      </c>
      <c r="E682" s="56" t="s">
        <v>103</v>
      </c>
      <c r="F682" s="56">
        <v>7940.0</v>
      </c>
      <c r="G682" s="56" t="s">
        <v>43</v>
      </c>
      <c r="H682" s="56">
        <v>3493.0</v>
      </c>
      <c r="I682" s="127">
        <v>668.27</v>
      </c>
      <c r="J682" s="127">
        <v>502.54</v>
      </c>
      <c r="K682" s="83">
        <f t="shared" si="1"/>
        <v>2334267.11</v>
      </c>
      <c r="L682" s="83">
        <f t="shared" si="2"/>
        <v>1755372.22</v>
      </c>
      <c r="M682" s="83">
        <f t="shared" si="3"/>
        <v>578894.89</v>
      </c>
      <c r="N682" s="46" t="str">
        <f>VLOOKUP(F682,products!$A$2:$B$13,2,FALSE)</f>
        <v>Household</v>
      </c>
      <c r="O682" s="46" t="s">
        <v>103</v>
      </c>
      <c r="P682" s="46">
        <f t="array" ref="P682">WEEKDAY(B682,2)</f>
        <v>5</v>
      </c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>
      <c r="A683" s="56">
        <v>5.49048888E8</v>
      </c>
      <c r="B683" s="126">
        <v>41943.0</v>
      </c>
      <c r="C683" s="126">
        <v>41975.0</v>
      </c>
      <c r="D683" s="56" t="s">
        <v>95</v>
      </c>
      <c r="E683" s="56" t="s">
        <v>107</v>
      </c>
      <c r="F683" s="56">
        <v>8681.0</v>
      </c>
      <c r="G683" s="56" t="s">
        <v>43</v>
      </c>
      <c r="H683" s="56">
        <v>4622.0</v>
      </c>
      <c r="I683" s="127">
        <v>651.21</v>
      </c>
      <c r="J683" s="127">
        <v>524.96</v>
      </c>
      <c r="K683" s="83">
        <f t="shared" si="1"/>
        <v>3009892.62</v>
      </c>
      <c r="L683" s="83">
        <f t="shared" si="2"/>
        <v>2426365.12</v>
      </c>
      <c r="M683" s="83">
        <f t="shared" si="3"/>
        <v>583527.5</v>
      </c>
      <c r="N683" s="46" t="str">
        <f>VLOOKUP(F683,products!$A$2:$B$13,2,FALSE)</f>
        <v>Office Supplies</v>
      </c>
      <c r="O683" s="46" t="s">
        <v>107</v>
      </c>
      <c r="P683" s="46">
        <f t="array" ref="P683">WEEKDAY(B683,2)</f>
        <v>5</v>
      </c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>
      <c r="A684" s="56">
        <v>5.4905833E8</v>
      </c>
      <c r="B684" s="126">
        <v>42828.0</v>
      </c>
      <c r="C684" s="126">
        <v>42866.0</v>
      </c>
      <c r="D684" s="56" t="s">
        <v>95</v>
      </c>
      <c r="E684" s="56" t="s">
        <v>111</v>
      </c>
      <c r="F684" s="56">
        <v>7940.0</v>
      </c>
      <c r="G684" s="56" t="s">
        <v>43</v>
      </c>
      <c r="H684" s="56">
        <v>7416.0</v>
      </c>
      <c r="I684" s="127">
        <v>668.27</v>
      </c>
      <c r="J684" s="127">
        <v>502.54</v>
      </c>
      <c r="K684" s="83">
        <f t="shared" si="1"/>
        <v>4955890.32</v>
      </c>
      <c r="L684" s="83">
        <f t="shared" si="2"/>
        <v>3726836.64</v>
      </c>
      <c r="M684" s="83">
        <f t="shared" si="3"/>
        <v>1229053.68</v>
      </c>
      <c r="N684" s="46" t="str">
        <f>VLOOKUP(F684,products!$A$2:$B$13,2,FALSE)</f>
        <v>Household</v>
      </c>
      <c r="O684" s="46" t="s">
        <v>111</v>
      </c>
      <c r="P684" s="46">
        <f t="array" ref="P684">WEEKDAY(B684,2)</f>
        <v>1</v>
      </c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>
      <c r="A685" s="56">
        <v>5.49187934E8</v>
      </c>
      <c r="B685" s="126">
        <v>42154.0</v>
      </c>
      <c r="C685" s="126">
        <v>42202.0</v>
      </c>
      <c r="D685" s="56" t="s">
        <v>95</v>
      </c>
      <c r="E685" s="56" t="s">
        <v>96</v>
      </c>
      <c r="F685" s="56">
        <v>8293.0</v>
      </c>
      <c r="G685" s="56" t="s">
        <v>43</v>
      </c>
      <c r="H685" s="56">
        <v>5769.0</v>
      </c>
      <c r="I685" s="127">
        <v>437.2</v>
      </c>
      <c r="J685" s="127">
        <v>263.33</v>
      </c>
      <c r="K685" s="83">
        <f t="shared" si="1"/>
        <v>2522206.8</v>
      </c>
      <c r="L685" s="83">
        <f t="shared" si="2"/>
        <v>1519150.77</v>
      </c>
      <c r="M685" s="83">
        <f t="shared" si="3"/>
        <v>1003056.03</v>
      </c>
      <c r="N685" s="46" t="str">
        <f>VLOOKUP(F685,products!$A$2:$B$13,2,FALSE)</f>
        <v>Cosmetics</v>
      </c>
      <c r="O685" s="46" t="s">
        <v>96</v>
      </c>
      <c r="P685" s="46">
        <f t="array" ref="P685">WEEKDAY(B685,2)</f>
        <v>6</v>
      </c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>
      <c r="A686" s="56">
        <v>5.51118266E8</v>
      </c>
      <c r="B686" s="126">
        <v>42567.0</v>
      </c>
      <c r="C686" s="126">
        <v>42597.0</v>
      </c>
      <c r="D686" s="56" t="s">
        <v>93</v>
      </c>
      <c r="E686" s="56" t="s">
        <v>133</v>
      </c>
      <c r="F686" s="56">
        <v>7331.0</v>
      </c>
      <c r="G686" s="56" t="s">
        <v>43</v>
      </c>
      <c r="H686" s="56">
        <v>6997.0</v>
      </c>
      <c r="I686" s="127">
        <v>255.28</v>
      </c>
      <c r="J686" s="127">
        <v>159.42</v>
      </c>
      <c r="K686" s="83">
        <f t="shared" si="1"/>
        <v>1786194.16</v>
      </c>
      <c r="L686" s="83">
        <f t="shared" si="2"/>
        <v>1115461.74</v>
      </c>
      <c r="M686" s="83">
        <f t="shared" si="3"/>
        <v>670732.42</v>
      </c>
      <c r="N686" s="46" t="str">
        <f>VLOOKUP(F686,products!$A$2:$B$13,2,FALSE)</f>
        <v>Baby Food</v>
      </c>
      <c r="O686" s="46" t="s">
        <v>133</v>
      </c>
      <c r="P686" s="46">
        <f t="array" ref="P686">WEEKDAY(B686,2)</f>
        <v>6</v>
      </c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>
      <c r="A687" s="56">
        <v>5.52037513E8</v>
      </c>
      <c r="B687" s="126">
        <v>40732.0</v>
      </c>
      <c r="C687" s="126">
        <v>40760.0</v>
      </c>
      <c r="D687" s="56" t="s">
        <v>89</v>
      </c>
      <c r="E687" s="56" t="s">
        <v>114</v>
      </c>
      <c r="F687" s="56">
        <v>2103.0</v>
      </c>
      <c r="G687" s="56" t="s">
        <v>43</v>
      </c>
      <c r="H687" s="56">
        <v>9022.0</v>
      </c>
      <c r="I687" s="127">
        <v>205.7</v>
      </c>
      <c r="J687" s="127">
        <v>117.11</v>
      </c>
      <c r="K687" s="83">
        <f t="shared" si="1"/>
        <v>1855825.4</v>
      </c>
      <c r="L687" s="83">
        <f t="shared" si="2"/>
        <v>1056566.42</v>
      </c>
      <c r="M687" s="83">
        <f t="shared" si="3"/>
        <v>799258.98</v>
      </c>
      <c r="N687" s="46" t="str">
        <f>VLOOKUP(F687,products!$A$2:$B$13,2,FALSE)</f>
        <v>Cereal</v>
      </c>
      <c r="O687" s="46" t="s">
        <v>114</v>
      </c>
      <c r="P687" s="46">
        <f t="array" ref="P687">WEEKDAY(B687,2)</f>
        <v>5</v>
      </c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>
      <c r="A688" s="56">
        <v>5.52276551E8</v>
      </c>
      <c r="B688" s="126">
        <v>40761.0</v>
      </c>
      <c r="C688" s="126">
        <v>40810.0</v>
      </c>
      <c r="D688" s="56" t="s">
        <v>93</v>
      </c>
      <c r="E688" s="56" t="s">
        <v>114</v>
      </c>
      <c r="F688" s="56">
        <v>8875.0</v>
      </c>
      <c r="G688" s="56" t="s">
        <v>42</v>
      </c>
      <c r="H688" s="56">
        <v>9759.0</v>
      </c>
      <c r="I688" s="127">
        <v>421.89</v>
      </c>
      <c r="J688" s="127">
        <v>364.69</v>
      </c>
      <c r="K688" s="83">
        <f t="shared" si="1"/>
        <v>4117224.51</v>
      </c>
      <c r="L688" s="83">
        <f t="shared" si="2"/>
        <v>3559009.71</v>
      </c>
      <c r="M688" s="83">
        <f t="shared" si="3"/>
        <v>558214.8</v>
      </c>
      <c r="N688" s="46" t="str">
        <f>VLOOKUP(F688,products!$A$2:$B$13,2,FALSE)</f>
        <v>Meat</v>
      </c>
      <c r="O688" s="46" t="s">
        <v>114</v>
      </c>
      <c r="P688" s="46">
        <f t="array" ref="P688">WEEKDAY(B688,2)</f>
        <v>6</v>
      </c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>
      <c r="A689" s="56">
        <v>5.52931869E8</v>
      </c>
      <c r="B689" s="126">
        <v>42598.0</v>
      </c>
      <c r="C689" s="126">
        <v>42622.0</v>
      </c>
      <c r="D689" s="56" t="s">
        <v>95</v>
      </c>
      <c r="E689" s="56" t="s">
        <v>128</v>
      </c>
      <c r="F689" s="56">
        <v>8875.0</v>
      </c>
      <c r="G689" s="56" t="s">
        <v>42</v>
      </c>
      <c r="H689" s="56">
        <v>3682.0</v>
      </c>
      <c r="I689" s="127">
        <v>421.89</v>
      </c>
      <c r="J689" s="127">
        <v>364.69</v>
      </c>
      <c r="K689" s="83">
        <f t="shared" si="1"/>
        <v>1553398.98</v>
      </c>
      <c r="L689" s="83">
        <f t="shared" si="2"/>
        <v>1342788.58</v>
      </c>
      <c r="M689" s="83">
        <f t="shared" si="3"/>
        <v>210610.4</v>
      </c>
      <c r="N689" s="46" t="str">
        <f>VLOOKUP(F689,products!$A$2:$B$13,2,FALSE)</f>
        <v>Meat</v>
      </c>
      <c r="O689" s="46" t="s">
        <v>128</v>
      </c>
      <c r="P689" s="46">
        <f t="array" ref="P689">WEEKDAY(B689,2)</f>
        <v>2</v>
      </c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>
      <c r="A690" s="56">
        <v>5.53107821E8</v>
      </c>
      <c r="B690" s="126">
        <v>41994.0</v>
      </c>
      <c r="C690" s="126">
        <v>42017.0</v>
      </c>
      <c r="D690" s="56" t="s">
        <v>89</v>
      </c>
      <c r="E690" s="56" t="s">
        <v>108</v>
      </c>
      <c r="F690" s="56">
        <v>3127.0</v>
      </c>
      <c r="G690" s="56" t="s">
        <v>43</v>
      </c>
      <c r="H690" s="56">
        <v>5751.0</v>
      </c>
      <c r="I690" s="127">
        <v>81.73</v>
      </c>
      <c r="J690" s="127">
        <v>56.67</v>
      </c>
      <c r="K690" s="83">
        <f t="shared" si="1"/>
        <v>470029.23</v>
      </c>
      <c r="L690" s="83">
        <f t="shared" si="2"/>
        <v>325909.17</v>
      </c>
      <c r="M690" s="83">
        <f t="shared" si="3"/>
        <v>144120.06</v>
      </c>
      <c r="N690" s="46" t="str">
        <f>VLOOKUP(F690,products!$A$2:$B$13,2,FALSE)</f>
        <v>Personal Care</v>
      </c>
      <c r="O690" s="46" t="s">
        <v>108</v>
      </c>
      <c r="P690" s="46">
        <f t="array" ref="P690">WEEKDAY(B690,2)</f>
        <v>7</v>
      </c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>
      <c r="A691" s="56">
        <v>5.54554927E8</v>
      </c>
      <c r="B691" s="126">
        <v>41112.0</v>
      </c>
      <c r="C691" s="126">
        <v>41127.0</v>
      </c>
      <c r="D691" s="56" t="s">
        <v>10</v>
      </c>
      <c r="E691" s="56" t="s">
        <v>120</v>
      </c>
      <c r="F691" s="56">
        <v>2103.0</v>
      </c>
      <c r="G691" s="56" t="s">
        <v>42</v>
      </c>
      <c r="H691" s="56">
        <v>3981.0</v>
      </c>
      <c r="I691" s="127">
        <v>205.7</v>
      </c>
      <c r="J691" s="127">
        <v>117.11</v>
      </c>
      <c r="K691" s="83">
        <f t="shared" si="1"/>
        <v>818891.7</v>
      </c>
      <c r="L691" s="83">
        <f t="shared" si="2"/>
        <v>466214.91</v>
      </c>
      <c r="M691" s="83">
        <f t="shared" si="3"/>
        <v>352676.79</v>
      </c>
      <c r="N691" s="46" t="str">
        <f>VLOOKUP(F691,products!$A$2:$B$13,2,FALSE)</f>
        <v>Cereal</v>
      </c>
      <c r="O691" s="46" t="s">
        <v>120</v>
      </c>
      <c r="P691" s="46">
        <f t="array" ref="P691">WEEKDAY(B691,2)</f>
        <v>7</v>
      </c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>
      <c r="A692" s="56">
        <v>5.54721438E8</v>
      </c>
      <c r="B692" s="126">
        <v>42389.0</v>
      </c>
      <c r="C692" s="126">
        <v>42397.0</v>
      </c>
      <c r="D692" s="56" t="s">
        <v>95</v>
      </c>
      <c r="E692" s="56" t="s">
        <v>115</v>
      </c>
      <c r="F692" s="56">
        <v>1270.0</v>
      </c>
      <c r="G692" s="56" t="s">
        <v>42</v>
      </c>
      <c r="H692" s="56">
        <v>3256.0</v>
      </c>
      <c r="I692" s="127">
        <v>47.45</v>
      </c>
      <c r="J692" s="127">
        <v>31.79</v>
      </c>
      <c r="K692" s="83">
        <f t="shared" si="1"/>
        <v>154497.2</v>
      </c>
      <c r="L692" s="83">
        <f t="shared" si="2"/>
        <v>103508.24</v>
      </c>
      <c r="M692" s="83">
        <f t="shared" si="3"/>
        <v>50988.96</v>
      </c>
      <c r="N692" s="46" t="str">
        <f>VLOOKUP(F692,products!$A$2:$B$13,2,FALSE)</f>
        <v>Beverages</v>
      </c>
      <c r="O692" s="46" t="s">
        <v>115</v>
      </c>
      <c r="P692" s="46">
        <f t="array" ref="P692">WEEKDAY(B692,2)</f>
        <v>3</v>
      </c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>
      <c r="A693" s="56">
        <v>5.56263816E8</v>
      </c>
      <c r="B693" s="126">
        <v>40882.0</v>
      </c>
      <c r="C693" s="126">
        <v>40884.0</v>
      </c>
      <c r="D693" s="56" t="s">
        <v>89</v>
      </c>
      <c r="E693" s="56" t="s">
        <v>98</v>
      </c>
      <c r="F693" s="56">
        <v>1270.0</v>
      </c>
      <c r="G693" s="56" t="s">
        <v>43</v>
      </c>
      <c r="H693" s="56">
        <v>9679.0</v>
      </c>
      <c r="I693" s="127">
        <v>47.45</v>
      </c>
      <c r="J693" s="127">
        <v>31.79</v>
      </c>
      <c r="K693" s="83">
        <f t="shared" si="1"/>
        <v>459268.55</v>
      </c>
      <c r="L693" s="83">
        <f t="shared" si="2"/>
        <v>307695.41</v>
      </c>
      <c r="M693" s="83">
        <f t="shared" si="3"/>
        <v>151573.14</v>
      </c>
      <c r="N693" s="46" t="str">
        <f>VLOOKUP(F693,products!$A$2:$B$13,2,FALSE)</f>
        <v>Beverages</v>
      </c>
      <c r="O693" s="46" t="s">
        <v>98</v>
      </c>
      <c r="P693" s="46">
        <f t="array" ref="P693">WEEKDAY(B693,2)</f>
        <v>1</v>
      </c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>
      <c r="A694" s="56">
        <v>5.56647908E8</v>
      </c>
      <c r="B694" s="126">
        <v>41182.0</v>
      </c>
      <c r="C694" s="126">
        <v>41211.0</v>
      </c>
      <c r="D694" s="56" t="s">
        <v>10</v>
      </c>
      <c r="E694" s="56" t="s">
        <v>103</v>
      </c>
      <c r="F694" s="56">
        <v>5988.0</v>
      </c>
      <c r="G694" s="56" t="s">
        <v>43</v>
      </c>
      <c r="H694" s="56">
        <v>3341.0</v>
      </c>
      <c r="I694" s="127">
        <v>154.06</v>
      </c>
      <c r="J694" s="127">
        <v>90.93</v>
      </c>
      <c r="K694" s="83">
        <f t="shared" si="1"/>
        <v>514714.46</v>
      </c>
      <c r="L694" s="83">
        <f t="shared" si="2"/>
        <v>303797.13</v>
      </c>
      <c r="M694" s="83">
        <f t="shared" si="3"/>
        <v>210917.33</v>
      </c>
      <c r="N694" s="46" t="str">
        <f>VLOOKUP(F694,products!$A$2:$B$13,2,FALSE)</f>
        <v>Vegetables</v>
      </c>
      <c r="O694" s="46" t="s">
        <v>103</v>
      </c>
      <c r="P694" s="46">
        <f t="array" ref="P694">WEEKDAY(B694,2)</f>
        <v>7</v>
      </c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>
      <c r="A695" s="56">
        <v>5.56947886E8</v>
      </c>
      <c r="B695" s="126">
        <v>40638.0</v>
      </c>
      <c r="C695" s="126">
        <v>40680.0</v>
      </c>
      <c r="D695" s="56" t="s">
        <v>93</v>
      </c>
      <c r="E695" s="56" t="s">
        <v>128</v>
      </c>
      <c r="F695" s="56">
        <v>2103.0</v>
      </c>
      <c r="G695" s="56" t="s">
        <v>43</v>
      </c>
      <c r="H695" s="56">
        <v>2111.0</v>
      </c>
      <c r="I695" s="127">
        <v>205.7</v>
      </c>
      <c r="J695" s="127">
        <v>117.11</v>
      </c>
      <c r="K695" s="83">
        <f t="shared" si="1"/>
        <v>434232.7</v>
      </c>
      <c r="L695" s="83">
        <f t="shared" si="2"/>
        <v>247219.21</v>
      </c>
      <c r="M695" s="83">
        <f t="shared" si="3"/>
        <v>187013.49</v>
      </c>
      <c r="N695" s="46" t="str">
        <f>VLOOKUP(F695,products!$A$2:$B$13,2,FALSE)</f>
        <v>Cereal</v>
      </c>
      <c r="O695" s="46" t="s">
        <v>128</v>
      </c>
      <c r="P695" s="46">
        <f t="array" ref="P695">WEEKDAY(B695,2)</f>
        <v>2</v>
      </c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>
      <c r="A696" s="56">
        <v>5.59183347E8</v>
      </c>
      <c r="B696" s="126">
        <v>41743.0</v>
      </c>
      <c r="C696" s="126">
        <v>41780.0</v>
      </c>
      <c r="D696" s="56" t="s">
        <v>93</v>
      </c>
      <c r="E696" s="56" t="s">
        <v>113</v>
      </c>
      <c r="F696" s="56">
        <v>2103.0</v>
      </c>
      <c r="G696" s="56" t="s">
        <v>42</v>
      </c>
      <c r="H696" s="56">
        <v>3633.0</v>
      </c>
      <c r="I696" s="127">
        <v>205.7</v>
      </c>
      <c r="J696" s="127">
        <v>117.11</v>
      </c>
      <c r="K696" s="83">
        <f t="shared" si="1"/>
        <v>747308.1</v>
      </c>
      <c r="L696" s="83">
        <f t="shared" si="2"/>
        <v>425460.63</v>
      </c>
      <c r="M696" s="83">
        <f t="shared" si="3"/>
        <v>321847.47</v>
      </c>
      <c r="N696" s="46" t="str">
        <f>VLOOKUP(F696,products!$A$2:$B$13,2,FALSE)</f>
        <v>Cereal</v>
      </c>
      <c r="O696" s="46" t="s">
        <v>113</v>
      </c>
      <c r="P696" s="46">
        <f t="array" ref="P696">WEEKDAY(B696,2)</f>
        <v>1</v>
      </c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>
      <c r="A697" s="56">
        <v>5.59417665E8</v>
      </c>
      <c r="B697" s="126">
        <v>41330.0</v>
      </c>
      <c r="C697" s="126">
        <v>41333.0</v>
      </c>
      <c r="D697" s="56" t="s">
        <v>89</v>
      </c>
      <c r="E697" s="56" t="s">
        <v>91</v>
      </c>
      <c r="F697" s="56">
        <v>5988.0</v>
      </c>
      <c r="G697" s="56" t="s">
        <v>42</v>
      </c>
      <c r="H697" s="56">
        <v>2973.0</v>
      </c>
      <c r="I697" s="127">
        <v>154.06</v>
      </c>
      <c r="J697" s="127">
        <v>90.93</v>
      </c>
      <c r="K697" s="83">
        <f t="shared" si="1"/>
        <v>458020.38</v>
      </c>
      <c r="L697" s="83">
        <f t="shared" si="2"/>
        <v>270334.89</v>
      </c>
      <c r="M697" s="83">
        <f t="shared" si="3"/>
        <v>187685.49</v>
      </c>
      <c r="N697" s="46" t="str">
        <f>VLOOKUP(F697,products!$A$2:$B$13,2,FALSE)</f>
        <v>Vegetables</v>
      </c>
      <c r="O697" s="46" t="s">
        <v>91</v>
      </c>
      <c r="P697" s="46">
        <f t="array" ref="P697">WEEKDAY(B697,2)</f>
        <v>1</v>
      </c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>
      <c r="A698" s="56">
        <v>5.60389268E8</v>
      </c>
      <c r="B698" s="126">
        <v>42391.0</v>
      </c>
      <c r="C698" s="126">
        <v>42422.0</v>
      </c>
      <c r="D698" s="56" t="s">
        <v>89</v>
      </c>
      <c r="E698" s="56" t="s">
        <v>120</v>
      </c>
      <c r="F698" s="56">
        <v>5988.0</v>
      </c>
      <c r="G698" s="56" t="s">
        <v>42</v>
      </c>
      <c r="H698" s="56">
        <v>492.0</v>
      </c>
      <c r="I698" s="127">
        <v>154.06</v>
      </c>
      <c r="J698" s="127">
        <v>90.93</v>
      </c>
      <c r="K698" s="83">
        <f t="shared" si="1"/>
        <v>75797.52</v>
      </c>
      <c r="L698" s="83">
        <f t="shared" si="2"/>
        <v>44737.56</v>
      </c>
      <c r="M698" s="83">
        <f t="shared" si="3"/>
        <v>31059.96</v>
      </c>
      <c r="N698" s="46" t="str">
        <f>VLOOKUP(F698,products!$A$2:$B$13,2,FALSE)</f>
        <v>Vegetables</v>
      </c>
      <c r="O698" s="46" t="s">
        <v>120</v>
      </c>
      <c r="P698" s="46">
        <f t="array" ref="P698">WEEKDAY(B698,2)</f>
        <v>5</v>
      </c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>
      <c r="A699" s="56">
        <v>5.60762631E8</v>
      </c>
      <c r="B699" s="126">
        <v>42188.0</v>
      </c>
      <c r="C699" s="126">
        <v>42201.0</v>
      </c>
      <c r="D699" s="56" t="s">
        <v>95</v>
      </c>
      <c r="E699" s="56" t="s">
        <v>103</v>
      </c>
      <c r="F699" s="56">
        <v>8681.0</v>
      </c>
      <c r="G699" s="56" t="s">
        <v>43</v>
      </c>
      <c r="H699" s="56">
        <v>979.0</v>
      </c>
      <c r="I699" s="127">
        <v>651.21</v>
      </c>
      <c r="J699" s="127">
        <v>524.96</v>
      </c>
      <c r="K699" s="83">
        <f t="shared" si="1"/>
        <v>637534.59</v>
      </c>
      <c r="L699" s="83">
        <f t="shared" si="2"/>
        <v>513935.84</v>
      </c>
      <c r="M699" s="83">
        <f t="shared" si="3"/>
        <v>123598.75</v>
      </c>
      <c r="N699" s="46" t="str">
        <f>VLOOKUP(F699,products!$A$2:$B$13,2,FALSE)</f>
        <v>Office Supplies</v>
      </c>
      <c r="O699" s="46" t="s">
        <v>103</v>
      </c>
      <c r="P699" s="46">
        <f t="array" ref="P699">WEEKDAY(B699,2)</f>
        <v>5</v>
      </c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>
      <c r="A700" s="56">
        <v>5.61534678E8</v>
      </c>
      <c r="B700" s="126">
        <v>41641.0</v>
      </c>
      <c r="C700" s="126">
        <v>41668.0</v>
      </c>
      <c r="D700" s="56" t="s">
        <v>93</v>
      </c>
      <c r="E700" s="56" t="s">
        <v>108</v>
      </c>
      <c r="F700" s="56">
        <v>3127.0</v>
      </c>
      <c r="G700" s="56" t="s">
        <v>43</v>
      </c>
      <c r="H700" s="56">
        <v>9445.0</v>
      </c>
      <c r="I700" s="127">
        <v>81.73</v>
      </c>
      <c r="J700" s="127">
        <v>56.67</v>
      </c>
      <c r="K700" s="83">
        <f t="shared" si="1"/>
        <v>771939.85</v>
      </c>
      <c r="L700" s="83">
        <f t="shared" si="2"/>
        <v>535248.15</v>
      </c>
      <c r="M700" s="83">
        <f t="shared" si="3"/>
        <v>236691.7</v>
      </c>
      <c r="N700" s="46" t="str">
        <f>VLOOKUP(F700,products!$A$2:$B$13,2,FALSE)</f>
        <v>Personal Care</v>
      </c>
      <c r="O700" s="46" t="s">
        <v>108</v>
      </c>
      <c r="P700" s="46">
        <f t="array" ref="P700">WEEKDAY(B700,2)</f>
        <v>4</v>
      </c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>
      <c r="A701" s="56">
        <v>5.63939225E8</v>
      </c>
      <c r="B701" s="126">
        <v>40493.0</v>
      </c>
      <c r="C701" s="126">
        <v>40531.0</v>
      </c>
      <c r="D701" s="56" t="s">
        <v>10</v>
      </c>
      <c r="E701" s="56" t="s">
        <v>137</v>
      </c>
      <c r="F701" s="56">
        <v>2455.0</v>
      </c>
      <c r="G701" s="56" t="s">
        <v>42</v>
      </c>
      <c r="H701" s="56">
        <v>1004.0</v>
      </c>
      <c r="I701" s="127">
        <v>109.28</v>
      </c>
      <c r="J701" s="127">
        <v>35.84</v>
      </c>
      <c r="K701" s="83">
        <f t="shared" si="1"/>
        <v>109717.12</v>
      </c>
      <c r="L701" s="83">
        <f t="shared" si="2"/>
        <v>35983.36</v>
      </c>
      <c r="M701" s="83">
        <f t="shared" si="3"/>
        <v>73733.76</v>
      </c>
      <c r="N701" s="46" t="str">
        <f>VLOOKUP(F701,products!$A$2:$B$13,2,FALSE)</f>
        <v>Clothes</v>
      </c>
      <c r="O701" s="46" t="s">
        <v>137</v>
      </c>
      <c r="P701" s="46">
        <f t="array" ref="P701">WEEKDAY(B701,2)</f>
        <v>4</v>
      </c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>
      <c r="A702" s="56">
        <v>5.64173543E8</v>
      </c>
      <c r="B702" s="126">
        <v>42846.0</v>
      </c>
      <c r="C702" s="126">
        <v>42851.0</v>
      </c>
      <c r="D702" s="56" t="s">
        <v>93</v>
      </c>
      <c r="E702" s="56" t="s">
        <v>130</v>
      </c>
      <c r="F702" s="56">
        <v>7331.0</v>
      </c>
      <c r="G702" s="56" t="s">
        <v>42</v>
      </c>
      <c r="H702" s="56">
        <v>343.0</v>
      </c>
      <c r="I702" s="127">
        <v>255.28</v>
      </c>
      <c r="J702" s="127">
        <v>159.42</v>
      </c>
      <c r="K702" s="83">
        <f t="shared" si="1"/>
        <v>87561.04</v>
      </c>
      <c r="L702" s="83">
        <f t="shared" si="2"/>
        <v>54681.06</v>
      </c>
      <c r="M702" s="83">
        <f t="shared" si="3"/>
        <v>32879.98</v>
      </c>
      <c r="N702" s="46" t="str">
        <f>VLOOKUP(F702,products!$A$2:$B$13,2,FALSE)</f>
        <v>Baby Food</v>
      </c>
      <c r="O702" s="46" t="s">
        <v>130</v>
      </c>
      <c r="P702" s="46">
        <f t="array" ref="P702">WEEKDAY(B702,2)</f>
        <v>5</v>
      </c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>
      <c r="A703" s="56">
        <v>5.66428315E8</v>
      </c>
      <c r="B703" s="126">
        <v>40984.0</v>
      </c>
      <c r="C703" s="126">
        <v>40991.0</v>
      </c>
      <c r="D703" s="56" t="s">
        <v>95</v>
      </c>
      <c r="E703" s="56" t="s">
        <v>130</v>
      </c>
      <c r="F703" s="56">
        <v>1270.0</v>
      </c>
      <c r="G703" s="56" t="s">
        <v>43</v>
      </c>
      <c r="H703" s="56">
        <v>7581.0</v>
      </c>
      <c r="I703" s="127">
        <v>47.45</v>
      </c>
      <c r="J703" s="127">
        <v>31.79</v>
      </c>
      <c r="K703" s="83">
        <f t="shared" si="1"/>
        <v>359718.45</v>
      </c>
      <c r="L703" s="83">
        <f t="shared" si="2"/>
        <v>240999.99</v>
      </c>
      <c r="M703" s="83">
        <f t="shared" si="3"/>
        <v>118718.46</v>
      </c>
      <c r="N703" s="46" t="str">
        <f>VLOOKUP(F703,products!$A$2:$B$13,2,FALSE)</f>
        <v>Beverages</v>
      </c>
      <c r="O703" s="46" t="s">
        <v>130</v>
      </c>
      <c r="P703" s="46">
        <f t="array" ref="P703">WEEKDAY(B703,2)</f>
        <v>5</v>
      </c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>
      <c r="A704" s="56">
        <v>5.67412793E8</v>
      </c>
      <c r="B704" s="126">
        <v>40989.0</v>
      </c>
      <c r="C704" s="126">
        <v>40995.0</v>
      </c>
      <c r="D704" s="56" t="s">
        <v>89</v>
      </c>
      <c r="E704" s="56" t="s">
        <v>122</v>
      </c>
      <c r="F704" s="56">
        <v>4594.0</v>
      </c>
      <c r="G704" s="56" t="s">
        <v>42</v>
      </c>
      <c r="H704" s="56">
        <v>8910.0</v>
      </c>
      <c r="I704" s="127">
        <v>9.33</v>
      </c>
      <c r="J704" s="127">
        <v>6.92</v>
      </c>
      <c r="K704" s="83">
        <f t="shared" si="1"/>
        <v>83130.3</v>
      </c>
      <c r="L704" s="83">
        <f t="shared" si="2"/>
        <v>61657.2</v>
      </c>
      <c r="M704" s="83">
        <f t="shared" si="3"/>
        <v>21473.1</v>
      </c>
      <c r="N704" s="46" t="str">
        <f>VLOOKUP(F704,products!$A$2:$B$13,2,FALSE)</f>
        <v>Fruits</v>
      </c>
      <c r="O704" s="46" t="s">
        <v>122</v>
      </c>
      <c r="P704" s="46">
        <f t="array" ref="P704">WEEKDAY(B704,2)</f>
        <v>3</v>
      </c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>
      <c r="A705" s="56">
        <v>5.67751824E8</v>
      </c>
      <c r="B705" s="126">
        <v>40837.0</v>
      </c>
      <c r="C705" s="126">
        <v>40868.0</v>
      </c>
      <c r="D705" s="56" t="s">
        <v>10</v>
      </c>
      <c r="E705" s="56" t="s">
        <v>112</v>
      </c>
      <c r="F705" s="56">
        <v>8293.0</v>
      </c>
      <c r="G705" s="56" t="s">
        <v>43</v>
      </c>
      <c r="H705" s="56">
        <v>9236.0</v>
      </c>
      <c r="I705" s="127">
        <v>437.2</v>
      </c>
      <c r="J705" s="127">
        <v>263.33</v>
      </c>
      <c r="K705" s="83">
        <f t="shared" si="1"/>
        <v>4037979.2</v>
      </c>
      <c r="L705" s="83">
        <f t="shared" si="2"/>
        <v>2432115.88</v>
      </c>
      <c r="M705" s="83">
        <f t="shared" si="3"/>
        <v>1605863.32</v>
      </c>
      <c r="N705" s="46" t="str">
        <f>VLOOKUP(F705,products!$A$2:$B$13,2,FALSE)</f>
        <v>Cosmetics</v>
      </c>
      <c r="O705" s="46" t="s">
        <v>112</v>
      </c>
      <c r="P705" s="46">
        <f t="array" ref="P705">WEEKDAY(B705,2)</f>
        <v>5</v>
      </c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>
      <c r="A706" s="56">
        <v>5.69170606E8</v>
      </c>
      <c r="B706" s="126">
        <v>42832.0</v>
      </c>
      <c r="C706" s="126">
        <v>42838.0</v>
      </c>
      <c r="D706" s="56" t="s">
        <v>89</v>
      </c>
      <c r="E706" s="56" t="s">
        <v>124</v>
      </c>
      <c r="F706" s="56">
        <v>8969.0</v>
      </c>
      <c r="G706" s="56" t="s">
        <v>42</v>
      </c>
      <c r="H706" s="56">
        <v>9085.0</v>
      </c>
      <c r="I706" s="127">
        <v>152.58</v>
      </c>
      <c r="J706" s="127">
        <v>97.44</v>
      </c>
      <c r="K706" s="83">
        <f t="shared" si="1"/>
        <v>1386189.3</v>
      </c>
      <c r="L706" s="83">
        <f t="shared" si="2"/>
        <v>885242.4</v>
      </c>
      <c r="M706" s="83">
        <f t="shared" si="3"/>
        <v>500946.9</v>
      </c>
      <c r="N706" s="46" t="str">
        <f>VLOOKUP(F706,products!$A$2:$B$13,2,FALSE)</f>
        <v>Snacks</v>
      </c>
      <c r="O706" s="46" t="s">
        <v>124</v>
      </c>
      <c r="P706" s="46">
        <f t="array" ref="P706">WEEKDAY(B706,2)</f>
        <v>5</v>
      </c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>
      <c r="A707" s="56">
        <v>5.69864976E8</v>
      </c>
      <c r="B707" s="126">
        <v>42295.0</v>
      </c>
      <c r="C707" s="126">
        <v>42338.0</v>
      </c>
      <c r="D707" s="56" t="s">
        <v>89</v>
      </c>
      <c r="E707" s="56" t="s">
        <v>122</v>
      </c>
      <c r="F707" s="56">
        <v>2103.0</v>
      </c>
      <c r="G707" s="56" t="s">
        <v>42</v>
      </c>
      <c r="H707" s="56">
        <v>4565.0</v>
      </c>
      <c r="I707" s="127">
        <v>205.7</v>
      </c>
      <c r="J707" s="127">
        <v>117.11</v>
      </c>
      <c r="K707" s="83">
        <f t="shared" si="1"/>
        <v>939020.5</v>
      </c>
      <c r="L707" s="83">
        <f t="shared" si="2"/>
        <v>534607.15</v>
      </c>
      <c r="M707" s="83">
        <f t="shared" si="3"/>
        <v>404413.35</v>
      </c>
      <c r="N707" s="46" t="str">
        <f>VLOOKUP(F707,products!$A$2:$B$13,2,FALSE)</f>
        <v>Cereal</v>
      </c>
      <c r="O707" s="46" t="s">
        <v>122</v>
      </c>
      <c r="P707" s="46">
        <f t="array" ref="P707">WEEKDAY(B707,2)</f>
        <v>7</v>
      </c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>
      <c r="A708" s="56">
        <v>5.69941365E8</v>
      </c>
      <c r="B708" s="126">
        <v>42667.0</v>
      </c>
      <c r="C708" s="126">
        <v>42700.0</v>
      </c>
      <c r="D708" s="56" t="s">
        <v>89</v>
      </c>
      <c r="E708" s="56" t="s">
        <v>128</v>
      </c>
      <c r="F708" s="56">
        <v>7331.0</v>
      </c>
      <c r="G708" s="56" t="s">
        <v>43</v>
      </c>
      <c r="H708" s="56">
        <v>7170.0</v>
      </c>
      <c r="I708" s="127">
        <v>255.28</v>
      </c>
      <c r="J708" s="127">
        <v>159.42</v>
      </c>
      <c r="K708" s="83">
        <f t="shared" si="1"/>
        <v>1830357.6</v>
      </c>
      <c r="L708" s="83">
        <f t="shared" si="2"/>
        <v>1143041.4</v>
      </c>
      <c r="M708" s="83">
        <f t="shared" si="3"/>
        <v>687316.2</v>
      </c>
      <c r="N708" s="46" t="str">
        <f>VLOOKUP(F708,products!$A$2:$B$13,2,FALSE)</f>
        <v>Baby Food</v>
      </c>
      <c r="O708" s="46" t="s">
        <v>128</v>
      </c>
      <c r="P708" s="46">
        <f t="array" ref="P708">WEEKDAY(B708,2)</f>
        <v>1</v>
      </c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>
      <c r="A709" s="56">
        <v>5.7047652E8</v>
      </c>
      <c r="B709" s="126">
        <v>40532.0</v>
      </c>
      <c r="C709" s="126">
        <v>40536.0</v>
      </c>
      <c r="D709" s="56" t="s">
        <v>93</v>
      </c>
      <c r="E709" s="56" t="s">
        <v>131</v>
      </c>
      <c r="F709" s="56">
        <v>7940.0</v>
      </c>
      <c r="G709" s="56" t="s">
        <v>43</v>
      </c>
      <c r="H709" s="56">
        <v>5534.0</v>
      </c>
      <c r="I709" s="127">
        <v>668.27</v>
      </c>
      <c r="J709" s="127">
        <v>502.54</v>
      </c>
      <c r="K709" s="83">
        <f t="shared" si="1"/>
        <v>3698206.18</v>
      </c>
      <c r="L709" s="83">
        <f t="shared" si="2"/>
        <v>2781056.36</v>
      </c>
      <c r="M709" s="83">
        <f t="shared" si="3"/>
        <v>917149.82</v>
      </c>
      <c r="N709" s="46" t="str">
        <f>VLOOKUP(F709,products!$A$2:$B$13,2,FALSE)</f>
        <v>Household</v>
      </c>
      <c r="O709" s="46" t="s">
        <v>131</v>
      </c>
      <c r="P709" s="46">
        <f t="array" ref="P709">WEEKDAY(B709,2)</f>
        <v>1</v>
      </c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>
      <c r="A710" s="56">
        <v>5.70703542E8</v>
      </c>
      <c r="B710" s="126">
        <v>40440.0</v>
      </c>
      <c r="C710" s="126">
        <v>40485.0</v>
      </c>
      <c r="D710" s="56" t="s">
        <v>10</v>
      </c>
      <c r="E710" s="56" t="s">
        <v>137</v>
      </c>
      <c r="F710" s="56">
        <v>3127.0</v>
      </c>
      <c r="G710" s="56" t="s">
        <v>42</v>
      </c>
      <c r="H710" s="56">
        <v>2715.0</v>
      </c>
      <c r="I710" s="127">
        <v>81.73</v>
      </c>
      <c r="J710" s="127">
        <v>56.67</v>
      </c>
      <c r="K710" s="83">
        <f t="shared" si="1"/>
        <v>221896.95</v>
      </c>
      <c r="L710" s="83">
        <f t="shared" si="2"/>
        <v>153859.05</v>
      </c>
      <c r="M710" s="83">
        <f t="shared" si="3"/>
        <v>68037.9</v>
      </c>
      <c r="N710" s="46" t="str">
        <f>VLOOKUP(F710,products!$A$2:$B$13,2,FALSE)</f>
        <v>Personal Care</v>
      </c>
      <c r="O710" s="46" t="s">
        <v>137</v>
      </c>
      <c r="P710" s="46">
        <f t="array" ref="P710">WEEKDAY(B710,2)</f>
        <v>7</v>
      </c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>
      <c r="A711" s="56">
        <v>5.71161448E8</v>
      </c>
      <c r="B711" s="126">
        <v>41876.0</v>
      </c>
      <c r="C711" s="126">
        <v>41912.0</v>
      </c>
      <c r="D711" s="56" t="s">
        <v>93</v>
      </c>
      <c r="E711" s="56" t="s">
        <v>114</v>
      </c>
      <c r="F711" s="56">
        <v>7940.0</v>
      </c>
      <c r="G711" s="56" t="s">
        <v>43</v>
      </c>
      <c r="H711" s="56">
        <v>8220.0</v>
      </c>
      <c r="I711" s="127">
        <v>668.27</v>
      </c>
      <c r="J711" s="127">
        <v>502.54</v>
      </c>
      <c r="K711" s="83">
        <f t="shared" si="1"/>
        <v>5493179.4</v>
      </c>
      <c r="L711" s="83">
        <f t="shared" si="2"/>
        <v>4130878.8</v>
      </c>
      <c r="M711" s="83">
        <f t="shared" si="3"/>
        <v>1362300.6</v>
      </c>
      <c r="N711" s="46" t="str">
        <f>VLOOKUP(F711,products!$A$2:$B$13,2,FALSE)</f>
        <v>Household</v>
      </c>
      <c r="O711" s="46" t="s">
        <v>114</v>
      </c>
      <c r="P711" s="46">
        <f t="array" ref="P711">WEEKDAY(B711,2)</f>
        <v>1</v>
      </c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>
      <c r="A712" s="56">
        <v>5.71323239E8</v>
      </c>
      <c r="B712" s="126">
        <v>42711.0</v>
      </c>
      <c r="C712" s="126">
        <v>42736.0</v>
      </c>
      <c r="D712" s="56" t="s">
        <v>89</v>
      </c>
      <c r="E712" s="56" t="s">
        <v>101</v>
      </c>
      <c r="F712" s="56">
        <v>5988.0</v>
      </c>
      <c r="G712" s="56" t="s">
        <v>43</v>
      </c>
      <c r="H712" s="56">
        <v>6097.0</v>
      </c>
      <c r="I712" s="127">
        <v>154.06</v>
      </c>
      <c r="J712" s="127">
        <v>90.93</v>
      </c>
      <c r="K712" s="83">
        <f t="shared" si="1"/>
        <v>939303.82</v>
      </c>
      <c r="L712" s="83">
        <f t="shared" si="2"/>
        <v>554400.21</v>
      </c>
      <c r="M712" s="83">
        <f t="shared" si="3"/>
        <v>384903.61</v>
      </c>
      <c r="N712" s="46" t="str">
        <f>VLOOKUP(F712,products!$A$2:$B$13,2,FALSE)</f>
        <v>Vegetables</v>
      </c>
      <c r="O712" s="46" t="s">
        <v>101</v>
      </c>
      <c r="P712" s="46">
        <f t="array" ref="P712">WEEKDAY(B712,2)</f>
        <v>3</v>
      </c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>
      <c r="A713" s="56">
        <v>5.72634732E8</v>
      </c>
      <c r="B713" s="126">
        <v>42443.0</v>
      </c>
      <c r="C713" s="126">
        <v>42461.0</v>
      </c>
      <c r="D713" s="56" t="s">
        <v>95</v>
      </c>
      <c r="E713" s="56" t="s">
        <v>105</v>
      </c>
      <c r="F713" s="56">
        <v>2103.0</v>
      </c>
      <c r="G713" s="56" t="s">
        <v>43</v>
      </c>
      <c r="H713" s="56">
        <v>4197.0</v>
      </c>
      <c r="I713" s="127">
        <v>205.7</v>
      </c>
      <c r="J713" s="127">
        <v>117.11</v>
      </c>
      <c r="K713" s="83">
        <f t="shared" si="1"/>
        <v>863322.9</v>
      </c>
      <c r="L713" s="83">
        <f t="shared" si="2"/>
        <v>491510.67</v>
      </c>
      <c r="M713" s="83">
        <f t="shared" si="3"/>
        <v>371812.23</v>
      </c>
      <c r="N713" s="46" t="str">
        <f>VLOOKUP(F713,products!$A$2:$B$13,2,FALSE)</f>
        <v>Cereal</v>
      </c>
      <c r="O713" s="46" t="s">
        <v>105</v>
      </c>
      <c r="P713" s="46">
        <f t="array" ref="P713">WEEKDAY(B713,2)</f>
        <v>1</v>
      </c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>
      <c r="A714" s="56">
        <v>5.74247491E8</v>
      </c>
      <c r="B714" s="126">
        <v>41248.0</v>
      </c>
      <c r="C714" s="126">
        <v>41260.0</v>
      </c>
      <c r="D714" s="56" t="s">
        <v>95</v>
      </c>
      <c r="E714" s="56" t="s">
        <v>114</v>
      </c>
      <c r="F714" s="56">
        <v>7940.0</v>
      </c>
      <c r="G714" s="56" t="s">
        <v>42</v>
      </c>
      <c r="H714" s="56">
        <v>1448.0</v>
      </c>
      <c r="I714" s="127">
        <v>668.27</v>
      </c>
      <c r="J714" s="127">
        <v>502.54</v>
      </c>
      <c r="K714" s="83">
        <f t="shared" si="1"/>
        <v>967654.96</v>
      </c>
      <c r="L714" s="83">
        <f t="shared" si="2"/>
        <v>727677.92</v>
      </c>
      <c r="M714" s="83">
        <f t="shared" si="3"/>
        <v>239977.04</v>
      </c>
      <c r="N714" s="46" t="str">
        <f>VLOOKUP(F714,products!$A$2:$B$13,2,FALSE)</f>
        <v>Household</v>
      </c>
      <c r="O714" s="46" t="s">
        <v>114</v>
      </c>
      <c r="P714" s="46">
        <f t="array" ref="P714">WEEKDAY(B714,2)</f>
        <v>3</v>
      </c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>
      <c r="A715" s="56">
        <v>5.74925124E8</v>
      </c>
      <c r="B715" s="126">
        <v>42914.0</v>
      </c>
      <c r="C715" s="126">
        <v>42929.0</v>
      </c>
      <c r="D715" s="56" t="s">
        <v>89</v>
      </c>
      <c r="E715" s="56" t="s">
        <v>113</v>
      </c>
      <c r="F715" s="56">
        <v>8293.0</v>
      </c>
      <c r="G715" s="56" t="s">
        <v>42</v>
      </c>
      <c r="H715" s="56">
        <v>1975.0</v>
      </c>
      <c r="I715" s="127">
        <v>437.2</v>
      </c>
      <c r="J715" s="127">
        <v>263.33</v>
      </c>
      <c r="K715" s="83">
        <f t="shared" si="1"/>
        <v>863470</v>
      </c>
      <c r="L715" s="83">
        <f t="shared" si="2"/>
        <v>520076.75</v>
      </c>
      <c r="M715" s="83">
        <f t="shared" si="3"/>
        <v>343393.25</v>
      </c>
      <c r="N715" s="46" t="str">
        <f>VLOOKUP(F715,products!$A$2:$B$13,2,FALSE)</f>
        <v>Cosmetics</v>
      </c>
      <c r="O715" s="46" t="s">
        <v>113</v>
      </c>
      <c r="P715" s="46">
        <f t="array" ref="P715">WEEKDAY(B715,2)</f>
        <v>3</v>
      </c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>
      <c r="A716" s="56">
        <v>5.7547959E8</v>
      </c>
      <c r="B716" s="126">
        <v>40578.0</v>
      </c>
      <c r="C716" s="126">
        <v>40624.0</v>
      </c>
      <c r="D716" s="56" t="s">
        <v>93</v>
      </c>
      <c r="E716" s="56" t="s">
        <v>128</v>
      </c>
      <c r="F716" s="56">
        <v>8969.0</v>
      </c>
      <c r="G716" s="56" t="s">
        <v>43</v>
      </c>
      <c r="H716" s="56">
        <v>6054.0</v>
      </c>
      <c r="I716" s="127">
        <v>152.58</v>
      </c>
      <c r="J716" s="127">
        <v>97.44</v>
      </c>
      <c r="K716" s="83">
        <f t="shared" si="1"/>
        <v>923719.32</v>
      </c>
      <c r="L716" s="83">
        <f t="shared" si="2"/>
        <v>589901.76</v>
      </c>
      <c r="M716" s="83">
        <f t="shared" si="3"/>
        <v>333817.56</v>
      </c>
      <c r="N716" s="46" t="str">
        <f>VLOOKUP(F716,products!$A$2:$B$13,2,FALSE)</f>
        <v>Snacks</v>
      </c>
      <c r="O716" s="46" t="s">
        <v>128</v>
      </c>
      <c r="P716" s="46">
        <f t="array" ref="P716">WEEKDAY(B716,2)</f>
        <v>5</v>
      </c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>
      <c r="A717" s="56">
        <v>5.75552117E8</v>
      </c>
      <c r="B717" s="126">
        <v>42097.0</v>
      </c>
      <c r="C717" s="126">
        <v>42120.0</v>
      </c>
      <c r="D717" s="56" t="s">
        <v>10</v>
      </c>
      <c r="E717" s="56" t="s">
        <v>118</v>
      </c>
      <c r="F717" s="56">
        <v>8681.0</v>
      </c>
      <c r="G717" s="56" t="s">
        <v>42</v>
      </c>
      <c r="H717" s="56">
        <v>7516.0</v>
      </c>
      <c r="I717" s="127">
        <v>651.21</v>
      </c>
      <c r="J717" s="127">
        <v>524.96</v>
      </c>
      <c r="K717" s="83">
        <f t="shared" si="1"/>
        <v>4894494.36</v>
      </c>
      <c r="L717" s="83">
        <f t="shared" si="2"/>
        <v>3945599.36</v>
      </c>
      <c r="M717" s="83">
        <f t="shared" si="3"/>
        <v>948895</v>
      </c>
      <c r="N717" s="46" t="str">
        <f>VLOOKUP(F717,products!$A$2:$B$13,2,FALSE)</f>
        <v>Office Supplies</v>
      </c>
      <c r="O717" s="46" t="s">
        <v>118</v>
      </c>
      <c r="P717" s="46">
        <f t="array" ref="P717">WEEKDAY(B717,2)</f>
        <v>5</v>
      </c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>
      <c r="A718" s="56">
        <v>5.75583016E8</v>
      </c>
      <c r="B718" s="126">
        <v>41221.0</v>
      </c>
      <c r="C718" s="126">
        <v>41237.0</v>
      </c>
      <c r="D718" s="56" t="s">
        <v>10</v>
      </c>
      <c r="E718" s="56" t="s">
        <v>133</v>
      </c>
      <c r="F718" s="56">
        <v>8681.0</v>
      </c>
      <c r="G718" s="56" t="s">
        <v>42</v>
      </c>
      <c r="H718" s="56">
        <v>6660.0</v>
      </c>
      <c r="I718" s="127">
        <v>651.21</v>
      </c>
      <c r="J718" s="127">
        <v>524.96</v>
      </c>
      <c r="K718" s="83">
        <f t="shared" si="1"/>
        <v>4337058.6</v>
      </c>
      <c r="L718" s="83">
        <f t="shared" si="2"/>
        <v>3496233.6</v>
      </c>
      <c r="M718" s="83">
        <f t="shared" si="3"/>
        <v>840825</v>
      </c>
      <c r="N718" s="46" t="str">
        <f>VLOOKUP(F718,products!$A$2:$B$13,2,FALSE)</f>
        <v>Office Supplies</v>
      </c>
      <c r="O718" s="46" t="s">
        <v>133</v>
      </c>
      <c r="P718" s="46">
        <f t="array" ref="P718">WEEKDAY(B718,2)</f>
        <v>4</v>
      </c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>
      <c r="A719" s="56">
        <v>5.75758969E8</v>
      </c>
      <c r="B719" s="126">
        <v>40617.0</v>
      </c>
      <c r="C719" s="126">
        <v>40631.0</v>
      </c>
      <c r="D719" s="56" t="s">
        <v>95</v>
      </c>
      <c r="E719" s="56" t="s">
        <v>97</v>
      </c>
      <c r="F719" s="56">
        <v>3127.0</v>
      </c>
      <c r="G719" s="56" t="s">
        <v>43</v>
      </c>
      <c r="H719" s="56">
        <v>8729.0</v>
      </c>
      <c r="I719" s="127">
        <v>81.73</v>
      </c>
      <c r="J719" s="127">
        <v>56.67</v>
      </c>
      <c r="K719" s="83">
        <f t="shared" si="1"/>
        <v>713421.17</v>
      </c>
      <c r="L719" s="83">
        <f t="shared" si="2"/>
        <v>494672.43</v>
      </c>
      <c r="M719" s="83">
        <f t="shared" si="3"/>
        <v>218748.74</v>
      </c>
      <c r="N719" s="46" t="str">
        <f>VLOOKUP(F719,products!$A$2:$B$13,2,FALSE)</f>
        <v>Personal Care</v>
      </c>
      <c r="O719" s="46" t="s">
        <v>97</v>
      </c>
      <c r="P719" s="46">
        <f t="array" ref="P719">WEEKDAY(B719,2)</f>
        <v>2</v>
      </c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>
      <c r="A720" s="56">
        <v>5.7694472E8</v>
      </c>
      <c r="B720" s="126">
        <v>42643.0</v>
      </c>
      <c r="C720" s="126">
        <v>42652.0</v>
      </c>
      <c r="D720" s="56" t="s">
        <v>93</v>
      </c>
      <c r="E720" s="56" t="s">
        <v>131</v>
      </c>
      <c r="F720" s="56">
        <v>8293.0</v>
      </c>
      <c r="G720" s="56" t="s">
        <v>42</v>
      </c>
      <c r="H720" s="56">
        <v>9619.0</v>
      </c>
      <c r="I720" s="127">
        <v>437.2</v>
      </c>
      <c r="J720" s="127">
        <v>263.33</v>
      </c>
      <c r="K720" s="83">
        <f t="shared" si="1"/>
        <v>4205426.8</v>
      </c>
      <c r="L720" s="83">
        <f t="shared" si="2"/>
        <v>2532971.27</v>
      </c>
      <c r="M720" s="83">
        <f t="shared" si="3"/>
        <v>1672455.53</v>
      </c>
      <c r="N720" s="46" t="str">
        <f>VLOOKUP(F720,products!$A$2:$B$13,2,FALSE)</f>
        <v>Cosmetics</v>
      </c>
      <c r="O720" s="46" t="s">
        <v>131</v>
      </c>
      <c r="P720" s="46">
        <f t="array" ref="P720">WEEKDAY(B720,2)</f>
        <v>5</v>
      </c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>
      <c r="A721" s="56">
        <v>5.77530944E8</v>
      </c>
      <c r="B721" s="126">
        <v>41021.0</v>
      </c>
      <c r="C721" s="126">
        <v>41044.0</v>
      </c>
      <c r="D721" s="56" t="s">
        <v>10</v>
      </c>
      <c r="E721" s="56" t="s">
        <v>114</v>
      </c>
      <c r="F721" s="56">
        <v>3127.0</v>
      </c>
      <c r="G721" s="56" t="s">
        <v>43</v>
      </c>
      <c r="H721" s="56">
        <v>3095.0</v>
      </c>
      <c r="I721" s="127">
        <v>81.73</v>
      </c>
      <c r="J721" s="127">
        <v>56.67</v>
      </c>
      <c r="K721" s="83">
        <f t="shared" si="1"/>
        <v>252954.35</v>
      </c>
      <c r="L721" s="83">
        <f t="shared" si="2"/>
        <v>175393.65</v>
      </c>
      <c r="M721" s="83">
        <f t="shared" si="3"/>
        <v>77560.7</v>
      </c>
      <c r="N721" s="46" t="str">
        <f>VLOOKUP(F721,products!$A$2:$B$13,2,FALSE)</f>
        <v>Personal Care</v>
      </c>
      <c r="O721" s="46" t="s">
        <v>114</v>
      </c>
      <c r="P721" s="46">
        <f t="array" ref="P721">WEEKDAY(B721,2)</f>
        <v>7</v>
      </c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>
      <c r="A722" s="56">
        <v>5.78356206E8</v>
      </c>
      <c r="B722" s="126">
        <v>42194.0</v>
      </c>
      <c r="C722" s="126">
        <v>42200.0</v>
      </c>
      <c r="D722" s="56" t="s">
        <v>89</v>
      </c>
      <c r="E722" s="56" t="s">
        <v>137</v>
      </c>
      <c r="F722" s="56">
        <v>8875.0</v>
      </c>
      <c r="G722" s="56" t="s">
        <v>43</v>
      </c>
      <c r="H722" s="56">
        <v>7309.0</v>
      </c>
      <c r="I722" s="127">
        <v>421.89</v>
      </c>
      <c r="J722" s="127">
        <v>364.69</v>
      </c>
      <c r="K722" s="83">
        <f t="shared" si="1"/>
        <v>3083594.01</v>
      </c>
      <c r="L722" s="83">
        <f t="shared" si="2"/>
        <v>2665519.21</v>
      </c>
      <c r="M722" s="83">
        <f t="shared" si="3"/>
        <v>418074.8</v>
      </c>
      <c r="N722" s="46" t="str">
        <f>VLOOKUP(F722,products!$A$2:$B$13,2,FALSE)</f>
        <v>Meat</v>
      </c>
      <c r="O722" s="46" t="s">
        <v>137</v>
      </c>
      <c r="P722" s="46">
        <f t="array" ref="P722">WEEKDAY(B722,2)</f>
        <v>4</v>
      </c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>
      <c r="A723" s="56">
        <v>5.78666484E8</v>
      </c>
      <c r="B723" s="126">
        <v>41357.0</v>
      </c>
      <c r="C723" s="126">
        <v>41375.0</v>
      </c>
      <c r="D723" s="56" t="s">
        <v>95</v>
      </c>
      <c r="E723" s="56" t="s">
        <v>111</v>
      </c>
      <c r="F723" s="56">
        <v>4594.0</v>
      </c>
      <c r="G723" s="56" t="s">
        <v>42</v>
      </c>
      <c r="H723" s="56">
        <v>9127.0</v>
      </c>
      <c r="I723" s="127">
        <v>9.33</v>
      </c>
      <c r="J723" s="127">
        <v>6.92</v>
      </c>
      <c r="K723" s="83">
        <f t="shared" si="1"/>
        <v>85154.91</v>
      </c>
      <c r="L723" s="83">
        <f t="shared" si="2"/>
        <v>63158.84</v>
      </c>
      <c r="M723" s="83">
        <f t="shared" si="3"/>
        <v>21996.07</v>
      </c>
      <c r="N723" s="46" t="str">
        <f>VLOOKUP(F723,products!$A$2:$B$13,2,FALSE)</f>
        <v>Fruits</v>
      </c>
      <c r="O723" s="46" t="s">
        <v>111</v>
      </c>
      <c r="P723" s="46">
        <f t="array" ref="P723">WEEKDAY(B723,2)</f>
        <v>7</v>
      </c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>
      <c r="A724" s="56">
        <v>5.79094779E8</v>
      </c>
      <c r="B724" s="126">
        <v>40520.0</v>
      </c>
      <c r="C724" s="126">
        <v>40523.0</v>
      </c>
      <c r="D724" s="56" t="s">
        <v>89</v>
      </c>
      <c r="E724" s="56" t="s">
        <v>108</v>
      </c>
      <c r="F724" s="56">
        <v>5988.0</v>
      </c>
      <c r="G724" s="56" t="s">
        <v>42</v>
      </c>
      <c r="H724" s="56">
        <v>5869.0</v>
      </c>
      <c r="I724" s="127">
        <v>154.06</v>
      </c>
      <c r="J724" s="127">
        <v>90.93</v>
      </c>
      <c r="K724" s="83">
        <f t="shared" si="1"/>
        <v>904178.14</v>
      </c>
      <c r="L724" s="83">
        <f t="shared" si="2"/>
        <v>533668.17</v>
      </c>
      <c r="M724" s="83">
        <f t="shared" si="3"/>
        <v>370509.97</v>
      </c>
      <c r="N724" s="46" t="str">
        <f>VLOOKUP(F724,products!$A$2:$B$13,2,FALSE)</f>
        <v>Vegetables</v>
      </c>
      <c r="O724" s="46" t="s">
        <v>108</v>
      </c>
      <c r="P724" s="46">
        <f t="array" ref="P724">WEEKDAY(B724,2)</f>
        <v>3</v>
      </c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>
      <c r="A725" s="56">
        <v>5.79463422E8</v>
      </c>
      <c r="B725" s="126">
        <v>42641.0</v>
      </c>
      <c r="C725" s="126">
        <v>42675.0</v>
      </c>
      <c r="D725" s="56" t="s">
        <v>93</v>
      </c>
      <c r="E725" s="56" t="s">
        <v>117</v>
      </c>
      <c r="F725" s="56">
        <v>4594.0</v>
      </c>
      <c r="G725" s="56" t="s">
        <v>43</v>
      </c>
      <c r="H725" s="56">
        <v>4958.0</v>
      </c>
      <c r="I725" s="127">
        <v>9.33</v>
      </c>
      <c r="J725" s="127">
        <v>6.92</v>
      </c>
      <c r="K725" s="83">
        <f t="shared" si="1"/>
        <v>46258.14</v>
      </c>
      <c r="L725" s="83">
        <f t="shared" si="2"/>
        <v>34309.36</v>
      </c>
      <c r="M725" s="83">
        <f t="shared" si="3"/>
        <v>11948.78</v>
      </c>
      <c r="N725" s="46" t="str">
        <f>VLOOKUP(F725,products!$A$2:$B$13,2,FALSE)</f>
        <v>Fruits</v>
      </c>
      <c r="O725" s="46" t="s">
        <v>117</v>
      </c>
      <c r="P725" s="46">
        <f t="array" ref="P725">WEEKDAY(B725,2)</f>
        <v>3</v>
      </c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>
      <c r="A726" s="56">
        <v>5.80314862E8</v>
      </c>
      <c r="B726" s="126">
        <v>42496.0</v>
      </c>
      <c r="C726" s="126">
        <v>42502.0</v>
      </c>
      <c r="D726" s="56" t="s">
        <v>10</v>
      </c>
      <c r="E726" s="56" t="s">
        <v>137</v>
      </c>
      <c r="F726" s="56">
        <v>7331.0</v>
      </c>
      <c r="G726" s="56" t="s">
        <v>42</v>
      </c>
      <c r="H726" s="56">
        <v>6918.0</v>
      </c>
      <c r="I726" s="127">
        <v>255.28</v>
      </c>
      <c r="J726" s="127">
        <v>159.42</v>
      </c>
      <c r="K726" s="83">
        <f t="shared" si="1"/>
        <v>1766027.04</v>
      </c>
      <c r="L726" s="83">
        <f t="shared" si="2"/>
        <v>1102867.56</v>
      </c>
      <c r="M726" s="83">
        <f t="shared" si="3"/>
        <v>663159.48</v>
      </c>
      <c r="N726" s="46" t="str">
        <f>VLOOKUP(F726,products!$A$2:$B$13,2,FALSE)</f>
        <v>Baby Food</v>
      </c>
      <c r="O726" s="46" t="s">
        <v>137</v>
      </c>
      <c r="P726" s="46">
        <f t="array" ref="P726">WEEKDAY(B726,2)</f>
        <v>5</v>
      </c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>
      <c r="A727" s="56">
        <v>5.80342328E8</v>
      </c>
      <c r="B727" s="126">
        <v>40796.0</v>
      </c>
      <c r="C727" s="126">
        <v>40830.0</v>
      </c>
      <c r="D727" s="56" t="s">
        <v>95</v>
      </c>
      <c r="E727" s="56" t="s">
        <v>101</v>
      </c>
      <c r="F727" s="56">
        <v>2103.0</v>
      </c>
      <c r="G727" s="56" t="s">
        <v>42</v>
      </c>
      <c r="H727" s="56">
        <v>5046.0</v>
      </c>
      <c r="I727" s="127">
        <v>205.7</v>
      </c>
      <c r="J727" s="127">
        <v>117.11</v>
      </c>
      <c r="K727" s="83">
        <f t="shared" si="1"/>
        <v>1037962.2</v>
      </c>
      <c r="L727" s="83">
        <f t="shared" si="2"/>
        <v>590937.06</v>
      </c>
      <c r="M727" s="83">
        <f t="shared" si="3"/>
        <v>447025.14</v>
      </c>
      <c r="N727" s="46" t="str">
        <f>VLOOKUP(F727,products!$A$2:$B$13,2,FALSE)</f>
        <v>Cereal</v>
      </c>
      <c r="O727" s="46" t="s">
        <v>101</v>
      </c>
      <c r="P727" s="46">
        <f t="array" ref="P727">WEEKDAY(B727,2)</f>
        <v>6</v>
      </c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>
      <c r="A728" s="56">
        <v>5.80463349E8</v>
      </c>
      <c r="B728" s="126">
        <v>40826.0</v>
      </c>
      <c r="C728" s="126">
        <v>40855.0</v>
      </c>
      <c r="D728" s="56" t="s">
        <v>10</v>
      </c>
      <c r="E728" s="56" t="s">
        <v>113</v>
      </c>
      <c r="F728" s="56">
        <v>2103.0</v>
      </c>
      <c r="G728" s="56" t="s">
        <v>42</v>
      </c>
      <c r="H728" s="56">
        <v>859.0</v>
      </c>
      <c r="I728" s="127">
        <v>205.7</v>
      </c>
      <c r="J728" s="127">
        <v>117.11</v>
      </c>
      <c r="K728" s="83">
        <f t="shared" si="1"/>
        <v>176696.3</v>
      </c>
      <c r="L728" s="83">
        <f t="shared" si="2"/>
        <v>100597.49</v>
      </c>
      <c r="M728" s="83">
        <f t="shared" si="3"/>
        <v>76098.81</v>
      </c>
      <c r="N728" s="46" t="str">
        <f>VLOOKUP(F728,products!$A$2:$B$13,2,FALSE)</f>
        <v>Cereal</v>
      </c>
      <c r="O728" s="46" t="s">
        <v>113</v>
      </c>
      <c r="P728" s="46">
        <f t="array" ref="P728">WEEKDAY(B728,2)</f>
        <v>1</v>
      </c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>
      <c r="A729" s="56">
        <v>5.8056935E8</v>
      </c>
      <c r="B729" s="126">
        <v>40704.0</v>
      </c>
      <c r="C729" s="126">
        <v>40727.0</v>
      </c>
      <c r="D729" s="56" t="s">
        <v>89</v>
      </c>
      <c r="E729" s="56" t="s">
        <v>127</v>
      </c>
      <c r="F729" s="56">
        <v>1270.0</v>
      </c>
      <c r="G729" s="56" t="s">
        <v>42</v>
      </c>
      <c r="H729" s="56">
        <v>2227.0</v>
      </c>
      <c r="I729" s="127">
        <v>47.45</v>
      </c>
      <c r="J729" s="127">
        <v>31.79</v>
      </c>
      <c r="K729" s="83">
        <f t="shared" si="1"/>
        <v>105671.15</v>
      </c>
      <c r="L729" s="83">
        <f t="shared" si="2"/>
        <v>70796.33</v>
      </c>
      <c r="M729" s="83">
        <f t="shared" si="3"/>
        <v>34874.82</v>
      </c>
      <c r="N729" s="46" t="str">
        <f>VLOOKUP(F729,products!$A$2:$B$13,2,FALSE)</f>
        <v>Beverages</v>
      </c>
      <c r="O729" s="46" t="s">
        <v>127</v>
      </c>
      <c r="P729" s="46">
        <f t="array" ref="P729">WEEKDAY(B729,2)</f>
        <v>5</v>
      </c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>
      <c r="A730" s="56">
        <v>5.8078221E8</v>
      </c>
      <c r="B730" s="126">
        <v>42051.0</v>
      </c>
      <c r="C730" s="126">
        <v>42055.0</v>
      </c>
      <c r="D730" s="56" t="s">
        <v>10</v>
      </c>
      <c r="E730" s="56" t="e">
        <v>#N/A</v>
      </c>
      <c r="F730" s="56">
        <v>8681.0</v>
      </c>
      <c r="G730" s="56" t="s">
        <v>43</v>
      </c>
      <c r="H730" s="56">
        <v>5217.0</v>
      </c>
      <c r="I730" s="127">
        <v>651.21</v>
      </c>
      <c r="J730" s="127">
        <v>524.96</v>
      </c>
      <c r="K730" s="83">
        <f t="shared" si="1"/>
        <v>3397362.57</v>
      </c>
      <c r="L730" s="83">
        <f t="shared" si="2"/>
        <v>2738716.32</v>
      </c>
      <c r="M730" s="83">
        <f t="shared" si="3"/>
        <v>658646.25</v>
      </c>
      <c r="N730" s="46" t="str">
        <f>VLOOKUP(F730,products!$A$2:$B$13,2,FALSE)</f>
        <v>Office Supplies</v>
      </c>
      <c r="O730" s="46" t="s">
        <v>92</v>
      </c>
      <c r="P730" s="46">
        <f t="array" ref="P730">WEEKDAY(B730,2)</f>
        <v>1</v>
      </c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>
      <c r="A731" s="56">
        <v>5.81193768E8</v>
      </c>
      <c r="B731" s="126">
        <v>40651.0</v>
      </c>
      <c r="C731" s="126">
        <v>40657.0</v>
      </c>
      <c r="D731" s="56" t="s">
        <v>89</v>
      </c>
      <c r="E731" s="56" t="s">
        <v>108</v>
      </c>
      <c r="F731" s="56">
        <v>8969.0</v>
      </c>
      <c r="G731" s="56" t="s">
        <v>43</v>
      </c>
      <c r="H731" s="56">
        <v>7006.0</v>
      </c>
      <c r="I731" s="127">
        <v>152.58</v>
      </c>
      <c r="J731" s="127">
        <v>97.44</v>
      </c>
      <c r="K731" s="83">
        <f t="shared" si="1"/>
        <v>1068975.48</v>
      </c>
      <c r="L731" s="83">
        <f t="shared" si="2"/>
        <v>682664.64</v>
      </c>
      <c r="M731" s="83">
        <f t="shared" si="3"/>
        <v>386310.84</v>
      </c>
      <c r="N731" s="46" t="str">
        <f>VLOOKUP(F731,products!$A$2:$B$13,2,FALSE)</f>
        <v>Snacks</v>
      </c>
      <c r="O731" s="46" t="s">
        <v>108</v>
      </c>
      <c r="P731" s="46">
        <f t="array" ref="P731">WEEKDAY(B731,2)</f>
        <v>1</v>
      </c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>
      <c r="A732" s="56">
        <v>5.82560193E8</v>
      </c>
      <c r="B732" s="126">
        <v>42515.0</v>
      </c>
      <c r="C732" s="126">
        <v>42518.0</v>
      </c>
      <c r="D732" s="56" t="s">
        <v>93</v>
      </c>
      <c r="E732" s="56" t="s">
        <v>99</v>
      </c>
      <c r="F732" s="56">
        <v>7940.0</v>
      </c>
      <c r="G732" s="56" t="s">
        <v>43</v>
      </c>
      <c r="H732" s="56">
        <v>1362.0</v>
      </c>
      <c r="I732" s="127">
        <v>668.27</v>
      </c>
      <c r="J732" s="127">
        <v>502.54</v>
      </c>
      <c r="K732" s="83">
        <f t="shared" si="1"/>
        <v>910183.74</v>
      </c>
      <c r="L732" s="83">
        <f t="shared" si="2"/>
        <v>684459.48</v>
      </c>
      <c r="M732" s="83">
        <f t="shared" si="3"/>
        <v>225724.26</v>
      </c>
      <c r="N732" s="46" t="str">
        <f>VLOOKUP(F732,products!$A$2:$B$13,2,FALSE)</f>
        <v>Household</v>
      </c>
      <c r="O732" s="46" t="s">
        <v>99</v>
      </c>
      <c r="P732" s="46">
        <f t="array" ref="P732">WEEKDAY(B732,2)</f>
        <v>3</v>
      </c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>
      <c r="A733" s="56">
        <v>5.82563626E8</v>
      </c>
      <c r="B733" s="126">
        <v>40574.0</v>
      </c>
      <c r="C733" s="126">
        <v>40593.0</v>
      </c>
      <c r="D733" s="56" t="s">
        <v>89</v>
      </c>
      <c r="E733" s="56" t="e">
        <v>#N/A</v>
      </c>
      <c r="F733" s="56">
        <v>7940.0</v>
      </c>
      <c r="G733" s="56" t="s">
        <v>43</v>
      </c>
      <c r="H733" s="56">
        <v>2378.0</v>
      </c>
      <c r="I733" s="127">
        <v>668.27</v>
      </c>
      <c r="J733" s="127">
        <v>502.54</v>
      </c>
      <c r="K733" s="83">
        <f t="shared" si="1"/>
        <v>1589146.06</v>
      </c>
      <c r="L733" s="83">
        <f t="shared" si="2"/>
        <v>1195040.12</v>
      </c>
      <c r="M733" s="83">
        <f t="shared" si="3"/>
        <v>394105.94</v>
      </c>
      <c r="N733" s="46" t="str">
        <f>VLOOKUP(F733,products!$A$2:$B$13,2,FALSE)</f>
        <v>Household</v>
      </c>
      <c r="O733" s="46" t="s">
        <v>92</v>
      </c>
      <c r="P733" s="46">
        <f t="array" ref="P733">WEEKDAY(B733,2)</f>
        <v>1</v>
      </c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>
      <c r="A734" s="56">
        <v>5.82836139E8</v>
      </c>
      <c r="B734" s="126">
        <v>41729.0</v>
      </c>
      <c r="C734" s="126">
        <v>41734.0</v>
      </c>
      <c r="D734" s="56" t="s">
        <v>95</v>
      </c>
      <c r="E734" s="56" t="s">
        <v>128</v>
      </c>
      <c r="F734" s="56">
        <v>8681.0</v>
      </c>
      <c r="G734" s="56" t="s">
        <v>43</v>
      </c>
      <c r="H734" s="56">
        <v>3020.0</v>
      </c>
      <c r="I734" s="127">
        <v>651.21</v>
      </c>
      <c r="J734" s="127">
        <v>524.96</v>
      </c>
      <c r="K734" s="83">
        <f t="shared" si="1"/>
        <v>1966654.2</v>
      </c>
      <c r="L734" s="83">
        <f t="shared" si="2"/>
        <v>1585379.2</v>
      </c>
      <c r="M734" s="83">
        <f t="shared" si="3"/>
        <v>381275</v>
      </c>
      <c r="N734" s="46" t="str">
        <f>VLOOKUP(F734,products!$A$2:$B$13,2,FALSE)</f>
        <v>Office Supplies</v>
      </c>
      <c r="O734" s="46" t="s">
        <v>128</v>
      </c>
      <c r="P734" s="46">
        <f t="array" ref="P734">WEEKDAY(B734,2)</f>
        <v>1</v>
      </c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>
      <c r="A735" s="56">
        <v>5.83089339E8</v>
      </c>
      <c r="B735" s="126">
        <v>40320.0</v>
      </c>
      <c r="C735" s="126">
        <v>40355.0</v>
      </c>
      <c r="D735" s="56" t="s">
        <v>10</v>
      </c>
      <c r="E735" s="56" t="s">
        <v>138</v>
      </c>
      <c r="F735" s="56">
        <v>8293.0</v>
      </c>
      <c r="G735" s="56" t="s">
        <v>43</v>
      </c>
      <c r="H735" s="56">
        <v>7948.0</v>
      </c>
      <c r="I735" s="127">
        <v>437.2</v>
      </c>
      <c r="J735" s="127">
        <v>263.33</v>
      </c>
      <c r="K735" s="83">
        <f t="shared" si="1"/>
        <v>3474865.6</v>
      </c>
      <c r="L735" s="83">
        <f t="shared" si="2"/>
        <v>2092946.84</v>
      </c>
      <c r="M735" s="83">
        <f t="shared" si="3"/>
        <v>1381918.76</v>
      </c>
      <c r="N735" s="46" t="str">
        <f>VLOOKUP(F735,products!$A$2:$B$13,2,FALSE)</f>
        <v>Cosmetics</v>
      </c>
      <c r="O735" s="46" t="s">
        <v>138</v>
      </c>
      <c r="P735" s="46">
        <f t="array" ref="P735">WEEKDAY(B735,2)</f>
        <v>6</v>
      </c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>
      <c r="A736" s="56">
        <v>5.83451974E8</v>
      </c>
      <c r="B736" s="126">
        <v>42380.0</v>
      </c>
      <c r="C736" s="126">
        <v>42405.0</v>
      </c>
      <c r="D736" s="56" t="s">
        <v>95</v>
      </c>
      <c r="E736" s="56" t="e">
        <v>#N/A</v>
      </c>
      <c r="F736" s="56">
        <v>8969.0</v>
      </c>
      <c r="G736" s="56" t="s">
        <v>42</v>
      </c>
      <c r="H736" s="56">
        <v>5260.0</v>
      </c>
      <c r="I736" s="127">
        <v>152.58</v>
      </c>
      <c r="J736" s="127">
        <v>97.44</v>
      </c>
      <c r="K736" s="83">
        <f t="shared" si="1"/>
        <v>802570.8</v>
      </c>
      <c r="L736" s="83">
        <f t="shared" si="2"/>
        <v>512534.4</v>
      </c>
      <c r="M736" s="83">
        <f t="shared" si="3"/>
        <v>290036.4</v>
      </c>
      <c r="N736" s="46" t="str">
        <f>VLOOKUP(F736,products!$A$2:$B$13,2,FALSE)</f>
        <v>Snacks</v>
      </c>
      <c r="O736" s="46" t="s">
        <v>92</v>
      </c>
      <c r="P736" s="46">
        <f t="array" ref="P736">WEEKDAY(B736,2)</f>
        <v>1</v>
      </c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>
      <c r="A737" s="56">
        <v>5.83654105E8</v>
      </c>
      <c r="B737" s="126">
        <v>40458.0</v>
      </c>
      <c r="C737" s="126">
        <v>40470.0</v>
      </c>
      <c r="D737" s="56" t="s">
        <v>10</v>
      </c>
      <c r="E737" s="56" t="s">
        <v>115</v>
      </c>
      <c r="F737" s="56">
        <v>8969.0</v>
      </c>
      <c r="G737" s="56" t="s">
        <v>43</v>
      </c>
      <c r="H737" s="56">
        <v>5075.0</v>
      </c>
      <c r="I737" s="127">
        <v>152.58</v>
      </c>
      <c r="J737" s="127">
        <v>97.44</v>
      </c>
      <c r="K737" s="83">
        <f t="shared" si="1"/>
        <v>774343.5</v>
      </c>
      <c r="L737" s="83">
        <f t="shared" si="2"/>
        <v>494508</v>
      </c>
      <c r="M737" s="83">
        <f t="shared" si="3"/>
        <v>279835.5</v>
      </c>
      <c r="N737" s="46" t="str">
        <f>VLOOKUP(F737,products!$A$2:$B$13,2,FALSE)</f>
        <v>Snacks</v>
      </c>
      <c r="O737" s="46" t="s">
        <v>115</v>
      </c>
      <c r="P737" s="46">
        <f t="array" ref="P737">WEEKDAY(B737,2)</f>
        <v>4</v>
      </c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>
      <c r="A738" s="56">
        <v>5.85362994E8</v>
      </c>
      <c r="B738" s="126">
        <v>40229.0</v>
      </c>
      <c r="C738" s="126">
        <v>40279.0</v>
      </c>
      <c r="D738" s="56" t="s">
        <v>93</v>
      </c>
      <c r="E738" s="56" t="s">
        <v>96</v>
      </c>
      <c r="F738" s="56">
        <v>7940.0</v>
      </c>
      <c r="G738" s="56" t="s">
        <v>42</v>
      </c>
      <c r="H738" s="56">
        <v>773.0</v>
      </c>
      <c r="I738" s="127">
        <v>668.27</v>
      </c>
      <c r="J738" s="127">
        <v>502.54</v>
      </c>
      <c r="K738" s="83">
        <f t="shared" si="1"/>
        <v>516572.71</v>
      </c>
      <c r="L738" s="83">
        <f t="shared" si="2"/>
        <v>388463.42</v>
      </c>
      <c r="M738" s="83">
        <f t="shared" si="3"/>
        <v>128109.29</v>
      </c>
      <c r="N738" s="46" t="str">
        <f>VLOOKUP(F738,products!$A$2:$B$13,2,FALSE)</f>
        <v>Household</v>
      </c>
      <c r="O738" s="46" t="s">
        <v>96</v>
      </c>
      <c r="P738" s="46">
        <f t="array" ref="P738">WEEKDAY(B738,2)</f>
        <v>6</v>
      </c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>
      <c r="A739" s="56">
        <v>5.85677134E8</v>
      </c>
      <c r="B739" s="126">
        <v>41012.0</v>
      </c>
      <c r="C739" s="126">
        <v>41033.0</v>
      </c>
      <c r="D739" s="56" t="s">
        <v>95</v>
      </c>
      <c r="E739" s="56" t="s">
        <v>135</v>
      </c>
      <c r="F739" s="56">
        <v>8969.0</v>
      </c>
      <c r="G739" s="56" t="s">
        <v>43</v>
      </c>
      <c r="H739" s="56">
        <v>3734.0</v>
      </c>
      <c r="I739" s="127">
        <v>152.58</v>
      </c>
      <c r="J739" s="127">
        <v>97.44</v>
      </c>
      <c r="K739" s="83">
        <f t="shared" si="1"/>
        <v>569733.72</v>
      </c>
      <c r="L739" s="83">
        <f t="shared" si="2"/>
        <v>363840.96</v>
      </c>
      <c r="M739" s="83">
        <f t="shared" si="3"/>
        <v>205892.76</v>
      </c>
      <c r="N739" s="46" t="str">
        <f>VLOOKUP(F739,products!$A$2:$B$13,2,FALSE)</f>
        <v>Snacks</v>
      </c>
      <c r="O739" s="46" t="s">
        <v>135</v>
      </c>
      <c r="P739" s="46">
        <f t="array" ref="P739">WEEKDAY(B739,2)</f>
        <v>5</v>
      </c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>
      <c r="A740" s="56">
        <v>5.86812674E8</v>
      </c>
      <c r="B740" s="126">
        <v>41348.0</v>
      </c>
      <c r="C740" s="126">
        <v>41364.0</v>
      </c>
      <c r="D740" s="56" t="s">
        <v>89</v>
      </c>
      <c r="E740" s="56" t="s">
        <v>111</v>
      </c>
      <c r="F740" s="56">
        <v>8681.0</v>
      </c>
      <c r="G740" s="56" t="s">
        <v>42</v>
      </c>
      <c r="H740" s="56">
        <v>9766.0</v>
      </c>
      <c r="I740" s="127">
        <v>651.21</v>
      </c>
      <c r="J740" s="127">
        <v>524.96</v>
      </c>
      <c r="K740" s="83">
        <f t="shared" si="1"/>
        <v>6359716.86</v>
      </c>
      <c r="L740" s="83">
        <f t="shared" si="2"/>
        <v>5126759.36</v>
      </c>
      <c r="M740" s="83">
        <f t="shared" si="3"/>
        <v>1232957.5</v>
      </c>
      <c r="N740" s="46" t="str">
        <f>VLOOKUP(F740,products!$A$2:$B$13,2,FALSE)</f>
        <v>Office Supplies</v>
      </c>
      <c r="O740" s="46" t="s">
        <v>111</v>
      </c>
      <c r="P740" s="46">
        <f t="array" ref="P740">WEEKDAY(B740,2)</f>
        <v>5</v>
      </c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>
      <c r="A741" s="56">
        <v>5.87598884E8</v>
      </c>
      <c r="B741" s="126">
        <v>42129.0</v>
      </c>
      <c r="C741" s="126">
        <v>42168.0</v>
      </c>
      <c r="D741" s="56" t="s">
        <v>95</v>
      </c>
      <c r="E741" s="56" t="s">
        <v>138</v>
      </c>
      <c r="F741" s="56">
        <v>2103.0</v>
      </c>
      <c r="G741" s="56" t="s">
        <v>43</v>
      </c>
      <c r="H741" s="56">
        <v>2422.0</v>
      </c>
      <c r="I741" s="127">
        <v>205.7</v>
      </c>
      <c r="J741" s="127">
        <v>117.11</v>
      </c>
      <c r="K741" s="83">
        <f t="shared" si="1"/>
        <v>498205.4</v>
      </c>
      <c r="L741" s="83">
        <f t="shared" si="2"/>
        <v>283640.42</v>
      </c>
      <c r="M741" s="83">
        <f t="shared" si="3"/>
        <v>214564.98</v>
      </c>
      <c r="N741" s="46" t="str">
        <f>VLOOKUP(F741,products!$A$2:$B$13,2,FALSE)</f>
        <v>Cereal</v>
      </c>
      <c r="O741" s="46" t="s">
        <v>138</v>
      </c>
      <c r="P741" s="46">
        <f t="array" ref="P741">WEEKDAY(B741,2)</f>
        <v>2</v>
      </c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>
      <c r="A742" s="56">
        <v>5.87799727E8</v>
      </c>
      <c r="B742" s="126">
        <v>40589.0</v>
      </c>
      <c r="C742" s="126">
        <v>40629.0</v>
      </c>
      <c r="D742" s="56" t="s">
        <v>93</v>
      </c>
      <c r="E742" s="56" t="s">
        <v>120</v>
      </c>
      <c r="F742" s="56">
        <v>7331.0</v>
      </c>
      <c r="G742" s="56" t="s">
        <v>42</v>
      </c>
      <c r="H742" s="56">
        <v>1856.0</v>
      </c>
      <c r="I742" s="127">
        <v>255.28</v>
      </c>
      <c r="J742" s="127">
        <v>159.42</v>
      </c>
      <c r="K742" s="83">
        <f t="shared" si="1"/>
        <v>473799.68</v>
      </c>
      <c r="L742" s="83">
        <f t="shared" si="2"/>
        <v>295883.52</v>
      </c>
      <c r="M742" s="83">
        <f t="shared" si="3"/>
        <v>177916.16</v>
      </c>
      <c r="N742" s="46" t="str">
        <f>VLOOKUP(F742,products!$A$2:$B$13,2,FALSE)</f>
        <v>Baby Food</v>
      </c>
      <c r="O742" s="46" t="s">
        <v>120</v>
      </c>
      <c r="P742" s="46">
        <f t="array" ref="P742">WEEKDAY(B742,2)</f>
        <v>2</v>
      </c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>
      <c r="A743" s="56">
        <v>5.87846076E8</v>
      </c>
      <c r="B743" s="126">
        <v>40659.0</v>
      </c>
      <c r="C743" s="126">
        <v>40687.0</v>
      </c>
      <c r="D743" s="56" t="s">
        <v>10</v>
      </c>
      <c r="E743" s="56" t="s">
        <v>132</v>
      </c>
      <c r="F743" s="56">
        <v>3127.0</v>
      </c>
      <c r="G743" s="56" t="s">
        <v>43</v>
      </c>
      <c r="H743" s="56">
        <v>5572.0</v>
      </c>
      <c r="I743" s="127">
        <v>81.73</v>
      </c>
      <c r="J743" s="127">
        <v>56.67</v>
      </c>
      <c r="K743" s="83">
        <f t="shared" si="1"/>
        <v>455399.56</v>
      </c>
      <c r="L743" s="83">
        <f t="shared" si="2"/>
        <v>315765.24</v>
      </c>
      <c r="M743" s="83">
        <f t="shared" si="3"/>
        <v>139634.32</v>
      </c>
      <c r="N743" s="46" t="str">
        <f>VLOOKUP(F743,products!$A$2:$B$13,2,FALSE)</f>
        <v>Personal Care</v>
      </c>
      <c r="O743" s="46" t="s">
        <v>132</v>
      </c>
      <c r="P743" s="46">
        <f t="array" ref="P743">WEEKDAY(B743,2)</f>
        <v>2</v>
      </c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>
      <c r="A744" s="56">
        <v>5.88528859E8</v>
      </c>
      <c r="B744" s="126">
        <v>40797.0</v>
      </c>
      <c r="C744" s="126">
        <v>40828.0</v>
      </c>
      <c r="D744" s="56" t="s">
        <v>93</v>
      </c>
      <c r="E744" s="56" t="s">
        <v>138</v>
      </c>
      <c r="F744" s="56">
        <v>3127.0</v>
      </c>
      <c r="G744" s="56" t="s">
        <v>43</v>
      </c>
      <c r="H744" s="56">
        <v>7623.0</v>
      </c>
      <c r="I744" s="127">
        <v>81.73</v>
      </c>
      <c r="J744" s="127">
        <v>56.67</v>
      </c>
      <c r="K744" s="83">
        <f t="shared" si="1"/>
        <v>623027.79</v>
      </c>
      <c r="L744" s="83">
        <f t="shared" si="2"/>
        <v>431995.41</v>
      </c>
      <c r="M744" s="83">
        <f t="shared" si="3"/>
        <v>191032.38</v>
      </c>
      <c r="N744" s="46" t="str">
        <f>VLOOKUP(F744,products!$A$2:$B$13,2,FALSE)</f>
        <v>Personal Care</v>
      </c>
      <c r="O744" s="46" t="s">
        <v>138</v>
      </c>
      <c r="P744" s="46">
        <f t="array" ref="P744">WEEKDAY(B744,2)</f>
        <v>7</v>
      </c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>
      <c r="A745" s="56">
        <v>5.89842927E8</v>
      </c>
      <c r="B745" s="126">
        <v>42530.0</v>
      </c>
      <c r="C745" s="126">
        <v>42579.0</v>
      </c>
      <c r="D745" s="56" t="s">
        <v>89</v>
      </c>
      <c r="E745" s="56" t="s">
        <v>126</v>
      </c>
      <c r="F745" s="56">
        <v>3127.0</v>
      </c>
      <c r="G745" s="56" t="s">
        <v>42</v>
      </c>
      <c r="H745" s="56">
        <v>6485.0</v>
      </c>
      <c r="I745" s="127">
        <v>81.73</v>
      </c>
      <c r="J745" s="127">
        <v>56.67</v>
      </c>
      <c r="K745" s="83">
        <f t="shared" si="1"/>
        <v>530019.05</v>
      </c>
      <c r="L745" s="83">
        <f t="shared" si="2"/>
        <v>367504.95</v>
      </c>
      <c r="M745" s="83">
        <f t="shared" si="3"/>
        <v>162514.1</v>
      </c>
      <c r="N745" s="46" t="str">
        <f>VLOOKUP(F745,products!$A$2:$B$13,2,FALSE)</f>
        <v>Personal Care</v>
      </c>
      <c r="O745" s="46" t="s">
        <v>126</v>
      </c>
      <c r="P745" s="46">
        <f t="array" ref="P745">WEEKDAY(B745,2)</f>
        <v>4</v>
      </c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>
      <c r="A746" s="56">
        <v>5.91287887E8</v>
      </c>
      <c r="B746" s="126">
        <v>40441.0</v>
      </c>
      <c r="C746" s="126">
        <v>40453.0</v>
      </c>
      <c r="D746" s="56" t="s">
        <v>93</v>
      </c>
      <c r="E746" s="56" t="s">
        <v>130</v>
      </c>
      <c r="F746" s="56">
        <v>4594.0</v>
      </c>
      <c r="G746" s="56" t="s">
        <v>42</v>
      </c>
      <c r="H746" s="56">
        <v>4080.0</v>
      </c>
      <c r="I746" s="127">
        <v>9.33</v>
      </c>
      <c r="J746" s="127">
        <v>6.92</v>
      </c>
      <c r="K746" s="83">
        <f t="shared" si="1"/>
        <v>38066.4</v>
      </c>
      <c r="L746" s="83">
        <f t="shared" si="2"/>
        <v>28233.6</v>
      </c>
      <c r="M746" s="83">
        <f t="shared" si="3"/>
        <v>9832.8</v>
      </c>
      <c r="N746" s="46" t="str">
        <f>VLOOKUP(F746,products!$A$2:$B$13,2,FALSE)</f>
        <v>Fruits</v>
      </c>
      <c r="O746" s="46" t="s">
        <v>130</v>
      </c>
      <c r="P746" s="46">
        <f t="array" ref="P746">WEEKDAY(B746,2)</f>
        <v>1</v>
      </c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>
      <c r="A747" s="56">
        <v>5.91774117E8</v>
      </c>
      <c r="B747" s="126">
        <v>41767.0</v>
      </c>
      <c r="C747" s="126">
        <v>41789.0</v>
      </c>
      <c r="D747" s="56" t="s">
        <v>89</v>
      </c>
      <c r="E747" s="56" t="s">
        <v>120</v>
      </c>
      <c r="F747" s="56">
        <v>2103.0</v>
      </c>
      <c r="G747" s="56" t="s">
        <v>43</v>
      </c>
      <c r="H747" s="56">
        <v>7967.0</v>
      </c>
      <c r="I747" s="127">
        <v>205.7</v>
      </c>
      <c r="J747" s="127">
        <v>117.11</v>
      </c>
      <c r="K747" s="83">
        <f t="shared" si="1"/>
        <v>1638811.9</v>
      </c>
      <c r="L747" s="83">
        <f t="shared" si="2"/>
        <v>933015.37</v>
      </c>
      <c r="M747" s="83">
        <f t="shared" si="3"/>
        <v>705796.53</v>
      </c>
      <c r="N747" s="46" t="str">
        <f>VLOOKUP(F747,products!$A$2:$B$13,2,FALSE)</f>
        <v>Cereal</v>
      </c>
      <c r="O747" s="46" t="s">
        <v>120</v>
      </c>
      <c r="P747" s="46">
        <f t="array" ref="P747">WEEKDAY(B747,2)</f>
        <v>4</v>
      </c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>
      <c r="A748" s="56">
        <v>5.93018233E8</v>
      </c>
      <c r="B748" s="126">
        <v>41218.0</v>
      </c>
      <c r="C748" s="126">
        <v>41254.0</v>
      </c>
      <c r="D748" s="56" t="s">
        <v>89</v>
      </c>
      <c r="E748" s="56" t="s">
        <v>108</v>
      </c>
      <c r="F748" s="56">
        <v>8969.0</v>
      </c>
      <c r="G748" s="56" t="s">
        <v>43</v>
      </c>
      <c r="H748" s="56">
        <v>6128.0</v>
      </c>
      <c r="I748" s="127">
        <v>152.58</v>
      </c>
      <c r="J748" s="127">
        <v>97.44</v>
      </c>
      <c r="K748" s="83">
        <f t="shared" si="1"/>
        <v>935010.24</v>
      </c>
      <c r="L748" s="83">
        <f t="shared" si="2"/>
        <v>597112.32</v>
      </c>
      <c r="M748" s="83">
        <f t="shared" si="3"/>
        <v>337897.92</v>
      </c>
      <c r="N748" s="46" t="str">
        <f>VLOOKUP(F748,products!$A$2:$B$13,2,FALSE)</f>
        <v>Snacks</v>
      </c>
      <c r="O748" s="46" t="s">
        <v>108</v>
      </c>
      <c r="P748" s="46">
        <f t="array" ref="P748">WEEKDAY(B748,2)</f>
        <v>1</v>
      </c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>
      <c r="A749" s="56">
        <v>5.93158566E8</v>
      </c>
      <c r="B749" s="126">
        <v>41046.0</v>
      </c>
      <c r="C749" s="126">
        <v>41085.0</v>
      </c>
      <c r="D749" s="56" t="s">
        <v>10</v>
      </c>
      <c r="E749" s="56" t="s">
        <v>108</v>
      </c>
      <c r="F749" s="56">
        <v>2455.0</v>
      </c>
      <c r="G749" s="56" t="s">
        <v>43</v>
      </c>
      <c r="H749" s="56">
        <v>7656.0</v>
      </c>
      <c r="I749" s="127">
        <v>109.28</v>
      </c>
      <c r="J749" s="127">
        <v>35.84</v>
      </c>
      <c r="K749" s="83">
        <f t="shared" si="1"/>
        <v>836647.68</v>
      </c>
      <c r="L749" s="83">
        <f t="shared" si="2"/>
        <v>274391.04</v>
      </c>
      <c r="M749" s="83">
        <f t="shared" si="3"/>
        <v>562256.64</v>
      </c>
      <c r="N749" s="46" t="str">
        <f>VLOOKUP(F749,products!$A$2:$B$13,2,FALSE)</f>
        <v>Clothes</v>
      </c>
      <c r="O749" s="46" t="s">
        <v>108</v>
      </c>
      <c r="P749" s="46">
        <f t="array" ref="P749">WEEKDAY(B749,2)</f>
        <v>4</v>
      </c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>
      <c r="A750" s="56">
        <v>5.94699656E8</v>
      </c>
      <c r="B750" s="126">
        <v>42688.0</v>
      </c>
      <c r="C750" s="126">
        <v>42734.0</v>
      </c>
      <c r="D750" s="56" t="s">
        <v>93</v>
      </c>
      <c r="E750" s="56" t="s">
        <v>94</v>
      </c>
      <c r="F750" s="56">
        <v>3127.0</v>
      </c>
      <c r="G750" s="56" t="s">
        <v>42</v>
      </c>
      <c r="H750" s="56">
        <v>3699.0</v>
      </c>
      <c r="I750" s="127">
        <v>81.73</v>
      </c>
      <c r="J750" s="127">
        <v>56.67</v>
      </c>
      <c r="K750" s="83">
        <f t="shared" si="1"/>
        <v>302319.27</v>
      </c>
      <c r="L750" s="83">
        <f t="shared" si="2"/>
        <v>209622.33</v>
      </c>
      <c r="M750" s="83">
        <f t="shared" si="3"/>
        <v>92696.94</v>
      </c>
      <c r="N750" s="46" t="str">
        <f>VLOOKUP(F750,products!$A$2:$B$13,2,FALSE)</f>
        <v>Personal Care</v>
      </c>
      <c r="O750" s="46" t="s">
        <v>94</v>
      </c>
      <c r="P750" s="46">
        <f t="array" ref="P750">WEEKDAY(B750,2)</f>
        <v>1</v>
      </c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>
      <c r="A751" s="56">
        <v>5.94813811E8</v>
      </c>
      <c r="B751" s="126">
        <v>41068.0</v>
      </c>
      <c r="C751" s="126">
        <v>41077.0</v>
      </c>
      <c r="D751" s="56" t="s">
        <v>89</v>
      </c>
      <c r="E751" s="56" t="s">
        <v>90</v>
      </c>
      <c r="F751" s="56">
        <v>3127.0</v>
      </c>
      <c r="G751" s="56" t="s">
        <v>42</v>
      </c>
      <c r="H751" s="56">
        <v>7480.0</v>
      </c>
      <c r="I751" s="127">
        <v>81.73</v>
      </c>
      <c r="J751" s="127">
        <v>56.67</v>
      </c>
      <c r="K751" s="83">
        <f t="shared" si="1"/>
        <v>611340.4</v>
      </c>
      <c r="L751" s="83">
        <f t="shared" si="2"/>
        <v>423891.6</v>
      </c>
      <c r="M751" s="83">
        <f t="shared" si="3"/>
        <v>187448.8</v>
      </c>
      <c r="N751" s="46" t="str">
        <f>VLOOKUP(F751,products!$A$2:$B$13,2,FALSE)</f>
        <v>Personal Care</v>
      </c>
      <c r="O751" s="46" t="s">
        <v>90</v>
      </c>
      <c r="P751" s="46">
        <f t="array" ref="P751">WEEKDAY(B751,2)</f>
        <v>5</v>
      </c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>
      <c r="A752" s="56">
        <v>5.94991052E8</v>
      </c>
      <c r="B752" s="126">
        <v>42847.0</v>
      </c>
      <c r="C752" s="126">
        <v>42892.0</v>
      </c>
      <c r="D752" s="56" t="s">
        <v>89</v>
      </c>
      <c r="E752" s="56" t="s">
        <v>107</v>
      </c>
      <c r="F752" s="56">
        <v>8969.0</v>
      </c>
      <c r="G752" s="56" t="s">
        <v>42</v>
      </c>
      <c r="H752" s="56">
        <v>9929.0</v>
      </c>
      <c r="I752" s="127">
        <v>152.58</v>
      </c>
      <c r="J752" s="127">
        <v>97.44</v>
      </c>
      <c r="K752" s="83">
        <f t="shared" si="1"/>
        <v>1514966.82</v>
      </c>
      <c r="L752" s="83">
        <f t="shared" si="2"/>
        <v>967481.76</v>
      </c>
      <c r="M752" s="83">
        <f t="shared" si="3"/>
        <v>547485.06</v>
      </c>
      <c r="N752" s="46" t="str">
        <f>VLOOKUP(F752,products!$A$2:$B$13,2,FALSE)</f>
        <v>Snacks</v>
      </c>
      <c r="O752" s="46" t="s">
        <v>107</v>
      </c>
      <c r="P752" s="46">
        <f t="array" ref="P752">WEEKDAY(B752,2)</f>
        <v>6</v>
      </c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>
      <c r="A753" s="56">
        <v>5.95385873E8</v>
      </c>
      <c r="B753" s="126">
        <v>40884.0</v>
      </c>
      <c r="C753" s="126">
        <v>40898.0</v>
      </c>
      <c r="D753" s="56" t="s">
        <v>89</v>
      </c>
      <c r="E753" s="56" t="s">
        <v>107</v>
      </c>
      <c r="F753" s="56">
        <v>3127.0</v>
      </c>
      <c r="G753" s="56" t="s">
        <v>42</v>
      </c>
      <c r="H753" s="56">
        <v>6765.0</v>
      </c>
      <c r="I753" s="127">
        <v>81.73</v>
      </c>
      <c r="J753" s="127">
        <v>56.67</v>
      </c>
      <c r="K753" s="83">
        <f t="shared" si="1"/>
        <v>552903.45</v>
      </c>
      <c r="L753" s="83">
        <f t="shared" si="2"/>
        <v>383372.55</v>
      </c>
      <c r="M753" s="83">
        <f t="shared" si="3"/>
        <v>169530.9</v>
      </c>
      <c r="N753" s="46" t="str">
        <f>VLOOKUP(F753,products!$A$2:$B$13,2,FALSE)</f>
        <v>Personal Care</v>
      </c>
      <c r="O753" s="46" t="s">
        <v>107</v>
      </c>
      <c r="P753" s="46">
        <f t="array" ref="P753">WEEKDAY(B753,2)</f>
        <v>3</v>
      </c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>
      <c r="A754" s="56">
        <v>5.95395314E8</v>
      </c>
      <c r="B754" s="126">
        <v>41769.0</v>
      </c>
      <c r="C754" s="126">
        <v>41789.0</v>
      </c>
      <c r="D754" s="56" t="s">
        <v>89</v>
      </c>
      <c r="E754" s="56" t="s">
        <v>120</v>
      </c>
      <c r="F754" s="56">
        <v>1270.0</v>
      </c>
      <c r="G754" s="56" t="s">
        <v>42</v>
      </c>
      <c r="H754" s="56">
        <v>9559.0</v>
      </c>
      <c r="I754" s="127">
        <v>47.45</v>
      </c>
      <c r="J754" s="127">
        <v>31.79</v>
      </c>
      <c r="K754" s="83">
        <f t="shared" si="1"/>
        <v>453574.55</v>
      </c>
      <c r="L754" s="83">
        <f t="shared" si="2"/>
        <v>303880.61</v>
      </c>
      <c r="M754" s="83">
        <f t="shared" si="3"/>
        <v>149693.94</v>
      </c>
      <c r="N754" s="46" t="str">
        <f>VLOOKUP(F754,products!$A$2:$B$13,2,FALSE)</f>
        <v>Beverages</v>
      </c>
      <c r="O754" s="46" t="s">
        <v>120</v>
      </c>
      <c r="P754" s="46">
        <f t="array" ref="P754">WEEKDAY(B754,2)</f>
        <v>6</v>
      </c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>
      <c r="A755" s="56">
        <v>5.95496594E8</v>
      </c>
      <c r="B755" s="126">
        <v>41206.0</v>
      </c>
      <c r="C755" s="126">
        <v>41217.0</v>
      </c>
      <c r="D755" s="56" t="s">
        <v>95</v>
      </c>
      <c r="E755" s="56" t="s">
        <v>125</v>
      </c>
      <c r="F755" s="56">
        <v>3127.0</v>
      </c>
      <c r="G755" s="56" t="s">
        <v>42</v>
      </c>
      <c r="H755" s="56">
        <v>9530.0</v>
      </c>
      <c r="I755" s="127">
        <v>81.73</v>
      </c>
      <c r="J755" s="127">
        <v>56.67</v>
      </c>
      <c r="K755" s="83">
        <f t="shared" si="1"/>
        <v>778886.9</v>
      </c>
      <c r="L755" s="83">
        <f t="shared" si="2"/>
        <v>540065.1</v>
      </c>
      <c r="M755" s="83">
        <f t="shared" si="3"/>
        <v>238821.8</v>
      </c>
      <c r="N755" s="46" t="str">
        <f>VLOOKUP(F755,products!$A$2:$B$13,2,FALSE)</f>
        <v>Personal Care</v>
      </c>
      <c r="O755" s="46" t="s">
        <v>125</v>
      </c>
      <c r="P755" s="46">
        <f t="array" ref="P755">WEEKDAY(B755,2)</f>
        <v>3</v>
      </c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>
      <c r="A756" s="56">
        <v>5.95922315E8</v>
      </c>
      <c r="B756" s="126">
        <v>41133.0</v>
      </c>
      <c r="C756" s="126">
        <v>41156.0</v>
      </c>
      <c r="D756" s="56" t="s">
        <v>89</v>
      </c>
      <c r="E756" s="56" t="s">
        <v>135</v>
      </c>
      <c r="F756" s="56">
        <v>8875.0</v>
      </c>
      <c r="G756" s="56" t="s">
        <v>42</v>
      </c>
      <c r="H756" s="56">
        <v>5510.0</v>
      </c>
      <c r="I756" s="127">
        <v>421.89</v>
      </c>
      <c r="J756" s="127">
        <v>364.69</v>
      </c>
      <c r="K756" s="83">
        <f t="shared" si="1"/>
        <v>2324613.9</v>
      </c>
      <c r="L756" s="83">
        <f t="shared" si="2"/>
        <v>2009441.9</v>
      </c>
      <c r="M756" s="83">
        <f t="shared" si="3"/>
        <v>315172</v>
      </c>
      <c r="N756" s="46" t="str">
        <f>VLOOKUP(F756,products!$A$2:$B$13,2,FALSE)</f>
        <v>Meat</v>
      </c>
      <c r="O756" s="46" t="s">
        <v>135</v>
      </c>
      <c r="P756" s="46">
        <f t="array" ref="P756">WEEKDAY(B756,2)</f>
        <v>7</v>
      </c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>
      <c r="A757" s="56">
        <v>5.96166074E8</v>
      </c>
      <c r="B757" s="126">
        <v>41605.0</v>
      </c>
      <c r="C757" s="126">
        <v>41652.0</v>
      </c>
      <c r="D757" s="56" t="s">
        <v>95</v>
      </c>
      <c r="E757" s="56" t="s">
        <v>100</v>
      </c>
      <c r="F757" s="56">
        <v>7331.0</v>
      </c>
      <c r="G757" s="56" t="s">
        <v>42</v>
      </c>
      <c r="H757" s="56">
        <v>7644.0</v>
      </c>
      <c r="I757" s="127">
        <v>255.28</v>
      </c>
      <c r="J757" s="127">
        <v>159.42</v>
      </c>
      <c r="K757" s="83">
        <f t="shared" si="1"/>
        <v>1951360.32</v>
      </c>
      <c r="L757" s="83">
        <f t="shared" si="2"/>
        <v>1218606.48</v>
      </c>
      <c r="M757" s="83">
        <f t="shared" si="3"/>
        <v>732753.84</v>
      </c>
      <c r="N757" s="46" t="str">
        <f>VLOOKUP(F757,products!$A$2:$B$13,2,FALSE)</f>
        <v>Baby Food</v>
      </c>
      <c r="O757" s="46" t="s">
        <v>100</v>
      </c>
      <c r="P757" s="46">
        <f t="array" ref="P757">WEEKDAY(B757,2)</f>
        <v>3</v>
      </c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>
      <c r="A758" s="56">
        <v>5.97105491E8</v>
      </c>
      <c r="B758" s="126">
        <v>41158.0</v>
      </c>
      <c r="C758" s="126">
        <v>41202.0</v>
      </c>
      <c r="D758" s="56" t="s">
        <v>89</v>
      </c>
      <c r="E758" s="56" t="s">
        <v>119</v>
      </c>
      <c r="F758" s="56">
        <v>8969.0</v>
      </c>
      <c r="G758" s="56" t="s">
        <v>42</v>
      </c>
      <c r="H758" s="56">
        <v>5639.0</v>
      </c>
      <c r="I758" s="127">
        <v>152.58</v>
      </c>
      <c r="J758" s="127">
        <v>97.44</v>
      </c>
      <c r="K758" s="83">
        <f t="shared" si="1"/>
        <v>860398.62</v>
      </c>
      <c r="L758" s="83">
        <f t="shared" si="2"/>
        <v>549464.16</v>
      </c>
      <c r="M758" s="83">
        <f t="shared" si="3"/>
        <v>310934.46</v>
      </c>
      <c r="N758" s="46" t="str">
        <f>VLOOKUP(F758,products!$A$2:$B$13,2,FALSE)</f>
        <v>Snacks</v>
      </c>
      <c r="O758" s="46" t="s">
        <v>119</v>
      </c>
      <c r="P758" s="46">
        <f t="array" ref="P758">WEEKDAY(B758,2)</f>
        <v>4</v>
      </c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>
      <c r="A759" s="56">
        <v>5.97839343E8</v>
      </c>
      <c r="B759" s="126">
        <v>41808.0</v>
      </c>
      <c r="C759" s="126">
        <v>41846.0</v>
      </c>
      <c r="D759" s="56" t="s">
        <v>10</v>
      </c>
      <c r="E759" s="56" t="s">
        <v>135</v>
      </c>
      <c r="F759" s="56">
        <v>3127.0</v>
      </c>
      <c r="G759" s="56" t="s">
        <v>42</v>
      </c>
      <c r="H759" s="56">
        <v>2802.0</v>
      </c>
      <c r="I759" s="127">
        <v>81.73</v>
      </c>
      <c r="J759" s="127">
        <v>56.67</v>
      </c>
      <c r="K759" s="83">
        <f t="shared" si="1"/>
        <v>229007.46</v>
      </c>
      <c r="L759" s="83">
        <f t="shared" si="2"/>
        <v>158789.34</v>
      </c>
      <c r="M759" s="83">
        <f t="shared" si="3"/>
        <v>70218.12</v>
      </c>
      <c r="N759" s="46" t="str">
        <f>VLOOKUP(F759,products!$A$2:$B$13,2,FALSE)</f>
        <v>Personal Care</v>
      </c>
      <c r="O759" s="46" t="s">
        <v>135</v>
      </c>
      <c r="P759" s="46">
        <f t="array" ref="P759">WEEKDAY(B759,2)</f>
        <v>3</v>
      </c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>
      <c r="A760" s="56">
        <v>5.98404109E8</v>
      </c>
      <c r="B760" s="126">
        <v>41946.0</v>
      </c>
      <c r="C760" s="126">
        <v>41961.0</v>
      </c>
      <c r="D760" s="56" t="s">
        <v>95</v>
      </c>
      <c r="E760" s="56" t="e">
        <v>#N/A</v>
      </c>
      <c r="F760" s="56">
        <v>4594.0</v>
      </c>
      <c r="G760" s="56" t="s">
        <v>43</v>
      </c>
      <c r="H760" s="56">
        <v>9929.0</v>
      </c>
      <c r="I760" s="127">
        <v>9.33</v>
      </c>
      <c r="J760" s="127">
        <v>6.92</v>
      </c>
      <c r="K760" s="83">
        <f t="shared" si="1"/>
        <v>92637.57</v>
      </c>
      <c r="L760" s="83">
        <f t="shared" si="2"/>
        <v>68708.68</v>
      </c>
      <c r="M760" s="83">
        <f t="shared" si="3"/>
        <v>23928.89</v>
      </c>
      <c r="N760" s="46" t="str">
        <f>VLOOKUP(F760,products!$A$2:$B$13,2,FALSE)</f>
        <v>Fruits</v>
      </c>
      <c r="O760" s="46" t="s">
        <v>92</v>
      </c>
      <c r="P760" s="46">
        <f t="array" ref="P760">WEEKDAY(B760,2)</f>
        <v>1</v>
      </c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>
      <c r="A761" s="56">
        <v>5.99624192E8</v>
      </c>
      <c r="B761" s="126">
        <v>41155.0</v>
      </c>
      <c r="C761" s="126">
        <v>41173.0</v>
      </c>
      <c r="D761" s="56" t="s">
        <v>93</v>
      </c>
      <c r="E761" s="56" t="s">
        <v>91</v>
      </c>
      <c r="F761" s="56">
        <v>1270.0</v>
      </c>
      <c r="G761" s="56" t="s">
        <v>43</v>
      </c>
      <c r="H761" s="56">
        <v>978.0</v>
      </c>
      <c r="I761" s="127">
        <v>47.45</v>
      </c>
      <c r="J761" s="127">
        <v>31.79</v>
      </c>
      <c r="K761" s="83">
        <f t="shared" si="1"/>
        <v>46406.1</v>
      </c>
      <c r="L761" s="83">
        <f t="shared" si="2"/>
        <v>31090.62</v>
      </c>
      <c r="M761" s="83">
        <f t="shared" si="3"/>
        <v>15315.48</v>
      </c>
      <c r="N761" s="46" t="str">
        <f>VLOOKUP(F761,products!$A$2:$B$13,2,FALSE)</f>
        <v>Beverages</v>
      </c>
      <c r="O761" s="46" t="s">
        <v>91</v>
      </c>
      <c r="P761" s="46">
        <f t="array" ref="P761">WEEKDAY(B761,2)</f>
        <v>1</v>
      </c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>
      <c r="A762" s="56">
        <v>5.99997556E8</v>
      </c>
      <c r="B762" s="126">
        <v>40952.0</v>
      </c>
      <c r="C762" s="126">
        <v>40953.0</v>
      </c>
      <c r="D762" s="56" t="s">
        <v>95</v>
      </c>
      <c r="E762" s="56" t="e">
        <v>#N/A</v>
      </c>
      <c r="F762" s="56">
        <v>1270.0</v>
      </c>
      <c r="G762" s="56" t="s">
        <v>42</v>
      </c>
      <c r="H762" s="56">
        <v>1465.0</v>
      </c>
      <c r="I762" s="127">
        <v>47.45</v>
      </c>
      <c r="J762" s="127">
        <v>31.79</v>
      </c>
      <c r="K762" s="83">
        <f t="shared" si="1"/>
        <v>69514.25</v>
      </c>
      <c r="L762" s="83">
        <f t="shared" si="2"/>
        <v>46572.35</v>
      </c>
      <c r="M762" s="83">
        <f t="shared" si="3"/>
        <v>22941.9</v>
      </c>
      <c r="N762" s="46" t="str">
        <f>VLOOKUP(F762,products!$A$2:$B$13,2,FALSE)</f>
        <v>Beverages</v>
      </c>
      <c r="O762" s="46" t="s">
        <v>92</v>
      </c>
      <c r="P762" s="46">
        <f t="array" ref="P762">WEEKDAY(B762,2)</f>
        <v>1</v>
      </c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>
      <c r="A763" s="56">
        <v>6.00515115E8</v>
      </c>
      <c r="B763" s="126">
        <v>42197.0</v>
      </c>
      <c r="C763" s="126">
        <v>42246.0</v>
      </c>
      <c r="D763" s="56" t="s">
        <v>89</v>
      </c>
      <c r="E763" s="56" t="s">
        <v>108</v>
      </c>
      <c r="F763" s="56">
        <v>4594.0</v>
      </c>
      <c r="G763" s="56" t="s">
        <v>42</v>
      </c>
      <c r="H763" s="56">
        <v>4622.0</v>
      </c>
      <c r="I763" s="127">
        <v>9.33</v>
      </c>
      <c r="J763" s="127">
        <v>6.92</v>
      </c>
      <c r="K763" s="83">
        <f t="shared" si="1"/>
        <v>43123.26</v>
      </c>
      <c r="L763" s="83">
        <f t="shared" si="2"/>
        <v>31984.24</v>
      </c>
      <c r="M763" s="83">
        <f t="shared" si="3"/>
        <v>11139.02</v>
      </c>
      <c r="N763" s="46" t="str">
        <f>VLOOKUP(F763,products!$A$2:$B$13,2,FALSE)</f>
        <v>Fruits</v>
      </c>
      <c r="O763" s="46" t="s">
        <v>108</v>
      </c>
      <c r="P763" s="46">
        <f t="array" ref="P763">WEEKDAY(B763,2)</f>
        <v>7</v>
      </c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>
      <c r="A764" s="56">
        <v>6.01422345E8</v>
      </c>
      <c r="B764" s="126">
        <v>40241.0</v>
      </c>
      <c r="C764" s="126">
        <v>40257.0</v>
      </c>
      <c r="D764" s="56" t="s">
        <v>10</v>
      </c>
      <c r="E764" s="56" t="s">
        <v>121</v>
      </c>
      <c r="F764" s="56">
        <v>1270.0</v>
      </c>
      <c r="G764" s="56" t="s">
        <v>43</v>
      </c>
      <c r="H764" s="56">
        <v>3092.0</v>
      </c>
      <c r="I764" s="127">
        <v>47.45</v>
      </c>
      <c r="J764" s="127">
        <v>31.79</v>
      </c>
      <c r="K764" s="83">
        <f t="shared" si="1"/>
        <v>146715.4</v>
      </c>
      <c r="L764" s="83">
        <f t="shared" si="2"/>
        <v>98294.68</v>
      </c>
      <c r="M764" s="83">
        <f t="shared" si="3"/>
        <v>48420.72</v>
      </c>
      <c r="N764" s="46" t="str">
        <f>VLOOKUP(F764,products!$A$2:$B$13,2,FALSE)</f>
        <v>Beverages</v>
      </c>
      <c r="O764" s="46" t="s">
        <v>121</v>
      </c>
      <c r="P764" s="46">
        <f t="array" ref="P764">WEEKDAY(B764,2)</f>
        <v>4</v>
      </c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>
      <c r="A765" s="56">
        <v>6.01588857E8</v>
      </c>
      <c r="B765" s="126">
        <v>41518.0</v>
      </c>
      <c r="C765" s="126">
        <v>41527.0</v>
      </c>
      <c r="D765" s="56" t="s">
        <v>95</v>
      </c>
      <c r="E765" s="56" t="e">
        <v>#N/A</v>
      </c>
      <c r="F765" s="56">
        <v>2455.0</v>
      </c>
      <c r="G765" s="56" t="s">
        <v>42</v>
      </c>
      <c r="H765" s="56">
        <v>2366.0</v>
      </c>
      <c r="I765" s="127">
        <v>109.28</v>
      </c>
      <c r="J765" s="127">
        <v>35.84</v>
      </c>
      <c r="K765" s="83">
        <f t="shared" si="1"/>
        <v>258556.48</v>
      </c>
      <c r="L765" s="83">
        <f t="shared" si="2"/>
        <v>84797.44</v>
      </c>
      <c r="M765" s="83">
        <f t="shared" si="3"/>
        <v>173759.04</v>
      </c>
      <c r="N765" s="46" t="str">
        <f>VLOOKUP(F765,products!$A$2:$B$13,2,FALSE)</f>
        <v>Clothes</v>
      </c>
      <c r="O765" s="46" t="s">
        <v>92</v>
      </c>
      <c r="P765" s="46">
        <f t="array" ref="P765">WEEKDAY(B765,2)</f>
        <v>7</v>
      </c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>
      <c r="A766" s="56">
        <v>6.0188626E8</v>
      </c>
      <c r="B766" s="126">
        <v>41738.0</v>
      </c>
      <c r="C766" s="126">
        <v>41786.0</v>
      </c>
      <c r="D766" s="56" t="s">
        <v>10</v>
      </c>
      <c r="E766" s="56" t="s">
        <v>97</v>
      </c>
      <c r="F766" s="56">
        <v>4594.0</v>
      </c>
      <c r="G766" s="56" t="s">
        <v>42</v>
      </c>
      <c r="H766" s="56">
        <v>374.0</v>
      </c>
      <c r="I766" s="127">
        <v>9.33</v>
      </c>
      <c r="J766" s="127">
        <v>6.92</v>
      </c>
      <c r="K766" s="83">
        <f t="shared" si="1"/>
        <v>3489.42</v>
      </c>
      <c r="L766" s="83">
        <f t="shared" si="2"/>
        <v>2588.08</v>
      </c>
      <c r="M766" s="83">
        <f t="shared" si="3"/>
        <v>901.34</v>
      </c>
      <c r="N766" s="46" t="str">
        <f>VLOOKUP(F766,products!$A$2:$B$13,2,FALSE)</f>
        <v>Fruits</v>
      </c>
      <c r="O766" s="46" t="s">
        <v>97</v>
      </c>
      <c r="P766" s="46">
        <f t="array" ref="P766">WEEKDAY(B766,2)</f>
        <v>3</v>
      </c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>
      <c r="A767" s="56">
        <v>6.01894414E8</v>
      </c>
      <c r="B767" s="126">
        <v>40239.0</v>
      </c>
      <c r="C767" s="126">
        <v>40256.0</v>
      </c>
      <c r="D767" s="56" t="s">
        <v>89</v>
      </c>
      <c r="E767" s="56" t="s">
        <v>96</v>
      </c>
      <c r="F767" s="56">
        <v>8681.0</v>
      </c>
      <c r="G767" s="56" t="s">
        <v>42</v>
      </c>
      <c r="H767" s="56">
        <v>2787.0</v>
      </c>
      <c r="I767" s="127">
        <v>651.21</v>
      </c>
      <c r="J767" s="127">
        <v>524.96</v>
      </c>
      <c r="K767" s="83">
        <f t="shared" si="1"/>
        <v>1814922.27</v>
      </c>
      <c r="L767" s="83">
        <f t="shared" si="2"/>
        <v>1463063.52</v>
      </c>
      <c r="M767" s="83">
        <f t="shared" si="3"/>
        <v>351858.75</v>
      </c>
      <c r="N767" s="46" t="str">
        <f>VLOOKUP(F767,products!$A$2:$B$13,2,FALSE)</f>
        <v>Office Supplies</v>
      </c>
      <c r="O767" s="46" t="s">
        <v>96</v>
      </c>
      <c r="P767" s="46">
        <f t="array" ref="P767">WEEKDAY(B767,2)</f>
        <v>2</v>
      </c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>
      <c r="A768" s="56">
        <v>6.02264344E8</v>
      </c>
      <c r="B768" s="126">
        <v>41977.0</v>
      </c>
      <c r="C768" s="126">
        <v>42011.0</v>
      </c>
      <c r="D768" s="56" t="s">
        <v>95</v>
      </c>
      <c r="E768" s="56" t="s">
        <v>112</v>
      </c>
      <c r="F768" s="56">
        <v>8681.0</v>
      </c>
      <c r="G768" s="56" t="s">
        <v>42</v>
      </c>
      <c r="H768" s="56">
        <v>2258.0</v>
      </c>
      <c r="I768" s="127">
        <v>651.21</v>
      </c>
      <c r="J768" s="127">
        <v>524.96</v>
      </c>
      <c r="K768" s="83">
        <f t="shared" si="1"/>
        <v>1470432.18</v>
      </c>
      <c r="L768" s="83">
        <f t="shared" si="2"/>
        <v>1185359.68</v>
      </c>
      <c r="M768" s="83">
        <f t="shared" si="3"/>
        <v>285072.5</v>
      </c>
      <c r="N768" s="46" t="str">
        <f>VLOOKUP(F768,products!$A$2:$B$13,2,FALSE)</f>
        <v>Office Supplies</v>
      </c>
      <c r="O768" s="46" t="s">
        <v>112</v>
      </c>
      <c r="P768" s="46">
        <f t="array" ref="P768">WEEKDAY(B768,2)</f>
        <v>4</v>
      </c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>
      <c r="A769" s="56">
        <v>6.02301251E8</v>
      </c>
      <c r="B769" s="126">
        <v>41163.0</v>
      </c>
      <c r="C769" s="126">
        <v>41179.0</v>
      </c>
      <c r="D769" s="56" t="s">
        <v>89</v>
      </c>
      <c r="E769" s="56" t="s">
        <v>126</v>
      </c>
      <c r="F769" s="56">
        <v>2455.0</v>
      </c>
      <c r="G769" s="56" t="s">
        <v>42</v>
      </c>
      <c r="H769" s="56">
        <v>3180.0</v>
      </c>
      <c r="I769" s="127">
        <v>109.28</v>
      </c>
      <c r="J769" s="127">
        <v>35.84</v>
      </c>
      <c r="K769" s="83">
        <f t="shared" si="1"/>
        <v>347510.4</v>
      </c>
      <c r="L769" s="83">
        <f t="shared" si="2"/>
        <v>113971.2</v>
      </c>
      <c r="M769" s="83">
        <f t="shared" si="3"/>
        <v>233539.2</v>
      </c>
      <c r="N769" s="46" t="str">
        <f>VLOOKUP(F769,products!$A$2:$B$13,2,FALSE)</f>
        <v>Clothes</v>
      </c>
      <c r="O769" s="46" t="s">
        <v>126</v>
      </c>
      <c r="P769" s="46">
        <f t="array" ref="P769">WEEKDAY(B769,2)</f>
        <v>2</v>
      </c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>
      <c r="A770" s="56">
        <v>6.02357041E8</v>
      </c>
      <c r="B770" s="126">
        <v>42118.0</v>
      </c>
      <c r="C770" s="126">
        <v>42129.0</v>
      </c>
      <c r="D770" s="56" t="s">
        <v>93</v>
      </c>
      <c r="E770" s="56" t="s">
        <v>111</v>
      </c>
      <c r="F770" s="56">
        <v>3127.0</v>
      </c>
      <c r="G770" s="56" t="s">
        <v>43</v>
      </c>
      <c r="H770" s="56">
        <v>9689.0</v>
      </c>
      <c r="I770" s="127">
        <v>81.73</v>
      </c>
      <c r="J770" s="127">
        <v>56.67</v>
      </c>
      <c r="K770" s="83">
        <f t="shared" si="1"/>
        <v>791881.97</v>
      </c>
      <c r="L770" s="83">
        <f t="shared" si="2"/>
        <v>549075.63</v>
      </c>
      <c r="M770" s="83">
        <f t="shared" si="3"/>
        <v>242806.34</v>
      </c>
      <c r="N770" s="46" t="str">
        <f>VLOOKUP(F770,products!$A$2:$B$13,2,FALSE)</f>
        <v>Personal Care</v>
      </c>
      <c r="O770" s="46" t="s">
        <v>111</v>
      </c>
      <c r="P770" s="46">
        <f t="array" ref="P770">WEEKDAY(B770,2)</f>
        <v>5</v>
      </c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>
      <c r="A771" s="56">
        <v>6.04124295E8</v>
      </c>
      <c r="B771" s="126">
        <v>42079.0</v>
      </c>
      <c r="C771" s="126">
        <v>42096.0</v>
      </c>
      <c r="D771" s="56" t="s">
        <v>10</v>
      </c>
      <c r="E771" s="56" t="s">
        <v>119</v>
      </c>
      <c r="F771" s="56">
        <v>8875.0</v>
      </c>
      <c r="G771" s="56" t="s">
        <v>43</v>
      </c>
      <c r="H771" s="56">
        <v>2659.0</v>
      </c>
      <c r="I771" s="127">
        <v>421.89</v>
      </c>
      <c r="J771" s="127">
        <v>364.69</v>
      </c>
      <c r="K771" s="83">
        <f t="shared" si="1"/>
        <v>1121805.51</v>
      </c>
      <c r="L771" s="83">
        <f t="shared" si="2"/>
        <v>969710.71</v>
      </c>
      <c r="M771" s="83">
        <f t="shared" si="3"/>
        <v>152094.8</v>
      </c>
      <c r="N771" s="46" t="str">
        <f>VLOOKUP(F771,products!$A$2:$B$13,2,FALSE)</f>
        <v>Meat</v>
      </c>
      <c r="O771" s="46" t="s">
        <v>119</v>
      </c>
      <c r="P771" s="46">
        <f t="array" ref="P771">WEEKDAY(B771,2)</f>
        <v>1</v>
      </c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>
      <c r="A772" s="56">
        <v>6.04494225E8</v>
      </c>
      <c r="B772" s="126">
        <v>41051.0</v>
      </c>
      <c r="C772" s="126">
        <v>41085.0</v>
      </c>
      <c r="D772" s="56" t="s">
        <v>93</v>
      </c>
      <c r="E772" s="56" t="s">
        <v>102</v>
      </c>
      <c r="F772" s="56">
        <v>3127.0</v>
      </c>
      <c r="G772" s="56" t="s">
        <v>42</v>
      </c>
      <c r="H772" s="56">
        <v>2129.0</v>
      </c>
      <c r="I772" s="127">
        <v>81.73</v>
      </c>
      <c r="J772" s="127">
        <v>56.67</v>
      </c>
      <c r="K772" s="83">
        <f t="shared" si="1"/>
        <v>174003.17</v>
      </c>
      <c r="L772" s="83">
        <f t="shared" si="2"/>
        <v>120650.43</v>
      </c>
      <c r="M772" s="83">
        <f t="shared" si="3"/>
        <v>53352.74</v>
      </c>
      <c r="N772" s="46" t="str">
        <f>VLOOKUP(F772,products!$A$2:$B$13,2,FALSE)</f>
        <v>Personal Care</v>
      </c>
      <c r="O772" s="46" t="s">
        <v>102</v>
      </c>
      <c r="P772" s="46">
        <f t="array" ref="P772">WEEKDAY(B772,2)</f>
        <v>2</v>
      </c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>
      <c r="A773" s="56">
        <v>6.0502938E8</v>
      </c>
      <c r="B773" s="126">
        <v>41682.0</v>
      </c>
      <c r="C773" s="126">
        <v>41688.0</v>
      </c>
      <c r="D773" s="56" t="s">
        <v>95</v>
      </c>
      <c r="E773" s="56" t="s">
        <v>97</v>
      </c>
      <c r="F773" s="56">
        <v>4594.0</v>
      </c>
      <c r="G773" s="56" t="s">
        <v>42</v>
      </c>
      <c r="H773" s="56">
        <v>493.0</v>
      </c>
      <c r="I773" s="127">
        <v>9.33</v>
      </c>
      <c r="J773" s="127">
        <v>6.92</v>
      </c>
      <c r="K773" s="83">
        <f t="shared" si="1"/>
        <v>4599.69</v>
      </c>
      <c r="L773" s="83">
        <f t="shared" si="2"/>
        <v>3411.56</v>
      </c>
      <c r="M773" s="83">
        <f t="shared" si="3"/>
        <v>1188.13</v>
      </c>
      <c r="N773" s="46" t="str">
        <f>VLOOKUP(F773,products!$A$2:$B$13,2,FALSE)</f>
        <v>Fruits</v>
      </c>
      <c r="O773" s="46" t="s">
        <v>97</v>
      </c>
      <c r="P773" s="46">
        <f t="array" ref="P773">WEEKDAY(B773,2)</f>
        <v>3</v>
      </c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>
      <c r="A774" s="56">
        <v>6.06118571E8</v>
      </c>
      <c r="B774" s="126">
        <v>41949.0</v>
      </c>
      <c r="C774" s="126">
        <v>41961.0</v>
      </c>
      <c r="D774" s="56" t="s">
        <v>95</v>
      </c>
      <c r="E774" s="56" t="s">
        <v>105</v>
      </c>
      <c r="F774" s="56">
        <v>5988.0</v>
      </c>
      <c r="G774" s="56" t="s">
        <v>42</v>
      </c>
      <c r="H774" s="56">
        <v>2809.0</v>
      </c>
      <c r="I774" s="127">
        <v>154.06</v>
      </c>
      <c r="J774" s="127">
        <v>90.93</v>
      </c>
      <c r="K774" s="83">
        <f t="shared" si="1"/>
        <v>432754.54</v>
      </c>
      <c r="L774" s="83">
        <f t="shared" si="2"/>
        <v>255422.37</v>
      </c>
      <c r="M774" s="83">
        <f t="shared" si="3"/>
        <v>177332.17</v>
      </c>
      <c r="N774" s="46" t="str">
        <f>VLOOKUP(F774,products!$A$2:$B$13,2,FALSE)</f>
        <v>Vegetables</v>
      </c>
      <c r="O774" s="46" t="s">
        <v>105</v>
      </c>
      <c r="P774" s="46">
        <f t="array" ref="P774">WEEKDAY(B774,2)</f>
        <v>4</v>
      </c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>
      <c r="A775" s="56">
        <v>6.06224572E8</v>
      </c>
      <c r="B775" s="126">
        <v>41828.0</v>
      </c>
      <c r="C775" s="126">
        <v>41835.0</v>
      </c>
      <c r="D775" s="56" t="s">
        <v>89</v>
      </c>
      <c r="E775" s="56" t="s">
        <v>135</v>
      </c>
      <c r="F775" s="56">
        <v>8293.0</v>
      </c>
      <c r="G775" s="56" t="s">
        <v>42</v>
      </c>
      <c r="H775" s="56">
        <v>4177.0</v>
      </c>
      <c r="I775" s="127">
        <v>437.2</v>
      </c>
      <c r="J775" s="127">
        <v>263.33</v>
      </c>
      <c r="K775" s="83">
        <f t="shared" si="1"/>
        <v>1826184.4</v>
      </c>
      <c r="L775" s="83">
        <f t="shared" si="2"/>
        <v>1099929.41</v>
      </c>
      <c r="M775" s="83">
        <f t="shared" si="3"/>
        <v>726254.99</v>
      </c>
      <c r="N775" s="46" t="str">
        <f>VLOOKUP(F775,products!$A$2:$B$13,2,FALSE)</f>
        <v>Cosmetics</v>
      </c>
      <c r="O775" s="46" t="s">
        <v>135</v>
      </c>
      <c r="P775" s="46">
        <f t="array" ref="P775">WEEKDAY(B775,2)</f>
        <v>2</v>
      </c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>
      <c r="A776" s="56">
        <v>6.07620608E8</v>
      </c>
      <c r="B776" s="126">
        <v>40433.0</v>
      </c>
      <c r="C776" s="126">
        <v>40441.0</v>
      </c>
      <c r="D776" s="56" t="s">
        <v>95</v>
      </c>
      <c r="E776" s="56" t="e">
        <v>#N/A</v>
      </c>
      <c r="F776" s="56">
        <v>1270.0</v>
      </c>
      <c r="G776" s="56" t="s">
        <v>43</v>
      </c>
      <c r="H776" s="56">
        <v>7296.0</v>
      </c>
      <c r="I776" s="127">
        <v>47.45</v>
      </c>
      <c r="J776" s="127">
        <v>31.79</v>
      </c>
      <c r="K776" s="83">
        <f t="shared" si="1"/>
        <v>346195.2</v>
      </c>
      <c r="L776" s="83">
        <f t="shared" si="2"/>
        <v>231939.84</v>
      </c>
      <c r="M776" s="83">
        <f t="shared" si="3"/>
        <v>114255.36</v>
      </c>
      <c r="N776" s="46" t="str">
        <f>VLOOKUP(F776,products!$A$2:$B$13,2,FALSE)</f>
        <v>Beverages</v>
      </c>
      <c r="O776" s="46" t="s">
        <v>92</v>
      </c>
      <c r="P776" s="46">
        <f t="array" ref="P776">WEEKDAY(B776,2)</f>
        <v>7</v>
      </c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>
      <c r="A777" s="56">
        <v>6.07756221E8</v>
      </c>
      <c r="B777" s="126">
        <v>42585.0</v>
      </c>
      <c r="C777" s="126">
        <v>42593.0</v>
      </c>
      <c r="D777" s="56" t="s">
        <v>95</v>
      </c>
      <c r="E777" s="56" t="s">
        <v>124</v>
      </c>
      <c r="F777" s="56">
        <v>7940.0</v>
      </c>
      <c r="G777" s="56" t="s">
        <v>43</v>
      </c>
      <c r="H777" s="56">
        <v>7426.0</v>
      </c>
      <c r="I777" s="127">
        <v>668.27</v>
      </c>
      <c r="J777" s="127">
        <v>502.54</v>
      </c>
      <c r="K777" s="83">
        <f t="shared" si="1"/>
        <v>4962573.02</v>
      </c>
      <c r="L777" s="83">
        <f t="shared" si="2"/>
        <v>3731862.04</v>
      </c>
      <c r="M777" s="83">
        <f t="shared" si="3"/>
        <v>1230710.98</v>
      </c>
      <c r="N777" s="46" t="str">
        <f>VLOOKUP(F777,products!$A$2:$B$13,2,FALSE)</f>
        <v>Household</v>
      </c>
      <c r="O777" s="46" t="s">
        <v>124</v>
      </c>
      <c r="P777" s="46">
        <f t="array" ref="P777">WEEKDAY(B777,2)</f>
        <v>3</v>
      </c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>
      <c r="A778" s="56">
        <v>6.08374631E8</v>
      </c>
      <c r="B778" s="126">
        <v>42471.0</v>
      </c>
      <c r="C778" s="126">
        <v>42472.0</v>
      </c>
      <c r="D778" s="56" t="s">
        <v>89</v>
      </c>
      <c r="E778" s="56" t="s">
        <v>126</v>
      </c>
      <c r="F778" s="56">
        <v>5988.0</v>
      </c>
      <c r="G778" s="56" t="s">
        <v>42</v>
      </c>
      <c r="H778" s="56">
        <v>428.0</v>
      </c>
      <c r="I778" s="127">
        <v>154.06</v>
      </c>
      <c r="J778" s="127">
        <v>90.93</v>
      </c>
      <c r="K778" s="83">
        <f t="shared" si="1"/>
        <v>65937.68</v>
      </c>
      <c r="L778" s="83">
        <f t="shared" si="2"/>
        <v>38918.04</v>
      </c>
      <c r="M778" s="83">
        <f t="shared" si="3"/>
        <v>27019.64</v>
      </c>
      <c r="N778" s="46" t="str">
        <f>VLOOKUP(F778,products!$A$2:$B$13,2,FALSE)</f>
        <v>Vegetables</v>
      </c>
      <c r="O778" s="46" t="s">
        <v>126</v>
      </c>
      <c r="P778" s="46">
        <f t="array" ref="P778">WEEKDAY(B778,2)</f>
        <v>1</v>
      </c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>
      <c r="A779" s="56">
        <v>6.08451879E8</v>
      </c>
      <c r="B779" s="126">
        <v>41666.0</v>
      </c>
      <c r="C779" s="126">
        <v>41699.0</v>
      </c>
      <c r="D779" s="56" t="s">
        <v>10</v>
      </c>
      <c r="E779" s="56" t="e">
        <v>#N/A</v>
      </c>
      <c r="F779" s="56">
        <v>7331.0</v>
      </c>
      <c r="G779" s="56" t="s">
        <v>43</v>
      </c>
      <c r="H779" s="56">
        <v>3287.0</v>
      </c>
      <c r="I779" s="127">
        <v>255.28</v>
      </c>
      <c r="J779" s="127">
        <v>159.42</v>
      </c>
      <c r="K779" s="83">
        <f t="shared" si="1"/>
        <v>839105.36</v>
      </c>
      <c r="L779" s="83">
        <f t="shared" si="2"/>
        <v>524013.54</v>
      </c>
      <c r="M779" s="83">
        <f t="shared" si="3"/>
        <v>315091.82</v>
      </c>
      <c r="N779" s="46" t="str">
        <f>VLOOKUP(F779,products!$A$2:$B$13,2,FALSE)</f>
        <v>Baby Food</v>
      </c>
      <c r="O779" s="46" t="s">
        <v>92</v>
      </c>
      <c r="P779" s="46">
        <f t="array" ref="P779">WEEKDAY(B779,2)</f>
        <v>1</v>
      </c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>
      <c r="A780" s="56">
        <v>6.09939754E8</v>
      </c>
      <c r="B780" s="126">
        <v>41588.0</v>
      </c>
      <c r="C780" s="126">
        <v>41608.0</v>
      </c>
      <c r="D780" s="56" t="s">
        <v>89</v>
      </c>
      <c r="E780" s="56" t="s">
        <v>109</v>
      </c>
      <c r="F780" s="56">
        <v>4594.0</v>
      </c>
      <c r="G780" s="56" t="s">
        <v>43</v>
      </c>
      <c r="H780" s="56">
        <v>3582.0</v>
      </c>
      <c r="I780" s="127">
        <v>9.33</v>
      </c>
      <c r="J780" s="127">
        <v>6.92</v>
      </c>
      <c r="K780" s="83">
        <f t="shared" si="1"/>
        <v>33420.06</v>
      </c>
      <c r="L780" s="83">
        <f t="shared" si="2"/>
        <v>24787.44</v>
      </c>
      <c r="M780" s="83">
        <f t="shared" si="3"/>
        <v>8632.62</v>
      </c>
      <c r="N780" s="46" t="str">
        <f>VLOOKUP(F780,products!$A$2:$B$13,2,FALSE)</f>
        <v>Fruits</v>
      </c>
      <c r="O780" s="46" t="s">
        <v>109</v>
      </c>
      <c r="P780" s="46">
        <f t="array" ref="P780">WEEKDAY(B780,2)</f>
        <v>7</v>
      </c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>
      <c r="A781" s="56">
        <v>6.09952628E8</v>
      </c>
      <c r="B781" s="126">
        <v>40532.0</v>
      </c>
      <c r="C781" s="126">
        <v>40574.0</v>
      </c>
      <c r="D781" s="56" t="s">
        <v>89</v>
      </c>
      <c r="E781" s="56" t="s">
        <v>111</v>
      </c>
      <c r="F781" s="56">
        <v>8875.0</v>
      </c>
      <c r="G781" s="56" t="s">
        <v>43</v>
      </c>
      <c r="H781" s="56">
        <v>7392.0</v>
      </c>
      <c r="I781" s="127">
        <v>421.89</v>
      </c>
      <c r="J781" s="127">
        <v>364.69</v>
      </c>
      <c r="K781" s="83">
        <f t="shared" si="1"/>
        <v>3118610.88</v>
      </c>
      <c r="L781" s="83">
        <f t="shared" si="2"/>
        <v>2695788.48</v>
      </c>
      <c r="M781" s="83">
        <f t="shared" si="3"/>
        <v>422822.4</v>
      </c>
      <c r="N781" s="46" t="str">
        <f>VLOOKUP(F781,products!$A$2:$B$13,2,FALSE)</f>
        <v>Meat</v>
      </c>
      <c r="O781" s="46" t="s">
        <v>111</v>
      </c>
      <c r="P781" s="46">
        <f t="array" ref="P781">WEEKDAY(B781,2)</f>
        <v>1</v>
      </c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>
      <c r="A782" s="56">
        <v>6.11766231E8</v>
      </c>
      <c r="B782" s="126">
        <v>40564.0</v>
      </c>
      <c r="C782" s="126">
        <v>40600.0</v>
      </c>
      <c r="D782" s="56" t="s">
        <v>10</v>
      </c>
      <c r="E782" s="56" t="s">
        <v>121</v>
      </c>
      <c r="F782" s="56">
        <v>7331.0</v>
      </c>
      <c r="G782" s="56" t="s">
        <v>42</v>
      </c>
      <c r="H782" s="56">
        <v>4077.0</v>
      </c>
      <c r="I782" s="127">
        <v>255.28</v>
      </c>
      <c r="J782" s="127">
        <v>159.42</v>
      </c>
      <c r="K782" s="83">
        <f t="shared" si="1"/>
        <v>1040776.56</v>
      </c>
      <c r="L782" s="83">
        <f t="shared" si="2"/>
        <v>649955.34</v>
      </c>
      <c r="M782" s="83">
        <f t="shared" si="3"/>
        <v>390821.22</v>
      </c>
      <c r="N782" s="46" t="str">
        <f>VLOOKUP(F782,products!$A$2:$B$13,2,FALSE)</f>
        <v>Baby Food</v>
      </c>
      <c r="O782" s="46" t="s">
        <v>121</v>
      </c>
      <c r="P782" s="46">
        <f t="array" ref="P782">WEEKDAY(B782,2)</f>
        <v>5</v>
      </c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>
      <c r="A783" s="56">
        <v>6.11791121E8</v>
      </c>
      <c r="B783" s="126">
        <v>42394.0</v>
      </c>
      <c r="C783" s="126">
        <v>42432.0</v>
      </c>
      <c r="D783" s="56" t="s">
        <v>10</v>
      </c>
      <c r="E783" s="56" t="s">
        <v>113</v>
      </c>
      <c r="F783" s="56">
        <v>8969.0</v>
      </c>
      <c r="G783" s="56" t="s">
        <v>42</v>
      </c>
      <c r="H783" s="56">
        <v>1443.0</v>
      </c>
      <c r="I783" s="127">
        <v>152.58</v>
      </c>
      <c r="J783" s="127">
        <v>97.44</v>
      </c>
      <c r="K783" s="83">
        <f t="shared" si="1"/>
        <v>220172.94</v>
      </c>
      <c r="L783" s="83">
        <f t="shared" si="2"/>
        <v>140605.92</v>
      </c>
      <c r="M783" s="83">
        <f t="shared" si="3"/>
        <v>79567.02</v>
      </c>
      <c r="N783" s="46" t="str">
        <f>VLOOKUP(F783,products!$A$2:$B$13,2,FALSE)</f>
        <v>Snacks</v>
      </c>
      <c r="O783" s="46" t="s">
        <v>113</v>
      </c>
      <c r="P783" s="46">
        <f t="array" ref="P783">WEEKDAY(B783,2)</f>
        <v>1</v>
      </c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>
      <c r="A784" s="56">
        <v>6.13166129E8</v>
      </c>
      <c r="B784" s="126">
        <v>40788.0</v>
      </c>
      <c r="C784" s="126">
        <v>40837.0</v>
      </c>
      <c r="D784" s="56" t="s">
        <v>89</v>
      </c>
      <c r="E784" s="56" t="s">
        <v>116</v>
      </c>
      <c r="F784" s="56">
        <v>8293.0</v>
      </c>
      <c r="G784" s="56" t="s">
        <v>42</v>
      </c>
      <c r="H784" s="56">
        <v>8338.0</v>
      </c>
      <c r="I784" s="127">
        <v>437.2</v>
      </c>
      <c r="J784" s="127">
        <v>263.33</v>
      </c>
      <c r="K784" s="83">
        <f t="shared" si="1"/>
        <v>3645373.6</v>
      </c>
      <c r="L784" s="83">
        <f t="shared" si="2"/>
        <v>2195645.54</v>
      </c>
      <c r="M784" s="83">
        <f t="shared" si="3"/>
        <v>1449728.06</v>
      </c>
      <c r="N784" s="46" t="str">
        <f>VLOOKUP(F784,products!$A$2:$B$13,2,FALSE)</f>
        <v>Cosmetics</v>
      </c>
      <c r="O784" s="46" t="s">
        <v>116</v>
      </c>
      <c r="P784" s="46">
        <f t="array" ref="P784">WEEKDAY(B784,2)</f>
        <v>5</v>
      </c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>
      <c r="A785" s="56">
        <v>6.14054477E8</v>
      </c>
      <c r="B785" s="126">
        <v>42594.0</v>
      </c>
      <c r="C785" s="126">
        <v>42598.0</v>
      </c>
      <c r="D785" s="56" t="s">
        <v>10</v>
      </c>
      <c r="E785" s="56" t="s">
        <v>116</v>
      </c>
      <c r="F785" s="56">
        <v>5988.0</v>
      </c>
      <c r="G785" s="56" t="s">
        <v>43</v>
      </c>
      <c r="H785" s="56">
        <v>1220.0</v>
      </c>
      <c r="I785" s="127">
        <v>154.06</v>
      </c>
      <c r="J785" s="127">
        <v>90.93</v>
      </c>
      <c r="K785" s="83">
        <f t="shared" si="1"/>
        <v>187953.2</v>
      </c>
      <c r="L785" s="83">
        <f t="shared" si="2"/>
        <v>110934.6</v>
      </c>
      <c r="M785" s="83">
        <f t="shared" si="3"/>
        <v>77018.6</v>
      </c>
      <c r="N785" s="46" t="str">
        <f>VLOOKUP(F785,products!$A$2:$B$13,2,FALSE)</f>
        <v>Vegetables</v>
      </c>
      <c r="O785" s="46" t="s">
        <v>116</v>
      </c>
      <c r="P785" s="46">
        <f t="array" ref="P785">WEEKDAY(B785,2)</f>
        <v>5</v>
      </c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>
      <c r="A786" s="56">
        <v>6.14321839E8</v>
      </c>
      <c r="B786" s="126">
        <v>42513.0</v>
      </c>
      <c r="C786" s="126">
        <v>42556.0</v>
      </c>
      <c r="D786" s="56" t="s">
        <v>95</v>
      </c>
      <c r="E786" s="56" t="s">
        <v>120</v>
      </c>
      <c r="F786" s="56">
        <v>8875.0</v>
      </c>
      <c r="G786" s="56" t="s">
        <v>43</v>
      </c>
      <c r="H786" s="56">
        <v>339.0</v>
      </c>
      <c r="I786" s="127">
        <v>421.89</v>
      </c>
      <c r="J786" s="127">
        <v>364.69</v>
      </c>
      <c r="K786" s="83">
        <f t="shared" si="1"/>
        <v>143020.71</v>
      </c>
      <c r="L786" s="83">
        <f t="shared" si="2"/>
        <v>123629.91</v>
      </c>
      <c r="M786" s="83">
        <f t="shared" si="3"/>
        <v>19390.8</v>
      </c>
      <c r="N786" s="46" t="str">
        <f>VLOOKUP(F786,products!$A$2:$B$13,2,FALSE)</f>
        <v>Meat</v>
      </c>
      <c r="O786" s="46" t="s">
        <v>120</v>
      </c>
      <c r="P786" s="46">
        <f t="array" ref="P786">WEEKDAY(B786,2)</f>
        <v>1</v>
      </c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>
      <c r="A787" s="56">
        <v>6.14597785E8</v>
      </c>
      <c r="B787" s="126">
        <v>41727.0</v>
      </c>
      <c r="C787" s="126">
        <v>41773.0</v>
      </c>
      <c r="D787" s="56" t="s">
        <v>10</v>
      </c>
      <c r="E787" s="56" t="s">
        <v>94</v>
      </c>
      <c r="F787" s="56">
        <v>8293.0</v>
      </c>
      <c r="G787" s="56" t="s">
        <v>42</v>
      </c>
      <c r="H787" s="56">
        <v>1997.0</v>
      </c>
      <c r="I787" s="127">
        <v>437.2</v>
      </c>
      <c r="J787" s="127">
        <v>263.33</v>
      </c>
      <c r="K787" s="83">
        <f t="shared" si="1"/>
        <v>873088.4</v>
      </c>
      <c r="L787" s="83">
        <f t="shared" si="2"/>
        <v>525870.01</v>
      </c>
      <c r="M787" s="83">
        <f t="shared" si="3"/>
        <v>347218.39</v>
      </c>
      <c r="N787" s="46" t="str">
        <f>VLOOKUP(F787,products!$A$2:$B$13,2,FALSE)</f>
        <v>Cosmetics</v>
      </c>
      <c r="O787" s="46" t="s">
        <v>94</v>
      </c>
      <c r="P787" s="46">
        <f t="array" ref="P787">WEEKDAY(B787,2)</f>
        <v>6</v>
      </c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>
      <c r="A788" s="56">
        <v>6.15080583E8</v>
      </c>
      <c r="B788" s="126">
        <v>42227.0</v>
      </c>
      <c r="C788" s="126">
        <v>42266.0</v>
      </c>
      <c r="D788" s="56" t="s">
        <v>10</v>
      </c>
      <c r="E788" s="56" t="s">
        <v>115</v>
      </c>
      <c r="F788" s="56">
        <v>2103.0</v>
      </c>
      <c r="G788" s="56" t="s">
        <v>43</v>
      </c>
      <c r="H788" s="56">
        <v>4868.0</v>
      </c>
      <c r="I788" s="127">
        <v>205.7</v>
      </c>
      <c r="J788" s="127">
        <v>117.11</v>
      </c>
      <c r="K788" s="83">
        <f t="shared" si="1"/>
        <v>1001347.6</v>
      </c>
      <c r="L788" s="83">
        <f t="shared" si="2"/>
        <v>570091.48</v>
      </c>
      <c r="M788" s="83">
        <f t="shared" si="3"/>
        <v>431256.12</v>
      </c>
      <c r="N788" s="46" t="str">
        <f>VLOOKUP(F788,products!$A$2:$B$13,2,FALSE)</f>
        <v>Cereal</v>
      </c>
      <c r="O788" s="46" t="s">
        <v>115</v>
      </c>
      <c r="P788" s="46">
        <f t="array" ref="P788">WEEKDAY(B788,2)</f>
        <v>2</v>
      </c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>
      <c r="A789" s="56">
        <v>6.15290009E8</v>
      </c>
      <c r="B789" s="126">
        <v>42749.0</v>
      </c>
      <c r="C789" s="126">
        <v>42753.0</v>
      </c>
      <c r="D789" s="56" t="s">
        <v>89</v>
      </c>
      <c r="E789" s="56" t="s">
        <v>100</v>
      </c>
      <c r="F789" s="56">
        <v>8875.0</v>
      </c>
      <c r="G789" s="56" t="s">
        <v>42</v>
      </c>
      <c r="H789" s="56">
        <v>6842.0</v>
      </c>
      <c r="I789" s="127">
        <v>421.89</v>
      </c>
      <c r="J789" s="127">
        <v>364.69</v>
      </c>
      <c r="K789" s="83">
        <f t="shared" si="1"/>
        <v>2886571.38</v>
      </c>
      <c r="L789" s="83">
        <f t="shared" si="2"/>
        <v>2495208.98</v>
      </c>
      <c r="M789" s="83">
        <f t="shared" si="3"/>
        <v>391362.4</v>
      </c>
      <c r="N789" s="46" t="str">
        <f>VLOOKUP(F789,products!$A$2:$B$13,2,FALSE)</f>
        <v>Meat</v>
      </c>
      <c r="O789" s="46" t="s">
        <v>100</v>
      </c>
      <c r="P789" s="46">
        <f t="array" ref="P789">WEEKDAY(B789,2)</f>
        <v>6</v>
      </c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>
      <c r="A790" s="56">
        <v>6.1677531E8</v>
      </c>
      <c r="B790" s="126">
        <v>40670.0</v>
      </c>
      <c r="C790" s="126">
        <v>40687.0</v>
      </c>
      <c r="D790" s="56" t="s">
        <v>10</v>
      </c>
      <c r="E790" s="56" t="e">
        <v>#N/A</v>
      </c>
      <c r="F790" s="56">
        <v>8681.0</v>
      </c>
      <c r="G790" s="56" t="s">
        <v>42</v>
      </c>
      <c r="H790" s="56">
        <v>6375.0</v>
      </c>
      <c r="I790" s="127">
        <v>651.21</v>
      </c>
      <c r="J790" s="127">
        <v>524.96</v>
      </c>
      <c r="K790" s="83">
        <f t="shared" si="1"/>
        <v>4151463.75</v>
      </c>
      <c r="L790" s="83">
        <f t="shared" si="2"/>
        <v>3346620</v>
      </c>
      <c r="M790" s="83">
        <f t="shared" si="3"/>
        <v>804843.75</v>
      </c>
      <c r="N790" s="46" t="str">
        <f>VLOOKUP(F790,products!$A$2:$B$13,2,FALSE)</f>
        <v>Office Supplies</v>
      </c>
      <c r="O790" s="46" t="s">
        <v>92</v>
      </c>
      <c r="P790" s="46">
        <f t="array" ref="P790">WEEKDAY(B790,2)</f>
        <v>6</v>
      </c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>
      <c r="A791" s="56">
        <v>6.21577537E8</v>
      </c>
      <c r="B791" s="126">
        <v>42256.0</v>
      </c>
      <c r="C791" s="126">
        <v>42263.0</v>
      </c>
      <c r="D791" s="56" t="s">
        <v>93</v>
      </c>
      <c r="E791" s="56" t="s">
        <v>101</v>
      </c>
      <c r="F791" s="56">
        <v>7940.0</v>
      </c>
      <c r="G791" s="56" t="s">
        <v>42</v>
      </c>
      <c r="H791" s="56">
        <v>7461.0</v>
      </c>
      <c r="I791" s="127">
        <v>668.27</v>
      </c>
      <c r="J791" s="127">
        <v>502.54</v>
      </c>
      <c r="K791" s="83">
        <f t="shared" si="1"/>
        <v>4985962.47</v>
      </c>
      <c r="L791" s="83">
        <f t="shared" si="2"/>
        <v>3749450.94</v>
      </c>
      <c r="M791" s="83">
        <f t="shared" si="3"/>
        <v>1236511.53</v>
      </c>
      <c r="N791" s="46" t="str">
        <f>VLOOKUP(F791,products!$A$2:$B$13,2,FALSE)</f>
        <v>Household</v>
      </c>
      <c r="O791" s="46" t="s">
        <v>101</v>
      </c>
      <c r="P791" s="46">
        <f t="array" ref="P791">WEEKDAY(B791,2)</f>
        <v>3</v>
      </c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>
      <c r="A792" s="56">
        <v>6.22441852E8</v>
      </c>
      <c r="B792" s="126">
        <v>41055.0</v>
      </c>
      <c r="C792" s="126">
        <v>41057.0</v>
      </c>
      <c r="D792" s="56" t="s">
        <v>93</v>
      </c>
      <c r="E792" s="56" t="s">
        <v>104</v>
      </c>
      <c r="F792" s="56">
        <v>2455.0</v>
      </c>
      <c r="G792" s="56" t="s">
        <v>43</v>
      </c>
      <c r="H792" s="56">
        <v>3231.0</v>
      </c>
      <c r="I792" s="127">
        <v>109.28</v>
      </c>
      <c r="J792" s="127">
        <v>35.84</v>
      </c>
      <c r="K792" s="83">
        <f t="shared" si="1"/>
        <v>353083.68</v>
      </c>
      <c r="L792" s="83">
        <f t="shared" si="2"/>
        <v>115799.04</v>
      </c>
      <c r="M792" s="83">
        <f t="shared" si="3"/>
        <v>237284.64</v>
      </c>
      <c r="N792" s="46" t="str">
        <f>VLOOKUP(F792,products!$A$2:$B$13,2,FALSE)</f>
        <v>Clothes</v>
      </c>
      <c r="O792" s="46" t="s">
        <v>104</v>
      </c>
      <c r="P792" s="46">
        <f t="array" ref="P792">WEEKDAY(B792,2)</f>
        <v>6</v>
      </c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>
      <c r="A793" s="56">
        <v>6.2382158E8</v>
      </c>
      <c r="B793" s="126">
        <v>42658.0</v>
      </c>
      <c r="C793" s="126">
        <v>42674.0</v>
      </c>
      <c r="D793" s="56" t="s">
        <v>93</v>
      </c>
      <c r="E793" s="56" t="s">
        <v>133</v>
      </c>
      <c r="F793" s="56">
        <v>4594.0</v>
      </c>
      <c r="G793" s="56" t="s">
        <v>42</v>
      </c>
      <c r="H793" s="56">
        <v>1523.0</v>
      </c>
      <c r="I793" s="127">
        <v>9.33</v>
      </c>
      <c r="J793" s="127">
        <v>6.92</v>
      </c>
      <c r="K793" s="83">
        <f t="shared" si="1"/>
        <v>14209.59</v>
      </c>
      <c r="L793" s="83">
        <f t="shared" si="2"/>
        <v>10539.16</v>
      </c>
      <c r="M793" s="83">
        <f t="shared" si="3"/>
        <v>3670.43</v>
      </c>
      <c r="N793" s="46" t="str">
        <f>VLOOKUP(F793,products!$A$2:$B$13,2,FALSE)</f>
        <v>Fruits</v>
      </c>
      <c r="O793" s="46" t="s">
        <v>133</v>
      </c>
      <c r="P793" s="46">
        <f t="array" ref="P793">WEEKDAY(B793,2)</f>
        <v>6</v>
      </c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>
      <c r="A794" s="56">
        <v>6.24348151E8</v>
      </c>
      <c r="B794" s="126">
        <v>41227.0</v>
      </c>
      <c r="C794" s="126">
        <v>41251.0</v>
      </c>
      <c r="D794" s="56" t="s">
        <v>10</v>
      </c>
      <c r="E794" s="56" t="s">
        <v>113</v>
      </c>
      <c r="F794" s="56">
        <v>8681.0</v>
      </c>
      <c r="G794" s="56" t="s">
        <v>43</v>
      </c>
      <c r="H794" s="56">
        <v>7347.0</v>
      </c>
      <c r="I794" s="127">
        <v>651.21</v>
      </c>
      <c r="J794" s="127">
        <v>524.96</v>
      </c>
      <c r="K794" s="83">
        <f t="shared" si="1"/>
        <v>4784439.87</v>
      </c>
      <c r="L794" s="83">
        <f t="shared" si="2"/>
        <v>3856881.12</v>
      </c>
      <c r="M794" s="83">
        <f t="shared" si="3"/>
        <v>927558.75</v>
      </c>
      <c r="N794" s="46" t="str">
        <f>VLOOKUP(F794,products!$A$2:$B$13,2,FALSE)</f>
        <v>Office Supplies</v>
      </c>
      <c r="O794" s="46" t="s">
        <v>113</v>
      </c>
      <c r="P794" s="46">
        <f t="array" ref="P794">WEEKDAY(B794,2)</f>
        <v>3</v>
      </c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>
      <c r="A795" s="56">
        <v>6.24398362E8</v>
      </c>
      <c r="B795" s="126">
        <v>42916.0</v>
      </c>
      <c r="C795" s="126">
        <v>42940.0</v>
      </c>
      <c r="D795" s="56" t="s">
        <v>10</v>
      </c>
      <c r="E795" s="56" t="s">
        <v>116</v>
      </c>
      <c r="F795" s="56">
        <v>8681.0</v>
      </c>
      <c r="G795" s="56" t="s">
        <v>42</v>
      </c>
      <c r="H795" s="56">
        <v>2206.0</v>
      </c>
      <c r="I795" s="127">
        <v>651.21</v>
      </c>
      <c r="J795" s="127">
        <v>524.96</v>
      </c>
      <c r="K795" s="83">
        <f t="shared" si="1"/>
        <v>1436569.26</v>
      </c>
      <c r="L795" s="83">
        <f t="shared" si="2"/>
        <v>1158061.76</v>
      </c>
      <c r="M795" s="83">
        <f t="shared" si="3"/>
        <v>278507.5</v>
      </c>
      <c r="N795" s="46" t="str">
        <f>VLOOKUP(F795,products!$A$2:$B$13,2,FALSE)</f>
        <v>Office Supplies</v>
      </c>
      <c r="O795" s="46" t="s">
        <v>116</v>
      </c>
      <c r="P795" s="46">
        <f t="array" ref="P795">WEEKDAY(B795,2)</f>
        <v>5</v>
      </c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>
      <c r="A796" s="56">
        <v>6.24940383E8</v>
      </c>
      <c r="B796" s="126">
        <v>42431.0</v>
      </c>
      <c r="C796" s="126">
        <v>42459.0</v>
      </c>
      <c r="D796" s="56" t="s">
        <v>95</v>
      </c>
      <c r="E796" s="56" t="s">
        <v>103</v>
      </c>
      <c r="F796" s="56">
        <v>8293.0</v>
      </c>
      <c r="G796" s="56" t="s">
        <v>42</v>
      </c>
      <c r="H796" s="56">
        <v>2602.0</v>
      </c>
      <c r="I796" s="127">
        <v>437.2</v>
      </c>
      <c r="J796" s="127">
        <v>263.33</v>
      </c>
      <c r="K796" s="83">
        <f t="shared" si="1"/>
        <v>1137594.4</v>
      </c>
      <c r="L796" s="83">
        <f t="shared" si="2"/>
        <v>685184.66</v>
      </c>
      <c r="M796" s="83">
        <f t="shared" si="3"/>
        <v>452409.74</v>
      </c>
      <c r="N796" s="46" t="str">
        <f>VLOOKUP(F796,products!$A$2:$B$13,2,FALSE)</f>
        <v>Cosmetics</v>
      </c>
      <c r="O796" s="46" t="s">
        <v>103</v>
      </c>
      <c r="P796" s="46">
        <f t="array" ref="P796">WEEKDAY(B796,2)</f>
        <v>3</v>
      </c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>
      <c r="A797" s="56">
        <v>6.25751483E8</v>
      </c>
      <c r="B797" s="126">
        <v>42276.0</v>
      </c>
      <c r="C797" s="126">
        <v>42278.0</v>
      </c>
      <c r="D797" s="56" t="s">
        <v>95</v>
      </c>
      <c r="E797" s="56" t="s">
        <v>120</v>
      </c>
      <c r="F797" s="56">
        <v>3127.0</v>
      </c>
      <c r="G797" s="56" t="s">
        <v>42</v>
      </c>
      <c r="H797" s="56">
        <v>2624.0</v>
      </c>
      <c r="I797" s="127">
        <v>81.73</v>
      </c>
      <c r="J797" s="127">
        <v>56.67</v>
      </c>
      <c r="K797" s="83">
        <f t="shared" si="1"/>
        <v>214459.52</v>
      </c>
      <c r="L797" s="83">
        <f t="shared" si="2"/>
        <v>148702.08</v>
      </c>
      <c r="M797" s="83">
        <f t="shared" si="3"/>
        <v>65757.44</v>
      </c>
      <c r="N797" s="46" t="str">
        <f>VLOOKUP(F797,products!$A$2:$B$13,2,FALSE)</f>
        <v>Personal Care</v>
      </c>
      <c r="O797" s="46" t="s">
        <v>120</v>
      </c>
      <c r="P797" s="46">
        <f t="array" ref="P797">WEEKDAY(B797,2)</f>
        <v>2</v>
      </c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>
      <c r="A798" s="56">
        <v>6.26011979E8</v>
      </c>
      <c r="B798" s="126">
        <v>40545.0</v>
      </c>
      <c r="C798" s="126">
        <v>40554.0</v>
      </c>
      <c r="D798" s="56" t="s">
        <v>93</v>
      </c>
      <c r="E798" s="56" t="s">
        <v>136</v>
      </c>
      <c r="F798" s="56">
        <v>2455.0</v>
      </c>
      <c r="G798" s="56" t="s">
        <v>42</v>
      </c>
      <c r="H798" s="56">
        <v>9711.0</v>
      </c>
      <c r="I798" s="127">
        <v>109.28</v>
      </c>
      <c r="J798" s="127">
        <v>35.84</v>
      </c>
      <c r="K798" s="83">
        <f t="shared" si="1"/>
        <v>1061218.08</v>
      </c>
      <c r="L798" s="83">
        <f t="shared" si="2"/>
        <v>348042.24</v>
      </c>
      <c r="M798" s="83">
        <f t="shared" si="3"/>
        <v>713175.84</v>
      </c>
      <c r="N798" s="46" t="str">
        <f>VLOOKUP(F798,products!$A$2:$B$13,2,FALSE)</f>
        <v>Clothes</v>
      </c>
      <c r="O798" s="46" t="s">
        <v>136</v>
      </c>
      <c r="P798" s="46">
        <f t="array" ref="P798">WEEKDAY(B798,2)</f>
        <v>7</v>
      </c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>
      <c r="A799" s="56">
        <v>6.26109397E8</v>
      </c>
      <c r="B799" s="126">
        <v>41128.0</v>
      </c>
      <c r="C799" s="126">
        <v>41167.0</v>
      </c>
      <c r="D799" s="56" t="s">
        <v>10</v>
      </c>
      <c r="E799" s="56" t="s">
        <v>113</v>
      </c>
      <c r="F799" s="56">
        <v>2103.0</v>
      </c>
      <c r="G799" s="56" t="s">
        <v>43</v>
      </c>
      <c r="H799" s="56">
        <v>8539.0</v>
      </c>
      <c r="I799" s="127">
        <v>205.7</v>
      </c>
      <c r="J799" s="127">
        <v>117.11</v>
      </c>
      <c r="K799" s="83">
        <f t="shared" si="1"/>
        <v>1756472.3</v>
      </c>
      <c r="L799" s="83">
        <f t="shared" si="2"/>
        <v>1000002.29</v>
      </c>
      <c r="M799" s="83">
        <f t="shared" si="3"/>
        <v>756470.01</v>
      </c>
      <c r="N799" s="46" t="str">
        <f>VLOOKUP(F799,products!$A$2:$B$13,2,FALSE)</f>
        <v>Cereal</v>
      </c>
      <c r="O799" s="46" t="s">
        <v>113</v>
      </c>
      <c r="P799" s="46">
        <f t="array" ref="P799">WEEKDAY(B799,2)</f>
        <v>2</v>
      </c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>
      <c r="A800" s="56">
        <v>6.26322257E8</v>
      </c>
      <c r="B800" s="126">
        <v>42475.0</v>
      </c>
      <c r="C800" s="126">
        <v>42495.0</v>
      </c>
      <c r="D800" s="56" t="s">
        <v>89</v>
      </c>
      <c r="E800" s="56" t="e">
        <v>#N/A</v>
      </c>
      <c r="F800" s="56">
        <v>3127.0</v>
      </c>
      <c r="G800" s="56" t="s">
        <v>42</v>
      </c>
      <c r="H800" s="56">
        <v>1529.0</v>
      </c>
      <c r="I800" s="127">
        <v>81.73</v>
      </c>
      <c r="J800" s="127">
        <v>56.67</v>
      </c>
      <c r="K800" s="83">
        <f t="shared" si="1"/>
        <v>124965.17</v>
      </c>
      <c r="L800" s="83">
        <f t="shared" si="2"/>
        <v>86648.43</v>
      </c>
      <c r="M800" s="83">
        <f t="shared" si="3"/>
        <v>38316.74</v>
      </c>
      <c r="N800" s="46" t="str">
        <f>VLOOKUP(F800,products!$A$2:$B$13,2,FALSE)</f>
        <v>Personal Care</v>
      </c>
      <c r="O800" s="46" t="s">
        <v>92</v>
      </c>
      <c r="P800" s="46">
        <f t="array" ref="P800">WEEKDAY(B800,2)</f>
        <v>5</v>
      </c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>
      <c r="A801" s="56">
        <v>6.26453149E8</v>
      </c>
      <c r="B801" s="126">
        <v>41418.0</v>
      </c>
      <c r="C801" s="126">
        <v>41435.0</v>
      </c>
      <c r="D801" s="56" t="s">
        <v>10</v>
      </c>
      <c r="E801" s="56" t="s">
        <v>115</v>
      </c>
      <c r="F801" s="56">
        <v>8293.0</v>
      </c>
      <c r="G801" s="56" t="s">
        <v>42</v>
      </c>
      <c r="H801" s="56">
        <v>263.0</v>
      </c>
      <c r="I801" s="127">
        <v>437.2</v>
      </c>
      <c r="J801" s="127">
        <v>263.33</v>
      </c>
      <c r="K801" s="83">
        <f t="shared" si="1"/>
        <v>114983.6</v>
      </c>
      <c r="L801" s="83">
        <f t="shared" si="2"/>
        <v>69255.79</v>
      </c>
      <c r="M801" s="83">
        <f t="shared" si="3"/>
        <v>45727.81</v>
      </c>
      <c r="N801" s="46" t="str">
        <f>VLOOKUP(F801,products!$A$2:$B$13,2,FALSE)</f>
        <v>Cosmetics</v>
      </c>
      <c r="O801" s="46" t="s">
        <v>115</v>
      </c>
      <c r="P801" s="46">
        <f t="array" ref="P801">WEEKDAY(B801,2)</f>
        <v>5</v>
      </c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>
      <c r="A802" s="56">
        <v>6.27003753E8</v>
      </c>
      <c r="B802" s="126">
        <v>40228.0</v>
      </c>
      <c r="C802" s="126">
        <v>40263.0</v>
      </c>
      <c r="D802" s="56" t="s">
        <v>89</v>
      </c>
      <c r="E802" s="56" t="s">
        <v>105</v>
      </c>
      <c r="F802" s="56">
        <v>8875.0</v>
      </c>
      <c r="G802" s="56" t="s">
        <v>42</v>
      </c>
      <c r="H802" s="56">
        <v>3199.0</v>
      </c>
      <c r="I802" s="127">
        <v>421.89</v>
      </c>
      <c r="J802" s="127">
        <v>364.69</v>
      </c>
      <c r="K802" s="83">
        <f t="shared" si="1"/>
        <v>1349626.11</v>
      </c>
      <c r="L802" s="83">
        <f t="shared" si="2"/>
        <v>1166643.31</v>
      </c>
      <c r="M802" s="83">
        <f t="shared" si="3"/>
        <v>182982.8</v>
      </c>
      <c r="N802" s="46" t="str">
        <f>VLOOKUP(F802,products!$A$2:$B$13,2,FALSE)</f>
        <v>Meat</v>
      </c>
      <c r="O802" s="46" t="s">
        <v>105</v>
      </c>
      <c r="P802" s="46">
        <f t="array" ref="P802">WEEKDAY(B802,2)</f>
        <v>5</v>
      </c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>
      <c r="A803" s="56">
        <v>6.27432048E8</v>
      </c>
      <c r="B803" s="126">
        <v>42157.0</v>
      </c>
      <c r="C803" s="126">
        <v>42178.0</v>
      </c>
      <c r="D803" s="56" t="s">
        <v>10</v>
      </c>
      <c r="E803" s="56" t="s">
        <v>108</v>
      </c>
      <c r="F803" s="56">
        <v>3127.0</v>
      </c>
      <c r="G803" s="56" t="s">
        <v>43</v>
      </c>
      <c r="H803" s="56">
        <v>9941.0</v>
      </c>
      <c r="I803" s="127">
        <v>81.73</v>
      </c>
      <c r="J803" s="127">
        <v>56.67</v>
      </c>
      <c r="K803" s="83">
        <f t="shared" si="1"/>
        <v>812477.93</v>
      </c>
      <c r="L803" s="83">
        <f t="shared" si="2"/>
        <v>563356.47</v>
      </c>
      <c r="M803" s="83">
        <f t="shared" si="3"/>
        <v>249121.46</v>
      </c>
      <c r="N803" s="46" t="str">
        <f>VLOOKUP(F803,products!$A$2:$B$13,2,FALSE)</f>
        <v>Personal Care</v>
      </c>
      <c r="O803" s="46" t="s">
        <v>108</v>
      </c>
      <c r="P803" s="46">
        <f t="array" ref="P803">WEEKDAY(B803,2)</f>
        <v>2</v>
      </c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>
      <c r="A804" s="56">
        <v>6.28055179E8</v>
      </c>
      <c r="B804" s="126">
        <v>42486.0</v>
      </c>
      <c r="C804" s="126">
        <v>42503.0</v>
      </c>
      <c r="D804" s="56" t="s">
        <v>89</v>
      </c>
      <c r="E804" s="56" t="s">
        <v>117</v>
      </c>
      <c r="F804" s="56">
        <v>8681.0</v>
      </c>
      <c r="G804" s="56" t="s">
        <v>42</v>
      </c>
      <c r="H804" s="56">
        <v>4339.0</v>
      </c>
      <c r="I804" s="127">
        <v>651.21</v>
      </c>
      <c r="J804" s="127">
        <v>524.96</v>
      </c>
      <c r="K804" s="83">
        <f t="shared" si="1"/>
        <v>2825600.19</v>
      </c>
      <c r="L804" s="83">
        <f t="shared" si="2"/>
        <v>2277801.44</v>
      </c>
      <c r="M804" s="83">
        <f t="shared" si="3"/>
        <v>547798.75</v>
      </c>
      <c r="N804" s="46" t="str">
        <f>VLOOKUP(F804,products!$A$2:$B$13,2,FALSE)</f>
        <v>Office Supplies</v>
      </c>
      <c r="O804" s="46" t="s">
        <v>117</v>
      </c>
      <c r="P804" s="46">
        <f t="array" ref="P804">WEEKDAY(B804,2)</f>
        <v>2</v>
      </c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>
      <c r="A805" s="56">
        <v>6.28515231E8</v>
      </c>
      <c r="B805" s="126">
        <v>42363.0</v>
      </c>
      <c r="C805" s="126">
        <v>42401.0</v>
      </c>
      <c r="D805" s="56" t="s">
        <v>93</v>
      </c>
      <c r="E805" s="56" t="s">
        <v>96</v>
      </c>
      <c r="F805" s="56">
        <v>5988.0</v>
      </c>
      <c r="G805" s="56" t="s">
        <v>43</v>
      </c>
      <c r="H805" s="56">
        <v>479.0</v>
      </c>
      <c r="I805" s="127">
        <v>154.06</v>
      </c>
      <c r="J805" s="127">
        <v>90.93</v>
      </c>
      <c r="K805" s="83">
        <f t="shared" si="1"/>
        <v>73794.74</v>
      </c>
      <c r="L805" s="83">
        <f t="shared" si="2"/>
        <v>43555.47</v>
      </c>
      <c r="M805" s="83">
        <f t="shared" si="3"/>
        <v>30239.27</v>
      </c>
      <c r="N805" s="46" t="str">
        <f>VLOOKUP(F805,products!$A$2:$B$13,2,FALSE)</f>
        <v>Vegetables</v>
      </c>
      <c r="O805" s="46" t="s">
        <v>96</v>
      </c>
      <c r="P805" s="46">
        <f t="array" ref="P805">WEEKDAY(B805,2)</f>
        <v>5</v>
      </c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>
      <c r="A806" s="56">
        <v>6.28595054E8</v>
      </c>
      <c r="B806" s="126">
        <v>40794.0</v>
      </c>
      <c r="C806" s="126">
        <v>40837.0</v>
      </c>
      <c r="D806" s="56" t="s">
        <v>89</v>
      </c>
      <c r="E806" s="56" t="s">
        <v>123</v>
      </c>
      <c r="F806" s="56">
        <v>4594.0</v>
      </c>
      <c r="G806" s="56" t="s">
        <v>42</v>
      </c>
      <c r="H806" s="56">
        <v>4100.0</v>
      </c>
      <c r="I806" s="127">
        <v>9.33</v>
      </c>
      <c r="J806" s="127">
        <v>6.92</v>
      </c>
      <c r="K806" s="83">
        <f t="shared" si="1"/>
        <v>38253</v>
      </c>
      <c r="L806" s="83">
        <f t="shared" si="2"/>
        <v>28372</v>
      </c>
      <c r="M806" s="83">
        <f t="shared" si="3"/>
        <v>9881</v>
      </c>
      <c r="N806" s="46" t="str">
        <f>VLOOKUP(F806,products!$A$2:$B$13,2,FALSE)</f>
        <v>Fruits</v>
      </c>
      <c r="O806" s="46" t="s">
        <v>123</v>
      </c>
      <c r="P806" s="46">
        <f t="array" ref="P806">WEEKDAY(B806,2)</f>
        <v>4</v>
      </c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>
      <c r="A807" s="56">
        <v>6.2930144E8</v>
      </c>
      <c r="B807" s="126">
        <v>40378.0</v>
      </c>
      <c r="C807" s="126">
        <v>40388.0</v>
      </c>
      <c r="D807" s="56" t="s">
        <v>93</v>
      </c>
      <c r="E807" s="56" t="s">
        <v>127</v>
      </c>
      <c r="F807" s="56">
        <v>7331.0</v>
      </c>
      <c r="G807" s="56" t="s">
        <v>42</v>
      </c>
      <c r="H807" s="56">
        <v>3135.0</v>
      </c>
      <c r="I807" s="127">
        <v>255.28</v>
      </c>
      <c r="J807" s="127">
        <v>159.42</v>
      </c>
      <c r="K807" s="83">
        <f t="shared" si="1"/>
        <v>800302.8</v>
      </c>
      <c r="L807" s="83">
        <f t="shared" si="2"/>
        <v>499781.7</v>
      </c>
      <c r="M807" s="83">
        <f t="shared" si="3"/>
        <v>300521.1</v>
      </c>
      <c r="N807" s="46" t="str">
        <f>VLOOKUP(F807,products!$A$2:$B$13,2,FALSE)</f>
        <v>Baby Food</v>
      </c>
      <c r="O807" s="46" t="s">
        <v>127</v>
      </c>
      <c r="P807" s="46">
        <f t="array" ref="P807">WEEKDAY(B807,2)</f>
        <v>1</v>
      </c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>
      <c r="A808" s="56">
        <v>6.30219399E8</v>
      </c>
      <c r="B808" s="126">
        <v>41691.0</v>
      </c>
      <c r="C808" s="126">
        <v>41712.0</v>
      </c>
      <c r="D808" s="56" t="s">
        <v>93</v>
      </c>
      <c r="E808" s="56" t="s">
        <v>91</v>
      </c>
      <c r="F808" s="56">
        <v>7331.0</v>
      </c>
      <c r="G808" s="56" t="s">
        <v>42</v>
      </c>
      <c r="H808" s="56">
        <v>4780.0</v>
      </c>
      <c r="I808" s="127">
        <v>255.28</v>
      </c>
      <c r="J808" s="127">
        <v>159.42</v>
      </c>
      <c r="K808" s="83">
        <f t="shared" si="1"/>
        <v>1220238.4</v>
      </c>
      <c r="L808" s="83">
        <f t="shared" si="2"/>
        <v>762027.6</v>
      </c>
      <c r="M808" s="83">
        <f t="shared" si="3"/>
        <v>458210.8</v>
      </c>
      <c r="N808" s="46" t="str">
        <f>VLOOKUP(F808,products!$A$2:$B$13,2,FALSE)</f>
        <v>Baby Food</v>
      </c>
      <c r="O808" s="46" t="s">
        <v>91</v>
      </c>
      <c r="P808" s="46">
        <f t="array" ref="P808">WEEKDAY(B808,2)</f>
        <v>5</v>
      </c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>
      <c r="A809" s="56">
        <v>6.30931794E8</v>
      </c>
      <c r="B809" s="126">
        <v>41336.0</v>
      </c>
      <c r="C809" s="126">
        <v>41365.0</v>
      </c>
      <c r="D809" s="56" t="s">
        <v>95</v>
      </c>
      <c r="E809" s="56" t="s">
        <v>94</v>
      </c>
      <c r="F809" s="56">
        <v>7331.0</v>
      </c>
      <c r="G809" s="56" t="s">
        <v>42</v>
      </c>
      <c r="H809" s="56">
        <v>5593.0</v>
      </c>
      <c r="I809" s="127">
        <v>255.28</v>
      </c>
      <c r="J809" s="127">
        <v>159.42</v>
      </c>
      <c r="K809" s="83">
        <f t="shared" si="1"/>
        <v>1427781.04</v>
      </c>
      <c r="L809" s="83">
        <f t="shared" si="2"/>
        <v>891636.06</v>
      </c>
      <c r="M809" s="83">
        <f t="shared" si="3"/>
        <v>536144.98</v>
      </c>
      <c r="N809" s="46" t="str">
        <f>VLOOKUP(F809,products!$A$2:$B$13,2,FALSE)</f>
        <v>Baby Food</v>
      </c>
      <c r="O809" s="46" t="s">
        <v>94</v>
      </c>
      <c r="P809" s="46">
        <f t="array" ref="P809">WEEKDAY(B809,2)</f>
        <v>7</v>
      </c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>
      <c r="A810" s="56">
        <v>6.3117212E8</v>
      </c>
      <c r="B810" s="126">
        <v>40983.0</v>
      </c>
      <c r="C810" s="126">
        <v>41019.0</v>
      </c>
      <c r="D810" s="56" t="s">
        <v>10</v>
      </c>
      <c r="E810" s="56" t="s">
        <v>102</v>
      </c>
      <c r="F810" s="56">
        <v>8875.0</v>
      </c>
      <c r="G810" s="56" t="s">
        <v>42</v>
      </c>
      <c r="H810" s="56">
        <v>6711.0</v>
      </c>
      <c r="I810" s="127">
        <v>421.89</v>
      </c>
      <c r="J810" s="127">
        <v>364.69</v>
      </c>
      <c r="K810" s="83">
        <f t="shared" si="1"/>
        <v>2831303.79</v>
      </c>
      <c r="L810" s="83">
        <f t="shared" si="2"/>
        <v>2447434.59</v>
      </c>
      <c r="M810" s="83">
        <f t="shared" si="3"/>
        <v>383869.2</v>
      </c>
      <c r="N810" s="46" t="str">
        <f>VLOOKUP(F810,products!$A$2:$B$13,2,FALSE)</f>
        <v>Meat</v>
      </c>
      <c r="O810" s="46" t="s">
        <v>102</v>
      </c>
      <c r="P810" s="46">
        <f t="array" ref="P810">WEEKDAY(B810,2)</f>
        <v>4</v>
      </c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>
      <c r="A811" s="56">
        <v>6.3146094E8</v>
      </c>
      <c r="B811" s="126">
        <v>41907.0</v>
      </c>
      <c r="C811" s="126">
        <v>41917.0</v>
      </c>
      <c r="D811" s="56" t="s">
        <v>89</v>
      </c>
      <c r="E811" s="56" t="s">
        <v>104</v>
      </c>
      <c r="F811" s="56">
        <v>8875.0</v>
      </c>
      <c r="G811" s="56" t="s">
        <v>42</v>
      </c>
      <c r="H811" s="56">
        <v>2180.0</v>
      </c>
      <c r="I811" s="127">
        <v>421.89</v>
      </c>
      <c r="J811" s="127">
        <v>364.69</v>
      </c>
      <c r="K811" s="83">
        <f t="shared" si="1"/>
        <v>919720.2</v>
      </c>
      <c r="L811" s="83">
        <f t="shared" si="2"/>
        <v>795024.2</v>
      </c>
      <c r="M811" s="83">
        <f t="shared" si="3"/>
        <v>124696</v>
      </c>
      <c r="N811" s="46" t="str">
        <f>VLOOKUP(F811,products!$A$2:$B$13,2,FALSE)</f>
        <v>Meat</v>
      </c>
      <c r="O811" s="46" t="s">
        <v>104</v>
      </c>
      <c r="P811" s="46">
        <f t="array" ref="P811">WEEKDAY(B811,2)</f>
        <v>4</v>
      </c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>
      <c r="A812" s="56">
        <v>6.31463515E8</v>
      </c>
      <c r="B812" s="126">
        <v>41142.0</v>
      </c>
      <c r="C812" s="126">
        <v>41177.0</v>
      </c>
      <c r="D812" s="56" t="s">
        <v>93</v>
      </c>
      <c r="E812" s="56" t="s">
        <v>114</v>
      </c>
      <c r="F812" s="56">
        <v>2455.0</v>
      </c>
      <c r="G812" s="56" t="s">
        <v>42</v>
      </c>
      <c r="H812" s="56">
        <v>2942.0</v>
      </c>
      <c r="I812" s="127">
        <v>109.28</v>
      </c>
      <c r="J812" s="127">
        <v>35.84</v>
      </c>
      <c r="K812" s="83">
        <f t="shared" si="1"/>
        <v>321501.76</v>
      </c>
      <c r="L812" s="83">
        <f t="shared" si="2"/>
        <v>105441.28</v>
      </c>
      <c r="M812" s="83">
        <f t="shared" si="3"/>
        <v>216060.48</v>
      </c>
      <c r="N812" s="46" t="str">
        <f>VLOOKUP(F812,products!$A$2:$B$13,2,FALSE)</f>
        <v>Clothes</v>
      </c>
      <c r="O812" s="46" t="s">
        <v>114</v>
      </c>
      <c r="P812" s="46">
        <f t="array" ref="P812">WEEKDAY(B812,2)</f>
        <v>2</v>
      </c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>
      <c r="A813" s="56">
        <v>6.33312737E8</v>
      </c>
      <c r="B813" s="126">
        <v>40741.0</v>
      </c>
      <c r="C813" s="126">
        <v>40766.0</v>
      </c>
      <c r="D813" s="56" t="s">
        <v>93</v>
      </c>
      <c r="E813" s="56" t="s">
        <v>97</v>
      </c>
      <c r="F813" s="56">
        <v>8875.0</v>
      </c>
      <c r="G813" s="56" t="s">
        <v>42</v>
      </c>
      <c r="H813" s="56">
        <v>167.0</v>
      </c>
      <c r="I813" s="127">
        <v>421.89</v>
      </c>
      <c r="J813" s="127">
        <v>364.69</v>
      </c>
      <c r="K813" s="83">
        <f t="shared" si="1"/>
        <v>70455.63</v>
      </c>
      <c r="L813" s="83">
        <f t="shared" si="2"/>
        <v>60903.23</v>
      </c>
      <c r="M813" s="83">
        <f t="shared" si="3"/>
        <v>9552.4</v>
      </c>
      <c r="N813" s="46" t="str">
        <f>VLOOKUP(F813,products!$A$2:$B$13,2,FALSE)</f>
        <v>Meat</v>
      </c>
      <c r="O813" s="46" t="s">
        <v>97</v>
      </c>
      <c r="P813" s="46">
        <f t="array" ref="P813">WEEKDAY(B813,2)</f>
        <v>7</v>
      </c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>
      <c r="A814" s="56">
        <v>6.33806264E8</v>
      </c>
      <c r="B814" s="126">
        <v>41744.0</v>
      </c>
      <c r="C814" s="126">
        <v>41755.0</v>
      </c>
      <c r="D814" s="56" t="s">
        <v>89</v>
      </c>
      <c r="E814" s="56" t="s">
        <v>97</v>
      </c>
      <c r="F814" s="56">
        <v>2455.0</v>
      </c>
      <c r="G814" s="56" t="s">
        <v>43</v>
      </c>
      <c r="H814" s="56">
        <v>6213.0</v>
      </c>
      <c r="I814" s="127">
        <v>109.28</v>
      </c>
      <c r="J814" s="127">
        <v>35.84</v>
      </c>
      <c r="K814" s="83">
        <f t="shared" si="1"/>
        <v>678956.64</v>
      </c>
      <c r="L814" s="83">
        <f t="shared" si="2"/>
        <v>222673.92</v>
      </c>
      <c r="M814" s="83">
        <f t="shared" si="3"/>
        <v>456282.72</v>
      </c>
      <c r="N814" s="46" t="str">
        <f>VLOOKUP(F814,products!$A$2:$B$13,2,FALSE)</f>
        <v>Clothes</v>
      </c>
      <c r="O814" s="46" t="s">
        <v>97</v>
      </c>
      <c r="P814" s="46">
        <f t="array" ref="P814">WEEKDAY(B814,2)</f>
        <v>2</v>
      </c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>
      <c r="A815" s="56">
        <v>6.33992946E8</v>
      </c>
      <c r="B815" s="126">
        <v>41643.0</v>
      </c>
      <c r="C815" s="126">
        <v>41645.0</v>
      </c>
      <c r="D815" s="56" t="s">
        <v>95</v>
      </c>
      <c r="E815" s="56" t="s">
        <v>123</v>
      </c>
      <c r="F815" s="56">
        <v>4594.0</v>
      </c>
      <c r="G815" s="56" t="s">
        <v>42</v>
      </c>
      <c r="H815" s="56">
        <v>1456.0</v>
      </c>
      <c r="I815" s="127">
        <v>9.33</v>
      </c>
      <c r="J815" s="127">
        <v>6.92</v>
      </c>
      <c r="K815" s="83">
        <f t="shared" si="1"/>
        <v>13584.48</v>
      </c>
      <c r="L815" s="83">
        <f t="shared" si="2"/>
        <v>10075.52</v>
      </c>
      <c r="M815" s="83">
        <f t="shared" si="3"/>
        <v>3508.96</v>
      </c>
      <c r="N815" s="46" t="str">
        <f>VLOOKUP(F815,products!$A$2:$B$13,2,FALSE)</f>
        <v>Fruits</v>
      </c>
      <c r="O815" s="46" t="s">
        <v>123</v>
      </c>
      <c r="P815" s="46">
        <f t="array" ref="P815">WEEKDAY(B815,2)</f>
        <v>6</v>
      </c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>
      <c r="A816" s="56">
        <v>6.34033286E8</v>
      </c>
      <c r="B816" s="126">
        <v>41653.0</v>
      </c>
      <c r="C816" s="126">
        <v>41654.0</v>
      </c>
      <c r="D816" s="56" t="s">
        <v>89</v>
      </c>
      <c r="E816" s="56" t="s">
        <v>90</v>
      </c>
      <c r="F816" s="56">
        <v>3127.0</v>
      </c>
      <c r="G816" s="56" t="s">
        <v>42</v>
      </c>
      <c r="H816" s="56">
        <v>3394.0</v>
      </c>
      <c r="I816" s="127">
        <v>81.73</v>
      </c>
      <c r="J816" s="127">
        <v>56.67</v>
      </c>
      <c r="K816" s="83">
        <f t="shared" si="1"/>
        <v>277391.62</v>
      </c>
      <c r="L816" s="83">
        <f t="shared" si="2"/>
        <v>192337.98</v>
      </c>
      <c r="M816" s="83">
        <f t="shared" si="3"/>
        <v>85053.64</v>
      </c>
      <c r="N816" s="46" t="str">
        <f>VLOOKUP(F816,products!$A$2:$B$13,2,FALSE)</f>
        <v>Personal Care</v>
      </c>
      <c r="O816" s="46" t="s">
        <v>90</v>
      </c>
      <c r="P816" s="46">
        <f t="array" ref="P816">WEEKDAY(B816,2)</f>
        <v>2</v>
      </c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>
      <c r="A817" s="56">
        <v>6.36278617E8</v>
      </c>
      <c r="B817" s="126">
        <v>41672.0</v>
      </c>
      <c r="C817" s="126">
        <v>41720.0</v>
      </c>
      <c r="D817" s="56" t="s">
        <v>95</v>
      </c>
      <c r="E817" s="56" t="s">
        <v>126</v>
      </c>
      <c r="F817" s="56">
        <v>4594.0</v>
      </c>
      <c r="G817" s="56" t="s">
        <v>43</v>
      </c>
      <c r="H817" s="56">
        <v>7837.0</v>
      </c>
      <c r="I817" s="127">
        <v>9.33</v>
      </c>
      <c r="J817" s="127">
        <v>6.92</v>
      </c>
      <c r="K817" s="83">
        <f t="shared" si="1"/>
        <v>73119.21</v>
      </c>
      <c r="L817" s="83">
        <f t="shared" si="2"/>
        <v>54232.04</v>
      </c>
      <c r="M817" s="83">
        <f t="shared" si="3"/>
        <v>18887.17</v>
      </c>
      <c r="N817" s="46" t="str">
        <f>VLOOKUP(F817,products!$A$2:$B$13,2,FALSE)</f>
        <v>Fruits</v>
      </c>
      <c r="O817" s="46" t="s">
        <v>126</v>
      </c>
      <c r="P817" s="46">
        <f t="array" ref="P817">WEEKDAY(B817,2)</f>
        <v>7</v>
      </c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>
      <c r="A818" s="56">
        <v>6.36360585E8</v>
      </c>
      <c r="B818" s="126">
        <v>41310.0</v>
      </c>
      <c r="C818" s="126">
        <v>41341.0</v>
      </c>
      <c r="D818" s="56" t="s">
        <v>95</v>
      </c>
      <c r="E818" s="56" t="s">
        <v>115</v>
      </c>
      <c r="F818" s="56">
        <v>2103.0</v>
      </c>
      <c r="G818" s="56" t="s">
        <v>42</v>
      </c>
      <c r="H818" s="56">
        <v>2093.0</v>
      </c>
      <c r="I818" s="127">
        <v>205.7</v>
      </c>
      <c r="J818" s="127">
        <v>117.11</v>
      </c>
      <c r="K818" s="83">
        <f t="shared" si="1"/>
        <v>430530.1</v>
      </c>
      <c r="L818" s="83">
        <f t="shared" si="2"/>
        <v>245111.23</v>
      </c>
      <c r="M818" s="83">
        <f t="shared" si="3"/>
        <v>185418.87</v>
      </c>
      <c r="N818" s="46" t="str">
        <f>VLOOKUP(F818,products!$A$2:$B$13,2,FALSE)</f>
        <v>Cereal</v>
      </c>
      <c r="O818" s="46" t="s">
        <v>115</v>
      </c>
      <c r="P818" s="46">
        <f t="array" ref="P818">WEEKDAY(B818,2)</f>
        <v>2</v>
      </c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>
      <c r="A819" s="56">
        <v>6.36907756E8</v>
      </c>
      <c r="B819" s="126">
        <v>42061.0</v>
      </c>
      <c r="C819" s="126">
        <v>42095.0</v>
      </c>
      <c r="D819" s="56" t="s">
        <v>10</v>
      </c>
      <c r="E819" s="56" t="s">
        <v>102</v>
      </c>
      <c r="F819" s="56">
        <v>5988.0</v>
      </c>
      <c r="G819" s="56" t="s">
        <v>43</v>
      </c>
      <c r="H819" s="56">
        <v>4013.0</v>
      </c>
      <c r="I819" s="127">
        <v>154.06</v>
      </c>
      <c r="J819" s="127">
        <v>90.93</v>
      </c>
      <c r="K819" s="83">
        <f t="shared" si="1"/>
        <v>618242.78</v>
      </c>
      <c r="L819" s="83">
        <f t="shared" si="2"/>
        <v>364902.09</v>
      </c>
      <c r="M819" s="83">
        <f t="shared" si="3"/>
        <v>253340.69</v>
      </c>
      <c r="N819" s="46" t="str">
        <f>VLOOKUP(F819,products!$A$2:$B$13,2,FALSE)</f>
        <v>Vegetables</v>
      </c>
      <c r="O819" s="46" t="s">
        <v>102</v>
      </c>
      <c r="P819" s="46">
        <f t="array" ref="P819">WEEKDAY(B819,2)</f>
        <v>4</v>
      </c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>
      <c r="A820" s="56">
        <v>6.37040793E8</v>
      </c>
      <c r="B820" s="126">
        <v>42211.0</v>
      </c>
      <c r="C820" s="126">
        <v>42220.0</v>
      </c>
      <c r="D820" s="56" t="s">
        <v>93</v>
      </c>
      <c r="E820" s="56" t="s">
        <v>96</v>
      </c>
      <c r="F820" s="56">
        <v>8969.0</v>
      </c>
      <c r="G820" s="56" t="s">
        <v>43</v>
      </c>
      <c r="H820" s="56">
        <v>3382.0</v>
      </c>
      <c r="I820" s="127">
        <v>152.58</v>
      </c>
      <c r="J820" s="127">
        <v>97.44</v>
      </c>
      <c r="K820" s="83">
        <f t="shared" si="1"/>
        <v>516025.56</v>
      </c>
      <c r="L820" s="83">
        <f t="shared" si="2"/>
        <v>329542.08</v>
      </c>
      <c r="M820" s="83">
        <f t="shared" si="3"/>
        <v>186483.48</v>
      </c>
      <c r="N820" s="46" t="str">
        <f>VLOOKUP(F820,products!$A$2:$B$13,2,FALSE)</f>
        <v>Snacks</v>
      </c>
      <c r="O820" s="46" t="s">
        <v>96</v>
      </c>
      <c r="P820" s="46">
        <f t="array" ref="P820">WEEKDAY(B820,2)</f>
        <v>7</v>
      </c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>
      <c r="A821" s="56">
        <v>6.37188422E8</v>
      </c>
      <c r="B821" s="126">
        <v>41718.0</v>
      </c>
      <c r="C821" s="126">
        <v>41758.0</v>
      </c>
      <c r="D821" s="56" t="s">
        <v>10</v>
      </c>
      <c r="E821" s="56" t="s">
        <v>97</v>
      </c>
      <c r="F821" s="56">
        <v>8293.0</v>
      </c>
      <c r="G821" s="56" t="s">
        <v>43</v>
      </c>
      <c r="H821" s="56">
        <v>7069.0</v>
      </c>
      <c r="I821" s="127">
        <v>437.2</v>
      </c>
      <c r="J821" s="127">
        <v>263.33</v>
      </c>
      <c r="K821" s="83">
        <f t="shared" si="1"/>
        <v>3090566.8</v>
      </c>
      <c r="L821" s="83">
        <f t="shared" si="2"/>
        <v>1861479.77</v>
      </c>
      <c r="M821" s="83">
        <f t="shared" si="3"/>
        <v>1229087.03</v>
      </c>
      <c r="N821" s="46" t="str">
        <f>VLOOKUP(F821,products!$A$2:$B$13,2,FALSE)</f>
        <v>Cosmetics</v>
      </c>
      <c r="O821" s="46" t="s">
        <v>97</v>
      </c>
      <c r="P821" s="46">
        <f t="array" ref="P821">WEEKDAY(B821,2)</f>
        <v>4</v>
      </c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>
      <c r="A822" s="56">
        <v>6.3804115E8</v>
      </c>
      <c r="B822" s="126">
        <v>41191.0</v>
      </c>
      <c r="C822" s="126">
        <v>41241.0</v>
      </c>
      <c r="D822" s="56" t="s">
        <v>93</v>
      </c>
      <c r="E822" s="56" t="s">
        <v>133</v>
      </c>
      <c r="F822" s="56">
        <v>7331.0</v>
      </c>
      <c r="G822" s="56" t="s">
        <v>43</v>
      </c>
      <c r="H822" s="56">
        <v>9410.0</v>
      </c>
      <c r="I822" s="127">
        <v>255.28</v>
      </c>
      <c r="J822" s="127">
        <v>159.42</v>
      </c>
      <c r="K822" s="83">
        <f t="shared" si="1"/>
        <v>2402184.8</v>
      </c>
      <c r="L822" s="83">
        <f t="shared" si="2"/>
        <v>1500142.2</v>
      </c>
      <c r="M822" s="83">
        <f t="shared" si="3"/>
        <v>902042.6</v>
      </c>
      <c r="N822" s="46" t="str">
        <f>VLOOKUP(F822,products!$A$2:$B$13,2,FALSE)</f>
        <v>Baby Food</v>
      </c>
      <c r="O822" s="46" t="s">
        <v>133</v>
      </c>
      <c r="P822" s="46">
        <f t="array" ref="P822">WEEKDAY(B822,2)</f>
        <v>2</v>
      </c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>
      <c r="A823" s="56">
        <v>6.38314521E8</v>
      </c>
      <c r="B823" s="126">
        <v>41169.0</v>
      </c>
      <c r="C823" s="126">
        <v>41197.0</v>
      </c>
      <c r="D823" s="56" t="s">
        <v>95</v>
      </c>
      <c r="E823" s="56" t="e">
        <v>#N/A</v>
      </c>
      <c r="F823" s="56">
        <v>8875.0</v>
      </c>
      <c r="G823" s="56" t="s">
        <v>43</v>
      </c>
      <c r="H823" s="56">
        <v>306.0</v>
      </c>
      <c r="I823" s="127">
        <v>421.89</v>
      </c>
      <c r="J823" s="127">
        <v>364.69</v>
      </c>
      <c r="K823" s="83">
        <f t="shared" si="1"/>
        <v>129098.34</v>
      </c>
      <c r="L823" s="83">
        <f t="shared" si="2"/>
        <v>111595.14</v>
      </c>
      <c r="M823" s="83">
        <f t="shared" si="3"/>
        <v>17503.2</v>
      </c>
      <c r="N823" s="46" t="str">
        <f>VLOOKUP(F823,products!$A$2:$B$13,2,FALSE)</f>
        <v>Meat</v>
      </c>
      <c r="O823" s="46" t="s">
        <v>92</v>
      </c>
      <c r="P823" s="46">
        <f t="array" ref="P823">WEEKDAY(B823,2)</f>
        <v>1</v>
      </c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>
      <c r="A824" s="56">
        <v>6.385939E8</v>
      </c>
      <c r="B824" s="126">
        <v>41208.0</v>
      </c>
      <c r="C824" s="126">
        <v>41255.0</v>
      </c>
      <c r="D824" s="56" t="s">
        <v>93</v>
      </c>
      <c r="E824" s="56" t="s">
        <v>132</v>
      </c>
      <c r="F824" s="56">
        <v>8293.0</v>
      </c>
      <c r="G824" s="56" t="s">
        <v>43</v>
      </c>
      <c r="H824" s="56">
        <v>2981.0</v>
      </c>
      <c r="I824" s="127">
        <v>437.2</v>
      </c>
      <c r="J824" s="127">
        <v>263.33</v>
      </c>
      <c r="K824" s="83">
        <f t="shared" si="1"/>
        <v>1303293.2</v>
      </c>
      <c r="L824" s="83">
        <f t="shared" si="2"/>
        <v>784986.73</v>
      </c>
      <c r="M824" s="83">
        <f t="shared" si="3"/>
        <v>518306.47</v>
      </c>
      <c r="N824" s="46" t="str">
        <f>VLOOKUP(F824,products!$A$2:$B$13,2,FALSE)</f>
        <v>Cosmetics</v>
      </c>
      <c r="O824" s="46" t="s">
        <v>132</v>
      </c>
      <c r="P824" s="46">
        <f t="array" ref="P824">WEEKDAY(B824,2)</f>
        <v>5</v>
      </c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>
      <c r="A825" s="56">
        <v>6.38856971E8</v>
      </c>
      <c r="B825" s="126">
        <v>41479.0</v>
      </c>
      <c r="C825" s="126">
        <v>41507.0</v>
      </c>
      <c r="D825" s="56" t="s">
        <v>89</v>
      </c>
      <c r="E825" s="56" t="s">
        <v>116</v>
      </c>
      <c r="F825" s="56">
        <v>3127.0</v>
      </c>
      <c r="G825" s="56" t="s">
        <v>43</v>
      </c>
      <c r="H825" s="56">
        <v>829.0</v>
      </c>
      <c r="I825" s="127">
        <v>81.73</v>
      </c>
      <c r="J825" s="127">
        <v>56.67</v>
      </c>
      <c r="K825" s="83">
        <f t="shared" si="1"/>
        <v>67754.17</v>
      </c>
      <c r="L825" s="83">
        <f t="shared" si="2"/>
        <v>46979.43</v>
      </c>
      <c r="M825" s="83">
        <f t="shared" si="3"/>
        <v>20774.74</v>
      </c>
      <c r="N825" s="46" t="str">
        <f>VLOOKUP(F825,products!$A$2:$B$13,2,FALSE)</f>
        <v>Personal Care</v>
      </c>
      <c r="O825" s="46" t="s">
        <v>116</v>
      </c>
      <c r="P825" s="46">
        <f t="array" ref="P825">WEEKDAY(B825,2)</f>
        <v>3</v>
      </c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>
      <c r="A826" s="56">
        <v>6.38937652E8</v>
      </c>
      <c r="B826" s="126">
        <v>41498.0</v>
      </c>
      <c r="C826" s="126">
        <v>41523.0</v>
      </c>
      <c r="D826" s="56" t="s">
        <v>93</v>
      </c>
      <c r="E826" s="56" t="s">
        <v>90</v>
      </c>
      <c r="F826" s="56">
        <v>4594.0</v>
      </c>
      <c r="G826" s="56" t="s">
        <v>42</v>
      </c>
      <c r="H826" s="56">
        <v>4705.0</v>
      </c>
      <c r="I826" s="127">
        <v>9.33</v>
      </c>
      <c r="J826" s="127">
        <v>6.92</v>
      </c>
      <c r="K826" s="83">
        <f t="shared" si="1"/>
        <v>43897.65</v>
      </c>
      <c r="L826" s="83">
        <f t="shared" si="2"/>
        <v>32558.6</v>
      </c>
      <c r="M826" s="83">
        <f t="shared" si="3"/>
        <v>11339.05</v>
      </c>
      <c r="N826" s="46" t="str">
        <f>VLOOKUP(F826,products!$A$2:$B$13,2,FALSE)</f>
        <v>Fruits</v>
      </c>
      <c r="O826" s="46" t="s">
        <v>90</v>
      </c>
      <c r="P826" s="46">
        <f t="array" ref="P826">WEEKDAY(B826,2)</f>
        <v>1</v>
      </c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>
      <c r="A827" s="56">
        <v>6.38957822E8</v>
      </c>
      <c r="B827" s="126">
        <v>42886.0</v>
      </c>
      <c r="C827" s="126">
        <v>42910.0</v>
      </c>
      <c r="D827" s="56" t="s">
        <v>89</v>
      </c>
      <c r="E827" s="56" t="s">
        <v>96</v>
      </c>
      <c r="F827" s="56">
        <v>1270.0</v>
      </c>
      <c r="G827" s="56" t="s">
        <v>43</v>
      </c>
      <c r="H827" s="56">
        <v>673.0</v>
      </c>
      <c r="I827" s="127">
        <v>47.45</v>
      </c>
      <c r="J827" s="127">
        <v>31.79</v>
      </c>
      <c r="K827" s="83">
        <f t="shared" si="1"/>
        <v>31933.85</v>
      </c>
      <c r="L827" s="83">
        <f t="shared" si="2"/>
        <v>21394.67</v>
      </c>
      <c r="M827" s="83">
        <f t="shared" si="3"/>
        <v>10539.18</v>
      </c>
      <c r="N827" s="46" t="str">
        <f>VLOOKUP(F827,products!$A$2:$B$13,2,FALSE)</f>
        <v>Beverages</v>
      </c>
      <c r="O827" s="46" t="s">
        <v>96</v>
      </c>
      <c r="P827" s="46">
        <f t="array" ref="P827">WEEKDAY(B827,2)</f>
        <v>3</v>
      </c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>
      <c r="A828" s="56">
        <v>6.39126908E8</v>
      </c>
      <c r="B828" s="126">
        <v>40632.0</v>
      </c>
      <c r="C828" s="126">
        <v>40673.0</v>
      </c>
      <c r="D828" s="56" t="s">
        <v>10</v>
      </c>
      <c r="E828" s="56" t="s">
        <v>133</v>
      </c>
      <c r="F828" s="56">
        <v>2103.0</v>
      </c>
      <c r="G828" s="56" t="s">
        <v>43</v>
      </c>
      <c r="H828" s="56">
        <v>710.0</v>
      </c>
      <c r="I828" s="127">
        <v>205.7</v>
      </c>
      <c r="J828" s="127">
        <v>117.11</v>
      </c>
      <c r="K828" s="83">
        <f t="shared" si="1"/>
        <v>146047</v>
      </c>
      <c r="L828" s="83">
        <f t="shared" si="2"/>
        <v>83148.1</v>
      </c>
      <c r="M828" s="83">
        <f t="shared" si="3"/>
        <v>62898.9</v>
      </c>
      <c r="N828" s="46" t="str">
        <f>VLOOKUP(F828,products!$A$2:$B$13,2,FALSE)</f>
        <v>Cereal</v>
      </c>
      <c r="O828" s="46" t="s">
        <v>133</v>
      </c>
      <c r="P828" s="46">
        <f t="array" ref="P828">WEEKDAY(B828,2)</f>
        <v>3</v>
      </c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>
      <c r="A829" s="56">
        <v>6.40295922E8</v>
      </c>
      <c r="B829" s="126">
        <v>42095.0</v>
      </c>
      <c r="C829" s="126">
        <v>42097.0</v>
      </c>
      <c r="D829" s="56" t="s">
        <v>89</v>
      </c>
      <c r="E829" s="56" t="s">
        <v>133</v>
      </c>
      <c r="F829" s="56">
        <v>7331.0</v>
      </c>
      <c r="G829" s="56" t="s">
        <v>43</v>
      </c>
      <c r="H829" s="56">
        <v>6647.0</v>
      </c>
      <c r="I829" s="127">
        <v>255.28</v>
      </c>
      <c r="J829" s="127">
        <v>159.42</v>
      </c>
      <c r="K829" s="83">
        <f t="shared" si="1"/>
        <v>1696846.16</v>
      </c>
      <c r="L829" s="83">
        <f t="shared" si="2"/>
        <v>1059664.74</v>
      </c>
      <c r="M829" s="83">
        <f t="shared" si="3"/>
        <v>637181.42</v>
      </c>
      <c r="N829" s="46" t="str">
        <f>VLOOKUP(F829,products!$A$2:$B$13,2,FALSE)</f>
        <v>Baby Food</v>
      </c>
      <c r="O829" s="46" t="s">
        <v>133</v>
      </c>
      <c r="P829" s="46">
        <f t="array" ref="P829">WEEKDAY(B829,2)</f>
        <v>3</v>
      </c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>
      <c r="A830" s="56">
        <v>6.40394628E8</v>
      </c>
      <c r="B830" s="126">
        <v>42296.0</v>
      </c>
      <c r="C830" s="126">
        <v>42315.0</v>
      </c>
      <c r="D830" s="56" t="s">
        <v>95</v>
      </c>
      <c r="E830" s="56" t="s">
        <v>133</v>
      </c>
      <c r="F830" s="56">
        <v>8681.0</v>
      </c>
      <c r="G830" s="56" t="s">
        <v>42</v>
      </c>
      <c r="H830" s="56">
        <v>5856.0</v>
      </c>
      <c r="I830" s="127">
        <v>651.21</v>
      </c>
      <c r="J830" s="127">
        <v>524.96</v>
      </c>
      <c r="K830" s="83">
        <f t="shared" si="1"/>
        <v>3813485.76</v>
      </c>
      <c r="L830" s="83">
        <f t="shared" si="2"/>
        <v>3074165.76</v>
      </c>
      <c r="M830" s="83">
        <f t="shared" si="3"/>
        <v>739320</v>
      </c>
      <c r="N830" s="46" t="str">
        <f>VLOOKUP(F830,products!$A$2:$B$13,2,FALSE)</f>
        <v>Office Supplies</v>
      </c>
      <c r="O830" s="46" t="s">
        <v>133</v>
      </c>
      <c r="P830" s="46">
        <f t="array" ref="P830">WEEKDAY(B830,2)</f>
        <v>1</v>
      </c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>
      <c r="A831" s="56">
        <v>6.40476596E8</v>
      </c>
      <c r="B831" s="126">
        <v>41933.0</v>
      </c>
      <c r="C831" s="126">
        <v>41936.0</v>
      </c>
      <c r="D831" s="56" t="s">
        <v>95</v>
      </c>
      <c r="E831" s="56" t="s">
        <v>137</v>
      </c>
      <c r="F831" s="56">
        <v>4594.0</v>
      </c>
      <c r="G831" s="56" t="s">
        <v>43</v>
      </c>
      <c r="H831" s="56">
        <v>112.0</v>
      </c>
      <c r="I831" s="127">
        <v>9.33</v>
      </c>
      <c r="J831" s="127">
        <v>6.92</v>
      </c>
      <c r="K831" s="83">
        <f t="shared" si="1"/>
        <v>1044.96</v>
      </c>
      <c r="L831" s="83">
        <f t="shared" si="2"/>
        <v>775.04</v>
      </c>
      <c r="M831" s="83">
        <f t="shared" si="3"/>
        <v>269.92</v>
      </c>
      <c r="N831" s="46" t="str">
        <f>VLOOKUP(F831,products!$A$2:$B$13,2,FALSE)</f>
        <v>Fruits</v>
      </c>
      <c r="O831" s="46" t="s">
        <v>137</v>
      </c>
      <c r="P831" s="46">
        <f t="array" ref="P831">WEEKDAY(B831,2)</f>
        <v>2</v>
      </c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>
      <c r="A832" s="56">
        <v>6.41537463E8</v>
      </c>
      <c r="B832" s="126">
        <v>42310.0</v>
      </c>
      <c r="C832" s="126">
        <v>42352.0</v>
      </c>
      <c r="D832" s="56" t="s">
        <v>95</v>
      </c>
      <c r="E832" s="56" t="s">
        <v>125</v>
      </c>
      <c r="F832" s="56">
        <v>8681.0</v>
      </c>
      <c r="G832" s="56" t="s">
        <v>43</v>
      </c>
      <c r="H832" s="56">
        <v>4047.0</v>
      </c>
      <c r="I832" s="127">
        <v>651.21</v>
      </c>
      <c r="J832" s="127">
        <v>524.96</v>
      </c>
      <c r="K832" s="83">
        <f t="shared" si="1"/>
        <v>2635446.87</v>
      </c>
      <c r="L832" s="83">
        <f t="shared" si="2"/>
        <v>2124513.12</v>
      </c>
      <c r="M832" s="83">
        <f t="shared" si="3"/>
        <v>510933.75</v>
      </c>
      <c r="N832" s="46" t="str">
        <f>VLOOKUP(F832,products!$A$2:$B$13,2,FALSE)</f>
        <v>Office Supplies</v>
      </c>
      <c r="O832" s="46" t="s">
        <v>125</v>
      </c>
      <c r="P832" s="46">
        <f t="array" ref="P832">WEEKDAY(B832,2)</f>
        <v>1</v>
      </c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>
      <c r="A833" s="56">
        <v>6.42123687E8</v>
      </c>
      <c r="B833" s="126">
        <v>40688.0</v>
      </c>
      <c r="C833" s="126">
        <v>40693.0</v>
      </c>
      <c r="D833" s="56" t="s">
        <v>89</v>
      </c>
      <c r="E833" s="56" t="s">
        <v>138</v>
      </c>
      <c r="F833" s="56">
        <v>1270.0</v>
      </c>
      <c r="G833" s="56" t="s">
        <v>43</v>
      </c>
      <c r="H833" s="56">
        <v>7523.0</v>
      </c>
      <c r="I833" s="127">
        <v>47.45</v>
      </c>
      <c r="J833" s="127">
        <v>31.79</v>
      </c>
      <c r="K833" s="83">
        <f t="shared" si="1"/>
        <v>356966.35</v>
      </c>
      <c r="L833" s="83">
        <f t="shared" si="2"/>
        <v>239156.17</v>
      </c>
      <c r="M833" s="83">
        <f t="shared" si="3"/>
        <v>117810.18</v>
      </c>
      <c r="N833" s="46" t="str">
        <f>VLOOKUP(F833,products!$A$2:$B$13,2,FALSE)</f>
        <v>Beverages</v>
      </c>
      <c r="O833" s="46" t="s">
        <v>138</v>
      </c>
      <c r="P833" s="46">
        <f t="array" ref="P833">WEEKDAY(B833,2)</f>
        <v>3</v>
      </c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>
      <c r="A834" s="56">
        <v>6.4295367E8</v>
      </c>
      <c r="B834" s="126">
        <v>42304.0</v>
      </c>
      <c r="C834" s="126">
        <v>42347.0</v>
      </c>
      <c r="D834" s="56" t="s">
        <v>89</v>
      </c>
      <c r="E834" s="56" t="s">
        <v>121</v>
      </c>
      <c r="F834" s="56">
        <v>1270.0</v>
      </c>
      <c r="G834" s="56" t="s">
        <v>42</v>
      </c>
      <c r="H834" s="56">
        <v>3134.0</v>
      </c>
      <c r="I834" s="127">
        <v>47.45</v>
      </c>
      <c r="J834" s="127">
        <v>31.79</v>
      </c>
      <c r="K834" s="83">
        <f t="shared" si="1"/>
        <v>148708.3</v>
      </c>
      <c r="L834" s="83">
        <f t="shared" si="2"/>
        <v>99629.86</v>
      </c>
      <c r="M834" s="83">
        <f t="shared" si="3"/>
        <v>49078.44</v>
      </c>
      <c r="N834" s="46" t="str">
        <f>VLOOKUP(F834,products!$A$2:$B$13,2,FALSE)</f>
        <v>Beverages</v>
      </c>
      <c r="O834" s="46" t="s">
        <v>121</v>
      </c>
      <c r="P834" s="46">
        <f t="array" ref="P834">WEEKDAY(B834,2)</f>
        <v>2</v>
      </c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>
      <c r="A835" s="56">
        <v>6.43027484E8</v>
      </c>
      <c r="B835" s="126">
        <v>40674.0</v>
      </c>
      <c r="C835" s="126">
        <v>40681.0</v>
      </c>
      <c r="D835" s="56" t="s">
        <v>95</v>
      </c>
      <c r="E835" s="56" t="s">
        <v>137</v>
      </c>
      <c r="F835" s="56">
        <v>8875.0</v>
      </c>
      <c r="G835" s="56" t="s">
        <v>43</v>
      </c>
      <c r="H835" s="56">
        <v>4977.0</v>
      </c>
      <c r="I835" s="127">
        <v>421.89</v>
      </c>
      <c r="J835" s="127">
        <v>364.69</v>
      </c>
      <c r="K835" s="83">
        <f t="shared" si="1"/>
        <v>2099746.53</v>
      </c>
      <c r="L835" s="83">
        <f t="shared" si="2"/>
        <v>1815062.13</v>
      </c>
      <c r="M835" s="83">
        <f t="shared" si="3"/>
        <v>284684.4</v>
      </c>
      <c r="N835" s="46" t="str">
        <f>VLOOKUP(F835,products!$A$2:$B$13,2,FALSE)</f>
        <v>Meat</v>
      </c>
      <c r="O835" s="46" t="s">
        <v>137</v>
      </c>
      <c r="P835" s="46">
        <f t="array" ref="P835">WEEKDAY(B835,2)</f>
        <v>3</v>
      </c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>
      <c r="A836" s="56">
        <v>6.43259227E8</v>
      </c>
      <c r="B836" s="126">
        <v>41025.0</v>
      </c>
      <c r="C836" s="126">
        <v>41025.0</v>
      </c>
      <c r="D836" s="56" t="s">
        <v>93</v>
      </c>
      <c r="E836" s="56" t="s">
        <v>122</v>
      </c>
      <c r="F836" s="56">
        <v>8875.0</v>
      </c>
      <c r="G836" s="56" t="s">
        <v>42</v>
      </c>
      <c r="H836" s="56">
        <v>3555.0</v>
      </c>
      <c r="I836" s="127">
        <v>421.89</v>
      </c>
      <c r="J836" s="127">
        <v>364.69</v>
      </c>
      <c r="K836" s="83">
        <f t="shared" si="1"/>
        <v>1499818.95</v>
      </c>
      <c r="L836" s="83">
        <f t="shared" si="2"/>
        <v>1296472.95</v>
      </c>
      <c r="M836" s="83">
        <f t="shared" si="3"/>
        <v>203346</v>
      </c>
      <c r="N836" s="46" t="str">
        <f>VLOOKUP(F836,products!$A$2:$B$13,2,FALSE)</f>
        <v>Meat</v>
      </c>
      <c r="O836" s="46" t="s">
        <v>122</v>
      </c>
      <c r="P836" s="46">
        <f t="array" ref="P836">WEEKDAY(B836,2)</f>
        <v>4</v>
      </c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>
      <c r="A837" s="56">
        <v>6.43448483E8</v>
      </c>
      <c r="B837" s="126">
        <v>42925.0</v>
      </c>
      <c r="C837" s="126">
        <v>42941.0</v>
      </c>
      <c r="D837" s="56" t="s">
        <v>93</v>
      </c>
      <c r="E837" s="56" t="s">
        <v>138</v>
      </c>
      <c r="F837" s="56">
        <v>4594.0</v>
      </c>
      <c r="G837" s="56" t="s">
        <v>43</v>
      </c>
      <c r="H837" s="56">
        <v>9560.0</v>
      </c>
      <c r="I837" s="127">
        <v>9.33</v>
      </c>
      <c r="J837" s="127">
        <v>6.92</v>
      </c>
      <c r="K837" s="83">
        <f t="shared" si="1"/>
        <v>89194.8</v>
      </c>
      <c r="L837" s="83">
        <f t="shared" si="2"/>
        <v>66155.2</v>
      </c>
      <c r="M837" s="83">
        <f t="shared" si="3"/>
        <v>23039.6</v>
      </c>
      <c r="N837" s="46" t="str">
        <f>VLOOKUP(F837,products!$A$2:$B$13,2,FALSE)</f>
        <v>Fruits</v>
      </c>
      <c r="O837" s="46" t="s">
        <v>138</v>
      </c>
      <c r="P837" s="46">
        <f t="array" ref="P837">WEEKDAY(B837,2)</f>
        <v>7</v>
      </c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>
      <c r="A838" s="56">
        <v>6.43770778E8</v>
      </c>
      <c r="B838" s="126">
        <v>42209.0</v>
      </c>
      <c r="C838" s="126">
        <v>42216.0</v>
      </c>
      <c r="D838" s="56" t="s">
        <v>93</v>
      </c>
      <c r="E838" s="56" t="s">
        <v>102</v>
      </c>
      <c r="F838" s="56">
        <v>3127.0</v>
      </c>
      <c r="G838" s="56" t="s">
        <v>42</v>
      </c>
      <c r="H838" s="56">
        <v>4934.0</v>
      </c>
      <c r="I838" s="127">
        <v>81.73</v>
      </c>
      <c r="J838" s="127">
        <v>56.67</v>
      </c>
      <c r="K838" s="83">
        <f t="shared" si="1"/>
        <v>403255.82</v>
      </c>
      <c r="L838" s="83">
        <f t="shared" si="2"/>
        <v>279609.78</v>
      </c>
      <c r="M838" s="83">
        <f t="shared" si="3"/>
        <v>123646.04</v>
      </c>
      <c r="N838" s="46" t="str">
        <f>VLOOKUP(F838,products!$A$2:$B$13,2,FALSE)</f>
        <v>Personal Care</v>
      </c>
      <c r="O838" s="46" t="s">
        <v>102</v>
      </c>
      <c r="P838" s="46">
        <f t="array" ref="P838">WEEKDAY(B838,2)</f>
        <v>5</v>
      </c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>
      <c r="A839" s="56">
        <v>6.44592607E8</v>
      </c>
      <c r="B839" s="126">
        <v>42557.0</v>
      </c>
      <c r="C839" s="126">
        <v>42582.0</v>
      </c>
      <c r="D839" s="56" t="s">
        <v>95</v>
      </c>
      <c r="E839" s="56" t="s">
        <v>116</v>
      </c>
      <c r="F839" s="56">
        <v>8681.0</v>
      </c>
      <c r="G839" s="56" t="s">
        <v>42</v>
      </c>
      <c r="H839" s="56">
        <v>8131.0</v>
      </c>
      <c r="I839" s="127">
        <v>651.21</v>
      </c>
      <c r="J839" s="127">
        <v>524.96</v>
      </c>
      <c r="K839" s="83">
        <f t="shared" si="1"/>
        <v>5294988.51</v>
      </c>
      <c r="L839" s="83">
        <f t="shared" si="2"/>
        <v>4268449.76</v>
      </c>
      <c r="M839" s="83">
        <f t="shared" si="3"/>
        <v>1026538.75</v>
      </c>
      <c r="N839" s="46" t="str">
        <f>VLOOKUP(F839,products!$A$2:$B$13,2,FALSE)</f>
        <v>Office Supplies</v>
      </c>
      <c r="O839" s="46" t="s">
        <v>116</v>
      </c>
      <c r="P839" s="46">
        <f t="array" ref="P839">WEEKDAY(B839,2)</f>
        <v>3</v>
      </c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>
      <c r="A840" s="56">
        <v>6.45111024E8</v>
      </c>
      <c r="B840" s="126">
        <v>42625.0</v>
      </c>
      <c r="C840" s="126">
        <v>42639.0</v>
      </c>
      <c r="D840" s="56" t="s">
        <v>10</v>
      </c>
      <c r="E840" s="56" t="s">
        <v>138</v>
      </c>
      <c r="F840" s="56">
        <v>8875.0</v>
      </c>
      <c r="G840" s="56" t="s">
        <v>42</v>
      </c>
      <c r="H840" s="56">
        <v>1543.0</v>
      </c>
      <c r="I840" s="127">
        <v>421.89</v>
      </c>
      <c r="J840" s="127">
        <v>364.69</v>
      </c>
      <c r="K840" s="83">
        <f t="shared" si="1"/>
        <v>650976.27</v>
      </c>
      <c r="L840" s="83">
        <f t="shared" si="2"/>
        <v>562716.67</v>
      </c>
      <c r="M840" s="83">
        <f t="shared" si="3"/>
        <v>88259.6</v>
      </c>
      <c r="N840" s="46" t="str">
        <f>VLOOKUP(F840,products!$A$2:$B$13,2,FALSE)</f>
        <v>Meat</v>
      </c>
      <c r="O840" s="46" t="s">
        <v>138</v>
      </c>
      <c r="P840" s="46">
        <f t="array" ref="P840">WEEKDAY(B840,2)</f>
        <v>1</v>
      </c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>
      <c r="A841" s="56">
        <v>6.45309722E8</v>
      </c>
      <c r="B841" s="126">
        <v>42644.0</v>
      </c>
      <c r="C841" s="126">
        <v>42680.0</v>
      </c>
      <c r="D841" s="56" t="s">
        <v>10</v>
      </c>
      <c r="E841" s="56" t="s">
        <v>101</v>
      </c>
      <c r="F841" s="56">
        <v>8875.0</v>
      </c>
      <c r="G841" s="56" t="s">
        <v>42</v>
      </c>
      <c r="H841" s="56">
        <v>342.0</v>
      </c>
      <c r="I841" s="127">
        <v>421.89</v>
      </c>
      <c r="J841" s="127">
        <v>364.69</v>
      </c>
      <c r="K841" s="83">
        <f t="shared" si="1"/>
        <v>144286.38</v>
      </c>
      <c r="L841" s="83">
        <f t="shared" si="2"/>
        <v>124723.98</v>
      </c>
      <c r="M841" s="83">
        <f t="shared" si="3"/>
        <v>19562.4</v>
      </c>
      <c r="N841" s="46" t="str">
        <f>VLOOKUP(F841,products!$A$2:$B$13,2,FALSE)</f>
        <v>Meat</v>
      </c>
      <c r="O841" s="46" t="s">
        <v>101</v>
      </c>
      <c r="P841" s="46">
        <f t="array" ref="P841">WEEKDAY(B841,2)</f>
        <v>6</v>
      </c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>
      <c r="A842" s="56">
        <v>6.45701968E8</v>
      </c>
      <c r="B842" s="126">
        <v>41445.0</v>
      </c>
      <c r="C842" s="126">
        <v>41476.0</v>
      </c>
      <c r="D842" s="56" t="s">
        <v>93</v>
      </c>
      <c r="E842" s="56" t="s">
        <v>90</v>
      </c>
      <c r="F842" s="56">
        <v>2103.0</v>
      </c>
      <c r="G842" s="56" t="s">
        <v>42</v>
      </c>
      <c r="H842" s="56">
        <v>6416.0</v>
      </c>
      <c r="I842" s="127">
        <v>205.7</v>
      </c>
      <c r="J842" s="127">
        <v>117.11</v>
      </c>
      <c r="K842" s="83">
        <f t="shared" si="1"/>
        <v>1319771.2</v>
      </c>
      <c r="L842" s="83">
        <f t="shared" si="2"/>
        <v>751377.76</v>
      </c>
      <c r="M842" s="83">
        <f t="shared" si="3"/>
        <v>568393.44</v>
      </c>
      <c r="N842" s="46" t="str">
        <f>VLOOKUP(F842,products!$A$2:$B$13,2,FALSE)</f>
        <v>Cereal</v>
      </c>
      <c r="O842" s="46" t="s">
        <v>90</v>
      </c>
      <c r="P842" s="46">
        <f t="array" ref="P842">WEEKDAY(B842,2)</f>
        <v>4</v>
      </c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>
      <c r="A843" s="56">
        <v>6.45956456E8</v>
      </c>
      <c r="B843" s="126">
        <v>42420.0</v>
      </c>
      <c r="C843" s="126">
        <v>42468.0</v>
      </c>
      <c r="D843" s="56" t="s">
        <v>95</v>
      </c>
      <c r="E843" s="56" t="s">
        <v>106</v>
      </c>
      <c r="F843" s="56">
        <v>7331.0</v>
      </c>
      <c r="G843" s="56" t="s">
        <v>42</v>
      </c>
      <c r="H843" s="56">
        <v>1725.0</v>
      </c>
      <c r="I843" s="127">
        <v>255.28</v>
      </c>
      <c r="J843" s="127">
        <v>159.42</v>
      </c>
      <c r="K843" s="83">
        <f t="shared" si="1"/>
        <v>440358</v>
      </c>
      <c r="L843" s="83">
        <f t="shared" si="2"/>
        <v>274999.5</v>
      </c>
      <c r="M843" s="83">
        <f t="shared" si="3"/>
        <v>165358.5</v>
      </c>
      <c r="N843" s="46" t="str">
        <f>VLOOKUP(F843,products!$A$2:$B$13,2,FALSE)</f>
        <v>Baby Food</v>
      </c>
      <c r="O843" s="46" t="s">
        <v>106</v>
      </c>
      <c r="P843" s="46">
        <f t="array" ref="P843">WEEKDAY(B843,2)</f>
        <v>6</v>
      </c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>
      <c r="A844" s="56">
        <v>6.46691596E8</v>
      </c>
      <c r="B844" s="126">
        <v>42688.0</v>
      </c>
      <c r="C844" s="126">
        <v>42717.0</v>
      </c>
      <c r="D844" s="56" t="s">
        <v>95</v>
      </c>
      <c r="E844" s="56" t="s">
        <v>118</v>
      </c>
      <c r="F844" s="56">
        <v>1270.0</v>
      </c>
      <c r="G844" s="56" t="s">
        <v>43</v>
      </c>
      <c r="H844" s="56">
        <v>9269.0</v>
      </c>
      <c r="I844" s="127">
        <v>47.45</v>
      </c>
      <c r="J844" s="127">
        <v>31.79</v>
      </c>
      <c r="K844" s="83">
        <f t="shared" si="1"/>
        <v>439814.05</v>
      </c>
      <c r="L844" s="83">
        <f t="shared" si="2"/>
        <v>294661.51</v>
      </c>
      <c r="M844" s="83">
        <f t="shared" si="3"/>
        <v>145152.54</v>
      </c>
      <c r="N844" s="46" t="str">
        <f>VLOOKUP(F844,products!$A$2:$B$13,2,FALSE)</f>
        <v>Beverages</v>
      </c>
      <c r="O844" s="46" t="s">
        <v>118</v>
      </c>
      <c r="P844" s="46">
        <f t="array" ref="P844">WEEKDAY(B844,2)</f>
        <v>1</v>
      </c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>
      <c r="A845" s="56">
        <v>6.46981704E8</v>
      </c>
      <c r="B845" s="126">
        <v>40464.0</v>
      </c>
      <c r="C845" s="126">
        <v>40505.0</v>
      </c>
      <c r="D845" s="56" t="s">
        <v>89</v>
      </c>
      <c r="E845" s="56" t="s">
        <v>130</v>
      </c>
      <c r="F845" s="56">
        <v>7331.0</v>
      </c>
      <c r="G845" s="56" t="s">
        <v>43</v>
      </c>
      <c r="H845" s="56">
        <v>5118.0</v>
      </c>
      <c r="I845" s="127">
        <v>255.28</v>
      </c>
      <c r="J845" s="127">
        <v>159.42</v>
      </c>
      <c r="K845" s="83">
        <f t="shared" si="1"/>
        <v>1306523.04</v>
      </c>
      <c r="L845" s="83">
        <f t="shared" si="2"/>
        <v>815911.56</v>
      </c>
      <c r="M845" s="83">
        <f t="shared" si="3"/>
        <v>490611.48</v>
      </c>
      <c r="N845" s="46" t="str">
        <f>VLOOKUP(F845,products!$A$2:$B$13,2,FALSE)</f>
        <v>Baby Food</v>
      </c>
      <c r="O845" s="46" t="s">
        <v>130</v>
      </c>
      <c r="P845" s="46">
        <f t="array" ref="P845">WEEKDAY(B845,2)</f>
        <v>3</v>
      </c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>
      <c r="A846" s="56">
        <v>6.47943866E8</v>
      </c>
      <c r="B846" s="126">
        <v>40640.0</v>
      </c>
      <c r="C846" s="126">
        <v>40651.0</v>
      </c>
      <c r="D846" s="56" t="s">
        <v>89</v>
      </c>
      <c r="E846" s="56" t="s">
        <v>131</v>
      </c>
      <c r="F846" s="56">
        <v>2455.0</v>
      </c>
      <c r="G846" s="56" t="s">
        <v>43</v>
      </c>
      <c r="H846" s="56">
        <v>9843.0</v>
      </c>
      <c r="I846" s="127">
        <v>109.28</v>
      </c>
      <c r="J846" s="127">
        <v>35.84</v>
      </c>
      <c r="K846" s="83">
        <f t="shared" si="1"/>
        <v>1075643.04</v>
      </c>
      <c r="L846" s="83">
        <f t="shared" si="2"/>
        <v>352773.12</v>
      </c>
      <c r="M846" s="83">
        <f t="shared" si="3"/>
        <v>722869.92</v>
      </c>
      <c r="N846" s="46" t="str">
        <f>VLOOKUP(F846,products!$A$2:$B$13,2,FALSE)</f>
        <v>Clothes</v>
      </c>
      <c r="O846" s="46" t="s">
        <v>131</v>
      </c>
      <c r="P846" s="46">
        <f t="array" ref="P846">WEEKDAY(B846,2)</f>
        <v>4</v>
      </c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>
      <c r="A847" s="56">
        <v>6.50078475E8</v>
      </c>
      <c r="B847" s="126">
        <v>40338.0</v>
      </c>
      <c r="C847" s="126">
        <v>40347.0</v>
      </c>
      <c r="D847" s="56" t="s">
        <v>95</v>
      </c>
      <c r="E847" s="56" t="s">
        <v>99</v>
      </c>
      <c r="F847" s="56">
        <v>8681.0</v>
      </c>
      <c r="G847" s="56" t="s">
        <v>43</v>
      </c>
      <c r="H847" s="56">
        <v>1522.0</v>
      </c>
      <c r="I847" s="127">
        <v>651.21</v>
      </c>
      <c r="J847" s="127">
        <v>524.96</v>
      </c>
      <c r="K847" s="83">
        <f t="shared" si="1"/>
        <v>991141.62</v>
      </c>
      <c r="L847" s="83">
        <f t="shared" si="2"/>
        <v>798989.12</v>
      </c>
      <c r="M847" s="83">
        <f t="shared" si="3"/>
        <v>192152.5</v>
      </c>
      <c r="N847" s="46" t="str">
        <f>VLOOKUP(F847,products!$A$2:$B$13,2,FALSE)</f>
        <v>Office Supplies</v>
      </c>
      <c r="O847" s="46" t="s">
        <v>99</v>
      </c>
      <c r="P847" s="46">
        <f t="array" ref="P847">WEEKDAY(B847,2)</f>
        <v>3</v>
      </c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>
      <c r="A848" s="56">
        <v>6.50208079E8</v>
      </c>
      <c r="B848" s="126">
        <v>42429.0</v>
      </c>
      <c r="C848" s="126">
        <v>42448.0</v>
      </c>
      <c r="D848" s="56" t="s">
        <v>95</v>
      </c>
      <c r="E848" s="56" t="s">
        <v>117</v>
      </c>
      <c r="F848" s="56">
        <v>1270.0</v>
      </c>
      <c r="G848" s="56" t="s">
        <v>43</v>
      </c>
      <c r="H848" s="56">
        <v>9875.0</v>
      </c>
      <c r="I848" s="127">
        <v>47.45</v>
      </c>
      <c r="J848" s="127">
        <v>31.79</v>
      </c>
      <c r="K848" s="83">
        <f t="shared" si="1"/>
        <v>468568.75</v>
      </c>
      <c r="L848" s="83">
        <f t="shared" si="2"/>
        <v>313926.25</v>
      </c>
      <c r="M848" s="83">
        <f t="shared" si="3"/>
        <v>154642.5</v>
      </c>
      <c r="N848" s="46" t="str">
        <f>VLOOKUP(F848,products!$A$2:$B$13,2,FALSE)</f>
        <v>Beverages</v>
      </c>
      <c r="O848" s="46" t="s">
        <v>117</v>
      </c>
      <c r="P848" s="46">
        <f t="array" ref="P848">WEEKDAY(B848,2)</f>
        <v>1</v>
      </c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>
      <c r="A849" s="56">
        <v>6.51247489E8</v>
      </c>
      <c r="B849" s="126">
        <v>41801.0</v>
      </c>
      <c r="C849" s="126">
        <v>41822.0</v>
      </c>
      <c r="D849" s="56" t="s">
        <v>10</v>
      </c>
      <c r="E849" s="56" t="s">
        <v>125</v>
      </c>
      <c r="F849" s="56">
        <v>5988.0</v>
      </c>
      <c r="G849" s="56" t="s">
        <v>42</v>
      </c>
      <c r="H849" s="56">
        <v>7459.0</v>
      </c>
      <c r="I849" s="127">
        <v>154.06</v>
      </c>
      <c r="J849" s="127">
        <v>90.93</v>
      </c>
      <c r="K849" s="83">
        <f t="shared" si="1"/>
        <v>1149133.54</v>
      </c>
      <c r="L849" s="83">
        <f t="shared" si="2"/>
        <v>678246.87</v>
      </c>
      <c r="M849" s="83">
        <f t="shared" si="3"/>
        <v>470886.67</v>
      </c>
      <c r="N849" s="46" t="str">
        <f>VLOOKUP(F849,products!$A$2:$B$13,2,FALSE)</f>
        <v>Vegetables</v>
      </c>
      <c r="O849" s="46" t="s">
        <v>125</v>
      </c>
      <c r="P849" s="46">
        <f t="array" ref="P849">WEEKDAY(B849,2)</f>
        <v>3</v>
      </c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>
      <c r="A850" s="56">
        <v>6.51895511E8</v>
      </c>
      <c r="B850" s="126">
        <v>41194.0</v>
      </c>
      <c r="C850" s="126">
        <v>41214.0</v>
      </c>
      <c r="D850" s="56" t="s">
        <v>93</v>
      </c>
      <c r="E850" s="56" t="s">
        <v>129</v>
      </c>
      <c r="F850" s="56">
        <v>7331.0</v>
      </c>
      <c r="G850" s="56" t="s">
        <v>42</v>
      </c>
      <c r="H850" s="56">
        <v>9223.0</v>
      </c>
      <c r="I850" s="127">
        <v>255.28</v>
      </c>
      <c r="J850" s="127">
        <v>159.42</v>
      </c>
      <c r="K850" s="83">
        <f t="shared" si="1"/>
        <v>2354447.44</v>
      </c>
      <c r="L850" s="83">
        <f t="shared" si="2"/>
        <v>1470330.66</v>
      </c>
      <c r="M850" s="83">
        <f t="shared" si="3"/>
        <v>884116.78</v>
      </c>
      <c r="N850" s="46" t="str">
        <f>VLOOKUP(F850,products!$A$2:$B$13,2,FALSE)</f>
        <v>Baby Food</v>
      </c>
      <c r="O850" s="46" t="s">
        <v>129</v>
      </c>
      <c r="P850" s="46">
        <f t="array" ref="P850">WEEKDAY(B850,2)</f>
        <v>5</v>
      </c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>
      <c r="A851" s="56">
        <v>6.52252137E8</v>
      </c>
      <c r="B851" s="126">
        <v>40428.0</v>
      </c>
      <c r="C851" s="126">
        <v>40447.0</v>
      </c>
      <c r="D851" s="56" t="s">
        <v>93</v>
      </c>
      <c r="E851" s="56" t="s">
        <v>103</v>
      </c>
      <c r="F851" s="56">
        <v>5988.0</v>
      </c>
      <c r="G851" s="56" t="s">
        <v>43</v>
      </c>
      <c r="H851" s="56">
        <v>4757.0</v>
      </c>
      <c r="I851" s="127">
        <v>154.06</v>
      </c>
      <c r="J851" s="127">
        <v>90.93</v>
      </c>
      <c r="K851" s="83">
        <f t="shared" si="1"/>
        <v>732863.42</v>
      </c>
      <c r="L851" s="83">
        <f t="shared" si="2"/>
        <v>432554.01</v>
      </c>
      <c r="M851" s="83">
        <f t="shared" si="3"/>
        <v>300309.41</v>
      </c>
      <c r="N851" s="46" t="str">
        <f>VLOOKUP(F851,products!$A$2:$B$13,2,FALSE)</f>
        <v>Vegetables</v>
      </c>
      <c r="O851" s="46" t="s">
        <v>103</v>
      </c>
      <c r="P851" s="46">
        <f t="array" ref="P851">WEEKDAY(B851,2)</f>
        <v>2</v>
      </c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>
      <c r="A852" s="56">
        <v>6.52501904E8</v>
      </c>
      <c r="B852" s="126">
        <v>40960.0</v>
      </c>
      <c r="C852" s="126">
        <v>40993.0</v>
      </c>
      <c r="D852" s="56" t="s">
        <v>89</v>
      </c>
      <c r="E852" s="56" t="s">
        <v>104</v>
      </c>
      <c r="F852" s="56">
        <v>2103.0</v>
      </c>
      <c r="G852" s="56" t="s">
        <v>43</v>
      </c>
      <c r="H852" s="56">
        <v>8668.0</v>
      </c>
      <c r="I852" s="127">
        <v>205.7</v>
      </c>
      <c r="J852" s="127">
        <v>117.11</v>
      </c>
      <c r="K852" s="83">
        <f t="shared" si="1"/>
        <v>1783007.6</v>
      </c>
      <c r="L852" s="83">
        <f t="shared" si="2"/>
        <v>1015109.48</v>
      </c>
      <c r="M852" s="83">
        <f t="shared" si="3"/>
        <v>767898.12</v>
      </c>
      <c r="N852" s="46" t="str">
        <f>VLOOKUP(F852,products!$A$2:$B$13,2,FALSE)</f>
        <v>Cereal</v>
      </c>
      <c r="O852" s="46" t="s">
        <v>104</v>
      </c>
      <c r="P852" s="46">
        <f t="array" ref="P852">WEEKDAY(B852,2)</f>
        <v>2</v>
      </c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>
      <c r="A853" s="56">
        <v>6.5308727E8</v>
      </c>
      <c r="B853" s="126">
        <v>40514.0</v>
      </c>
      <c r="C853" s="126">
        <v>40519.0</v>
      </c>
      <c r="D853" s="56" t="s">
        <v>95</v>
      </c>
      <c r="E853" s="56" t="s">
        <v>131</v>
      </c>
      <c r="F853" s="56">
        <v>8969.0</v>
      </c>
      <c r="G853" s="56" t="s">
        <v>43</v>
      </c>
      <c r="H853" s="56">
        <v>1891.0</v>
      </c>
      <c r="I853" s="127">
        <v>152.58</v>
      </c>
      <c r="J853" s="127">
        <v>97.44</v>
      </c>
      <c r="K853" s="83">
        <f t="shared" si="1"/>
        <v>288528.78</v>
      </c>
      <c r="L853" s="83">
        <f t="shared" si="2"/>
        <v>184259.04</v>
      </c>
      <c r="M853" s="83">
        <f t="shared" si="3"/>
        <v>104269.74</v>
      </c>
      <c r="N853" s="46" t="str">
        <f>VLOOKUP(F853,products!$A$2:$B$13,2,FALSE)</f>
        <v>Snacks</v>
      </c>
      <c r="O853" s="46" t="s">
        <v>131</v>
      </c>
      <c r="P853" s="46">
        <f t="array" ref="P853">WEEKDAY(B853,2)</f>
        <v>4</v>
      </c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>
      <c r="A854" s="56">
        <v>6.53152501E8</v>
      </c>
      <c r="B854" s="126">
        <v>42355.0</v>
      </c>
      <c r="C854" s="126">
        <v>42360.0</v>
      </c>
      <c r="D854" s="56" t="s">
        <v>89</v>
      </c>
      <c r="E854" s="56" t="s">
        <v>119</v>
      </c>
      <c r="F854" s="56">
        <v>1270.0</v>
      </c>
      <c r="G854" s="56" t="s">
        <v>42</v>
      </c>
      <c r="H854" s="56">
        <v>1194.0</v>
      </c>
      <c r="I854" s="127">
        <v>47.45</v>
      </c>
      <c r="J854" s="127">
        <v>31.79</v>
      </c>
      <c r="K854" s="83">
        <f t="shared" si="1"/>
        <v>56655.3</v>
      </c>
      <c r="L854" s="83">
        <f t="shared" si="2"/>
        <v>37957.26</v>
      </c>
      <c r="M854" s="83">
        <f t="shared" si="3"/>
        <v>18698.04</v>
      </c>
      <c r="N854" s="46" t="str">
        <f>VLOOKUP(F854,products!$A$2:$B$13,2,FALSE)</f>
        <v>Beverages</v>
      </c>
      <c r="O854" s="46" t="s">
        <v>119</v>
      </c>
      <c r="P854" s="46">
        <f t="array" ref="P854">WEEKDAY(B854,2)</f>
        <v>4</v>
      </c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>
      <c r="A855" s="56">
        <v>6.5354861E8</v>
      </c>
      <c r="B855" s="126">
        <v>42775.0</v>
      </c>
      <c r="C855" s="126">
        <v>42787.0</v>
      </c>
      <c r="D855" s="56" t="s">
        <v>10</v>
      </c>
      <c r="E855" s="56" t="s">
        <v>117</v>
      </c>
      <c r="F855" s="56">
        <v>1270.0</v>
      </c>
      <c r="G855" s="56" t="s">
        <v>42</v>
      </c>
      <c r="H855" s="56">
        <v>8412.0</v>
      </c>
      <c r="I855" s="127">
        <v>47.45</v>
      </c>
      <c r="J855" s="127">
        <v>31.79</v>
      </c>
      <c r="K855" s="83">
        <f t="shared" si="1"/>
        <v>399149.4</v>
      </c>
      <c r="L855" s="83">
        <f t="shared" si="2"/>
        <v>267417.48</v>
      </c>
      <c r="M855" s="83">
        <f t="shared" si="3"/>
        <v>131731.92</v>
      </c>
      <c r="N855" s="46" t="str">
        <f>VLOOKUP(F855,products!$A$2:$B$13,2,FALSE)</f>
        <v>Beverages</v>
      </c>
      <c r="O855" s="46" t="s">
        <v>117</v>
      </c>
      <c r="P855" s="46">
        <f t="array" ref="P855">WEEKDAY(B855,2)</f>
        <v>4</v>
      </c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>
      <c r="A856" s="56">
        <v>6.53800523E8</v>
      </c>
      <c r="B856" s="126">
        <v>41748.0</v>
      </c>
      <c r="C856" s="126">
        <v>41752.0</v>
      </c>
      <c r="D856" s="56" t="s">
        <v>95</v>
      </c>
      <c r="E856" s="56" t="s">
        <v>122</v>
      </c>
      <c r="F856" s="56">
        <v>3127.0</v>
      </c>
      <c r="G856" s="56" t="s">
        <v>42</v>
      </c>
      <c r="H856" s="56">
        <v>2958.0</v>
      </c>
      <c r="I856" s="127">
        <v>81.73</v>
      </c>
      <c r="J856" s="127">
        <v>56.67</v>
      </c>
      <c r="K856" s="83">
        <f t="shared" si="1"/>
        <v>241757.34</v>
      </c>
      <c r="L856" s="83">
        <f t="shared" si="2"/>
        <v>167629.86</v>
      </c>
      <c r="M856" s="83">
        <f t="shared" si="3"/>
        <v>74127.48</v>
      </c>
      <c r="N856" s="46" t="str">
        <f>VLOOKUP(F856,products!$A$2:$B$13,2,FALSE)</f>
        <v>Personal Care</v>
      </c>
      <c r="O856" s="46" t="s">
        <v>122</v>
      </c>
      <c r="P856" s="46">
        <f t="array" ref="P856">WEEKDAY(B856,2)</f>
        <v>6</v>
      </c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>
      <c r="A857" s="56">
        <v>6.53909957E8</v>
      </c>
      <c r="B857" s="126">
        <v>42452.0</v>
      </c>
      <c r="C857" s="126">
        <v>42466.0</v>
      </c>
      <c r="D857" s="56" t="s">
        <v>89</v>
      </c>
      <c r="E857" s="56" t="s">
        <v>96</v>
      </c>
      <c r="F857" s="56">
        <v>8681.0</v>
      </c>
      <c r="G857" s="56" t="s">
        <v>43</v>
      </c>
      <c r="H857" s="56">
        <v>5342.0</v>
      </c>
      <c r="I857" s="127">
        <v>651.21</v>
      </c>
      <c r="J857" s="127">
        <v>524.96</v>
      </c>
      <c r="K857" s="83">
        <f t="shared" si="1"/>
        <v>3478763.82</v>
      </c>
      <c r="L857" s="83">
        <f t="shared" si="2"/>
        <v>2804336.32</v>
      </c>
      <c r="M857" s="83">
        <f t="shared" si="3"/>
        <v>674427.5</v>
      </c>
      <c r="N857" s="46" t="str">
        <f>VLOOKUP(F857,products!$A$2:$B$13,2,FALSE)</f>
        <v>Office Supplies</v>
      </c>
      <c r="O857" s="46" t="s">
        <v>96</v>
      </c>
      <c r="P857" s="46">
        <f t="array" ref="P857">WEEKDAY(B857,2)</f>
        <v>3</v>
      </c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>
      <c r="A858" s="56">
        <v>6.53920686E8</v>
      </c>
      <c r="B858" s="126">
        <v>40189.0</v>
      </c>
      <c r="C858" s="126">
        <v>40196.0</v>
      </c>
      <c r="D858" s="56" t="s">
        <v>10</v>
      </c>
      <c r="E858" s="56" t="s">
        <v>105</v>
      </c>
      <c r="F858" s="56">
        <v>8969.0</v>
      </c>
      <c r="G858" s="56" t="s">
        <v>43</v>
      </c>
      <c r="H858" s="56">
        <v>8517.0</v>
      </c>
      <c r="I858" s="127">
        <v>152.58</v>
      </c>
      <c r="J858" s="127">
        <v>97.44</v>
      </c>
      <c r="K858" s="83">
        <f t="shared" si="1"/>
        <v>1299523.86</v>
      </c>
      <c r="L858" s="83">
        <f t="shared" si="2"/>
        <v>829896.48</v>
      </c>
      <c r="M858" s="83">
        <f t="shared" si="3"/>
        <v>469627.38</v>
      </c>
      <c r="N858" s="46" t="str">
        <f>VLOOKUP(F858,products!$A$2:$B$13,2,FALSE)</f>
        <v>Snacks</v>
      </c>
      <c r="O858" s="46" t="s">
        <v>105</v>
      </c>
      <c r="P858" s="46">
        <f t="array" ref="P858">WEEKDAY(B858,2)</f>
        <v>1</v>
      </c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>
      <c r="A859" s="56">
        <v>6.5528711E8</v>
      </c>
      <c r="B859" s="126">
        <v>42053.0</v>
      </c>
      <c r="C859" s="126">
        <v>42057.0</v>
      </c>
      <c r="D859" s="56" t="s">
        <v>95</v>
      </c>
      <c r="E859" s="56" t="s">
        <v>115</v>
      </c>
      <c r="F859" s="56">
        <v>7940.0</v>
      </c>
      <c r="G859" s="56" t="s">
        <v>42</v>
      </c>
      <c r="H859" s="56">
        <v>2873.0</v>
      </c>
      <c r="I859" s="127">
        <v>668.27</v>
      </c>
      <c r="J859" s="127">
        <v>502.54</v>
      </c>
      <c r="K859" s="83">
        <f t="shared" si="1"/>
        <v>1919939.71</v>
      </c>
      <c r="L859" s="83">
        <f t="shared" si="2"/>
        <v>1443797.42</v>
      </c>
      <c r="M859" s="83">
        <f t="shared" si="3"/>
        <v>476142.29</v>
      </c>
      <c r="N859" s="46" t="str">
        <f>VLOOKUP(F859,products!$A$2:$B$13,2,FALSE)</f>
        <v>Household</v>
      </c>
      <c r="O859" s="46" t="s">
        <v>115</v>
      </c>
      <c r="P859" s="46">
        <f t="array" ref="P859">WEEKDAY(B859,2)</f>
        <v>3</v>
      </c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>
      <c r="A860" s="56">
        <v>6.55328738E8</v>
      </c>
      <c r="B860" s="126">
        <v>41680.0</v>
      </c>
      <c r="C860" s="126">
        <v>41720.0</v>
      </c>
      <c r="D860" s="56" t="s">
        <v>10</v>
      </c>
      <c r="E860" s="56" t="s">
        <v>106</v>
      </c>
      <c r="F860" s="56">
        <v>2103.0</v>
      </c>
      <c r="G860" s="56" t="s">
        <v>42</v>
      </c>
      <c r="H860" s="56">
        <v>5191.0</v>
      </c>
      <c r="I860" s="127">
        <v>205.7</v>
      </c>
      <c r="J860" s="127">
        <v>117.11</v>
      </c>
      <c r="K860" s="83">
        <f t="shared" si="1"/>
        <v>1067788.7</v>
      </c>
      <c r="L860" s="83">
        <f t="shared" si="2"/>
        <v>607918.01</v>
      </c>
      <c r="M860" s="83">
        <f t="shared" si="3"/>
        <v>459870.69</v>
      </c>
      <c r="N860" s="46" t="str">
        <f>VLOOKUP(F860,products!$A$2:$B$13,2,FALSE)</f>
        <v>Cereal</v>
      </c>
      <c r="O860" s="46" t="s">
        <v>106</v>
      </c>
      <c r="P860" s="46">
        <f t="array" ref="P860">WEEKDAY(B860,2)</f>
        <v>1</v>
      </c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>
      <c r="A861" s="56">
        <v>6.56244552E8</v>
      </c>
      <c r="B861" s="126">
        <v>41787.0</v>
      </c>
      <c r="C861" s="126">
        <v>41809.0</v>
      </c>
      <c r="D861" s="56" t="s">
        <v>10</v>
      </c>
      <c r="E861" s="56" t="s">
        <v>138</v>
      </c>
      <c r="F861" s="56">
        <v>4594.0</v>
      </c>
      <c r="G861" s="56" t="s">
        <v>42</v>
      </c>
      <c r="H861" s="56">
        <v>6201.0</v>
      </c>
      <c r="I861" s="127">
        <v>9.33</v>
      </c>
      <c r="J861" s="127">
        <v>6.92</v>
      </c>
      <c r="K861" s="83">
        <f t="shared" si="1"/>
        <v>57855.33</v>
      </c>
      <c r="L861" s="83">
        <f t="shared" si="2"/>
        <v>42910.92</v>
      </c>
      <c r="M861" s="83">
        <f t="shared" si="3"/>
        <v>14944.41</v>
      </c>
      <c r="N861" s="46" t="str">
        <f>VLOOKUP(F861,products!$A$2:$B$13,2,FALSE)</f>
        <v>Fruits</v>
      </c>
      <c r="O861" s="46" t="s">
        <v>138</v>
      </c>
      <c r="P861" s="46">
        <f t="array" ref="P861">WEEKDAY(B861,2)</f>
        <v>3</v>
      </c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>
      <c r="A862" s="56">
        <v>6.56689155E8</v>
      </c>
      <c r="B862" s="126">
        <v>40718.0</v>
      </c>
      <c r="C862" s="126">
        <v>40764.0</v>
      </c>
      <c r="D862" s="56" t="s">
        <v>10</v>
      </c>
      <c r="E862" s="56" t="s">
        <v>132</v>
      </c>
      <c r="F862" s="56">
        <v>7940.0</v>
      </c>
      <c r="G862" s="56" t="s">
        <v>42</v>
      </c>
      <c r="H862" s="56">
        <v>7769.0</v>
      </c>
      <c r="I862" s="127">
        <v>668.27</v>
      </c>
      <c r="J862" s="127">
        <v>502.54</v>
      </c>
      <c r="K862" s="83">
        <f t="shared" si="1"/>
        <v>5191789.63</v>
      </c>
      <c r="L862" s="83">
        <f t="shared" si="2"/>
        <v>3904233.26</v>
      </c>
      <c r="M862" s="83">
        <f t="shared" si="3"/>
        <v>1287556.37</v>
      </c>
      <c r="N862" s="46" t="str">
        <f>VLOOKUP(F862,products!$A$2:$B$13,2,FALSE)</f>
        <v>Household</v>
      </c>
      <c r="O862" s="46" t="s">
        <v>132</v>
      </c>
      <c r="P862" s="46">
        <f t="array" ref="P862">WEEKDAY(B862,2)</f>
        <v>5</v>
      </c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>
      <c r="A863" s="56">
        <v>6.59193694E8</v>
      </c>
      <c r="B863" s="126">
        <v>42155.0</v>
      </c>
      <c r="C863" s="126">
        <v>42166.0</v>
      </c>
      <c r="D863" s="56" t="s">
        <v>89</v>
      </c>
      <c r="E863" s="56" t="s">
        <v>91</v>
      </c>
      <c r="F863" s="56">
        <v>8681.0</v>
      </c>
      <c r="G863" s="56" t="s">
        <v>43</v>
      </c>
      <c r="H863" s="56">
        <v>8918.0</v>
      </c>
      <c r="I863" s="127">
        <v>651.21</v>
      </c>
      <c r="J863" s="127">
        <v>524.96</v>
      </c>
      <c r="K863" s="83">
        <f t="shared" si="1"/>
        <v>5807490.78</v>
      </c>
      <c r="L863" s="83">
        <f t="shared" si="2"/>
        <v>4681593.28</v>
      </c>
      <c r="M863" s="83">
        <f t="shared" si="3"/>
        <v>1125897.5</v>
      </c>
      <c r="N863" s="46" t="str">
        <f>VLOOKUP(F863,products!$A$2:$B$13,2,FALSE)</f>
        <v>Office Supplies</v>
      </c>
      <c r="O863" s="46" t="s">
        <v>91</v>
      </c>
      <c r="P863" s="46">
        <f t="array" ref="P863">WEEKDAY(B863,2)</f>
        <v>7</v>
      </c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>
      <c r="A864" s="56">
        <v>6.59196269E8</v>
      </c>
      <c r="B864" s="126">
        <v>41390.0</v>
      </c>
      <c r="C864" s="126">
        <v>41426.0</v>
      </c>
      <c r="D864" s="56" t="s">
        <v>93</v>
      </c>
      <c r="E864" s="56" t="s">
        <v>99</v>
      </c>
      <c r="F864" s="56">
        <v>7940.0</v>
      </c>
      <c r="G864" s="56" t="s">
        <v>43</v>
      </c>
      <c r="H864" s="56">
        <v>9680.0</v>
      </c>
      <c r="I864" s="127">
        <v>668.27</v>
      </c>
      <c r="J864" s="127">
        <v>502.54</v>
      </c>
      <c r="K864" s="83">
        <f t="shared" si="1"/>
        <v>6468853.6</v>
      </c>
      <c r="L864" s="83">
        <f t="shared" si="2"/>
        <v>4864587.2</v>
      </c>
      <c r="M864" s="83">
        <f t="shared" si="3"/>
        <v>1604266.4</v>
      </c>
      <c r="N864" s="46" t="str">
        <f>VLOOKUP(F864,products!$A$2:$B$13,2,FALSE)</f>
        <v>Household</v>
      </c>
      <c r="O864" s="46" t="s">
        <v>99</v>
      </c>
      <c r="P864" s="46">
        <f t="array" ref="P864">WEEKDAY(B864,2)</f>
        <v>5</v>
      </c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>
      <c r="A865" s="56">
        <v>6.59671771E8</v>
      </c>
      <c r="B865" s="126">
        <v>42213.0</v>
      </c>
      <c r="C865" s="126">
        <v>42214.0</v>
      </c>
      <c r="D865" s="56" t="s">
        <v>10</v>
      </c>
      <c r="E865" s="56" t="s">
        <v>111</v>
      </c>
      <c r="F865" s="56">
        <v>8293.0</v>
      </c>
      <c r="G865" s="56" t="s">
        <v>42</v>
      </c>
      <c r="H865" s="56">
        <v>391.0</v>
      </c>
      <c r="I865" s="127">
        <v>437.2</v>
      </c>
      <c r="J865" s="127">
        <v>263.33</v>
      </c>
      <c r="K865" s="83">
        <f t="shared" si="1"/>
        <v>170945.2</v>
      </c>
      <c r="L865" s="83">
        <f t="shared" si="2"/>
        <v>102962.03</v>
      </c>
      <c r="M865" s="83">
        <f t="shared" si="3"/>
        <v>67983.17</v>
      </c>
      <c r="N865" s="46" t="str">
        <f>VLOOKUP(F865,products!$A$2:$B$13,2,FALSE)</f>
        <v>Cosmetics</v>
      </c>
      <c r="O865" s="46" t="s">
        <v>111</v>
      </c>
      <c r="P865" s="46">
        <f t="array" ref="P865">WEEKDAY(B865,2)</f>
        <v>2</v>
      </c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>
      <c r="A866" s="56">
        <v>6.60312926E8</v>
      </c>
      <c r="B866" s="126">
        <v>42722.0</v>
      </c>
      <c r="C866" s="126">
        <v>42740.0</v>
      </c>
      <c r="D866" s="56" t="s">
        <v>10</v>
      </c>
      <c r="E866" s="56" t="s">
        <v>117</v>
      </c>
      <c r="F866" s="56">
        <v>2455.0</v>
      </c>
      <c r="G866" s="56" t="s">
        <v>42</v>
      </c>
      <c r="H866" s="56">
        <v>123.0</v>
      </c>
      <c r="I866" s="127">
        <v>109.28</v>
      </c>
      <c r="J866" s="127">
        <v>35.84</v>
      </c>
      <c r="K866" s="83">
        <f t="shared" si="1"/>
        <v>13441.44</v>
      </c>
      <c r="L866" s="83">
        <f t="shared" si="2"/>
        <v>4408.32</v>
      </c>
      <c r="M866" s="83">
        <f t="shared" si="3"/>
        <v>9033.12</v>
      </c>
      <c r="N866" s="46" t="str">
        <f>VLOOKUP(F866,products!$A$2:$B$13,2,FALSE)</f>
        <v>Clothes</v>
      </c>
      <c r="O866" s="46" t="s">
        <v>117</v>
      </c>
      <c r="P866" s="46">
        <f t="array" ref="P866">WEEKDAY(B866,2)</f>
        <v>7</v>
      </c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>
      <c r="A867" s="56">
        <v>6.60481584E8</v>
      </c>
      <c r="B867" s="126">
        <v>42440.0</v>
      </c>
      <c r="C867" s="126">
        <v>42480.0</v>
      </c>
      <c r="D867" s="56" t="s">
        <v>89</v>
      </c>
      <c r="E867" s="56" t="s">
        <v>113</v>
      </c>
      <c r="F867" s="56">
        <v>8681.0</v>
      </c>
      <c r="G867" s="56" t="s">
        <v>42</v>
      </c>
      <c r="H867" s="56">
        <v>33.0</v>
      </c>
      <c r="I867" s="127">
        <v>651.21</v>
      </c>
      <c r="J867" s="127">
        <v>524.96</v>
      </c>
      <c r="K867" s="83">
        <f t="shared" si="1"/>
        <v>21489.93</v>
      </c>
      <c r="L867" s="83">
        <f t="shared" si="2"/>
        <v>17323.68</v>
      </c>
      <c r="M867" s="83">
        <f t="shared" si="3"/>
        <v>4166.25</v>
      </c>
      <c r="N867" s="46" t="str">
        <f>VLOOKUP(F867,products!$A$2:$B$13,2,FALSE)</f>
        <v>Office Supplies</v>
      </c>
      <c r="O867" s="46" t="s">
        <v>113</v>
      </c>
      <c r="P867" s="46">
        <f t="array" ref="P867">WEEKDAY(B867,2)</f>
        <v>5</v>
      </c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>
      <c r="A868" s="56">
        <v>6.62623488E8</v>
      </c>
      <c r="B868" s="126">
        <v>41816.0</v>
      </c>
      <c r="C868" s="126">
        <v>41831.0</v>
      </c>
      <c r="D868" s="56" t="s">
        <v>10</v>
      </c>
      <c r="E868" s="56" t="s">
        <v>112</v>
      </c>
      <c r="F868" s="56">
        <v>8875.0</v>
      </c>
      <c r="G868" s="56" t="s">
        <v>42</v>
      </c>
      <c r="H868" s="56">
        <v>3870.0</v>
      </c>
      <c r="I868" s="127">
        <v>421.89</v>
      </c>
      <c r="J868" s="127">
        <v>364.69</v>
      </c>
      <c r="K868" s="83">
        <f t="shared" si="1"/>
        <v>1632714.3</v>
      </c>
      <c r="L868" s="83">
        <f t="shared" si="2"/>
        <v>1411350.3</v>
      </c>
      <c r="M868" s="83">
        <f t="shared" si="3"/>
        <v>221364</v>
      </c>
      <c r="N868" s="46" t="str">
        <f>VLOOKUP(F868,products!$A$2:$B$13,2,FALSE)</f>
        <v>Meat</v>
      </c>
      <c r="O868" s="46" t="s">
        <v>112</v>
      </c>
      <c r="P868" s="46">
        <f t="array" ref="P868">WEEKDAY(B868,2)</f>
        <v>4</v>
      </c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>
      <c r="A869" s="56">
        <v>6.63080108E8</v>
      </c>
      <c r="B869" s="126">
        <v>40868.0</v>
      </c>
      <c r="C869" s="126">
        <v>40887.0</v>
      </c>
      <c r="D869" s="56" t="s">
        <v>95</v>
      </c>
      <c r="E869" s="56" t="s">
        <v>115</v>
      </c>
      <c r="F869" s="56">
        <v>8875.0</v>
      </c>
      <c r="G869" s="56" t="s">
        <v>43</v>
      </c>
      <c r="H869" s="56">
        <v>8994.0</v>
      </c>
      <c r="I869" s="127">
        <v>421.89</v>
      </c>
      <c r="J869" s="127">
        <v>364.69</v>
      </c>
      <c r="K869" s="83">
        <f t="shared" si="1"/>
        <v>3794478.66</v>
      </c>
      <c r="L869" s="83">
        <f t="shared" si="2"/>
        <v>3280021.86</v>
      </c>
      <c r="M869" s="83">
        <f t="shared" si="3"/>
        <v>514456.8</v>
      </c>
      <c r="N869" s="46" t="str">
        <f>VLOOKUP(F869,products!$A$2:$B$13,2,FALSE)</f>
        <v>Meat</v>
      </c>
      <c r="O869" s="46" t="s">
        <v>115</v>
      </c>
      <c r="P869" s="46">
        <f t="array" ref="P869">WEEKDAY(B869,2)</f>
        <v>1</v>
      </c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>
      <c r="A870" s="56">
        <v>6.65786778E8</v>
      </c>
      <c r="B870" s="126">
        <v>40383.0</v>
      </c>
      <c r="C870" s="126">
        <v>40405.0</v>
      </c>
      <c r="D870" s="56" t="s">
        <v>93</v>
      </c>
      <c r="E870" s="56" t="s">
        <v>105</v>
      </c>
      <c r="F870" s="56">
        <v>4594.0</v>
      </c>
      <c r="G870" s="56" t="s">
        <v>42</v>
      </c>
      <c r="H870" s="56">
        <v>9958.0</v>
      </c>
      <c r="I870" s="127">
        <v>9.33</v>
      </c>
      <c r="J870" s="127">
        <v>6.92</v>
      </c>
      <c r="K870" s="83">
        <f t="shared" si="1"/>
        <v>92908.14</v>
      </c>
      <c r="L870" s="83">
        <f t="shared" si="2"/>
        <v>68909.36</v>
      </c>
      <c r="M870" s="83">
        <f t="shared" si="3"/>
        <v>23998.78</v>
      </c>
      <c r="N870" s="46" t="str">
        <f>VLOOKUP(F870,products!$A$2:$B$13,2,FALSE)</f>
        <v>Fruits</v>
      </c>
      <c r="O870" s="46" t="s">
        <v>105</v>
      </c>
      <c r="P870" s="46">
        <f t="array" ref="P870">WEEKDAY(B870,2)</f>
        <v>6</v>
      </c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>
      <c r="A871" s="56">
        <v>6.65817677E8</v>
      </c>
      <c r="B871" s="126">
        <v>42273.0</v>
      </c>
      <c r="C871" s="126">
        <v>42287.0</v>
      </c>
      <c r="D871" s="56" t="s">
        <v>10</v>
      </c>
      <c r="E871" s="56" t="s">
        <v>91</v>
      </c>
      <c r="F871" s="56">
        <v>4594.0</v>
      </c>
      <c r="G871" s="56" t="s">
        <v>43</v>
      </c>
      <c r="H871" s="56">
        <v>9102.0</v>
      </c>
      <c r="I871" s="127">
        <v>9.33</v>
      </c>
      <c r="J871" s="127">
        <v>6.92</v>
      </c>
      <c r="K871" s="83">
        <f t="shared" si="1"/>
        <v>84921.66</v>
      </c>
      <c r="L871" s="83">
        <f t="shared" si="2"/>
        <v>62985.84</v>
      </c>
      <c r="M871" s="83">
        <f t="shared" si="3"/>
        <v>21935.82</v>
      </c>
      <c r="N871" s="46" t="str">
        <f>VLOOKUP(F871,products!$A$2:$B$13,2,FALSE)</f>
        <v>Fruits</v>
      </c>
      <c r="O871" s="46" t="s">
        <v>91</v>
      </c>
      <c r="P871" s="46">
        <f t="array" ref="P871">WEEKDAY(B871,2)</f>
        <v>6</v>
      </c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>
      <c r="A872" s="56">
        <v>6.66483724E8</v>
      </c>
      <c r="B872" s="126">
        <v>41848.0</v>
      </c>
      <c r="C872" s="126">
        <v>41882.0</v>
      </c>
      <c r="D872" s="56" t="s">
        <v>10</v>
      </c>
      <c r="E872" s="56" t="s">
        <v>119</v>
      </c>
      <c r="F872" s="56">
        <v>7940.0</v>
      </c>
      <c r="G872" s="56" t="s">
        <v>43</v>
      </c>
      <c r="H872" s="56">
        <v>6199.0</v>
      </c>
      <c r="I872" s="127">
        <v>668.27</v>
      </c>
      <c r="J872" s="127">
        <v>502.54</v>
      </c>
      <c r="K872" s="83">
        <f t="shared" si="1"/>
        <v>4142605.73</v>
      </c>
      <c r="L872" s="83">
        <f t="shared" si="2"/>
        <v>3115245.46</v>
      </c>
      <c r="M872" s="83">
        <f t="shared" si="3"/>
        <v>1027360.27</v>
      </c>
      <c r="N872" s="46" t="str">
        <f>VLOOKUP(F872,products!$A$2:$B$13,2,FALSE)</f>
        <v>Household</v>
      </c>
      <c r="O872" s="46" t="s">
        <v>119</v>
      </c>
      <c r="P872" s="46">
        <f t="array" ref="P872">WEEKDAY(B872,2)</f>
        <v>1</v>
      </c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>
      <c r="A873" s="56">
        <v>6.6692146E8</v>
      </c>
      <c r="B873" s="126">
        <v>41896.0</v>
      </c>
      <c r="C873" s="126">
        <v>41922.0</v>
      </c>
      <c r="D873" s="56" t="s">
        <v>95</v>
      </c>
      <c r="E873" s="56" t="s">
        <v>135</v>
      </c>
      <c r="F873" s="56">
        <v>2103.0</v>
      </c>
      <c r="G873" s="56" t="s">
        <v>43</v>
      </c>
      <c r="H873" s="56">
        <v>5735.0</v>
      </c>
      <c r="I873" s="127">
        <v>205.7</v>
      </c>
      <c r="J873" s="127">
        <v>117.11</v>
      </c>
      <c r="K873" s="83">
        <f t="shared" si="1"/>
        <v>1179689.5</v>
      </c>
      <c r="L873" s="83">
        <f t="shared" si="2"/>
        <v>671625.85</v>
      </c>
      <c r="M873" s="83">
        <f t="shared" si="3"/>
        <v>508063.65</v>
      </c>
      <c r="N873" s="46" t="str">
        <f>VLOOKUP(F873,products!$A$2:$B$13,2,FALSE)</f>
        <v>Cereal</v>
      </c>
      <c r="O873" s="46" t="s">
        <v>135</v>
      </c>
      <c r="P873" s="46">
        <f t="array" ref="P873">WEEKDAY(B873,2)</f>
        <v>7</v>
      </c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>
      <c r="A874" s="56">
        <v>6.67054498E8</v>
      </c>
      <c r="B874" s="126">
        <v>42046.0</v>
      </c>
      <c r="C874" s="126">
        <v>42047.0</v>
      </c>
      <c r="D874" s="56" t="s">
        <v>95</v>
      </c>
      <c r="E874" s="56" t="s">
        <v>115</v>
      </c>
      <c r="F874" s="56">
        <v>3127.0</v>
      </c>
      <c r="G874" s="56" t="s">
        <v>43</v>
      </c>
      <c r="H874" s="56">
        <v>5104.0</v>
      </c>
      <c r="I874" s="127">
        <v>81.73</v>
      </c>
      <c r="J874" s="127">
        <v>56.67</v>
      </c>
      <c r="K874" s="83">
        <f t="shared" si="1"/>
        <v>417149.92</v>
      </c>
      <c r="L874" s="83">
        <f t="shared" si="2"/>
        <v>289243.68</v>
      </c>
      <c r="M874" s="83">
        <f t="shared" si="3"/>
        <v>127906.24</v>
      </c>
      <c r="N874" s="46" t="str">
        <f>VLOOKUP(F874,products!$A$2:$B$13,2,FALSE)</f>
        <v>Personal Care</v>
      </c>
      <c r="O874" s="46" t="s">
        <v>115</v>
      </c>
      <c r="P874" s="46">
        <f t="array" ref="P874">WEEKDAY(B874,2)</f>
        <v>3</v>
      </c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>
      <c r="A875" s="56">
        <v>6.67324435E8</v>
      </c>
      <c r="B875" s="126">
        <v>41200.0</v>
      </c>
      <c r="C875" s="126">
        <v>41213.0</v>
      </c>
      <c r="D875" s="56" t="s">
        <v>93</v>
      </c>
      <c r="E875" s="56" t="s">
        <v>120</v>
      </c>
      <c r="F875" s="56">
        <v>7331.0</v>
      </c>
      <c r="G875" s="56" t="s">
        <v>43</v>
      </c>
      <c r="H875" s="56">
        <v>4985.0</v>
      </c>
      <c r="I875" s="127">
        <v>255.28</v>
      </c>
      <c r="J875" s="127">
        <v>159.42</v>
      </c>
      <c r="K875" s="83">
        <f t="shared" si="1"/>
        <v>1272570.8</v>
      </c>
      <c r="L875" s="83">
        <f t="shared" si="2"/>
        <v>794708.7</v>
      </c>
      <c r="M875" s="83">
        <f t="shared" si="3"/>
        <v>477862.1</v>
      </c>
      <c r="N875" s="46" t="str">
        <f>VLOOKUP(F875,products!$A$2:$B$13,2,FALSE)</f>
        <v>Baby Food</v>
      </c>
      <c r="O875" s="46" t="s">
        <v>120</v>
      </c>
      <c r="P875" s="46">
        <f t="array" ref="P875">WEEKDAY(B875,2)</f>
        <v>4</v>
      </c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>
      <c r="A876" s="56">
        <v>6.67420995E8</v>
      </c>
      <c r="B876" s="126">
        <v>40194.0</v>
      </c>
      <c r="C876" s="126">
        <v>40196.0</v>
      </c>
      <c r="D876" s="56" t="s">
        <v>10</v>
      </c>
      <c r="E876" s="56" t="s">
        <v>101</v>
      </c>
      <c r="F876" s="56">
        <v>3127.0</v>
      </c>
      <c r="G876" s="56" t="s">
        <v>43</v>
      </c>
      <c r="H876" s="56">
        <v>3559.0</v>
      </c>
      <c r="I876" s="127">
        <v>81.73</v>
      </c>
      <c r="J876" s="127">
        <v>56.67</v>
      </c>
      <c r="K876" s="83">
        <f t="shared" si="1"/>
        <v>290877.07</v>
      </c>
      <c r="L876" s="83">
        <f t="shared" si="2"/>
        <v>201688.53</v>
      </c>
      <c r="M876" s="83">
        <f t="shared" si="3"/>
        <v>89188.54</v>
      </c>
      <c r="N876" s="46" t="str">
        <f>VLOOKUP(F876,products!$A$2:$B$13,2,FALSE)</f>
        <v>Personal Care</v>
      </c>
      <c r="O876" s="46" t="s">
        <v>101</v>
      </c>
      <c r="P876" s="46">
        <f t="array" ref="P876">WEEKDAY(B876,2)</f>
        <v>6</v>
      </c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>
      <c r="A877" s="56">
        <v>6.68280589E8</v>
      </c>
      <c r="B877" s="126">
        <v>41316.0</v>
      </c>
      <c r="C877" s="126">
        <v>41361.0</v>
      </c>
      <c r="D877" s="56" t="s">
        <v>93</v>
      </c>
      <c r="E877" s="56" t="s">
        <v>115</v>
      </c>
      <c r="F877" s="56">
        <v>8875.0</v>
      </c>
      <c r="G877" s="56" t="s">
        <v>43</v>
      </c>
      <c r="H877" s="56">
        <v>7932.0</v>
      </c>
      <c r="I877" s="127">
        <v>421.89</v>
      </c>
      <c r="J877" s="127">
        <v>364.69</v>
      </c>
      <c r="K877" s="83">
        <f t="shared" si="1"/>
        <v>3346431.48</v>
      </c>
      <c r="L877" s="83">
        <f t="shared" si="2"/>
        <v>2892721.08</v>
      </c>
      <c r="M877" s="83">
        <f t="shared" si="3"/>
        <v>453710.4</v>
      </c>
      <c r="N877" s="46" t="str">
        <f>VLOOKUP(F877,products!$A$2:$B$13,2,FALSE)</f>
        <v>Meat</v>
      </c>
      <c r="O877" s="46" t="s">
        <v>115</v>
      </c>
      <c r="P877" s="46">
        <f t="array" ref="P877">WEEKDAY(B877,2)</f>
        <v>1</v>
      </c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>
      <c r="A878" s="56">
        <v>6.69353473E8</v>
      </c>
      <c r="B878" s="126">
        <v>41814.0</v>
      </c>
      <c r="C878" s="126">
        <v>41827.0</v>
      </c>
      <c r="D878" s="56" t="s">
        <v>10</v>
      </c>
      <c r="E878" s="56" t="s">
        <v>116</v>
      </c>
      <c r="F878" s="56">
        <v>4594.0</v>
      </c>
      <c r="G878" s="56" t="s">
        <v>43</v>
      </c>
      <c r="H878" s="56">
        <v>5422.0</v>
      </c>
      <c r="I878" s="127">
        <v>9.33</v>
      </c>
      <c r="J878" s="127">
        <v>6.92</v>
      </c>
      <c r="K878" s="83">
        <f t="shared" si="1"/>
        <v>50587.26</v>
      </c>
      <c r="L878" s="83">
        <f t="shared" si="2"/>
        <v>37520.24</v>
      </c>
      <c r="M878" s="83">
        <f t="shared" si="3"/>
        <v>13067.02</v>
      </c>
      <c r="N878" s="46" t="str">
        <f>VLOOKUP(F878,products!$A$2:$B$13,2,FALSE)</f>
        <v>Fruits</v>
      </c>
      <c r="O878" s="46" t="s">
        <v>116</v>
      </c>
      <c r="P878" s="46">
        <f t="array" ref="P878">WEEKDAY(B878,2)</f>
        <v>2</v>
      </c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>
      <c r="A879" s="56">
        <v>6.69550883E8</v>
      </c>
      <c r="B879" s="126">
        <v>42215.0</v>
      </c>
      <c r="C879" s="126">
        <v>42263.0</v>
      </c>
      <c r="D879" s="56" t="s">
        <v>95</v>
      </c>
      <c r="E879" s="56" t="s">
        <v>116</v>
      </c>
      <c r="F879" s="56">
        <v>8293.0</v>
      </c>
      <c r="G879" s="56" t="s">
        <v>42</v>
      </c>
      <c r="H879" s="56">
        <v>3840.0</v>
      </c>
      <c r="I879" s="127">
        <v>437.2</v>
      </c>
      <c r="J879" s="127">
        <v>263.33</v>
      </c>
      <c r="K879" s="83">
        <f t="shared" si="1"/>
        <v>1678848</v>
      </c>
      <c r="L879" s="83">
        <f t="shared" si="2"/>
        <v>1011187.2</v>
      </c>
      <c r="M879" s="83">
        <f t="shared" si="3"/>
        <v>667660.8</v>
      </c>
      <c r="N879" s="46" t="str">
        <f>VLOOKUP(F879,products!$A$2:$B$13,2,FALSE)</f>
        <v>Cosmetics</v>
      </c>
      <c r="O879" s="46" t="s">
        <v>116</v>
      </c>
      <c r="P879" s="46">
        <f t="array" ref="P879">WEEKDAY(B879,2)</f>
        <v>4</v>
      </c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>
      <c r="A880" s="56">
        <v>6.70274865E8</v>
      </c>
      <c r="B880" s="126">
        <v>41186.0</v>
      </c>
      <c r="C880" s="126">
        <v>41226.0</v>
      </c>
      <c r="D880" s="56" t="s">
        <v>10</v>
      </c>
      <c r="E880" s="56" t="s">
        <v>122</v>
      </c>
      <c r="F880" s="56">
        <v>5988.0</v>
      </c>
      <c r="G880" s="56" t="s">
        <v>43</v>
      </c>
      <c r="H880" s="56">
        <v>8082.0</v>
      </c>
      <c r="I880" s="127">
        <v>154.06</v>
      </c>
      <c r="J880" s="127">
        <v>90.93</v>
      </c>
      <c r="K880" s="83">
        <f t="shared" si="1"/>
        <v>1245112.92</v>
      </c>
      <c r="L880" s="83">
        <f t="shared" si="2"/>
        <v>734896.26</v>
      </c>
      <c r="M880" s="83">
        <f t="shared" si="3"/>
        <v>510216.66</v>
      </c>
      <c r="N880" s="46" t="str">
        <f>VLOOKUP(F880,products!$A$2:$B$13,2,FALSE)</f>
        <v>Vegetables</v>
      </c>
      <c r="O880" s="46" t="s">
        <v>122</v>
      </c>
      <c r="P880" s="46">
        <f t="array" ref="P880">WEEKDAY(B880,2)</f>
        <v>4</v>
      </c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>
      <c r="A881" s="56">
        <v>6.71616399E8</v>
      </c>
      <c r="B881" s="126">
        <v>41219.0</v>
      </c>
      <c r="C881" s="126">
        <v>41253.0</v>
      </c>
      <c r="D881" s="56" t="s">
        <v>10</v>
      </c>
      <c r="E881" s="56" t="s">
        <v>136</v>
      </c>
      <c r="F881" s="56">
        <v>5988.0</v>
      </c>
      <c r="G881" s="56" t="s">
        <v>42</v>
      </c>
      <c r="H881" s="56">
        <v>5072.0</v>
      </c>
      <c r="I881" s="127">
        <v>154.06</v>
      </c>
      <c r="J881" s="127">
        <v>90.93</v>
      </c>
      <c r="K881" s="83">
        <f t="shared" si="1"/>
        <v>781392.32</v>
      </c>
      <c r="L881" s="83">
        <f t="shared" si="2"/>
        <v>461196.96</v>
      </c>
      <c r="M881" s="83">
        <f t="shared" si="3"/>
        <v>320195.36</v>
      </c>
      <c r="N881" s="46" t="str">
        <f>VLOOKUP(F881,products!$A$2:$B$13,2,FALSE)</f>
        <v>Vegetables</v>
      </c>
      <c r="O881" s="46" t="s">
        <v>136</v>
      </c>
      <c r="P881" s="46">
        <f t="array" ref="P881">WEEKDAY(B881,2)</f>
        <v>2</v>
      </c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>
      <c r="A882" s="56">
        <v>6.72330081E8</v>
      </c>
      <c r="B882" s="126">
        <v>40482.0</v>
      </c>
      <c r="C882" s="126">
        <v>40511.0</v>
      </c>
      <c r="D882" s="56" t="s">
        <v>93</v>
      </c>
      <c r="E882" s="56" t="s">
        <v>125</v>
      </c>
      <c r="F882" s="56">
        <v>8681.0</v>
      </c>
      <c r="G882" s="56" t="s">
        <v>43</v>
      </c>
      <c r="H882" s="56">
        <v>6266.0</v>
      </c>
      <c r="I882" s="127">
        <v>651.21</v>
      </c>
      <c r="J882" s="127">
        <v>524.96</v>
      </c>
      <c r="K882" s="83">
        <f t="shared" si="1"/>
        <v>4080481.86</v>
      </c>
      <c r="L882" s="83">
        <f t="shared" si="2"/>
        <v>3289399.36</v>
      </c>
      <c r="M882" s="83">
        <f t="shared" si="3"/>
        <v>791082.5</v>
      </c>
      <c r="N882" s="46" t="str">
        <f>VLOOKUP(F882,products!$A$2:$B$13,2,FALSE)</f>
        <v>Office Supplies</v>
      </c>
      <c r="O882" s="46" t="s">
        <v>125</v>
      </c>
      <c r="P882" s="46">
        <f t="array" ref="P882">WEEKDAY(B882,2)</f>
        <v>7</v>
      </c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>
      <c r="A883" s="56">
        <v>6.72856652E8</v>
      </c>
      <c r="B883" s="126">
        <v>41817.0</v>
      </c>
      <c r="C883" s="126">
        <v>41854.0</v>
      </c>
      <c r="D883" s="56" t="s">
        <v>10</v>
      </c>
      <c r="E883" s="56" t="e">
        <v>#N/A</v>
      </c>
      <c r="F883" s="56">
        <v>7940.0</v>
      </c>
      <c r="G883" s="56" t="s">
        <v>43</v>
      </c>
      <c r="H883" s="56">
        <v>2091.0</v>
      </c>
      <c r="I883" s="127">
        <v>668.27</v>
      </c>
      <c r="J883" s="127">
        <v>502.54</v>
      </c>
      <c r="K883" s="83">
        <f t="shared" si="1"/>
        <v>1397352.57</v>
      </c>
      <c r="L883" s="83">
        <f t="shared" si="2"/>
        <v>1050811.14</v>
      </c>
      <c r="M883" s="83">
        <f t="shared" si="3"/>
        <v>346541.43</v>
      </c>
      <c r="N883" s="46" t="str">
        <f>VLOOKUP(F883,products!$A$2:$B$13,2,FALSE)</f>
        <v>Household</v>
      </c>
      <c r="O883" s="46" t="s">
        <v>92</v>
      </c>
      <c r="P883" s="46">
        <f t="array" ref="P883">WEEKDAY(B883,2)</f>
        <v>5</v>
      </c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>
      <c r="A884" s="56">
        <v>6.74060428E8</v>
      </c>
      <c r="B884" s="126">
        <v>41258.0</v>
      </c>
      <c r="C884" s="126">
        <v>41260.0</v>
      </c>
      <c r="D884" s="56" t="s">
        <v>93</v>
      </c>
      <c r="E884" s="56" t="s">
        <v>116</v>
      </c>
      <c r="F884" s="56">
        <v>2103.0</v>
      </c>
      <c r="G884" s="56" t="s">
        <v>43</v>
      </c>
      <c r="H884" s="56">
        <v>8315.0</v>
      </c>
      <c r="I884" s="127">
        <v>205.7</v>
      </c>
      <c r="J884" s="127">
        <v>117.11</v>
      </c>
      <c r="K884" s="83">
        <f t="shared" si="1"/>
        <v>1710395.5</v>
      </c>
      <c r="L884" s="83">
        <f t="shared" si="2"/>
        <v>973769.65</v>
      </c>
      <c r="M884" s="83">
        <f t="shared" si="3"/>
        <v>736625.85</v>
      </c>
      <c r="N884" s="46" t="str">
        <f>VLOOKUP(F884,products!$A$2:$B$13,2,FALSE)</f>
        <v>Cereal</v>
      </c>
      <c r="O884" s="46" t="s">
        <v>116</v>
      </c>
      <c r="P884" s="46">
        <f t="array" ref="P884">WEEKDAY(B884,2)</f>
        <v>6</v>
      </c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>
      <c r="A885" s="56">
        <v>6.77851569E8</v>
      </c>
      <c r="B885" s="126">
        <v>40596.0</v>
      </c>
      <c r="C885" s="126">
        <v>40604.0</v>
      </c>
      <c r="D885" s="56" t="s">
        <v>89</v>
      </c>
      <c r="E885" s="56" t="s">
        <v>126</v>
      </c>
      <c r="F885" s="56">
        <v>7940.0</v>
      </c>
      <c r="G885" s="56" t="s">
        <v>42</v>
      </c>
      <c r="H885" s="56">
        <v>198.0</v>
      </c>
      <c r="I885" s="127">
        <v>668.27</v>
      </c>
      <c r="J885" s="127">
        <v>502.54</v>
      </c>
      <c r="K885" s="83">
        <f t="shared" si="1"/>
        <v>132317.46</v>
      </c>
      <c r="L885" s="83">
        <f t="shared" si="2"/>
        <v>99502.92</v>
      </c>
      <c r="M885" s="83">
        <f t="shared" si="3"/>
        <v>32814.54</v>
      </c>
      <c r="N885" s="46" t="str">
        <f>VLOOKUP(F885,products!$A$2:$B$13,2,FALSE)</f>
        <v>Household</v>
      </c>
      <c r="O885" s="46" t="s">
        <v>126</v>
      </c>
      <c r="P885" s="46">
        <f t="array" ref="P885">WEEKDAY(B885,2)</f>
        <v>2</v>
      </c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>
      <c r="A886" s="56">
        <v>6.79039466E8</v>
      </c>
      <c r="B886" s="126">
        <v>41063.0</v>
      </c>
      <c r="C886" s="126">
        <v>41095.0</v>
      </c>
      <c r="D886" s="56" t="s">
        <v>95</v>
      </c>
      <c r="E886" s="56" t="s">
        <v>132</v>
      </c>
      <c r="F886" s="56">
        <v>8293.0</v>
      </c>
      <c r="G886" s="56" t="s">
        <v>42</v>
      </c>
      <c r="H886" s="56">
        <v>1723.0</v>
      </c>
      <c r="I886" s="127">
        <v>437.2</v>
      </c>
      <c r="J886" s="127">
        <v>263.33</v>
      </c>
      <c r="K886" s="83">
        <f t="shared" si="1"/>
        <v>753295.6</v>
      </c>
      <c r="L886" s="83">
        <f t="shared" si="2"/>
        <v>453717.59</v>
      </c>
      <c r="M886" s="83">
        <f t="shared" si="3"/>
        <v>299578.01</v>
      </c>
      <c r="N886" s="46" t="str">
        <f>VLOOKUP(F886,products!$A$2:$B$13,2,FALSE)</f>
        <v>Cosmetics</v>
      </c>
      <c r="O886" s="46" t="s">
        <v>132</v>
      </c>
      <c r="P886" s="46">
        <f t="array" ref="P886">WEEKDAY(B886,2)</f>
        <v>7</v>
      </c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>
      <c r="A887" s="56">
        <v>6.7910856E8</v>
      </c>
      <c r="B887" s="126">
        <v>41756.0</v>
      </c>
      <c r="C887" s="126">
        <v>41801.0</v>
      </c>
      <c r="D887" s="56" t="s">
        <v>89</v>
      </c>
      <c r="E887" s="56" t="s">
        <v>129</v>
      </c>
      <c r="F887" s="56">
        <v>7940.0</v>
      </c>
      <c r="G887" s="56" t="s">
        <v>43</v>
      </c>
      <c r="H887" s="56">
        <v>2169.0</v>
      </c>
      <c r="I887" s="127">
        <v>668.27</v>
      </c>
      <c r="J887" s="127">
        <v>502.54</v>
      </c>
      <c r="K887" s="83">
        <f t="shared" si="1"/>
        <v>1449477.63</v>
      </c>
      <c r="L887" s="83">
        <f t="shared" si="2"/>
        <v>1090009.26</v>
      </c>
      <c r="M887" s="83">
        <f t="shared" si="3"/>
        <v>359468.37</v>
      </c>
      <c r="N887" s="46" t="str">
        <f>VLOOKUP(F887,products!$A$2:$B$13,2,FALSE)</f>
        <v>Household</v>
      </c>
      <c r="O887" s="46" t="s">
        <v>129</v>
      </c>
      <c r="P887" s="46">
        <f t="array" ref="P887">WEEKDAY(B887,2)</f>
        <v>7</v>
      </c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>
      <c r="A888" s="56">
        <v>6.8032521E8</v>
      </c>
      <c r="B888" s="126">
        <v>42907.0</v>
      </c>
      <c r="C888" s="126">
        <v>42939.0</v>
      </c>
      <c r="D888" s="56" t="s">
        <v>10</v>
      </c>
      <c r="E888" s="56" t="s">
        <v>130</v>
      </c>
      <c r="F888" s="56">
        <v>5988.0</v>
      </c>
      <c r="G888" s="56" t="s">
        <v>43</v>
      </c>
      <c r="H888" s="56">
        <v>2203.0</v>
      </c>
      <c r="I888" s="127">
        <v>154.06</v>
      </c>
      <c r="J888" s="127">
        <v>90.93</v>
      </c>
      <c r="K888" s="83">
        <f t="shared" si="1"/>
        <v>339394.18</v>
      </c>
      <c r="L888" s="83">
        <f t="shared" si="2"/>
        <v>200318.79</v>
      </c>
      <c r="M888" s="83">
        <f t="shared" si="3"/>
        <v>139075.39</v>
      </c>
      <c r="N888" s="46" t="str">
        <f>VLOOKUP(F888,products!$A$2:$B$13,2,FALSE)</f>
        <v>Vegetables</v>
      </c>
      <c r="O888" s="46" t="s">
        <v>130</v>
      </c>
      <c r="P888" s="46">
        <f t="array" ref="P888">WEEKDAY(B888,2)</f>
        <v>3</v>
      </c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>
      <c r="A889" s="56">
        <v>6.81713092E8</v>
      </c>
      <c r="B889" s="126">
        <v>40245.0</v>
      </c>
      <c r="C889" s="126">
        <v>40259.0</v>
      </c>
      <c r="D889" s="56" t="s">
        <v>95</v>
      </c>
      <c r="E889" s="56" t="s">
        <v>116</v>
      </c>
      <c r="F889" s="56">
        <v>1270.0</v>
      </c>
      <c r="G889" s="56" t="s">
        <v>43</v>
      </c>
      <c r="H889" s="56">
        <v>2908.0</v>
      </c>
      <c r="I889" s="127">
        <v>47.45</v>
      </c>
      <c r="J889" s="127">
        <v>31.79</v>
      </c>
      <c r="K889" s="83">
        <f t="shared" si="1"/>
        <v>137984.6</v>
      </c>
      <c r="L889" s="83">
        <f t="shared" si="2"/>
        <v>92445.32</v>
      </c>
      <c r="M889" s="83">
        <f t="shared" si="3"/>
        <v>45539.28</v>
      </c>
      <c r="N889" s="46" t="str">
        <f>VLOOKUP(F889,products!$A$2:$B$13,2,FALSE)</f>
        <v>Beverages</v>
      </c>
      <c r="O889" s="46" t="s">
        <v>116</v>
      </c>
      <c r="P889" s="46">
        <f t="array" ref="P889">WEEKDAY(B889,2)</f>
        <v>1</v>
      </c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>
      <c r="A890" s="56">
        <v>6.82066285E8</v>
      </c>
      <c r="B890" s="126">
        <v>41420.0</v>
      </c>
      <c r="C890" s="126">
        <v>41468.0</v>
      </c>
      <c r="D890" s="56" t="s">
        <v>95</v>
      </c>
      <c r="E890" s="56" t="s">
        <v>109</v>
      </c>
      <c r="F890" s="56">
        <v>5988.0</v>
      </c>
      <c r="G890" s="56" t="s">
        <v>43</v>
      </c>
      <c r="H890" s="56">
        <v>7426.0</v>
      </c>
      <c r="I890" s="127">
        <v>154.06</v>
      </c>
      <c r="J890" s="127">
        <v>90.93</v>
      </c>
      <c r="K890" s="83">
        <f t="shared" si="1"/>
        <v>1144049.56</v>
      </c>
      <c r="L890" s="83">
        <f t="shared" si="2"/>
        <v>675246.18</v>
      </c>
      <c r="M890" s="83">
        <f t="shared" si="3"/>
        <v>468803.38</v>
      </c>
      <c r="N890" s="46" t="str">
        <f>VLOOKUP(F890,products!$A$2:$B$13,2,FALSE)</f>
        <v>Vegetables</v>
      </c>
      <c r="O890" s="46" t="s">
        <v>109</v>
      </c>
      <c r="P890" s="46">
        <f t="array" ref="P890">WEEKDAY(B890,2)</f>
        <v>7</v>
      </c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>
      <c r="A891" s="56">
        <v>6.82162415E8</v>
      </c>
      <c r="B891" s="126">
        <v>42385.0</v>
      </c>
      <c r="C891" s="126">
        <v>42426.0</v>
      </c>
      <c r="D891" s="56" t="s">
        <v>10</v>
      </c>
      <c r="E891" s="56" t="s">
        <v>105</v>
      </c>
      <c r="F891" s="56">
        <v>8875.0</v>
      </c>
      <c r="G891" s="56" t="s">
        <v>42</v>
      </c>
      <c r="H891" s="56">
        <v>5873.0</v>
      </c>
      <c r="I891" s="127">
        <v>421.89</v>
      </c>
      <c r="J891" s="127">
        <v>364.69</v>
      </c>
      <c r="K891" s="83">
        <f t="shared" si="1"/>
        <v>2477759.97</v>
      </c>
      <c r="L891" s="83">
        <f t="shared" si="2"/>
        <v>2141824.37</v>
      </c>
      <c r="M891" s="83">
        <f t="shared" si="3"/>
        <v>335935.6</v>
      </c>
      <c r="N891" s="46" t="str">
        <f>VLOOKUP(F891,products!$A$2:$B$13,2,FALSE)</f>
        <v>Meat</v>
      </c>
      <c r="O891" s="46" t="s">
        <v>105</v>
      </c>
      <c r="P891" s="46">
        <f t="array" ref="P891">WEEKDAY(B891,2)</f>
        <v>6</v>
      </c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>
      <c r="A892" s="56">
        <v>6.82314765E8</v>
      </c>
      <c r="B892" s="126">
        <v>42334.0</v>
      </c>
      <c r="C892" s="126">
        <v>42358.0</v>
      </c>
      <c r="D892" s="56" t="s">
        <v>93</v>
      </c>
      <c r="E892" s="56" t="s">
        <v>100</v>
      </c>
      <c r="F892" s="56">
        <v>1270.0</v>
      </c>
      <c r="G892" s="56" t="s">
        <v>42</v>
      </c>
      <c r="H892" s="56">
        <v>956.0</v>
      </c>
      <c r="I892" s="127">
        <v>47.45</v>
      </c>
      <c r="J892" s="127">
        <v>31.79</v>
      </c>
      <c r="K892" s="83">
        <f t="shared" si="1"/>
        <v>45362.2</v>
      </c>
      <c r="L892" s="83">
        <f t="shared" si="2"/>
        <v>30391.24</v>
      </c>
      <c r="M892" s="83">
        <f t="shared" si="3"/>
        <v>14970.96</v>
      </c>
      <c r="N892" s="46" t="str">
        <f>VLOOKUP(F892,products!$A$2:$B$13,2,FALSE)</f>
        <v>Beverages</v>
      </c>
      <c r="O892" s="46" t="s">
        <v>100</v>
      </c>
      <c r="P892" s="46">
        <f t="array" ref="P892">WEEKDAY(B892,2)</f>
        <v>4</v>
      </c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>
      <c r="A893" s="56">
        <v>6.84239947E8</v>
      </c>
      <c r="B893" s="126">
        <v>41510.0</v>
      </c>
      <c r="C893" s="126">
        <v>41517.0</v>
      </c>
      <c r="D893" s="56" t="s">
        <v>93</v>
      </c>
      <c r="E893" s="56" t="s">
        <v>132</v>
      </c>
      <c r="F893" s="56">
        <v>8293.0</v>
      </c>
      <c r="G893" s="56" t="s">
        <v>43</v>
      </c>
      <c r="H893" s="56">
        <v>661.0</v>
      </c>
      <c r="I893" s="127">
        <v>437.2</v>
      </c>
      <c r="J893" s="127">
        <v>263.33</v>
      </c>
      <c r="K893" s="83">
        <f t="shared" si="1"/>
        <v>288989.2</v>
      </c>
      <c r="L893" s="83">
        <f t="shared" si="2"/>
        <v>174061.13</v>
      </c>
      <c r="M893" s="83">
        <f t="shared" si="3"/>
        <v>114928.07</v>
      </c>
      <c r="N893" s="46" t="str">
        <f>VLOOKUP(F893,products!$A$2:$B$13,2,FALSE)</f>
        <v>Cosmetics</v>
      </c>
      <c r="O893" s="46" t="s">
        <v>132</v>
      </c>
      <c r="P893" s="46">
        <f t="array" ref="P893">WEEKDAY(B893,2)</f>
        <v>6</v>
      </c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>
      <c r="A894" s="56">
        <v>6.84853637E8</v>
      </c>
      <c r="B894" s="126">
        <v>40954.0</v>
      </c>
      <c r="C894" s="126">
        <v>41002.0</v>
      </c>
      <c r="D894" s="56" t="s">
        <v>95</v>
      </c>
      <c r="E894" s="56" t="s">
        <v>115</v>
      </c>
      <c r="F894" s="56">
        <v>2455.0</v>
      </c>
      <c r="G894" s="56" t="s">
        <v>42</v>
      </c>
      <c r="H894" s="56">
        <v>2265.0</v>
      </c>
      <c r="I894" s="127">
        <v>109.28</v>
      </c>
      <c r="J894" s="127">
        <v>35.84</v>
      </c>
      <c r="K894" s="83">
        <f t="shared" si="1"/>
        <v>247519.2</v>
      </c>
      <c r="L894" s="83">
        <f t="shared" si="2"/>
        <v>81177.6</v>
      </c>
      <c r="M894" s="83">
        <f t="shared" si="3"/>
        <v>166341.6</v>
      </c>
      <c r="N894" s="46" t="str">
        <f>VLOOKUP(F894,products!$A$2:$B$13,2,FALSE)</f>
        <v>Clothes</v>
      </c>
      <c r="O894" s="46" t="s">
        <v>115</v>
      </c>
      <c r="P894" s="46">
        <f t="array" ref="P894">WEEKDAY(B894,2)</f>
        <v>3</v>
      </c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>
      <c r="A895" s="56">
        <v>6.85233008E8</v>
      </c>
      <c r="B895" s="126">
        <v>40812.0</v>
      </c>
      <c r="C895" s="126">
        <v>40833.0</v>
      </c>
      <c r="D895" s="56" t="s">
        <v>10</v>
      </c>
      <c r="E895" s="56" t="s">
        <v>106</v>
      </c>
      <c r="F895" s="56">
        <v>7331.0</v>
      </c>
      <c r="G895" s="56" t="s">
        <v>43</v>
      </c>
      <c r="H895" s="56">
        <v>4529.0</v>
      </c>
      <c r="I895" s="127">
        <v>255.28</v>
      </c>
      <c r="J895" s="127">
        <v>159.42</v>
      </c>
      <c r="K895" s="83">
        <f t="shared" si="1"/>
        <v>1156163.12</v>
      </c>
      <c r="L895" s="83">
        <f t="shared" si="2"/>
        <v>722013.18</v>
      </c>
      <c r="M895" s="83">
        <f t="shared" si="3"/>
        <v>434149.94</v>
      </c>
      <c r="N895" s="46" t="str">
        <f>VLOOKUP(F895,products!$A$2:$B$13,2,FALSE)</f>
        <v>Baby Food</v>
      </c>
      <c r="O895" s="46" t="s">
        <v>106</v>
      </c>
      <c r="P895" s="46">
        <f t="array" ref="P895">WEEKDAY(B895,2)</f>
        <v>1</v>
      </c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>
      <c r="A896" s="56">
        <v>6.8559693E8</v>
      </c>
      <c r="B896" s="126">
        <v>42489.0</v>
      </c>
      <c r="C896" s="126">
        <v>42537.0</v>
      </c>
      <c r="D896" s="56" t="s">
        <v>93</v>
      </c>
      <c r="E896" s="56" t="s">
        <v>94</v>
      </c>
      <c r="F896" s="56">
        <v>2455.0</v>
      </c>
      <c r="G896" s="56" t="s">
        <v>43</v>
      </c>
      <c r="H896" s="56">
        <v>2222.0</v>
      </c>
      <c r="I896" s="127">
        <v>109.28</v>
      </c>
      <c r="J896" s="127">
        <v>35.84</v>
      </c>
      <c r="K896" s="83">
        <f t="shared" si="1"/>
        <v>242820.16</v>
      </c>
      <c r="L896" s="83">
        <f t="shared" si="2"/>
        <v>79636.48</v>
      </c>
      <c r="M896" s="83">
        <f t="shared" si="3"/>
        <v>163183.68</v>
      </c>
      <c r="N896" s="46" t="str">
        <f>VLOOKUP(F896,products!$A$2:$B$13,2,FALSE)</f>
        <v>Clothes</v>
      </c>
      <c r="O896" s="46" t="s">
        <v>94</v>
      </c>
      <c r="P896" s="46">
        <f t="array" ref="P896">WEEKDAY(B896,2)</f>
        <v>5</v>
      </c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>
      <c r="A897" s="56">
        <v>6.87374913E8</v>
      </c>
      <c r="B897" s="126">
        <v>40188.0</v>
      </c>
      <c r="C897" s="126">
        <v>40235.0</v>
      </c>
      <c r="D897" s="56" t="s">
        <v>89</v>
      </c>
      <c r="E897" s="56" t="s">
        <v>138</v>
      </c>
      <c r="F897" s="56">
        <v>2103.0</v>
      </c>
      <c r="G897" s="56" t="s">
        <v>43</v>
      </c>
      <c r="H897" s="56">
        <v>8367.0</v>
      </c>
      <c r="I897" s="127">
        <v>205.7</v>
      </c>
      <c r="J897" s="127">
        <v>117.11</v>
      </c>
      <c r="K897" s="83">
        <f t="shared" si="1"/>
        <v>1721091.9</v>
      </c>
      <c r="L897" s="83">
        <f t="shared" si="2"/>
        <v>979859.37</v>
      </c>
      <c r="M897" s="83">
        <f t="shared" si="3"/>
        <v>741232.53</v>
      </c>
      <c r="N897" s="46" t="str">
        <f>VLOOKUP(F897,products!$A$2:$B$13,2,FALSE)</f>
        <v>Cereal</v>
      </c>
      <c r="O897" s="46" t="s">
        <v>138</v>
      </c>
      <c r="P897" s="46">
        <f t="array" ref="P897">WEEKDAY(B897,2)</f>
        <v>7</v>
      </c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>
      <c r="A898" s="56">
        <v>6.88650786E8</v>
      </c>
      <c r="B898" s="126">
        <v>40352.0</v>
      </c>
      <c r="C898" s="126">
        <v>40397.0</v>
      </c>
      <c r="D898" s="56" t="s">
        <v>95</v>
      </c>
      <c r="E898" s="56" t="s">
        <v>132</v>
      </c>
      <c r="F898" s="56">
        <v>7940.0</v>
      </c>
      <c r="G898" s="56" t="s">
        <v>42</v>
      </c>
      <c r="H898" s="56">
        <v>5926.0</v>
      </c>
      <c r="I898" s="127">
        <v>668.27</v>
      </c>
      <c r="J898" s="127">
        <v>502.54</v>
      </c>
      <c r="K898" s="83">
        <f t="shared" si="1"/>
        <v>3960168.02</v>
      </c>
      <c r="L898" s="83">
        <f t="shared" si="2"/>
        <v>2978052.04</v>
      </c>
      <c r="M898" s="83">
        <f t="shared" si="3"/>
        <v>982115.98</v>
      </c>
      <c r="N898" s="46" t="str">
        <f>VLOOKUP(F898,products!$A$2:$B$13,2,FALSE)</f>
        <v>Household</v>
      </c>
      <c r="O898" s="46" t="s">
        <v>132</v>
      </c>
      <c r="P898" s="46">
        <f t="array" ref="P898">WEEKDAY(B898,2)</f>
        <v>3</v>
      </c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>
      <c r="A899" s="56">
        <v>6.88698422E8</v>
      </c>
      <c r="B899" s="126">
        <v>42806.0</v>
      </c>
      <c r="C899" s="126">
        <v>42826.0</v>
      </c>
      <c r="D899" s="56" t="s">
        <v>95</v>
      </c>
      <c r="E899" s="56" t="s">
        <v>121</v>
      </c>
      <c r="F899" s="56">
        <v>5988.0</v>
      </c>
      <c r="G899" s="56" t="s">
        <v>42</v>
      </c>
      <c r="H899" s="56">
        <v>22.0</v>
      </c>
      <c r="I899" s="127">
        <v>154.06</v>
      </c>
      <c r="J899" s="127">
        <v>90.93</v>
      </c>
      <c r="K899" s="83">
        <f t="shared" si="1"/>
        <v>3389.32</v>
      </c>
      <c r="L899" s="83">
        <f t="shared" si="2"/>
        <v>2000.46</v>
      </c>
      <c r="M899" s="83">
        <f t="shared" si="3"/>
        <v>1388.86</v>
      </c>
      <c r="N899" s="46" t="str">
        <f>VLOOKUP(F899,products!$A$2:$B$13,2,FALSE)</f>
        <v>Vegetables</v>
      </c>
      <c r="O899" s="46" t="s">
        <v>121</v>
      </c>
      <c r="P899" s="46">
        <f t="array" ref="P899">WEEKDAY(B899,2)</f>
        <v>7</v>
      </c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>
      <c r="A900" s="56">
        <v>6.88903129E8</v>
      </c>
      <c r="B900" s="126">
        <v>42886.0</v>
      </c>
      <c r="C900" s="126">
        <v>42918.0</v>
      </c>
      <c r="D900" s="56" t="s">
        <v>89</v>
      </c>
      <c r="E900" s="56" t="s">
        <v>125</v>
      </c>
      <c r="F900" s="56">
        <v>7940.0</v>
      </c>
      <c r="G900" s="56" t="s">
        <v>43</v>
      </c>
      <c r="H900" s="56">
        <v>600.0</v>
      </c>
      <c r="I900" s="127">
        <v>668.27</v>
      </c>
      <c r="J900" s="127">
        <v>502.54</v>
      </c>
      <c r="K900" s="83">
        <f t="shared" si="1"/>
        <v>400962</v>
      </c>
      <c r="L900" s="83">
        <f t="shared" si="2"/>
        <v>301524</v>
      </c>
      <c r="M900" s="83">
        <f t="shared" si="3"/>
        <v>99438</v>
      </c>
      <c r="N900" s="46" t="str">
        <f>VLOOKUP(F900,products!$A$2:$B$13,2,FALSE)</f>
        <v>Household</v>
      </c>
      <c r="O900" s="46" t="s">
        <v>125</v>
      </c>
      <c r="P900" s="46">
        <f t="array" ref="P900">WEEKDAY(B900,2)</f>
        <v>3</v>
      </c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>
      <c r="A901" s="56">
        <v>6.89349019E8</v>
      </c>
      <c r="B901" s="126">
        <v>41435.0</v>
      </c>
      <c r="C901" s="126">
        <v>41478.0</v>
      </c>
      <c r="D901" s="56" t="s">
        <v>95</v>
      </c>
      <c r="E901" s="56" t="s">
        <v>123</v>
      </c>
      <c r="F901" s="56">
        <v>8293.0</v>
      </c>
      <c r="G901" s="56" t="s">
        <v>42</v>
      </c>
      <c r="H901" s="56">
        <v>2548.0</v>
      </c>
      <c r="I901" s="127">
        <v>437.2</v>
      </c>
      <c r="J901" s="127">
        <v>263.33</v>
      </c>
      <c r="K901" s="83">
        <f t="shared" si="1"/>
        <v>1113985.6</v>
      </c>
      <c r="L901" s="83">
        <f t="shared" si="2"/>
        <v>670964.84</v>
      </c>
      <c r="M901" s="83">
        <f t="shared" si="3"/>
        <v>443020.76</v>
      </c>
      <c r="N901" s="46" t="str">
        <f>VLOOKUP(F901,products!$A$2:$B$13,2,FALSE)</f>
        <v>Cosmetics</v>
      </c>
      <c r="O901" s="46" t="s">
        <v>123</v>
      </c>
      <c r="P901" s="46">
        <f t="array" ref="P901">WEEKDAY(B901,2)</f>
        <v>1</v>
      </c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>
      <c r="A902" s="56">
        <v>6.89421546E8</v>
      </c>
      <c r="B902" s="126">
        <v>40188.0</v>
      </c>
      <c r="C902" s="126">
        <v>40209.0</v>
      </c>
      <c r="D902" s="56" t="s">
        <v>95</v>
      </c>
      <c r="E902" s="56" t="s">
        <v>126</v>
      </c>
      <c r="F902" s="56">
        <v>2455.0</v>
      </c>
      <c r="G902" s="56" t="s">
        <v>43</v>
      </c>
      <c r="H902" s="56">
        <v>4011.0</v>
      </c>
      <c r="I902" s="127">
        <v>109.28</v>
      </c>
      <c r="J902" s="127">
        <v>35.84</v>
      </c>
      <c r="K902" s="83">
        <f t="shared" si="1"/>
        <v>438322.08</v>
      </c>
      <c r="L902" s="83">
        <f t="shared" si="2"/>
        <v>143754.24</v>
      </c>
      <c r="M902" s="83">
        <f t="shared" si="3"/>
        <v>294567.84</v>
      </c>
      <c r="N902" s="46" t="str">
        <f>VLOOKUP(F902,products!$A$2:$B$13,2,FALSE)</f>
        <v>Clothes</v>
      </c>
      <c r="O902" s="46" t="s">
        <v>126</v>
      </c>
      <c r="P902" s="46">
        <f t="array" ref="P902">WEEKDAY(B902,2)</f>
        <v>7</v>
      </c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>
      <c r="A903" s="56">
        <v>6.9022063E8</v>
      </c>
      <c r="B903" s="126">
        <v>42678.0</v>
      </c>
      <c r="C903" s="126">
        <v>42693.0</v>
      </c>
      <c r="D903" s="56" t="s">
        <v>10</v>
      </c>
      <c r="E903" s="56" t="s">
        <v>121</v>
      </c>
      <c r="F903" s="56">
        <v>7940.0</v>
      </c>
      <c r="G903" s="56" t="s">
        <v>43</v>
      </c>
      <c r="H903" s="56">
        <v>477.0</v>
      </c>
      <c r="I903" s="127">
        <v>668.27</v>
      </c>
      <c r="J903" s="127">
        <v>502.54</v>
      </c>
      <c r="K903" s="83">
        <f t="shared" si="1"/>
        <v>318764.79</v>
      </c>
      <c r="L903" s="83">
        <f t="shared" si="2"/>
        <v>239711.58</v>
      </c>
      <c r="M903" s="83">
        <f t="shared" si="3"/>
        <v>79053.21</v>
      </c>
      <c r="N903" s="46" t="str">
        <f>VLOOKUP(F903,products!$A$2:$B$13,2,FALSE)</f>
        <v>Household</v>
      </c>
      <c r="O903" s="46" t="s">
        <v>121</v>
      </c>
      <c r="P903" s="46">
        <f t="array" ref="P903">WEEKDAY(B903,2)</f>
        <v>5</v>
      </c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>
      <c r="A904" s="56">
        <v>6.91383635E8</v>
      </c>
      <c r="B904" s="126">
        <v>41315.0</v>
      </c>
      <c r="C904" s="126">
        <v>41352.0</v>
      </c>
      <c r="D904" s="56" t="s">
        <v>89</v>
      </c>
      <c r="E904" s="56" t="s">
        <v>104</v>
      </c>
      <c r="F904" s="56">
        <v>5988.0</v>
      </c>
      <c r="G904" s="56" t="s">
        <v>42</v>
      </c>
      <c r="H904" s="56">
        <v>4637.0</v>
      </c>
      <c r="I904" s="127">
        <v>154.06</v>
      </c>
      <c r="J904" s="127">
        <v>90.93</v>
      </c>
      <c r="K904" s="83">
        <f t="shared" si="1"/>
        <v>714376.22</v>
      </c>
      <c r="L904" s="83">
        <f t="shared" si="2"/>
        <v>421642.41</v>
      </c>
      <c r="M904" s="83">
        <f t="shared" si="3"/>
        <v>292733.81</v>
      </c>
      <c r="N904" s="46" t="str">
        <f>VLOOKUP(F904,products!$A$2:$B$13,2,FALSE)</f>
        <v>Vegetables</v>
      </c>
      <c r="O904" s="46" t="s">
        <v>104</v>
      </c>
      <c r="P904" s="46">
        <f t="array" ref="P904">WEEKDAY(B904,2)</f>
        <v>7</v>
      </c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>
      <c r="A905" s="56">
        <v>6.91760861E8</v>
      </c>
      <c r="B905" s="126">
        <v>42731.0</v>
      </c>
      <c r="C905" s="126">
        <v>42763.0</v>
      </c>
      <c r="D905" s="56" t="s">
        <v>10</v>
      </c>
      <c r="E905" s="56" t="s">
        <v>116</v>
      </c>
      <c r="F905" s="56">
        <v>2455.0</v>
      </c>
      <c r="G905" s="56" t="s">
        <v>42</v>
      </c>
      <c r="H905" s="56">
        <v>6266.0</v>
      </c>
      <c r="I905" s="127">
        <v>109.28</v>
      </c>
      <c r="J905" s="127">
        <v>35.84</v>
      </c>
      <c r="K905" s="83">
        <f t="shared" si="1"/>
        <v>684748.48</v>
      </c>
      <c r="L905" s="83">
        <f t="shared" si="2"/>
        <v>224573.44</v>
      </c>
      <c r="M905" s="83">
        <f t="shared" si="3"/>
        <v>460175.04</v>
      </c>
      <c r="N905" s="46" t="str">
        <f>VLOOKUP(F905,products!$A$2:$B$13,2,FALSE)</f>
        <v>Clothes</v>
      </c>
      <c r="O905" s="46" t="s">
        <v>116</v>
      </c>
      <c r="P905" s="46">
        <f t="array" ref="P905">WEEKDAY(B905,2)</f>
        <v>2</v>
      </c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>
      <c r="A906" s="56">
        <v>6.92555224E8</v>
      </c>
      <c r="B906" s="126">
        <v>42013.0</v>
      </c>
      <c r="C906" s="126">
        <v>42036.0</v>
      </c>
      <c r="D906" s="56" t="s">
        <v>89</v>
      </c>
      <c r="E906" s="56" t="s">
        <v>114</v>
      </c>
      <c r="F906" s="56">
        <v>8875.0</v>
      </c>
      <c r="G906" s="56" t="s">
        <v>43</v>
      </c>
      <c r="H906" s="56">
        <v>1336.0</v>
      </c>
      <c r="I906" s="127">
        <v>421.89</v>
      </c>
      <c r="J906" s="127">
        <v>364.69</v>
      </c>
      <c r="K906" s="83">
        <f t="shared" si="1"/>
        <v>563645.04</v>
      </c>
      <c r="L906" s="83">
        <f t="shared" si="2"/>
        <v>487225.84</v>
      </c>
      <c r="M906" s="83">
        <f t="shared" si="3"/>
        <v>76419.2</v>
      </c>
      <c r="N906" s="46" t="str">
        <f>VLOOKUP(F906,products!$A$2:$B$13,2,FALSE)</f>
        <v>Meat</v>
      </c>
      <c r="O906" s="46" t="s">
        <v>114</v>
      </c>
      <c r="P906" s="46">
        <f t="array" ref="P906">WEEKDAY(B906,2)</f>
        <v>5</v>
      </c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>
      <c r="A907" s="56">
        <v>6.92704999E8</v>
      </c>
      <c r="B907" s="126">
        <v>42727.0</v>
      </c>
      <c r="C907" s="126">
        <v>42759.0</v>
      </c>
      <c r="D907" s="56" t="s">
        <v>10</v>
      </c>
      <c r="E907" s="56" t="s">
        <v>126</v>
      </c>
      <c r="F907" s="56">
        <v>7940.0</v>
      </c>
      <c r="G907" s="56" t="s">
        <v>43</v>
      </c>
      <c r="H907" s="56">
        <v>5657.0</v>
      </c>
      <c r="I907" s="127">
        <v>668.27</v>
      </c>
      <c r="J907" s="127">
        <v>502.54</v>
      </c>
      <c r="K907" s="83">
        <f t="shared" si="1"/>
        <v>3780403.39</v>
      </c>
      <c r="L907" s="83">
        <f t="shared" si="2"/>
        <v>2842868.78</v>
      </c>
      <c r="M907" s="83">
        <f t="shared" si="3"/>
        <v>937534.61</v>
      </c>
      <c r="N907" s="46" t="str">
        <f>VLOOKUP(F907,products!$A$2:$B$13,2,FALSE)</f>
        <v>Household</v>
      </c>
      <c r="O907" s="46" t="s">
        <v>126</v>
      </c>
      <c r="P907" s="46">
        <f t="array" ref="P907">WEEKDAY(B907,2)</f>
        <v>5</v>
      </c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>
      <c r="A908" s="56">
        <v>6.92757356E8</v>
      </c>
      <c r="B908" s="126">
        <v>42857.0</v>
      </c>
      <c r="C908" s="126">
        <v>42867.0</v>
      </c>
      <c r="D908" s="56" t="s">
        <v>95</v>
      </c>
      <c r="E908" s="56" t="s">
        <v>100</v>
      </c>
      <c r="F908" s="56">
        <v>8875.0</v>
      </c>
      <c r="G908" s="56" t="s">
        <v>42</v>
      </c>
      <c r="H908" s="56">
        <v>1151.0</v>
      </c>
      <c r="I908" s="127">
        <v>421.89</v>
      </c>
      <c r="J908" s="127">
        <v>364.69</v>
      </c>
      <c r="K908" s="83">
        <f t="shared" si="1"/>
        <v>485595.39</v>
      </c>
      <c r="L908" s="83">
        <f t="shared" si="2"/>
        <v>419758.19</v>
      </c>
      <c r="M908" s="83">
        <f t="shared" si="3"/>
        <v>65837.2</v>
      </c>
      <c r="N908" s="46" t="str">
        <f>VLOOKUP(F908,products!$A$2:$B$13,2,FALSE)</f>
        <v>Meat</v>
      </c>
      <c r="O908" s="46" t="s">
        <v>100</v>
      </c>
      <c r="P908" s="46">
        <f t="array" ref="P908">WEEKDAY(B908,2)</f>
        <v>2</v>
      </c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>
      <c r="A909" s="56">
        <v>6.92952191E8</v>
      </c>
      <c r="B909" s="126">
        <v>41257.0</v>
      </c>
      <c r="C909" s="126">
        <v>41278.0</v>
      </c>
      <c r="D909" s="56" t="s">
        <v>89</v>
      </c>
      <c r="E909" s="56" t="s">
        <v>103</v>
      </c>
      <c r="F909" s="56">
        <v>8293.0</v>
      </c>
      <c r="G909" s="56" t="s">
        <v>43</v>
      </c>
      <c r="H909" s="56">
        <v>8807.0</v>
      </c>
      <c r="I909" s="127">
        <v>437.2</v>
      </c>
      <c r="J909" s="127">
        <v>263.33</v>
      </c>
      <c r="K909" s="83">
        <f t="shared" si="1"/>
        <v>3850420.4</v>
      </c>
      <c r="L909" s="83">
        <f t="shared" si="2"/>
        <v>2319147.31</v>
      </c>
      <c r="M909" s="83">
        <f t="shared" si="3"/>
        <v>1531273.09</v>
      </c>
      <c r="N909" s="46" t="str">
        <f>VLOOKUP(F909,products!$A$2:$B$13,2,FALSE)</f>
        <v>Cosmetics</v>
      </c>
      <c r="O909" s="46" t="s">
        <v>103</v>
      </c>
      <c r="P909" s="46">
        <f t="array" ref="P909">WEEKDAY(B909,2)</f>
        <v>5</v>
      </c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>
      <c r="A910" s="56">
        <v>6.93210542E8</v>
      </c>
      <c r="B910" s="126">
        <v>41085.0</v>
      </c>
      <c r="C910" s="126">
        <v>41134.0</v>
      </c>
      <c r="D910" s="56" t="s">
        <v>93</v>
      </c>
      <c r="E910" s="56" t="s">
        <v>101</v>
      </c>
      <c r="F910" s="56">
        <v>8875.0</v>
      </c>
      <c r="G910" s="56" t="s">
        <v>43</v>
      </c>
      <c r="H910" s="56">
        <v>5259.0</v>
      </c>
      <c r="I910" s="127">
        <v>421.89</v>
      </c>
      <c r="J910" s="127">
        <v>364.69</v>
      </c>
      <c r="K910" s="83">
        <f t="shared" si="1"/>
        <v>2218719.51</v>
      </c>
      <c r="L910" s="83">
        <f t="shared" si="2"/>
        <v>1917904.71</v>
      </c>
      <c r="M910" s="83">
        <f t="shared" si="3"/>
        <v>300814.8</v>
      </c>
      <c r="N910" s="46" t="str">
        <f>VLOOKUP(F910,products!$A$2:$B$13,2,FALSE)</f>
        <v>Meat</v>
      </c>
      <c r="O910" s="46" t="s">
        <v>101</v>
      </c>
      <c r="P910" s="46">
        <f t="array" ref="P910">WEEKDAY(B910,2)</f>
        <v>1</v>
      </c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>
      <c r="A911" s="56">
        <v>6.93583905E8</v>
      </c>
      <c r="B911" s="126">
        <v>40882.0</v>
      </c>
      <c r="C911" s="126">
        <v>40914.0</v>
      </c>
      <c r="D911" s="56" t="s">
        <v>89</v>
      </c>
      <c r="E911" s="56" t="s">
        <v>114</v>
      </c>
      <c r="F911" s="56">
        <v>8875.0</v>
      </c>
      <c r="G911" s="56" t="s">
        <v>42</v>
      </c>
      <c r="H911" s="56">
        <v>5745.0</v>
      </c>
      <c r="I911" s="127">
        <v>421.89</v>
      </c>
      <c r="J911" s="127">
        <v>364.69</v>
      </c>
      <c r="K911" s="83">
        <f t="shared" si="1"/>
        <v>2423758.05</v>
      </c>
      <c r="L911" s="83">
        <f t="shared" si="2"/>
        <v>2095144.05</v>
      </c>
      <c r="M911" s="83">
        <f t="shared" si="3"/>
        <v>328614</v>
      </c>
      <c r="N911" s="46" t="str">
        <f>VLOOKUP(F911,products!$A$2:$B$13,2,FALSE)</f>
        <v>Meat</v>
      </c>
      <c r="O911" s="46" t="s">
        <v>114</v>
      </c>
      <c r="P911" s="46">
        <f t="array" ref="P911">WEEKDAY(B911,2)</f>
        <v>1</v>
      </c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>
      <c r="A912" s="56">
        <v>6.93831098E8</v>
      </c>
      <c r="B912" s="126">
        <v>42178.0</v>
      </c>
      <c r="C912" s="126">
        <v>42199.0</v>
      </c>
      <c r="D912" s="56" t="s">
        <v>95</v>
      </c>
      <c r="E912" s="56" t="s">
        <v>105</v>
      </c>
      <c r="F912" s="56">
        <v>7331.0</v>
      </c>
      <c r="G912" s="56" t="s">
        <v>42</v>
      </c>
      <c r="H912" s="56">
        <v>8895.0</v>
      </c>
      <c r="I912" s="127">
        <v>255.28</v>
      </c>
      <c r="J912" s="127">
        <v>159.42</v>
      </c>
      <c r="K912" s="83">
        <f t="shared" si="1"/>
        <v>2270715.6</v>
      </c>
      <c r="L912" s="83">
        <f t="shared" si="2"/>
        <v>1418040.9</v>
      </c>
      <c r="M912" s="83">
        <f t="shared" si="3"/>
        <v>852674.7</v>
      </c>
      <c r="N912" s="46" t="str">
        <f>VLOOKUP(F912,products!$A$2:$B$13,2,FALSE)</f>
        <v>Baby Food</v>
      </c>
      <c r="O912" s="46" t="s">
        <v>105</v>
      </c>
      <c r="P912" s="46">
        <f t="array" ref="P912">WEEKDAY(B912,2)</f>
        <v>2</v>
      </c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>
      <c r="A913" s="56">
        <v>6.94771802E8</v>
      </c>
      <c r="B913" s="126">
        <v>41349.0</v>
      </c>
      <c r="C913" s="126">
        <v>41354.0</v>
      </c>
      <c r="D913" s="56" t="s">
        <v>95</v>
      </c>
      <c r="E913" s="56" t="s">
        <v>121</v>
      </c>
      <c r="F913" s="56">
        <v>7331.0</v>
      </c>
      <c r="G913" s="56" t="s">
        <v>42</v>
      </c>
      <c r="H913" s="56">
        <v>7270.0</v>
      </c>
      <c r="I913" s="127">
        <v>255.28</v>
      </c>
      <c r="J913" s="127">
        <v>159.42</v>
      </c>
      <c r="K913" s="83">
        <f t="shared" si="1"/>
        <v>1855885.6</v>
      </c>
      <c r="L913" s="83">
        <f t="shared" si="2"/>
        <v>1158983.4</v>
      </c>
      <c r="M913" s="83">
        <f t="shared" si="3"/>
        <v>696902.2</v>
      </c>
      <c r="N913" s="46" t="str">
        <f>VLOOKUP(F913,products!$A$2:$B$13,2,FALSE)</f>
        <v>Baby Food</v>
      </c>
      <c r="O913" s="46" t="s">
        <v>121</v>
      </c>
      <c r="P913" s="46">
        <f t="array" ref="P913">WEEKDAY(B913,2)</f>
        <v>6</v>
      </c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>
      <c r="A914" s="56">
        <v>6.9491471E8</v>
      </c>
      <c r="B914" s="126">
        <v>40413.0</v>
      </c>
      <c r="C914" s="126">
        <v>40446.0</v>
      </c>
      <c r="D914" s="56" t="s">
        <v>10</v>
      </c>
      <c r="E914" s="56" t="s">
        <v>131</v>
      </c>
      <c r="F914" s="56">
        <v>8293.0</v>
      </c>
      <c r="G914" s="56" t="s">
        <v>42</v>
      </c>
      <c r="H914" s="56">
        <v>9560.0</v>
      </c>
      <c r="I914" s="127">
        <v>437.2</v>
      </c>
      <c r="J914" s="127">
        <v>263.33</v>
      </c>
      <c r="K914" s="83">
        <f t="shared" si="1"/>
        <v>4179632</v>
      </c>
      <c r="L914" s="83">
        <f t="shared" si="2"/>
        <v>2517434.8</v>
      </c>
      <c r="M914" s="83">
        <f t="shared" si="3"/>
        <v>1662197.2</v>
      </c>
      <c r="N914" s="46" t="str">
        <f>VLOOKUP(F914,products!$A$2:$B$13,2,FALSE)</f>
        <v>Cosmetics</v>
      </c>
      <c r="O914" s="46" t="s">
        <v>131</v>
      </c>
      <c r="P914" s="46">
        <f t="array" ref="P914">WEEKDAY(B914,2)</f>
        <v>1</v>
      </c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>
      <c r="A915" s="56">
        <v>6.95059764E8</v>
      </c>
      <c r="B915" s="126">
        <v>40684.0</v>
      </c>
      <c r="C915" s="126">
        <v>40723.0</v>
      </c>
      <c r="D915" s="56" t="s">
        <v>10</v>
      </c>
      <c r="E915" s="56" t="s">
        <v>109</v>
      </c>
      <c r="F915" s="56">
        <v>8293.0</v>
      </c>
      <c r="G915" s="56" t="s">
        <v>42</v>
      </c>
      <c r="H915" s="56">
        <v>2485.0</v>
      </c>
      <c r="I915" s="127">
        <v>437.2</v>
      </c>
      <c r="J915" s="127">
        <v>263.33</v>
      </c>
      <c r="K915" s="83">
        <f t="shared" si="1"/>
        <v>1086442</v>
      </c>
      <c r="L915" s="83">
        <f t="shared" si="2"/>
        <v>654375.05</v>
      </c>
      <c r="M915" s="83">
        <f t="shared" si="3"/>
        <v>432066.95</v>
      </c>
      <c r="N915" s="46" t="str">
        <f>VLOOKUP(F915,products!$A$2:$B$13,2,FALSE)</f>
        <v>Cosmetics</v>
      </c>
      <c r="O915" s="46" t="s">
        <v>109</v>
      </c>
      <c r="P915" s="46">
        <f t="array" ref="P915">WEEKDAY(B915,2)</f>
        <v>6</v>
      </c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>
      <c r="A916" s="56">
        <v>6.96197879E8</v>
      </c>
      <c r="B916" s="126">
        <v>40256.0</v>
      </c>
      <c r="C916" s="126">
        <v>40263.0</v>
      </c>
      <c r="D916" s="56" t="s">
        <v>95</v>
      </c>
      <c r="E916" s="56" t="s">
        <v>128</v>
      </c>
      <c r="F916" s="56">
        <v>2103.0</v>
      </c>
      <c r="G916" s="56" t="s">
        <v>43</v>
      </c>
      <c r="H916" s="56">
        <v>9278.0</v>
      </c>
      <c r="I916" s="127">
        <v>205.7</v>
      </c>
      <c r="J916" s="127">
        <v>117.11</v>
      </c>
      <c r="K916" s="83">
        <f t="shared" si="1"/>
        <v>1908484.6</v>
      </c>
      <c r="L916" s="83">
        <f t="shared" si="2"/>
        <v>1086546.58</v>
      </c>
      <c r="M916" s="83">
        <f t="shared" si="3"/>
        <v>821938.02</v>
      </c>
      <c r="N916" s="46" t="str">
        <f>VLOOKUP(F916,products!$A$2:$B$13,2,FALSE)</f>
        <v>Cereal</v>
      </c>
      <c r="O916" s="46" t="s">
        <v>128</v>
      </c>
      <c r="P916" s="46">
        <f t="array" ref="P916">WEEKDAY(B916,2)</f>
        <v>5</v>
      </c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>
      <c r="A917" s="56">
        <v>6.96839892E8</v>
      </c>
      <c r="B917" s="126">
        <v>42355.0</v>
      </c>
      <c r="C917" s="126">
        <v>42371.0</v>
      </c>
      <c r="D917" s="56" t="s">
        <v>10</v>
      </c>
      <c r="E917" s="56" t="s">
        <v>119</v>
      </c>
      <c r="F917" s="56">
        <v>8681.0</v>
      </c>
      <c r="G917" s="56" t="s">
        <v>42</v>
      </c>
      <c r="H917" s="56">
        <v>9264.0</v>
      </c>
      <c r="I917" s="127">
        <v>651.21</v>
      </c>
      <c r="J917" s="127">
        <v>524.96</v>
      </c>
      <c r="K917" s="83">
        <f t="shared" si="1"/>
        <v>6032809.44</v>
      </c>
      <c r="L917" s="83">
        <f t="shared" si="2"/>
        <v>4863229.44</v>
      </c>
      <c r="M917" s="83">
        <f t="shared" si="3"/>
        <v>1169580</v>
      </c>
      <c r="N917" s="46" t="str">
        <f>VLOOKUP(F917,products!$A$2:$B$13,2,FALSE)</f>
        <v>Office Supplies</v>
      </c>
      <c r="O917" s="46" t="s">
        <v>119</v>
      </c>
      <c r="P917" s="46">
        <f t="array" ref="P917">WEEKDAY(B917,2)</f>
        <v>4</v>
      </c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>
      <c r="A918" s="56">
        <v>6.96844613E8</v>
      </c>
      <c r="B918" s="126">
        <v>42797.0</v>
      </c>
      <c r="C918" s="126">
        <v>42816.0</v>
      </c>
      <c r="D918" s="56" t="s">
        <v>89</v>
      </c>
      <c r="E918" s="56" t="s">
        <v>90</v>
      </c>
      <c r="F918" s="56">
        <v>8875.0</v>
      </c>
      <c r="G918" s="56" t="s">
        <v>43</v>
      </c>
      <c r="H918" s="56">
        <v>661.0</v>
      </c>
      <c r="I918" s="127">
        <v>421.89</v>
      </c>
      <c r="J918" s="127">
        <v>364.69</v>
      </c>
      <c r="K918" s="83">
        <f t="shared" si="1"/>
        <v>278869.29</v>
      </c>
      <c r="L918" s="83">
        <f t="shared" si="2"/>
        <v>241060.09</v>
      </c>
      <c r="M918" s="83">
        <f t="shared" si="3"/>
        <v>37809.2</v>
      </c>
      <c r="N918" s="46" t="str">
        <f>VLOOKUP(F918,products!$A$2:$B$13,2,FALSE)</f>
        <v>Meat</v>
      </c>
      <c r="O918" s="46" t="s">
        <v>90</v>
      </c>
      <c r="P918" s="46">
        <f t="array" ref="P918">WEEKDAY(B918,2)</f>
        <v>5</v>
      </c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>
      <c r="A919" s="56">
        <v>6.97617518E8</v>
      </c>
      <c r="B919" s="126">
        <v>41073.0</v>
      </c>
      <c r="C919" s="126">
        <v>41097.0</v>
      </c>
      <c r="D919" s="56" t="s">
        <v>89</v>
      </c>
      <c r="E919" s="56" t="e">
        <v>#N/A</v>
      </c>
      <c r="F919" s="56">
        <v>8875.0</v>
      </c>
      <c r="G919" s="56" t="s">
        <v>42</v>
      </c>
      <c r="H919" s="56">
        <v>9381.0</v>
      </c>
      <c r="I919" s="127">
        <v>421.89</v>
      </c>
      <c r="J919" s="127">
        <v>364.69</v>
      </c>
      <c r="K919" s="83">
        <f t="shared" si="1"/>
        <v>3957750.09</v>
      </c>
      <c r="L919" s="83">
        <f t="shared" si="2"/>
        <v>3421156.89</v>
      </c>
      <c r="M919" s="83">
        <f t="shared" si="3"/>
        <v>536593.2</v>
      </c>
      <c r="N919" s="46" t="str">
        <f>VLOOKUP(F919,products!$A$2:$B$13,2,FALSE)</f>
        <v>Meat</v>
      </c>
      <c r="O919" s="46" t="s">
        <v>92</v>
      </c>
      <c r="P919" s="46">
        <f t="array" ref="P919">WEEKDAY(B919,2)</f>
        <v>3</v>
      </c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>
      <c r="A920" s="56">
        <v>6.97638976E8</v>
      </c>
      <c r="B920" s="126">
        <v>42079.0</v>
      </c>
      <c r="C920" s="126">
        <v>42089.0</v>
      </c>
      <c r="D920" s="56" t="s">
        <v>93</v>
      </c>
      <c r="E920" s="56" t="s">
        <v>91</v>
      </c>
      <c r="F920" s="56">
        <v>5988.0</v>
      </c>
      <c r="G920" s="56" t="s">
        <v>42</v>
      </c>
      <c r="H920" s="56">
        <v>5731.0</v>
      </c>
      <c r="I920" s="127">
        <v>154.06</v>
      </c>
      <c r="J920" s="127">
        <v>90.93</v>
      </c>
      <c r="K920" s="83">
        <f t="shared" si="1"/>
        <v>882917.86</v>
      </c>
      <c r="L920" s="83">
        <f t="shared" si="2"/>
        <v>521119.83</v>
      </c>
      <c r="M920" s="83">
        <f t="shared" si="3"/>
        <v>361798.03</v>
      </c>
      <c r="N920" s="46" t="str">
        <f>VLOOKUP(F920,products!$A$2:$B$13,2,FALSE)</f>
        <v>Vegetables</v>
      </c>
      <c r="O920" s="46" t="s">
        <v>91</v>
      </c>
      <c r="P920" s="46">
        <f t="array" ref="P920">WEEKDAY(B920,2)</f>
        <v>1</v>
      </c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>
      <c r="A921" s="56">
        <v>7.00069701E8</v>
      </c>
      <c r="B921" s="126">
        <v>42379.0</v>
      </c>
      <c r="C921" s="126">
        <v>42390.0</v>
      </c>
      <c r="D921" s="56" t="s">
        <v>93</v>
      </c>
      <c r="E921" s="56" t="e">
        <v>#N/A</v>
      </c>
      <c r="F921" s="56">
        <v>5988.0</v>
      </c>
      <c r="G921" s="56" t="s">
        <v>42</v>
      </c>
      <c r="H921" s="56">
        <v>5037.0</v>
      </c>
      <c r="I921" s="127">
        <v>154.06</v>
      </c>
      <c r="J921" s="127">
        <v>90.93</v>
      </c>
      <c r="K921" s="83">
        <f t="shared" si="1"/>
        <v>776000.22</v>
      </c>
      <c r="L921" s="83">
        <f t="shared" si="2"/>
        <v>458014.41</v>
      </c>
      <c r="M921" s="83">
        <f t="shared" si="3"/>
        <v>317985.81</v>
      </c>
      <c r="N921" s="46" t="str">
        <f>VLOOKUP(F921,products!$A$2:$B$13,2,FALSE)</f>
        <v>Vegetables</v>
      </c>
      <c r="O921" s="46" t="s">
        <v>92</v>
      </c>
      <c r="P921" s="46">
        <f t="array" ref="P921">WEEKDAY(B921,2)</f>
        <v>7</v>
      </c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>
      <c r="A922" s="56">
        <v>7.00304019E8</v>
      </c>
      <c r="B922" s="126">
        <v>41966.0</v>
      </c>
      <c r="C922" s="126">
        <v>41994.0</v>
      </c>
      <c r="D922" s="56" t="s">
        <v>89</v>
      </c>
      <c r="E922" s="56" t="s">
        <v>104</v>
      </c>
      <c r="F922" s="56">
        <v>3127.0</v>
      </c>
      <c r="G922" s="56" t="s">
        <v>42</v>
      </c>
      <c r="H922" s="56">
        <v>4376.0</v>
      </c>
      <c r="I922" s="127">
        <v>81.73</v>
      </c>
      <c r="J922" s="127">
        <v>56.67</v>
      </c>
      <c r="K922" s="83">
        <f t="shared" si="1"/>
        <v>357650.48</v>
      </c>
      <c r="L922" s="83">
        <f t="shared" si="2"/>
        <v>247987.92</v>
      </c>
      <c r="M922" s="83">
        <f t="shared" si="3"/>
        <v>109662.56</v>
      </c>
      <c r="N922" s="46" t="str">
        <f>VLOOKUP(F922,products!$A$2:$B$13,2,FALSE)</f>
        <v>Personal Care</v>
      </c>
      <c r="O922" s="46" t="s">
        <v>104</v>
      </c>
      <c r="P922" s="46">
        <f t="array" ref="P922">WEEKDAY(B922,2)</f>
        <v>7</v>
      </c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>
      <c r="A923" s="56">
        <v>7.01298367E8</v>
      </c>
      <c r="B923" s="126">
        <v>40885.0</v>
      </c>
      <c r="C923" s="126">
        <v>40914.0</v>
      </c>
      <c r="D923" s="56" t="s">
        <v>89</v>
      </c>
      <c r="E923" s="56" t="s">
        <v>138</v>
      </c>
      <c r="F923" s="56">
        <v>3127.0</v>
      </c>
      <c r="G923" s="56" t="s">
        <v>42</v>
      </c>
      <c r="H923" s="56">
        <v>8626.0</v>
      </c>
      <c r="I923" s="127">
        <v>81.73</v>
      </c>
      <c r="J923" s="127">
        <v>56.67</v>
      </c>
      <c r="K923" s="83">
        <f t="shared" si="1"/>
        <v>705002.98</v>
      </c>
      <c r="L923" s="83">
        <f t="shared" si="2"/>
        <v>488835.42</v>
      </c>
      <c r="M923" s="83">
        <f t="shared" si="3"/>
        <v>216167.56</v>
      </c>
      <c r="N923" s="46" t="str">
        <f>VLOOKUP(F923,products!$A$2:$B$13,2,FALSE)</f>
        <v>Personal Care</v>
      </c>
      <c r="O923" s="46" t="s">
        <v>138</v>
      </c>
      <c r="P923" s="46">
        <f t="array" ref="P923">WEEKDAY(B923,2)</f>
        <v>4</v>
      </c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>
      <c r="A924" s="56">
        <v>7.02357947E8</v>
      </c>
      <c r="B924" s="126">
        <v>41644.0</v>
      </c>
      <c r="C924" s="126">
        <v>41674.0</v>
      </c>
      <c r="D924" s="56" t="s">
        <v>93</v>
      </c>
      <c r="E924" s="56" t="s">
        <v>127</v>
      </c>
      <c r="F924" s="56">
        <v>3127.0</v>
      </c>
      <c r="G924" s="56" t="s">
        <v>42</v>
      </c>
      <c r="H924" s="56">
        <v>2179.0</v>
      </c>
      <c r="I924" s="127">
        <v>81.73</v>
      </c>
      <c r="J924" s="127">
        <v>56.67</v>
      </c>
      <c r="K924" s="83">
        <f t="shared" si="1"/>
        <v>178089.67</v>
      </c>
      <c r="L924" s="83">
        <f t="shared" si="2"/>
        <v>123483.93</v>
      </c>
      <c r="M924" s="83">
        <f t="shared" si="3"/>
        <v>54605.74</v>
      </c>
      <c r="N924" s="46" t="str">
        <f>VLOOKUP(F924,products!$A$2:$B$13,2,FALSE)</f>
        <v>Personal Care</v>
      </c>
      <c r="O924" s="46" t="s">
        <v>127</v>
      </c>
      <c r="P924" s="46">
        <f t="array" ref="P924">WEEKDAY(B924,2)</f>
        <v>7</v>
      </c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>
      <c r="A925" s="56">
        <v>7.02815854E8</v>
      </c>
      <c r="B925" s="126">
        <v>40314.0</v>
      </c>
      <c r="C925" s="126">
        <v>40335.0</v>
      </c>
      <c r="D925" s="56" t="s">
        <v>93</v>
      </c>
      <c r="E925" s="56" t="s">
        <v>135</v>
      </c>
      <c r="F925" s="56">
        <v>7940.0</v>
      </c>
      <c r="G925" s="56" t="s">
        <v>43</v>
      </c>
      <c r="H925" s="56">
        <v>7684.0</v>
      </c>
      <c r="I925" s="127">
        <v>668.27</v>
      </c>
      <c r="J925" s="127">
        <v>502.54</v>
      </c>
      <c r="K925" s="83">
        <f t="shared" si="1"/>
        <v>5134986.68</v>
      </c>
      <c r="L925" s="83">
        <f t="shared" si="2"/>
        <v>3861517.36</v>
      </c>
      <c r="M925" s="83">
        <f t="shared" si="3"/>
        <v>1273469.32</v>
      </c>
      <c r="N925" s="46" t="str">
        <f>VLOOKUP(F925,products!$A$2:$B$13,2,FALSE)</f>
        <v>Household</v>
      </c>
      <c r="O925" s="46" t="s">
        <v>135</v>
      </c>
      <c r="P925" s="46">
        <f t="array" ref="P925">WEEKDAY(B925,2)</f>
        <v>7</v>
      </c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>
      <c r="A926" s="56">
        <v>7.03966844E8</v>
      </c>
      <c r="B926" s="126">
        <v>41596.0</v>
      </c>
      <c r="C926" s="126">
        <v>41608.0</v>
      </c>
      <c r="D926" s="56" t="s">
        <v>10</v>
      </c>
      <c r="E926" s="56" t="s">
        <v>91</v>
      </c>
      <c r="F926" s="56">
        <v>8969.0</v>
      </c>
      <c r="G926" s="56" t="s">
        <v>42</v>
      </c>
      <c r="H926" s="56">
        <v>8288.0</v>
      </c>
      <c r="I926" s="127">
        <v>152.58</v>
      </c>
      <c r="J926" s="127">
        <v>97.44</v>
      </c>
      <c r="K926" s="83">
        <f t="shared" si="1"/>
        <v>1264583.04</v>
      </c>
      <c r="L926" s="83">
        <f t="shared" si="2"/>
        <v>807582.72</v>
      </c>
      <c r="M926" s="83">
        <f t="shared" si="3"/>
        <v>457000.32</v>
      </c>
      <c r="N926" s="46" t="str">
        <f>VLOOKUP(F926,products!$A$2:$B$13,2,FALSE)</f>
        <v>Snacks</v>
      </c>
      <c r="O926" s="46" t="s">
        <v>91</v>
      </c>
      <c r="P926" s="46">
        <f t="array" ref="P926">WEEKDAY(B926,2)</f>
        <v>1</v>
      </c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>
      <c r="A927" s="56">
        <v>7.04139363E8</v>
      </c>
      <c r="B927" s="126">
        <v>42933.0</v>
      </c>
      <c r="C927" s="126">
        <v>42978.0</v>
      </c>
      <c r="D927" s="56" t="s">
        <v>89</v>
      </c>
      <c r="E927" s="56" t="s">
        <v>119</v>
      </c>
      <c r="F927" s="56">
        <v>1270.0</v>
      </c>
      <c r="G927" s="56" t="s">
        <v>42</v>
      </c>
      <c r="H927" s="56">
        <v>9340.0</v>
      </c>
      <c r="I927" s="127">
        <v>47.45</v>
      </c>
      <c r="J927" s="127">
        <v>31.79</v>
      </c>
      <c r="K927" s="83">
        <f t="shared" si="1"/>
        <v>443183</v>
      </c>
      <c r="L927" s="83">
        <f t="shared" si="2"/>
        <v>296918.6</v>
      </c>
      <c r="M927" s="83">
        <f t="shared" si="3"/>
        <v>146264.4</v>
      </c>
      <c r="N927" s="46" t="str">
        <f>VLOOKUP(F927,products!$A$2:$B$13,2,FALSE)</f>
        <v>Beverages</v>
      </c>
      <c r="O927" s="46" t="s">
        <v>119</v>
      </c>
      <c r="P927" s="46">
        <f t="array" ref="P927">WEEKDAY(B927,2)</f>
        <v>1</v>
      </c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>
      <c r="A928" s="56">
        <v>7.04233348E8</v>
      </c>
      <c r="B928" s="126">
        <v>42691.0</v>
      </c>
      <c r="C928" s="126">
        <v>42700.0</v>
      </c>
      <c r="D928" s="56" t="s">
        <v>93</v>
      </c>
      <c r="E928" s="56" t="s">
        <v>126</v>
      </c>
      <c r="F928" s="56">
        <v>4594.0</v>
      </c>
      <c r="G928" s="56" t="s">
        <v>42</v>
      </c>
      <c r="H928" s="56">
        <v>7152.0</v>
      </c>
      <c r="I928" s="127">
        <v>9.33</v>
      </c>
      <c r="J928" s="127">
        <v>6.92</v>
      </c>
      <c r="K928" s="83">
        <f t="shared" si="1"/>
        <v>66728.16</v>
      </c>
      <c r="L928" s="83">
        <f t="shared" si="2"/>
        <v>49491.84</v>
      </c>
      <c r="M928" s="83">
        <f t="shared" si="3"/>
        <v>17236.32</v>
      </c>
      <c r="N928" s="46" t="str">
        <f>VLOOKUP(F928,products!$A$2:$B$13,2,FALSE)</f>
        <v>Fruits</v>
      </c>
      <c r="O928" s="46" t="s">
        <v>126</v>
      </c>
      <c r="P928" s="46">
        <f t="array" ref="P928">WEEKDAY(B928,2)</f>
        <v>4</v>
      </c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>
      <c r="A929" s="56">
        <v>7.04361665E8</v>
      </c>
      <c r="B929" s="126">
        <v>42399.0</v>
      </c>
      <c r="C929" s="126">
        <v>42430.0</v>
      </c>
      <c r="D929" s="56" t="s">
        <v>10</v>
      </c>
      <c r="E929" s="56" t="s">
        <v>96</v>
      </c>
      <c r="F929" s="56">
        <v>7940.0</v>
      </c>
      <c r="G929" s="56" t="s">
        <v>43</v>
      </c>
      <c r="H929" s="56">
        <v>5124.0</v>
      </c>
      <c r="I929" s="127">
        <v>668.27</v>
      </c>
      <c r="J929" s="127">
        <v>502.54</v>
      </c>
      <c r="K929" s="83">
        <f t="shared" si="1"/>
        <v>3424215.48</v>
      </c>
      <c r="L929" s="83">
        <f t="shared" si="2"/>
        <v>2575014.96</v>
      </c>
      <c r="M929" s="83">
        <f t="shared" si="3"/>
        <v>849200.52</v>
      </c>
      <c r="N929" s="46" t="str">
        <f>VLOOKUP(F929,products!$A$2:$B$13,2,FALSE)</f>
        <v>Household</v>
      </c>
      <c r="O929" s="46" t="s">
        <v>96</v>
      </c>
      <c r="P929" s="46">
        <f t="array" ref="P929">WEEKDAY(B929,2)</f>
        <v>6</v>
      </c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>
      <c r="A930" s="56">
        <v>7.06176555E8</v>
      </c>
      <c r="B930" s="126">
        <v>42048.0</v>
      </c>
      <c r="C930" s="126">
        <v>42061.0</v>
      </c>
      <c r="D930" s="56" t="s">
        <v>10</v>
      </c>
      <c r="E930" s="56" t="s">
        <v>137</v>
      </c>
      <c r="F930" s="56">
        <v>5988.0</v>
      </c>
      <c r="G930" s="56" t="s">
        <v>42</v>
      </c>
      <c r="H930" s="56">
        <v>2190.0</v>
      </c>
      <c r="I930" s="127">
        <v>154.06</v>
      </c>
      <c r="J930" s="127">
        <v>90.93</v>
      </c>
      <c r="K930" s="83">
        <f t="shared" si="1"/>
        <v>337391.4</v>
      </c>
      <c r="L930" s="83">
        <f t="shared" si="2"/>
        <v>199136.7</v>
      </c>
      <c r="M930" s="83">
        <f t="shared" si="3"/>
        <v>138254.7</v>
      </c>
      <c r="N930" s="46" t="str">
        <f>VLOOKUP(F930,products!$A$2:$B$13,2,FALSE)</f>
        <v>Vegetables</v>
      </c>
      <c r="O930" s="46" t="s">
        <v>137</v>
      </c>
      <c r="P930" s="46">
        <f t="array" ref="P930">WEEKDAY(B930,2)</f>
        <v>5</v>
      </c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>
      <c r="A931" s="56">
        <v>7.06301438E8</v>
      </c>
      <c r="B931" s="126">
        <v>40931.0</v>
      </c>
      <c r="C931" s="126">
        <v>40950.0</v>
      </c>
      <c r="D931" s="56" t="s">
        <v>89</v>
      </c>
      <c r="E931" s="56" t="s">
        <v>138</v>
      </c>
      <c r="F931" s="56">
        <v>7940.0</v>
      </c>
      <c r="G931" s="56" t="s">
        <v>42</v>
      </c>
      <c r="H931" s="56">
        <v>9146.0</v>
      </c>
      <c r="I931" s="127">
        <v>668.27</v>
      </c>
      <c r="J931" s="127">
        <v>502.54</v>
      </c>
      <c r="K931" s="83">
        <f t="shared" si="1"/>
        <v>6111997.42</v>
      </c>
      <c r="L931" s="83">
        <f t="shared" si="2"/>
        <v>4596230.84</v>
      </c>
      <c r="M931" s="83">
        <f t="shared" si="3"/>
        <v>1515766.58</v>
      </c>
      <c r="N931" s="46" t="str">
        <f>VLOOKUP(F931,products!$A$2:$B$13,2,FALSE)</f>
        <v>Household</v>
      </c>
      <c r="O931" s="46" t="s">
        <v>138</v>
      </c>
      <c r="P931" s="46">
        <f t="array" ref="P931">WEEKDAY(B931,2)</f>
        <v>1</v>
      </c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>
      <c r="A932" s="56">
        <v>7.07661855E8</v>
      </c>
      <c r="B932" s="126">
        <v>42735.0</v>
      </c>
      <c r="C932" s="126">
        <v>42761.0</v>
      </c>
      <c r="D932" s="56" t="s">
        <v>89</v>
      </c>
      <c r="E932" s="56" t="s">
        <v>107</v>
      </c>
      <c r="F932" s="56">
        <v>4594.0</v>
      </c>
      <c r="G932" s="56" t="s">
        <v>42</v>
      </c>
      <c r="H932" s="56">
        <v>1723.0</v>
      </c>
      <c r="I932" s="127">
        <v>9.33</v>
      </c>
      <c r="J932" s="127">
        <v>6.92</v>
      </c>
      <c r="K932" s="83">
        <f t="shared" si="1"/>
        <v>16075.59</v>
      </c>
      <c r="L932" s="83">
        <f t="shared" si="2"/>
        <v>11923.16</v>
      </c>
      <c r="M932" s="83">
        <f t="shared" si="3"/>
        <v>4152.43</v>
      </c>
      <c r="N932" s="46" t="str">
        <f>VLOOKUP(F932,products!$A$2:$B$13,2,FALSE)</f>
        <v>Fruits</v>
      </c>
      <c r="O932" s="46" t="s">
        <v>107</v>
      </c>
      <c r="P932" s="46">
        <f t="array" ref="P932">WEEKDAY(B932,2)</f>
        <v>6</v>
      </c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>
      <c r="A933" s="56">
        <v>7.07718932E8</v>
      </c>
      <c r="B933" s="126">
        <v>40542.0</v>
      </c>
      <c r="C933" s="126">
        <v>40549.0</v>
      </c>
      <c r="D933" s="56" t="s">
        <v>89</v>
      </c>
      <c r="E933" s="56" t="s">
        <v>119</v>
      </c>
      <c r="F933" s="56">
        <v>4594.0</v>
      </c>
      <c r="G933" s="56" t="s">
        <v>43</v>
      </c>
      <c r="H933" s="56">
        <v>8614.0</v>
      </c>
      <c r="I933" s="127">
        <v>9.33</v>
      </c>
      <c r="J933" s="127">
        <v>6.92</v>
      </c>
      <c r="K933" s="83">
        <f t="shared" si="1"/>
        <v>80368.62</v>
      </c>
      <c r="L933" s="83">
        <f t="shared" si="2"/>
        <v>59608.88</v>
      </c>
      <c r="M933" s="83">
        <f t="shared" si="3"/>
        <v>20759.74</v>
      </c>
      <c r="N933" s="46" t="str">
        <f>VLOOKUP(F933,products!$A$2:$B$13,2,FALSE)</f>
        <v>Fruits</v>
      </c>
      <c r="O933" s="46" t="s">
        <v>119</v>
      </c>
      <c r="P933" s="46">
        <f t="array" ref="P933">WEEKDAY(B933,2)</f>
        <v>4</v>
      </c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>
      <c r="A934" s="56">
        <v>7.08320605E8</v>
      </c>
      <c r="B934" s="126">
        <v>42631.0</v>
      </c>
      <c r="C934" s="126">
        <v>42648.0</v>
      </c>
      <c r="D934" s="56" t="s">
        <v>93</v>
      </c>
      <c r="E934" s="56" t="s">
        <v>120</v>
      </c>
      <c r="F934" s="56">
        <v>4594.0</v>
      </c>
      <c r="G934" s="56" t="s">
        <v>42</v>
      </c>
      <c r="H934" s="56">
        <v>6662.0</v>
      </c>
      <c r="I934" s="127">
        <v>9.33</v>
      </c>
      <c r="J934" s="127">
        <v>6.92</v>
      </c>
      <c r="K934" s="83">
        <f t="shared" si="1"/>
        <v>62156.46</v>
      </c>
      <c r="L934" s="83">
        <f t="shared" si="2"/>
        <v>46101.04</v>
      </c>
      <c r="M934" s="83">
        <f t="shared" si="3"/>
        <v>16055.42</v>
      </c>
      <c r="N934" s="46" t="str">
        <f>VLOOKUP(F934,products!$A$2:$B$13,2,FALSE)</f>
        <v>Fruits</v>
      </c>
      <c r="O934" s="46" t="s">
        <v>120</v>
      </c>
      <c r="P934" s="46">
        <f t="array" ref="P934">WEEKDAY(B934,2)</f>
        <v>7</v>
      </c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>
      <c r="A935" s="56">
        <v>7.09071195E8</v>
      </c>
      <c r="B935" s="126">
        <v>41078.0</v>
      </c>
      <c r="C935" s="126">
        <v>41123.0</v>
      </c>
      <c r="D935" s="56" t="s">
        <v>10</v>
      </c>
      <c r="E935" s="56" t="s">
        <v>108</v>
      </c>
      <c r="F935" s="56">
        <v>7940.0</v>
      </c>
      <c r="G935" s="56" t="s">
        <v>43</v>
      </c>
      <c r="H935" s="56">
        <v>8778.0</v>
      </c>
      <c r="I935" s="127">
        <v>668.27</v>
      </c>
      <c r="J935" s="127">
        <v>502.54</v>
      </c>
      <c r="K935" s="83">
        <f t="shared" si="1"/>
        <v>5866074.06</v>
      </c>
      <c r="L935" s="83">
        <f t="shared" si="2"/>
        <v>4411296.12</v>
      </c>
      <c r="M935" s="83">
        <f t="shared" si="3"/>
        <v>1454777.94</v>
      </c>
      <c r="N935" s="46" t="str">
        <f>VLOOKUP(F935,products!$A$2:$B$13,2,FALSE)</f>
        <v>Household</v>
      </c>
      <c r="O935" s="46" t="s">
        <v>108</v>
      </c>
      <c r="P935" s="46">
        <f t="array" ref="P935">WEEKDAY(B935,2)</f>
        <v>1</v>
      </c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>
      <c r="A936" s="56">
        <v>7.09105527E8</v>
      </c>
      <c r="B936" s="126">
        <v>41028.0</v>
      </c>
      <c r="C936" s="126">
        <v>41030.0</v>
      </c>
      <c r="D936" s="56" t="s">
        <v>10</v>
      </c>
      <c r="E936" s="56" t="s">
        <v>90</v>
      </c>
      <c r="F936" s="56">
        <v>2455.0</v>
      </c>
      <c r="G936" s="56" t="s">
        <v>43</v>
      </c>
      <c r="H936" s="56">
        <v>8938.0</v>
      </c>
      <c r="I936" s="127">
        <v>109.28</v>
      </c>
      <c r="J936" s="127">
        <v>35.84</v>
      </c>
      <c r="K936" s="83">
        <f t="shared" si="1"/>
        <v>976744.64</v>
      </c>
      <c r="L936" s="83">
        <f t="shared" si="2"/>
        <v>320337.92</v>
      </c>
      <c r="M936" s="83">
        <f t="shared" si="3"/>
        <v>656406.72</v>
      </c>
      <c r="N936" s="46" t="str">
        <f>VLOOKUP(F936,products!$A$2:$B$13,2,FALSE)</f>
        <v>Clothes</v>
      </c>
      <c r="O936" s="46" t="s">
        <v>90</v>
      </c>
      <c r="P936" s="46">
        <f t="array" ref="P936">WEEKDAY(B936,2)</f>
        <v>7</v>
      </c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>
      <c r="A937" s="56">
        <v>7.09276759E8</v>
      </c>
      <c r="B937" s="126">
        <v>42747.0</v>
      </c>
      <c r="C937" s="126">
        <v>42795.0</v>
      </c>
      <c r="D937" s="56" t="s">
        <v>93</v>
      </c>
      <c r="E937" s="56" t="s">
        <v>105</v>
      </c>
      <c r="F937" s="56">
        <v>2455.0</v>
      </c>
      <c r="G937" s="56" t="s">
        <v>42</v>
      </c>
      <c r="H937" s="56">
        <v>9610.0</v>
      </c>
      <c r="I937" s="127">
        <v>109.28</v>
      </c>
      <c r="J937" s="127">
        <v>35.84</v>
      </c>
      <c r="K937" s="83">
        <f t="shared" si="1"/>
        <v>1050180.8</v>
      </c>
      <c r="L937" s="83">
        <f t="shared" si="2"/>
        <v>344422.4</v>
      </c>
      <c r="M937" s="83">
        <f t="shared" si="3"/>
        <v>705758.4</v>
      </c>
      <c r="N937" s="46" t="str">
        <f>VLOOKUP(F937,products!$A$2:$B$13,2,FALSE)</f>
        <v>Clothes</v>
      </c>
      <c r="O937" s="46" t="s">
        <v>105</v>
      </c>
      <c r="P937" s="46">
        <f t="array" ref="P937">WEEKDAY(B937,2)</f>
        <v>4</v>
      </c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>
      <c r="A938" s="56">
        <v>7.12595832E8</v>
      </c>
      <c r="B938" s="126">
        <v>42087.0</v>
      </c>
      <c r="C938" s="126">
        <v>42091.0</v>
      </c>
      <c r="D938" s="56" t="s">
        <v>95</v>
      </c>
      <c r="E938" s="56" t="s">
        <v>113</v>
      </c>
      <c r="F938" s="56">
        <v>1270.0</v>
      </c>
      <c r="G938" s="56" t="s">
        <v>43</v>
      </c>
      <c r="H938" s="56">
        <v>1797.0</v>
      </c>
      <c r="I938" s="127">
        <v>47.45</v>
      </c>
      <c r="J938" s="127">
        <v>31.79</v>
      </c>
      <c r="K938" s="83">
        <f t="shared" si="1"/>
        <v>85267.65</v>
      </c>
      <c r="L938" s="83">
        <f t="shared" si="2"/>
        <v>57126.63</v>
      </c>
      <c r="M938" s="83">
        <f t="shared" si="3"/>
        <v>28141.02</v>
      </c>
      <c r="N938" s="46" t="str">
        <f>VLOOKUP(F938,products!$A$2:$B$13,2,FALSE)</f>
        <v>Beverages</v>
      </c>
      <c r="O938" s="46" t="s">
        <v>113</v>
      </c>
      <c r="P938" s="46">
        <f t="array" ref="P938">WEEKDAY(B938,2)</f>
        <v>2</v>
      </c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>
      <c r="A939" s="56">
        <v>7.13009965E8</v>
      </c>
      <c r="B939" s="126">
        <v>42689.0</v>
      </c>
      <c r="C939" s="126">
        <v>42720.0</v>
      </c>
      <c r="D939" s="56" t="s">
        <v>95</v>
      </c>
      <c r="E939" s="56" t="s">
        <v>128</v>
      </c>
      <c r="F939" s="56">
        <v>7940.0</v>
      </c>
      <c r="G939" s="56" t="s">
        <v>43</v>
      </c>
      <c r="H939" s="56">
        <v>4348.0</v>
      </c>
      <c r="I939" s="127">
        <v>668.27</v>
      </c>
      <c r="J939" s="127">
        <v>502.54</v>
      </c>
      <c r="K939" s="83">
        <f t="shared" si="1"/>
        <v>2905637.96</v>
      </c>
      <c r="L939" s="83">
        <f t="shared" si="2"/>
        <v>2185043.92</v>
      </c>
      <c r="M939" s="83">
        <f t="shared" si="3"/>
        <v>720594.04</v>
      </c>
      <c r="N939" s="46" t="str">
        <f>VLOOKUP(F939,products!$A$2:$B$13,2,FALSE)</f>
        <v>Household</v>
      </c>
      <c r="O939" s="46" t="s">
        <v>128</v>
      </c>
      <c r="P939" s="46">
        <f t="array" ref="P939">WEEKDAY(B939,2)</f>
        <v>2</v>
      </c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>
      <c r="A940" s="56">
        <v>7.1335715E8</v>
      </c>
      <c r="B940" s="126">
        <v>41038.0</v>
      </c>
      <c r="C940" s="126">
        <v>41063.0</v>
      </c>
      <c r="D940" s="56" t="s">
        <v>95</v>
      </c>
      <c r="E940" s="56" t="s">
        <v>135</v>
      </c>
      <c r="F940" s="56">
        <v>2455.0</v>
      </c>
      <c r="G940" s="56" t="s">
        <v>42</v>
      </c>
      <c r="H940" s="56">
        <v>7088.0</v>
      </c>
      <c r="I940" s="127">
        <v>109.28</v>
      </c>
      <c r="J940" s="127">
        <v>35.84</v>
      </c>
      <c r="K940" s="83">
        <f t="shared" si="1"/>
        <v>774576.64</v>
      </c>
      <c r="L940" s="83">
        <f t="shared" si="2"/>
        <v>254033.92</v>
      </c>
      <c r="M940" s="83">
        <f t="shared" si="3"/>
        <v>520542.72</v>
      </c>
      <c r="N940" s="46" t="str">
        <f>VLOOKUP(F940,products!$A$2:$B$13,2,FALSE)</f>
        <v>Clothes</v>
      </c>
      <c r="O940" s="46" t="s">
        <v>135</v>
      </c>
      <c r="P940" s="46">
        <f t="array" ref="P940">WEEKDAY(B940,2)</f>
        <v>3</v>
      </c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>
      <c r="A941" s="56">
        <v>7.14165675E8</v>
      </c>
      <c r="B941" s="126">
        <v>41647.0</v>
      </c>
      <c r="C941" s="126">
        <v>41672.0</v>
      </c>
      <c r="D941" s="56" t="s">
        <v>10</v>
      </c>
      <c r="E941" s="56" t="s">
        <v>106</v>
      </c>
      <c r="F941" s="56">
        <v>1270.0</v>
      </c>
      <c r="G941" s="56" t="s">
        <v>42</v>
      </c>
      <c r="H941" s="56">
        <v>6348.0</v>
      </c>
      <c r="I941" s="127">
        <v>47.45</v>
      </c>
      <c r="J941" s="127">
        <v>31.79</v>
      </c>
      <c r="K941" s="83">
        <f t="shared" si="1"/>
        <v>301212.6</v>
      </c>
      <c r="L941" s="83">
        <f t="shared" si="2"/>
        <v>201802.92</v>
      </c>
      <c r="M941" s="83">
        <f t="shared" si="3"/>
        <v>99409.68</v>
      </c>
      <c r="N941" s="46" t="str">
        <f>VLOOKUP(F941,products!$A$2:$B$13,2,FALSE)</f>
        <v>Beverages</v>
      </c>
      <c r="O941" s="46" t="s">
        <v>106</v>
      </c>
      <c r="P941" s="46">
        <f t="array" ref="P941">WEEKDAY(B941,2)</f>
        <v>3</v>
      </c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>
      <c r="A942" s="56">
        <v>7.15309798E8</v>
      </c>
      <c r="B942" s="126">
        <v>41280.0</v>
      </c>
      <c r="C942" s="126">
        <v>41315.0</v>
      </c>
      <c r="D942" s="56" t="s">
        <v>89</v>
      </c>
      <c r="E942" s="56" t="s">
        <v>126</v>
      </c>
      <c r="F942" s="56">
        <v>2103.0</v>
      </c>
      <c r="G942" s="56" t="s">
        <v>43</v>
      </c>
      <c r="H942" s="56">
        <v>4920.0</v>
      </c>
      <c r="I942" s="127">
        <v>205.7</v>
      </c>
      <c r="J942" s="127">
        <v>117.11</v>
      </c>
      <c r="K942" s="83">
        <f t="shared" si="1"/>
        <v>1012044</v>
      </c>
      <c r="L942" s="83">
        <f t="shared" si="2"/>
        <v>576181.2</v>
      </c>
      <c r="M942" s="83">
        <f t="shared" si="3"/>
        <v>435862.8</v>
      </c>
      <c r="N942" s="46" t="str">
        <f>VLOOKUP(F942,products!$A$2:$B$13,2,FALSE)</f>
        <v>Cereal</v>
      </c>
      <c r="O942" s="46" t="s">
        <v>126</v>
      </c>
      <c r="P942" s="46">
        <f t="array" ref="P942">WEEKDAY(B942,2)</f>
        <v>7</v>
      </c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>
      <c r="A943" s="56">
        <v>7.15863835E8</v>
      </c>
      <c r="B943" s="126">
        <v>40915.0</v>
      </c>
      <c r="C943" s="126">
        <v>40934.0</v>
      </c>
      <c r="D943" s="56" t="s">
        <v>10</v>
      </c>
      <c r="E943" s="56" t="s">
        <v>132</v>
      </c>
      <c r="F943" s="56">
        <v>5988.0</v>
      </c>
      <c r="G943" s="56" t="s">
        <v>43</v>
      </c>
      <c r="H943" s="56">
        <v>8872.0</v>
      </c>
      <c r="I943" s="127">
        <v>154.06</v>
      </c>
      <c r="J943" s="127">
        <v>90.93</v>
      </c>
      <c r="K943" s="83">
        <f t="shared" si="1"/>
        <v>1366820.32</v>
      </c>
      <c r="L943" s="83">
        <f t="shared" si="2"/>
        <v>806730.96</v>
      </c>
      <c r="M943" s="83">
        <f t="shared" si="3"/>
        <v>560089.36</v>
      </c>
      <c r="N943" s="46" t="str">
        <f>VLOOKUP(F943,products!$A$2:$B$13,2,FALSE)</f>
        <v>Vegetables</v>
      </c>
      <c r="O943" s="46" t="s">
        <v>132</v>
      </c>
      <c r="P943" s="46">
        <f t="array" ref="P943">WEEKDAY(B943,2)</f>
        <v>6</v>
      </c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>
      <c r="A944" s="56">
        <v>7.16054379E8</v>
      </c>
      <c r="B944" s="126">
        <v>42433.0</v>
      </c>
      <c r="C944" s="126">
        <v>42455.0</v>
      </c>
      <c r="D944" s="56" t="s">
        <v>93</v>
      </c>
      <c r="E944" s="56" t="s">
        <v>128</v>
      </c>
      <c r="F944" s="56">
        <v>4594.0</v>
      </c>
      <c r="G944" s="56" t="s">
        <v>42</v>
      </c>
      <c r="H944" s="56">
        <v>5258.0</v>
      </c>
      <c r="I944" s="127">
        <v>9.33</v>
      </c>
      <c r="J944" s="127">
        <v>6.92</v>
      </c>
      <c r="K944" s="83">
        <f t="shared" si="1"/>
        <v>49057.14</v>
      </c>
      <c r="L944" s="83">
        <f t="shared" si="2"/>
        <v>36385.36</v>
      </c>
      <c r="M944" s="83">
        <f t="shared" si="3"/>
        <v>12671.78</v>
      </c>
      <c r="N944" s="46" t="str">
        <f>VLOOKUP(F944,products!$A$2:$B$13,2,FALSE)</f>
        <v>Fruits</v>
      </c>
      <c r="O944" s="46" t="s">
        <v>128</v>
      </c>
      <c r="P944" s="46">
        <f t="array" ref="P944">WEEKDAY(B944,2)</f>
        <v>5</v>
      </c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>
      <c r="A945" s="56">
        <v>7.16411006E8</v>
      </c>
      <c r="B945" s="126">
        <v>41666.0</v>
      </c>
      <c r="C945" s="126">
        <v>41687.0</v>
      </c>
      <c r="D945" s="56" t="s">
        <v>93</v>
      </c>
      <c r="E945" s="56" t="s">
        <v>124</v>
      </c>
      <c r="F945" s="56">
        <v>3127.0</v>
      </c>
      <c r="G945" s="56" t="s">
        <v>43</v>
      </c>
      <c r="H945" s="56">
        <v>792.0</v>
      </c>
      <c r="I945" s="127">
        <v>81.73</v>
      </c>
      <c r="J945" s="127">
        <v>56.67</v>
      </c>
      <c r="K945" s="83">
        <f t="shared" si="1"/>
        <v>64730.16</v>
      </c>
      <c r="L945" s="83">
        <f t="shared" si="2"/>
        <v>44882.64</v>
      </c>
      <c r="M945" s="83">
        <f t="shared" si="3"/>
        <v>19847.52</v>
      </c>
      <c r="N945" s="46" t="str">
        <f>VLOOKUP(F945,products!$A$2:$B$13,2,FALSE)</f>
        <v>Personal Care</v>
      </c>
      <c r="O945" s="46" t="s">
        <v>124</v>
      </c>
      <c r="P945" s="46">
        <f t="array" ref="P945">WEEKDAY(B945,2)</f>
        <v>1</v>
      </c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>
      <c r="A946" s="56">
        <v>7.1783322E8</v>
      </c>
      <c r="B946" s="126">
        <v>41720.0</v>
      </c>
      <c r="C946" s="126">
        <v>41732.0</v>
      </c>
      <c r="D946" s="56" t="s">
        <v>10</v>
      </c>
      <c r="E946" s="56" t="s">
        <v>91</v>
      </c>
      <c r="F946" s="56">
        <v>5988.0</v>
      </c>
      <c r="G946" s="56" t="s">
        <v>42</v>
      </c>
      <c r="H946" s="56">
        <v>1657.0</v>
      </c>
      <c r="I946" s="127">
        <v>154.06</v>
      </c>
      <c r="J946" s="127">
        <v>90.93</v>
      </c>
      <c r="K946" s="83">
        <f t="shared" si="1"/>
        <v>255277.42</v>
      </c>
      <c r="L946" s="83">
        <f t="shared" si="2"/>
        <v>150671.01</v>
      </c>
      <c r="M946" s="83">
        <f t="shared" si="3"/>
        <v>104606.41</v>
      </c>
      <c r="N946" s="46" t="str">
        <f>VLOOKUP(F946,products!$A$2:$B$13,2,FALSE)</f>
        <v>Vegetables</v>
      </c>
      <c r="O946" s="46" t="s">
        <v>91</v>
      </c>
      <c r="P946" s="46">
        <f t="array" ref="P946">WEEKDAY(B946,2)</f>
        <v>6</v>
      </c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>
      <c r="A947" s="56">
        <v>7.1929363E8</v>
      </c>
      <c r="B947" s="126">
        <v>40576.0</v>
      </c>
      <c r="C947" s="126">
        <v>40599.0</v>
      </c>
      <c r="D947" s="56" t="s">
        <v>89</v>
      </c>
      <c r="E947" s="56" t="s">
        <v>121</v>
      </c>
      <c r="F947" s="56">
        <v>8681.0</v>
      </c>
      <c r="G947" s="56" t="s">
        <v>42</v>
      </c>
      <c r="H947" s="56">
        <v>3824.0</v>
      </c>
      <c r="I947" s="127">
        <v>651.21</v>
      </c>
      <c r="J947" s="127">
        <v>524.96</v>
      </c>
      <c r="K947" s="83">
        <f t="shared" si="1"/>
        <v>2490227.04</v>
      </c>
      <c r="L947" s="83">
        <f t="shared" si="2"/>
        <v>2007447.04</v>
      </c>
      <c r="M947" s="83">
        <f t="shared" si="3"/>
        <v>482780</v>
      </c>
      <c r="N947" s="46" t="str">
        <f>VLOOKUP(F947,products!$A$2:$B$13,2,FALSE)</f>
        <v>Office Supplies</v>
      </c>
      <c r="O947" s="46" t="s">
        <v>121</v>
      </c>
      <c r="P947" s="46">
        <f t="array" ref="P947">WEEKDAY(B947,2)</f>
        <v>3</v>
      </c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>
      <c r="A948" s="56">
        <v>7.19404351E8</v>
      </c>
      <c r="B948" s="126">
        <v>40898.0</v>
      </c>
      <c r="C948" s="126">
        <v>40918.0</v>
      </c>
      <c r="D948" s="56" t="s">
        <v>95</v>
      </c>
      <c r="E948" s="56" t="s">
        <v>130</v>
      </c>
      <c r="F948" s="56">
        <v>8681.0</v>
      </c>
      <c r="G948" s="56" t="s">
        <v>43</v>
      </c>
      <c r="H948" s="56">
        <v>6589.0</v>
      </c>
      <c r="I948" s="127">
        <v>651.21</v>
      </c>
      <c r="J948" s="127">
        <v>524.96</v>
      </c>
      <c r="K948" s="83">
        <f t="shared" si="1"/>
        <v>4290822.69</v>
      </c>
      <c r="L948" s="83">
        <f t="shared" si="2"/>
        <v>3458961.44</v>
      </c>
      <c r="M948" s="83">
        <f t="shared" si="3"/>
        <v>831861.25</v>
      </c>
      <c r="N948" s="46" t="str">
        <f>VLOOKUP(F948,products!$A$2:$B$13,2,FALSE)</f>
        <v>Office Supplies</v>
      </c>
      <c r="O948" s="46" t="s">
        <v>130</v>
      </c>
      <c r="P948" s="46">
        <f t="array" ref="P948">WEEKDAY(B948,2)</f>
        <v>3</v>
      </c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>
      <c r="A949" s="56">
        <v>7.19730079E8</v>
      </c>
      <c r="B949" s="126">
        <v>41007.0</v>
      </c>
      <c r="C949" s="126">
        <v>41035.0</v>
      </c>
      <c r="D949" s="56" t="s">
        <v>95</v>
      </c>
      <c r="E949" s="56" t="s">
        <v>121</v>
      </c>
      <c r="F949" s="56">
        <v>2455.0</v>
      </c>
      <c r="G949" s="56" t="s">
        <v>42</v>
      </c>
      <c r="H949" s="56">
        <v>2979.0</v>
      </c>
      <c r="I949" s="127">
        <v>109.28</v>
      </c>
      <c r="J949" s="127">
        <v>35.84</v>
      </c>
      <c r="K949" s="83">
        <f t="shared" si="1"/>
        <v>325545.12</v>
      </c>
      <c r="L949" s="83">
        <f t="shared" si="2"/>
        <v>106767.36</v>
      </c>
      <c r="M949" s="83">
        <f t="shared" si="3"/>
        <v>218777.76</v>
      </c>
      <c r="N949" s="46" t="str">
        <f>VLOOKUP(F949,products!$A$2:$B$13,2,FALSE)</f>
        <v>Clothes</v>
      </c>
      <c r="O949" s="46" t="s">
        <v>121</v>
      </c>
      <c r="P949" s="46">
        <f t="array" ref="P949">WEEKDAY(B949,2)</f>
        <v>7</v>
      </c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>
      <c r="A950" s="56">
        <v>7.20229613E8</v>
      </c>
      <c r="B950" s="126">
        <v>42070.0</v>
      </c>
      <c r="C950" s="126">
        <v>42074.0</v>
      </c>
      <c r="D950" s="56" t="s">
        <v>10</v>
      </c>
      <c r="E950" s="56" t="e">
        <v>#N/A</v>
      </c>
      <c r="F950" s="56">
        <v>4594.0</v>
      </c>
      <c r="G950" s="56" t="s">
        <v>43</v>
      </c>
      <c r="H950" s="56">
        <v>803.0</v>
      </c>
      <c r="I950" s="127">
        <v>9.33</v>
      </c>
      <c r="J950" s="127">
        <v>6.92</v>
      </c>
      <c r="K950" s="83">
        <f t="shared" si="1"/>
        <v>7491.99</v>
      </c>
      <c r="L950" s="83">
        <f t="shared" si="2"/>
        <v>5556.76</v>
      </c>
      <c r="M950" s="83">
        <f t="shared" si="3"/>
        <v>1935.23</v>
      </c>
      <c r="N950" s="46" t="str">
        <f>VLOOKUP(F950,products!$A$2:$B$13,2,FALSE)</f>
        <v>Fruits</v>
      </c>
      <c r="O950" s="46" t="s">
        <v>92</v>
      </c>
      <c r="P950" s="46">
        <f t="array" ref="P950">WEEKDAY(B950,2)</f>
        <v>6</v>
      </c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>
      <c r="A951" s="56">
        <v>7.20878922E8</v>
      </c>
      <c r="B951" s="126">
        <v>41082.0</v>
      </c>
      <c r="C951" s="126">
        <v>41122.0</v>
      </c>
      <c r="D951" s="56" t="s">
        <v>95</v>
      </c>
      <c r="E951" s="56" t="s">
        <v>129</v>
      </c>
      <c r="F951" s="56">
        <v>7331.0</v>
      </c>
      <c r="G951" s="56" t="s">
        <v>43</v>
      </c>
      <c r="H951" s="56">
        <v>2948.0</v>
      </c>
      <c r="I951" s="127">
        <v>255.28</v>
      </c>
      <c r="J951" s="127">
        <v>159.42</v>
      </c>
      <c r="K951" s="83">
        <f t="shared" si="1"/>
        <v>752565.44</v>
      </c>
      <c r="L951" s="83">
        <f t="shared" si="2"/>
        <v>469970.16</v>
      </c>
      <c r="M951" s="83">
        <f t="shared" si="3"/>
        <v>282595.28</v>
      </c>
      <c r="N951" s="46" t="str">
        <f>VLOOKUP(F951,products!$A$2:$B$13,2,FALSE)</f>
        <v>Baby Food</v>
      </c>
      <c r="O951" s="46" t="s">
        <v>129</v>
      </c>
      <c r="P951" s="46">
        <f t="array" ref="P951">WEEKDAY(B951,2)</f>
        <v>5</v>
      </c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>
      <c r="A952" s="56">
        <v>7.20931279E8</v>
      </c>
      <c r="B952" s="126">
        <v>41212.0</v>
      </c>
      <c r="C952" s="126">
        <v>41231.0</v>
      </c>
      <c r="D952" s="56" t="s">
        <v>93</v>
      </c>
      <c r="E952" s="56" t="s">
        <v>137</v>
      </c>
      <c r="F952" s="56">
        <v>8969.0</v>
      </c>
      <c r="G952" s="56" t="s">
        <v>42</v>
      </c>
      <c r="H952" s="56">
        <v>8441.0</v>
      </c>
      <c r="I952" s="127">
        <v>152.58</v>
      </c>
      <c r="J952" s="127">
        <v>97.44</v>
      </c>
      <c r="K952" s="83">
        <f t="shared" si="1"/>
        <v>1287927.78</v>
      </c>
      <c r="L952" s="83">
        <f t="shared" si="2"/>
        <v>822491.04</v>
      </c>
      <c r="M952" s="83">
        <f t="shared" si="3"/>
        <v>465436.74</v>
      </c>
      <c r="N952" s="46" t="str">
        <f>VLOOKUP(F952,products!$A$2:$B$13,2,FALSE)</f>
        <v>Snacks</v>
      </c>
      <c r="O952" s="46" t="s">
        <v>137</v>
      </c>
      <c r="P952" s="46">
        <f t="array" ref="P952">WEEKDAY(B952,2)</f>
        <v>2</v>
      </c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>
      <c r="A953" s="56">
        <v>7.21318805E8</v>
      </c>
      <c r="B953" s="126">
        <v>42337.0</v>
      </c>
      <c r="C953" s="126">
        <v>42347.0</v>
      </c>
      <c r="D953" s="56" t="s">
        <v>93</v>
      </c>
      <c r="E953" s="56" t="s">
        <v>122</v>
      </c>
      <c r="F953" s="56">
        <v>4594.0</v>
      </c>
      <c r="G953" s="56" t="s">
        <v>42</v>
      </c>
      <c r="H953" s="56">
        <v>3118.0</v>
      </c>
      <c r="I953" s="127">
        <v>9.33</v>
      </c>
      <c r="J953" s="127">
        <v>6.92</v>
      </c>
      <c r="K953" s="83">
        <f t="shared" si="1"/>
        <v>29090.94</v>
      </c>
      <c r="L953" s="83">
        <f t="shared" si="2"/>
        <v>21576.56</v>
      </c>
      <c r="M953" s="83">
        <f t="shared" si="3"/>
        <v>7514.38</v>
      </c>
      <c r="N953" s="46" t="str">
        <f>VLOOKUP(F953,products!$A$2:$B$13,2,FALSE)</f>
        <v>Fruits</v>
      </c>
      <c r="O953" s="46" t="s">
        <v>122</v>
      </c>
      <c r="P953" s="46">
        <f t="array" ref="P953">WEEKDAY(B953,2)</f>
        <v>7</v>
      </c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>
      <c r="A954" s="56">
        <v>7.22233331E8</v>
      </c>
      <c r="B954" s="126">
        <v>42825.0</v>
      </c>
      <c r="C954" s="126">
        <v>42831.0</v>
      </c>
      <c r="D954" s="56" t="s">
        <v>95</v>
      </c>
      <c r="E954" s="56" t="s">
        <v>98</v>
      </c>
      <c r="F954" s="56">
        <v>5988.0</v>
      </c>
      <c r="G954" s="56" t="s">
        <v>43</v>
      </c>
      <c r="H954" s="56">
        <v>3747.0</v>
      </c>
      <c r="I954" s="127">
        <v>154.06</v>
      </c>
      <c r="J954" s="127">
        <v>90.93</v>
      </c>
      <c r="K954" s="83">
        <f t="shared" si="1"/>
        <v>577262.82</v>
      </c>
      <c r="L954" s="83">
        <f t="shared" si="2"/>
        <v>340714.71</v>
      </c>
      <c r="M954" s="83">
        <f t="shared" si="3"/>
        <v>236548.11</v>
      </c>
      <c r="N954" s="46" t="str">
        <f>VLOOKUP(F954,products!$A$2:$B$13,2,FALSE)</f>
        <v>Vegetables</v>
      </c>
      <c r="O954" s="46" t="s">
        <v>98</v>
      </c>
      <c r="P954" s="46">
        <f t="array" ref="P954">WEEKDAY(B954,2)</f>
        <v>5</v>
      </c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>
      <c r="A955" s="56">
        <v>7.2224878E8</v>
      </c>
      <c r="B955" s="126">
        <v>41005.0</v>
      </c>
      <c r="C955" s="126">
        <v>41007.0</v>
      </c>
      <c r="D955" s="56" t="s">
        <v>95</v>
      </c>
      <c r="E955" s="56" t="s">
        <v>122</v>
      </c>
      <c r="F955" s="56">
        <v>8969.0</v>
      </c>
      <c r="G955" s="56" t="s">
        <v>43</v>
      </c>
      <c r="H955" s="56">
        <v>8319.0</v>
      </c>
      <c r="I955" s="127">
        <v>152.58</v>
      </c>
      <c r="J955" s="127">
        <v>97.44</v>
      </c>
      <c r="K955" s="83">
        <f t="shared" si="1"/>
        <v>1269313.02</v>
      </c>
      <c r="L955" s="83">
        <f t="shared" si="2"/>
        <v>810603.36</v>
      </c>
      <c r="M955" s="83">
        <f t="shared" si="3"/>
        <v>458709.66</v>
      </c>
      <c r="N955" s="46" t="str">
        <f>VLOOKUP(F955,products!$A$2:$B$13,2,FALSE)</f>
        <v>Snacks</v>
      </c>
      <c r="O955" s="46" t="s">
        <v>122</v>
      </c>
      <c r="P955" s="46">
        <f t="array" ref="P955">WEEKDAY(B955,2)</f>
        <v>5</v>
      </c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>
      <c r="A956" s="56">
        <v>7.23893725E8</v>
      </c>
      <c r="B956" s="126">
        <v>41318.0</v>
      </c>
      <c r="C956" s="126">
        <v>41344.0</v>
      </c>
      <c r="D956" s="56" t="s">
        <v>10</v>
      </c>
      <c r="E956" s="56" t="s">
        <v>133</v>
      </c>
      <c r="F956" s="56">
        <v>7940.0</v>
      </c>
      <c r="G956" s="56" t="s">
        <v>43</v>
      </c>
      <c r="H956" s="56">
        <v>5095.0</v>
      </c>
      <c r="I956" s="127">
        <v>668.27</v>
      </c>
      <c r="J956" s="127">
        <v>502.54</v>
      </c>
      <c r="K956" s="83">
        <f t="shared" si="1"/>
        <v>3404835.65</v>
      </c>
      <c r="L956" s="83">
        <f t="shared" si="2"/>
        <v>2560441.3</v>
      </c>
      <c r="M956" s="83">
        <f t="shared" si="3"/>
        <v>844394.35</v>
      </c>
      <c r="N956" s="46" t="str">
        <f>VLOOKUP(F956,products!$A$2:$B$13,2,FALSE)</f>
        <v>Household</v>
      </c>
      <c r="O956" s="46" t="s">
        <v>133</v>
      </c>
      <c r="P956" s="46">
        <f t="array" ref="P956">WEEKDAY(B956,2)</f>
        <v>3</v>
      </c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>
      <c r="A957" s="56">
        <v>7.24085128E8</v>
      </c>
      <c r="B957" s="126">
        <v>41660.0</v>
      </c>
      <c r="C957" s="126">
        <v>41680.0</v>
      </c>
      <c r="D957" s="56" t="s">
        <v>89</v>
      </c>
      <c r="E957" s="56" t="s">
        <v>102</v>
      </c>
      <c r="F957" s="56">
        <v>4594.0</v>
      </c>
      <c r="G957" s="56" t="s">
        <v>42</v>
      </c>
      <c r="H957" s="56">
        <v>1735.0</v>
      </c>
      <c r="I957" s="127">
        <v>9.33</v>
      </c>
      <c r="J957" s="127">
        <v>6.92</v>
      </c>
      <c r="K957" s="83">
        <f t="shared" si="1"/>
        <v>16187.55</v>
      </c>
      <c r="L957" s="83">
        <f t="shared" si="2"/>
        <v>12006.2</v>
      </c>
      <c r="M957" s="83">
        <f t="shared" si="3"/>
        <v>4181.35</v>
      </c>
      <c r="N957" s="46" t="str">
        <f>VLOOKUP(F957,products!$A$2:$B$13,2,FALSE)</f>
        <v>Fruits</v>
      </c>
      <c r="O957" s="46" t="s">
        <v>102</v>
      </c>
      <c r="P957" s="46">
        <f t="array" ref="P957">WEEKDAY(B957,2)</f>
        <v>2</v>
      </c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>
      <c r="A958" s="56">
        <v>7.2622317E8</v>
      </c>
      <c r="B958" s="126">
        <v>42182.0</v>
      </c>
      <c r="C958" s="126">
        <v>42216.0</v>
      </c>
      <c r="D958" s="56" t="s">
        <v>10</v>
      </c>
      <c r="E958" s="56" t="s">
        <v>122</v>
      </c>
      <c r="F958" s="56">
        <v>7331.0</v>
      </c>
      <c r="G958" s="56" t="s">
        <v>42</v>
      </c>
      <c r="H958" s="56">
        <v>4429.0</v>
      </c>
      <c r="I958" s="127">
        <v>255.28</v>
      </c>
      <c r="J958" s="127">
        <v>159.42</v>
      </c>
      <c r="K958" s="83">
        <f t="shared" si="1"/>
        <v>1130635.12</v>
      </c>
      <c r="L958" s="83">
        <f t="shared" si="2"/>
        <v>706071.18</v>
      </c>
      <c r="M958" s="83">
        <f t="shared" si="3"/>
        <v>424563.94</v>
      </c>
      <c r="N958" s="46" t="str">
        <f>VLOOKUP(F958,products!$A$2:$B$13,2,FALSE)</f>
        <v>Baby Food</v>
      </c>
      <c r="O958" s="46" t="s">
        <v>122</v>
      </c>
      <c r="P958" s="46">
        <f t="array" ref="P958">WEEKDAY(B958,2)</f>
        <v>6</v>
      </c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>
      <c r="A959" s="56">
        <v>7.27175891E8</v>
      </c>
      <c r="B959" s="126">
        <v>41474.0</v>
      </c>
      <c r="C959" s="126">
        <v>41524.0</v>
      </c>
      <c r="D959" s="56" t="s">
        <v>95</v>
      </c>
      <c r="E959" s="56" t="s">
        <v>126</v>
      </c>
      <c r="F959" s="56">
        <v>8875.0</v>
      </c>
      <c r="G959" s="56" t="s">
        <v>42</v>
      </c>
      <c r="H959" s="56">
        <v>6360.0</v>
      </c>
      <c r="I959" s="127">
        <v>421.89</v>
      </c>
      <c r="J959" s="127">
        <v>364.69</v>
      </c>
      <c r="K959" s="83">
        <f t="shared" si="1"/>
        <v>2683220.4</v>
      </c>
      <c r="L959" s="83">
        <f t="shared" si="2"/>
        <v>2319428.4</v>
      </c>
      <c r="M959" s="83">
        <f t="shared" si="3"/>
        <v>363792</v>
      </c>
      <c r="N959" s="46" t="str">
        <f>VLOOKUP(F959,products!$A$2:$B$13,2,FALSE)</f>
        <v>Meat</v>
      </c>
      <c r="O959" s="46" t="s">
        <v>126</v>
      </c>
      <c r="P959" s="46">
        <f t="array" ref="P959">WEEKDAY(B959,2)</f>
        <v>5</v>
      </c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>
      <c r="A960" s="56">
        <v>7.27426946E8</v>
      </c>
      <c r="B960" s="126">
        <v>41623.0</v>
      </c>
      <c r="C960" s="126">
        <v>41673.0</v>
      </c>
      <c r="D960" s="56" t="s">
        <v>93</v>
      </c>
      <c r="E960" s="56" t="s">
        <v>128</v>
      </c>
      <c r="F960" s="56">
        <v>5988.0</v>
      </c>
      <c r="G960" s="56" t="s">
        <v>42</v>
      </c>
      <c r="H960" s="56">
        <v>653.0</v>
      </c>
      <c r="I960" s="127">
        <v>154.06</v>
      </c>
      <c r="J960" s="127">
        <v>90.93</v>
      </c>
      <c r="K960" s="83">
        <f t="shared" si="1"/>
        <v>100601.18</v>
      </c>
      <c r="L960" s="83">
        <f t="shared" si="2"/>
        <v>59377.29</v>
      </c>
      <c r="M960" s="83">
        <f t="shared" si="3"/>
        <v>41223.89</v>
      </c>
      <c r="N960" s="46" t="str">
        <f>VLOOKUP(F960,products!$A$2:$B$13,2,FALSE)</f>
        <v>Vegetables</v>
      </c>
      <c r="O960" s="46" t="s">
        <v>128</v>
      </c>
      <c r="P960" s="46">
        <f t="array" ref="P960">WEEKDAY(B960,2)</f>
        <v>7</v>
      </c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>
      <c r="A961" s="56">
        <v>7.27821767E8</v>
      </c>
      <c r="B961" s="126">
        <v>42426.0</v>
      </c>
      <c r="C961" s="126">
        <v>42445.0</v>
      </c>
      <c r="D961" s="56" t="s">
        <v>93</v>
      </c>
      <c r="E961" s="56" t="s">
        <v>128</v>
      </c>
      <c r="F961" s="56">
        <v>8293.0</v>
      </c>
      <c r="G961" s="56" t="s">
        <v>43</v>
      </c>
      <c r="H961" s="56">
        <v>7489.0</v>
      </c>
      <c r="I961" s="127">
        <v>437.2</v>
      </c>
      <c r="J961" s="127">
        <v>263.33</v>
      </c>
      <c r="K961" s="83">
        <f t="shared" si="1"/>
        <v>3274190.8</v>
      </c>
      <c r="L961" s="83">
        <f t="shared" si="2"/>
        <v>1972078.37</v>
      </c>
      <c r="M961" s="83">
        <f t="shared" si="3"/>
        <v>1302112.43</v>
      </c>
      <c r="N961" s="46" t="str">
        <f>VLOOKUP(F961,products!$A$2:$B$13,2,FALSE)</f>
        <v>Cosmetics</v>
      </c>
      <c r="O961" s="46" t="s">
        <v>128</v>
      </c>
      <c r="P961" s="46">
        <f t="array" ref="P961">WEEKDAY(B961,2)</f>
        <v>5</v>
      </c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>
      <c r="A962" s="56">
        <v>7.2799772E8</v>
      </c>
      <c r="B962" s="126">
        <v>41822.0</v>
      </c>
      <c r="C962" s="126">
        <v>41839.0</v>
      </c>
      <c r="D962" s="56" t="s">
        <v>10</v>
      </c>
      <c r="E962" s="56" t="s">
        <v>108</v>
      </c>
      <c r="F962" s="56">
        <v>5988.0</v>
      </c>
      <c r="G962" s="56" t="s">
        <v>42</v>
      </c>
      <c r="H962" s="56">
        <v>9558.0</v>
      </c>
      <c r="I962" s="127">
        <v>154.06</v>
      </c>
      <c r="J962" s="127">
        <v>90.93</v>
      </c>
      <c r="K962" s="83">
        <f t="shared" si="1"/>
        <v>1472505.48</v>
      </c>
      <c r="L962" s="83">
        <f t="shared" si="2"/>
        <v>869108.94</v>
      </c>
      <c r="M962" s="83">
        <f t="shared" si="3"/>
        <v>603396.54</v>
      </c>
      <c r="N962" s="46" t="str">
        <f>VLOOKUP(F962,products!$A$2:$B$13,2,FALSE)</f>
        <v>Vegetables</v>
      </c>
      <c r="O962" s="46" t="s">
        <v>108</v>
      </c>
      <c r="P962" s="46">
        <f t="array" ref="P962">WEEKDAY(B962,2)</f>
        <v>3</v>
      </c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>
      <c r="A963" s="56">
        <v>7.2879337E8</v>
      </c>
      <c r="B963" s="126">
        <v>40721.0</v>
      </c>
      <c r="C963" s="126">
        <v>40767.0</v>
      </c>
      <c r="D963" s="56" t="s">
        <v>93</v>
      </c>
      <c r="E963" s="56" t="s">
        <v>131</v>
      </c>
      <c r="F963" s="56">
        <v>8293.0</v>
      </c>
      <c r="G963" s="56" t="s">
        <v>42</v>
      </c>
      <c r="H963" s="56">
        <v>5009.0</v>
      </c>
      <c r="I963" s="127">
        <v>437.2</v>
      </c>
      <c r="J963" s="127">
        <v>263.33</v>
      </c>
      <c r="K963" s="83">
        <f t="shared" si="1"/>
        <v>2189934.8</v>
      </c>
      <c r="L963" s="83">
        <f t="shared" si="2"/>
        <v>1319019.97</v>
      </c>
      <c r="M963" s="83">
        <f t="shared" si="3"/>
        <v>870914.83</v>
      </c>
      <c r="N963" s="46" t="str">
        <f>VLOOKUP(F963,products!$A$2:$B$13,2,FALSE)</f>
        <v>Cosmetics</v>
      </c>
      <c r="O963" s="46" t="s">
        <v>131</v>
      </c>
      <c r="P963" s="46">
        <f t="array" ref="P963">WEEKDAY(B963,2)</f>
        <v>1</v>
      </c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>
      <c r="A964" s="56">
        <v>7.29373586E8</v>
      </c>
      <c r="B964" s="126">
        <v>41805.0</v>
      </c>
      <c r="C964" s="126">
        <v>41825.0</v>
      </c>
      <c r="D964" s="56" t="s">
        <v>10</v>
      </c>
      <c r="E964" s="56" t="s">
        <v>127</v>
      </c>
      <c r="F964" s="56">
        <v>8681.0</v>
      </c>
      <c r="G964" s="56" t="s">
        <v>42</v>
      </c>
      <c r="H964" s="56">
        <v>6707.0</v>
      </c>
      <c r="I964" s="127">
        <v>651.21</v>
      </c>
      <c r="J964" s="127">
        <v>524.96</v>
      </c>
      <c r="K964" s="83">
        <f t="shared" si="1"/>
        <v>4367665.47</v>
      </c>
      <c r="L964" s="83">
        <f t="shared" si="2"/>
        <v>3520906.72</v>
      </c>
      <c r="M964" s="83">
        <f t="shared" si="3"/>
        <v>846758.75</v>
      </c>
      <c r="N964" s="46" t="str">
        <f>VLOOKUP(F964,products!$A$2:$B$13,2,FALSE)</f>
        <v>Office Supplies</v>
      </c>
      <c r="O964" s="46" t="s">
        <v>127</v>
      </c>
      <c r="P964" s="46">
        <f t="array" ref="P964">WEEKDAY(B964,2)</f>
        <v>7</v>
      </c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>
      <c r="A965" s="56">
        <v>7.30490243E8</v>
      </c>
      <c r="B965" s="126">
        <v>40371.0</v>
      </c>
      <c r="C965" s="126">
        <v>40373.0</v>
      </c>
      <c r="D965" s="56" t="s">
        <v>95</v>
      </c>
      <c r="E965" s="56" t="s">
        <v>129</v>
      </c>
      <c r="F965" s="56">
        <v>8875.0</v>
      </c>
      <c r="G965" s="56" t="s">
        <v>43</v>
      </c>
      <c r="H965" s="56">
        <v>7151.0</v>
      </c>
      <c r="I965" s="127">
        <v>421.89</v>
      </c>
      <c r="J965" s="127">
        <v>364.69</v>
      </c>
      <c r="K965" s="83">
        <f t="shared" si="1"/>
        <v>3016935.39</v>
      </c>
      <c r="L965" s="83">
        <f t="shared" si="2"/>
        <v>2607898.19</v>
      </c>
      <c r="M965" s="83">
        <f t="shared" si="3"/>
        <v>409037.2</v>
      </c>
      <c r="N965" s="46" t="str">
        <f>VLOOKUP(F965,products!$A$2:$B$13,2,FALSE)</f>
        <v>Meat</v>
      </c>
      <c r="O965" s="46" t="s">
        <v>129</v>
      </c>
      <c r="P965" s="46">
        <f t="array" ref="P965">WEEKDAY(B965,2)</f>
        <v>1</v>
      </c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>
      <c r="A966" s="56">
        <v>7.32703387E8</v>
      </c>
      <c r="B966" s="126">
        <v>41648.0</v>
      </c>
      <c r="C966" s="126">
        <v>41667.0</v>
      </c>
      <c r="D966" s="56" t="s">
        <v>95</v>
      </c>
      <c r="E966" s="56" t="s">
        <v>110</v>
      </c>
      <c r="F966" s="56">
        <v>1270.0</v>
      </c>
      <c r="G966" s="56" t="s">
        <v>43</v>
      </c>
      <c r="H966" s="56">
        <v>2069.0</v>
      </c>
      <c r="I966" s="127">
        <v>47.45</v>
      </c>
      <c r="J966" s="127">
        <v>31.79</v>
      </c>
      <c r="K966" s="83">
        <f t="shared" si="1"/>
        <v>98174.05</v>
      </c>
      <c r="L966" s="83">
        <f t="shared" si="2"/>
        <v>65773.51</v>
      </c>
      <c r="M966" s="83">
        <f t="shared" si="3"/>
        <v>32400.54</v>
      </c>
      <c r="N966" s="46" t="str">
        <f>VLOOKUP(F966,products!$A$2:$B$13,2,FALSE)</f>
        <v>Beverages</v>
      </c>
      <c r="O966" s="46" t="s">
        <v>110</v>
      </c>
      <c r="P966" s="46">
        <f t="array" ref="P966">WEEKDAY(B966,2)</f>
        <v>4</v>
      </c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>
      <c r="A967" s="56">
        <v>7.33636796E8</v>
      </c>
      <c r="B967" s="126">
        <v>41141.0</v>
      </c>
      <c r="C967" s="126">
        <v>41167.0</v>
      </c>
      <c r="D967" s="56" t="s">
        <v>89</v>
      </c>
      <c r="E967" s="56" t="s">
        <v>113</v>
      </c>
      <c r="F967" s="56">
        <v>8875.0</v>
      </c>
      <c r="G967" s="56" t="s">
        <v>43</v>
      </c>
      <c r="H967" s="56">
        <v>8286.0</v>
      </c>
      <c r="I967" s="127">
        <v>421.89</v>
      </c>
      <c r="J967" s="127">
        <v>364.69</v>
      </c>
      <c r="K967" s="83">
        <f t="shared" si="1"/>
        <v>3495780.54</v>
      </c>
      <c r="L967" s="83">
        <f t="shared" si="2"/>
        <v>3021821.34</v>
      </c>
      <c r="M967" s="83">
        <f t="shared" si="3"/>
        <v>473959.2</v>
      </c>
      <c r="N967" s="46" t="str">
        <f>VLOOKUP(F967,products!$A$2:$B$13,2,FALSE)</f>
        <v>Meat</v>
      </c>
      <c r="O967" s="46" t="s">
        <v>113</v>
      </c>
      <c r="P967" s="46">
        <f t="array" ref="P967">WEEKDAY(B967,2)</f>
        <v>1</v>
      </c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>
      <c r="A968" s="56">
        <v>7.33648812E8</v>
      </c>
      <c r="B968" s="126">
        <v>41261.0</v>
      </c>
      <c r="C968" s="126">
        <v>41267.0</v>
      </c>
      <c r="D968" s="56" t="s">
        <v>89</v>
      </c>
      <c r="E968" s="56" t="s">
        <v>107</v>
      </c>
      <c r="F968" s="56">
        <v>2103.0</v>
      </c>
      <c r="G968" s="56" t="s">
        <v>43</v>
      </c>
      <c r="H968" s="56">
        <v>1842.0</v>
      </c>
      <c r="I968" s="127">
        <v>205.7</v>
      </c>
      <c r="J968" s="127">
        <v>117.11</v>
      </c>
      <c r="K968" s="83">
        <f t="shared" si="1"/>
        <v>378899.4</v>
      </c>
      <c r="L968" s="83">
        <f t="shared" si="2"/>
        <v>215716.62</v>
      </c>
      <c r="M968" s="83">
        <f t="shared" si="3"/>
        <v>163182.78</v>
      </c>
      <c r="N968" s="46" t="str">
        <f>VLOOKUP(F968,products!$A$2:$B$13,2,FALSE)</f>
        <v>Cereal</v>
      </c>
      <c r="O968" s="46" t="s">
        <v>107</v>
      </c>
      <c r="P968" s="46">
        <f t="array" ref="P968">WEEKDAY(B968,2)</f>
        <v>2</v>
      </c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>
      <c r="A969" s="56">
        <v>7.34189975E8</v>
      </c>
      <c r="B969" s="126">
        <v>41953.0</v>
      </c>
      <c r="C969" s="126">
        <v>41972.0</v>
      </c>
      <c r="D969" s="56" t="s">
        <v>95</v>
      </c>
      <c r="E969" s="56" t="s">
        <v>100</v>
      </c>
      <c r="F969" s="56">
        <v>2103.0</v>
      </c>
      <c r="G969" s="56" t="s">
        <v>43</v>
      </c>
      <c r="H969" s="56">
        <v>1984.0</v>
      </c>
      <c r="I969" s="127">
        <v>205.7</v>
      </c>
      <c r="J969" s="127">
        <v>117.11</v>
      </c>
      <c r="K969" s="83">
        <f t="shared" si="1"/>
        <v>408108.8</v>
      </c>
      <c r="L969" s="83">
        <f t="shared" si="2"/>
        <v>232346.24</v>
      </c>
      <c r="M969" s="83">
        <f t="shared" si="3"/>
        <v>175762.56</v>
      </c>
      <c r="N969" s="46" t="str">
        <f>VLOOKUP(F969,products!$A$2:$B$13,2,FALSE)</f>
        <v>Cereal</v>
      </c>
      <c r="O969" s="46" t="s">
        <v>100</v>
      </c>
      <c r="P969" s="46">
        <f t="array" ref="P969">WEEKDAY(B969,2)</f>
        <v>1</v>
      </c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>
      <c r="A970" s="56">
        <v>7.34318292E8</v>
      </c>
      <c r="B970" s="126">
        <v>41660.0</v>
      </c>
      <c r="C970" s="126">
        <v>41702.0</v>
      </c>
      <c r="D970" s="56" t="s">
        <v>89</v>
      </c>
      <c r="E970" s="56" t="s">
        <v>115</v>
      </c>
      <c r="F970" s="56">
        <v>8681.0</v>
      </c>
      <c r="G970" s="56" t="s">
        <v>43</v>
      </c>
      <c r="H970" s="56">
        <v>9956.0</v>
      </c>
      <c r="I970" s="127">
        <v>651.21</v>
      </c>
      <c r="J970" s="127">
        <v>524.96</v>
      </c>
      <c r="K970" s="83">
        <f t="shared" si="1"/>
        <v>6483446.76</v>
      </c>
      <c r="L970" s="83">
        <f t="shared" si="2"/>
        <v>5226501.76</v>
      </c>
      <c r="M970" s="83">
        <f t="shared" si="3"/>
        <v>1256945</v>
      </c>
      <c r="N970" s="46" t="str">
        <f>VLOOKUP(F970,products!$A$2:$B$13,2,FALSE)</f>
        <v>Office Supplies</v>
      </c>
      <c r="O970" s="46" t="s">
        <v>115</v>
      </c>
      <c r="P970" s="46">
        <f t="array" ref="P970">WEEKDAY(B970,2)</f>
        <v>2</v>
      </c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>
      <c r="A971" s="56">
        <v>7.35445678E8</v>
      </c>
      <c r="B971" s="126">
        <v>40729.0</v>
      </c>
      <c r="C971" s="126">
        <v>40746.0</v>
      </c>
      <c r="D971" s="56" t="s">
        <v>95</v>
      </c>
      <c r="E971" s="56" t="s">
        <v>106</v>
      </c>
      <c r="F971" s="56">
        <v>1270.0</v>
      </c>
      <c r="G971" s="56" t="s">
        <v>42</v>
      </c>
      <c r="H971" s="56">
        <v>3574.0</v>
      </c>
      <c r="I971" s="127">
        <v>47.45</v>
      </c>
      <c r="J971" s="127">
        <v>31.79</v>
      </c>
      <c r="K971" s="83">
        <f t="shared" si="1"/>
        <v>169586.3</v>
      </c>
      <c r="L971" s="83">
        <f t="shared" si="2"/>
        <v>113617.46</v>
      </c>
      <c r="M971" s="83">
        <f t="shared" si="3"/>
        <v>55968.84</v>
      </c>
      <c r="N971" s="46" t="str">
        <f>VLOOKUP(F971,products!$A$2:$B$13,2,FALSE)</f>
        <v>Beverages</v>
      </c>
      <c r="O971" s="46" t="s">
        <v>106</v>
      </c>
      <c r="P971" s="46">
        <f t="array" ref="P971">WEEKDAY(B971,2)</f>
        <v>2</v>
      </c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>
      <c r="A972" s="56">
        <v>7.36240041E8</v>
      </c>
      <c r="B972" s="126">
        <v>42777.0</v>
      </c>
      <c r="C972" s="126">
        <v>42786.0</v>
      </c>
      <c r="D972" s="56" t="s">
        <v>93</v>
      </c>
      <c r="E972" s="56" t="s">
        <v>104</v>
      </c>
      <c r="F972" s="56">
        <v>7940.0</v>
      </c>
      <c r="G972" s="56" t="s">
        <v>42</v>
      </c>
      <c r="H972" s="56">
        <v>8644.0</v>
      </c>
      <c r="I972" s="127">
        <v>668.27</v>
      </c>
      <c r="J972" s="127">
        <v>502.54</v>
      </c>
      <c r="K972" s="83">
        <f t="shared" si="1"/>
        <v>5776525.88</v>
      </c>
      <c r="L972" s="83">
        <f t="shared" si="2"/>
        <v>4343955.76</v>
      </c>
      <c r="M972" s="83">
        <f t="shared" si="3"/>
        <v>1432570.12</v>
      </c>
      <c r="N972" s="46" t="str">
        <f>VLOOKUP(F972,products!$A$2:$B$13,2,FALSE)</f>
        <v>Household</v>
      </c>
      <c r="O972" s="46" t="s">
        <v>104</v>
      </c>
      <c r="P972" s="46">
        <f t="array" ref="P972">WEEKDAY(B972,2)</f>
        <v>6</v>
      </c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>
      <c r="A973" s="56">
        <v>7.37095344E8</v>
      </c>
      <c r="B973" s="126">
        <v>41486.0</v>
      </c>
      <c r="C973" s="126">
        <v>41530.0</v>
      </c>
      <c r="D973" s="56" t="s">
        <v>93</v>
      </c>
      <c r="E973" s="56" t="s">
        <v>101</v>
      </c>
      <c r="F973" s="56">
        <v>8969.0</v>
      </c>
      <c r="G973" s="56" t="s">
        <v>42</v>
      </c>
      <c r="H973" s="56">
        <v>1747.0</v>
      </c>
      <c r="I973" s="127">
        <v>152.58</v>
      </c>
      <c r="J973" s="127">
        <v>97.44</v>
      </c>
      <c r="K973" s="83">
        <f t="shared" si="1"/>
        <v>266557.26</v>
      </c>
      <c r="L973" s="83">
        <f t="shared" si="2"/>
        <v>170227.68</v>
      </c>
      <c r="M973" s="83">
        <f t="shared" si="3"/>
        <v>96329.58</v>
      </c>
      <c r="N973" s="46" t="str">
        <f>VLOOKUP(F973,products!$A$2:$B$13,2,FALSE)</f>
        <v>Snacks</v>
      </c>
      <c r="O973" s="46" t="s">
        <v>101</v>
      </c>
      <c r="P973" s="46">
        <f t="array" ref="P973">WEEKDAY(B973,2)</f>
        <v>3</v>
      </c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>
      <c r="A974" s="56">
        <v>7.3773607E8</v>
      </c>
      <c r="B974" s="126">
        <v>41201.0</v>
      </c>
      <c r="C974" s="126">
        <v>41216.0</v>
      </c>
      <c r="D974" s="56" t="s">
        <v>93</v>
      </c>
      <c r="E974" s="56" t="s">
        <v>132</v>
      </c>
      <c r="F974" s="56">
        <v>2103.0</v>
      </c>
      <c r="G974" s="56" t="s">
        <v>42</v>
      </c>
      <c r="H974" s="56">
        <v>1352.0</v>
      </c>
      <c r="I974" s="127">
        <v>205.7</v>
      </c>
      <c r="J974" s="127">
        <v>117.11</v>
      </c>
      <c r="K974" s="83">
        <f t="shared" si="1"/>
        <v>278106.4</v>
      </c>
      <c r="L974" s="83">
        <f t="shared" si="2"/>
        <v>158332.72</v>
      </c>
      <c r="M974" s="83">
        <f t="shared" si="3"/>
        <v>119773.68</v>
      </c>
      <c r="N974" s="46" t="str">
        <f>VLOOKUP(F974,products!$A$2:$B$13,2,FALSE)</f>
        <v>Cereal</v>
      </c>
      <c r="O974" s="46" t="s">
        <v>132</v>
      </c>
      <c r="P974" s="46">
        <f t="array" ref="P974">WEEKDAY(B974,2)</f>
        <v>5</v>
      </c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>
      <c r="A975" s="56">
        <v>7.40300261E8</v>
      </c>
      <c r="B975" s="126">
        <v>42446.0</v>
      </c>
      <c r="C975" s="126">
        <v>42483.0</v>
      </c>
      <c r="D975" s="56" t="s">
        <v>89</v>
      </c>
      <c r="E975" s="56" t="s">
        <v>108</v>
      </c>
      <c r="F975" s="56">
        <v>7331.0</v>
      </c>
      <c r="G975" s="56" t="s">
        <v>43</v>
      </c>
      <c r="H975" s="56">
        <v>153.0</v>
      </c>
      <c r="I975" s="127">
        <v>255.28</v>
      </c>
      <c r="J975" s="127">
        <v>159.42</v>
      </c>
      <c r="K975" s="83">
        <f t="shared" si="1"/>
        <v>39057.84</v>
      </c>
      <c r="L975" s="83">
        <f t="shared" si="2"/>
        <v>24391.26</v>
      </c>
      <c r="M975" s="83">
        <f t="shared" si="3"/>
        <v>14666.58</v>
      </c>
      <c r="N975" s="46" t="str">
        <f>VLOOKUP(F975,products!$A$2:$B$13,2,FALSE)</f>
        <v>Baby Food</v>
      </c>
      <c r="O975" s="46" t="s">
        <v>108</v>
      </c>
      <c r="P975" s="46">
        <f t="array" ref="P975">WEEKDAY(B975,2)</f>
        <v>4</v>
      </c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>
      <c r="A976" s="56">
        <v>7.41690289E8</v>
      </c>
      <c r="B976" s="126">
        <v>40991.0</v>
      </c>
      <c r="C976" s="126">
        <v>41039.0</v>
      </c>
      <c r="D976" s="56" t="s">
        <v>10</v>
      </c>
      <c r="E976" s="56" t="s">
        <v>105</v>
      </c>
      <c r="F976" s="56">
        <v>8875.0</v>
      </c>
      <c r="G976" s="56" t="s">
        <v>42</v>
      </c>
      <c r="H976" s="56">
        <v>1494.0</v>
      </c>
      <c r="I976" s="127">
        <v>421.89</v>
      </c>
      <c r="J976" s="127">
        <v>364.69</v>
      </c>
      <c r="K976" s="83">
        <f t="shared" si="1"/>
        <v>630303.66</v>
      </c>
      <c r="L976" s="83">
        <f t="shared" si="2"/>
        <v>544846.86</v>
      </c>
      <c r="M976" s="83">
        <f t="shared" si="3"/>
        <v>85456.8</v>
      </c>
      <c r="N976" s="46" t="str">
        <f>VLOOKUP(F976,products!$A$2:$B$13,2,FALSE)</f>
        <v>Meat</v>
      </c>
      <c r="O976" s="46" t="s">
        <v>105</v>
      </c>
      <c r="P976" s="46">
        <f t="array" ref="P976">WEEKDAY(B976,2)</f>
        <v>5</v>
      </c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>
      <c r="A977" s="56">
        <v>7.41866242E8</v>
      </c>
      <c r="B977" s="126">
        <v>40387.0</v>
      </c>
      <c r="C977" s="126">
        <v>40434.0</v>
      </c>
      <c r="D977" s="56" t="s">
        <v>95</v>
      </c>
      <c r="E977" s="56" t="s">
        <v>113</v>
      </c>
      <c r="F977" s="56">
        <v>7940.0</v>
      </c>
      <c r="G977" s="56" t="s">
        <v>43</v>
      </c>
      <c r="H977" s="56">
        <v>3562.0</v>
      </c>
      <c r="I977" s="127">
        <v>668.27</v>
      </c>
      <c r="J977" s="127">
        <v>502.54</v>
      </c>
      <c r="K977" s="83">
        <f t="shared" si="1"/>
        <v>2380377.74</v>
      </c>
      <c r="L977" s="83">
        <f t="shared" si="2"/>
        <v>1790047.48</v>
      </c>
      <c r="M977" s="83">
        <f t="shared" si="3"/>
        <v>590330.26</v>
      </c>
      <c r="N977" s="46" t="str">
        <f>VLOOKUP(F977,products!$A$2:$B$13,2,FALSE)</f>
        <v>Household</v>
      </c>
      <c r="O977" s="46" t="s">
        <v>113</v>
      </c>
      <c r="P977" s="46">
        <f t="array" ref="P977">WEEKDAY(B977,2)</f>
        <v>3</v>
      </c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>
      <c r="A978" s="56">
        <v>7.41964948E8</v>
      </c>
      <c r="B978" s="126">
        <v>40587.0</v>
      </c>
      <c r="C978" s="126">
        <v>40600.0</v>
      </c>
      <c r="D978" s="56" t="s">
        <v>10</v>
      </c>
      <c r="E978" s="56" t="s">
        <v>113</v>
      </c>
      <c r="F978" s="56">
        <v>2103.0</v>
      </c>
      <c r="G978" s="56" t="s">
        <v>42</v>
      </c>
      <c r="H978" s="56">
        <v>2771.0</v>
      </c>
      <c r="I978" s="127">
        <v>205.7</v>
      </c>
      <c r="J978" s="127">
        <v>117.11</v>
      </c>
      <c r="K978" s="83">
        <f t="shared" si="1"/>
        <v>569994.7</v>
      </c>
      <c r="L978" s="83">
        <f t="shared" si="2"/>
        <v>324511.81</v>
      </c>
      <c r="M978" s="83">
        <f t="shared" si="3"/>
        <v>245482.89</v>
      </c>
      <c r="N978" s="46" t="str">
        <f>VLOOKUP(F978,products!$A$2:$B$13,2,FALSE)</f>
        <v>Cereal</v>
      </c>
      <c r="O978" s="46" t="s">
        <v>113</v>
      </c>
      <c r="P978" s="46">
        <f t="array" ref="P978">WEEKDAY(B978,2)</f>
        <v>7</v>
      </c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>
      <c r="A979" s="56">
        <v>7.4210056E8</v>
      </c>
      <c r="B979" s="126">
        <v>42739.0</v>
      </c>
      <c r="C979" s="126">
        <v>42752.0</v>
      </c>
      <c r="D979" s="56" t="s">
        <v>10</v>
      </c>
      <c r="E979" s="56" t="s">
        <v>120</v>
      </c>
      <c r="F979" s="56">
        <v>8969.0</v>
      </c>
      <c r="G979" s="56" t="s">
        <v>42</v>
      </c>
      <c r="H979" s="56">
        <v>2902.0</v>
      </c>
      <c r="I979" s="127">
        <v>152.58</v>
      </c>
      <c r="J979" s="127">
        <v>97.44</v>
      </c>
      <c r="K979" s="83">
        <f t="shared" si="1"/>
        <v>442787.16</v>
      </c>
      <c r="L979" s="83">
        <f t="shared" si="2"/>
        <v>282770.88</v>
      </c>
      <c r="M979" s="83">
        <f t="shared" si="3"/>
        <v>160016.28</v>
      </c>
      <c r="N979" s="46" t="str">
        <f>VLOOKUP(F979,products!$A$2:$B$13,2,FALSE)</f>
        <v>Snacks</v>
      </c>
      <c r="O979" s="46" t="s">
        <v>120</v>
      </c>
      <c r="P979" s="46">
        <f t="array" ref="P979">WEEKDAY(B979,2)</f>
        <v>3</v>
      </c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>
      <c r="A980" s="56">
        <v>7.42569196E8</v>
      </c>
      <c r="B980" s="126">
        <v>41912.0</v>
      </c>
      <c r="C980" s="126">
        <v>41960.0</v>
      </c>
      <c r="D980" s="56" t="s">
        <v>89</v>
      </c>
      <c r="E980" s="56" t="s">
        <v>107</v>
      </c>
      <c r="F980" s="56">
        <v>5988.0</v>
      </c>
      <c r="G980" s="56" t="s">
        <v>43</v>
      </c>
      <c r="H980" s="56">
        <v>1581.0</v>
      </c>
      <c r="I980" s="127">
        <v>154.06</v>
      </c>
      <c r="J980" s="127">
        <v>90.93</v>
      </c>
      <c r="K980" s="83">
        <f t="shared" si="1"/>
        <v>243568.86</v>
      </c>
      <c r="L980" s="83">
        <f t="shared" si="2"/>
        <v>143760.33</v>
      </c>
      <c r="M980" s="83">
        <f t="shared" si="3"/>
        <v>99808.53</v>
      </c>
      <c r="N980" s="46" t="str">
        <f>VLOOKUP(F980,products!$A$2:$B$13,2,FALSE)</f>
        <v>Vegetables</v>
      </c>
      <c r="O980" s="46" t="s">
        <v>107</v>
      </c>
      <c r="P980" s="46">
        <f t="array" ref="P980">WEEKDAY(B980,2)</f>
        <v>2</v>
      </c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>
      <c r="A981" s="56">
        <v>7.42843854E8</v>
      </c>
      <c r="B981" s="126">
        <v>41508.0</v>
      </c>
      <c r="C981" s="126">
        <v>41521.0</v>
      </c>
      <c r="D981" s="56" t="s">
        <v>89</v>
      </c>
      <c r="E981" s="56" t="s">
        <v>106</v>
      </c>
      <c r="F981" s="56">
        <v>1270.0</v>
      </c>
      <c r="G981" s="56" t="s">
        <v>43</v>
      </c>
      <c r="H981" s="56">
        <v>2859.0</v>
      </c>
      <c r="I981" s="127">
        <v>47.45</v>
      </c>
      <c r="J981" s="127">
        <v>31.79</v>
      </c>
      <c r="K981" s="83">
        <f t="shared" si="1"/>
        <v>135659.55</v>
      </c>
      <c r="L981" s="83">
        <f t="shared" si="2"/>
        <v>90887.61</v>
      </c>
      <c r="M981" s="83">
        <f t="shared" si="3"/>
        <v>44771.94</v>
      </c>
      <c r="N981" s="46" t="str">
        <f>VLOOKUP(F981,products!$A$2:$B$13,2,FALSE)</f>
        <v>Beverages</v>
      </c>
      <c r="O981" s="46" t="s">
        <v>106</v>
      </c>
      <c r="P981" s="46">
        <f t="array" ref="P981">WEEKDAY(B981,2)</f>
        <v>4</v>
      </c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>
      <c r="A982" s="56">
        <v>7.43619334E8</v>
      </c>
      <c r="B982" s="126">
        <v>41786.0</v>
      </c>
      <c r="C982" s="126">
        <v>41829.0</v>
      </c>
      <c r="D982" s="56" t="s">
        <v>93</v>
      </c>
      <c r="E982" s="56" t="s">
        <v>123</v>
      </c>
      <c r="F982" s="56">
        <v>8293.0</v>
      </c>
      <c r="G982" s="56" t="s">
        <v>42</v>
      </c>
      <c r="H982" s="56">
        <v>2341.0</v>
      </c>
      <c r="I982" s="127">
        <v>437.2</v>
      </c>
      <c r="J982" s="127">
        <v>263.33</v>
      </c>
      <c r="K982" s="83">
        <f t="shared" si="1"/>
        <v>1023485.2</v>
      </c>
      <c r="L982" s="83">
        <f t="shared" si="2"/>
        <v>616455.53</v>
      </c>
      <c r="M982" s="83">
        <f t="shared" si="3"/>
        <v>407029.67</v>
      </c>
      <c r="N982" s="46" t="str">
        <f>VLOOKUP(F982,products!$A$2:$B$13,2,FALSE)</f>
        <v>Cosmetics</v>
      </c>
      <c r="O982" s="46" t="s">
        <v>123</v>
      </c>
      <c r="P982" s="46">
        <f t="array" ref="P982">WEEKDAY(B982,2)</f>
        <v>2</v>
      </c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>
      <c r="A983" s="56">
        <v>7.43769109E8</v>
      </c>
      <c r="B983" s="126">
        <v>42500.0</v>
      </c>
      <c r="C983" s="126">
        <v>42501.0</v>
      </c>
      <c r="D983" s="56" t="s">
        <v>89</v>
      </c>
      <c r="E983" s="56" t="s">
        <v>112</v>
      </c>
      <c r="F983" s="56">
        <v>5988.0</v>
      </c>
      <c r="G983" s="56" t="s">
        <v>43</v>
      </c>
      <c r="H983" s="56">
        <v>6662.0</v>
      </c>
      <c r="I983" s="127">
        <v>154.06</v>
      </c>
      <c r="J983" s="127">
        <v>90.93</v>
      </c>
      <c r="K983" s="83">
        <f t="shared" si="1"/>
        <v>1026347.72</v>
      </c>
      <c r="L983" s="83">
        <f t="shared" si="2"/>
        <v>605775.66</v>
      </c>
      <c r="M983" s="83">
        <f t="shared" si="3"/>
        <v>420572.06</v>
      </c>
      <c r="N983" s="46" t="str">
        <f>VLOOKUP(F983,products!$A$2:$B$13,2,FALSE)</f>
        <v>Vegetables</v>
      </c>
      <c r="O983" s="46" t="s">
        <v>112</v>
      </c>
      <c r="P983" s="46">
        <f t="array" ref="P983">WEEKDAY(B983,2)</f>
        <v>2</v>
      </c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>
      <c r="A984" s="56">
        <v>7.44583642E8</v>
      </c>
      <c r="B984" s="126">
        <v>40404.0</v>
      </c>
      <c r="C984" s="126">
        <v>40447.0</v>
      </c>
      <c r="D984" s="56" t="s">
        <v>95</v>
      </c>
      <c r="E984" s="56" t="s">
        <v>98</v>
      </c>
      <c r="F984" s="56">
        <v>2455.0</v>
      </c>
      <c r="G984" s="56" t="s">
        <v>43</v>
      </c>
      <c r="H984" s="56">
        <v>7701.0</v>
      </c>
      <c r="I984" s="127">
        <v>109.28</v>
      </c>
      <c r="J984" s="127">
        <v>35.84</v>
      </c>
      <c r="K984" s="83">
        <f t="shared" si="1"/>
        <v>841565.28</v>
      </c>
      <c r="L984" s="83">
        <f t="shared" si="2"/>
        <v>276003.84</v>
      </c>
      <c r="M984" s="83">
        <f t="shared" si="3"/>
        <v>565561.44</v>
      </c>
      <c r="N984" s="46" t="str">
        <f>VLOOKUP(F984,products!$A$2:$B$13,2,FALSE)</f>
        <v>Clothes</v>
      </c>
      <c r="O984" s="46" t="s">
        <v>98</v>
      </c>
      <c r="P984" s="46">
        <f t="array" ref="P984">WEEKDAY(B984,2)</f>
        <v>6</v>
      </c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>
      <c r="A985" s="56">
        <v>7.44683635E8</v>
      </c>
      <c r="B985" s="126">
        <v>40222.0</v>
      </c>
      <c r="C985" s="126">
        <v>40269.0</v>
      </c>
      <c r="D985" s="56" t="s">
        <v>93</v>
      </c>
      <c r="E985" s="56" t="s">
        <v>107</v>
      </c>
      <c r="F985" s="56">
        <v>5988.0</v>
      </c>
      <c r="G985" s="56" t="s">
        <v>42</v>
      </c>
      <c r="H985" s="56">
        <v>7291.0</v>
      </c>
      <c r="I985" s="127">
        <v>154.06</v>
      </c>
      <c r="J985" s="127">
        <v>90.93</v>
      </c>
      <c r="K985" s="83">
        <f t="shared" si="1"/>
        <v>1123251.46</v>
      </c>
      <c r="L985" s="83">
        <f t="shared" si="2"/>
        <v>662970.63</v>
      </c>
      <c r="M985" s="83">
        <f t="shared" si="3"/>
        <v>460280.83</v>
      </c>
      <c r="N985" s="46" t="str">
        <f>VLOOKUP(F985,products!$A$2:$B$13,2,FALSE)</f>
        <v>Vegetables</v>
      </c>
      <c r="O985" s="46" t="s">
        <v>107</v>
      </c>
      <c r="P985" s="46">
        <f t="array" ref="P985">WEEKDAY(B985,2)</f>
        <v>6</v>
      </c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>
      <c r="A986" s="56">
        <v>7.45467269E8</v>
      </c>
      <c r="B986" s="126">
        <v>41767.0</v>
      </c>
      <c r="C986" s="126">
        <v>41813.0</v>
      </c>
      <c r="D986" s="56" t="s">
        <v>89</v>
      </c>
      <c r="E986" s="56" t="s">
        <v>111</v>
      </c>
      <c r="F986" s="56">
        <v>2455.0</v>
      </c>
      <c r="G986" s="56" t="s">
        <v>42</v>
      </c>
      <c r="H986" s="56">
        <v>9186.0</v>
      </c>
      <c r="I986" s="127">
        <v>109.28</v>
      </c>
      <c r="J986" s="127">
        <v>35.84</v>
      </c>
      <c r="K986" s="83">
        <f t="shared" si="1"/>
        <v>1003846.08</v>
      </c>
      <c r="L986" s="83">
        <f t="shared" si="2"/>
        <v>329226.24</v>
      </c>
      <c r="M986" s="83">
        <f t="shared" si="3"/>
        <v>674619.84</v>
      </c>
      <c r="N986" s="46" t="str">
        <f>VLOOKUP(F986,products!$A$2:$B$13,2,FALSE)</f>
        <v>Clothes</v>
      </c>
      <c r="O986" s="46" t="s">
        <v>111</v>
      </c>
      <c r="P986" s="46">
        <f t="array" ref="P986">WEEKDAY(B986,2)</f>
        <v>4</v>
      </c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>
      <c r="A987" s="56">
        <v>7.46563756E8</v>
      </c>
      <c r="B987" s="126">
        <v>41712.0</v>
      </c>
      <c r="C987" s="126">
        <v>41741.0</v>
      </c>
      <c r="D987" s="56" t="s">
        <v>10</v>
      </c>
      <c r="E987" s="56" t="s">
        <v>90</v>
      </c>
      <c r="F987" s="56">
        <v>8293.0</v>
      </c>
      <c r="G987" s="56" t="s">
        <v>42</v>
      </c>
      <c r="H987" s="56">
        <v>3661.0</v>
      </c>
      <c r="I987" s="127">
        <v>437.2</v>
      </c>
      <c r="J987" s="127">
        <v>263.33</v>
      </c>
      <c r="K987" s="83">
        <f t="shared" si="1"/>
        <v>1600589.2</v>
      </c>
      <c r="L987" s="83">
        <f t="shared" si="2"/>
        <v>964051.13</v>
      </c>
      <c r="M987" s="83">
        <f t="shared" si="3"/>
        <v>636538.07</v>
      </c>
      <c r="N987" s="46" t="str">
        <f>VLOOKUP(F987,products!$A$2:$B$13,2,FALSE)</f>
        <v>Cosmetics</v>
      </c>
      <c r="O987" s="46" t="s">
        <v>90</v>
      </c>
      <c r="P987" s="46">
        <f t="array" ref="P987">WEEKDAY(B987,2)</f>
        <v>5</v>
      </c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>
      <c r="A988" s="56">
        <v>7.4732722E8</v>
      </c>
      <c r="B988" s="126">
        <v>41869.0</v>
      </c>
      <c r="C988" s="126">
        <v>41897.0</v>
      </c>
      <c r="D988" s="56" t="s">
        <v>95</v>
      </c>
      <c r="E988" s="56" t="s">
        <v>105</v>
      </c>
      <c r="F988" s="56">
        <v>8969.0</v>
      </c>
      <c r="G988" s="56" t="s">
        <v>43</v>
      </c>
      <c r="H988" s="56">
        <v>9587.0</v>
      </c>
      <c r="I988" s="127">
        <v>152.58</v>
      </c>
      <c r="J988" s="127">
        <v>97.44</v>
      </c>
      <c r="K988" s="83">
        <f t="shared" si="1"/>
        <v>1462784.46</v>
      </c>
      <c r="L988" s="83">
        <f t="shared" si="2"/>
        <v>934157.28</v>
      </c>
      <c r="M988" s="83">
        <f t="shared" si="3"/>
        <v>528627.18</v>
      </c>
      <c r="N988" s="46" t="str">
        <f>VLOOKUP(F988,products!$A$2:$B$13,2,FALSE)</f>
        <v>Snacks</v>
      </c>
      <c r="O988" s="46" t="s">
        <v>105</v>
      </c>
      <c r="P988" s="46">
        <f t="array" ref="P988">WEEKDAY(B988,2)</f>
        <v>1</v>
      </c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>
      <c r="A989" s="56">
        <v>7.47774398E8</v>
      </c>
      <c r="B989" s="126">
        <v>42802.0</v>
      </c>
      <c r="C989" s="126">
        <v>42828.0</v>
      </c>
      <c r="D989" s="56" t="s">
        <v>89</v>
      </c>
      <c r="E989" s="56" t="s">
        <v>121</v>
      </c>
      <c r="F989" s="56">
        <v>8875.0</v>
      </c>
      <c r="G989" s="56" t="s">
        <v>42</v>
      </c>
      <c r="H989" s="56">
        <v>1916.0</v>
      </c>
      <c r="I989" s="127">
        <v>421.89</v>
      </c>
      <c r="J989" s="127">
        <v>364.69</v>
      </c>
      <c r="K989" s="83">
        <f t="shared" si="1"/>
        <v>808341.24</v>
      </c>
      <c r="L989" s="83">
        <f t="shared" si="2"/>
        <v>698746.04</v>
      </c>
      <c r="M989" s="83">
        <f t="shared" si="3"/>
        <v>109595.2</v>
      </c>
      <c r="N989" s="46" t="str">
        <f>VLOOKUP(F989,products!$A$2:$B$13,2,FALSE)</f>
        <v>Meat</v>
      </c>
      <c r="O989" s="46" t="s">
        <v>121</v>
      </c>
      <c r="P989" s="46">
        <f t="array" ref="P989">WEEKDAY(B989,2)</f>
        <v>3</v>
      </c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>
      <c r="A990" s="56">
        <v>7.47826755E8</v>
      </c>
      <c r="B990" s="126">
        <v>42933.0</v>
      </c>
      <c r="C990" s="126">
        <v>42938.0</v>
      </c>
      <c r="D990" s="56" t="s">
        <v>10</v>
      </c>
      <c r="E990" s="56" t="s">
        <v>119</v>
      </c>
      <c r="F990" s="56">
        <v>8681.0</v>
      </c>
      <c r="G990" s="56" t="s">
        <v>42</v>
      </c>
      <c r="H990" s="56">
        <v>7410.0</v>
      </c>
      <c r="I990" s="127">
        <v>651.21</v>
      </c>
      <c r="J990" s="127">
        <v>524.96</v>
      </c>
      <c r="K990" s="83">
        <f t="shared" si="1"/>
        <v>4825466.1</v>
      </c>
      <c r="L990" s="83">
        <f t="shared" si="2"/>
        <v>3889953.6</v>
      </c>
      <c r="M990" s="83">
        <f t="shared" si="3"/>
        <v>935512.5</v>
      </c>
      <c r="N990" s="46" t="str">
        <f>VLOOKUP(F990,products!$A$2:$B$13,2,FALSE)</f>
        <v>Office Supplies</v>
      </c>
      <c r="O990" s="46" t="s">
        <v>119</v>
      </c>
      <c r="P990" s="46">
        <f t="array" ref="P990">WEEKDAY(B990,2)</f>
        <v>1</v>
      </c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>
      <c r="A991" s="56">
        <v>7.47955071E8</v>
      </c>
      <c r="B991" s="126">
        <v>42640.0</v>
      </c>
      <c r="C991" s="126">
        <v>42668.0</v>
      </c>
      <c r="D991" s="56" t="s">
        <v>95</v>
      </c>
      <c r="E991" s="56" t="s">
        <v>113</v>
      </c>
      <c r="F991" s="56">
        <v>2455.0</v>
      </c>
      <c r="G991" s="56" t="s">
        <v>42</v>
      </c>
      <c r="H991" s="56">
        <v>5382.0</v>
      </c>
      <c r="I991" s="127">
        <v>109.28</v>
      </c>
      <c r="J991" s="127">
        <v>35.84</v>
      </c>
      <c r="K991" s="83">
        <f t="shared" si="1"/>
        <v>588144.96</v>
      </c>
      <c r="L991" s="83">
        <f t="shared" si="2"/>
        <v>192890.88</v>
      </c>
      <c r="M991" s="83">
        <f t="shared" si="3"/>
        <v>395254.08</v>
      </c>
      <c r="N991" s="46" t="str">
        <f>VLOOKUP(F991,products!$A$2:$B$13,2,FALSE)</f>
        <v>Clothes</v>
      </c>
      <c r="O991" s="46" t="s">
        <v>113</v>
      </c>
      <c r="P991" s="46">
        <f t="array" ref="P991">WEEKDAY(B991,2)</f>
        <v>2</v>
      </c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>
      <c r="A992" s="56">
        <v>7.48357188E8</v>
      </c>
      <c r="B992" s="126">
        <v>40355.0</v>
      </c>
      <c r="C992" s="126">
        <v>40379.0</v>
      </c>
      <c r="D992" s="56" t="s">
        <v>10</v>
      </c>
      <c r="E992" s="56" t="s">
        <v>126</v>
      </c>
      <c r="F992" s="56">
        <v>7331.0</v>
      </c>
      <c r="G992" s="56" t="s">
        <v>42</v>
      </c>
      <c r="H992" s="56">
        <v>4377.0</v>
      </c>
      <c r="I992" s="127">
        <v>255.28</v>
      </c>
      <c r="J992" s="127">
        <v>159.42</v>
      </c>
      <c r="K992" s="83">
        <f t="shared" si="1"/>
        <v>1117360.56</v>
      </c>
      <c r="L992" s="83">
        <f t="shared" si="2"/>
        <v>697781.34</v>
      </c>
      <c r="M992" s="83">
        <f t="shared" si="3"/>
        <v>419579.22</v>
      </c>
      <c r="N992" s="46" t="str">
        <f>VLOOKUP(F992,products!$A$2:$B$13,2,FALSE)</f>
        <v>Baby Food</v>
      </c>
      <c r="O992" s="46" t="s">
        <v>126</v>
      </c>
      <c r="P992" s="46">
        <f t="array" ref="P992">WEEKDAY(B992,2)</f>
        <v>6</v>
      </c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>
      <c r="A993" s="56">
        <v>7.50047194E8</v>
      </c>
      <c r="B993" s="126">
        <v>41121.0</v>
      </c>
      <c r="C993" s="126">
        <v>41170.0</v>
      </c>
      <c r="D993" s="56" t="s">
        <v>89</v>
      </c>
      <c r="E993" s="56" t="s">
        <v>118</v>
      </c>
      <c r="F993" s="56">
        <v>4594.0</v>
      </c>
      <c r="G993" s="56" t="s">
        <v>43</v>
      </c>
      <c r="H993" s="56">
        <v>4487.0</v>
      </c>
      <c r="I993" s="127">
        <v>9.33</v>
      </c>
      <c r="J993" s="127">
        <v>6.92</v>
      </c>
      <c r="K993" s="83">
        <f t="shared" si="1"/>
        <v>41863.71</v>
      </c>
      <c r="L993" s="83">
        <f t="shared" si="2"/>
        <v>31050.04</v>
      </c>
      <c r="M993" s="83">
        <f t="shared" si="3"/>
        <v>10813.67</v>
      </c>
      <c r="N993" s="46" t="str">
        <f>VLOOKUP(F993,products!$A$2:$B$13,2,FALSE)</f>
        <v>Fruits</v>
      </c>
      <c r="O993" s="46" t="s">
        <v>118</v>
      </c>
      <c r="P993" s="46">
        <f t="array" ref="P993">WEEKDAY(B993,2)</f>
        <v>2</v>
      </c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>
      <c r="A994" s="56">
        <v>7.50439441E8</v>
      </c>
      <c r="B994" s="126">
        <v>42689.0</v>
      </c>
      <c r="C994" s="126">
        <v>42733.0</v>
      </c>
      <c r="D994" s="56" t="s">
        <v>95</v>
      </c>
      <c r="E994" s="56" t="s">
        <v>90</v>
      </c>
      <c r="F994" s="56">
        <v>8969.0</v>
      </c>
      <c r="G994" s="56" t="s">
        <v>43</v>
      </c>
      <c r="H994" s="56">
        <v>562.0</v>
      </c>
      <c r="I994" s="127">
        <v>152.58</v>
      </c>
      <c r="J994" s="127">
        <v>97.44</v>
      </c>
      <c r="K994" s="83">
        <f t="shared" si="1"/>
        <v>85749.96</v>
      </c>
      <c r="L994" s="83">
        <f t="shared" si="2"/>
        <v>54761.28</v>
      </c>
      <c r="M994" s="83">
        <f t="shared" si="3"/>
        <v>30988.68</v>
      </c>
      <c r="N994" s="46" t="str">
        <f>VLOOKUP(F994,products!$A$2:$B$13,2,FALSE)</f>
        <v>Snacks</v>
      </c>
      <c r="O994" s="46" t="s">
        <v>90</v>
      </c>
      <c r="P994" s="46">
        <f t="array" ref="P994">WEEKDAY(B994,2)</f>
        <v>2</v>
      </c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>
      <c r="A995" s="56">
        <v>7.50959146E8</v>
      </c>
      <c r="B995" s="126">
        <v>42374.0</v>
      </c>
      <c r="C995" s="126">
        <v>42394.0</v>
      </c>
      <c r="D995" s="56" t="s">
        <v>89</v>
      </c>
      <c r="E995" s="56" t="s">
        <v>94</v>
      </c>
      <c r="F995" s="56">
        <v>7331.0</v>
      </c>
      <c r="G995" s="56" t="s">
        <v>43</v>
      </c>
      <c r="H995" s="56">
        <v>4354.0</v>
      </c>
      <c r="I995" s="127">
        <v>255.28</v>
      </c>
      <c r="J995" s="127">
        <v>159.42</v>
      </c>
      <c r="K995" s="83">
        <f t="shared" si="1"/>
        <v>1111489.12</v>
      </c>
      <c r="L995" s="83">
        <f t="shared" si="2"/>
        <v>694114.68</v>
      </c>
      <c r="M995" s="83">
        <f t="shared" si="3"/>
        <v>417374.44</v>
      </c>
      <c r="N995" s="46" t="str">
        <f>VLOOKUP(F995,products!$A$2:$B$13,2,FALSE)</f>
        <v>Baby Food</v>
      </c>
      <c r="O995" s="46" t="s">
        <v>94</v>
      </c>
      <c r="P995" s="46">
        <f t="array" ref="P995">WEEKDAY(B995,2)</f>
        <v>2</v>
      </c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>
      <c r="A996" s="56">
        <v>7.52792918E8</v>
      </c>
      <c r="B996" s="126">
        <v>41028.0</v>
      </c>
      <c r="C996" s="126">
        <v>41041.0</v>
      </c>
      <c r="D996" s="56" t="s">
        <v>89</v>
      </c>
      <c r="E996" s="56" t="s">
        <v>90</v>
      </c>
      <c r="F996" s="56">
        <v>4594.0</v>
      </c>
      <c r="G996" s="56" t="s">
        <v>42</v>
      </c>
      <c r="H996" s="56">
        <v>7008.0</v>
      </c>
      <c r="I996" s="127">
        <v>9.33</v>
      </c>
      <c r="J996" s="127">
        <v>6.92</v>
      </c>
      <c r="K996" s="83">
        <f t="shared" si="1"/>
        <v>65384.64</v>
      </c>
      <c r="L996" s="83">
        <f t="shared" si="2"/>
        <v>48495.36</v>
      </c>
      <c r="M996" s="83">
        <f t="shared" si="3"/>
        <v>16889.28</v>
      </c>
      <c r="N996" s="46" t="str">
        <f>VLOOKUP(F996,products!$A$2:$B$13,2,FALSE)</f>
        <v>Fruits</v>
      </c>
      <c r="O996" s="46" t="s">
        <v>90</v>
      </c>
      <c r="P996" s="46">
        <f t="array" ref="P996">WEEKDAY(B996,2)</f>
        <v>7</v>
      </c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>
      <c r="A997" s="56">
        <v>7.53166282E8</v>
      </c>
      <c r="B997" s="126">
        <v>40825.0</v>
      </c>
      <c r="C997" s="126">
        <v>40872.0</v>
      </c>
      <c r="D997" s="56" t="s">
        <v>95</v>
      </c>
      <c r="E997" s="56" t="s">
        <v>98</v>
      </c>
      <c r="F997" s="56">
        <v>4594.0</v>
      </c>
      <c r="G997" s="56" t="s">
        <v>43</v>
      </c>
      <c r="H997" s="56">
        <v>7495.0</v>
      </c>
      <c r="I997" s="127">
        <v>9.33</v>
      </c>
      <c r="J997" s="127">
        <v>6.92</v>
      </c>
      <c r="K997" s="83">
        <f t="shared" si="1"/>
        <v>69928.35</v>
      </c>
      <c r="L997" s="83">
        <f t="shared" si="2"/>
        <v>51865.4</v>
      </c>
      <c r="M997" s="83">
        <f t="shared" si="3"/>
        <v>18062.95</v>
      </c>
      <c r="N997" s="46" t="str">
        <f>VLOOKUP(F997,products!$A$2:$B$13,2,FALSE)</f>
        <v>Fruits</v>
      </c>
      <c r="O997" s="46" t="s">
        <v>98</v>
      </c>
      <c r="P997" s="46">
        <f t="array" ref="P997">WEEKDAY(B997,2)</f>
        <v>7</v>
      </c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>
      <c r="A998" s="56">
        <v>7.54227149E8</v>
      </c>
      <c r="B998" s="126">
        <v>41202.0</v>
      </c>
      <c r="C998" s="126">
        <v>41237.0</v>
      </c>
      <c r="D998" s="56" t="s">
        <v>95</v>
      </c>
      <c r="E998" s="56" t="s">
        <v>136</v>
      </c>
      <c r="F998" s="56">
        <v>8681.0</v>
      </c>
      <c r="G998" s="56" t="s">
        <v>43</v>
      </c>
      <c r="H998" s="56">
        <v>1429.0</v>
      </c>
      <c r="I998" s="127">
        <v>651.21</v>
      </c>
      <c r="J998" s="127">
        <v>524.96</v>
      </c>
      <c r="K998" s="83">
        <f t="shared" si="1"/>
        <v>930579.09</v>
      </c>
      <c r="L998" s="83">
        <f t="shared" si="2"/>
        <v>750167.84</v>
      </c>
      <c r="M998" s="83">
        <f t="shared" si="3"/>
        <v>180411.25</v>
      </c>
      <c r="N998" s="46" t="str">
        <f>VLOOKUP(F998,products!$A$2:$B$13,2,FALSE)</f>
        <v>Office Supplies</v>
      </c>
      <c r="O998" s="46" t="s">
        <v>136</v>
      </c>
      <c r="P998" s="46">
        <f t="array" ref="P998">WEEKDAY(B998,2)</f>
        <v>6</v>
      </c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>
      <c r="A999" s="56">
        <v>7.54541289E8</v>
      </c>
      <c r="B999" s="126">
        <v>41985.0</v>
      </c>
      <c r="C999" s="126">
        <v>41992.0</v>
      </c>
      <c r="D999" s="56" t="s">
        <v>93</v>
      </c>
      <c r="E999" s="56" t="s">
        <v>128</v>
      </c>
      <c r="F999" s="56">
        <v>3127.0</v>
      </c>
      <c r="G999" s="56" t="s">
        <v>42</v>
      </c>
      <c r="H999" s="56">
        <v>4390.0</v>
      </c>
      <c r="I999" s="127">
        <v>81.73</v>
      </c>
      <c r="J999" s="127">
        <v>56.67</v>
      </c>
      <c r="K999" s="83">
        <f t="shared" si="1"/>
        <v>358794.7</v>
      </c>
      <c r="L999" s="83">
        <f t="shared" si="2"/>
        <v>248781.3</v>
      </c>
      <c r="M999" s="83">
        <f t="shared" si="3"/>
        <v>110013.4</v>
      </c>
      <c r="N999" s="46" t="str">
        <f>VLOOKUP(F999,products!$A$2:$B$13,2,FALSE)</f>
        <v>Personal Care</v>
      </c>
      <c r="O999" s="46" t="s">
        <v>128</v>
      </c>
      <c r="P999" s="46">
        <f t="array" ref="P999">WEEKDAY(B999,2)</f>
        <v>5</v>
      </c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>
      <c r="A1000" s="56">
        <v>7.55318915E8</v>
      </c>
      <c r="B1000" s="126">
        <v>40704.0</v>
      </c>
      <c r="C1000" s="126">
        <v>40719.0</v>
      </c>
      <c r="D1000" s="56" t="s">
        <v>95</v>
      </c>
      <c r="E1000" s="56" t="s">
        <v>126</v>
      </c>
      <c r="F1000" s="56">
        <v>2455.0</v>
      </c>
      <c r="G1000" s="56" t="s">
        <v>43</v>
      </c>
      <c r="H1000" s="56">
        <v>4507.0</v>
      </c>
      <c r="I1000" s="127">
        <v>109.28</v>
      </c>
      <c r="J1000" s="127">
        <v>35.84</v>
      </c>
      <c r="K1000" s="83">
        <f t="shared" si="1"/>
        <v>492524.96</v>
      </c>
      <c r="L1000" s="83">
        <f t="shared" si="2"/>
        <v>161530.88</v>
      </c>
      <c r="M1000" s="83">
        <f t="shared" si="3"/>
        <v>330994.08</v>
      </c>
      <c r="N1000" s="46" t="str">
        <f>VLOOKUP(F1000,products!$A$2:$B$13,2,FALSE)</f>
        <v>Clothes</v>
      </c>
      <c r="O1000" s="46" t="s">
        <v>126</v>
      </c>
      <c r="P1000" s="46">
        <f t="array" ref="P1000">WEEKDAY(B1000,2)</f>
        <v>5</v>
      </c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  <row r="1001">
      <c r="A1001" s="56">
        <v>7.5560559E8</v>
      </c>
      <c r="B1001" s="126">
        <v>40421.0</v>
      </c>
      <c r="C1001" s="126">
        <v>40432.0</v>
      </c>
      <c r="D1001" s="56" t="s">
        <v>89</v>
      </c>
      <c r="E1001" s="56" t="s">
        <v>114</v>
      </c>
      <c r="F1001" s="56">
        <v>8969.0</v>
      </c>
      <c r="G1001" s="56" t="s">
        <v>43</v>
      </c>
      <c r="H1001" s="56">
        <v>9340.0</v>
      </c>
      <c r="I1001" s="127">
        <v>152.58</v>
      </c>
      <c r="J1001" s="127">
        <v>97.44</v>
      </c>
      <c r="K1001" s="83">
        <f t="shared" si="1"/>
        <v>1425097.2</v>
      </c>
      <c r="L1001" s="83">
        <f t="shared" si="2"/>
        <v>910089.6</v>
      </c>
      <c r="M1001" s="83">
        <f t="shared" si="3"/>
        <v>515007.6</v>
      </c>
      <c r="N1001" s="46" t="str">
        <f>VLOOKUP(F1001,products!$A$2:$B$13,2,FALSE)</f>
        <v>Snacks</v>
      </c>
      <c r="O1001" s="46" t="s">
        <v>114</v>
      </c>
      <c r="P1001" s="46">
        <f t="array" ref="P1001">WEEKDAY(B1001,2)</f>
        <v>2</v>
      </c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</row>
    <row r="1002">
      <c r="A1002" s="56">
        <v>7.56252324E8</v>
      </c>
      <c r="B1002" s="126">
        <v>40196.0</v>
      </c>
      <c r="C1002" s="126">
        <v>40218.0</v>
      </c>
      <c r="D1002" s="56" t="s">
        <v>93</v>
      </c>
      <c r="E1002" s="56" t="s">
        <v>104</v>
      </c>
      <c r="F1002" s="56">
        <v>4594.0</v>
      </c>
      <c r="G1002" s="56" t="s">
        <v>43</v>
      </c>
      <c r="H1002" s="56">
        <v>723.0</v>
      </c>
      <c r="I1002" s="127">
        <v>9.33</v>
      </c>
      <c r="J1002" s="127">
        <v>6.92</v>
      </c>
      <c r="K1002" s="83">
        <f t="shared" si="1"/>
        <v>6745.59</v>
      </c>
      <c r="L1002" s="83">
        <f t="shared" si="2"/>
        <v>5003.16</v>
      </c>
      <c r="M1002" s="83">
        <f t="shared" si="3"/>
        <v>1742.43</v>
      </c>
      <c r="N1002" s="46" t="str">
        <f>VLOOKUP(F1002,products!$A$2:$B$13,2,FALSE)</f>
        <v>Fruits</v>
      </c>
      <c r="O1002" s="46" t="s">
        <v>104</v>
      </c>
      <c r="P1002" s="46">
        <f t="array" ref="P1002">WEEKDAY(B1002,2)</f>
        <v>1</v>
      </c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</row>
    <row r="1003">
      <c r="A1003" s="56">
        <v>7.56395232E8</v>
      </c>
      <c r="B1003" s="126">
        <v>42026.0</v>
      </c>
      <c r="C1003" s="126">
        <v>42076.0</v>
      </c>
      <c r="D1003" s="56" t="s">
        <v>95</v>
      </c>
      <c r="E1003" s="56" t="s">
        <v>114</v>
      </c>
      <c r="F1003" s="56">
        <v>8875.0</v>
      </c>
      <c r="G1003" s="56" t="s">
        <v>43</v>
      </c>
      <c r="H1003" s="56">
        <v>3013.0</v>
      </c>
      <c r="I1003" s="127">
        <v>421.89</v>
      </c>
      <c r="J1003" s="127">
        <v>364.69</v>
      </c>
      <c r="K1003" s="83">
        <f t="shared" si="1"/>
        <v>1271154.57</v>
      </c>
      <c r="L1003" s="83">
        <f t="shared" si="2"/>
        <v>1098810.97</v>
      </c>
      <c r="M1003" s="83">
        <f t="shared" si="3"/>
        <v>172343.6</v>
      </c>
      <c r="N1003" s="46" t="str">
        <f>VLOOKUP(F1003,products!$A$2:$B$13,2,FALSE)</f>
        <v>Meat</v>
      </c>
      <c r="O1003" s="46" t="s">
        <v>114</v>
      </c>
      <c r="P1003" s="46">
        <f t="array" ref="P1003">WEEKDAY(B1003,2)</f>
        <v>4</v>
      </c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</row>
    <row r="1004">
      <c r="A1004" s="56">
        <v>7.57468974E8</v>
      </c>
      <c r="B1004" s="126">
        <v>41347.0</v>
      </c>
      <c r="C1004" s="126">
        <v>41356.0</v>
      </c>
      <c r="D1004" s="56" t="s">
        <v>95</v>
      </c>
      <c r="E1004" s="56" t="s">
        <v>136</v>
      </c>
      <c r="F1004" s="56">
        <v>1270.0</v>
      </c>
      <c r="G1004" s="56" t="s">
        <v>43</v>
      </c>
      <c r="H1004" s="56">
        <v>757.0</v>
      </c>
      <c r="I1004" s="127">
        <v>47.45</v>
      </c>
      <c r="J1004" s="127">
        <v>31.79</v>
      </c>
      <c r="K1004" s="83">
        <f t="shared" si="1"/>
        <v>35919.65</v>
      </c>
      <c r="L1004" s="83">
        <f t="shared" si="2"/>
        <v>24065.03</v>
      </c>
      <c r="M1004" s="83">
        <f t="shared" si="3"/>
        <v>11854.62</v>
      </c>
      <c r="N1004" s="46" t="str">
        <f>VLOOKUP(F1004,products!$A$2:$B$13,2,FALSE)</f>
        <v>Beverages</v>
      </c>
      <c r="O1004" s="46" t="s">
        <v>136</v>
      </c>
      <c r="P1004" s="46">
        <f t="array" ref="P1004">WEEKDAY(B1004,2)</f>
        <v>4</v>
      </c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</row>
    <row r="1005">
      <c r="A1005" s="56">
        <v>7.59086453E8</v>
      </c>
      <c r="B1005" s="126">
        <v>40595.0</v>
      </c>
      <c r="C1005" s="126">
        <v>40601.0</v>
      </c>
      <c r="D1005" s="56" t="s">
        <v>93</v>
      </c>
      <c r="E1005" s="56" t="s">
        <v>114</v>
      </c>
      <c r="F1005" s="56">
        <v>7940.0</v>
      </c>
      <c r="G1005" s="56" t="s">
        <v>43</v>
      </c>
      <c r="H1005" s="56">
        <v>9405.0</v>
      </c>
      <c r="I1005" s="127">
        <v>668.27</v>
      </c>
      <c r="J1005" s="127">
        <v>502.54</v>
      </c>
      <c r="K1005" s="83">
        <f t="shared" si="1"/>
        <v>6285079.35</v>
      </c>
      <c r="L1005" s="83">
        <f t="shared" si="2"/>
        <v>4726388.7</v>
      </c>
      <c r="M1005" s="83">
        <f t="shared" si="3"/>
        <v>1558690.65</v>
      </c>
      <c r="N1005" s="46" t="str">
        <f>VLOOKUP(F1005,products!$A$2:$B$13,2,FALSE)</f>
        <v>Household</v>
      </c>
      <c r="O1005" s="46" t="s">
        <v>114</v>
      </c>
      <c r="P1005" s="46">
        <f t="array" ref="P1005">WEEKDAY(B1005,2)</f>
        <v>1</v>
      </c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</row>
    <row r="1006">
      <c r="A1006" s="56">
        <v>7.59594142E8</v>
      </c>
      <c r="B1006" s="126">
        <v>42926.0</v>
      </c>
      <c r="C1006" s="126">
        <v>42928.0</v>
      </c>
      <c r="D1006" s="56" t="s">
        <v>10</v>
      </c>
      <c r="E1006" s="56" t="s">
        <v>119</v>
      </c>
      <c r="F1006" s="56">
        <v>5988.0</v>
      </c>
      <c r="G1006" s="56" t="s">
        <v>42</v>
      </c>
      <c r="H1006" s="56">
        <v>9641.0</v>
      </c>
      <c r="I1006" s="127">
        <v>154.06</v>
      </c>
      <c r="J1006" s="127">
        <v>90.93</v>
      </c>
      <c r="K1006" s="83">
        <f t="shared" si="1"/>
        <v>1485292.46</v>
      </c>
      <c r="L1006" s="83">
        <f t="shared" si="2"/>
        <v>876656.13</v>
      </c>
      <c r="M1006" s="83">
        <f t="shared" si="3"/>
        <v>608636.33</v>
      </c>
      <c r="N1006" s="46" t="str">
        <f>VLOOKUP(F1006,products!$A$2:$B$13,2,FALSE)</f>
        <v>Vegetables</v>
      </c>
      <c r="O1006" s="46" t="s">
        <v>119</v>
      </c>
      <c r="P1006" s="46">
        <f t="array" ref="P1006">WEEKDAY(B1006,2)</f>
        <v>1</v>
      </c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</row>
    <row r="1007">
      <c r="A1007" s="56">
        <v>7.60280358E8</v>
      </c>
      <c r="B1007" s="126">
        <v>41122.0</v>
      </c>
      <c r="C1007" s="126">
        <v>41142.0</v>
      </c>
      <c r="D1007" s="56" t="s">
        <v>89</v>
      </c>
      <c r="E1007" s="56" t="e">
        <v>#N/A</v>
      </c>
      <c r="F1007" s="56">
        <v>8681.0</v>
      </c>
      <c r="G1007" s="56" t="s">
        <v>42</v>
      </c>
      <c r="H1007" s="56">
        <v>2708.0</v>
      </c>
      <c r="I1007" s="127">
        <v>651.21</v>
      </c>
      <c r="J1007" s="127">
        <v>524.96</v>
      </c>
      <c r="K1007" s="83">
        <f t="shared" si="1"/>
        <v>1763476.68</v>
      </c>
      <c r="L1007" s="83">
        <f t="shared" si="2"/>
        <v>1421591.68</v>
      </c>
      <c r="M1007" s="83">
        <f t="shared" si="3"/>
        <v>341885</v>
      </c>
      <c r="N1007" s="46" t="str">
        <f>VLOOKUP(F1007,products!$A$2:$B$13,2,FALSE)</f>
        <v>Office Supplies</v>
      </c>
      <c r="O1007" s="46" t="s">
        <v>92</v>
      </c>
      <c r="P1007" s="46">
        <f t="array" ref="P1007">WEEKDAY(B1007,2)</f>
        <v>3</v>
      </c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</row>
    <row r="1008">
      <c r="A1008" s="56">
        <v>7.60346877E8</v>
      </c>
      <c r="B1008" s="126">
        <v>42580.0</v>
      </c>
      <c r="C1008" s="126">
        <v>42588.0</v>
      </c>
      <c r="D1008" s="56" t="s">
        <v>89</v>
      </c>
      <c r="E1008" s="56" t="s">
        <v>106</v>
      </c>
      <c r="F1008" s="56">
        <v>7940.0</v>
      </c>
      <c r="G1008" s="56" t="s">
        <v>43</v>
      </c>
      <c r="H1008" s="56">
        <v>2392.0</v>
      </c>
      <c r="I1008" s="127">
        <v>668.27</v>
      </c>
      <c r="J1008" s="127">
        <v>502.54</v>
      </c>
      <c r="K1008" s="83">
        <f t="shared" si="1"/>
        <v>1598501.84</v>
      </c>
      <c r="L1008" s="83">
        <f t="shared" si="2"/>
        <v>1202075.68</v>
      </c>
      <c r="M1008" s="83">
        <f t="shared" si="3"/>
        <v>396426.16</v>
      </c>
      <c r="N1008" s="46" t="str">
        <f>VLOOKUP(F1008,products!$A$2:$B$13,2,FALSE)</f>
        <v>Household</v>
      </c>
      <c r="O1008" s="46" t="s">
        <v>106</v>
      </c>
      <c r="P1008" s="46">
        <f t="array" ref="P1008">WEEKDAY(B1008,2)</f>
        <v>5</v>
      </c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</row>
    <row r="1009">
      <c r="A1009" s="56">
        <v>7.6061939E8</v>
      </c>
      <c r="B1009" s="126">
        <v>40970.0</v>
      </c>
      <c r="C1009" s="126">
        <v>41015.0</v>
      </c>
      <c r="D1009" s="56" t="s">
        <v>10</v>
      </c>
      <c r="E1009" s="56" t="s">
        <v>133</v>
      </c>
      <c r="F1009" s="56">
        <v>5988.0</v>
      </c>
      <c r="G1009" s="56" t="s">
        <v>43</v>
      </c>
      <c r="H1009" s="56">
        <v>3035.0</v>
      </c>
      <c r="I1009" s="127">
        <v>154.06</v>
      </c>
      <c r="J1009" s="127">
        <v>90.93</v>
      </c>
      <c r="K1009" s="83">
        <f t="shared" si="1"/>
        <v>467572.1</v>
      </c>
      <c r="L1009" s="83">
        <f t="shared" si="2"/>
        <v>275972.55</v>
      </c>
      <c r="M1009" s="83">
        <f t="shared" si="3"/>
        <v>191599.55</v>
      </c>
      <c r="N1009" s="46" t="str">
        <f>VLOOKUP(F1009,products!$A$2:$B$13,2,FALSE)</f>
        <v>Vegetables</v>
      </c>
      <c r="O1009" s="46" t="s">
        <v>133</v>
      </c>
      <c r="P1009" s="46">
        <f t="array" ref="P1009">WEEKDAY(B1009,2)</f>
        <v>5</v>
      </c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</row>
    <row r="1010">
      <c r="A1010" s="56">
        <v>7.6172403E8</v>
      </c>
      <c r="B1010" s="126">
        <v>42181.0</v>
      </c>
      <c r="C1010" s="126">
        <v>42229.0</v>
      </c>
      <c r="D1010" s="56" t="s">
        <v>95</v>
      </c>
      <c r="E1010" s="56" t="e">
        <v>#N/A</v>
      </c>
      <c r="F1010" s="56">
        <v>1270.0</v>
      </c>
      <c r="G1010" s="56" t="s">
        <v>43</v>
      </c>
      <c r="H1010" s="56">
        <v>9923.0</v>
      </c>
      <c r="I1010" s="127">
        <v>47.45</v>
      </c>
      <c r="J1010" s="127">
        <v>31.79</v>
      </c>
      <c r="K1010" s="83">
        <f t="shared" si="1"/>
        <v>470846.35</v>
      </c>
      <c r="L1010" s="83">
        <f t="shared" si="2"/>
        <v>315452.17</v>
      </c>
      <c r="M1010" s="83">
        <f t="shared" si="3"/>
        <v>155394.18</v>
      </c>
      <c r="N1010" s="46" t="str">
        <f>VLOOKUP(F1010,products!$A$2:$B$13,2,FALSE)</f>
        <v>Beverages</v>
      </c>
      <c r="O1010" s="46" t="s">
        <v>92</v>
      </c>
      <c r="P1010" s="46">
        <f t="array" ref="P1010">WEEKDAY(B1010,2)</f>
        <v>5</v>
      </c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</row>
    <row r="1011">
      <c r="A1011" s="56">
        <v>7.61887109E8</v>
      </c>
      <c r="B1011" s="126">
        <v>42633.0</v>
      </c>
      <c r="C1011" s="126">
        <v>42657.0</v>
      </c>
      <c r="D1011" s="56" t="s">
        <v>89</v>
      </c>
      <c r="E1011" s="56" t="s">
        <v>109</v>
      </c>
      <c r="F1011" s="56">
        <v>2455.0</v>
      </c>
      <c r="G1011" s="56" t="s">
        <v>42</v>
      </c>
      <c r="H1011" s="56">
        <v>8181.0</v>
      </c>
      <c r="I1011" s="127">
        <v>109.28</v>
      </c>
      <c r="J1011" s="127">
        <v>35.84</v>
      </c>
      <c r="K1011" s="83">
        <f t="shared" si="1"/>
        <v>894019.68</v>
      </c>
      <c r="L1011" s="83">
        <f t="shared" si="2"/>
        <v>293207.04</v>
      </c>
      <c r="M1011" s="83">
        <f t="shared" si="3"/>
        <v>600812.64</v>
      </c>
      <c r="N1011" s="46" t="str">
        <f>VLOOKUP(F1011,products!$A$2:$B$13,2,FALSE)</f>
        <v>Clothes</v>
      </c>
      <c r="O1011" s="46" t="s">
        <v>109</v>
      </c>
      <c r="P1011" s="46">
        <f t="array" ref="P1011">WEEKDAY(B1011,2)</f>
        <v>2</v>
      </c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</row>
    <row r="1012">
      <c r="A1012" s="56">
        <v>7.62117564E8</v>
      </c>
      <c r="B1012" s="126">
        <v>40600.0</v>
      </c>
      <c r="C1012" s="126">
        <v>40630.0</v>
      </c>
      <c r="D1012" s="56" t="s">
        <v>89</v>
      </c>
      <c r="E1012" s="56" t="s">
        <v>113</v>
      </c>
      <c r="F1012" s="56">
        <v>3127.0</v>
      </c>
      <c r="G1012" s="56" t="s">
        <v>43</v>
      </c>
      <c r="H1012" s="56">
        <v>6378.0</v>
      </c>
      <c r="I1012" s="127">
        <v>81.73</v>
      </c>
      <c r="J1012" s="127">
        <v>56.67</v>
      </c>
      <c r="K1012" s="83">
        <f t="shared" si="1"/>
        <v>521273.94</v>
      </c>
      <c r="L1012" s="83">
        <f t="shared" si="2"/>
        <v>361441.26</v>
      </c>
      <c r="M1012" s="83">
        <f t="shared" si="3"/>
        <v>159832.68</v>
      </c>
      <c r="N1012" s="46" t="str">
        <f>VLOOKUP(F1012,products!$A$2:$B$13,2,FALSE)</f>
        <v>Personal Care</v>
      </c>
      <c r="O1012" s="46" t="s">
        <v>113</v>
      </c>
      <c r="P1012" s="46">
        <f t="array" ref="P1012">WEEKDAY(B1012,2)</f>
        <v>6</v>
      </c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</row>
    <row r="1013">
      <c r="A1013" s="56">
        <v>7.62655293E8</v>
      </c>
      <c r="B1013" s="126">
        <v>40467.0</v>
      </c>
      <c r="C1013" s="126">
        <v>40493.0</v>
      </c>
      <c r="D1013" s="56" t="s">
        <v>95</v>
      </c>
      <c r="E1013" s="56" t="s">
        <v>97</v>
      </c>
      <c r="F1013" s="56">
        <v>3127.0</v>
      </c>
      <c r="G1013" s="56" t="s">
        <v>43</v>
      </c>
      <c r="H1013" s="56">
        <v>5504.0</v>
      </c>
      <c r="I1013" s="127">
        <v>81.73</v>
      </c>
      <c r="J1013" s="127">
        <v>56.67</v>
      </c>
      <c r="K1013" s="83">
        <f t="shared" si="1"/>
        <v>449841.92</v>
      </c>
      <c r="L1013" s="83">
        <f t="shared" si="2"/>
        <v>311911.68</v>
      </c>
      <c r="M1013" s="83">
        <f t="shared" si="3"/>
        <v>137930.24</v>
      </c>
      <c r="N1013" s="46" t="str">
        <f>VLOOKUP(F1013,products!$A$2:$B$13,2,FALSE)</f>
        <v>Personal Care</v>
      </c>
      <c r="O1013" s="46" t="s">
        <v>97</v>
      </c>
      <c r="P1013" s="46">
        <f t="array" ref="P1013">WEEKDAY(B1013,2)</f>
        <v>6</v>
      </c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</row>
    <row r="1014">
      <c r="A1014" s="56">
        <v>7.64483058E8</v>
      </c>
      <c r="B1014" s="126">
        <v>41826.0</v>
      </c>
      <c r="C1014" s="126">
        <v>41856.0</v>
      </c>
      <c r="D1014" s="56" t="s">
        <v>10</v>
      </c>
      <c r="E1014" s="56" t="s">
        <v>110</v>
      </c>
      <c r="F1014" s="56">
        <v>8875.0</v>
      </c>
      <c r="G1014" s="56" t="s">
        <v>42</v>
      </c>
      <c r="H1014" s="56">
        <v>6380.0</v>
      </c>
      <c r="I1014" s="127">
        <v>421.89</v>
      </c>
      <c r="J1014" s="127">
        <v>364.69</v>
      </c>
      <c r="K1014" s="83">
        <f t="shared" si="1"/>
        <v>2691658.2</v>
      </c>
      <c r="L1014" s="83">
        <f t="shared" si="2"/>
        <v>2326722.2</v>
      </c>
      <c r="M1014" s="83">
        <f t="shared" si="3"/>
        <v>364936</v>
      </c>
      <c r="N1014" s="46" t="str">
        <f>VLOOKUP(F1014,products!$A$2:$B$13,2,FALSE)</f>
        <v>Meat</v>
      </c>
      <c r="O1014" s="46" t="s">
        <v>110</v>
      </c>
      <c r="P1014" s="46">
        <f t="array" ref="P1014">WEEKDAY(B1014,2)</f>
        <v>7</v>
      </c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</row>
    <row r="1015">
      <c r="A1015" s="56">
        <v>7.64592492E8</v>
      </c>
      <c r="B1015" s="126">
        <v>42530.0</v>
      </c>
      <c r="C1015" s="126">
        <v>42570.0</v>
      </c>
      <c r="D1015" s="56" t="s">
        <v>89</v>
      </c>
      <c r="E1015" s="56" t="s">
        <v>126</v>
      </c>
      <c r="F1015" s="56">
        <v>8681.0</v>
      </c>
      <c r="G1015" s="56" t="s">
        <v>42</v>
      </c>
      <c r="H1015" s="56">
        <v>8764.0</v>
      </c>
      <c r="I1015" s="127">
        <v>651.21</v>
      </c>
      <c r="J1015" s="127">
        <v>524.96</v>
      </c>
      <c r="K1015" s="83">
        <f t="shared" si="1"/>
        <v>5707204.44</v>
      </c>
      <c r="L1015" s="83">
        <f t="shared" si="2"/>
        <v>4600749.44</v>
      </c>
      <c r="M1015" s="83">
        <f t="shared" si="3"/>
        <v>1106455</v>
      </c>
      <c r="N1015" s="46" t="str">
        <f>VLOOKUP(F1015,products!$A$2:$B$13,2,FALSE)</f>
        <v>Office Supplies</v>
      </c>
      <c r="O1015" s="46" t="s">
        <v>126</v>
      </c>
      <c r="P1015" s="46">
        <f t="array" ref="P1015">WEEKDAY(B1015,2)</f>
        <v>4</v>
      </c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</row>
    <row r="1016">
      <c r="A1016" s="56">
        <v>7.6481136E8</v>
      </c>
      <c r="B1016" s="126">
        <v>41171.0</v>
      </c>
      <c r="C1016" s="126">
        <v>41182.0</v>
      </c>
      <c r="D1016" s="56" t="s">
        <v>10</v>
      </c>
      <c r="E1016" s="56" t="s">
        <v>97</v>
      </c>
      <c r="F1016" s="56">
        <v>2103.0</v>
      </c>
      <c r="G1016" s="56" t="s">
        <v>43</v>
      </c>
      <c r="H1016" s="56">
        <v>3532.0</v>
      </c>
      <c r="I1016" s="127">
        <v>205.7</v>
      </c>
      <c r="J1016" s="127">
        <v>117.11</v>
      </c>
      <c r="K1016" s="83">
        <f t="shared" si="1"/>
        <v>726532.4</v>
      </c>
      <c r="L1016" s="83">
        <f t="shared" si="2"/>
        <v>413632.52</v>
      </c>
      <c r="M1016" s="83">
        <f t="shared" si="3"/>
        <v>312899.88</v>
      </c>
      <c r="N1016" s="46" t="str">
        <f>VLOOKUP(F1016,products!$A$2:$B$13,2,FALSE)</f>
        <v>Cereal</v>
      </c>
      <c r="O1016" s="46" t="s">
        <v>97</v>
      </c>
      <c r="P1016" s="46">
        <f t="array" ref="P1016">WEEKDAY(B1016,2)</f>
        <v>3</v>
      </c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</row>
    <row r="1017">
      <c r="A1017" s="56">
        <v>7.64837539E8</v>
      </c>
      <c r="B1017" s="126">
        <v>42619.0</v>
      </c>
      <c r="C1017" s="126">
        <v>42619.0</v>
      </c>
      <c r="D1017" s="56" t="s">
        <v>93</v>
      </c>
      <c r="E1017" s="56" t="s">
        <v>135</v>
      </c>
      <c r="F1017" s="56">
        <v>7331.0</v>
      </c>
      <c r="G1017" s="56" t="s">
        <v>43</v>
      </c>
      <c r="H1017" s="56">
        <v>1279.0</v>
      </c>
      <c r="I1017" s="127">
        <v>255.28</v>
      </c>
      <c r="J1017" s="127">
        <v>159.42</v>
      </c>
      <c r="K1017" s="83">
        <f t="shared" si="1"/>
        <v>326503.12</v>
      </c>
      <c r="L1017" s="83">
        <f t="shared" si="2"/>
        <v>203898.18</v>
      </c>
      <c r="M1017" s="83">
        <f t="shared" si="3"/>
        <v>122604.94</v>
      </c>
      <c r="N1017" s="46" t="str">
        <f>VLOOKUP(F1017,products!$A$2:$B$13,2,FALSE)</f>
        <v>Baby Food</v>
      </c>
      <c r="O1017" s="46" t="s">
        <v>135</v>
      </c>
      <c r="P1017" s="46">
        <f t="array" ref="P1017">WEEKDAY(B1017,2)</f>
        <v>2</v>
      </c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</row>
    <row r="1018">
      <c r="A1018" s="56">
        <v>7.65101468E8</v>
      </c>
      <c r="B1018" s="126">
        <v>41712.0</v>
      </c>
      <c r="C1018" s="126">
        <v>41735.0</v>
      </c>
      <c r="D1018" s="56" t="s">
        <v>95</v>
      </c>
      <c r="E1018" s="56" t="s">
        <v>124</v>
      </c>
      <c r="F1018" s="56">
        <v>8293.0</v>
      </c>
      <c r="G1018" s="56" t="s">
        <v>43</v>
      </c>
      <c r="H1018" s="56">
        <v>9382.0</v>
      </c>
      <c r="I1018" s="127">
        <v>437.2</v>
      </c>
      <c r="J1018" s="127">
        <v>263.33</v>
      </c>
      <c r="K1018" s="83">
        <f t="shared" si="1"/>
        <v>4101810.4</v>
      </c>
      <c r="L1018" s="83">
        <f t="shared" si="2"/>
        <v>2470562.06</v>
      </c>
      <c r="M1018" s="83">
        <f t="shared" si="3"/>
        <v>1631248.34</v>
      </c>
      <c r="N1018" s="46" t="str">
        <f>VLOOKUP(F1018,products!$A$2:$B$13,2,FALSE)</f>
        <v>Cosmetics</v>
      </c>
      <c r="O1018" s="46" t="s">
        <v>124</v>
      </c>
      <c r="P1018" s="46">
        <f t="array" ref="P1018">WEEKDAY(B1018,2)</f>
        <v>5</v>
      </c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</row>
    <row r="1019">
      <c r="A1019" s="56">
        <v>7.65552079E8</v>
      </c>
      <c r="B1019" s="126">
        <v>40704.0</v>
      </c>
      <c r="C1019" s="126">
        <v>40741.0</v>
      </c>
      <c r="D1019" s="56" t="s">
        <v>89</v>
      </c>
      <c r="E1019" s="56" t="s">
        <v>96</v>
      </c>
      <c r="F1019" s="56">
        <v>8969.0</v>
      </c>
      <c r="G1019" s="56" t="s">
        <v>42</v>
      </c>
      <c r="H1019" s="56">
        <v>2727.0</v>
      </c>
      <c r="I1019" s="127">
        <v>152.58</v>
      </c>
      <c r="J1019" s="127">
        <v>97.44</v>
      </c>
      <c r="K1019" s="83">
        <f t="shared" si="1"/>
        <v>416085.66</v>
      </c>
      <c r="L1019" s="83">
        <f t="shared" si="2"/>
        <v>265718.88</v>
      </c>
      <c r="M1019" s="83">
        <f t="shared" si="3"/>
        <v>150366.78</v>
      </c>
      <c r="N1019" s="46" t="str">
        <f>VLOOKUP(F1019,products!$A$2:$B$13,2,FALSE)</f>
        <v>Snacks</v>
      </c>
      <c r="O1019" s="46" t="s">
        <v>96</v>
      </c>
      <c r="P1019" s="46">
        <f t="array" ref="P1019">WEEKDAY(B1019,2)</f>
        <v>5</v>
      </c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</row>
    <row r="1020">
      <c r="A1020" s="56">
        <v>7.6573404E8</v>
      </c>
      <c r="B1020" s="126">
        <v>42926.0</v>
      </c>
      <c r="C1020" s="126">
        <v>42951.0</v>
      </c>
      <c r="D1020" s="56" t="s">
        <v>93</v>
      </c>
      <c r="E1020" s="56" t="s">
        <v>120</v>
      </c>
      <c r="F1020" s="56">
        <v>4594.0</v>
      </c>
      <c r="G1020" s="56" t="s">
        <v>43</v>
      </c>
      <c r="H1020" s="56">
        <v>6574.0</v>
      </c>
      <c r="I1020" s="127">
        <v>9.33</v>
      </c>
      <c r="J1020" s="127">
        <v>6.92</v>
      </c>
      <c r="K1020" s="83">
        <f t="shared" si="1"/>
        <v>61335.42</v>
      </c>
      <c r="L1020" s="83">
        <f t="shared" si="2"/>
        <v>45492.08</v>
      </c>
      <c r="M1020" s="83">
        <f t="shared" si="3"/>
        <v>15843.34</v>
      </c>
      <c r="N1020" s="46" t="str">
        <f>VLOOKUP(F1020,products!$A$2:$B$13,2,FALSE)</f>
        <v>Fruits</v>
      </c>
      <c r="O1020" s="46" t="s">
        <v>120</v>
      </c>
      <c r="P1020" s="46">
        <f t="array" ref="P1020">WEEKDAY(B1020,2)</f>
        <v>1</v>
      </c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</row>
    <row r="1021">
      <c r="A1021" s="56">
        <v>7.65858924E8</v>
      </c>
      <c r="B1021" s="126">
        <v>41809.0</v>
      </c>
      <c r="C1021" s="126">
        <v>41841.0</v>
      </c>
      <c r="D1021" s="56" t="s">
        <v>95</v>
      </c>
      <c r="E1021" s="56" t="s">
        <v>105</v>
      </c>
      <c r="F1021" s="56">
        <v>7940.0</v>
      </c>
      <c r="G1021" s="56" t="s">
        <v>42</v>
      </c>
      <c r="H1021" s="56">
        <v>3530.0</v>
      </c>
      <c r="I1021" s="127">
        <v>668.27</v>
      </c>
      <c r="J1021" s="127">
        <v>502.54</v>
      </c>
      <c r="K1021" s="83">
        <f t="shared" si="1"/>
        <v>2358993.1</v>
      </c>
      <c r="L1021" s="83">
        <f t="shared" si="2"/>
        <v>1773966.2</v>
      </c>
      <c r="M1021" s="83">
        <f t="shared" si="3"/>
        <v>585026.9</v>
      </c>
      <c r="N1021" s="46" t="str">
        <f>VLOOKUP(F1021,products!$A$2:$B$13,2,FALSE)</f>
        <v>Household</v>
      </c>
      <c r="O1021" s="46" t="s">
        <v>105</v>
      </c>
      <c r="P1021" s="46">
        <f t="array" ref="P1021">WEEKDAY(B1021,2)</f>
        <v>4</v>
      </c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</row>
    <row r="1022">
      <c r="A1022" s="56">
        <v>7.66118133E8</v>
      </c>
      <c r="B1022" s="126">
        <v>40460.0</v>
      </c>
      <c r="C1022" s="126">
        <v>40461.0</v>
      </c>
      <c r="D1022" s="56" t="s">
        <v>10</v>
      </c>
      <c r="E1022" s="56" t="s">
        <v>132</v>
      </c>
      <c r="F1022" s="56">
        <v>7940.0</v>
      </c>
      <c r="G1022" s="56" t="s">
        <v>42</v>
      </c>
      <c r="H1022" s="56">
        <v>235.0</v>
      </c>
      <c r="I1022" s="127">
        <v>668.27</v>
      </c>
      <c r="J1022" s="127">
        <v>502.54</v>
      </c>
      <c r="K1022" s="83">
        <f t="shared" si="1"/>
        <v>157043.45</v>
      </c>
      <c r="L1022" s="83">
        <f t="shared" si="2"/>
        <v>118096.9</v>
      </c>
      <c r="M1022" s="83">
        <f t="shared" si="3"/>
        <v>38946.55</v>
      </c>
      <c r="N1022" s="46" t="str">
        <f>VLOOKUP(F1022,products!$A$2:$B$13,2,FALSE)</f>
        <v>Household</v>
      </c>
      <c r="O1022" s="46" t="s">
        <v>132</v>
      </c>
      <c r="P1022" s="46">
        <f t="array" ref="P1022">WEEKDAY(B1022,2)</f>
        <v>6</v>
      </c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</row>
    <row r="1023">
      <c r="A1023" s="56">
        <v>7.67490565E8</v>
      </c>
      <c r="B1023" s="126">
        <v>42385.0</v>
      </c>
      <c r="C1023" s="126">
        <v>42423.0</v>
      </c>
      <c r="D1023" s="56" t="s">
        <v>95</v>
      </c>
      <c r="E1023" s="56" t="s">
        <v>121</v>
      </c>
      <c r="F1023" s="56">
        <v>2455.0</v>
      </c>
      <c r="G1023" s="56" t="s">
        <v>43</v>
      </c>
      <c r="H1023" s="56">
        <v>6368.0</v>
      </c>
      <c r="I1023" s="127">
        <v>109.28</v>
      </c>
      <c r="J1023" s="127">
        <v>35.84</v>
      </c>
      <c r="K1023" s="83">
        <f t="shared" si="1"/>
        <v>695895.04</v>
      </c>
      <c r="L1023" s="83">
        <f t="shared" si="2"/>
        <v>228229.12</v>
      </c>
      <c r="M1023" s="83">
        <f t="shared" si="3"/>
        <v>467665.92</v>
      </c>
      <c r="N1023" s="46" t="str">
        <f>VLOOKUP(F1023,products!$A$2:$B$13,2,FALSE)</f>
        <v>Clothes</v>
      </c>
      <c r="O1023" s="46" t="s">
        <v>121</v>
      </c>
      <c r="P1023" s="46">
        <f t="array" ref="P1023">WEEKDAY(B1023,2)</f>
        <v>6</v>
      </c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</row>
    <row r="1024">
      <c r="A1024" s="56">
        <v>7.68230426E8</v>
      </c>
      <c r="B1024" s="126">
        <v>40329.0</v>
      </c>
      <c r="C1024" s="126">
        <v>40351.0</v>
      </c>
      <c r="D1024" s="56" t="s">
        <v>10</v>
      </c>
      <c r="E1024" s="56" t="s">
        <v>125</v>
      </c>
      <c r="F1024" s="56">
        <v>8969.0</v>
      </c>
      <c r="G1024" s="56" t="s">
        <v>43</v>
      </c>
      <c r="H1024" s="56">
        <v>5310.0</v>
      </c>
      <c r="I1024" s="127">
        <v>152.58</v>
      </c>
      <c r="J1024" s="127">
        <v>97.44</v>
      </c>
      <c r="K1024" s="83">
        <f t="shared" si="1"/>
        <v>810199.8</v>
      </c>
      <c r="L1024" s="83">
        <f t="shared" si="2"/>
        <v>517406.4</v>
      </c>
      <c r="M1024" s="83">
        <f t="shared" si="3"/>
        <v>292793.4</v>
      </c>
      <c r="N1024" s="46" t="str">
        <f>VLOOKUP(F1024,products!$A$2:$B$13,2,FALSE)</f>
        <v>Snacks</v>
      </c>
      <c r="O1024" s="46" t="s">
        <v>125</v>
      </c>
      <c r="P1024" s="46">
        <f t="array" ref="P1024">WEEKDAY(B1024,2)</f>
        <v>1</v>
      </c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</row>
    <row r="1025">
      <c r="A1025" s="56">
        <v>7.68676316E8</v>
      </c>
      <c r="B1025" s="126">
        <v>41645.0</v>
      </c>
      <c r="C1025" s="126">
        <v>41678.0</v>
      </c>
      <c r="D1025" s="56" t="s">
        <v>93</v>
      </c>
      <c r="E1025" s="56" t="s">
        <v>123</v>
      </c>
      <c r="F1025" s="56">
        <v>5988.0</v>
      </c>
      <c r="G1025" s="56" t="s">
        <v>42</v>
      </c>
      <c r="H1025" s="56">
        <v>7259.0</v>
      </c>
      <c r="I1025" s="127">
        <v>154.06</v>
      </c>
      <c r="J1025" s="127">
        <v>90.93</v>
      </c>
      <c r="K1025" s="83">
        <f t="shared" si="1"/>
        <v>1118321.54</v>
      </c>
      <c r="L1025" s="83">
        <f t="shared" si="2"/>
        <v>660060.87</v>
      </c>
      <c r="M1025" s="83">
        <f t="shared" si="3"/>
        <v>458260.67</v>
      </c>
      <c r="N1025" s="46" t="str">
        <f>VLOOKUP(F1025,products!$A$2:$B$13,2,FALSE)</f>
        <v>Vegetables</v>
      </c>
      <c r="O1025" s="46" t="s">
        <v>123</v>
      </c>
      <c r="P1025" s="46">
        <f t="array" ref="P1025">WEEKDAY(B1025,2)</f>
        <v>1</v>
      </c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</row>
    <row r="1026">
      <c r="A1026" s="56">
        <v>7.70821654E8</v>
      </c>
      <c r="B1026" s="126">
        <v>41846.0</v>
      </c>
      <c r="C1026" s="126">
        <v>41870.0</v>
      </c>
      <c r="D1026" s="56" t="s">
        <v>10</v>
      </c>
      <c r="E1026" s="56" t="e">
        <v>#N/A</v>
      </c>
      <c r="F1026" s="56">
        <v>8681.0</v>
      </c>
      <c r="G1026" s="56" t="s">
        <v>42</v>
      </c>
      <c r="H1026" s="56">
        <v>2112.0</v>
      </c>
      <c r="I1026" s="127">
        <v>651.21</v>
      </c>
      <c r="J1026" s="127">
        <v>524.96</v>
      </c>
      <c r="K1026" s="83">
        <f t="shared" si="1"/>
        <v>1375355.52</v>
      </c>
      <c r="L1026" s="83">
        <f t="shared" si="2"/>
        <v>1108715.52</v>
      </c>
      <c r="M1026" s="83">
        <f t="shared" si="3"/>
        <v>266640</v>
      </c>
      <c r="N1026" s="46" t="str">
        <f>VLOOKUP(F1026,products!$A$2:$B$13,2,FALSE)</f>
        <v>Office Supplies</v>
      </c>
      <c r="O1026" s="46" t="s">
        <v>92</v>
      </c>
      <c r="P1026" s="46">
        <f t="array" ref="P1026">WEEKDAY(B1026,2)</f>
        <v>6</v>
      </c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</row>
    <row r="1027">
      <c r="A1027" s="56">
        <v>7.71674382E8</v>
      </c>
      <c r="B1027" s="126">
        <v>41319.0</v>
      </c>
      <c r="C1027" s="126">
        <v>41354.0</v>
      </c>
      <c r="D1027" s="56" t="s">
        <v>93</v>
      </c>
      <c r="E1027" s="56" t="s">
        <v>130</v>
      </c>
      <c r="F1027" s="56">
        <v>5988.0</v>
      </c>
      <c r="G1027" s="56" t="s">
        <v>42</v>
      </c>
      <c r="H1027" s="56">
        <v>4453.0</v>
      </c>
      <c r="I1027" s="127">
        <v>154.06</v>
      </c>
      <c r="J1027" s="127">
        <v>90.93</v>
      </c>
      <c r="K1027" s="83">
        <f t="shared" si="1"/>
        <v>686029.18</v>
      </c>
      <c r="L1027" s="83">
        <f t="shared" si="2"/>
        <v>404911.29</v>
      </c>
      <c r="M1027" s="83">
        <f t="shared" si="3"/>
        <v>281117.89</v>
      </c>
      <c r="N1027" s="46" t="str">
        <f>VLOOKUP(F1027,products!$A$2:$B$13,2,FALSE)</f>
        <v>Vegetables</v>
      </c>
      <c r="O1027" s="46" t="s">
        <v>130</v>
      </c>
      <c r="P1027" s="46">
        <f t="array" ref="P1027">WEEKDAY(B1027,2)</f>
        <v>4</v>
      </c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</row>
    <row r="1028">
      <c r="A1028" s="56">
        <v>7.72643411E8</v>
      </c>
      <c r="B1028" s="126">
        <v>40378.0</v>
      </c>
      <c r="C1028" s="126">
        <v>40415.0</v>
      </c>
      <c r="D1028" s="56" t="s">
        <v>93</v>
      </c>
      <c r="E1028" s="56" t="s">
        <v>132</v>
      </c>
      <c r="F1028" s="56">
        <v>2103.0</v>
      </c>
      <c r="G1028" s="56" t="s">
        <v>43</v>
      </c>
      <c r="H1028" s="56">
        <v>1210.0</v>
      </c>
      <c r="I1028" s="127">
        <v>205.7</v>
      </c>
      <c r="J1028" s="127">
        <v>117.11</v>
      </c>
      <c r="K1028" s="83">
        <f t="shared" si="1"/>
        <v>248897</v>
      </c>
      <c r="L1028" s="83">
        <f t="shared" si="2"/>
        <v>141703.1</v>
      </c>
      <c r="M1028" s="83">
        <f t="shared" si="3"/>
        <v>107193.9</v>
      </c>
      <c r="N1028" s="46" t="str">
        <f>VLOOKUP(F1028,products!$A$2:$B$13,2,FALSE)</f>
        <v>Cereal</v>
      </c>
      <c r="O1028" s="46" t="s">
        <v>132</v>
      </c>
      <c r="P1028" s="46">
        <f t="array" ref="P1028">WEEKDAY(B1028,2)</f>
        <v>1</v>
      </c>
      <c r="Q1028" s="46"/>
      <c r="R1028" s="46"/>
      <c r="S1028" s="46"/>
      <c r="T1028" s="46"/>
      <c r="U1028" s="46"/>
      <c r="V1028" s="46"/>
      <c r="W1028" s="46"/>
      <c r="X1028" s="46"/>
      <c r="Y1028" s="46"/>
      <c r="Z1028" s="46"/>
    </row>
    <row r="1029">
      <c r="A1029" s="56">
        <v>7.72893178E8</v>
      </c>
      <c r="B1029" s="126">
        <v>40910.0</v>
      </c>
      <c r="C1029" s="126">
        <v>40910.0</v>
      </c>
      <c r="D1029" s="56" t="s">
        <v>93</v>
      </c>
      <c r="E1029" s="56" t="s">
        <v>120</v>
      </c>
      <c r="F1029" s="56">
        <v>1270.0</v>
      </c>
      <c r="G1029" s="56" t="s">
        <v>42</v>
      </c>
      <c r="H1029" s="56">
        <v>5122.0</v>
      </c>
      <c r="I1029" s="127">
        <v>47.45</v>
      </c>
      <c r="J1029" s="127">
        <v>31.79</v>
      </c>
      <c r="K1029" s="83">
        <f t="shared" si="1"/>
        <v>243038.9</v>
      </c>
      <c r="L1029" s="83">
        <f t="shared" si="2"/>
        <v>162828.38</v>
      </c>
      <c r="M1029" s="83">
        <f t="shared" si="3"/>
        <v>80210.52</v>
      </c>
      <c r="N1029" s="46" t="str">
        <f>VLOOKUP(F1029,products!$A$2:$B$13,2,FALSE)</f>
        <v>Beverages</v>
      </c>
      <c r="O1029" s="46" t="s">
        <v>120</v>
      </c>
      <c r="P1029" s="46">
        <f t="array" ref="P1029">WEEKDAY(B1029,2)</f>
        <v>1</v>
      </c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</row>
    <row r="1030">
      <c r="A1030" s="56">
        <v>7.73645913E8</v>
      </c>
      <c r="B1030" s="126">
        <v>40565.0</v>
      </c>
      <c r="C1030" s="126">
        <v>40571.0</v>
      </c>
      <c r="D1030" s="56" t="s">
        <v>95</v>
      </c>
      <c r="E1030" s="56" t="s">
        <v>113</v>
      </c>
      <c r="F1030" s="56">
        <v>8293.0</v>
      </c>
      <c r="G1030" s="56" t="s">
        <v>43</v>
      </c>
      <c r="H1030" s="56">
        <v>7873.0</v>
      </c>
      <c r="I1030" s="127">
        <v>437.2</v>
      </c>
      <c r="J1030" s="127">
        <v>263.33</v>
      </c>
      <c r="K1030" s="83">
        <f t="shared" si="1"/>
        <v>3442075.6</v>
      </c>
      <c r="L1030" s="83">
        <f t="shared" si="2"/>
        <v>2073197.09</v>
      </c>
      <c r="M1030" s="83">
        <f t="shared" si="3"/>
        <v>1368878.51</v>
      </c>
      <c r="N1030" s="46" t="str">
        <f>VLOOKUP(F1030,products!$A$2:$B$13,2,FALSE)</f>
        <v>Cosmetics</v>
      </c>
      <c r="O1030" s="46" t="s">
        <v>113</v>
      </c>
      <c r="P1030" s="46">
        <f t="array" ref="P1030">WEEKDAY(B1030,2)</f>
        <v>6</v>
      </c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</row>
    <row r="1031">
      <c r="A1031" s="56">
        <v>7.74698626E8</v>
      </c>
      <c r="B1031" s="126">
        <v>42441.0</v>
      </c>
      <c r="C1031" s="126">
        <v>42467.0</v>
      </c>
      <c r="D1031" s="56" t="s">
        <v>93</v>
      </c>
      <c r="E1031" s="56" t="s">
        <v>125</v>
      </c>
      <c r="F1031" s="56">
        <v>4594.0</v>
      </c>
      <c r="G1031" s="56" t="s">
        <v>43</v>
      </c>
      <c r="H1031" s="56">
        <v>9394.0</v>
      </c>
      <c r="I1031" s="127">
        <v>9.33</v>
      </c>
      <c r="J1031" s="127">
        <v>6.92</v>
      </c>
      <c r="K1031" s="83">
        <f t="shared" si="1"/>
        <v>87646.02</v>
      </c>
      <c r="L1031" s="83">
        <f t="shared" si="2"/>
        <v>65006.48</v>
      </c>
      <c r="M1031" s="83">
        <f t="shared" si="3"/>
        <v>22639.54</v>
      </c>
      <c r="N1031" s="46" t="str">
        <f>VLOOKUP(F1031,products!$A$2:$B$13,2,FALSE)</f>
        <v>Fruits</v>
      </c>
      <c r="O1031" s="46" t="s">
        <v>125</v>
      </c>
      <c r="P1031" s="46">
        <f t="array" ref="P1031">WEEKDAY(B1031,2)</f>
        <v>6</v>
      </c>
      <c r="Q1031" s="46"/>
      <c r="R1031" s="46"/>
      <c r="S1031" s="46"/>
      <c r="T1031" s="46"/>
      <c r="U1031" s="46"/>
      <c r="V1031" s="46"/>
      <c r="W1031" s="46"/>
      <c r="X1031" s="46"/>
      <c r="Y1031" s="46"/>
      <c r="Z1031" s="46"/>
    </row>
    <row r="1032">
      <c r="A1032" s="56">
        <v>7.74926936E8</v>
      </c>
      <c r="B1032" s="126">
        <v>41967.0</v>
      </c>
      <c r="C1032" s="126">
        <v>41970.0</v>
      </c>
      <c r="D1032" s="56" t="s">
        <v>89</v>
      </c>
      <c r="E1032" s="56" t="s">
        <v>114</v>
      </c>
      <c r="F1032" s="56">
        <v>4594.0</v>
      </c>
      <c r="G1032" s="56" t="s">
        <v>42</v>
      </c>
      <c r="H1032" s="56">
        <v>6956.0</v>
      </c>
      <c r="I1032" s="127">
        <v>9.33</v>
      </c>
      <c r="J1032" s="127">
        <v>6.92</v>
      </c>
      <c r="K1032" s="83">
        <f t="shared" si="1"/>
        <v>64899.48</v>
      </c>
      <c r="L1032" s="83">
        <f t="shared" si="2"/>
        <v>48135.52</v>
      </c>
      <c r="M1032" s="83">
        <f t="shared" si="3"/>
        <v>16763.96</v>
      </c>
      <c r="N1032" s="46" t="str">
        <f>VLOOKUP(F1032,products!$A$2:$B$13,2,FALSE)</f>
        <v>Fruits</v>
      </c>
      <c r="O1032" s="46" t="s">
        <v>114</v>
      </c>
      <c r="P1032" s="46">
        <f t="array" ref="P1032">WEEKDAY(B1032,2)</f>
        <v>1</v>
      </c>
      <c r="Q1032" s="46"/>
      <c r="R1032" s="46"/>
      <c r="S1032" s="46"/>
      <c r="T1032" s="46"/>
      <c r="U1032" s="46"/>
      <c r="V1032" s="46"/>
      <c r="W1032" s="46"/>
      <c r="X1032" s="46"/>
      <c r="Y1032" s="46"/>
      <c r="Z1032" s="46"/>
    </row>
    <row r="1033">
      <c r="A1033" s="56">
        <v>7.75008904E8</v>
      </c>
      <c r="B1033" s="126">
        <v>41604.0</v>
      </c>
      <c r="C1033" s="126">
        <v>41641.0</v>
      </c>
      <c r="D1033" s="56" t="s">
        <v>89</v>
      </c>
      <c r="E1033" s="56" t="s">
        <v>129</v>
      </c>
      <c r="F1033" s="56">
        <v>7331.0</v>
      </c>
      <c r="G1033" s="56" t="s">
        <v>43</v>
      </c>
      <c r="H1033" s="56">
        <v>1212.0</v>
      </c>
      <c r="I1033" s="127">
        <v>255.28</v>
      </c>
      <c r="J1033" s="127">
        <v>159.42</v>
      </c>
      <c r="K1033" s="83">
        <f t="shared" si="1"/>
        <v>309399.36</v>
      </c>
      <c r="L1033" s="83">
        <f t="shared" si="2"/>
        <v>193217.04</v>
      </c>
      <c r="M1033" s="83">
        <f t="shared" si="3"/>
        <v>116182.32</v>
      </c>
      <c r="N1033" s="46" t="str">
        <f>VLOOKUP(F1033,products!$A$2:$B$13,2,FALSE)</f>
        <v>Baby Food</v>
      </c>
      <c r="O1033" s="46" t="s">
        <v>129</v>
      </c>
      <c r="P1033" s="46">
        <f t="array" ref="P1033">WEEKDAY(B1033,2)</f>
        <v>2</v>
      </c>
      <c r="Q1033" s="46"/>
      <c r="R1033" s="46"/>
      <c r="S1033" s="46"/>
      <c r="T1033" s="46"/>
      <c r="U1033" s="46"/>
      <c r="V1033" s="46"/>
      <c r="W1033" s="46"/>
      <c r="X1033" s="46"/>
      <c r="Y1033" s="46"/>
      <c r="Z1033" s="46"/>
    </row>
    <row r="1034">
      <c r="A1034" s="56">
        <v>7.75347936E8</v>
      </c>
      <c r="B1034" s="126">
        <v>41452.0</v>
      </c>
      <c r="C1034" s="126">
        <v>41463.0</v>
      </c>
      <c r="D1034" s="56" t="s">
        <v>10</v>
      </c>
      <c r="E1034" s="56" t="s">
        <v>99</v>
      </c>
      <c r="F1034" s="56">
        <v>7331.0</v>
      </c>
      <c r="G1034" s="56" t="s">
        <v>42</v>
      </c>
      <c r="H1034" s="56">
        <v>1539.0</v>
      </c>
      <c r="I1034" s="127">
        <v>255.28</v>
      </c>
      <c r="J1034" s="127">
        <v>159.42</v>
      </c>
      <c r="K1034" s="83">
        <f t="shared" si="1"/>
        <v>392875.92</v>
      </c>
      <c r="L1034" s="83">
        <f t="shared" si="2"/>
        <v>245347.38</v>
      </c>
      <c r="M1034" s="83">
        <f t="shared" si="3"/>
        <v>147528.54</v>
      </c>
      <c r="N1034" s="46" t="str">
        <f>VLOOKUP(F1034,products!$A$2:$B$13,2,FALSE)</f>
        <v>Baby Food</v>
      </c>
      <c r="O1034" s="46" t="s">
        <v>99</v>
      </c>
      <c r="P1034" s="46">
        <f t="array" ref="P1034">WEEKDAY(B1034,2)</f>
        <v>4</v>
      </c>
      <c r="Q1034" s="46"/>
      <c r="R1034" s="46"/>
      <c r="S1034" s="46"/>
      <c r="T1034" s="46"/>
      <c r="U1034" s="46"/>
      <c r="V1034" s="46"/>
      <c r="W1034" s="46"/>
      <c r="X1034" s="46"/>
      <c r="Y1034" s="46"/>
      <c r="Z1034" s="46"/>
    </row>
    <row r="1035">
      <c r="A1035" s="56">
        <v>7.75849616E8</v>
      </c>
      <c r="B1035" s="126">
        <v>40956.0</v>
      </c>
      <c r="C1035" s="126">
        <v>40973.0</v>
      </c>
      <c r="D1035" s="56" t="s">
        <v>10</v>
      </c>
      <c r="E1035" s="56" t="s">
        <v>115</v>
      </c>
      <c r="F1035" s="56">
        <v>8681.0</v>
      </c>
      <c r="G1035" s="56" t="s">
        <v>42</v>
      </c>
      <c r="H1035" s="56">
        <v>9997.0</v>
      </c>
      <c r="I1035" s="127">
        <v>651.21</v>
      </c>
      <c r="J1035" s="127">
        <v>524.96</v>
      </c>
      <c r="K1035" s="83">
        <f t="shared" si="1"/>
        <v>6510146.37</v>
      </c>
      <c r="L1035" s="83">
        <f t="shared" si="2"/>
        <v>5248025.12</v>
      </c>
      <c r="M1035" s="83">
        <f t="shared" si="3"/>
        <v>1262121.25</v>
      </c>
      <c r="N1035" s="46" t="str">
        <f>VLOOKUP(F1035,products!$A$2:$B$13,2,FALSE)</f>
        <v>Office Supplies</v>
      </c>
      <c r="O1035" s="46" t="s">
        <v>115</v>
      </c>
      <c r="P1035" s="46">
        <f t="array" ref="P1035">WEEKDAY(B1035,2)</f>
        <v>5</v>
      </c>
      <c r="Q1035" s="46"/>
      <c r="R1035" s="46"/>
      <c r="S1035" s="46"/>
      <c r="T1035" s="46"/>
      <c r="U1035" s="46"/>
      <c r="V1035" s="46"/>
      <c r="W1035" s="46"/>
      <c r="X1035" s="46"/>
      <c r="Y1035" s="46"/>
      <c r="Z1035" s="46"/>
    </row>
    <row r="1036">
      <c r="A1036" s="56">
        <v>7.7701863E8</v>
      </c>
      <c r="B1036" s="126">
        <v>42419.0</v>
      </c>
      <c r="C1036" s="126">
        <v>42448.0</v>
      </c>
      <c r="D1036" s="56" t="s">
        <v>93</v>
      </c>
      <c r="E1036" s="56" t="s">
        <v>106</v>
      </c>
      <c r="F1036" s="56">
        <v>5988.0</v>
      </c>
      <c r="G1036" s="56" t="s">
        <v>43</v>
      </c>
      <c r="H1036" s="56">
        <v>5935.0</v>
      </c>
      <c r="I1036" s="127">
        <v>154.06</v>
      </c>
      <c r="J1036" s="127">
        <v>90.93</v>
      </c>
      <c r="K1036" s="83">
        <f t="shared" si="1"/>
        <v>914346.1</v>
      </c>
      <c r="L1036" s="83">
        <f t="shared" si="2"/>
        <v>539669.55</v>
      </c>
      <c r="M1036" s="83">
        <f t="shared" si="3"/>
        <v>374676.55</v>
      </c>
      <c r="N1036" s="46" t="str">
        <f>VLOOKUP(F1036,products!$A$2:$B$13,2,FALSE)</f>
        <v>Vegetables</v>
      </c>
      <c r="O1036" s="46" t="s">
        <v>106</v>
      </c>
      <c r="P1036" s="46">
        <f t="array" ref="P1036">WEEKDAY(B1036,2)</f>
        <v>5</v>
      </c>
      <c r="Q1036" s="46"/>
      <c r="R1036" s="46"/>
      <c r="S1036" s="46"/>
      <c r="T1036" s="46"/>
      <c r="U1036" s="46"/>
      <c r="V1036" s="46"/>
      <c r="W1036" s="46"/>
      <c r="X1036" s="46"/>
      <c r="Y1036" s="46"/>
      <c r="Z1036" s="46"/>
    </row>
    <row r="1037">
      <c r="A1037" s="56">
        <v>7.80590045E8</v>
      </c>
      <c r="B1037" s="126">
        <v>41527.0</v>
      </c>
      <c r="C1037" s="126">
        <v>41550.0</v>
      </c>
      <c r="D1037" s="56" t="s">
        <v>95</v>
      </c>
      <c r="E1037" s="56" t="s">
        <v>125</v>
      </c>
      <c r="F1037" s="56">
        <v>8875.0</v>
      </c>
      <c r="G1037" s="56" t="s">
        <v>42</v>
      </c>
      <c r="H1037" s="56">
        <v>2796.0</v>
      </c>
      <c r="I1037" s="127">
        <v>421.89</v>
      </c>
      <c r="J1037" s="127">
        <v>364.69</v>
      </c>
      <c r="K1037" s="83">
        <f t="shared" si="1"/>
        <v>1179604.44</v>
      </c>
      <c r="L1037" s="83">
        <f t="shared" si="2"/>
        <v>1019673.24</v>
      </c>
      <c r="M1037" s="83">
        <f t="shared" si="3"/>
        <v>159931.2</v>
      </c>
      <c r="N1037" s="46" t="str">
        <f>VLOOKUP(F1037,products!$A$2:$B$13,2,FALSE)</f>
        <v>Meat</v>
      </c>
      <c r="O1037" s="46" t="s">
        <v>125</v>
      </c>
      <c r="P1037" s="46">
        <f t="array" ref="P1037">WEEKDAY(B1037,2)</f>
        <v>2</v>
      </c>
      <c r="Q1037" s="46"/>
      <c r="R1037" s="46"/>
      <c r="S1037" s="46"/>
      <c r="T1037" s="46"/>
      <c r="U1037" s="46"/>
      <c r="V1037" s="46"/>
      <c r="W1037" s="46"/>
      <c r="X1037" s="46"/>
      <c r="Y1037" s="46"/>
      <c r="Z1037" s="46"/>
    </row>
    <row r="1038">
      <c r="A1038" s="56">
        <v>7.80899035E8</v>
      </c>
      <c r="B1038" s="126">
        <v>41073.0</v>
      </c>
      <c r="C1038" s="126">
        <v>41120.0</v>
      </c>
      <c r="D1038" s="56" t="s">
        <v>95</v>
      </c>
      <c r="E1038" s="56" t="s">
        <v>96</v>
      </c>
      <c r="F1038" s="56">
        <v>8293.0</v>
      </c>
      <c r="G1038" s="56" t="s">
        <v>42</v>
      </c>
      <c r="H1038" s="56">
        <v>4233.0</v>
      </c>
      <c r="I1038" s="127">
        <v>437.2</v>
      </c>
      <c r="J1038" s="127">
        <v>263.33</v>
      </c>
      <c r="K1038" s="83">
        <f t="shared" si="1"/>
        <v>1850667.6</v>
      </c>
      <c r="L1038" s="83">
        <f t="shared" si="2"/>
        <v>1114675.89</v>
      </c>
      <c r="M1038" s="83">
        <f t="shared" si="3"/>
        <v>735991.71</v>
      </c>
      <c r="N1038" s="46" t="str">
        <f>VLOOKUP(F1038,products!$A$2:$B$13,2,FALSE)</f>
        <v>Cosmetics</v>
      </c>
      <c r="O1038" s="46" t="s">
        <v>96</v>
      </c>
      <c r="P1038" s="46">
        <f t="array" ref="P1038">WEEKDAY(B1038,2)</f>
        <v>3</v>
      </c>
      <c r="Q1038" s="46"/>
      <c r="R1038" s="46"/>
      <c r="S1038" s="46"/>
      <c r="T1038" s="46"/>
      <c r="U1038" s="46"/>
      <c r="V1038" s="46"/>
      <c r="W1038" s="46"/>
      <c r="X1038" s="46"/>
      <c r="Y1038" s="46"/>
      <c r="Z1038" s="46"/>
    </row>
    <row r="1039">
      <c r="A1039" s="56">
        <v>7.81083571E8</v>
      </c>
      <c r="B1039" s="126">
        <v>42530.0</v>
      </c>
      <c r="C1039" s="126">
        <v>42539.0</v>
      </c>
      <c r="D1039" s="56" t="s">
        <v>10</v>
      </c>
      <c r="E1039" s="56" t="s">
        <v>99</v>
      </c>
      <c r="F1039" s="56">
        <v>2455.0</v>
      </c>
      <c r="G1039" s="56" t="s">
        <v>43</v>
      </c>
      <c r="H1039" s="56">
        <v>8841.0</v>
      </c>
      <c r="I1039" s="127">
        <v>109.28</v>
      </c>
      <c r="J1039" s="127">
        <v>35.84</v>
      </c>
      <c r="K1039" s="83">
        <f t="shared" si="1"/>
        <v>966144.48</v>
      </c>
      <c r="L1039" s="83">
        <f t="shared" si="2"/>
        <v>316861.44</v>
      </c>
      <c r="M1039" s="83">
        <f t="shared" si="3"/>
        <v>649283.04</v>
      </c>
      <c r="N1039" s="46" t="str">
        <f>VLOOKUP(F1039,products!$A$2:$B$13,2,FALSE)</f>
        <v>Clothes</v>
      </c>
      <c r="O1039" s="46" t="s">
        <v>99</v>
      </c>
      <c r="P1039" s="46">
        <f t="array" ref="P1039">WEEKDAY(B1039,2)</f>
        <v>4</v>
      </c>
      <c r="Q1039" s="46"/>
      <c r="R1039" s="46"/>
      <c r="S1039" s="46"/>
      <c r="T1039" s="46"/>
      <c r="U1039" s="46"/>
      <c r="V1039" s="46"/>
      <c r="W1039" s="46"/>
      <c r="X1039" s="46"/>
      <c r="Y1039" s="46"/>
      <c r="Z1039" s="46"/>
    </row>
    <row r="1040">
      <c r="A1040" s="56">
        <v>7.81416594E8</v>
      </c>
      <c r="B1040" s="126">
        <v>42317.0</v>
      </c>
      <c r="C1040" s="126">
        <v>42361.0</v>
      </c>
      <c r="D1040" s="56" t="s">
        <v>89</v>
      </c>
      <c r="E1040" s="56" t="s">
        <v>101</v>
      </c>
      <c r="F1040" s="56">
        <v>8875.0</v>
      </c>
      <c r="G1040" s="56" t="s">
        <v>42</v>
      </c>
      <c r="H1040" s="56">
        <v>7390.0</v>
      </c>
      <c r="I1040" s="127">
        <v>421.89</v>
      </c>
      <c r="J1040" s="127">
        <v>364.69</v>
      </c>
      <c r="K1040" s="83">
        <f t="shared" si="1"/>
        <v>3117767.1</v>
      </c>
      <c r="L1040" s="83">
        <f t="shared" si="2"/>
        <v>2695059.1</v>
      </c>
      <c r="M1040" s="83">
        <f t="shared" si="3"/>
        <v>422708</v>
      </c>
      <c r="N1040" s="46" t="str">
        <f>VLOOKUP(F1040,products!$A$2:$B$13,2,FALSE)</f>
        <v>Meat</v>
      </c>
      <c r="O1040" s="46" t="s">
        <v>101</v>
      </c>
      <c r="P1040" s="46">
        <f t="array" ref="P1040">WEEKDAY(B1040,2)</f>
        <v>1</v>
      </c>
      <c r="Q1040" s="46"/>
      <c r="R1040" s="46"/>
      <c r="S1040" s="46"/>
      <c r="T1040" s="46"/>
      <c r="U1040" s="46"/>
      <c r="V1040" s="46"/>
      <c r="W1040" s="46"/>
      <c r="X1040" s="46"/>
      <c r="Y1040" s="46"/>
      <c r="Z1040" s="46"/>
    </row>
    <row r="1041">
      <c r="A1041" s="56">
        <v>7.831169E8</v>
      </c>
      <c r="B1041" s="126">
        <v>42792.0</v>
      </c>
      <c r="C1041" s="126">
        <v>42808.0</v>
      </c>
      <c r="D1041" s="56" t="s">
        <v>93</v>
      </c>
      <c r="E1041" s="56" t="s">
        <v>103</v>
      </c>
      <c r="F1041" s="56">
        <v>2455.0</v>
      </c>
      <c r="G1041" s="56" t="s">
        <v>43</v>
      </c>
      <c r="H1041" s="56">
        <v>548.0</v>
      </c>
      <c r="I1041" s="127">
        <v>109.28</v>
      </c>
      <c r="J1041" s="127">
        <v>35.84</v>
      </c>
      <c r="K1041" s="83">
        <f t="shared" si="1"/>
        <v>59885.44</v>
      </c>
      <c r="L1041" s="83">
        <f t="shared" si="2"/>
        <v>19640.32</v>
      </c>
      <c r="M1041" s="83">
        <f t="shared" si="3"/>
        <v>40245.12</v>
      </c>
      <c r="N1041" s="46" t="str">
        <f>VLOOKUP(F1041,products!$A$2:$B$13,2,FALSE)</f>
        <v>Clothes</v>
      </c>
      <c r="O1041" s="46" t="s">
        <v>103</v>
      </c>
      <c r="P1041" s="46">
        <f t="array" ref="P1041">WEEKDAY(B1041,2)</f>
        <v>7</v>
      </c>
      <c r="Q1041" s="46"/>
      <c r="R1041" s="46"/>
      <c r="S1041" s="46"/>
      <c r="T1041" s="46"/>
      <c r="U1041" s="46"/>
      <c r="V1041" s="46"/>
      <c r="W1041" s="46"/>
      <c r="X1041" s="46"/>
      <c r="Y1041" s="46"/>
      <c r="Z1041" s="46"/>
    </row>
    <row r="1042">
      <c r="A1042" s="56">
        <v>7.83594977E8</v>
      </c>
      <c r="B1042" s="126">
        <v>42850.0</v>
      </c>
      <c r="C1042" s="126">
        <v>42856.0</v>
      </c>
      <c r="D1042" s="56" t="s">
        <v>95</v>
      </c>
      <c r="E1042" s="56" t="s">
        <v>113</v>
      </c>
      <c r="F1042" s="56">
        <v>8875.0</v>
      </c>
      <c r="G1042" s="56" t="s">
        <v>42</v>
      </c>
      <c r="H1042" s="56">
        <v>2022.0</v>
      </c>
      <c r="I1042" s="127">
        <v>421.89</v>
      </c>
      <c r="J1042" s="127">
        <v>364.69</v>
      </c>
      <c r="K1042" s="83">
        <f t="shared" si="1"/>
        <v>853061.58</v>
      </c>
      <c r="L1042" s="83">
        <f t="shared" si="2"/>
        <v>737403.18</v>
      </c>
      <c r="M1042" s="83">
        <f t="shared" si="3"/>
        <v>115658.4</v>
      </c>
      <c r="N1042" s="46" t="str">
        <f>VLOOKUP(F1042,products!$A$2:$B$13,2,FALSE)</f>
        <v>Meat</v>
      </c>
      <c r="O1042" s="46" t="s">
        <v>113</v>
      </c>
      <c r="P1042" s="46">
        <f t="array" ref="P1042">WEEKDAY(B1042,2)</f>
        <v>2</v>
      </c>
      <c r="Q1042" s="46"/>
      <c r="R1042" s="46"/>
      <c r="S1042" s="46"/>
      <c r="T1042" s="46"/>
      <c r="U1042" s="46"/>
      <c r="V1042" s="46"/>
      <c r="W1042" s="46"/>
      <c r="X1042" s="46"/>
      <c r="Y1042" s="46"/>
      <c r="Z1042" s="46"/>
    </row>
    <row r="1043">
      <c r="A1043" s="56">
        <v>7.83913838E8</v>
      </c>
      <c r="B1043" s="126">
        <v>41310.0</v>
      </c>
      <c r="C1043" s="126">
        <v>41342.0</v>
      </c>
      <c r="D1043" s="56" t="s">
        <v>95</v>
      </c>
      <c r="E1043" s="56" t="e">
        <v>#N/A</v>
      </c>
      <c r="F1043" s="56">
        <v>8969.0</v>
      </c>
      <c r="G1043" s="56" t="s">
        <v>43</v>
      </c>
      <c r="H1043" s="56">
        <v>6380.0</v>
      </c>
      <c r="I1043" s="127">
        <v>152.58</v>
      </c>
      <c r="J1043" s="127">
        <v>97.44</v>
      </c>
      <c r="K1043" s="83">
        <f t="shared" si="1"/>
        <v>973460.4</v>
      </c>
      <c r="L1043" s="83">
        <f t="shared" si="2"/>
        <v>621667.2</v>
      </c>
      <c r="M1043" s="83">
        <f t="shared" si="3"/>
        <v>351793.2</v>
      </c>
      <c r="N1043" s="46" t="str">
        <f>VLOOKUP(F1043,products!$A$2:$B$13,2,FALSE)</f>
        <v>Snacks</v>
      </c>
      <c r="O1043" s="46" t="s">
        <v>92</v>
      </c>
      <c r="P1043" s="46">
        <f t="array" ref="P1043">WEEKDAY(B1043,2)</f>
        <v>2</v>
      </c>
      <c r="Q1043" s="46"/>
      <c r="R1043" s="46"/>
      <c r="S1043" s="46"/>
      <c r="T1043" s="46"/>
      <c r="U1043" s="46"/>
      <c r="V1043" s="46"/>
      <c r="W1043" s="46"/>
      <c r="X1043" s="46"/>
      <c r="Y1043" s="46"/>
      <c r="Z1043" s="46"/>
    </row>
    <row r="1044">
      <c r="A1044" s="56">
        <v>7.84397923E8</v>
      </c>
      <c r="B1044" s="126">
        <v>41428.0</v>
      </c>
      <c r="C1044" s="126">
        <v>41440.0</v>
      </c>
      <c r="D1044" s="56" t="s">
        <v>10</v>
      </c>
      <c r="E1044" s="56" t="s">
        <v>135</v>
      </c>
      <c r="F1044" s="56">
        <v>8969.0</v>
      </c>
      <c r="G1044" s="56" t="s">
        <v>42</v>
      </c>
      <c r="H1044" s="56">
        <v>9631.0</v>
      </c>
      <c r="I1044" s="127">
        <v>152.58</v>
      </c>
      <c r="J1044" s="127">
        <v>97.44</v>
      </c>
      <c r="K1044" s="83">
        <f t="shared" si="1"/>
        <v>1469497.98</v>
      </c>
      <c r="L1044" s="83">
        <f t="shared" si="2"/>
        <v>938444.64</v>
      </c>
      <c r="M1044" s="83">
        <f t="shared" si="3"/>
        <v>531053.34</v>
      </c>
      <c r="N1044" s="46" t="str">
        <f>VLOOKUP(F1044,products!$A$2:$B$13,2,FALSE)</f>
        <v>Snacks</v>
      </c>
      <c r="O1044" s="46" t="s">
        <v>135</v>
      </c>
      <c r="P1044" s="46">
        <f t="array" ref="P1044">WEEKDAY(B1044,2)</f>
        <v>1</v>
      </c>
      <c r="Q1044" s="46"/>
      <c r="R1044" s="46"/>
      <c r="S1044" s="46"/>
      <c r="T1044" s="46"/>
      <c r="U1044" s="46"/>
      <c r="V1044" s="46"/>
      <c r="W1044" s="46"/>
      <c r="X1044" s="46"/>
      <c r="Y1044" s="46"/>
      <c r="Z1044" s="46"/>
    </row>
    <row r="1045">
      <c r="A1045" s="56">
        <v>7.85364806E8</v>
      </c>
      <c r="B1045" s="126">
        <v>42047.0</v>
      </c>
      <c r="C1045" s="126">
        <v>42084.0</v>
      </c>
      <c r="D1045" s="56" t="s">
        <v>89</v>
      </c>
      <c r="E1045" s="56" t="s">
        <v>116</v>
      </c>
      <c r="F1045" s="56">
        <v>7940.0</v>
      </c>
      <c r="G1045" s="56" t="s">
        <v>42</v>
      </c>
      <c r="H1045" s="56">
        <v>5754.0</v>
      </c>
      <c r="I1045" s="127">
        <v>668.27</v>
      </c>
      <c r="J1045" s="127">
        <v>502.54</v>
      </c>
      <c r="K1045" s="83">
        <f t="shared" si="1"/>
        <v>3845225.58</v>
      </c>
      <c r="L1045" s="83">
        <f t="shared" si="2"/>
        <v>2891615.16</v>
      </c>
      <c r="M1045" s="83">
        <f t="shared" si="3"/>
        <v>953610.42</v>
      </c>
      <c r="N1045" s="46" t="str">
        <f>VLOOKUP(F1045,products!$A$2:$B$13,2,FALSE)</f>
        <v>Household</v>
      </c>
      <c r="O1045" s="46" t="s">
        <v>116</v>
      </c>
      <c r="P1045" s="46">
        <f t="array" ref="P1045">WEEKDAY(B1045,2)</f>
        <v>4</v>
      </c>
      <c r="Q1045" s="46"/>
      <c r="R1045" s="46"/>
      <c r="S1045" s="46"/>
      <c r="T1045" s="46"/>
      <c r="U1045" s="46"/>
      <c r="V1045" s="46"/>
      <c r="W1045" s="46"/>
      <c r="X1045" s="46"/>
      <c r="Y1045" s="46"/>
      <c r="Z1045" s="46"/>
    </row>
    <row r="1046">
      <c r="A1046" s="56">
        <v>7.86318385E8</v>
      </c>
      <c r="B1046" s="126">
        <v>42927.0</v>
      </c>
      <c r="C1046" s="126">
        <v>42970.0</v>
      </c>
      <c r="D1046" s="56" t="s">
        <v>89</v>
      </c>
      <c r="E1046" s="56" t="s">
        <v>121</v>
      </c>
      <c r="F1046" s="56">
        <v>1270.0</v>
      </c>
      <c r="G1046" s="56" t="s">
        <v>42</v>
      </c>
      <c r="H1046" s="56">
        <v>7939.0</v>
      </c>
      <c r="I1046" s="127">
        <v>47.45</v>
      </c>
      <c r="J1046" s="127">
        <v>31.79</v>
      </c>
      <c r="K1046" s="83">
        <f t="shared" si="1"/>
        <v>376705.55</v>
      </c>
      <c r="L1046" s="83">
        <f t="shared" si="2"/>
        <v>252380.81</v>
      </c>
      <c r="M1046" s="83">
        <f t="shared" si="3"/>
        <v>124324.74</v>
      </c>
      <c r="N1046" s="46" t="str">
        <f>VLOOKUP(F1046,products!$A$2:$B$13,2,FALSE)</f>
        <v>Beverages</v>
      </c>
      <c r="O1046" s="46" t="s">
        <v>121</v>
      </c>
      <c r="P1046" s="46">
        <f t="array" ref="P1046">WEEKDAY(B1046,2)</f>
        <v>2</v>
      </c>
      <c r="Q1046" s="46"/>
      <c r="R1046" s="46"/>
      <c r="S1046" s="46"/>
      <c r="T1046" s="46"/>
      <c r="U1046" s="46"/>
      <c r="V1046" s="46"/>
      <c r="W1046" s="46"/>
      <c r="X1046" s="46"/>
      <c r="Y1046" s="46"/>
      <c r="Z1046" s="46"/>
    </row>
    <row r="1047">
      <c r="A1047" s="56">
        <v>7.8948425E8</v>
      </c>
      <c r="B1047" s="126">
        <v>40729.0</v>
      </c>
      <c r="C1047" s="126">
        <v>40754.0</v>
      </c>
      <c r="D1047" s="56" t="s">
        <v>89</v>
      </c>
      <c r="E1047" s="56" t="s">
        <v>114</v>
      </c>
      <c r="F1047" s="56">
        <v>8969.0</v>
      </c>
      <c r="G1047" s="56" t="s">
        <v>43</v>
      </c>
      <c r="H1047" s="56">
        <v>4789.0</v>
      </c>
      <c r="I1047" s="127">
        <v>152.58</v>
      </c>
      <c r="J1047" s="127">
        <v>97.44</v>
      </c>
      <c r="K1047" s="83">
        <f t="shared" si="1"/>
        <v>730705.62</v>
      </c>
      <c r="L1047" s="83">
        <f t="shared" si="2"/>
        <v>466640.16</v>
      </c>
      <c r="M1047" s="83">
        <f t="shared" si="3"/>
        <v>264065.46</v>
      </c>
      <c r="N1047" s="46" t="str">
        <f>VLOOKUP(F1047,products!$A$2:$B$13,2,FALSE)</f>
        <v>Snacks</v>
      </c>
      <c r="O1047" s="46" t="s">
        <v>114</v>
      </c>
      <c r="P1047" s="46">
        <f t="array" ref="P1047">WEEKDAY(B1047,2)</f>
        <v>2</v>
      </c>
      <c r="Q1047" s="46"/>
      <c r="R1047" s="46"/>
      <c r="S1047" s="46"/>
      <c r="T1047" s="46"/>
      <c r="U1047" s="46"/>
      <c r="V1047" s="46"/>
      <c r="W1047" s="46"/>
      <c r="X1047" s="46"/>
      <c r="Y1047" s="46"/>
      <c r="Z1047" s="46"/>
    </row>
    <row r="1048">
      <c r="A1048" s="56">
        <v>7.89760196E8</v>
      </c>
      <c r="B1048" s="126">
        <v>42710.0</v>
      </c>
      <c r="C1048" s="126">
        <v>42737.0</v>
      </c>
      <c r="D1048" s="56" t="s">
        <v>10</v>
      </c>
      <c r="E1048" s="56" t="s">
        <v>101</v>
      </c>
      <c r="F1048" s="56">
        <v>3127.0</v>
      </c>
      <c r="G1048" s="56" t="s">
        <v>43</v>
      </c>
      <c r="H1048" s="56">
        <v>6447.0</v>
      </c>
      <c r="I1048" s="127">
        <v>81.73</v>
      </c>
      <c r="J1048" s="127">
        <v>56.67</v>
      </c>
      <c r="K1048" s="83">
        <f t="shared" si="1"/>
        <v>526913.31</v>
      </c>
      <c r="L1048" s="83">
        <f t="shared" si="2"/>
        <v>365351.49</v>
      </c>
      <c r="M1048" s="83">
        <f t="shared" si="3"/>
        <v>161561.82</v>
      </c>
      <c r="N1048" s="46" t="str">
        <f>VLOOKUP(F1048,products!$A$2:$B$13,2,FALSE)</f>
        <v>Personal Care</v>
      </c>
      <c r="O1048" s="46" t="s">
        <v>101</v>
      </c>
      <c r="P1048" s="46">
        <f t="array" ref="P1048">WEEKDAY(B1048,2)</f>
        <v>2</v>
      </c>
      <c r="Q1048" s="46"/>
      <c r="R1048" s="46"/>
      <c r="S1048" s="46"/>
      <c r="T1048" s="46"/>
      <c r="U1048" s="46"/>
      <c r="V1048" s="46"/>
      <c r="W1048" s="46"/>
      <c r="X1048" s="46"/>
      <c r="Y1048" s="46"/>
      <c r="Z1048" s="46"/>
    </row>
    <row r="1049">
      <c r="A1049" s="56">
        <v>7.90149009E8</v>
      </c>
      <c r="B1049" s="126">
        <v>40686.0</v>
      </c>
      <c r="C1049" s="126">
        <v>40692.0</v>
      </c>
      <c r="D1049" s="56" t="s">
        <v>10</v>
      </c>
      <c r="E1049" s="56" t="s">
        <v>117</v>
      </c>
      <c r="F1049" s="56">
        <v>8293.0</v>
      </c>
      <c r="G1049" s="56" t="s">
        <v>43</v>
      </c>
      <c r="H1049" s="56">
        <v>1505.0</v>
      </c>
      <c r="I1049" s="127">
        <v>437.2</v>
      </c>
      <c r="J1049" s="127">
        <v>263.33</v>
      </c>
      <c r="K1049" s="83">
        <f t="shared" si="1"/>
        <v>657986</v>
      </c>
      <c r="L1049" s="83">
        <f t="shared" si="2"/>
        <v>396311.65</v>
      </c>
      <c r="M1049" s="83">
        <f t="shared" si="3"/>
        <v>261674.35</v>
      </c>
      <c r="N1049" s="46" t="str">
        <f>VLOOKUP(F1049,products!$A$2:$B$13,2,FALSE)</f>
        <v>Cosmetics</v>
      </c>
      <c r="O1049" s="46" t="s">
        <v>117</v>
      </c>
      <c r="P1049" s="46">
        <f t="array" ref="P1049">WEEKDAY(B1049,2)</f>
        <v>1</v>
      </c>
      <c r="Q1049" s="46"/>
      <c r="R1049" s="46"/>
      <c r="S1049" s="46"/>
      <c r="T1049" s="46"/>
      <c r="U1049" s="46"/>
      <c r="V1049" s="46"/>
      <c r="W1049" s="46"/>
      <c r="X1049" s="46"/>
      <c r="Y1049" s="46"/>
      <c r="Z1049" s="46"/>
    </row>
    <row r="1050">
      <c r="A1050" s="56">
        <v>7.91692674E8</v>
      </c>
      <c r="B1050" s="126">
        <v>41564.0</v>
      </c>
      <c r="C1050" s="126">
        <v>41602.0</v>
      </c>
      <c r="D1050" s="56" t="s">
        <v>93</v>
      </c>
      <c r="E1050" s="56" t="s">
        <v>109</v>
      </c>
      <c r="F1050" s="56">
        <v>4594.0</v>
      </c>
      <c r="G1050" s="56" t="s">
        <v>43</v>
      </c>
      <c r="H1050" s="56">
        <v>8310.0</v>
      </c>
      <c r="I1050" s="127">
        <v>9.33</v>
      </c>
      <c r="J1050" s="127">
        <v>6.92</v>
      </c>
      <c r="K1050" s="83">
        <f t="shared" si="1"/>
        <v>77532.3</v>
      </c>
      <c r="L1050" s="83">
        <f t="shared" si="2"/>
        <v>57505.2</v>
      </c>
      <c r="M1050" s="83">
        <f t="shared" si="3"/>
        <v>20027.1</v>
      </c>
      <c r="N1050" s="46" t="str">
        <f>VLOOKUP(F1050,products!$A$2:$B$13,2,FALSE)</f>
        <v>Fruits</v>
      </c>
      <c r="O1050" s="46" t="s">
        <v>109</v>
      </c>
      <c r="P1050" s="46">
        <f t="array" ref="P1050">WEEKDAY(B1050,2)</f>
        <v>4</v>
      </c>
      <c r="Q1050" s="46"/>
      <c r="R1050" s="46"/>
      <c r="S1050" s="46"/>
      <c r="T1050" s="46"/>
      <c r="U1050" s="46"/>
      <c r="V1050" s="46"/>
      <c r="W1050" s="46"/>
      <c r="X1050" s="46"/>
      <c r="Y1050" s="46"/>
      <c r="Z1050" s="46"/>
    </row>
    <row r="1051">
      <c r="A1051" s="56">
        <v>7.91890084E8</v>
      </c>
      <c r="B1051" s="126">
        <v>41965.0</v>
      </c>
      <c r="C1051" s="126">
        <v>41988.0</v>
      </c>
      <c r="D1051" s="56" t="s">
        <v>95</v>
      </c>
      <c r="E1051" s="56" t="s">
        <v>109</v>
      </c>
      <c r="F1051" s="56">
        <v>2103.0</v>
      </c>
      <c r="G1051" s="56" t="s">
        <v>42</v>
      </c>
      <c r="H1051" s="56">
        <v>6728.0</v>
      </c>
      <c r="I1051" s="127">
        <v>205.7</v>
      </c>
      <c r="J1051" s="127">
        <v>117.11</v>
      </c>
      <c r="K1051" s="83">
        <f t="shared" si="1"/>
        <v>1383949.6</v>
      </c>
      <c r="L1051" s="83">
        <f t="shared" si="2"/>
        <v>787916.08</v>
      </c>
      <c r="M1051" s="83">
        <f t="shared" si="3"/>
        <v>596033.52</v>
      </c>
      <c r="N1051" s="46" t="str">
        <f>VLOOKUP(F1051,products!$A$2:$B$13,2,FALSE)</f>
        <v>Cereal</v>
      </c>
      <c r="O1051" s="46" t="s">
        <v>109</v>
      </c>
      <c r="P1051" s="46">
        <f t="array" ref="P1051">WEEKDAY(B1051,2)</f>
        <v>6</v>
      </c>
      <c r="Q1051" s="46"/>
      <c r="R1051" s="46"/>
      <c r="S1051" s="46"/>
      <c r="T1051" s="46"/>
      <c r="U1051" s="46"/>
      <c r="V1051" s="46"/>
      <c r="W1051" s="46"/>
      <c r="X1051" s="46"/>
      <c r="Y1051" s="46"/>
      <c r="Z1051" s="46"/>
    </row>
    <row r="1052">
      <c r="A1052" s="56">
        <v>7.92178905E8</v>
      </c>
      <c r="B1052" s="126">
        <v>42889.0</v>
      </c>
      <c r="C1052" s="126">
        <v>42937.0</v>
      </c>
      <c r="D1052" s="56" t="s">
        <v>93</v>
      </c>
      <c r="E1052" s="56" t="s">
        <v>136</v>
      </c>
      <c r="F1052" s="56">
        <v>2103.0</v>
      </c>
      <c r="G1052" s="56" t="s">
        <v>43</v>
      </c>
      <c r="H1052" s="56">
        <v>2197.0</v>
      </c>
      <c r="I1052" s="127">
        <v>205.7</v>
      </c>
      <c r="J1052" s="127">
        <v>117.11</v>
      </c>
      <c r="K1052" s="83">
        <f t="shared" si="1"/>
        <v>451922.9</v>
      </c>
      <c r="L1052" s="83">
        <f t="shared" si="2"/>
        <v>257290.67</v>
      </c>
      <c r="M1052" s="83">
        <f t="shared" si="3"/>
        <v>194632.23</v>
      </c>
      <c r="N1052" s="46" t="str">
        <f>VLOOKUP(F1052,products!$A$2:$B$13,2,FALSE)</f>
        <v>Cereal</v>
      </c>
      <c r="O1052" s="46" t="s">
        <v>136</v>
      </c>
      <c r="P1052" s="46">
        <f t="array" ref="P1052">WEEKDAY(B1052,2)</f>
        <v>6</v>
      </c>
      <c r="Q1052" s="46"/>
      <c r="R1052" s="46"/>
      <c r="S1052" s="46"/>
      <c r="T1052" s="46"/>
      <c r="U1052" s="46"/>
      <c r="V1052" s="46"/>
      <c r="W1052" s="46"/>
      <c r="X1052" s="46"/>
      <c r="Y1052" s="46"/>
      <c r="Z1052" s="46"/>
    </row>
    <row r="1053">
      <c r="A1053" s="56">
        <v>7.92792594E8</v>
      </c>
      <c r="B1053" s="126">
        <v>42333.0</v>
      </c>
      <c r="C1053" s="126">
        <v>42371.0</v>
      </c>
      <c r="D1053" s="56" t="s">
        <v>89</v>
      </c>
      <c r="E1053" s="56" t="e">
        <v>#N/A</v>
      </c>
      <c r="F1053" s="56">
        <v>7940.0</v>
      </c>
      <c r="G1053" s="56" t="s">
        <v>42</v>
      </c>
      <c r="H1053" s="56">
        <v>3801.0</v>
      </c>
      <c r="I1053" s="127">
        <v>668.27</v>
      </c>
      <c r="J1053" s="127">
        <v>502.54</v>
      </c>
      <c r="K1053" s="83">
        <f t="shared" si="1"/>
        <v>2540094.27</v>
      </c>
      <c r="L1053" s="83">
        <f t="shared" si="2"/>
        <v>1910154.54</v>
      </c>
      <c r="M1053" s="83">
        <f t="shared" si="3"/>
        <v>629939.73</v>
      </c>
      <c r="N1053" s="46" t="str">
        <f>VLOOKUP(F1053,products!$A$2:$B$13,2,FALSE)</f>
        <v>Household</v>
      </c>
      <c r="O1053" s="46" t="s">
        <v>92</v>
      </c>
      <c r="P1053" s="46">
        <f t="array" ref="P1053">WEEKDAY(B1053,2)</f>
        <v>3</v>
      </c>
      <c r="Q1053" s="46"/>
      <c r="R1053" s="46"/>
      <c r="S1053" s="46"/>
      <c r="T1053" s="46"/>
      <c r="U1053" s="46"/>
      <c r="V1053" s="46"/>
      <c r="W1053" s="46"/>
      <c r="X1053" s="46"/>
      <c r="Y1053" s="46"/>
      <c r="Z1053" s="46"/>
    </row>
    <row r="1054">
      <c r="A1054" s="56">
        <v>7.95141351E8</v>
      </c>
      <c r="B1054" s="126">
        <v>40229.0</v>
      </c>
      <c r="C1054" s="126">
        <v>40233.0</v>
      </c>
      <c r="D1054" s="56" t="s">
        <v>95</v>
      </c>
      <c r="E1054" s="56" t="s">
        <v>138</v>
      </c>
      <c r="F1054" s="56">
        <v>1270.0</v>
      </c>
      <c r="G1054" s="56" t="s">
        <v>42</v>
      </c>
      <c r="H1054" s="56">
        <v>8850.0</v>
      </c>
      <c r="I1054" s="127">
        <v>47.45</v>
      </c>
      <c r="J1054" s="127">
        <v>31.79</v>
      </c>
      <c r="K1054" s="83">
        <f t="shared" si="1"/>
        <v>419932.5</v>
      </c>
      <c r="L1054" s="83">
        <f t="shared" si="2"/>
        <v>281341.5</v>
      </c>
      <c r="M1054" s="83">
        <f t="shared" si="3"/>
        <v>138591</v>
      </c>
      <c r="N1054" s="46" t="str">
        <f>VLOOKUP(F1054,products!$A$2:$B$13,2,FALSE)</f>
        <v>Beverages</v>
      </c>
      <c r="O1054" s="46" t="s">
        <v>138</v>
      </c>
      <c r="P1054" s="46">
        <f t="array" ref="P1054">WEEKDAY(B1054,2)</f>
        <v>6</v>
      </c>
      <c r="Q1054" s="46"/>
      <c r="R1054" s="46"/>
      <c r="S1054" s="46"/>
      <c r="T1054" s="46"/>
      <c r="U1054" s="46"/>
      <c r="V1054" s="46"/>
      <c r="W1054" s="46"/>
      <c r="X1054" s="46"/>
      <c r="Y1054" s="46"/>
      <c r="Z1054" s="46"/>
    </row>
    <row r="1055">
      <c r="A1055" s="56">
        <v>7.96418511E8</v>
      </c>
      <c r="B1055" s="126">
        <v>42778.0</v>
      </c>
      <c r="C1055" s="126">
        <v>42817.0</v>
      </c>
      <c r="D1055" s="56" t="s">
        <v>93</v>
      </c>
      <c r="E1055" s="56" t="s">
        <v>119</v>
      </c>
      <c r="F1055" s="56">
        <v>8875.0</v>
      </c>
      <c r="G1055" s="56" t="s">
        <v>43</v>
      </c>
      <c r="H1055" s="56">
        <v>6791.0</v>
      </c>
      <c r="I1055" s="127">
        <v>421.89</v>
      </c>
      <c r="J1055" s="127">
        <v>364.69</v>
      </c>
      <c r="K1055" s="83">
        <f t="shared" si="1"/>
        <v>2865054.99</v>
      </c>
      <c r="L1055" s="83">
        <f t="shared" si="2"/>
        <v>2476609.79</v>
      </c>
      <c r="M1055" s="83">
        <f t="shared" si="3"/>
        <v>388445.2</v>
      </c>
      <c r="N1055" s="46" t="str">
        <f>VLOOKUP(F1055,products!$A$2:$B$13,2,FALSE)</f>
        <v>Meat</v>
      </c>
      <c r="O1055" s="46" t="s">
        <v>119</v>
      </c>
      <c r="P1055" s="46">
        <f t="array" ref="P1055">WEEKDAY(B1055,2)</f>
        <v>7</v>
      </c>
      <c r="Q1055" s="46"/>
      <c r="R1055" s="46"/>
      <c r="S1055" s="46"/>
      <c r="T1055" s="46"/>
      <c r="U1055" s="46"/>
      <c r="V1055" s="46"/>
      <c r="W1055" s="46"/>
      <c r="X1055" s="46"/>
      <c r="Y1055" s="46"/>
      <c r="Z1055" s="46"/>
    </row>
    <row r="1056">
      <c r="A1056" s="56">
        <v>7.97202146E8</v>
      </c>
      <c r="B1056" s="126">
        <v>41557.0</v>
      </c>
      <c r="C1056" s="126">
        <v>41595.0</v>
      </c>
      <c r="D1056" s="56" t="s">
        <v>89</v>
      </c>
      <c r="E1056" s="56" t="s">
        <v>111</v>
      </c>
      <c r="F1056" s="56">
        <v>1270.0</v>
      </c>
      <c r="G1056" s="56" t="s">
        <v>43</v>
      </c>
      <c r="H1056" s="56">
        <v>8685.0</v>
      </c>
      <c r="I1056" s="127">
        <v>47.45</v>
      </c>
      <c r="J1056" s="127">
        <v>31.79</v>
      </c>
      <c r="K1056" s="83">
        <f t="shared" si="1"/>
        <v>412103.25</v>
      </c>
      <c r="L1056" s="83">
        <f t="shared" si="2"/>
        <v>276096.15</v>
      </c>
      <c r="M1056" s="83">
        <f t="shared" si="3"/>
        <v>136007.1</v>
      </c>
      <c r="N1056" s="46" t="str">
        <f>VLOOKUP(F1056,products!$A$2:$B$13,2,FALSE)</f>
        <v>Beverages</v>
      </c>
      <c r="O1056" s="46" t="s">
        <v>111</v>
      </c>
      <c r="P1056" s="46">
        <f t="array" ref="P1056">WEEKDAY(B1056,2)</f>
        <v>4</v>
      </c>
      <c r="Q1056" s="46"/>
      <c r="R1056" s="46"/>
      <c r="S1056" s="46"/>
      <c r="T1056" s="46"/>
      <c r="U1056" s="46"/>
      <c r="V1056" s="46"/>
      <c r="W1056" s="46"/>
      <c r="X1056" s="46"/>
      <c r="Y1056" s="46"/>
      <c r="Z1056" s="46"/>
    </row>
    <row r="1057">
      <c r="A1057" s="56">
        <v>7.973163E8</v>
      </c>
      <c r="B1057" s="126">
        <v>42703.0</v>
      </c>
      <c r="C1057" s="126">
        <v>42703.0</v>
      </c>
      <c r="D1057" s="56" t="s">
        <v>95</v>
      </c>
      <c r="E1057" s="56" t="s">
        <v>91</v>
      </c>
      <c r="F1057" s="56">
        <v>1270.0</v>
      </c>
      <c r="G1057" s="56" t="s">
        <v>42</v>
      </c>
      <c r="H1057" s="56">
        <v>2466.0</v>
      </c>
      <c r="I1057" s="127">
        <v>47.45</v>
      </c>
      <c r="J1057" s="127">
        <v>31.79</v>
      </c>
      <c r="K1057" s="83">
        <f t="shared" si="1"/>
        <v>117011.7</v>
      </c>
      <c r="L1057" s="83">
        <f t="shared" si="2"/>
        <v>78394.14</v>
      </c>
      <c r="M1057" s="83">
        <f t="shared" si="3"/>
        <v>38617.56</v>
      </c>
      <c r="N1057" s="46" t="str">
        <f>VLOOKUP(F1057,products!$A$2:$B$13,2,FALSE)</f>
        <v>Beverages</v>
      </c>
      <c r="O1057" s="46" t="s">
        <v>91</v>
      </c>
      <c r="P1057" s="46">
        <f t="array" ref="P1057">WEEKDAY(B1057,2)</f>
        <v>2</v>
      </c>
      <c r="Q1057" s="46"/>
      <c r="R1057" s="46"/>
      <c r="S1057" s="46"/>
      <c r="T1057" s="46"/>
      <c r="U1057" s="46"/>
      <c r="V1057" s="46"/>
      <c r="W1057" s="46"/>
      <c r="X1057" s="46"/>
      <c r="Y1057" s="46"/>
      <c r="Z1057" s="46"/>
    </row>
    <row r="1058">
      <c r="A1058" s="56">
        <v>7.97461354E8</v>
      </c>
      <c r="B1058" s="126">
        <v>40208.0</v>
      </c>
      <c r="C1058" s="126">
        <v>40214.0</v>
      </c>
      <c r="D1058" s="56" t="s">
        <v>95</v>
      </c>
      <c r="E1058" s="56" t="s">
        <v>122</v>
      </c>
      <c r="F1058" s="56">
        <v>1270.0</v>
      </c>
      <c r="G1058" s="56" t="s">
        <v>43</v>
      </c>
      <c r="H1058" s="56">
        <v>5391.0</v>
      </c>
      <c r="I1058" s="127">
        <v>47.45</v>
      </c>
      <c r="J1058" s="127">
        <v>31.79</v>
      </c>
      <c r="K1058" s="83">
        <f t="shared" si="1"/>
        <v>255802.95</v>
      </c>
      <c r="L1058" s="83">
        <f t="shared" si="2"/>
        <v>171379.89</v>
      </c>
      <c r="M1058" s="83">
        <f t="shared" si="3"/>
        <v>84423.06</v>
      </c>
      <c r="N1058" s="46" t="str">
        <f>VLOOKUP(F1058,products!$A$2:$B$13,2,FALSE)</f>
        <v>Beverages</v>
      </c>
      <c r="O1058" s="46" t="s">
        <v>122</v>
      </c>
      <c r="P1058" s="46">
        <f t="array" ref="P1058">WEEKDAY(B1058,2)</f>
        <v>6</v>
      </c>
      <c r="Q1058" s="46"/>
      <c r="R1058" s="46"/>
      <c r="S1058" s="46"/>
      <c r="T1058" s="46"/>
      <c r="U1058" s="46"/>
      <c r="V1058" s="46"/>
      <c r="W1058" s="46"/>
      <c r="X1058" s="46"/>
      <c r="Y1058" s="46"/>
      <c r="Z1058" s="46"/>
    </row>
    <row r="1059">
      <c r="A1059" s="56">
        <v>7.97718417E8</v>
      </c>
      <c r="B1059" s="126">
        <v>40418.0</v>
      </c>
      <c r="C1059" s="126">
        <v>40466.0</v>
      </c>
      <c r="D1059" s="56" t="s">
        <v>93</v>
      </c>
      <c r="E1059" s="56" t="s">
        <v>97</v>
      </c>
      <c r="F1059" s="56">
        <v>2103.0</v>
      </c>
      <c r="G1059" s="56" t="s">
        <v>42</v>
      </c>
      <c r="H1059" s="56">
        <v>1462.0</v>
      </c>
      <c r="I1059" s="127">
        <v>205.7</v>
      </c>
      <c r="J1059" s="127">
        <v>117.11</v>
      </c>
      <c r="K1059" s="83">
        <f t="shared" si="1"/>
        <v>300733.4</v>
      </c>
      <c r="L1059" s="83">
        <f t="shared" si="2"/>
        <v>171214.82</v>
      </c>
      <c r="M1059" s="83">
        <f t="shared" si="3"/>
        <v>129518.58</v>
      </c>
      <c r="N1059" s="46" t="str">
        <f>VLOOKUP(F1059,products!$A$2:$B$13,2,FALSE)</f>
        <v>Cereal</v>
      </c>
      <c r="O1059" s="46" t="s">
        <v>97</v>
      </c>
      <c r="P1059" s="46">
        <f t="array" ref="P1059">WEEKDAY(B1059,2)</f>
        <v>6</v>
      </c>
      <c r="Q1059" s="46"/>
      <c r="R1059" s="46"/>
      <c r="S1059" s="46"/>
      <c r="T1059" s="46"/>
      <c r="U1059" s="46"/>
      <c r="V1059" s="46"/>
      <c r="W1059" s="46"/>
      <c r="X1059" s="46"/>
      <c r="Y1059" s="46"/>
      <c r="Z1059" s="46"/>
    </row>
    <row r="1060">
      <c r="A1060" s="56">
        <v>7.97788369E8</v>
      </c>
      <c r="B1060" s="126">
        <v>42701.0</v>
      </c>
      <c r="C1060" s="126">
        <v>42702.0</v>
      </c>
      <c r="D1060" s="56" t="s">
        <v>93</v>
      </c>
      <c r="E1060" s="56" t="e">
        <v>#N/A</v>
      </c>
      <c r="F1060" s="56">
        <v>8681.0</v>
      </c>
      <c r="G1060" s="56" t="s">
        <v>43</v>
      </c>
      <c r="H1060" s="56">
        <v>2162.0</v>
      </c>
      <c r="I1060" s="127">
        <v>651.21</v>
      </c>
      <c r="J1060" s="127">
        <v>524.96</v>
      </c>
      <c r="K1060" s="83">
        <f t="shared" si="1"/>
        <v>1407916.02</v>
      </c>
      <c r="L1060" s="83">
        <f t="shared" si="2"/>
        <v>1134963.52</v>
      </c>
      <c r="M1060" s="83">
        <f t="shared" si="3"/>
        <v>272952.5</v>
      </c>
      <c r="N1060" s="46" t="str">
        <f>VLOOKUP(F1060,products!$A$2:$B$13,2,FALSE)</f>
        <v>Office Supplies</v>
      </c>
      <c r="O1060" s="46" t="s">
        <v>92</v>
      </c>
      <c r="P1060" s="46">
        <f t="array" ref="P1060">WEEKDAY(B1060,2)</f>
        <v>7</v>
      </c>
      <c r="Q1060" s="46"/>
      <c r="R1060" s="46"/>
      <c r="S1060" s="46"/>
      <c r="T1060" s="46"/>
      <c r="U1060" s="46"/>
      <c r="V1060" s="46"/>
      <c r="W1060" s="46"/>
      <c r="X1060" s="46"/>
      <c r="Y1060" s="46"/>
      <c r="Z1060" s="46"/>
    </row>
    <row r="1061">
      <c r="A1061" s="56">
        <v>7.99109733E8</v>
      </c>
      <c r="B1061" s="126">
        <v>41347.0</v>
      </c>
      <c r="C1061" s="126">
        <v>41393.0</v>
      </c>
      <c r="D1061" s="56" t="s">
        <v>10</v>
      </c>
      <c r="E1061" s="56" t="s">
        <v>119</v>
      </c>
      <c r="F1061" s="56">
        <v>2455.0</v>
      </c>
      <c r="G1061" s="56" t="s">
        <v>43</v>
      </c>
      <c r="H1061" s="56">
        <v>3183.0</v>
      </c>
      <c r="I1061" s="127">
        <v>109.28</v>
      </c>
      <c r="J1061" s="127">
        <v>35.84</v>
      </c>
      <c r="K1061" s="83">
        <f t="shared" si="1"/>
        <v>347838.24</v>
      </c>
      <c r="L1061" s="83">
        <f t="shared" si="2"/>
        <v>114078.72</v>
      </c>
      <c r="M1061" s="83">
        <f t="shared" si="3"/>
        <v>233759.52</v>
      </c>
      <c r="N1061" s="46" t="str">
        <f>VLOOKUP(F1061,products!$A$2:$B$13,2,FALSE)</f>
        <v>Clothes</v>
      </c>
      <c r="O1061" s="46" t="s">
        <v>119</v>
      </c>
      <c r="P1061" s="46">
        <f t="array" ref="P1061">WEEKDAY(B1061,2)</f>
        <v>4</v>
      </c>
      <c r="Q1061" s="46"/>
      <c r="R1061" s="46"/>
      <c r="S1061" s="46"/>
      <c r="T1061" s="46"/>
      <c r="U1061" s="46"/>
      <c r="V1061" s="46"/>
      <c r="W1061" s="46"/>
      <c r="X1061" s="46"/>
      <c r="Y1061" s="46"/>
      <c r="Z1061" s="46"/>
    </row>
    <row r="1062">
      <c r="A1062" s="56">
        <v>7.99848306E8</v>
      </c>
      <c r="B1062" s="126">
        <v>42440.0</v>
      </c>
      <c r="C1062" s="126">
        <v>42483.0</v>
      </c>
      <c r="D1062" s="56" t="s">
        <v>10</v>
      </c>
      <c r="E1062" s="56" t="s">
        <v>138</v>
      </c>
      <c r="F1062" s="56">
        <v>7940.0</v>
      </c>
      <c r="G1062" s="56" t="s">
        <v>42</v>
      </c>
      <c r="H1062" s="56">
        <v>1743.0</v>
      </c>
      <c r="I1062" s="127">
        <v>668.27</v>
      </c>
      <c r="J1062" s="127">
        <v>502.54</v>
      </c>
      <c r="K1062" s="83">
        <f t="shared" si="1"/>
        <v>1164794.61</v>
      </c>
      <c r="L1062" s="83">
        <f t="shared" si="2"/>
        <v>875927.22</v>
      </c>
      <c r="M1062" s="83">
        <f t="shared" si="3"/>
        <v>288867.39</v>
      </c>
      <c r="N1062" s="46" t="str">
        <f>VLOOKUP(F1062,products!$A$2:$B$13,2,FALSE)</f>
        <v>Household</v>
      </c>
      <c r="O1062" s="46" t="s">
        <v>138</v>
      </c>
      <c r="P1062" s="46">
        <f t="array" ref="P1062">WEEKDAY(B1062,2)</f>
        <v>5</v>
      </c>
      <c r="Q1062" s="46"/>
      <c r="R1062" s="46"/>
      <c r="S1062" s="46"/>
      <c r="T1062" s="46"/>
      <c r="U1062" s="46"/>
      <c r="V1062" s="46"/>
      <c r="W1062" s="46"/>
      <c r="X1062" s="46"/>
      <c r="Y1062" s="46"/>
      <c r="Z1062" s="46"/>
    </row>
    <row r="1063">
      <c r="A1063" s="56">
        <v>8.00045716E8</v>
      </c>
      <c r="B1063" s="126">
        <v>42841.0</v>
      </c>
      <c r="C1063" s="126">
        <v>42869.0</v>
      </c>
      <c r="D1063" s="56" t="s">
        <v>89</v>
      </c>
      <c r="E1063" s="56" t="s">
        <v>138</v>
      </c>
      <c r="F1063" s="56">
        <v>3127.0</v>
      </c>
      <c r="G1063" s="56" t="s">
        <v>43</v>
      </c>
      <c r="H1063" s="56">
        <v>161.0</v>
      </c>
      <c r="I1063" s="127">
        <v>81.73</v>
      </c>
      <c r="J1063" s="127">
        <v>56.67</v>
      </c>
      <c r="K1063" s="83">
        <f t="shared" si="1"/>
        <v>13158.53</v>
      </c>
      <c r="L1063" s="83">
        <f t="shared" si="2"/>
        <v>9123.87</v>
      </c>
      <c r="M1063" s="83">
        <f t="shared" si="3"/>
        <v>4034.66</v>
      </c>
      <c r="N1063" s="46" t="str">
        <f>VLOOKUP(F1063,products!$A$2:$B$13,2,FALSE)</f>
        <v>Personal Care</v>
      </c>
      <c r="O1063" s="46" t="s">
        <v>138</v>
      </c>
      <c r="P1063" s="46">
        <f t="array" ref="P1063">WEEKDAY(B1063,2)</f>
        <v>7</v>
      </c>
      <c r="Q1063" s="46"/>
      <c r="R1063" s="46"/>
      <c r="S1063" s="46"/>
      <c r="T1063" s="46"/>
      <c r="U1063" s="46"/>
      <c r="V1063" s="46"/>
      <c r="W1063" s="46"/>
      <c r="X1063" s="46"/>
      <c r="Y1063" s="46"/>
      <c r="Z1063" s="46"/>
    </row>
    <row r="1064">
      <c r="A1064" s="56">
        <v>8.00352561E8</v>
      </c>
      <c r="B1064" s="126">
        <v>41180.0</v>
      </c>
      <c r="C1064" s="126">
        <v>41203.0</v>
      </c>
      <c r="D1064" s="56" t="s">
        <v>95</v>
      </c>
      <c r="E1064" s="56" t="s">
        <v>130</v>
      </c>
      <c r="F1064" s="56">
        <v>5988.0</v>
      </c>
      <c r="G1064" s="56" t="s">
        <v>43</v>
      </c>
      <c r="H1064" s="56">
        <v>963.0</v>
      </c>
      <c r="I1064" s="127">
        <v>154.06</v>
      </c>
      <c r="J1064" s="127">
        <v>90.93</v>
      </c>
      <c r="K1064" s="83">
        <f t="shared" si="1"/>
        <v>148359.78</v>
      </c>
      <c r="L1064" s="83">
        <f t="shared" si="2"/>
        <v>87565.59</v>
      </c>
      <c r="M1064" s="83">
        <f t="shared" si="3"/>
        <v>60794.19</v>
      </c>
      <c r="N1064" s="46" t="str">
        <f>VLOOKUP(F1064,products!$A$2:$B$13,2,FALSE)</f>
        <v>Vegetables</v>
      </c>
      <c r="O1064" s="46" t="s">
        <v>130</v>
      </c>
      <c r="P1064" s="46">
        <f t="array" ref="P1064">WEEKDAY(B1064,2)</f>
        <v>5</v>
      </c>
      <c r="Q1064" s="46"/>
      <c r="R1064" s="46"/>
      <c r="S1064" s="46"/>
      <c r="T1064" s="46"/>
      <c r="U1064" s="46"/>
      <c r="V1064" s="46"/>
      <c r="W1064" s="46"/>
      <c r="X1064" s="46"/>
      <c r="Y1064" s="46"/>
      <c r="Z1064" s="46"/>
    </row>
    <row r="1065">
      <c r="A1065" s="56">
        <v>8.01352488E8</v>
      </c>
      <c r="B1065" s="126">
        <v>42130.0</v>
      </c>
      <c r="C1065" s="126">
        <v>42147.0</v>
      </c>
      <c r="D1065" s="56" t="s">
        <v>89</v>
      </c>
      <c r="E1065" s="56" t="s">
        <v>103</v>
      </c>
      <c r="F1065" s="56">
        <v>8293.0</v>
      </c>
      <c r="G1065" s="56" t="s">
        <v>42</v>
      </c>
      <c r="H1065" s="56">
        <v>6864.0</v>
      </c>
      <c r="I1065" s="127">
        <v>437.2</v>
      </c>
      <c r="J1065" s="127">
        <v>263.33</v>
      </c>
      <c r="K1065" s="83">
        <f t="shared" si="1"/>
        <v>3000940.8</v>
      </c>
      <c r="L1065" s="83">
        <f t="shared" si="2"/>
        <v>1807497.12</v>
      </c>
      <c r="M1065" s="83">
        <f t="shared" si="3"/>
        <v>1193443.68</v>
      </c>
      <c r="N1065" s="46" t="str">
        <f>VLOOKUP(F1065,products!$A$2:$B$13,2,FALSE)</f>
        <v>Cosmetics</v>
      </c>
      <c r="O1065" s="46" t="s">
        <v>103</v>
      </c>
      <c r="P1065" s="46">
        <f t="array" ref="P1065">WEEKDAY(B1065,2)</f>
        <v>3</v>
      </c>
      <c r="Q1065" s="46"/>
      <c r="R1065" s="46"/>
      <c r="S1065" s="46"/>
      <c r="T1065" s="46"/>
      <c r="U1065" s="46"/>
      <c r="V1065" s="46"/>
      <c r="W1065" s="46"/>
      <c r="X1065" s="46"/>
      <c r="Y1065" s="46"/>
      <c r="Z1065" s="46"/>
    </row>
    <row r="1066">
      <c r="A1066" s="56">
        <v>8.01925837E8</v>
      </c>
      <c r="B1066" s="126">
        <v>41564.0</v>
      </c>
      <c r="C1066" s="126">
        <v>41573.0</v>
      </c>
      <c r="D1066" s="56" t="s">
        <v>10</v>
      </c>
      <c r="E1066" s="56" t="s">
        <v>129</v>
      </c>
      <c r="F1066" s="56">
        <v>5988.0</v>
      </c>
      <c r="G1066" s="56" t="s">
        <v>42</v>
      </c>
      <c r="H1066" s="56">
        <v>6531.0</v>
      </c>
      <c r="I1066" s="127">
        <v>154.06</v>
      </c>
      <c r="J1066" s="127">
        <v>90.93</v>
      </c>
      <c r="K1066" s="83">
        <f t="shared" si="1"/>
        <v>1006165.86</v>
      </c>
      <c r="L1066" s="83">
        <f t="shared" si="2"/>
        <v>593863.83</v>
      </c>
      <c r="M1066" s="83">
        <f t="shared" si="3"/>
        <v>412302.03</v>
      </c>
      <c r="N1066" s="46" t="str">
        <f>VLOOKUP(F1066,products!$A$2:$B$13,2,FALSE)</f>
        <v>Vegetables</v>
      </c>
      <c r="O1066" s="46" t="s">
        <v>129</v>
      </c>
      <c r="P1066" s="46">
        <f t="array" ref="P1066">WEEKDAY(B1066,2)</f>
        <v>4</v>
      </c>
      <c r="Q1066" s="46"/>
      <c r="R1066" s="46"/>
      <c r="S1066" s="46"/>
      <c r="T1066" s="46"/>
      <c r="U1066" s="46"/>
      <c r="V1066" s="46"/>
      <c r="W1066" s="46"/>
      <c r="X1066" s="46"/>
      <c r="Y1066" s="46"/>
      <c r="Z1066" s="46"/>
    </row>
    <row r="1067">
      <c r="A1067" s="56">
        <v>8.05095136E8</v>
      </c>
      <c r="B1067" s="126">
        <v>40191.0</v>
      </c>
      <c r="C1067" s="126">
        <v>40198.0</v>
      </c>
      <c r="D1067" s="56" t="s">
        <v>93</v>
      </c>
      <c r="E1067" s="56" t="e">
        <v>#N/A</v>
      </c>
      <c r="F1067" s="56">
        <v>5988.0</v>
      </c>
      <c r="G1067" s="56" t="s">
        <v>43</v>
      </c>
      <c r="H1067" s="56">
        <v>4396.0</v>
      </c>
      <c r="I1067" s="127">
        <v>154.06</v>
      </c>
      <c r="J1067" s="127">
        <v>90.93</v>
      </c>
      <c r="K1067" s="83">
        <f t="shared" si="1"/>
        <v>677247.76</v>
      </c>
      <c r="L1067" s="83">
        <f t="shared" si="2"/>
        <v>399728.28</v>
      </c>
      <c r="M1067" s="83">
        <f t="shared" si="3"/>
        <v>277519.48</v>
      </c>
      <c r="N1067" s="46" t="str">
        <f>VLOOKUP(F1067,products!$A$2:$B$13,2,FALSE)</f>
        <v>Vegetables</v>
      </c>
      <c r="O1067" s="46" t="s">
        <v>92</v>
      </c>
      <c r="P1067" s="46">
        <f t="array" ref="P1067">WEEKDAY(B1067,2)</f>
        <v>3</v>
      </c>
      <c r="Q1067" s="46"/>
      <c r="R1067" s="46"/>
      <c r="S1067" s="46"/>
      <c r="T1067" s="46"/>
      <c r="U1067" s="46"/>
      <c r="V1067" s="46"/>
      <c r="W1067" s="46"/>
      <c r="X1067" s="46"/>
      <c r="Y1067" s="46"/>
      <c r="Z1067" s="46"/>
    </row>
    <row r="1068">
      <c r="A1068" s="56">
        <v>8.05974042E8</v>
      </c>
      <c r="B1068" s="126">
        <v>41112.0</v>
      </c>
      <c r="C1068" s="126">
        <v>41118.0</v>
      </c>
      <c r="D1068" s="56" t="s">
        <v>89</v>
      </c>
      <c r="E1068" s="56" t="s">
        <v>135</v>
      </c>
      <c r="F1068" s="56">
        <v>8293.0</v>
      </c>
      <c r="G1068" s="56" t="s">
        <v>42</v>
      </c>
      <c r="H1068" s="56">
        <v>4484.0</v>
      </c>
      <c r="I1068" s="127">
        <v>437.2</v>
      </c>
      <c r="J1068" s="127">
        <v>263.33</v>
      </c>
      <c r="K1068" s="83">
        <f t="shared" si="1"/>
        <v>1960404.8</v>
      </c>
      <c r="L1068" s="83">
        <f t="shared" si="2"/>
        <v>1180771.72</v>
      </c>
      <c r="M1068" s="83">
        <f t="shared" si="3"/>
        <v>779633.08</v>
      </c>
      <c r="N1068" s="46" t="str">
        <f>VLOOKUP(F1068,products!$A$2:$B$13,2,FALSE)</f>
        <v>Cosmetics</v>
      </c>
      <c r="O1068" s="46" t="s">
        <v>135</v>
      </c>
      <c r="P1068" s="46">
        <f t="array" ref="P1068">WEEKDAY(B1068,2)</f>
        <v>7</v>
      </c>
      <c r="Q1068" s="46"/>
      <c r="R1068" s="46"/>
      <c r="S1068" s="46"/>
      <c r="T1068" s="46"/>
      <c r="U1068" s="46"/>
      <c r="V1068" s="46"/>
      <c r="W1068" s="46"/>
      <c r="X1068" s="46"/>
      <c r="Y1068" s="46"/>
      <c r="Z1068" s="46"/>
    </row>
    <row r="1069">
      <c r="A1069" s="56">
        <v>8.06197631E8</v>
      </c>
      <c r="B1069" s="126">
        <v>40196.0</v>
      </c>
      <c r="C1069" s="126">
        <v>40227.0</v>
      </c>
      <c r="D1069" s="56" t="s">
        <v>89</v>
      </c>
      <c r="E1069" s="56" t="s">
        <v>108</v>
      </c>
      <c r="F1069" s="56">
        <v>7331.0</v>
      </c>
      <c r="G1069" s="56" t="s">
        <v>43</v>
      </c>
      <c r="H1069" s="56">
        <v>649.0</v>
      </c>
      <c r="I1069" s="127">
        <v>255.28</v>
      </c>
      <c r="J1069" s="127">
        <v>159.42</v>
      </c>
      <c r="K1069" s="83">
        <f t="shared" si="1"/>
        <v>165676.72</v>
      </c>
      <c r="L1069" s="83">
        <f t="shared" si="2"/>
        <v>103463.58</v>
      </c>
      <c r="M1069" s="83">
        <f t="shared" si="3"/>
        <v>62213.14</v>
      </c>
      <c r="N1069" s="46" t="str">
        <f>VLOOKUP(F1069,products!$A$2:$B$13,2,FALSE)</f>
        <v>Baby Food</v>
      </c>
      <c r="O1069" s="46" t="s">
        <v>108</v>
      </c>
      <c r="P1069" s="46">
        <f t="array" ref="P1069">WEEKDAY(B1069,2)</f>
        <v>1</v>
      </c>
      <c r="Q1069" s="46"/>
      <c r="R1069" s="46"/>
      <c r="S1069" s="46"/>
      <c r="T1069" s="46"/>
      <c r="U1069" s="46"/>
      <c r="V1069" s="46"/>
      <c r="W1069" s="46"/>
      <c r="X1069" s="46"/>
      <c r="Y1069" s="46"/>
      <c r="Z1069" s="46"/>
    </row>
    <row r="1070">
      <c r="A1070" s="56">
        <v>8.06662404E8</v>
      </c>
      <c r="B1070" s="126">
        <v>40516.0</v>
      </c>
      <c r="C1070" s="126">
        <v>40519.0</v>
      </c>
      <c r="D1070" s="56" t="s">
        <v>95</v>
      </c>
      <c r="E1070" s="56" t="s">
        <v>98</v>
      </c>
      <c r="F1070" s="56">
        <v>2103.0</v>
      </c>
      <c r="G1070" s="56" t="s">
        <v>42</v>
      </c>
      <c r="H1070" s="56">
        <v>8186.0</v>
      </c>
      <c r="I1070" s="127">
        <v>205.7</v>
      </c>
      <c r="J1070" s="127">
        <v>117.11</v>
      </c>
      <c r="K1070" s="83">
        <f t="shared" si="1"/>
        <v>1683860.2</v>
      </c>
      <c r="L1070" s="83">
        <f t="shared" si="2"/>
        <v>958662.46</v>
      </c>
      <c r="M1070" s="83">
        <f t="shared" si="3"/>
        <v>725197.74</v>
      </c>
      <c r="N1070" s="46" t="str">
        <f>VLOOKUP(F1070,products!$A$2:$B$13,2,FALSE)</f>
        <v>Cereal</v>
      </c>
      <c r="O1070" s="46" t="s">
        <v>98</v>
      </c>
      <c r="P1070" s="46">
        <f t="array" ref="P1070">WEEKDAY(B1070,2)</f>
        <v>6</v>
      </c>
      <c r="Q1070" s="46"/>
      <c r="R1070" s="46"/>
      <c r="S1070" s="46"/>
      <c r="T1070" s="46"/>
      <c r="U1070" s="46"/>
      <c r="V1070" s="46"/>
      <c r="W1070" s="46"/>
      <c r="X1070" s="46"/>
      <c r="Y1070" s="46"/>
      <c r="Z1070" s="46"/>
    </row>
    <row r="1071">
      <c r="A1071" s="56">
        <v>8.10752236E8</v>
      </c>
      <c r="B1071" s="126">
        <v>42457.0</v>
      </c>
      <c r="C1071" s="126">
        <v>42494.0</v>
      </c>
      <c r="D1071" s="56" t="s">
        <v>93</v>
      </c>
      <c r="E1071" s="56" t="e">
        <v>#N/A</v>
      </c>
      <c r="F1071" s="56">
        <v>5988.0</v>
      </c>
      <c r="G1071" s="56" t="s">
        <v>43</v>
      </c>
      <c r="H1071" s="56">
        <v>8458.0</v>
      </c>
      <c r="I1071" s="127">
        <v>154.06</v>
      </c>
      <c r="J1071" s="127">
        <v>90.93</v>
      </c>
      <c r="K1071" s="83">
        <f t="shared" si="1"/>
        <v>1303039.48</v>
      </c>
      <c r="L1071" s="83">
        <f t="shared" si="2"/>
        <v>769085.94</v>
      </c>
      <c r="M1071" s="83">
        <f t="shared" si="3"/>
        <v>533953.54</v>
      </c>
      <c r="N1071" s="46" t="str">
        <f>VLOOKUP(F1071,products!$A$2:$B$13,2,FALSE)</f>
        <v>Vegetables</v>
      </c>
      <c r="O1071" s="46" t="s">
        <v>92</v>
      </c>
      <c r="P1071" s="46">
        <f t="array" ref="P1071">WEEKDAY(B1071,2)</f>
        <v>1</v>
      </c>
      <c r="Q1071" s="46"/>
      <c r="R1071" s="46"/>
      <c r="S1071" s="46"/>
      <c r="T1071" s="46"/>
      <c r="U1071" s="46"/>
      <c r="V1071" s="46"/>
      <c r="W1071" s="46"/>
      <c r="X1071" s="46"/>
      <c r="Y1071" s="46"/>
      <c r="Z1071" s="46"/>
    </row>
    <row r="1072">
      <c r="A1072" s="56">
        <v>8.1197704E8</v>
      </c>
      <c r="B1072" s="126">
        <v>42109.0</v>
      </c>
      <c r="C1072" s="126">
        <v>42152.0</v>
      </c>
      <c r="D1072" s="56" t="s">
        <v>89</v>
      </c>
      <c r="E1072" s="56" t="s">
        <v>122</v>
      </c>
      <c r="F1072" s="56">
        <v>8293.0</v>
      </c>
      <c r="G1072" s="56" t="s">
        <v>43</v>
      </c>
      <c r="H1072" s="56">
        <v>905.0</v>
      </c>
      <c r="I1072" s="127">
        <v>437.2</v>
      </c>
      <c r="J1072" s="127">
        <v>263.33</v>
      </c>
      <c r="K1072" s="83">
        <f t="shared" si="1"/>
        <v>395666</v>
      </c>
      <c r="L1072" s="83">
        <f t="shared" si="2"/>
        <v>238313.65</v>
      </c>
      <c r="M1072" s="83">
        <f t="shared" si="3"/>
        <v>157352.35</v>
      </c>
      <c r="N1072" s="46" t="str">
        <f>VLOOKUP(F1072,products!$A$2:$B$13,2,FALSE)</f>
        <v>Cosmetics</v>
      </c>
      <c r="O1072" s="46" t="s">
        <v>122</v>
      </c>
      <c r="P1072" s="46">
        <f t="array" ref="P1072">WEEKDAY(B1072,2)</f>
        <v>3</v>
      </c>
      <c r="Q1072" s="46"/>
      <c r="R1072" s="46"/>
      <c r="S1072" s="46"/>
      <c r="T1072" s="46"/>
      <c r="U1072" s="46"/>
      <c r="V1072" s="46"/>
      <c r="W1072" s="46"/>
      <c r="X1072" s="46"/>
      <c r="Y1072" s="46"/>
      <c r="Z1072" s="46"/>
    </row>
    <row r="1073">
      <c r="A1073" s="56">
        <v>8.12632358E8</v>
      </c>
      <c r="B1073" s="126">
        <v>41181.0</v>
      </c>
      <c r="C1073" s="126">
        <v>41199.0</v>
      </c>
      <c r="D1073" s="56" t="s">
        <v>10</v>
      </c>
      <c r="E1073" s="56" t="s">
        <v>105</v>
      </c>
      <c r="F1073" s="56">
        <v>2103.0</v>
      </c>
      <c r="G1073" s="56" t="s">
        <v>42</v>
      </c>
      <c r="H1073" s="56">
        <v>4828.0</v>
      </c>
      <c r="I1073" s="127">
        <v>205.7</v>
      </c>
      <c r="J1073" s="127">
        <v>117.11</v>
      </c>
      <c r="K1073" s="83">
        <f t="shared" si="1"/>
        <v>993119.6</v>
      </c>
      <c r="L1073" s="83">
        <f t="shared" si="2"/>
        <v>565407.08</v>
      </c>
      <c r="M1073" s="83">
        <f t="shared" si="3"/>
        <v>427712.52</v>
      </c>
      <c r="N1073" s="46" t="str">
        <f>VLOOKUP(F1073,products!$A$2:$B$13,2,FALSE)</f>
        <v>Cereal</v>
      </c>
      <c r="O1073" s="46" t="s">
        <v>105</v>
      </c>
      <c r="P1073" s="46">
        <f t="array" ref="P1073">WEEKDAY(B1073,2)</f>
        <v>6</v>
      </c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</row>
    <row r="1074">
      <c r="A1074" s="56">
        <v>8.12637078E8</v>
      </c>
      <c r="B1074" s="126">
        <v>41623.0</v>
      </c>
      <c r="C1074" s="126">
        <v>41644.0</v>
      </c>
      <c r="D1074" s="56" t="s">
        <v>89</v>
      </c>
      <c r="E1074" s="56" t="s">
        <v>104</v>
      </c>
      <c r="F1074" s="56">
        <v>4594.0</v>
      </c>
      <c r="G1074" s="56" t="s">
        <v>42</v>
      </c>
      <c r="H1074" s="56">
        <v>6225.0</v>
      </c>
      <c r="I1074" s="127">
        <v>9.33</v>
      </c>
      <c r="J1074" s="127">
        <v>6.92</v>
      </c>
      <c r="K1074" s="83">
        <f t="shared" si="1"/>
        <v>58079.25</v>
      </c>
      <c r="L1074" s="83">
        <f t="shared" si="2"/>
        <v>43077</v>
      </c>
      <c r="M1074" s="83">
        <f t="shared" si="3"/>
        <v>15002.25</v>
      </c>
      <c r="N1074" s="46" t="str">
        <f>VLOOKUP(F1074,products!$A$2:$B$13,2,FALSE)</f>
        <v>Fruits</v>
      </c>
      <c r="O1074" s="46" t="s">
        <v>104</v>
      </c>
      <c r="P1074" s="46">
        <f t="array" ref="P1074">WEEKDAY(B1074,2)</f>
        <v>7</v>
      </c>
      <c r="Q1074" s="46"/>
      <c r="R1074" s="46"/>
      <c r="S1074" s="46"/>
      <c r="T1074" s="46"/>
      <c r="U1074" s="46"/>
      <c r="V1074" s="46"/>
      <c r="W1074" s="46"/>
      <c r="X1074" s="46"/>
      <c r="Y1074" s="46"/>
      <c r="Z1074" s="46"/>
    </row>
    <row r="1075">
      <c r="A1075" s="56">
        <v>8.13973891E8</v>
      </c>
      <c r="B1075" s="126">
        <v>41214.0</v>
      </c>
      <c r="C1075" s="126">
        <v>41226.0</v>
      </c>
      <c r="D1075" s="56" t="s">
        <v>10</v>
      </c>
      <c r="E1075" s="56" t="e">
        <v>#N/A</v>
      </c>
      <c r="F1075" s="56">
        <v>8293.0</v>
      </c>
      <c r="G1075" s="56" t="s">
        <v>42</v>
      </c>
      <c r="H1075" s="56">
        <v>1818.0</v>
      </c>
      <c r="I1075" s="127">
        <v>437.2</v>
      </c>
      <c r="J1075" s="127">
        <v>263.33</v>
      </c>
      <c r="K1075" s="83">
        <f t="shared" si="1"/>
        <v>794829.6</v>
      </c>
      <c r="L1075" s="83">
        <f t="shared" si="2"/>
        <v>478733.94</v>
      </c>
      <c r="M1075" s="83">
        <f t="shared" si="3"/>
        <v>316095.66</v>
      </c>
      <c r="N1075" s="46" t="str">
        <f>VLOOKUP(F1075,products!$A$2:$B$13,2,FALSE)</f>
        <v>Cosmetics</v>
      </c>
      <c r="O1075" s="46" t="s">
        <v>92</v>
      </c>
      <c r="P1075" s="46">
        <f t="array" ref="P1075">WEEKDAY(B1075,2)</f>
        <v>4</v>
      </c>
      <c r="Q1075" s="46"/>
      <c r="R1075" s="46"/>
      <c r="S1075" s="46"/>
      <c r="T1075" s="46"/>
      <c r="U1075" s="46"/>
      <c r="V1075" s="46"/>
      <c r="W1075" s="46"/>
      <c r="X1075" s="46"/>
      <c r="Y1075" s="46"/>
      <c r="Z1075" s="46"/>
    </row>
    <row r="1076">
      <c r="A1076" s="56">
        <v>8.15755307E8</v>
      </c>
      <c r="B1076" s="126">
        <v>42503.0</v>
      </c>
      <c r="C1076" s="126">
        <v>42530.0</v>
      </c>
      <c r="D1076" s="56" t="s">
        <v>93</v>
      </c>
      <c r="E1076" s="56" t="e">
        <v>#N/A</v>
      </c>
      <c r="F1076" s="56">
        <v>8875.0</v>
      </c>
      <c r="G1076" s="56" t="s">
        <v>42</v>
      </c>
      <c r="H1076" s="56">
        <v>8978.0</v>
      </c>
      <c r="I1076" s="127">
        <v>421.89</v>
      </c>
      <c r="J1076" s="127">
        <v>364.69</v>
      </c>
      <c r="K1076" s="83">
        <f t="shared" si="1"/>
        <v>3787728.42</v>
      </c>
      <c r="L1076" s="83">
        <f t="shared" si="2"/>
        <v>3274186.82</v>
      </c>
      <c r="M1076" s="83">
        <f t="shared" si="3"/>
        <v>513541.6</v>
      </c>
      <c r="N1076" s="46" t="str">
        <f>VLOOKUP(F1076,products!$A$2:$B$13,2,FALSE)</f>
        <v>Meat</v>
      </c>
      <c r="O1076" s="46" t="s">
        <v>92</v>
      </c>
      <c r="P1076" s="46">
        <f t="array" ref="P1076">WEEKDAY(B1076,2)</f>
        <v>5</v>
      </c>
      <c r="Q1076" s="46"/>
      <c r="R1076" s="46"/>
      <c r="S1076" s="46"/>
      <c r="T1076" s="46"/>
      <c r="U1076" s="46"/>
      <c r="V1076" s="46"/>
      <c r="W1076" s="46"/>
      <c r="X1076" s="46"/>
      <c r="Y1076" s="46"/>
      <c r="Z1076" s="46"/>
    </row>
    <row r="1077">
      <c r="A1077" s="56">
        <v>8.15917098E8</v>
      </c>
      <c r="B1077" s="126">
        <v>40571.0</v>
      </c>
      <c r="C1077" s="126">
        <v>40587.0</v>
      </c>
      <c r="D1077" s="56" t="s">
        <v>89</v>
      </c>
      <c r="E1077" s="56" t="s">
        <v>127</v>
      </c>
      <c r="F1077" s="56">
        <v>8293.0</v>
      </c>
      <c r="G1077" s="56" t="s">
        <v>43</v>
      </c>
      <c r="H1077" s="56">
        <v>6856.0</v>
      </c>
      <c r="I1077" s="127">
        <v>437.2</v>
      </c>
      <c r="J1077" s="127">
        <v>263.33</v>
      </c>
      <c r="K1077" s="83">
        <f t="shared" si="1"/>
        <v>2997443.2</v>
      </c>
      <c r="L1077" s="83">
        <f t="shared" si="2"/>
        <v>1805390.48</v>
      </c>
      <c r="M1077" s="83">
        <f t="shared" si="3"/>
        <v>1192052.72</v>
      </c>
      <c r="N1077" s="46" t="str">
        <f>VLOOKUP(F1077,products!$A$2:$B$13,2,FALSE)</f>
        <v>Cosmetics</v>
      </c>
      <c r="O1077" s="46" t="s">
        <v>127</v>
      </c>
      <c r="P1077" s="46">
        <f t="array" ref="P1077">WEEKDAY(B1077,2)</f>
        <v>5</v>
      </c>
      <c r="Q1077" s="46"/>
      <c r="R1077" s="46"/>
      <c r="S1077" s="46"/>
      <c r="T1077" s="46"/>
      <c r="U1077" s="46"/>
      <c r="V1077" s="46"/>
      <c r="W1077" s="46"/>
      <c r="X1077" s="46"/>
      <c r="Y1077" s="46"/>
      <c r="Z1077" s="46"/>
    </row>
    <row r="1078">
      <c r="A1078" s="56">
        <v>8.17006289E8</v>
      </c>
      <c r="B1078" s="126">
        <v>40838.0</v>
      </c>
      <c r="C1078" s="126">
        <v>40861.0</v>
      </c>
      <c r="D1078" s="56" t="s">
        <v>95</v>
      </c>
      <c r="E1078" s="56" t="s">
        <v>98</v>
      </c>
      <c r="F1078" s="56">
        <v>4594.0</v>
      </c>
      <c r="G1078" s="56" t="s">
        <v>43</v>
      </c>
      <c r="H1078" s="56">
        <v>9172.0</v>
      </c>
      <c r="I1078" s="127">
        <v>9.33</v>
      </c>
      <c r="J1078" s="127">
        <v>6.92</v>
      </c>
      <c r="K1078" s="83">
        <f t="shared" si="1"/>
        <v>85574.76</v>
      </c>
      <c r="L1078" s="83">
        <f t="shared" si="2"/>
        <v>63470.24</v>
      </c>
      <c r="M1078" s="83">
        <f t="shared" si="3"/>
        <v>22104.52</v>
      </c>
      <c r="N1078" s="46" t="str">
        <f>VLOOKUP(F1078,products!$A$2:$B$13,2,FALSE)</f>
        <v>Fruits</v>
      </c>
      <c r="O1078" s="46" t="s">
        <v>98</v>
      </c>
      <c r="P1078" s="46">
        <f t="array" ref="P1078">WEEKDAY(B1078,2)</f>
        <v>6</v>
      </c>
      <c r="Q1078" s="46"/>
      <c r="R1078" s="46"/>
      <c r="S1078" s="46"/>
      <c r="T1078" s="46"/>
      <c r="U1078" s="46"/>
      <c r="V1078" s="46"/>
      <c r="W1078" s="46"/>
      <c r="X1078" s="46"/>
      <c r="Y1078" s="46"/>
      <c r="Z1078" s="46"/>
    </row>
    <row r="1079">
      <c r="A1079" s="56">
        <v>8.17061221E8</v>
      </c>
      <c r="B1079" s="126">
        <v>40204.0</v>
      </c>
      <c r="C1079" s="126">
        <v>40230.0</v>
      </c>
      <c r="D1079" s="56" t="s">
        <v>10</v>
      </c>
      <c r="E1079" s="56" t="s">
        <v>125</v>
      </c>
      <c r="F1079" s="56">
        <v>5988.0</v>
      </c>
      <c r="G1079" s="56" t="s">
        <v>42</v>
      </c>
      <c r="H1079" s="56">
        <v>5427.0</v>
      </c>
      <c r="I1079" s="127">
        <v>154.06</v>
      </c>
      <c r="J1079" s="127">
        <v>90.93</v>
      </c>
      <c r="K1079" s="83">
        <f t="shared" si="1"/>
        <v>836083.62</v>
      </c>
      <c r="L1079" s="83">
        <f t="shared" si="2"/>
        <v>493477.11</v>
      </c>
      <c r="M1079" s="83">
        <f t="shared" si="3"/>
        <v>342606.51</v>
      </c>
      <c r="N1079" s="46" t="str">
        <f>VLOOKUP(F1079,products!$A$2:$B$13,2,FALSE)</f>
        <v>Vegetables</v>
      </c>
      <c r="O1079" s="46" t="s">
        <v>125</v>
      </c>
      <c r="P1079" s="46">
        <f t="array" ref="P1079">WEEKDAY(B1079,2)</f>
        <v>2</v>
      </c>
      <c r="Q1079" s="46"/>
      <c r="R1079" s="46"/>
      <c r="S1079" s="46"/>
      <c r="T1079" s="46"/>
      <c r="U1079" s="46"/>
      <c r="V1079" s="46"/>
      <c r="W1079" s="46"/>
      <c r="X1079" s="46"/>
      <c r="Y1079" s="46"/>
      <c r="Z1079" s="46"/>
    </row>
    <row r="1080">
      <c r="A1080" s="56">
        <v>8.18976962E8</v>
      </c>
      <c r="B1080" s="126">
        <v>41261.0</v>
      </c>
      <c r="C1080" s="126">
        <v>41264.0</v>
      </c>
      <c r="D1080" s="56" t="s">
        <v>10</v>
      </c>
      <c r="E1080" s="56" t="e">
        <v>#N/A</v>
      </c>
      <c r="F1080" s="56">
        <v>5988.0</v>
      </c>
      <c r="G1080" s="56" t="s">
        <v>42</v>
      </c>
      <c r="H1080" s="56">
        <v>2337.0</v>
      </c>
      <c r="I1080" s="127">
        <v>154.06</v>
      </c>
      <c r="J1080" s="127">
        <v>90.93</v>
      </c>
      <c r="K1080" s="83">
        <f t="shared" si="1"/>
        <v>360038.22</v>
      </c>
      <c r="L1080" s="83">
        <f t="shared" si="2"/>
        <v>212503.41</v>
      </c>
      <c r="M1080" s="83">
        <f t="shared" si="3"/>
        <v>147534.81</v>
      </c>
      <c r="N1080" s="46" t="str">
        <f>VLOOKUP(F1080,products!$A$2:$B$13,2,FALSE)</f>
        <v>Vegetables</v>
      </c>
      <c r="O1080" s="46" t="s">
        <v>92</v>
      </c>
      <c r="P1080" s="46">
        <f t="array" ref="P1080">WEEKDAY(B1080,2)</f>
        <v>2</v>
      </c>
      <c r="Q1080" s="46"/>
      <c r="R1080" s="46"/>
      <c r="S1080" s="46"/>
      <c r="T1080" s="46"/>
      <c r="U1080" s="46"/>
      <c r="V1080" s="46"/>
      <c r="W1080" s="46"/>
      <c r="X1080" s="46"/>
      <c r="Y1080" s="46"/>
      <c r="Z1080" s="46"/>
    </row>
    <row r="1081">
      <c r="A1081" s="56">
        <v>8.19037473E8</v>
      </c>
      <c r="B1081" s="126">
        <v>42658.0</v>
      </c>
      <c r="C1081" s="126">
        <v>42658.0</v>
      </c>
      <c r="D1081" s="56" t="s">
        <v>93</v>
      </c>
      <c r="E1081" s="56" t="s">
        <v>122</v>
      </c>
      <c r="F1081" s="56">
        <v>5988.0</v>
      </c>
      <c r="G1081" s="56" t="s">
        <v>43</v>
      </c>
      <c r="H1081" s="56">
        <v>244.0</v>
      </c>
      <c r="I1081" s="127">
        <v>154.06</v>
      </c>
      <c r="J1081" s="127">
        <v>90.93</v>
      </c>
      <c r="K1081" s="83">
        <f t="shared" si="1"/>
        <v>37590.64</v>
      </c>
      <c r="L1081" s="83">
        <f t="shared" si="2"/>
        <v>22186.92</v>
      </c>
      <c r="M1081" s="83">
        <f t="shared" si="3"/>
        <v>15403.72</v>
      </c>
      <c r="N1081" s="46" t="str">
        <f>VLOOKUP(F1081,products!$A$2:$B$13,2,FALSE)</f>
        <v>Vegetables</v>
      </c>
      <c r="O1081" s="46" t="s">
        <v>122</v>
      </c>
      <c r="P1081" s="46">
        <f t="array" ref="P1081">WEEKDAY(B1081,2)</f>
        <v>6</v>
      </c>
      <c r="Q1081" s="46"/>
      <c r="R1081" s="46"/>
      <c r="S1081" s="46"/>
      <c r="T1081" s="46"/>
      <c r="U1081" s="46"/>
      <c r="V1081" s="46"/>
      <c r="W1081" s="46"/>
      <c r="X1081" s="46"/>
      <c r="Y1081" s="46"/>
      <c r="Z1081" s="46"/>
    </row>
    <row r="1082">
      <c r="A1082" s="56">
        <v>8.19152915E8</v>
      </c>
      <c r="B1082" s="126">
        <v>40656.0</v>
      </c>
      <c r="C1082" s="126">
        <v>40657.0</v>
      </c>
      <c r="D1082" s="56" t="s">
        <v>95</v>
      </c>
      <c r="E1082" s="56" t="s">
        <v>94</v>
      </c>
      <c r="F1082" s="56">
        <v>8681.0</v>
      </c>
      <c r="G1082" s="56" t="s">
        <v>42</v>
      </c>
      <c r="H1082" s="56">
        <v>4406.0</v>
      </c>
      <c r="I1082" s="127">
        <v>651.21</v>
      </c>
      <c r="J1082" s="127">
        <v>524.96</v>
      </c>
      <c r="K1082" s="83">
        <f t="shared" si="1"/>
        <v>2869231.26</v>
      </c>
      <c r="L1082" s="83">
        <f t="shared" si="2"/>
        <v>2312973.76</v>
      </c>
      <c r="M1082" s="83">
        <f t="shared" si="3"/>
        <v>556257.5</v>
      </c>
      <c r="N1082" s="46" t="str">
        <f>VLOOKUP(F1082,products!$A$2:$B$13,2,FALSE)</f>
        <v>Office Supplies</v>
      </c>
      <c r="O1082" s="46" t="s">
        <v>94</v>
      </c>
      <c r="P1082" s="46">
        <f t="array" ref="P1082">WEEKDAY(B1082,2)</f>
        <v>6</v>
      </c>
      <c r="Q1082" s="46"/>
      <c r="R1082" s="46"/>
      <c r="S1082" s="46"/>
      <c r="T1082" s="46"/>
      <c r="U1082" s="46"/>
      <c r="V1082" s="46"/>
      <c r="W1082" s="46"/>
      <c r="X1082" s="46"/>
      <c r="Y1082" s="46"/>
      <c r="Z1082" s="46"/>
    </row>
    <row r="1083">
      <c r="A1083" s="56">
        <v>8.19516837E8</v>
      </c>
      <c r="B1083" s="126">
        <v>42334.0</v>
      </c>
      <c r="C1083" s="126">
        <v>42363.0</v>
      </c>
      <c r="D1083" s="56" t="s">
        <v>10</v>
      </c>
      <c r="E1083" s="56" t="s">
        <v>112</v>
      </c>
      <c r="F1083" s="56">
        <v>8293.0</v>
      </c>
      <c r="G1083" s="56" t="s">
        <v>42</v>
      </c>
      <c r="H1083" s="56">
        <v>2098.0</v>
      </c>
      <c r="I1083" s="127">
        <v>437.2</v>
      </c>
      <c r="J1083" s="127">
        <v>263.33</v>
      </c>
      <c r="K1083" s="83">
        <f t="shared" si="1"/>
        <v>917245.6</v>
      </c>
      <c r="L1083" s="83">
        <f t="shared" si="2"/>
        <v>552466.34</v>
      </c>
      <c r="M1083" s="83">
        <f t="shared" si="3"/>
        <v>364779.26</v>
      </c>
      <c r="N1083" s="46" t="str">
        <f>VLOOKUP(F1083,products!$A$2:$B$13,2,FALSE)</f>
        <v>Cosmetics</v>
      </c>
      <c r="O1083" s="46" t="s">
        <v>112</v>
      </c>
      <c r="P1083" s="46">
        <f t="array" ref="P1083">WEEKDAY(B1083,2)</f>
        <v>4</v>
      </c>
      <c r="Q1083" s="46"/>
      <c r="R1083" s="46"/>
      <c r="S1083" s="46"/>
      <c r="T1083" s="46"/>
      <c r="U1083" s="46"/>
      <c r="V1083" s="46"/>
      <c r="W1083" s="46"/>
      <c r="X1083" s="46"/>
      <c r="Y1083" s="46"/>
      <c r="Z1083" s="46"/>
    </row>
    <row r="1084">
      <c r="A1084" s="56">
        <v>8.20195758E8</v>
      </c>
      <c r="B1084" s="126">
        <v>40852.0</v>
      </c>
      <c r="C1084" s="126">
        <v>40871.0</v>
      </c>
      <c r="D1084" s="56" t="s">
        <v>93</v>
      </c>
      <c r="E1084" s="56" t="e">
        <v>#N/A</v>
      </c>
      <c r="F1084" s="56">
        <v>8969.0</v>
      </c>
      <c r="G1084" s="56" t="s">
        <v>42</v>
      </c>
      <c r="H1084" s="56">
        <v>3006.0</v>
      </c>
      <c r="I1084" s="127">
        <v>152.58</v>
      </c>
      <c r="J1084" s="127">
        <v>97.44</v>
      </c>
      <c r="K1084" s="83">
        <f t="shared" si="1"/>
        <v>458655.48</v>
      </c>
      <c r="L1084" s="83">
        <f t="shared" si="2"/>
        <v>292904.64</v>
      </c>
      <c r="M1084" s="83">
        <f t="shared" si="3"/>
        <v>165750.84</v>
      </c>
      <c r="N1084" s="46" t="str">
        <f>VLOOKUP(F1084,products!$A$2:$B$13,2,FALSE)</f>
        <v>Snacks</v>
      </c>
      <c r="O1084" s="46" t="s">
        <v>92</v>
      </c>
      <c r="P1084" s="46">
        <f t="array" ref="P1084">WEEKDAY(B1084,2)</f>
        <v>6</v>
      </c>
      <c r="Q1084" s="46"/>
      <c r="R1084" s="46"/>
      <c r="S1084" s="46"/>
      <c r="T1084" s="46"/>
      <c r="U1084" s="46"/>
      <c r="V1084" s="46"/>
      <c r="W1084" s="46"/>
      <c r="X1084" s="46"/>
      <c r="Y1084" s="46"/>
      <c r="Z1084" s="46"/>
    </row>
    <row r="1085">
      <c r="A1085" s="56">
        <v>8.20437371E8</v>
      </c>
      <c r="B1085" s="126">
        <v>42883.0</v>
      </c>
      <c r="C1085" s="126">
        <v>42897.0</v>
      </c>
      <c r="D1085" s="56" t="s">
        <v>95</v>
      </c>
      <c r="E1085" s="56" t="s">
        <v>100</v>
      </c>
      <c r="F1085" s="56">
        <v>8875.0</v>
      </c>
      <c r="G1085" s="56" t="s">
        <v>43</v>
      </c>
      <c r="H1085" s="56">
        <v>4505.0</v>
      </c>
      <c r="I1085" s="127">
        <v>421.89</v>
      </c>
      <c r="J1085" s="127">
        <v>364.69</v>
      </c>
      <c r="K1085" s="83">
        <f t="shared" si="1"/>
        <v>1900614.45</v>
      </c>
      <c r="L1085" s="83">
        <f t="shared" si="2"/>
        <v>1642928.45</v>
      </c>
      <c r="M1085" s="83">
        <f t="shared" si="3"/>
        <v>257686</v>
      </c>
      <c r="N1085" s="46" t="str">
        <f>VLOOKUP(F1085,products!$A$2:$B$13,2,FALSE)</f>
        <v>Meat</v>
      </c>
      <c r="O1085" s="46" t="s">
        <v>100</v>
      </c>
      <c r="P1085" s="46">
        <f t="array" ref="P1085">WEEKDAY(B1085,2)</f>
        <v>7</v>
      </c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</row>
    <row r="1086">
      <c r="A1086" s="56">
        <v>8.21131742E8</v>
      </c>
      <c r="B1086" s="126">
        <v>42347.0</v>
      </c>
      <c r="C1086" s="126">
        <v>42347.0</v>
      </c>
      <c r="D1086" s="56" t="s">
        <v>95</v>
      </c>
      <c r="E1086" s="56" t="s">
        <v>120</v>
      </c>
      <c r="F1086" s="56">
        <v>7940.0</v>
      </c>
      <c r="G1086" s="56" t="s">
        <v>42</v>
      </c>
      <c r="H1086" s="56">
        <v>9985.0</v>
      </c>
      <c r="I1086" s="127">
        <v>668.27</v>
      </c>
      <c r="J1086" s="127">
        <v>502.54</v>
      </c>
      <c r="K1086" s="83">
        <f t="shared" si="1"/>
        <v>6672675.95</v>
      </c>
      <c r="L1086" s="83">
        <f t="shared" si="2"/>
        <v>5017861.9</v>
      </c>
      <c r="M1086" s="83">
        <f t="shared" si="3"/>
        <v>1654814.05</v>
      </c>
      <c r="N1086" s="46" t="str">
        <f>VLOOKUP(F1086,products!$A$2:$B$13,2,FALSE)</f>
        <v>Household</v>
      </c>
      <c r="O1086" s="46" t="s">
        <v>120</v>
      </c>
      <c r="P1086" s="46">
        <f t="array" ref="P1086">WEEKDAY(B1086,2)</f>
        <v>3</v>
      </c>
      <c r="Q1086" s="46"/>
      <c r="R1086" s="46"/>
      <c r="S1086" s="46"/>
      <c r="T1086" s="46"/>
      <c r="U1086" s="46"/>
      <c r="V1086" s="46"/>
      <c r="W1086" s="46"/>
      <c r="X1086" s="46"/>
      <c r="Y1086" s="46"/>
      <c r="Z1086" s="46"/>
    </row>
    <row r="1087">
      <c r="A1087" s="56">
        <v>8.21916663E8</v>
      </c>
      <c r="B1087" s="126">
        <v>40744.0</v>
      </c>
      <c r="C1087" s="126">
        <v>40781.0</v>
      </c>
      <c r="D1087" s="56" t="s">
        <v>93</v>
      </c>
      <c r="E1087" s="56" t="s">
        <v>90</v>
      </c>
      <c r="F1087" s="56">
        <v>8293.0</v>
      </c>
      <c r="G1087" s="56" t="s">
        <v>43</v>
      </c>
      <c r="H1087" s="56">
        <v>2260.0</v>
      </c>
      <c r="I1087" s="127">
        <v>437.2</v>
      </c>
      <c r="J1087" s="127">
        <v>263.33</v>
      </c>
      <c r="K1087" s="83">
        <f t="shared" si="1"/>
        <v>988072</v>
      </c>
      <c r="L1087" s="83">
        <f t="shared" si="2"/>
        <v>595125.8</v>
      </c>
      <c r="M1087" s="83">
        <f t="shared" si="3"/>
        <v>392946.2</v>
      </c>
      <c r="N1087" s="46" t="str">
        <f>VLOOKUP(F1087,products!$A$2:$B$13,2,FALSE)</f>
        <v>Cosmetics</v>
      </c>
      <c r="O1087" s="46" t="s">
        <v>90</v>
      </c>
      <c r="P1087" s="46">
        <f t="array" ref="P1087">WEEKDAY(B1087,2)</f>
        <v>3</v>
      </c>
      <c r="Q1087" s="46"/>
      <c r="R1087" s="46"/>
      <c r="S1087" s="46"/>
      <c r="T1087" s="46"/>
      <c r="U1087" s="46"/>
      <c r="V1087" s="46"/>
      <c r="W1087" s="46"/>
      <c r="X1087" s="46"/>
      <c r="Y1087" s="46"/>
      <c r="Z1087" s="46"/>
    </row>
    <row r="1088">
      <c r="A1088" s="56">
        <v>8.23236739E8</v>
      </c>
      <c r="B1088" s="126">
        <v>42538.0</v>
      </c>
      <c r="C1088" s="126">
        <v>42583.0</v>
      </c>
      <c r="D1088" s="56" t="s">
        <v>89</v>
      </c>
      <c r="E1088" s="56" t="s">
        <v>119</v>
      </c>
      <c r="F1088" s="56">
        <v>8681.0</v>
      </c>
      <c r="G1088" s="56" t="s">
        <v>43</v>
      </c>
      <c r="H1088" s="56">
        <v>2900.0</v>
      </c>
      <c r="I1088" s="127">
        <v>651.21</v>
      </c>
      <c r="J1088" s="127">
        <v>524.96</v>
      </c>
      <c r="K1088" s="83">
        <f t="shared" si="1"/>
        <v>1888509</v>
      </c>
      <c r="L1088" s="83">
        <f t="shared" si="2"/>
        <v>1522384</v>
      </c>
      <c r="M1088" s="83">
        <f t="shared" si="3"/>
        <v>366125</v>
      </c>
      <c r="N1088" s="46" t="str">
        <f>VLOOKUP(F1088,products!$A$2:$B$13,2,FALSE)</f>
        <v>Office Supplies</v>
      </c>
      <c r="O1088" s="46" t="s">
        <v>119</v>
      </c>
      <c r="P1088" s="46">
        <f t="array" ref="P1088">WEEKDAY(B1088,2)</f>
        <v>5</v>
      </c>
      <c r="Q1088" s="46"/>
      <c r="R1088" s="46"/>
      <c r="S1088" s="46"/>
      <c r="T1088" s="46"/>
      <c r="U1088" s="46"/>
      <c r="V1088" s="46"/>
      <c r="W1088" s="46"/>
      <c r="X1088" s="46"/>
      <c r="Y1088" s="46"/>
      <c r="Z1088" s="46"/>
    </row>
    <row r="1089">
      <c r="A1089" s="56">
        <v>8.23505389E8</v>
      </c>
      <c r="B1089" s="126">
        <v>42074.0</v>
      </c>
      <c r="C1089" s="126">
        <v>42093.0</v>
      </c>
      <c r="D1089" s="56" t="s">
        <v>95</v>
      </c>
      <c r="E1089" s="56" t="s">
        <v>113</v>
      </c>
      <c r="F1089" s="56">
        <v>2455.0</v>
      </c>
      <c r="G1089" s="56" t="s">
        <v>43</v>
      </c>
      <c r="H1089" s="56">
        <v>2400.0</v>
      </c>
      <c r="I1089" s="127">
        <v>109.28</v>
      </c>
      <c r="J1089" s="127">
        <v>35.84</v>
      </c>
      <c r="K1089" s="83">
        <f t="shared" si="1"/>
        <v>262272</v>
      </c>
      <c r="L1089" s="83">
        <f t="shared" si="2"/>
        <v>86016</v>
      </c>
      <c r="M1089" s="83">
        <f t="shared" si="3"/>
        <v>176256</v>
      </c>
      <c r="N1089" s="46" t="str">
        <f>VLOOKUP(F1089,products!$A$2:$B$13,2,FALSE)</f>
        <v>Clothes</v>
      </c>
      <c r="O1089" s="46" t="s">
        <v>113</v>
      </c>
      <c r="P1089" s="46">
        <f t="array" ref="P1089">WEEKDAY(B1089,2)</f>
        <v>3</v>
      </c>
      <c r="Q1089" s="46"/>
      <c r="R1089" s="46"/>
      <c r="S1089" s="46"/>
      <c r="T1089" s="46"/>
      <c r="U1089" s="46"/>
      <c r="V1089" s="46"/>
      <c r="W1089" s="46"/>
      <c r="X1089" s="46"/>
      <c r="Y1089" s="46"/>
      <c r="Z1089" s="46"/>
    </row>
    <row r="1090">
      <c r="A1090" s="56">
        <v>8.25065791E8</v>
      </c>
      <c r="B1090" s="126">
        <v>40748.0</v>
      </c>
      <c r="C1090" s="126">
        <v>40783.0</v>
      </c>
      <c r="D1090" s="56" t="s">
        <v>10</v>
      </c>
      <c r="E1090" s="56" t="s">
        <v>124</v>
      </c>
      <c r="F1090" s="56">
        <v>8875.0</v>
      </c>
      <c r="G1090" s="56" t="s">
        <v>42</v>
      </c>
      <c r="H1090" s="56">
        <v>4157.0</v>
      </c>
      <c r="I1090" s="127">
        <v>421.89</v>
      </c>
      <c r="J1090" s="127">
        <v>364.69</v>
      </c>
      <c r="K1090" s="83">
        <f t="shared" si="1"/>
        <v>1753796.73</v>
      </c>
      <c r="L1090" s="83">
        <f t="shared" si="2"/>
        <v>1516016.33</v>
      </c>
      <c r="M1090" s="83">
        <f t="shared" si="3"/>
        <v>237780.4</v>
      </c>
      <c r="N1090" s="46" t="str">
        <f>VLOOKUP(F1090,products!$A$2:$B$13,2,FALSE)</f>
        <v>Meat</v>
      </c>
      <c r="O1090" s="46" t="s">
        <v>124</v>
      </c>
      <c r="P1090" s="46">
        <f t="array" ref="P1090">WEEKDAY(B1090,2)</f>
        <v>7</v>
      </c>
      <c r="Q1090" s="46"/>
      <c r="R1090" s="46"/>
      <c r="S1090" s="46"/>
      <c r="T1090" s="46"/>
      <c r="U1090" s="46"/>
      <c r="V1090" s="46"/>
      <c r="W1090" s="46"/>
      <c r="X1090" s="46"/>
      <c r="Y1090" s="46"/>
      <c r="Z1090" s="46"/>
    </row>
    <row r="1091">
      <c r="A1091" s="56">
        <v>8.26677262E8</v>
      </c>
      <c r="B1091" s="126">
        <v>42702.0</v>
      </c>
      <c r="C1091" s="126">
        <v>42744.0</v>
      </c>
      <c r="D1091" s="56" t="s">
        <v>89</v>
      </c>
      <c r="E1091" s="56" t="s">
        <v>117</v>
      </c>
      <c r="F1091" s="56">
        <v>1270.0</v>
      </c>
      <c r="G1091" s="56" t="s">
        <v>43</v>
      </c>
      <c r="H1091" s="56">
        <v>1027.0</v>
      </c>
      <c r="I1091" s="127">
        <v>47.45</v>
      </c>
      <c r="J1091" s="127">
        <v>31.79</v>
      </c>
      <c r="K1091" s="83">
        <f t="shared" si="1"/>
        <v>48731.15</v>
      </c>
      <c r="L1091" s="83">
        <f t="shared" si="2"/>
        <v>32648.33</v>
      </c>
      <c r="M1091" s="83">
        <f t="shared" si="3"/>
        <v>16082.82</v>
      </c>
      <c r="N1091" s="46" t="str">
        <f>VLOOKUP(F1091,products!$A$2:$B$13,2,FALSE)</f>
        <v>Beverages</v>
      </c>
      <c r="O1091" s="46" t="s">
        <v>117</v>
      </c>
      <c r="P1091" s="46">
        <f t="array" ref="P1091">WEEKDAY(B1091,2)</f>
        <v>1</v>
      </c>
      <c r="Q1091" s="46"/>
      <c r="R1091" s="46"/>
      <c r="S1091" s="46"/>
      <c r="T1091" s="46"/>
      <c r="U1091" s="46"/>
      <c r="V1091" s="46"/>
      <c r="W1091" s="46"/>
      <c r="X1091" s="46"/>
      <c r="Y1091" s="46"/>
      <c r="Z1091" s="46"/>
    </row>
    <row r="1092">
      <c r="A1092" s="56">
        <v>8.26936471E8</v>
      </c>
      <c r="B1092" s="126">
        <v>41353.0</v>
      </c>
      <c r="C1092" s="126">
        <v>41363.0</v>
      </c>
      <c r="D1092" s="56" t="s">
        <v>95</v>
      </c>
      <c r="E1092" s="56" t="s">
        <v>137</v>
      </c>
      <c r="F1092" s="56">
        <v>7331.0</v>
      </c>
      <c r="G1092" s="56" t="s">
        <v>43</v>
      </c>
      <c r="H1092" s="56">
        <v>7733.0</v>
      </c>
      <c r="I1092" s="127">
        <v>255.28</v>
      </c>
      <c r="J1092" s="127">
        <v>159.42</v>
      </c>
      <c r="K1092" s="83">
        <f t="shared" si="1"/>
        <v>1974080.24</v>
      </c>
      <c r="L1092" s="83">
        <f t="shared" si="2"/>
        <v>1232794.86</v>
      </c>
      <c r="M1092" s="83">
        <f t="shared" si="3"/>
        <v>741285.38</v>
      </c>
      <c r="N1092" s="46" t="str">
        <f>VLOOKUP(F1092,products!$A$2:$B$13,2,FALSE)</f>
        <v>Baby Food</v>
      </c>
      <c r="O1092" s="46" t="s">
        <v>137</v>
      </c>
      <c r="P1092" s="46">
        <f t="array" ref="P1092">WEEKDAY(B1092,2)</f>
        <v>3</v>
      </c>
      <c r="Q1092" s="46"/>
      <c r="R1092" s="46"/>
      <c r="S1092" s="46"/>
      <c r="T1092" s="46"/>
      <c r="U1092" s="46"/>
      <c r="V1092" s="46"/>
      <c r="W1092" s="46"/>
      <c r="X1092" s="46"/>
      <c r="Y1092" s="46"/>
      <c r="Z1092" s="46"/>
    </row>
    <row r="1093">
      <c r="A1093" s="56">
        <v>8.26968657E8</v>
      </c>
      <c r="B1093" s="126">
        <v>42861.0</v>
      </c>
      <c r="C1093" s="126">
        <v>42901.0</v>
      </c>
      <c r="D1093" s="56" t="s">
        <v>95</v>
      </c>
      <c r="E1093" s="56" t="s">
        <v>125</v>
      </c>
      <c r="F1093" s="56">
        <v>8293.0</v>
      </c>
      <c r="G1093" s="56" t="s">
        <v>42</v>
      </c>
      <c r="H1093" s="56">
        <v>7258.0</v>
      </c>
      <c r="I1093" s="127">
        <v>437.2</v>
      </c>
      <c r="J1093" s="127">
        <v>263.33</v>
      </c>
      <c r="K1093" s="83">
        <f t="shared" si="1"/>
        <v>3173197.6</v>
      </c>
      <c r="L1093" s="83">
        <f t="shared" si="2"/>
        <v>1911249.14</v>
      </c>
      <c r="M1093" s="83">
        <f t="shared" si="3"/>
        <v>1261948.46</v>
      </c>
      <c r="N1093" s="46" t="str">
        <f>VLOOKUP(F1093,products!$A$2:$B$13,2,FALSE)</f>
        <v>Cosmetics</v>
      </c>
      <c r="O1093" s="46" t="s">
        <v>125</v>
      </c>
      <c r="P1093" s="46">
        <f t="array" ref="P1093">WEEKDAY(B1093,2)</f>
        <v>6</v>
      </c>
      <c r="Q1093" s="46"/>
      <c r="R1093" s="46"/>
      <c r="S1093" s="46"/>
      <c r="T1093" s="46"/>
      <c r="U1093" s="46"/>
      <c r="V1093" s="46"/>
      <c r="W1093" s="46"/>
      <c r="X1093" s="46"/>
      <c r="Y1093" s="46"/>
      <c r="Z1093" s="46"/>
    </row>
    <row r="1094">
      <c r="A1094" s="56">
        <v>8.28993833E8</v>
      </c>
      <c r="B1094" s="126">
        <v>41856.0</v>
      </c>
      <c r="C1094" s="126">
        <v>41884.0</v>
      </c>
      <c r="D1094" s="56" t="s">
        <v>89</v>
      </c>
      <c r="E1094" s="56" t="s">
        <v>137</v>
      </c>
      <c r="F1094" s="56">
        <v>7331.0</v>
      </c>
      <c r="G1094" s="56" t="s">
        <v>42</v>
      </c>
      <c r="H1094" s="56">
        <v>6552.0</v>
      </c>
      <c r="I1094" s="127">
        <v>255.28</v>
      </c>
      <c r="J1094" s="127">
        <v>159.42</v>
      </c>
      <c r="K1094" s="83">
        <f t="shared" si="1"/>
        <v>1672594.56</v>
      </c>
      <c r="L1094" s="83">
        <f t="shared" si="2"/>
        <v>1044519.84</v>
      </c>
      <c r="M1094" s="83">
        <f t="shared" si="3"/>
        <v>628074.72</v>
      </c>
      <c r="N1094" s="46" t="str">
        <f>VLOOKUP(F1094,products!$A$2:$B$13,2,FALSE)</f>
        <v>Baby Food</v>
      </c>
      <c r="O1094" s="46" t="s">
        <v>137</v>
      </c>
      <c r="P1094" s="46">
        <f t="array" ref="P1094">WEEKDAY(B1094,2)</f>
        <v>2</v>
      </c>
      <c r="Q1094" s="46"/>
      <c r="R1094" s="46"/>
      <c r="S1094" s="46"/>
      <c r="T1094" s="46"/>
      <c r="U1094" s="46"/>
      <c r="V1094" s="46"/>
      <c r="W1094" s="46"/>
      <c r="X1094" s="46"/>
      <c r="Y1094" s="46"/>
      <c r="Z1094" s="46"/>
    </row>
    <row r="1095">
      <c r="A1095" s="56">
        <v>8.29356467E8</v>
      </c>
      <c r="B1095" s="126">
        <v>41150.0</v>
      </c>
      <c r="C1095" s="126">
        <v>41168.0</v>
      </c>
      <c r="D1095" s="56" t="s">
        <v>93</v>
      </c>
      <c r="E1095" s="56" t="s">
        <v>94</v>
      </c>
      <c r="F1095" s="56">
        <v>7940.0</v>
      </c>
      <c r="G1095" s="56" t="s">
        <v>43</v>
      </c>
      <c r="H1095" s="56">
        <v>3864.0</v>
      </c>
      <c r="I1095" s="127">
        <v>668.27</v>
      </c>
      <c r="J1095" s="127">
        <v>502.54</v>
      </c>
      <c r="K1095" s="83">
        <f t="shared" si="1"/>
        <v>2582195.28</v>
      </c>
      <c r="L1095" s="83">
        <f t="shared" si="2"/>
        <v>1941814.56</v>
      </c>
      <c r="M1095" s="83">
        <f t="shared" si="3"/>
        <v>640380.72</v>
      </c>
      <c r="N1095" s="46" t="str">
        <f>VLOOKUP(F1095,products!$A$2:$B$13,2,FALSE)</f>
        <v>Household</v>
      </c>
      <c r="O1095" s="46" t="s">
        <v>94</v>
      </c>
      <c r="P1095" s="46">
        <f t="array" ref="P1095">WEEKDAY(B1095,2)</f>
        <v>3</v>
      </c>
      <c r="Q1095" s="46"/>
      <c r="R1095" s="46"/>
      <c r="S1095" s="46"/>
      <c r="T1095" s="46"/>
      <c r="U1095" s="46"/>
      <c r="V1095" s="46"/>
      <c r="W1095" s="46"/>
      <c r="X1095" s="46"/>
      <c r="Y1095" s="46"/>
      <c r="Z1095" s="46"/>
    </row>
    <row r="1096">
      <c r="A1096" s="56">
        <v>8.30172288E8</v>
      </c>
      <c r="B1096" s="126">
        <v>41438.0</v>
      </c>
      <c r="C1096" s="126">
        <v>41484.0</v>
      </c>
      <c r="D1096" s="56" t="s">
        <v>95</v>
      </c>
      <c r="E1096" s="56" t="e">
        <v>#N/A</v>
      </c>
      <c r="F1096" s="56">
        <v>8293.0</v>
      </c>
      <c r="G1096" s="56" t="s">
        <v>43</v>
      </c>
      <c r="H1096" s="56">
        <v>5283.0</v>
      </c>
      <c r="I1096" s="127">
        <v>437.2</v>
      </c>
      <c r="J1096" s="127">
        <v>263.33</v>
      </c>
      <c r="K1096" s="83">
        <f t="shared" si="1"/>
        <v>2309727.6</v>
      </c>
      <c r="L1096" s="83">
        <f t="shared" si="2"/>
        <v>1391172.39</v>
      </c>
      <c r="M1096" s="83">
        <f t="shared" si="3"/>
        <v>918555.21</v>
      </c>
      <c r="N1096" s="46" t="str">
        <f>VLOOKUP(F1096,products!$A$2:$B$13,2,FALSE)</f>
        <v>Cosmetics</v>
      </c>
      <c r="O1096" s="46" t="s">
        <v>92</v>
      </c>
      <c r="P1096" s="46">
        <f t="array" ref="P1096">WEEKDAY(B1096,2)</f>
        <v>4</v>
      </c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</row>
    <row r="1097">
      <c r="A1097" s="56">
        <v>8.31143891E8</v>
      </c>
      <c r="B1097" s="126">
        <v>42499.0</v>
      </c>
      <c r="C1097" s="126">
        <v>42522.0</v>
      </c>
      <c r="D1097" s="56" t="s">
        <v>89</v>
      </c>
      <c r="E1097" s="56" t="s">
        <v>112</v>
      </c>
      <c r="F1097" s="56">
        <v>4594.0</v>
      </c>
      <c r="G1097" s="56" t="s">
        <v>43</v>
      </c>
      <c r="H1097" s="56">
        <v>2802.0</v>
      </c>
      <c r="I1097" s="127">
        <v>9.33</v>
      </c>
      <c r="J1097" s="127">
        <v>6.92</v>
      </c>
      <c r="K1097" s="83">
        <f t="shared" si="1"/>
        <v>26142.66</v>
      </c>
      <c r="L1097" s="83">
        <f t="shared" si="2"/>
        <v>19389.84</v>
      </c>
      <c r="M1097" s="83">
        <f t="shared" si="3"/>
        <v>6752.82</v>
      </c>
      <c r="N1097" s="46" t="str">
        <f>VLOOKUP(F1097,products!$A$2:$B$13,2,FALSE)</f>
        <v>Fruits</v>
      </c>
      <c r="O1097" s="46" t="s">
        <v>112</v>
      </c>
      <c r="P1097" s="46">
        <f t="array" ref="P1097">WEEKDAY(B1097,2)</f>
        <v>1</v>
      </c>
      <c r="Q1097" s="46"/>
      <c r="R1097" s="46"/>
      <c r="S1097" s="46"/>
      <c r="T1097" s="46"/>
      <c r="U1097" s="46"/>
      <c r="V1097" s="46"/>
      <c r="W1097" s="46"/>
      <c r="X1097" s="46"/>
      <c r="Y1097" s="46"/>
      <c r="Z1097" s="46"/>
    </row>
    <row r="1098">
      <c r="A1098" s="56">
        <v>8.3205713E8</v>
      </c>
      <c r="B1098" s="126">
        <v>40604.0</v>
      </c>
      <c r="C1098" s="126">
        <v>40635.0</v>
      </c>
      <c r="D1098" s="56" t="s">
        <v>10</v>
      </c>
      <c r="E1098" s="56" t="s">
        <v>98</v>
      </c>
      <c r="F1098" s="56">
        <v>8293.0</v>
      </c>
      <c r="G1098" s="56" t="s">
        <v>43</v>
      </c>
      <c r="H1098" s="56">
        <v>3050.0</v>
      </c>
      <c r="I1098" s="127">
        <v>437.2</v>
      </c>
      <c r="J1098" s="127">
        <v>263.33</v>
      </c>
      <c r="K1098" s="83">
        <f t="shared" si="1"/>
        <v>1333460</v>
      </c>
      <c r="L1098" s="83">
        <f t="shared" si="2"/>
        <v>803156.5</v>
      </c>
      <c r="M1098" s="83">
        <f t="shared" si="3"/>
        <v>530303.5</v>
      </c>
      <c r="N1098" s="46" t="str">
        <f>VLOOKUP(F1098,products!$A$2:$B$13,2,FALSE)</f>
        <v>Cosmetics</v>
      </c>
      <c r="O1098" s="46" t="s">
        <v>98</v>
      </c>
      <c r="P1098" s="46">
        <f t="array" ref="P1098">WEEKDAY(B1098,2)</f>
        <v>3</v>
      </c>
      <c r="Q1098" s="46"/>
      <c r="R1098" s="46"/>
      <c r="S1098" s="46"/>
      <c r="T1098" s="46"/>
      <c r="U1098" s="46"/>
      <c r="V1098" s="46"/>
      <c r="W1098" s="46"/>
      <c r="X1098" s="46"/>
      <c r="Y1098" s="46"/>
      <c r="Z1098" s="46"/>
    </row>
    <row r="1099">
      <c r="A1099" s="56">
        <v>8.33473765E8</v>
      </c>
      <c r="B1099" s="126">
        <v>41392.0</v>
      </c>
      <c r="C1099" s="126">
        <v>41419.0</v>
      </c>
      <c r="D1099" s="56" t="s">
        <v>95</v>
      </c>
      <c r="E1099" s="56" t="s">
        <v>131</v>
      </c>
      <c r="F1099" s="56">
        <v>1270.0</v>
      </c>
      <c r="G1099" s="56" t="s">
        <v>42</v>
      </c>
      <c r="H1099" s="56">
        <v>2264.0</v>
      </c>
      <c r="I1099" s="127">
        <v>47.45</v>
      </c>
      <c r="J1099" s="127">
        <v>31.79</v>
      </c>
      <c r="K1099" s="83">
        <f t="shared" si="1"/>
        <v>107426.8</v>
      </c>
      <c r="L1099" s="83">
        <f t="shared" si="2"/>
        <v>71972.56</v>
      </c>
      <c r="M1099" s="83">
        <f t="shared" si="3"/>
        <v>35454.24</v>
      </c>
      <c r="N1099" s="46" t="str">
        <f>VLOOKUP(F1099,products!$A$2:$B$13,2,FALSE)</f>
        <v>Beverages</v>
      </c>
      <c r="O1099" s="46" t="s">
        <v>131</v>
      </c>
      <c r="P1099" s="46">
        <f t="array" ref="P1099">WEEKDAY(B1099,2)</f>
        <v>7</v>
      </c>
      <c r="Q1099" s="46"/>
      <c r="R1099" s="46"/>
      <c r="S1099" s="46"/>
      <c r="T1099" s="46"/>
      <c r="U1099" s="46"/>
      <c r="V1099" s="46"/>
      <c r="W1099" s="46"/>
      <c r="X1099" s="46"/>
      <c r="Y1099" s="46"/>
      <c r="Z1099" s="46"/>
    </row>
    <row r="1100">
      <c r="A1100" s="56">
        <v>8.33706796E8</v>
      </c>
      <c r="B1100" s="126">
        <v>41360.0</v>
      </c>
      <c r="C1100" s="126">
        <v>41367.0</v>
      </c>
      <c r="D1100" s="56" t="s">
        <v>89</v>
      </c>
      <c r="E1100" s="56" t="s">
        <v>108</v>
      </c>
      <c r="F1100" s="56">
        <v>2103.0</v>
      </c>
      <c r="G1100" s="56" t="s">
        <v>43</v>
      </c>
      <c r="H1100" s="56">
        <v>1223.0</v>
      </c>
      <c r="I1100" s="127">
        <v>205.7</v>
      </c>
      <c r="J1100" s="127">
        <v>117.11</v>
      </c>
      <c r="K1100" s="83">
        <f t="shared" si="1"/>
        <v>251571.1</v>
      </c>
      <c r="L1100" s="83">
        <f t="shared" si="2"/>
        <v>143225.53</v>
      </c>
      <c r="M1100" s="83">
        <f t="shared" si="3"/>
        <v>108345.57</v>
      </c>
      <c r="N1100" s="46" t="str">
        <f>VLOOKUP(F1100,products!$A$2:$B$13,2,FALSE)</f>
        <v>Cereal</v>
      </c>
      <c r="O1100" s="46" t="s">
        <v>108</v>
      </c>
      <c r="P1100" s="46">
        <f t="array" ref="P1100">WEEKDAY(B1100,2)</f>
        <v>3</v>
      </c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</row>
    <row r="1101">
      <c r="A1101" s="56">
        <v>8.34065997E8</v>
      </c>
      <c r="B1101" s="126">
        <v>42596.0</v>
      </c>
      <c r="C1101" s="126">
        <v>42627.0</v>
      </c>
      <c r="D1101" s="56" t="s">
        <v>93</v>
      </c>
      <c r="E1101" s="56" t="s">
        <v>128</v>
      </c>
      <c r="F1101" s="56">
        <v>7940.0</v>
      </c>
      <c r="G1101" s="56" t="s">
        <v>42</v>
      </c>
      <c r="H1101" s="56">
        <v>7518.0</v>
      </c>
      <c r="I1101" s="127">
        <v>668.27</v>
      </c>
      <c r="J1101" s="127">
        <v>502.54</v>
      </c>
      <c r="K1101" s="83">
        <f t="shared" si="1"/>
        <v>5024053.86</v>
      </c>
      <c r="L1101" s="83">
        <f t="shared" si="2"/>
        <v>3778095.72</v>
      </c>
      <c r="M1101" s="83">
        <f t="shared" si="3"/>
        <v>1245958.14</v>
      </c>
      <c r="N1101" s="46" t="str">
        <f>VLOOKUP(F1101,products!$A$2:$B$13,2,FALSE)</f>
        <v>Household</v>
      </c>
      <c r="O1101" s="46" t="s">
        <v>128</v>
      </c>
      <c r="P1101" s="46">
        <f t="array" ref="P1101">WEEKDAY(B1101,2)</f>
        <v>7</v>
      </c>
      <c r="Q1101" s="46"/>
      <c r="R1101" s="46"/>
      <c r="S1101" s="46"/>
      <c r="T1101" s="46"/>
      <c r="U1101" s="46"/>
      <c r="V1101" s="46"/>
      <c r="W1101" s="46"/>
      <c r="X1101" s="46"/>
      <c r="Y1101" s="46"/>
      <c r="Z1101" s="46"/>
    </row>
    <row r="1102">
      <c r="A1102" s="56">
        <v>8.3509339E8</v>
      </c>
      <c r="B1102" s="126">
        <v>41847.0</v>
      </c>
      <c r="C1102" s="126">
        <v>41849.0</v>
      </c>
      <c r="D1102" s="56" t="s">
        <v>95</v>
      </c>
      <c r="E1102" s="56" t="s">
        <v>100</v>
      </c>
      <c r="F1102" s="56">
        <v>3127.0</v>
      </c>
      <c r="G1102" s="56" t="s">
        <v>42</v>
      </c>
      <c r="H1102" s="56">
        <v>1547.0</v>
      </c>
      <c r="I1102" s="127">
        <v>81.73</v>
      </c>
      <c r="J1102" s="127">
        <v>56.67</v>
      </c>
      <c r="K1102" s="83">
        <f t="shared" si="1"/>
        <v>126436.31</v>
      </c>
      <c r="L1102" s="83">
        <f t="shared" si="2"/>
        <v>87668.49</v>
      </c>
      <c r="M1102" s="83">
        <f t="shared" si="3"/>
        <v>38767.82</v>
      </c>
      <c r="N1102" s="46" t="str">
        <f>VLOOKUP(F1102,products!$A$2:$B$13,2,FALSE)</f>
        <v>Personal Care</v>
      </c>
      <c r="O1102" s="46" t="s">
        <v>100</v>
      </c>
      <c r="P1102" s="46">
        <f t="array" ref="P1102">WEEKDAY(B1102,2)</f>
        <v>7</v>
      </c>
      <c r="Q1102" s="46"/>
      <c r="R1102" s="46"/>
      <c r="S1102" s="46"/>
      <c r="T1102" s="46"/>
      <c r="U1102" s="46"/>
      <c r="V1102" s="46"/>
      <c r="W1102" s="46"/>
      <c r="X1102" s="46"/>
      <c r="Y1102" s="46"/>
      <c r="Z1102" s="46"/>
    </row>
    <row r="1103">
      <c r="A1103" s="56">
        <v>8.3526591E8</v>
      </c>
      <c r="B1103" s="126">
        <v>40417.0</v>
      </c>
      <c r="C1103" s="126">
        <v>40452.0</v>
      </c>
      <c r="D1103" s="56" t="s">
        <v>89</v>
      </c>
      <c r="E1103" s="56" t="s">
        <v>118</v>
      </c>
      <c r="F1103" s="56">
        <v>7940.0</v>
      </c>
      <c r="G1103" s="56" t="s">
        <v>42</v>
      </c>
      <c r="H1103" s="56">
        <v>2599.0</v>
      </c>
      <c r="I1103" s="127">
        <v>668.27</v>
      </c>
      <c r="J1103" s="127">
        <v>502.54</v>
      </c>
      <c r="K1103" s="83">
        <f t="shared" si="1"/>
        <v>1736833.73</v>
      </c>
      <c r="L1103" s="83">
        <f t="shared" si="2"/>
        <v>1306101.46</v>
      </c>
      <c r="M1103" s="83">
        <f t="shared" si="3"/>
        <v>430732.27</v>
      </c>
      <c r="N1103" s="46" t="str">
        <f>VLOOKUP(F1103,products!$A$2:$B$13,2,FALSE)</f>
        <v>Household</v>
      </c>
      <c r="O1103" s="46" t="s">
        <v>118</v>
      </c>
      <c r="P1103" s="46">
        <f t="array" ref="P1103">WEEKDAY(B1103,2)</f>
        <v>5</v>
      </c>
      <c r="Q1103" s="46"/>
      <c r="R1103" s="46"/>
      <c r="S1103" s="46"/>
      <c r="T1103" s="46"/>
      <c r="U1103" s="46"/>
      <c r="V1103" s="46"/>
      <c r="W1103" s="46"/>
      <c r="X1103" s="46"/>
      <c r="Y1103" s="46"/>
      <c r="Z1103" s="46"/>
    </row>
    <row r="1104">
      <c r="A1104" s="56">
        <v>8.3534187E8</v>
      </c>
      <c r="B1104" s="126">
        <v>42761.0</v>
      </c>
      <c r="C1104" s="126">
        <v>42790.0</v>
      </c>
      <c r="D1104" s="56" t="s">
        <v>89</v>
      </c>
      <c r="E1104" s="56" t="s">
        <v>107</v>
      </c>
      <c r="F1104" s="56">
        <v>8293.0</v>
      </c>
      <c r="G1104" s="56" t="s">
        <v>43</v>
      </c>
      <c r="H1104" s="56">
        <v>5077.0</v>
      </c>
      <c r="I1104" s="127">
        <v>437.2</v>
      </c>
      <c r="J1104" s="127">
        <v>263.33</v>
      </c>
      <c r="K1104" s="83">
        <f t="shared" si="1"/>
        <v>2219664.4</v>
      </c>
      <c r="L1104" s="83">
        <f t="shared" si="2"/>
        <v>1336926.41</v>
      </c>
      <c r="M1104" s="83">
        <f t="shared" si="3"/>
        <v>882737.99</v>
      </c>
      <c r="N1104" s="46" t="str">
        <f>VLOOKUP(F1104,products!$A$2:$B$13,2,FALSE)</f>
        <v>Cosmetics</v>
      </c>
      <c r="O1104" s="46" t="s">
        <v>107</v>
      </c>
      <c r="P1104" s="46">
        <f t="array" ref="P1104">WEEKDAY(B1104,2)</f>
        <v>4</v>
      </c>
      <c r="Q1104" s="46"/>
      <c r="R1104" s="46"/>
      <c r="S1104" s="46"/>
      <c r="T1104" s="46"/>
      <c r="U1104" s="46"/>
      <c r="V1104" s="46"/>
      <c r="W1104" s="46"/>
      <c r="X1104" s="46"/>
      <c r="Y1104" s="46"/>
      <c r="Z1104" s="46"/>
    </row>
    <row r="1105">
      <c r="A1105" s="56">
        <v>8.37608659E8</v>
      </c>
      <c r="B1105" s="126">
        <v>41020.0</v>
      </c>
      <c r="C1105" s="126">
        <v>41031.0</v>
      </c>
      <c r="D1105" s="56" t="s">
        <v>95</v>
      </c>
      <c r="E1105" s="56" t="s">
        <v>125</v>
      </c>
      <c r="F1105" s="56">
        <v>7940.0</v>
      </c>
      <c r="G1105" s="56" t="s">
        <v>43</v>
      </c>
      <c r="H1105" s="56">
        <v>5871.0</v>
      </c>
      <c r="I1105" s="127">
        <v>668.27</v>
      </c>
      <c r="J1105" s="127">
        <v>502.54</v>
      </c>
      <c r="K1105" s="83">
        <f t="shared" si="1"/>
        <v>3923413.17</v>
      </c>
      <c r="L1105" s="83">
        <f t="shared" si="2"/>
        <v>2950412.34</v>
      </c>
      <c r="M1105" s="83">
        <f t="shared" si="3"/>
        <v>973000.83</v>
      </c>
      <c r="N1105" s="46" t="str">
        <f>VLOOKUP(F1105,products!$A$2:$B$13,2,FALSE)</f>
        <v>Household</v>
      </c>
      <c r="O1105" s="46" t="s">
        <v>125</v>
      </c>
      <c r="P1105" s="46">
        <f t="array" ref="P1105">WEEKDAY(B1105,2)</f>
        <v>6</v>
      </c>
      <c r="Q1105" s="46"/>
      <c r="R1105" s="46"/>
      <c r="S1105" s="46"/>
      <c r="T1105" s="46"/>
      <c r="U1105" s="46"/>
      <c r="V1105" s="46"/>
      <c r="W1105" s="46"/>
      <c r="X1105" s="46"/>
      <c r="Y1105" s="46"/>
      <c r="Z1105" s="46"/>
    </row>
    <row r="1106">
      <c r="A1106" s="56">
        <v>8.3790692E8</v>
      </c>
      <c r="B1106" s="126">
        <v>42829.0</v>
      </c>
      <c r="C1106" s="126">
        <v>42871.0</v>
      </c>
      <c r="D1106" s="56" t="s">
        <v>93</v>
      </c>
      <c r="E1106" s="56" t="s">
        <v>122</v>
      </c>
      <c r="F1106" s="56">
        <v>1270.0</v>
      </c>
      <c r="G1106" s="56" t="s">
        <v>43</v>
      </c>
      <c r="H1106" s="56">
        <v>4133.0</v>
      </c>
      <c r="I1106" s="127">
        <v>47.45</v>
      </c>
      <c r="J1106" s="127">
        <v>31.79</v>
      </c>
      <c r="K1106" s="83">
        <f t="shared" si="1"/>
        <v>196110.85</v>
      </c>
      <c r="L1106" s="83">
        <f t="shared" si="2"/>
        <v>131388.07</v>
      </c>
      <c r="M1106" s="83">
        <f t="shared" si="3"/>
        <v>64722.78</v>
      </c>
      <c r="N1106" s="46" t="str">
        <f>VLOOKUP(F1106,products!$A$2:$B$13,2,FALSE)</f>
        <v>Beverages</v>
      </c>
      <c r="O1106" s="46" t="s">
        <v>122</v>
      </c>
      <c r="P1106" s="46">
        <f t="array" ref="P1106">WEEKDAY(B1106,2)</f>
        <v>2</v>
      </c>
      <c r="Q1106" s="46"/>
      <c r="R1106" s="46"/>
      <c r="S1106" s="46"/>
      <c r="T1106" s="46"/>
      <c r="U1106" s="46"/>
      <c r="V1106" s="46"/>
      <c r="W1106" s="46"/>
      <c r="X1106" s="46"/>
      <c r="Y1106" s="46"/>
      <c r="Z1106" s="46"/>
    </row>
    <row r="1107">
      <c r="A1107" s="56">
        <v>8.38788402E8</v>
      </c>
      <c r="B1107" s="126">
        <v>40219.0</v>
      </c>
      <c r="C1107" s="126">
        <v>40235.0</v>
      </c>
      <c r="D1107" s="56" t="s">
        <v>89</v>
      </c>
      <c r="E1107" s="56" t="s">
        <v>101</v>
      </c>
      <c r="F1107" s="56">
        <v>7331.0</v>
      </c>
      <c r="G1107" s="56" t="s">
        <v>42</v>
      </c>
      <c r="H1107" s="56">
        <v>4983.0</v>
      </c>
      <c r="I1107" s="127">
        <v>255.28</v>
      </c>
      <c r="J1107" s="127">
        <v>159.42</v>
      </c>
      <c r="K1107" s="83">
        <f t="shared" si="1"/>
        <v>1272060.24</v>
      </c>
      <c r="L1107" s="83">
        <f t="shared" si="2"/>
        <v>794389.86</v>
      </c>
      <c r="M1107" s="83">
        <f t="shared" si="3"/>
        <v>477670.38</v>
      </c>
      <c r="N1107" s="46" t="str">
        <f>VLOOKUP(F1107,products!$A$2:$B$13,2,FALSE)</f>
        <v>Baby Food</v>
      </c>
      <c r="O1107" s="46" t="s">
        <v>101</v>
      </c>
      <c r="P1107" s="46">
        <f t="array" ref="P1107">WEEKDAY(B1107,2)</f>
        <v>3</v>
      </c>
      <c r="Q1107" s="46"/>
      <c r="R1107" s="46"/>
      <c r="S1107" s="46"/>
      <c r="T1107" s="46"/>
      <c r="U1107" s="46"/>
      <c r="V1107" s="46"/>
      <c r="W1107" s="46"/>
      <c r="X1107" s="46"/>
      <c r="Y1107" s="46"/>
      <c r="Z1107" s="46"/>
    </row>
    <row r="1108">
      <c r="A1108" s="56">
        <v>8.38895261E8</v>
      </c>
      <c r="B1108" s="126">
        <v>41687.0</v>
      </c>
      <c r="C1108" s="126">
        <v>41689.0</v>
      </c>
      <c r="D1108" s="56" t="s">
        <v>93</v>
      </c>
      <c r="E1108" s="56" t="e">
        <v>#N/A</v>
      </c>
      <c r="F1108" s="56">
        <v>3127.0</v>
      </c>
      <c r="G1108" s="56" t="s">
        <v>42</v>
      </c>
      <c r="H1108" s="56">
        <v>6605.0</v>
      </c>
      <c r="I1108" s="127">
        <v>81.73</v>
      </c>
      <c r="J1108" s="127">
        <v>56.67</v>
      </c>
      <c r="K1108" s="83">
        <f t="shared" si="1"/>
        <v>539826.65</v>
      </c>
      <c r="L1108" s="83">
        <f t="shared" si="2"/>
        <v>374305.35</v>
      </c>
      <c r="M1108" s="83">
        <f t="shared" si="3"/>
        <v>165521.3</v>
      </c>
      <c r="N1108" s="46" t="str">
        <f>VLOOKUP(F1108,products!$A$2:$B$13,2,FALSE)</f>
        <v>Personal Care</v>
      </c>
      <c r="O1108" s="46" t="s">
        <v>92</v>
      </c>
      <c r="P1108" s="46">
        <f t="array" ref="P1108">WEEKDAY(B1108,2)</f>
        <v>1</v>
      </c>
      <c r="Q1108" s="46"/>
      <c r="R1108" s="46"/>
      <c r="S1108" s="46"/>
      <c r="T1108" s="46"/>
      <c r="U1108" s="46"/>
      <c r="V1108" s="46"/>
      <c r="W1108" s="46"/>
      <c r="X1108" s="46"/>
      <c r="Y1108" s="46"/>
      <c r="Z1108" s="46"/>
    </row>
    <row r="1109">
      <c r="A1109" s="56">
        <v>8.39437711E8</v>
      </c>
      <c r="B1109" s="126">
        <v>41996.0</v>
      </c>
      <c r="C1109" s="126">
        <v>41997.0</v>
      </c>
      <c r="D1109" s="56" t="s">
        <v>93</v>
      </c>
      <c r="E1109" s="56" t="s">
        <v>116</v>
      </c>
      <c r="F1109" s="56">
        <v>2455.0</v>
      </c>
      <c r="G1109" s="56" t="s">
        <v>42</v>
      </c>
      <c r="H1109" s="56">
        <v>7128.0</v>
      </c>
      <c r="I1109" s="127">
        <v>109.28</v>
      </c>
      <c r="J1109" s="127">
        <v>35.84</v>
      </c>
      <c r="K1109" s="83">
        <f t="shared" si="1"/>
        <v>778947.84</v>
      </c>
      <c r="L1109" s="83">
        <f t="shared" si="2"/>
        <v>255467.52</v>
      </c>
      <c r="M1109" s="83">
        <f t="shared" si="3"/>
        <v>523480.32</v>
      </c>
      <c r="N1109" s="46" t="str">
        <f>VLOOKUP(F1109,products!$A$2:$B$13,2,FALSE)</f>
        <v>Clothes</v>
      </c>
      <c r="O1109" s="46" t="s">
        <v>116</v>
      </c>
      <c r="P1109" s="46">
        <f t="array" ref="P1109">WEEKDAY(B1109,2)</f>
        <v>2</v>
      </c>
      <c r="Q1109" s="46"/>
      <c r="R1109" s="46"/>
      <c r="S1109" s="46"/>
      <c r="T1109" s="46"/>
      <c r="U1109" s="46"/>
      <c r="V1109" s="46"/>
      <c r="W1109" s="46"/>
      <c r="X1109" s="46"/>
      <c r="Y1109" s="46"/>
      <c r="Z1109" s="46"/>
    </row>
    <row r="1110">
      <c r="A1110" s="56">
        <v>8.40747058E8</v>
      </c>
      <c r="B1110" s="126">
        <v>40522.0</v>
      </c>
      <c r="C1110" s="126">
        <v>40538.0</v>
      </c>
      <c r="D1110" s="56" t="s">
        <v>10</v>
      </c>
      <c r="E1110" s="56" t="s">
        <v>101</v>
      </c>
      <c r="F1110" s="56">
        <v>3127.0</v>
      </c>
      <c r="G1110" s="56" t="s">
        <v>43</v>
      </c>
      <c r="H1110" s="56">
        <v>4593.0</v>
      </c>
      <c r="I1110" s="127">
        <v>81.73</v>
      </c>
      <c r="J1110" s="127">
        <v>56.67</v>
      </c>
      <c r="K1110" s="83">
        <f t="shared" si="1"/>
        <v>375385.89</v>
      </c>
      <c r="L1110" s="83">
        <f t="shared" si="2"/>
        <v>260285.31</v>
      </c>
      <c r="M1110" s="83">
        <f t="shared" si="3"/>
        <v>115100.58</v>
      </c>
      <c r="N1110" s="46" t="str">
        <f>VLOOKUP(F1110,products!$A$2:$B$13,2,FALSE)</f>
        <v>Personal Care</v>
      </c>
      <c r="O1110" s="46" t="s">
        <v>101</v>
      </c>
      <c r="P1110" s="46">
        <f t="array" ref="P1110">WEEKDAY(B1110,2)</f>
        <v>5</v>
      </c>
      <c r="Q1110" s="46"/>
      <c r="R1110" s="46"/>
      <c r="S1110" s="46"/>
      <c r="T1110" s="46"/>
      <c r="U1110" s="46"/>
      <c r="V1110" s="46"/>
      <c r="W1110" s="46"/>
      <c r="X1110" s="46"/>
      <c r="Y1110" s="46"/>
      <c r="Z1110" s="46"/>
    </row>
    <row r="1111">
      <c r="A1111" s="56">
        <v>8.4078139E8</v>
      </c>
      <c r="B1111" s="126">
        <v>40471.0</v>
      </c>
      <c r="C1111" s="126">
        <v>40495.0</v>
      </c>
      <c r="D1111" s="56" t="s">
        <v>95</v>
      </c>
      <c r="E1111" s="56" t="s">
        <v>107</v>
      </c>
      <c r="F1111" s="56">
        <v>7940.0</v>
      </c>
      <c r="G1111" s="56" t="s">
        <v>43</v>
      </c>
      <c r="H1111" s="56">
        <v>4752.0</v>
      </c>
      <c r="I1111" s="127">
        <v>668.27</v>
      </c>
      <c r="J1111" s="127">
        <v>502.54</v>
      </c>
      <c r="K1111" s="83">
        <f t="shared" si="1"/>
        <v>3175619.04</v>
      </c>
      <c r="L1111" s="83">
        <f t="shared" si="2"/>
        <v>2388070.08</v>
      </c>
      <c r="M1111" s="83">
        <f t="shared" si="3"/>
        <v>787548.96</v>
      </c>
      <c r="N1111" s="46" t="str">
        <f>VLOOKUP(F1111,products!$A$2:$B$13,2,FALSE)</f>
        <v>Household</v>
      </c>
      <c r="O1111" s="46" t="s">
        <v>107</v>
      </c>
      <c r="P1111" s="46">
        <f t="array" ref="P1111">WEEKDAY(B1111,2)</f>
        <v>3</v>
      </c>
      <c r="Q1111" s="46"/>
      <c r="R1111" s="46"/>
      <c r="S1111" s="46"/>
      <c r="T1111" s="46"/>
      <c r="U1111" s="46"/>
      <c r="V1111" s="46"/>
      <c r="W1111" s="46"/>
      <c r="X1111" s="46"/>
      <c r="Y1111" s="46"/>
      <c r="Z1111" s="46"/>
    </row>
    <row r="1112">
      <c r="A1112" s="56">
        <v>8.4268769E8</v>
      </c>
      <c r="B1112" s="126">
        <v>40643.0</v>
      </c>
      <c r="C1112" s="126">
        <v>40689.0</v>
      </c>
      <c r="D1112" s="56" t="s">
        <v>95</v>
      </c>
      <c r="E1112" s="56" t="s">
        <v>94</v>
      </c>
      <c r="F1112" s="56">
        <v>5988.0</v>
      </c>
      <c r="G1112" s="56" t="s">
        <v>42</v>
      </c>
      <c r="H1112" s="56">
        <v>8869.0</v>
      </c>
      <c r="I1112" s="127">
        <v>154.06</v>
      </c>
      <c r="J1112" s="127">
        <v>90.93</v>
      </c>
      <c r="K1112" s="83">
        <f t="shared" si="1"/>
        <v>1366358.14</v>
      </c>
      <c r="L1112" s="83">
        <f t="shared" si="2"/>
        <v>806458.17</v>
      </c>
      <c r="M1112" s="83">
        <f t="shared" si="3"/>
        <v>559899.97</v>
      </c>
      <c r="N1112" s="46" t="str">
        <f>VLOOKUP(F1112,products!$A$2:$B$13,2,FALSE)</f>
        <v>Vegetables</v>
      </c>
      <c r="O1112" s="46" t="s">
        <v>94</v>
      </c>
      <c r="P1112" s="46">
        <f t="array" ref="P1112">WEEKDAY(B1112,2)</f>
        <v>7</v>
      </c>
      <c r="Q1112" s="46"/>
      <c r="R1112" s="46"/>
      <c r="S1112" s="46"/>
      <c r="T1112" s="46"/>
      <c r="U1112" s="46"/>
      <c r="V1112" s="46"/>
      <c r="W1112" s="46"/>
      <c r="X1112" s="46"/>
      <c r="Y1112" s="46"/>
      <c r="Z1112" s="46"/>
    </row>
    <row r="1113">
      <c r="A1113" s="56">
        <v>8.42725884E8</v>
      </c>
      <c r="B1113" s="126">
        <v>42212.0</v>
      </c>
      <c r="C1113" s="126">
        <v>42227.0</v>
      </c>
      <c r="D1113" s="56" t="s">
        <v>95</v>
      </c>
      <c r="E1113" s="56" t="s">
        <v>108</v>
      </c>
      <c r="F1113" s="56">
        <v>8969.0</v>
      </c>
      <c r="G1113" s="56" t="s">
        <v>42</v>
      </c>
      <c r="H1113" s="56">
        <v>171.0</v>
      </c>
      <c r="I1113" s="127">
        <v>152.58</v>
      </c>
      <c r="J1113" s="127">
        <v>97.44</v>
      </c>
      <c r="K1113" s="83">
        <f t="shared" si="1"/>
        <v>26091.18</v>
      </c>
      <c r="L1113" s="83">
        <f t="shared" si="2"/>
        <v>16662.24</v>
      </c>
      <c r="M1113" s="83">
        <f t="shared" si="3"/>
        <v>9428.94</v>
      </c>
      <c r="N1113" s="46" t="str">
        <f>VLOOKUP(F1113,products!$A$2:$B$13,2,FALSE)</f>
        <v>Snacks</v>
      </c>
      <c r="O1113" s="46" t="s">
        <v>108</v>
      </c>
      <c r="P1113" s="46">
        <f t="array" ref="P1113">WEEKDAY(B1113,2)</f>
        <v>1</v>
      </c>
      <c r="Q1113" s="46"/>
      <c r="R1113" s="46"/>
      <c r="S1113" s="46"/>
      <c r="T1113" s="46"/>
      <c r="U1113" s="46"/>
      <c r="V1113" s="46"/>
      <c r="W1113" s="46"/>
      <c r="X1113" s="46"/>
      <c r="Y1113" s="46"/>
      <c r="Z1113" s="46"/>
    </row>
    <row r="1114">
      <c r="A1114" s="56">
        <v>8.44105184E8</v>
      </c>
      <c r="B1114" s="126">
        <v>40254.0</v>
      </c>
      <c r="C1114" s="126">
        <v>40288.0</v>
      </c>
      <c r="D1114" s="56" t="s">
        <v>95</v>
      </c>
      <c r="E1114" s="56" t="s">
        <v>104</v>
      </c>
      <c r="F1114" s="56">
        <v>1270.0</v>
      </c>
      <c r="G1114" s="56" t="s">
        <v>42</v>
      </c>
      <c r="H1114" s="56">
        <v>8337.0</v>
      </c>
      <c r="I1114" s="127">
        <v>47.45</v>
      </c>
      <c r="J1114" s="127">
        <v>31.79</v>
      </c>
      <c r="K1114" s="83">
        <f t="shared" si="1"/>
        <v>395590.65</v>
      </c>
      <c r="L1114" s="83">
        <f t="shared" si="2"/>
        <v>265033.23</v>
      </c>
      <c r="M1114" s="83">
        <f t="shared" si="3"/>
        <v>130557.42</v>
      </c>
      <c r="N1114" s="46" t="str">
        <f>VLOOKUP(F1114,products!$A$2:$B$13,2,FALSE)</f>
        <v>Beverages</v>
      </c>
      <c r="O1114" s="46" t="s">
        <v>104</v>
      </c>
      <c r="P1114" s="46">
        <f t="array" ref="P1114">WEEKDAY(B1114,2)</f>
        <v>3</v>
      </c>
      <c r="Q1114" s="46"/>
      <c r="R1114" s="46"/>
      <c r="S1114" s="46"/>
      <c r="T1114" s="46"/>
      <c r="U1114" s="46"/>
      <c r="V1114" s="46"/>
      <c r="W1114" s="46"/>
      <c r="X1114" s="46"/>
      <c r="Y1114" s="46"/>
      <c r="Z1114" s="46"/>
    </row>
    <row r="1115">
      <c r="A1115" s="56">
        <v>8.44307315E8</v>
      </c>
      <c r="B1115" s="126">
        <v>41098.0</v>
      </c>
      <c r="C1115" s="126">
        <v>41119.0</v>
      </c>
      <c r="D1115" s="56" t="s">
        <v>95</v>
      </c>
      <c r="E1115" s="56" t="s">
        <v>103</v>
      </c>
      <c r="F1115" s="56">
        <v>7331.0</v>
      </c>
      <c r="G1115" s="56" t="s">
        <v>43</v>
      </c>
      <c r="H1115" s="56">
        <v>8152.0</v>
      </c>
      <c r="I1115" s="127">
        <v>255.28</v>
      </c>
      <c r="J1115" s="127">
        <v>159.42</v>
      </c>
      <c r="K1115" s="83">
        <f t="shared" si="1"/>
        <v>2081042.56</v>
      </c>
      <c r="L1115" s="83">
        <f t="shared" si="2"/>
        <v>1299591.84</v>
      </c>
      <c r="M1115" s="83">
        <f t="shared" si="3"/>
        <v>781450.72</v>
      </c>
      <c r="N1115" s="46" t="str">
        <f>VLOOKUP(F1115,products!$A$2:$B$13,2,FALSE)</f>
        <v>Baby Food</v>
      </c>
      <c r="O1115" s="46" t="s">
        <v>103</v>
      </c>
      <c r="P1115" s="46">
        <f t="array" ref="P1115">WEEKDAY(B1115,2)</f>
        <v>7</v>
      </c>
      <c r="Q1115" s="46"/>
      <c r="R1115" s="46"/>
      <c r="S1115" s="46"/>
      <c r="T1115" s="46"/>
      <c r="U1115" s="46"/>
      <c r="V1115" s="46"/>
      <c r="W1115" s="46"/>
      <c r="X1115" s="46"/>
      <c r="Y1115" s="46"/>
      <c r="Z1115" s="46"/>
    </row>
    <row r="1116">
      <c r="A1116" s="56">
        <v>8.44575107E8</v>
      </c>
      <c r="B1116" s="126">
        <v>41811.0</v>
      </c>
      <c r="C1116" s="126">
        <v>41816.0</v>
      </c>
      <c r="D1116" s="56" t="s">
        <v>95</v>
      </c>
      <c r="E1116" s="56" t="s">
        <v>130</v>
      </c>
      <c r="F1116" s="56">
        <v>8875.0</v>
      </c>
      <c r="G1116" s="56" t="s">
        <v>43</v>
      </c>
      <c r="H1116" s="56">
        <v>7397.0</v>
      </c>
      <c r="I1116" s="127">
        <v>421.89</v>
      </c>
      <c r="J1116" s="127">
        <v>364.69</v>
      </c>
      <c r="K1116" s="83">
        <f t="shared" si="1"/>
        <v>3120720.33</v>
      </c>
      <c r="L1116" s="83">
        <f t="shared" si="2"/>
        <v>2697611.93</v>
      </c>
      <c r="M1116" s="83">
        <f t="shared" si="3"/>
        <v>423108.4</v>
      </c>
      <c r="N1116" s="46" t="str">
        <f>VLOOKUP(F1116,products!$A$2:$B$13,2,FALSE)</f>
        <v>Meat</v>
      </c>
      <c r="O1116" s="46" t="s">
        <v>130</v>
      </c>
      <c r="P1116" s="46">
        <f t="array" ref="P1116">WEEKDAY(B1116,2)</f>
        <v>6</v>
      </c>
      <c r="Q1116" s="46"/>
      <c r="R1116" s="46"/>
      <c r="S1116" s="46"/>
      <c r="T1116" s="46"/>
      <c r="U1116" s="46"/>
      <c r="V1116" s="46"/>
      <c r="W1116" s="46"/>
      <c r="X1116" s="46"/>
      <c r="Y1116" s="46"/>
      <c r="Z1116" s="46"/>
    </row>
    <row r="1117">
      <c r="A1117" s="56">
        <v>8.45067346E8</v>
      </c>
      <c r="B1117" s="126">
        <v>40430.0</v>
      </c>
      <c r="C1117" s="126">
        <v>40434.0</v>
      </c>
      <c r="D1117" s="56" t="s">
        <v>95</v>
      </c>
      <c r="E1117" s="56" t="s">
        <v>112</v>
      </c>
      <c r="F1117" s="56">
        <v>7940.0</v>
      </c>
      <c r="G1117" s="56" t="s">
        <v>43</v>
      </c>
      <c r="H1117" s="56">
        <v>3062.0</v>
      </c>
      <c r="I1117" s="127">
        <v>668.27</v>
      </c>
      <c r="J1117" s="127">
        <v>502.54</v>
      </c>
      <c r="K1117" s="83">
        <f t="shared" si="1"/>
        <v>2046242.74</v>
      </c>
      <c r="L1117" s="83">
        <f t="shared" si="2"/>
        <v>1538777.48</v>
      </c>
      <c r="M1117" s="83">
        <f t="shared" si="3"/>
        <v>507465.26</v>
      </c>
      <c r="N1117" s="46" t="str">
        <f>VLOOKUP(F1117,products!$A$2:$B$13,2,FALSE)</f>
        <v>Household</v>
      </c>
      <c r="O1117" s="46" t="s">
        <v>112</v>
      </c>
      <c r="P1117" s="46">
        <f t="array" ref="P1117">WEEKDAY(B1117,2)</f>
        <v>4</v>
      </c>
      <c r="Q1117" s="46"/>
      <c r="R1117" s="46"/>
      <c r="S1117" s="46"/>
      <c r="T1117" s="46"/>
      <c r="U1117" s="46"/>
      <c r="V1117" s="46"/>
      <c r="W1117" s="46"/>
      <c r="X1117" s="46"/>
      <c r="Y1117" s="46"/>
      <c r="Z1117" s="46"/>
    </row>
    <row r="1118">
      <c r="A1118" s="56">
        <v>8.45738112E8</v>
      </c>
      <c r="B1118" s="126">
        <v>40447.0</v>
      </c>
      <c r="C1118" s="126">
        <v>40474.0</v>
      </c>
      <c r="D1118" s="56" t="s">
        <v>93</v>
      </c>
      <c r="E1118" s="56" t="e">
        <v>#N/A</v>
      </c>
      <c r="F1118" s="56">
        <v>8293.0</v>
      </c>
      <c r="G1118" s="56" t="s">
        <v>43</v>
      </c>
      <c r="H1118" s="56">
        <v>1557.0</v>
      </c>
      <c r="I1118" s="127">
        <v>437.2</v>
      </c>
      <c r="J1118" s="127">
        <v>263.33</v>
      </c>
      <c r="K1118" s="83">
        <f t="shared" si="1"/>
        <v>680720.4</v>
      </c>
      <c r="L1118" s="83">
        <f t="shared" si="2"/>
        <v>410004.81</v>
      </c>
      <c r="M1118" s="83">
        <f t="shared" si="3"/>
        <v>270715.59</v>
      </c>
      <c r="N1118" s="46" t="str">
        <f>VLOOKUP(F1118,products!$A$2:$B$13,2,FALSE)</f>
        <v>Cosmetics</v>
      </c>
      <c r="O1118" s="46" t="s">
        <v>92</v>
      </c>
      <c r="P1118" s="46">
        <f t="array" ref="P1118">WEEKDAY(B1118,2)</f>
        <v>7</v>
      </c>
      <c r="Q1118" s="46"/>
      <c r="R1118" s="46"/>
      <c r="S1118" s="46"/>
      <c r="T1118" s="46"/>
      <c r="U1118" s="46"/>
      <c r="V1118" s="46"/>
      <c r="W1118" s="46"/>
      <c r="X1118" s="46"/>
      <c r="Y1118" s="46"/>
      <c r="Z1118" s="46"/>
    </row>
    <row r="1119">
      <c r="A1119" s="56">
        <v>8.464136E8</v>
      </c>
      <c r="B1119" s="126">
        <v>40907.0</v>
      </c>
      <c r="C1119" s="126">
        <v>40908.0</v>
      </c>
      <c r="D1119" s="56" t="s">
        <v>93</v>
      </c>
      <c r="E1119" s="56" t="s">
        <v>127</v>
      </c>
      <c r="F1119" s="56">
        <v>8969.0</v>
      </c>
      <c r="G1119" s="56" t="s">
        <v>43</v>
      </c>
      <c r="H1119" s="56">
        <v>1448.0</v>
      </c>
      <c r="I1119" s="127">
        <v>152.58</v>
      </c>
      <c r="J1119" s="127">
        <v>97.44</v>
      </c>
      <c r="K1119" s="83">
        <f t="shared" si="1"/>
        <v>220935.84</v>
      </c>
      <c r="L1119" s="83">
        <f t="shared" si="2"/>
        <v>141093.12</v>
      </c>
      <c r="M1119" s="83">
        <f t="shared" si="3"/>
        <v>79842.72</v>
      </c>
      <c r="N1119" s="46" t="str">
        <f>VLOOKUP(F1119,products!$A$2:$B$13,2,FALSE)</f>
        <v>Snacks</v>
      </c>
      <c r="O1119" s="46" t="s">
        <v>127</v>
      </c>
      <c r="P1119" s="46">
        <f t="array" ref="P1119">WEEKDAY(B1119,2)</f>
        <v>5</v>
      </c>
      <c r="Q1119" s="46"/>
      <c r="R1119" s="46"/>
      <c r="S1119" s="46"/>
      <c r="T1119" s="46"/>
      <c r="U1119" s="46"/>
      <c r="V1119" s="46"/>
      <c r="W1119" s="46"/>
      <c r="X1119" s="46"/>
      <c r="Y1119" s="46"/>
      <c r="Z1119" s="46"/>
    </row>
    <row r="1120">
      <c r="A1120" s="56">
        <v>8.47317397E8</v>
      </c>
      <c r="B1120" s="126">
        <v>40892.0</v>
      </c>
      <c r="C1120" s="126">
        <v>40895.0</v>
      </c>
      <c r="D1120" s="56" t="s">
        <v>89</v>
      </c>
      <c r="E1120" s="56" t="s">
        <v>124</v>
      </c>
      <c r="F1120" s="56">
        <v>8875.0</v>
      </c>
      <c r="G1120" s="56" t="s">
        <v>42</v>
      </c>
      <c r="H1120" s="56">
        <v>8902.0</v>
      </c>
      <c r="I1120" s="127">
        <v>421.89</v>
      </c>
      <c r="J1120" s="127">
        <v>364.69</v>
      </c>
      <c r="K1120" s="83">
        <f t="shared" si="1"/>
        <v>3755664.78</v>
      </c>
      <c r="L1120" s="83">
        <f t="shared" si="2"/>
        <v>3246470.38</v>
      </c>
      <c r="M1120" s="83">
        <f t="shared" si="3"/>
        <v>509194.4</v>
      </c>
      <c r="N1120" s="46" t="str">
        <f>VLOOKUP(F1120,products!$A$2:$B$13,2,FALSE)</f>
        <v>Meat</v>
      </c>
      <c r="O1120" s="46" t="s">
        <v>124</v>
      </c>
      <c r="P1120" s="46">
        <f t="array" ref="P1120">WEEKDAY(B1120,2)</f>
        <v>4</v>
      </c>
      <c r="Q1120" s="46"/>
      <c r="R1120" s="46"/>
      <c r="S1120" s="46"/>
      <c r="T1120" s="46"/>
      <c r="U1120" s="46"/>
      <c r="V1120" s="46"/>
      <c r="W1120" s="46"/>
      <c r="X1120" s="46"/>
      <c r="Y1120" s="46"/>
      <c r="Z1120" s="46"/>
    </row>
    <row r="1121">
      <c r="A1121" s="56">
        <v>8.48737466E8</v>
      </c>
      <c r="B1121" s="126">
        <v>42505.0</v>
      </c>
      <c r="C1121" s="126">
        <v>42521.0</v>
      </c>
      <c r="D1121" s="56" t="s">
        <v>93</v>
      </c>
      <c r="E1121" s="56" t="s">
        <v>101</v>
      </c>
      <c r="F1121" s="56">
        <v>5988.0</v>
      </c>
      <c r="G1121" s="56" t="s">
        <v>43</v>
      </c>
      <c r="H1121" s="56">
        <v>9132.0</v>
      </c>
      <c r="I1121" s="127">
        <v>154.06</v>
      </c>
      <c r="J1121" s="127">
        <v>90.93</v>
      </c>
      <c r="K1121" s="83">
        <f t="shared" si="1"/>
        <v>1406875.92</v>
      </c>
      <c r="L1121" s="83">
        <f t="shared" si="2"/>
        <v>830372.76</v>
      </c>
      <c r="M1121" s="83">
        <f t="shared" si="3"/>
        <v>576503.16</v>
      </c>
      <c r="N1121" s="46" t="str">
        <f>VLOOKUP(F1121,products!$A$2:$B$13,2,FALSE)</f>
        <v>Vegetables</v>
      </c>
      <c r="O1121" s="46" t="s">
        <v>101</v>
      </c>
      <c r="P1121" s="46">
        <f t="array" ref="P1121">WEEKDAY(B1121,2)</f>
        <v>7</v>
      </c>
      <c r="Q1121" s="46"/>
      <c r="R1121" s="46"/>
      <c r="S1121" s="46"/>
      <c r="T1121" s="46"/>
      <c r="U1121" s="46"/>
      <c r="V1121" s="46"/>
      <c r="W1121" s="46"/>
      <c r="X1121" s="46"/>
      <c r="Y1121" s="46"/>
      <c r="Z1121" s="46"/>
    </row>
    <row r="1122">
      <c r="A1122" s="56">
        <v>8.49431836E8</v>
      </c>
      <c r="B1122" s="126">
        <v>41968.0</v>
      </c>
      <c r="C1122" s="126">
        <v>41971.0</v>
      </c>
      <c r="D1122" s="56" t="s">
        <v>93</v>
      </c>
      <c r="E1122" s="56" t="s">
        <v>124</v>
      </c>
      <c r="F1122" s="56">
        <v>8875.0</v>
      </c>
      <c r="G1122" s="56" t="s">
        <v>43</v>
      </c>
      <c r="H1122" s="56">
        <v>4611.0</v>
      </c>
      <c r="I1122" s="127">
        <v>421.89</v>
      </c>
      <c r="J1122" s="127">
        <v>364.69</v>
      </c>
      <c r="K1122" s="83">
        <f t="shared" si="1"/>
        <v>1945334.79</v>
      </c>
      <c r="L1122" s="83">
        <f t="shared" si="2"/>
        <v>1681585.59</v>
      </c>
      <c r="M1122" s="83">
        <f t="shared" si="3"/>
        <v>263749.2</v>
      </c>
      <c r="N1122" s="46" t="str">
        <f>VLOOKUP(F1122,products!$A$2:$B$13,2,FALSE)</f>
        <v>Meat</v>
      </c>
      <c r="O1122" s="46" t="s">
        <v>124</v>
      </c>
      <c r="P1122" s="46">
        <f t="array" ref="P1122">WEEKDAY(B1122,2)</f>
        <v>2</v>
      </c>
      <c r="Q1122" s="46"/>
      <c r="R1122" s="46"/>
      <c r="S1122" s="46"/>
      <c r="T1122" s="46"/>
      <c r="U1122" s="46"/>
      <c r="V1122" s="46"/>
      <c r="W1122" s="46"/>
      <c r="X1122" s="46"/>
      <c r="Y1122" s="46"/>
      <c r="Z1122" s="46"/>
    </row>
    <row r="1123">
      <c r="A1123" s="56">
        <v>8.49454581E8</v>
      </c>
      <c r="B1123" s="126">
        <v>42592.0</v>
      </c>
      <c r="C1123" s="126">
        <v>42619.0</v>
      </c>
      <c r="D1123" s="56" t="s">
        <v>89</v>
      </c>
      <c r="E1123" s="56" t="s">
        <v>131</v>
      </c>
      <c r="F1123" s="56">
        <v>8681.0</v>
      </c>
      <c r="G1123" s="56" t="s">
        <v>43</v>
      </c>
      <c r="H1123" s="56">
        <v>1342.0</v>
      </c>
      <c r="I1123" s="127">
        <v>651.21</v>
      </c>
      <c r="J1123" s="127">
        <v>524.96</v>
      </c>
      <c r="K1123" s="83">
        <f t="shared" si="1"/>
        <v>873923.82</v>
      </c>
      <c r="L1123" s="83">
        <f t="shared" si="2"/>
        <v>704496.32</v>
      </c>
      <c r="M1123" s="83">
        <f t="shared" si="3"/>
        <v>169427.5</v>
      </c>
      <c r="N1123" s="46" t="str">
        <f>VLOOKUP(F1123,products!$A$2:$B$13,2,FALSE)</f>
        <v>Office Supplies</v>
      </c>
      <c r="O1123" s="46" t="s">
        <v>131</v>
      </c>
      <c r="P1123" s="46">
        <f t="array" ref="P1123">WEEKDAY(B1123,2)</f>
        <v>3</v>
      </c>
      <c r="Q1123" s="46"/>
      <c r="R1123" s="46"/>
      <c r="S1123" s="46"/>
      <c r="T1123" s="46"/>
      <c r="U1123" s="46"/>
      <c r="V1123" s="46"/>
      <c r="W1123" s="46"/>
      <c r="X1123" s="46"/>
      <c r="Y1123" s="46"/>
      <c r="Z1123" s="46"/>
    </row>
    <row r="1124">
      <c r="A1124" s="56">
        <v>8.50279843E8</v>
      </c>
      <c r="B1124" s="126">
        <v>40999.0</v>
      </c>
      <c r="C1124" s="126">
        <v>41009.0</v>
      </c>
      <c r="D1124" s="56" t="s">
        <v>10</v>
      </c>
      <c r="E1124" s="56" t="s">
        <v>108</v>
      </c>
      <c r="F1124" s="56">
        <v>4594.0</v>
      </c>
      <c r="G1124" s="56" t="s">
        <v>42</v>
      </c>
      <c r="H1124" s="56">
        <v>5556.0</v>
      </c>
      <c r="I1124" s="127">
        <v>9.33</v>
      </c>
      <c r="J1124" s="127">
        <v>6.92</v>
      </c>
      <c r="K1124" s="83">
        <f t="shared" si="1"/>
        <v>51837.48</v>
      </c>
      <c r="L1124" s="83">
        <f t="shared" si="2"/>
        <v>38447.52</v>
      </c>
      <c r="M1124" s="83">
        <f t="shared" si="3"/>
        <v>13389.96</v>
      </c>
      <c r="N1124" s="46" t="str">
        <f>VLOOKUP(F1124,products!$A$2:$B$13,2,FALSE)</f>
        <v>Fruits</v>
      </c>
      <c r="O1124" s="46" t="s">
        <v>108</v>
      </c>
      <c r="P1124" s="46">
        <f t="array" ref="P1124">WEEKDAY(B1124,2)</f>
        <v>6</v>
      </c>
      <c r="Q1124" s="46"/>
      <c r="R1124" s="46"/>
      <c r="S1124" s="46"/>
      <c r="T1124" s="46"/>
      <c r="U1124" s="46"/>
      <c r="V1124" s="46"/>
      <c r="W1124" s="46"/>
      <c r="X1124" s="46"/>
      <c r="Y1124" s="46"/>
      <c r="Z1124" s="46"/>
    </row>
    <row r="1125">
      <c r="A1125" s="56">
        <v>8.50562655E8</v>
      </c>
      <c r="B1125" s="126">
        <v>41862.0</v>
      </c>
      <c r="C1125" s="126">
        <v>41907.0</v>
      </c>
      <c r="D1125" s="56" t="s">
        <v>89</v>
      </c>
      <c r="E1125" s="56" t="s">
        <v>122</v>
      </c>
      <c r="F1125" s="56">
        <v>7331.0</v>
      </c>
      <c r="G1125" s="56" t="s">
        <v>42</v>
      </c>
      <c r="H1125" s="56">
        <v>9246.0</v>
      </c>
      <c r="I1125" s="127">
        <v>255.28</v>
      </c>
      <c r="J1125" s="127">
        <v>159.42</v>
      </c>
      <c r="K1125" s="83">
        <f t="shared" si="1"/>
        <v>2360318.88</v>
      </c>
      <c r="L1125" s="83">
        <f t="shared" si="2"/>
        <v>1473997.32</v>
      </c>
      <c r="M1125" s="83">
        <f t="shared" si="3"/>
        <v>886321.56</v>
      </c>
      <c r="N1125" s="46" t="str">
        <f>VLOOKUP(F1125,products!$A$2:$B$13,2,FALSE)</f>
        <v>Baby Food</v>
      </c>
      <c r="O1125" s="46" t="s">
        <v>122</v>
      </c>
      <c r="P1125" s="46">
        <f t="array" ref="P1125">WEEKDAY(B1125,2)</f>
        <v>1</v>
      </c>
      <c r="Q1125" s="46"/>
      <c r="R1125" s="46"/>
      <c r="S1125" s="46"/>
      <c r="T1125" s="46"/>
      <c r="U1125" s="46"/>
      <c r="V1125" s="46"/>
      <c r="W1125" s="46"/>
      <c r="X1125" s="46"/>
      <c r="Y1125" s="46"/>
      <c r="Z1125" s="46"/>
    </row>
    <row r="1126">
      <c r="A1126" s="56">
        <v>8.50872075E8</v>
      </c>
      <c r="B1126" s="126">
        <v>42203.0</v>
      </c>
      <c r="C1126" s="126">
        <v>42217.0</v>
      </c>
      <c r="D1126" s="56" t="s">
        <v>95</v>
      </c>
      <c r="E1126" s="56" t="s">
        <v>114</v>
      </c>
      <c r="F1126" s="56">
        <v>7331.0</v>
      </c>
      <c r="G1126" s="56" t="s">
        <v>42</v>
      </c>
      <c r="H1126" s="56">
        <v>810.0</v>
      </c>
      <c r="I1126" s="127">
        <v>255.28</v>
      </c>
      <c r="J1126" s="127">
        <v>159.42</v>
      </c>
      <c r="K1126" s="83">
        <f t="shared" si="1"/>
        <v>206776.8</v>
      </c>
      <c r="L1126" s="83">
        <f t="shared" si="2"/>
        <v>129130.2</v>
      </c>
      <c r="M1126" s="83">
        <f t="shared" si="3"/>
        <v>77646.6</v>
      </c>
      <c r="N1126" s="46" t="str">
        <f>VLOOKUP(F1126,products!$A$2:$B$13,2,FALSE)</f>
        <v>Baby Food</v>
      </c>
      <c r="O1126" s="46" t="s">
        <v>114</v>
      </c>
      <c r="P1126" s="46">
        <f t="array" ref="P1126">WEEKDAY(B1126,2)</f>
        <v>6</v>
      </c>
      <c r="Q1126" s="46"/>
      <c r="R1126" s="46"/>
      <c r="S1126" s="46"/>
      <c r="T1126" s="46"/>
      <c r="U1126" s="46"/>
      <c r="V1126" s="46"/>
      <c r="W1126" s="46"/>
      <c r="X1126" s="46"/>
      <c r="Y1126" s="46"/>
      <c r="Z1126" s="46"/>
    </row>
    <row r="1127">
      <c r="A1127" s="56">
        <v>8.52392995E8</v>
      </c>
      <c r="B1127" s="126">
        <v>42457.0</v>
      </c>
      <c r="C1127" s="126">
        <v>42479.0</v>
      </c>
      <c r="D1127" s="56" t="s">
        <v>89</v>
      </c>
      <c r="E1127" s="56" t="s">
        <v>110</v>
      </c>
      <c r="F1127" s="56">
        <v>8293.0</v>
      </c>
      <c r="G1127" s="56" t="s">
        <v>43</v>
      </c>
      <c r="H1127" s="56">
        <v>884.0</v>
      </c>
      <c r="I1127" s="127">
        <v>437.2</v>
      </c>
      <c r="J1127" s="127">
        <v>263.33</v>
      </c>
      <c r="K1127" s="83">
        <f t="shared" si="1"/>
        <v>386484.8</v>
      </c>
      <c r="L1127" s="83">
        <f t="shared" si="2"/>
        <v>232783.72</v>
      </c>
      <c r="M1127" s="83">
        <f t="shared" si="3"/>
        <v>153701.08</v>
      </c>
      <c r="N1127" s="46" t="str">
        <f>VLOOKUP(F1127,products!$A$2:$B$13,2,FALSE)</f>
        <v>Cosmetics</v>
      </c>
      <c r="O1127" s="46" t="s">
        <v>110</v>
      </c>
      <c r="P1127" s="46">
        <f t="array" ref="P1127">WEEKDAY(B1127,2)</f>
        <v>1</v>
      </c>
      <c r="Q1127" s="46"/>
      <c r="R1127" s="46"/>
      <c r="S1127" s="46"/>
      <c r="T1127" s="46"/>
      <c r="U1127" s="46"/>
      <c r="V1127" s="46"/>
      <c r="W1127" s="46"/>
      <c r="X1127" s="46"/>
      <c r="Y1127" s="46"/>
      <c r="Z1127" s="46"/>
    </row>
    <row r="1128">
      <c r="A1128" s="56">
        <v>8.53036296E8</v>
      </c>
      <c r="B1128" s="126">
        <v>41408.0</v>
      </c>
      <c r="C1128" s="126">
        <v>41426.0</v>
      </c>
      <c r="D1128" s="56" t="s">
        <v>93</v>
      </c>
      <c r="E1128" s="56" t="s">
        <v>105</v>
      </c>
      <c r="F1128" s="56">
        <v>3127.0</v>
      </c>
      <c r="G1128" s="56" t="s">
        <v>42</v>
      </c>
      <c r="H1128" s="56">
        <v>1251.0</v>
      </c>
      <c r="I1128" s="127">
        <v>81.73</v>
      </c>
      <c r="J1128" s="127">
        <v>56.67</v>
      </c>
      <c r="K1128" s="83">
        <f t="shared" si="1"/>
        <v>102244.23</v>
      </c>
      <c r="L1128" s="83">
        <f t="shared" si="2"/>
        <v>70894.17</v>
      </c>
      <c r="M1128" s="83">
        <f t="shared" si="3"/>
        <v>31350.06</v>
      </c>
      <c r="N1128" s="46" t="str">
        <f>VLOOKUP(F1128,products!$A$2:$B$13,2,FALSE)</f>
        <v>Personal Care</v>
      </c>
      <c r="O1128" s="46" t="s">
        <v>105</v>
      </c>
      <c r="P1128" s="46">
        <f t="array" ref="P1128">WEEKDAY(B1128,2)</f>
        <v>2</v>
      </c>
      <c r="Q1128" s="46"/>
      <c r="R1128" s="46"/>
      <c r="S1128" s="46"/>
      <c r="T1128" s="46"/>
      <c r="U1128" s="46"/>
      <c r="V1128" s="46"/>
      <c r="W1128" s="46"/>
      <c r="X1128" s="46"/>
      <c r="Y1128" s="46"/>
      <c r="Z1128" s="46"/>
    </row>
    <row r="1129">
      <c r="A1129" s="56">
        <v>8.56648051E8</v>
      </c>
      <c r="B1129" s="126">
        <v>40525.0</v>
      </c>
      <c r="C1129" s="126">
        <v>40535.0</v>
      </c>
      <c r="D1129" s="56" t="s">
        <v>89</v>
      </c>
      <c r="E1129" s="56" t="s">
        <v>129</v>
      </c>
      <c r="F1129" s="56">
        <v>2103.0</v>
      </c>
      <c r="G1129" s="56" t="s">
        <v>43</v>
      </c>
      <c r="H1129" s="56">
        <v>50.0</v>
      </c>
      <c r="I1129" s="127">
        <v>205.7</v>
      </c>
      <c r="J1129" s="127">
        <v>117.11</v>
      </c>
      <c r="K1129" s="83">
        <f t="shared" si="1"/>
        <v>10285</v>
      </c>
      <c r="L1129" s="83">
        <f t="shared" si="2"/>
        <v>5855.5</v>
      </c>
      <c r="M1129" s="83">
        <f t="shared" si="3"/>
        <v>4429.5</v>
      </c>
      <c r="N1129" s="46" t="str">
        <f>VLOOKUP(F1129,products!$A$2:$B$13,2,FALSE)</f>
        <v>Cereal</v>
      </c>
      <c r="O1129" s="46" t="s">
        <v>129</v>
      </c>
      <c r="P1129" s="46">
        <f t="array" ref="P1129">WEEKDAY(B1129,2)</f>
        <v>1</v>
      </c>
      <c r="Q1129" s="46"/>
      <c r="R1129" s="46"/>
      <c r="S1129" s="46"/>
      <c r="T1129" s="46"/>
      <c r="U1129" s="46"/>
      <c r="V1129" s="46"/>
      <c r="W1129" s="46"/>
      <c r="X1129" s="46"/>
      <c r="Y1129" s="46"/>
      <c r="Z1129" s="46"/>
    </row>
    <row r="1130">
      <c r="A1130" s="56">
        <v>8.57457864E8</v>
      </c>
      <c r="B1130" s="126">
        <v>40753.0</v>
      </c>
      <c r="C1130" s="126">
        <v>40802.0</v>
      </c>
      <c r="D1130" s="56" t="s">
        <v>10</v>
      </c>
      <c r="E1130" s="56" t="s">
        <v>121</v>
      </c>
      <c r="F1130" s="56">
        <v>8681.0</v>
      </c>
      <c r="G1130" s="56" t="s">
        <v>43</v>
      </c>
      <c r="H1130" s="56">
        <v>9691.0</v>
      </c>
      <c r="I1130" s="127">
        <v>651.21</v>
      </c>
      <c r="J1130" s="127">
        <v>524.96</v>
      </c>
      <c r="K1130" s="83">
        <f t="shared" si="1"/>
        <v>6310876.11</v>
      </c>
      <c r="L1130" s="83">
        <f t="shared" si="2"/>
        <v>5087387.36</v>
      </c>
      <c r="M1130" s="83">
        <f t="shared" si="3"/>
        <v>1223488.75</v>
      </c>
      <c r="N1130" s="46" t="str">
        <f>VLOOKUP(F1130,products!$A$2:$B$13,2,FALSE)</f>
        <v>Office Supplies</v>
      </c>
      <c r="O1130" s="46" t="s">
        <v>121</v>
      </c>
      <c r="P1130" s="46">
        <f t="array" ref="P1130">WEEKDAY(B1130,2)</f>
        <v>5</v>
      </c>
      <c r="Q1130" s="46"/>
      <c r="R1130" s="46"/>
      <c r="S1130" s="46"/>
      <c r="T1130" s="46"/>
      <c r="U1130" s="46"/>
      <c r="V1130" s="46"/>
      <c r="W1130" s="46"/>
      <c r="X1130" s="46"/>
      <c r="Y1130" s="46"/>
      <c r="Z1130" s="46"/>
    </row>
    <row r="1131">
      <c r="A1131" s="56">
        <v>8.59914767E8</v>
      </c>
      <c r="B1131" s="126">
        <v>42501.0</v>
      </c>
      <c r="C1131" s="126">
        <v>42539.0</v>
      </c>
      <c r="D1131" s="56" t="s">
        <v>89</v>
      </c>
      <c r="E1131" s="56" t="s">
        <v>120</v>
      </c>
      <c r="F1131" s="56">
        <v>8681.0</v>
      </c>
      <c r="G1131" s="56" t="s">
        <v>42</v>
      </c>
      <c r="H1131" s="56">
        <v>6744.0</v>
      </c>
      <c r="I1131" s="127">
        <v>651.21</v>
      </c>
      <c r="J1131" s="127">
        <v>524.96</v>
      </c>
      <c r="K1131" s="83">
        <f t="shared" si="1"/>
        <v>4391760.24</v>
      </c>
      <c r="L1131" s="83">
        <f t="shared" si="2"/>
        <v>3540330.24</v>
      </c>
      <c r="M1131" s="83">
        <f t="shared" si="3"/>
        <v>851430</v>
      </c>
      <c r="N1131" s="46" t="str">
        <f>VLOOKUP(F1131,products!$A$2:$B$13,2,FALSE)</f>
        <v>Office Supplies</v>
      </c>
      <c r="O1131" s="46" t="s">
        <v>120</v>
      </c>
      <c r="P1131" s="46">
        <f t="array" ref="P1131">WEEKDAY(B1131,2)</f>
        <v>3</v>
      </c>
      <c r="Q1131" s="46"/>
      <c r="R1131" s="46"/>
      <c r="S1131" s="46"/>
      <c r="T1131" s="46"/>
      <c r="U1131" s="46"/>
      <c r="V1131" s="46"/>
      <c r="W1131" s="46"/>
      <c r="X1131" s="46"/>
      <c r="Y1131" s="46"/>
      <c r="Z1131" s="46"/>
    </row>
    <row r="1132">
      <c r="A1132" s="56">
        <v>8.60104024E8</v>
      </c>
      <c r="B1132" s="126">
        <v>41635.0</v>
      </c>
      <c r="C1132" s="126">
        <v>41638.0</v>
      </c>
      <c r="D1132" s="56" t="s">
        <v>89</v>
      </c>
      <c r="E1132" s="56" t="s">
        <v>135</v>
      </c>
      <c r="F1132" s="56">
        <v>8293.0</v>
      </c>
      <c r="G1132" s="56" t="s">
        <v>42</v>
      </c>
      <c r="H1132" s="56">
        <v>2749.0</v>
      </c>
      <c r="I1132" s="127">
        <v>437.2</v>
      </c>
      <c r="J1132" s="127">
        <v>263.33</v>
      </c>
      <c r="K1132" s="83">
        <f t="shared" si="1"/>
        <v>1201862.8</v>
      </c>
      <c r="L1132" s="83">
        <f t="shared" si="2"/>
        <v>723894.17</v>
      </c>
      <c r="M1132" s="83">
        <f t="shared" si="3"/>
        <v>477968.63</v>
      </c>
      <c r="N1132" s="46" t="str">
        <f>VLOOKUP(F1132,products!$A$2:$B$13,2,FALSE)</f>
        <v>Cosmetics</v>
      </c>
      <c r="O1132" s="46" t="s">
        <v>135</v>
      </c>
      <c r="P1132" s="46">
        <f t="array" ref="P1132">WEEKDAY(B1132,2)</f>
        <v>5</v>
      </c>
      <c r="Q1132" s="46"/>
      <c r="R1132" s="46"/>
      <c r="S1132" s="46"/>
      <c r="T1132" s="46"/>
      <c r="U1132" s="46"/>
      <c r="V1132" s="46"/>
      <c r="W1132" s="46"/>
      <c r="X1132" s="46"/>
      <c r="Y1132" s="46"/>
      <c r="Z1132" s="46"/>
    </row>
    <row r="1133">
      <c r="A1133" s="56">
        <v>8.61180341E8</v>
      </c>
      <c r="B1133" s="126">
        <v>40191.0</v>
      </c>
      <c r="C1133" s="126">
        <v>40229.0</v>
      </c>
      <c r="D1133" s="56" t="s">
        <v>93</v>
      </c>
      <c r="E1133" s="56" t="s">
        <v>128</v>
      </c>
      <c r="F1133" s="56">
        <v>1270.0</v>
      </c>
      <c r="G1133" s="56" t="s">
        <v>42</v>
      </c>
      <c r="H1133" s="56">
        <v>1255.0</v>
      </c>
      <c r="I1133" s="127">
        <v>47.45</v>
      </c>
      <c r="J1133" s="127">
        <v>31.79</v>
      </c>
      <c r="K1133" s="83">
        <f t="shared" si="1"/>
        <v>59549.75</v>
      </c>
      <c r="L1133" s="83">
        <f t="shared" si="2"/>
        <v>39896.45</v>
      </c>
      <c r="M1133" s="83">
        <f t="shared" si="3"/>
        <v>19653.3</v>
      </c>
      <c r="N1133" s="46" t="str">
        <f>VLOOKUP(F1133,products!$A$2:$B$13,2,FALSE)</f>
        <v>Beverages</v>
      </c>
      <c r="O1133" s="46" t="s">
        <v>128</v>
      </c>
      <c r="P1133" s="46">
        <f t="array" ref="P1133">WEEKDAY(B1133,2)</f>
        <v>3</v>
      </c>
      <c r="Q1133" s="46"/>
      <c r="R1133" s="46"/>
      <c r="S1133" s="46"/>
      <c r="T1133" s="46"/>
      <c r="U1133" s="46"/>
      <c r="V1133" s="46"/>
      <c r="W1133" s="46"/>
      <c r="X1133" s="46"/>
      <c r="Y1133" s="46"/>
      <c r="Z1133" s="46"/>
    </row>
    <row r="1134">
      <c r="A1134" s="56">
        <v>8.61252868E8</v>
      </c>
      <c r="B1134" s="126">
        <v>41710.0</v>
      </c>
      <c r="C1134" s="126">
        <v>41726.0</v>
      </c>
      <c r="D1134" s="56" t="s">
        <v>93</v>
      </c>
      <c r="E1134" s="56" t="s">
        <v>118</v>
      </c>
      <c r="F1134" s="56">
        <v>8681.0</v>
      </c>
      <c r="G1134" s="56" t="s">
        <v>43</v>
      </c>
      <c r="H1134" s="56">
        <v>2717.0</v>
      </c>
      <c r="I1134" s="127">
        <v>651.21</v>
      </c>
      <c r="J1134" s="127">
        <v>524.96</v>
      </c>
      <c r="K1134" s="83">
        <f t="shared" si="1"/>
        <v>1769337.57</v>
      </c>
      <c r="L1134" s="83">
        <f t="shared" si="2"/>
        <v>1426316.32</v>
      </c>
      <c r="M1134" s="83">
        <f t="shared" si="3"/>
        <v>343021.25</v>
      </c>
      <c r="N1134" s="46" t="str">
        <f>VLOOKUP(F1134,products!$A$2:$B$13,2,FALSE)</f>
        <v>Office Supplies</v>
      </c>
      <c r="O1134" s="46" t="s">
        <v>118</v>
      </c>
      <c r="P1134" s="46">
        <f t="array" ref="P1134">WEEKDAY(B1134,2)</f>
        <v>3</v>
      </c>
      <c r="Q1134" s="46"/>
      <c r="R1134" s="46"/>
      <c r="S1134" s="46"/>
      <c r="T1134" s="46"/>
      <c r="U1134" s="46"/>
      <c r="V1134" s="46"/>
      <c r="W1134" s="46"/>
      <c r="X1134" s="46"/>
      <c r="Y1134" s="46"/>
      <c r="Z1134" s="46"/>
    </row>
    <row r="1135">
      <c r="A1135" s="56">
        <v>8.6197685E8</v>
      </c>
      <c r="B1135" s="126">
        <v>40680.0</v>
      </c>
      <c r="C1135" s="126">
        <v>40688.0</v>
      </c>
      <c r="D1135" s="56" t="s">
        <v>95</v>
      </c>
      <c r="E1135" s="56" t="s">
        <v>132</v>
      </c>
      <c r="F1135" s="56">
        <v>3127.0</v>
      </c>
      <c r="G1135" s="56" t="s">
        <v>42</v>
      </c>
      <c r="H1135" s="56">
        <v>6960.0</v>
      </c>
      <c r="I1135" s="127">
        <v>81.73</v>
      </c>
      <c r="J1135" s="127">
        <v>56.67</v>
      </c>
      <c r="K1135" s="83">
        <f t="shared" si="1"/>
        <v>568840.8</v>
      </c>
      <c r="L1135" s="83">
        <f t="shared" si="2"/>
        <v>394423.2</v>
      </c>
      <c r="M1135" s="83">
        <f t="shared" si="3"/>
        <v>174417.6</v>
      </c>
      <c r="N1135" s="46" t="str">
        <f>VLOOKUP(F1135,products!$A$2:$B$13,2,FALSE)</f>
        <v>Personal Care</v>
      </c>
      <c r="O1135" s="46" t="s">
        <v>132</v>
      </c>
      <c r="P1135" s="46">
        <f t="array" ref="P1135">WEEKDAY(B1135,2)</f>
        <v>2</v>
      </c>
      <c r="Q1135" s="46"/>
      <c r="R1135" s="46"/>
      <c r="S1135" s="46"/>
      <c r="T1135" s="46"/>
      <c r="U1135" s="46"/>
      <c r="V1135" s="46"/>
      <c r="W1135" s="46"/>
      <c r="X1135" s="46"/>
      <c r="Y1135" s="46"/>
      <c r="Z1135" s="46"/>
    </row>
    <row r="1136">
      <c r="A1136" s="56">
        <v>8.61982858E8</v>
      </c>
      <c r="B1136" s="126">
        <v>40741.0</v>
      </c>
      <c r="C1136" s="126">
        <v>40790.0</v>
      </c>
      <c r="D1136" s="56" t="s">
        <v>89</v>
      </c>
      <c r="E1136" s="56" t="s">
        <v>90</v>
      </c>
      <c r="F1136" s="56">
        <v>8969.0</v>
      </c>
      <c r="G1136" s="56" t="s">
        <v>42</v>
      </c>
      <c r="H1136" s="56">
        <v>8738.0</v>
      </c>
      <c r="I1136" s="127">
        <v>152.58</v>
      </c>
      <c r="J1136" s="127">
        <v>97.44</v>
      </c>
      <c r="K1136" s="83">
        <f t="shared" si="1"/>
        <v>1333244.04</v>
      </c>
      <c r="L1136" s="83">
        <f t="shared" si="2"/>
        <v>851430.72</v>
      </c>
      <c r="M1136" s="83">
        <f t="shared" si="3"/>
        <v>481813.32</v>
      </c>
      <c r="N1136" s="46" t="str">
        <f>VLOOKUP(F1136,products!$A$2:$B$13,2,FALSE)</f>
        <v>Snacks</v>
      </c>
      <c r="O1136" s="46" t="s">
        <v>90</v>
      </c>
      <c r="P1136" s="46">
        <f t="array" ref="P1136">WEEKDAY(B1136,2)</f>
        <v>7</v>
      </c>
      <c r="Q1136" s="46"/>
      <c r="R1136" s="46"/>
      <c r="S1136" s="46"/>
      <c r="T1136" s="46"/>
      <c r="U1136" s="46"/>
      <c r="V1136" s="46"/>
      <c r="W1136" s="46"/>
      <c r="X1136" s="46"/>
      <c r="Y1136" s="46"/>
      <c r="Z1136" s="46"/>
    </row>
    <row r="1137">
      <c r="A1137" s="56">
        <v>8.6232661E8</v>
      </c>
      <c r="B1137" s="126">
        <v>41031.0</v>
      </c>
      <c r="C1137" s="126">
        <v>41057.0</v>
      </c>
      <c r="D1137" s="56" t="s">
        <v>89</v>
      </c>
      <c r="E1137" s="56" t="s">
        <v>124</v>
      </c>
      <c r="F1137" s="56">
        <v>1270.0</v>
      </c>
      <c r="G1137" s="56" t="s">
        <v>43</v>
      </c>
      <c r="H1137" s="56">
        <v>461.0</v>
      </c>
      <c r="I1137" s="127">
        <v>47.45</v>
      </c>
      <c r="J1137" s="127">
        <v>31.79</v>
      </c>
      <c r="K1137" s="83">
        <f t="shared" si="1"/>
        <v>21874.45</v>
      </c>
      <c r="L1137" s="83">
        <f t="shared" si="2"/>
        <v>14655.19</v>
      </c>
      <c r="M1137" s="83">
        <f t="shared" si="3"/>
        <v>7219.26</v>
      </c>
      <c r="N1137" s="46" t="str">
        <f>VLOOKUP(F1137,products!$A$2:$B$13,2,FALSE)</f>
        <v>Beverages</v>
      </c>
      <c r="O1137" s="46" t="s">
        <v>124</v>
      </c>
      <c r="P1137" s="46">
        <f t="array" ref="P1137">WEEKDAY(B1137,2)</f>
        <v>3</v>
      </c>
      <c r="Q1137" s="46"/>
      <c r="R1137" s="46"/>
      <c r="S1137" s="46"/>
      <c r="T1137" s="46"/>
      <c r="U1137" s="46"/>
      <c r="V1137" s="46"/>
      <c r="W1137" s="46"/>
      <c r="X1137" s="46"/>
      <c r="Y1137" s="46"/>
      <c r="Z1137" s="46"/>
    </row>
    <row r="1138">
      <c r="A1138" s="56">
        <v>8.62485826E8</v>
      </c>
      <c r="B1138" s="126">
        <v>42629.0</v>
      </c>
      <c r="C1138" s="126">
        <v>42670.0</v>
      </c>
      <c r="D1138" s="56" t="s">
        <v>10</v>
      </c>
      <c r="E1138" s="56" t="s">
        <v>113</v>
      </c>
      <c r="F1138" s="56">
        <v>8681.0</v>
      </c>
      <c r="G1138" s="56" t="s">
        <v>42</v>
      </c>
      <c r="H1138" s="56">
        <v>7577.0</v>
      </c>
      <c r="I1138" s="127">
        <v>651.21</v>
      </c>
      <c r="J1138" s="127">
        <v>524.96</v>
      </c>
      <c r="K1138" s="83">
        <f t="shared" si="1"/>
        <v>4934218.17</v>
      </c>
      <c r="L1138" s="83">
        <f t="shared" si="2"/>
        <v>3977621.92</v>
      </c>
      <c r="M1138" s="83">
        <f t="shared" si="3"/>
        <v>956596.25</v>
      </c>
      <c r="N1138" s="46" t="str">
        <f>VLOOKUP(F1138,products!$A$2:$B$13,2,FALSE)</f>
        <v>Office Supplies</v>
      </c>
      <c r="O1138" s="46" t="s">
        <v>113</v>
      </c>
      <c r="P1138" s="46">
        <f t="array" ref="P1138">WEEKDAY(B1138,2)</f>
        <v>5</v>
      </c>
      <c r="Q1138" s="46"/>
      <c r="R1138" s="46"/>
      <c r="S1138" s="46"/>
      <c r="T1138" s="46"/>
      <c r="U1138" s="46"/>
      <c r="V1138" s="46"/>
      <c r="W1138" s="46"/>
      <c r="X1138" s="46"/>
      <c r="Y1138" s="46"/>
      <c r="Z1138" s="46"/>
    </row>
    <row r="1139">
      <c r="A1139" s="56">
        <v>8.63138997E8</v>
      </c>
      <c r="B1139" s="126">
        <v>40494.0</v>
      </c>
      <c r="C1139" s="126">
        <v>40533.0</v>
      </c>
      <c r="D1139" s="56" t="s">
        <v>10</v>
      </c>
      <c r="E1139" s="56" t="s">
        <v>131</v>
      </c>
      <c r="F1139" s="56">
        <v>8875.0</v>
      </c>
      <c r="G1139" s="56" t="s">
        <v>43</v>
      </c>
      <c r="H1139" s="56">
        <v>865.0</v>
      </c>
      <c r="I1139" s="127">
        <v>421.89</v>
      </c>
      <c r="J1139" s="127">
        <v>364.69</v>
      </c>
      <c r="K1139" s="83">
        <f t="shared" si="1"/>
        <v>364934.85</v>
      </c>
      <c r="L1139" s="83">
        <f t="shared" si="2"/>
        <v>315456.85</v>
      </c>
      <c r="M1139" s="83">
        <f t="shared" si="3"/>
        <v>49478</v>
      </c>
      <c r="N1139" s="46" t="str">
        <f>VLOOKUP(F1139,products!$A$2:$B$13,2,FALSE)</f>
        <v>Meat</v>
      </c>
      <c r="O1139" s="46" t="s">
        <v>131</v>
      </c>
      <c r="P1139" s="46">
        <f t="array" ref="P1139">WEEKDAY(B1139,2)</f>
        <v>5</v>
      </c>
      <c r="Q1139" s="46"/>
      <c r="R1139" s="46"/>
      <c r="S1139" s="46"/>
      <c r="T1139" s="46"/>
      <c r="U1139" s="46"/>
      <c r="V1139" s="46"/>
      <c r="W1139" s="46"/>
      <c r="X1139" s="46"/>
      <c r="Y1139" s="46"/>
      <c r="Z1139" s="46"/>
    </row>
    <row r="1140">
      <c r="A1140" s="56">
        <v>8.63202941E8</v>
      </c>
      <c r="B1140" s="126">
        <v>42716.0</v>
      </c>
      <c r="C1140" s="126">
        <v>42717.0</v>
      </c>
      <c r="D1140" s="56" t="s">
        <v>93</v>
      </c>
      <c r="E1140" s="56" t="s">
        <v>132</v>
      </c>
      <c r="F1140" s="56">
        <v>8875.0</v>
      </c>
      <c r="G1140" s="56" t="s">
        <v>42</v>
      </c>
      <c r="H1140" s="56">
        <v>9787.0</v>
      </c>
      <c r="I1140" s="127">
        <v>421.89</v>
      </c>
      <c r="J1140" s="127">
        <v>364.69</v>
      </c>
      <c r="K1140" s="83">
        <f t="shared" si="1"/>
        <v>4129037.43</v>
      </c>
      <c r="L1140" s="83">
        <f t="shared" si="2"/>
        <v>3569221.03</v>
      </c>
      <c r="M1140" s="83">
        <f t="shared" si="3"/>
        <v>559816.4</v>
      </c>
      <c r="N1140" s="46" t="str">
        <f>VLOOKUP(F1140,products!$A$2:$B$13,2,FALSE)</f>
        <v>Meat</v>
      </c>
      <c r="O1140" s="46" t="s">
        <v>132</v>
      </c>
      <c r="P1140" s="46">
        <f t="array" ref="P1140">WEEKDAY(B1140,2)</f>
        <v>1</v>
      </c>
      <c r="Q1140" s="46"/>
      <c r="R1140" s="46"/>
      <c r="S1140" s="46"/>
      <c r="T1140" s="46"/>
      <c r="U1140" s="46"/>
      <c r="V1140" s="46"/>
      <c r="W1140" s="46"/>
      <c r="X1140" s="46"/>
      <c r="Y1140" s="46"/>
      <c r="Z1140" s="46"/>
    </row>
    <row r="1141">
      <c r="A1141" s="56">
        <v>8.63890445E8</v>
      </c>
      <c r="B1141" s="126">
        <v>40530.0</v>
      </c>
      <c r="C1141" s="126">
        <v>40537.0</v>
      </c>
      <c r="D1141" s="56" t="s">
        <v>10</v>
      </c>
      <c r="E1141" s="56" t="s">
        <v>124</v>
      </c>
      <c r="F1141" s="56">
        <v>7940.0</v>
      </c>
      <c r="G1141" s="56" t="s">
        <v>42</v>
      </c>
      <c r="H1141" s="56">
        <v>3235.0</v>
      </c>
      <c r="I1141" s="127">
        <v>668.27</v>
      </c>
      <c r="J1141" s="127">
        <v>502.54</v>
      </c>
      <c r="K1141" s="83">
        <f t="shared" si="1"/>
        <v>2161853.45</v>
      </c>
      <c r="L1141" s="83">
        <f t="shared" si="2"/>
        <v>1625716.9</v>
      </c>
      <c r="M1141" s="83">
        <f t="shared" si="3"/>
        <v>536136.55</v>
      </c>
      <c r="N1141" s="46" t="str">
        <f>VLOOKUP(F1141,products!$A$2:$B$13,2,FALSE)</f>
        <v>Household</v>
      </c>
      <c r="O1141" s="46" t="s">
        <v>124</v>
      </c>
      <c r="P1141" s="46">
        <f t="array" ref="P1141">WEEKDAY(B1141,2)</f>
        <v>6</v>
      </c>
      <c r="Q1141" s="46"/>
      <c r="R1141" s="46"/>
      <c r="S1141" s="46"/>
      <c r="T1141" s="46"/>
      <c r="U1141" s="46"/>
      <c r="V1141" s="46"/>
      <c r="W1141" s="46"/>
      <c r="X1141" s="46"/>
      <c r="Y1141" s="46"/>
      <c r="Z1141" s="46"/>
    </row>
    <row r="1142">
      <c r="A1142" s="56">
        <v>8.64071118E8</v>
      </c>
      <c r="B1142" s="126">
        <v>40369.0</v>
      </c>
      <c r="C1142" s="126">
        <v>40377.0</v>
      </c>
      <c r="D1142" s="56" t="s">
        <v>93</v>
      </c>
      <c r="E1142" s="56" t="s">
        <v>105</v>
      </c>
      <c r="F1142" s="56">
        <v>1270.0</v>
      </c>
      <c r="G1142" s="56" t="s">
        <v>43</v>
      </c>
      <c r="H1142" s="56">
        <v>6700.0</v>
      </c>
      <c r="I1142" s="127">
        <v>47.45</v>
      </c>
      <c r="J1142" s="127">
        <v>31.79</v>
      </c>
      <c r="K1142" s="83">
        <f t="shared" si="1"/>
        <v>317915</v>
      </c>
      <c r="L1142" s="83">
        <f t="shared" si="2"/>
        <v>212993</v>
      </c>
      <c r="M1142" s="83">
        <f t="shared" si="3"/>
        <v>104922</v>
      </c>
      <c r="N1142" s="46" t="str">
        <f>VLOOKUP(F1142,products!$A$2:$B$13,2,FALSE)</f>
        <v>Beverages</v>
      </c>
      <c r="O1142" s="46" t="s">
        <v>105</v>
      </c>
      <c r="P1142" s="46">
        <f t="array" ref="P1142">WEEKDAY(B1142,2)</f>
        <v>6</v>
      </c>
      <c r="Q1142" s="46"/>
      <c r="R1142" s="46"/>
      <c r="S1142" s="46"/>
      <c r="T1142" s="46"/>
      <c r="U1142" s="46"/>
      <c r="V1142" s="46"/>
      <c r="W1142" s="46"/>
      <c r="X1142" s="46"/>
      <c r="Y1142" s="46"/>
      <c r="Z1142" s="46"/>
    </row>
    <row r="1143">
      <c r="A1143" s="56">
        <v>8.6582421E8</v>
      </c>
      <c r="B1143" s="126">
        <v>41768.0</v>
      </c>
      <c r="C1143" s="126">
        <v>41773.0</v>
      </c>
      <c r="D1143" s="56" t="s">
        <v>89</v>
      </c>
      <c r="E1143" s="56" t="s">
        <v>114</v>
      </c>
      <c r="F1143" s="56">
        <v>8681.0</v>
      </c>
      <c r="G1143" s="56" t="s">
        <v>43</v>
      </c>
      <c r="H1143" s="56">
        <v>5479.0</v>
      </c>
      <c r="I1143" s="127">
        <v>651.21</v>
      </c>
      <c r="J1143" s="127">
        <v>524.96</v>
      </c>
      <c r="K1143" s="83">
        <f t="shared" si="1"/>
        <v>3567979.59</v>
      </c>
      <c r="L1143" s="83">
        <f t="shared" si="2"/>
        <v>2876255.84</v>
      </c>
      <c r="M1143" s="83">
        <f t="shared" si="3"/>
        <v>691723.75</v>
      </c>
      <c r="N1143" s="46" t="str">
        <f>VLOOKUP(F1143,products!$A$2:$B$13,2,FALSE)</f>
        <v>Office Supplies</v>
      </c>
      <c r="O1143" s="46" t="s">
        <v>114</v>
      </c>
      <c r="P1143" s="46">
        <f t="array" ref="P1143">WEEKDAY(B1143,2)</f>
        <v>5</v>
      </c>
      <c r="Q1143" s="46"/>
      <c r="R1143" s="46"/>
      <c r="S1143" s="46"/>
      <c r="T1143" s="46"/>
      <c r="U1143" s="46"/>
      <c r="V1143" s="46"/>
      <c r="W1143" s="46"/>
      <c r="X1143" s="46"/>
      <c r="Y1143" s="46"/>
      <c r="Z1143" s="46"/>
    </row>
    <row r="1144">
      <c r="A1144" s="56">
        <v>8.66396272E8</v>
      </c>
      <c r="B1144" s="126">
        <v>41584.0</v>
      </c>
      <c r="C1144" s="126">
        <v>41594.0</v>
      </c>
      <c r="D1144" s="56" t="s">
        <v>95</v>
      </c>
      <c r="E1144" s="56" t="s">
        <v>118</v>
      </c>
      <c r="F1144" s="56">
        <v>8875.0</v>
      </c>
      <c r="G1144" s="56" t="s">
        <v>43</v>
      </c>
      <c r="H1144" s="56">
        <v>4765.0</v>
      </c>
      <c r="I1144" s="127">
        <v>421.89</v>
      </c>
      <c r="J1144" s="127">
        <v>364.69</v>
      </c>
      <c r="K1144" s="83">
        <f t="shared" si="1"/>
        <v>2010305.85</v>
      </c>
      <c r="L1144" s="83">
        <f t="shared" si="2"/>
        <v>1737747.85</v>
      </c>
      <c r="M1144" s="83">
        <f t="shared" si="3"/>
        <v>272558</v>
      </c>
      <c r="N1144" s="46" t="str">
        <f>VLOOKUP(F1144,products!$A$2:$B$13,2,FALSE)</f>
        <v>Meat</v>
      </c>
      <c r="O1144" s="46" t="s">
        <v>118</v>
      </c>
      <c r="P1144" s="46">
        <f t="array" ref="P1144">WEEKDAY(B1144,2)</f>
        <v>3</v>
      </c>
      <c r="Q1144" s="46"/>
      <c r="R1144" s="46"/>
      <c r="S1144" s="46"/>
      <c r="T1144" s="46"/>
      <c r="U1144" s="46"/>
      <c r="V1144" s="46"/>
      <c r="W1144" s="46"/>
      <c r="X1144" s="46"/>
      <c r="Y1144" s="46"/>
      <c r="Z1144" s="46"/>
    </row>
    <row r="1145">
      <c r="A1145" s="56">
        <v>8.67138278E8</v>
      </c>
      <c r="B1145" s="126">
        <v>40736.0</v>
      </c>
      <c r="C1145" s="126">
        <v>40759.0</v>
      </c>
      <c r="D1145" s="56" t="s">
        <v>10</v>
      </c>
      <c r="E1145" s="56" t="s">
        <v>97</v>
      </c>
      <c r="F1145" s="56">
        <v>8681.0</v>
      </c>
      <c r="G1145" s="56" t="s">
        <v>42</v>
      </c>
      <c r="H1145" s="56">
        <v>4341.0</v>
      </c>
      <c r="I1145" s="127">
        <v>651.21</v>
      </c>
      <c r="J1145" s="127">
        <v>524.96</v>
      </c>
      <c r="K1145" s="83">
        <f t="shared" si="1"/>
        <v>2826902.61</v>
      </c>
      <c r="L1145" s="83">
        <f t="shared" si="2"/>
        <v>2278851.36</v>
      </c>
      <c r="M1145" s="83">
        <f t="shared" si="3"/>
        <v>548051.25</v>
      </c>
      <c r="N1145" s="46" t="str">
        <f>VLOOKUP(F1145,products!$A$2:$B$13,2,FALSE)</f>
        <v>Office Supplies</v>
      </c>
      <c r="O1145" s="46" t="s">
        <v>97</v>
      </c>
      <c r="P1145" s="46">
        <f t="array" ref="P1145">WEEKDAY(B1145,2)</f>
        <v>2</v>
      </c>
      <c r="Q1145" s="46"/>
      <c r="R1145" s="46"/>
      <c r="S1145" s="46"/>
      <c r="T1145" s="46"/>
      <c r="U1145" s="46"/>
      <c r="V1145" s="46"/>
      <c r="W1145" s="46"/>
      <c r="X1145" s="46"/>
      <c r="Y1145" s="46"/>
      <c r="Z1145" s="46"/>
    </row>
    <row r="1146">
      <c r="A1146" s="56">
        <v>8.6929177E8</v>
      </c>
      <c r="B1146" s="126">
        <v>42204.0</v>
      </c>
      <c r="C1146" s="126">
        <v>42237.0</v>
      </c>
      <c r="D1146" s="56" t="s">
        <v>93</v>
      </c>
      <c r="E1146" s="56" t="s">
        <v>122</v>
      </c>
      <c r="F1146" s="56">
        <v>7940.0</v>
      </c>
      <c r="G1146" s="56" t="s">
        <v>42</v>
      </c>
      <c r="H1146" s="56">
        <v>1607.0</v>
      </c>
      <c r="I1146" s="127">
        <v>668.27</v>
      </c>
      <c r="J1146" s="127">
        <v>502.54</v>
      </c>
      <c r="K1146" s="83">
        <f t="shared" si="1"/>
        <v>1073909.89</v>
      </c>
      <c r="L1146" s="83">
        <f t="shared" si="2"/>
        <v>807581.78</v>
      </c>
      <c r="M1146" s="83">
        <f t="shared" si="3"/>
        <v>266328.11</v>
      </c>
      <c r="N1146" s="46" t="str">
        <f>VLOOKUP(F1146,products!$A$2:$B$13,2,FALSE)</f>
        <v>Household</v>
      </c>
      <c r="O1146" s="46" t="s">
        <v>122</v>
      </c>
      <c r="P1146" s="46">
        <f t="array" ref="P1146">WEEKDAY(B1146,2)</f>
        <v>7</v>
      </c>
      <c r="Q1146" s="46"/>
      <c r="R1146" s="46"/>
      <c r="S1146" s="46"/>
      <c r="T1146" s="46"/>
      <c r="U1146" s="46"/>
      <c r="V1146" s="46"/>
      <c r="W1146" s="46"/>
      <c r="X1146" s="46"/>
      <c r="Y1146" s="46"/>
      <c r="Z1146" s="46"/>
    </row>
    <row r="1147">
      <c r="A1147" s="56">
        <v>8.70173251E8</v>
      </c>
      <c r="B1147" s="126">
        <v>42361.0</v>
      </c>
      <c r="C1147" s="126">
        <v>42368.0</v>
      </c>
      <c r="D1147" s="56" t="s">
        <v>89</v>
      </c>
      <c r="E1147" s="56" t="s">
        <v>118</v>
      </c>
      <c r="F1147" s="56">
        <v>2455.0</v>
      </c>
      <c r="G1147" s="56" t="s">
        <v>43</v>
      </c>
      <c r="H1147" s="56">
        <v>2457.0</v>
      </c>
      <c r="I1147" s="127">
        <v>109.28</v>
      </c>
      <c r="J1147" s="127">
        <v>35.84</v>
      </c>
      <c r="K1147" s="83">
        <f t="shared" si="1"/>
        <v>268500.96</v>
      </c>
      <c r="L1147" s="83">
        <f t="shared" si="2"/>
        <v>88058.88</v>
      </c>
      <c r="M1147" s="83">
        <f t="shared" si="3"/>
        <v>180442.08</v>
      </c>
      <c r="N1147" s="46" t="str">
        <f>VLOOKUP(F1147,products!$A$2:$B$13,2,FALSE)</f>
        <v>Clothes</v>
      </c>
      <c r="O1147" s="46" t="s">
        <v>118</v>
      </c>
      <c r="P1147" s="46">
        <f t="array" ref="P1147">WEEKDAY(B1147,2)</f>
        <v>3</v>
      </c>
      <c r="Q1147" s="46"/>
      <c r="R1147" s="46"/>
      <c r="S1147" s="46"/>
      <c r="T1147" s="46"/>
      <c r="U1147" s="46"/>
      <c r="V1147" s="46"/>
      <c r="W1147" s="46"/>
      <c r="X1147" s="46"/>
      <c r="Y1147" s="46"/>
      <c r="Z1147" s="46"/>
    </row>
    <row r="1148">
      <c r="A1148" s="56">
        <v>8.70218312E8</v>
      </c>
      <c r="B1148" s="126">
        <v>42813.0</v>
      </c>
      <c r="C1148" s="126">
        <v>42821.0</v>
      </c>
      <c r="D1148" s="56" t="s">
        <v>95</v>
      </c>
      <c r="E1148" s="56" t="s">
        <v>124</v>
      </c>
      <c r="F1148" s="56">
        <v>4594.0</v>
      </c>
      <c r="G1148" s="56" t="s">
        <v>42</v>
      </c>
      <c r="H1148" s="56">
        <v>5792.0</v>
      </c>
      <c r="I1148" s="127">
        <v>9.33</v>
      </c>
      <c r="J1148" s="127">
        <v>6.92</v>
      </c>
      <c r="K1148" s="83">
        <f t="shared" si="1"/>
        <v>54039.36</v>
      </c>
      <c r="L1148" s="83">
        <f t="shared" si="2"/>
        <v>40080.64</v>
      </c>
      <c r="M1148" s="83">
        <f t="shared" si="3"/>
        <v>13958.72</v>
      </c>
      <c r="N1148" s="46" t="str">
        <f>VLOOKUP(F1148,products!$A$2:$B$13,2,FALSE)</f>
        <v>Fruits</v>
      </c>
      <c r="O1148" s="46" t="s">
        <v>124</v>
      </c>
      <c r="P1148" s="46">
        <f t="array" ref="P1148">WEEKDAY(B1148,2)</f>
        <v>7</v>
      </c>
      <c r="Q1148" s="46"/>
      <c r="R1148" s="46"/>
      <c r="S1148" s="46"/>
      <c r="T1148" s="46"/>
      <c r="U1148" s="46"/>
      <c r="V1148" s="46"/>
      <c r="W1148" s="46"/>
      <c r="X1148" s="46"/>
      <c r="Y1148" s="46"/>
      <c r="Z1148" s="46"/>
    </row>
    <row r="1149">
      <c r="A1149" s="56">
        <v>8.71147E8</v>
      </c>
      <c r="B1149" s="126">
        <v>41863.0</v>
      </c>
      <c r="C1149" s="126">
        <v>41876.0</v>
      </c>
      <c r="D1149" s="56" t="s">
        <v>10</v>
      </c>
      <c r="E1149" s="56" t="s">
        <v>120</v>
      </c>
      <c r="F1149" s="56">
        <v>7940.0</v>
      </c>
      <c r="G1149" s="56" t="s">
        <v>43</v>
      </c>
      <c r="H1149" s="56">
        <v>611.0</v>
      </c>
      <c r="I1149" s="127">
        <v>668.27</v>
      </c>
      <c r="J1149" s="127">
        <v>502.54</v>
      </c>
      <c r="K1149" s="83">
        <f t="shared" si="1"/>
        <v>408312.97</v>
      </c>
      <c r="L1149" s="83">
        <f t="shared" si="2"/>
        <v>307051.94</v>
      </c>
      <c r="M1149" s="83">
        <f t="shared" si="3"/>
        <v>101261.03</v>
      </c>
      <c r="N1149" s="46" t="str">
        <f>VLOOKUP(F1149,products!$A$2:$B$13,2,FALSE)</f>
        <v>Household</v>
      </c>
      <c r="O1149" s="46" t="s">
        <v>120</v>
      </c>
      <c r="P1149" s="46">
        <f t="array" ref="P1149">WEEKDAY(B1149,2)</f>
        <v>2</v>
      </c>
      <c r="Q1149" s="46"/>
      <c r="R1149" s="46"/>
      <c r="S1149" s="46"/>
      <c r="T1149" s="46"/>
      <c r="U1149" s="46"/>
      <c r="V1149" s="46"/>
      <c r="W1149" s="46"/>
      <c r="X1149" s="46"/>
      <c r="Y1149" s="46"/>
      <c r="Z1149" s="46"/>
    </row>
    <row r="1150">
      <c r="A1150" s="56">
        <v>8.71923768E8</v>
      </c>
      <c r="B1150" s="126">
        <v>41759.0</v>
      </c>
      <c r="C1150" s="126">
        <v>41789.0</v>
      </c>
      <c r="D1150" s="56" t="s">
        <v>10</v>
      </c>
      <c r="E1150" s="56" t="s">
        <v>133</v>
      </c>
      <c r="F1150" s="56">
        <v>7331.0</v>
      </c>
      <c r="G1150" s="56" t="s">
        <v>43</v>
      </c>
      <c r="H1150" s="56">
        <v>474.0</v>
      </c>
      <c r="I1150" s="127">
        <v>255.28</v>
      </c>
      <c r="J1150" s="127">
        <v>159.42</v>
      </c>
      <c r="K1150" s="83">
        <f t="shared" si="1"/>
        <v>121002.72</v>
      </c>
      <c r="L1150" s="83">
        <f t="shared" si="2"/>
        <v>75565.08</v>
      </c>
      <c r="M1150" s="83">
        <f t="shared" si="3"/>
        <v>45437.64</v>
      </c>
      <c r="N1150" s="46" t="str">
        <f>VLOOKUP(F1150,products!$A$2:$B$13,2,FALSE)</f>
        <v>Baby Food</v>
      </c>
      <c r="O1150" s="46" t="s">
        <v>133</v>
      </c>
      <c r="P1150" s="46">
        <f t="array" ref="P1150">WEEKDAY(B1150,2)</f>
        <v>3</v>
      </c>
      <c r="Q1150" s="46"/>
      <c r="R1150" s="46"/>
      <c r="S1150" s="46"/>
      <c r="T1150" s="46"/>
      <c r="U1150" s="46"/>
      <c r="V1150" s="46"/>
      <c r="W1150" s="46"/>
      <c r="X1150" s="46"/>
      <c r="Y1150" s="46"/>
      <c r="Z1150" s="46"/>
    </row>
    <row r="1151">
      <c r="A1151" s="56">
        <v>8.73432672E8</v>
      </c>
      <c r="B1151" s="126">
        <v>41892.0</v>
      </c>
      <c r="C1151" s="126">
        <v>41899.0</v>
      </c>
      <c r="D1151" s="56" t="s">
        <v>10</v>
      </c>
      <c r="E1151" s="56" t="s">
        <v>104</v>
      </c>
      <c r="F1151" s="56">
        <v>7940.0</v>
      </c>
      <c r="G1151" s="56" t="s">
        <v>43</v>
      </c>
      <c r="H1151" s="56">
        <v>6992.0</v>
      </c>
      <c r="I1151" s="127">
        <v>668.27</v>
      </c>
      <c r="J1151" s="127">
        <v>502.54</v>
      </c>
      <c r="K1151" s="83">
        <f t="shared" si="1"/>
        <v>4672543.84</v>
      </c>
      <c r="L1151" s="83">
        <f t="shared" si="2"/>
        <v>3513759.68</v>
      </c>
      <c r="M1151" s="83">
        <f t="shared" si="3"/>
        <v>1158784.16</v>
      </c>
      <c r="N1151" s="46" t="str">
        <f>VLOOKUP(F1151,products!$A$2:$B$13,2,FALSE)</f>
        <v>Household</v>
      </c>
      <c r="O1151" s="46" t="s">
        <v>104</v>
      </c>
      <c r="P1151" s="46">
        <f t="array" ref="P1151">WEEKDAY(B1151,2)</f>
        <v>3</v>
      </c>
      <c r="Q1151" s="46"/>
      <c r="R1151" s="46"/>
      <c r="S1151" s="46"/>
      <c r="T1151" s="46"/>
      <c r="U1151" s="46"/>
      <c r="V1151" s="46"/>
      <c r="W1151" s="46"/>
      <c r="X1151" s="46"/>
      <c r="Y1151" s="46"/>
      <c r="Z1151" s="46"/>
    </row>
    <row r="1152">
      <c r="A1152" s="56">
        <v>8.74172532E8</v>
      </c>
      <c r="B1152" s="126">
        <v>42603.0</v>
      </c>
      <c r="C1152" s="126">
        <v>42645.0</v>
      </c>
      <c r="D1152" s="56" t="s">
        <v>89</v>
      </c>
      <c r="E1152" s="56" t="s">
        <v>100</v>
      </c>
      <c r="F1152" s="56">
        <v>7940.0</v>
      </c>
      <c r="G1152" s="56" t="s">
        <v>42</v>
      </c>
      <c r="H1152" s="56">
        <v>5933.0</v>
      </c>
      <c r="I1152" s="127">
        <v>668.27</v>
      </c>
      <c r="J1152" s="127">
        <v>502.54</v>
      </c>
      <c r="K1152" s="83">
        <f t="shared" si="1"/>
        <v>3964845.91</v>
      </c>
      <c r="L1152" s="83">
        <f t="shared" si="2"/>
        <v>2981569.82</v>
      </c>
      <c r="M1152" s="83">
        <f t="shared" si="3"/>
        <v>983276.09</v>
      </c>
      <c r="N1152" s="46" t="str">
        <f>VLOOKUP(F1152,products!$A$2:$B$13,2,FALSE)</f>
        <v>Household</v>
      </c>
      <c r="O1152" s="46" t="s">
        <v>100</v>
      </c>
      <c r="P1152" s="46">
        <f t="array" ref="P1152">WEEKDAY(B1152,2)</f>
        <v>7</v>
      </c>
      <c r="Q1152" s="46"/>
      <c r="R1152" s="46"/>
      <c r="S1152" s="46"/>
      <c r="T1152" s="46"/>
      <c r="U1152" s="46"/>
      <c r="V1152" s="46"/>
      <c r="W1152" s="46"/>
      <c r="X1152" s="46"/>
      <c r="Y1152" s="46"/>
      <c r="Z1152" s="46"/>
    </row>
    <row r="1153">
      <c r="A1153" s="56">
        <v>8.74349772E8</v>
      </c>
      <c r="B1153" s="126">
        <v>41616.0</v>
      </c>
      <c r="C1153" s="126">
        <v>41643.0</v>
      </c>
      <c r="D1153" s="56" t="s">
        <v>89</v>
      </c>
      <c r="E1153" s="56" t="s">
        <v>108</v>
      </c>
      <c r="F1153" s="56">
        <v>1270.0</v>
      </c>
      <c r="G1153" s="56" t="s">
        <v>43</v>
      </c>
      <c r="H1153" s="56">
        <v>8383.0</v>
      </c>
      <c r="I1153" s="127">
        <v>47.45</v>
      </c>
      <c r="J1153" s="127">
        <v>31.79</v>
      </c>
      <c r="K1153" s="83">
        <f t="shared" si="1"/>
        <v>397773.35</v>
      </c>
      <c r="L1153" s="83">
        <f t="shared" si="2"/>
        <v>266495.57</v>
      </c>
      <c r="M1153" s="83">
        <f t="shared" si="3"/>
        <v>131277.78</v>
      </c>
      <c r="N1153" s="46" t="str">
        <f>VLOOKUP(F1153,products!$A$2:$B$13,2,FALSE)</f>
        <v>Beverages</v>
      </c>
      <c r="O1153" s="46" t="s">
        <v>108</v>
      </c>
      <c r="P1153" s="46">
        <f t="array" ref="P1153">WEEKDAY(B1153,2)</f>
        <v>7</v>
      </c>
      <c r="Q1153" s="46"/>
      <c r="R1153" s="46"/>
      <c r="S1153" s="46"/>
      <c r="T1153" s="46"/>
      <c r="U1153" s="46"/>
      <c r="V1153" s="46"/>
      <c r="W1153" s="46"/>
      <c r="X1153" s="46"/>
      <c r="Y1153" s="46"/>
      <c r="Z1153" s="46"/>
    </row>
    <row r="1154">
      <c r="A1154" s="56">
        <v>8.75220096E8</v>
      </c>
      <c r="B1154" s="126">
        <v>40476.0</v>
      </c>
      <c r="C1154" s="126">
        <v>40488.0</v>
      </c>
      <c r="D1154" s="56" t="s">
        <v>93</v>
      </c>
      <c r="E1154" s="56" t="s">
        <v>120</v>
      </c>
      <c r="F1154" s="56">
        <v>4594.0</v>
      </c>
      <c r="G1154" s="56" t="s">
        <v>43</v>
      </c>
      <c r="H1154" s="56">
        <v>5930.0</v>
      </c>
      <c r="I1154" s="127">
        <v>9.33</v>
      </c>
      <c r="J1154" s="127">
        <v>6.92</v>
      </c>
      <c r="K1154" s="83">
        <f t="shared" si="1"/>
        <v>55326.9</v>
      </c>
      <c r="L1154" s="83">
        <f t="shared" si="2"/>
        <v>41035.6</v>
      </c>
      <c r="M1154" s="83">
        <f t="shared" si="3"/>
        <v>14291.3</v>
      </c>
      <c r="N1154" s="46" t="str">
        <f>VLOOKUP(F1154,products!$A$2:$B$13,2,FALSE)</f>
        <v>Fruits</v>
      </c>
      <c r="O1154" s="46" t="s">
        <v>120</v>
      </c>
      <c r="P1154" s="46">
        <f t="array" ref="P1154">WEEKDAY(B1154,2)</f>
        <v>1</v>
      </c>
      <c r="Q1154" s="46"/>
      <c r="R1154" s="46"/>
      <c r="S1154" s="46"/>
      <c r="T1154" s="46"/>
      <c r="U1154" s="46"/>
      <c r="V1154" s="46"/>
      <c r="W1154" s="46"/>
      <c r="X1154" s="46"/>
      <c r="Y1154" s="46"/>
      <c r="Z1154" s="46"/>
    </row>
    <row r="1155">
      <c r="A1155" s="56">
        <v>8.76856458E8</v>
      </c>
      <c r="B1155" s="126">
        <v>41494.0</v>
      </c>
      <c r="C1155" s="126">
        <v>41515.0</v>
      </c>
      <c r="D1155" s="56" t="s">
        <v>95</v>
      </c>
      <c r="E1155" s="56" t="s">
        <v>96</v>
      </c>
      <c r="F1155" s="56">
        <v>8875.0</v>
      </c>
      <c r="G1155" s="56" t="s">
        <v>42</v>
      </c>
      <c r="H1155" s="56">
        <v>166.0</v>
      </c>
      <c r="I1155" s="127">
        <v>421.89</v>
      </c>
      <c r="J1155" s="127">
        <v>364.69</v>
      </c>
      <c r="K1155" s="83">
        <f t="shared" si="1"/>
        <v>70033.74</v>
      </c>
      <c r="L1155" s="83">
        <f t="shared" si="2"/>
        <v>60538.54</v>
      </c>
      <c r="M1155" s="83">
        <f t="shared" si="3"/>
        <v>9495.2</v>
      </c>
      <c r="N1155" s="46" t="str">
        <f>VLOOKUP(F1155,products!$A$2:$B$13,2,FALSE)</f>
        <v>Meat</v>
      </c>
      <c r="O1155" s="46" t="s">
        <v>96</v>
      </c>
      <c r="P1155" s="46">
        <f t="array" ref="P1155">WEEKDAY(B1155,2)</f>
        <v>4</v>
      </c>
      <c r="Q1155" s="46"/>
      <c r="R1155" s="46"/>
      <c r="S1155" s="46"/>
      <c r="T1155" s="46"/>
      <c r="U1155" s="46"/>
      <c r="V1155" s="46"/>
      <c r="W1155" s="46"/>
      <c r="X1155" s="46"/>
      <c r="Y1155" s="46"/>
      <c r="Z1155" s="46"/>
    </row>
    <row r="1156">
      <c r="A1156" s="56">
        <v>8.77062451E8</v>
      </c>
      <c r="B1156" s="126">
        <v>41191.0</v>
      </c>
      <c r="C1156" s="126">
        <v>41211.0</v>
      </c>
      <c r="D1156" s="56" t="s">
        <v>10</v>
      </c>
      <c r="E1156" s="56" t="s">
        <v>131</v>
      </c>
      <c r="F1156" s="56">
        <v>1270.0</v>
      </c>
      <c r="G1156" s="56" t="s">
        <v>43</v>
      </c>
      <c r="H1156" s="56">
        <v>1124.0</v>
      </c>
      <c r="I1156" s="127">
        <v>47.45</v>
      </c>
      <c r="J1156" s="127">
        <v>31.79</v>
      </c>
      <c r="K1156" s="83">
        <f t="shared" si="1"/>
        <v>53333.8</v>
      </c>
      <c r="L1156" s="83">
        <f t="shared" si="2"/>
        <v>35731.96</v>
      </c>
      <c r="M1156" s="83">
        <f t="shared" si="3"/>
        <v>17601.84</v>
      </c>
      <c r="N1156" s="46" t="str">
        <f>VLOOKUP(F1156,products!$A$2:$B$13,2,FALSE)</f>
        <v>Beverages</v>
      </c>
      <c r="O1156" s="46" t="s">
        <v>131</v>
      </c>
      <c r="P1156" s="46">
        <f t="array" ref="P1156">WEEKDAY(B1156,2)</f>
        <v>2</v>
      </c>
      <c r="Q1156" s="46"/>
      <c r="R1156" s="46"/>
      <c r="S1156" s="46"/>
      <c r="T1156" s="46"/>
      <c r="U1156" s="46"/>
      <c r="V1156" s="46"/>
      <c r="W1156" s="46"/>
      <c r="X1156" s="46"/>
      <c r="Y1156" s="46"/>
      <c r="Z1156" s="46"/>
    </row>
    <row r="1157">
      <c r="A1157" s="56">
        <v>8.77084767E8</v>
      </c>
      <c r="B1157" s="126">
        <v>41020.0</v>
      </c>
      <c r="C1157" s="126">
        <v>41069.0</v>
      </c>
      <c r="D1157" s="56" t="s">
        <v>10</v>
      </c>
      <c r="E1157" s="56" t="s">
        <v>122</v>
      </c>
      <c r="F1157" s="56">
        <v>8875.0</v>
      </c>
      <c r="G1157" s="56" t="s">
        <v>43</v>
      </c>
      <c r="H1157" s="56">
        <v>7728.0</v>
      </c>
      <c r="I1157" s="127">
        <v>421.89</v>
      </c>
      <c r="J1157" s="127">
        <v>364.69</v>
      </c>
      <c r="K1157" s="83">
        <f t="shared" si="1"/>
        <v>3260365.92</v>
      </c>
      <c r="L1157" s="83">
        <f t="shared" si="2"/>
        <v>2818324.32</v>
      </c>
      <c r="M1157" s="83">
        <f t="shared" si="3"/>
        <v>442041.6</v>
      </c>
      <c r="N1157" s="46" t="str">
        <f>VLOOKUP(F1157,products!$A$2:$B$13,2,FALSE)</f>
        <v>Meat</v>
      </c>
      <c r="O1157" s="46" t="s">
        <v>122</v>
      </c>
      <c r="P1157" s="46">
        <f t="array" ref="P1157">WEEKDAY(B1157,2)</f>
        <v>6</v>
      </c>
      <c r="Q1157" s="46"/>
      <c r="R1157" s="46"/>
      <c r="S1157" s="46"/>
      <c r="T1157" s="46"/>
      <c r="U1157" s="46"/>
      <c r="V1157" s="46"/>
      <c r="W1157" s="46"/>
      <c r="X1157" s="46"/>
      <c r="Y1157" s="46"/>
      <c r="Z1157" s="46"/>
    </row>
    <row r="1158">
      <c r="A1158" s="56">
        <v>8.77687728E8</v>
      </c>
      <c r="B1158" s="126">
        <v>42727.0</v>
      </c>
      <c r="C1158" s="126">
        <v>42773.0</v>
      </c>
      <c r="D1158" s="56" t="s">
        <v>10</v>
      </c>
      <c r="E1158" s="56" t="s">
        <v>96</v>
      </c>
      <c r="F1158" s="56">
        <v>3127.0</v>
      </c>
      <c r="G1158" s="56" t="s">
        <v>42</v>
      </c>
      <c r="H1158" s="56">
        <v>6158.0</v>
      </c>
      <c r="I1158" s="127">
        <v>81.73</v>
      </c>
      <c r="J1158" s="127">
        <v>56.67</v>
      </c>
      <c r="K1158" s="83">
        <f t="shared" si="1"/>
        <v>503293.34</v>
      </c>
      <c r="L1158" s="83">
        <f t="shared" si="2"/>
        <v>348973.86</v>
      </c>
      <c r="M1158" s="83">
        <f t="shared" si="3"/>
        <v>154319.48</v>
      </c>
      <c r="N1158" s="46" t="str">
        <f>VLOOKUP(F1158,products!$A$2:$B$13,2,FALSE)</f>
        <v>Personal Care</v>
      </c>
      <c r="O1158" s="46" t="s">
        <v>96</v>
      </c>
      <c r="P1158" s="46">
        <f t="array" ref="P1158">WEEKDAY(B1158,2)</f>
        <v>5</v>
      </c>
      <c r="Q1158" s="46"/>
      <c r="R1158" s="46"/>
      <c r="S1158" s="46"/>
      <c r="T1158" s="46"/>
      <c r="U1158" s="46"/>
      <c r="V1158" s="46"/>
      <c r="W1158" s="46"/>
      <c r="X1158" s="46"/>
      <c r="Y1158" s="46"/>
      <c r="Z1158" s="46"/>
    </row>
    <row r="1159">
      <c r="A1159" s="56">
        <v>8.7861427E8</v>
      </c>
      <c r="B1159" s="126">
        <v>40570.0</v>
      </c>
      <c r="C1159" s="126">
        <v>40591.0</v>
      </c>
      <c r="D1159" s="56" t="s">
        <v>89</v>
      </c>
      <c r="E1159" s="56" t="s">
        <v>137</v>
      </c>
      <c r="F1159" s="56">
        <v>8293.0</v>
      </c>
      <c r="G1159" s="56" t="s">
        <v>43</v>
      </c>
      <c r="H1159" s="56">
        <v>342.0</v>
      </c>
      <c r="I1159" s="127">
        <v>437.2</v>
      </c>
      <c r="J1159" s="127">
        <v>263.33</v>
      </c>
      <c r="K1159" s="83">
        <f t="shared" si="1"/>
        <v>149522.4</v>
      </c>
      <c r="L1159" s="83">
        <f t="shared" si="2"/>
        <v>90058.86</v>
      </c>
      <c r="M1159" s="83">
        <f t="shared" si="3"/>
        <v>59463.54</v>
      </c>
      <c r="N1159" s="46" t="str">
        <f>VLOOKUP(F1159,products!$A$2:$B$13,2,FALSE)</f>
        <v>Cosmetics</v>
      </c>
      <c r="O1159" s="46" t="s">
        <v>137</v>
      </c>
      <c r="P1159" s="46">
        <f t="array" ref="P1159">WEEKDAY(B1159,2)</f>
        <v>4</v>
      </c>
      <c r="Q1159" s="46"/>
      <c r="R1159" s="46"/>
      <c r="S1159" s="46"/>
      <c r="T1159" s="46"/>
      <c r="U1159" s="46"/>
      <c r="V1159" s="46"/>
      <c r="W1159" s="46"/>
      <c r="X1159" s="46"/>
      <c r="Y1159" s="46"/>
      <c r="Z1159" s="46"/>
    </row>
    <row r="1160">
      <c r="A1160" s="56">
        <v>8.794052E8</v>
      </c>
      <c r="B1160" s="126">
        <v>41793.0</v>
      </c>
      <c r="C1160" s="126">
        <v>41840.0</v>
      </c>
      <c r="D1160" s="56" t="s">
        <v>93</v>
      </c>
      <c r="E1160" s="56" t="s">
        <v>116</v>
      </c>
      <c r="F1160" s="56">
        <v>1270.0</v>
      </c>
      <c r="G1160" s="56" t="s">
        <v>43</v>
      </c>
      <c r="H1160" s="56">
        <v>4396.0</v>
      </c>
      <c r="I1160" s="127">
        <v>47.45</v>
      </c>
      <c r="J1160" s="127">
        <v>31.79</v>
      </c>
      <c r="K1160" s="83">
        <f t="shared" si="1"/>
        <v>208590.2</v>
      </c>
      <c r="L1160" s="83">
        <f t="shared" si="2"/>
        <v>139748.84</v>
      </c>
      <c r="M1160" s="83">
        <f t="shared" si="3"/>
        <v>68841.36</v>
      </c>
      <c r="N1160" s="46" t="str">
        <f>VLOOKUP(F1160,products!$A$2:$B$13,2,FALSE)</f>
        <v>Beverages</v>
      </c>
      <c r="O1160" s="46" t="s">
        <v>116</v>
      </c>
      <c r="P1160" s="46">
        <f t="array" ref="P1160">WEEKDAY(B1160,2)</f>
        <v>2</v>
      </c>
      <c r="Q1160" s="46"/>
      <c r="R1160" s="46"/>
      <c r="S1160" s="46"/>
      <c r="T1160" s="46"/>
      <c r="U1160" s="46"/>
      <c r="V1160" s="46"/>
      <c r="W1160" s="46"/>
      <c r="X1160" s="46"/>
      <c r="Y1160" s="46"/>
      <c r="Z1160" s="46"/>
    </row>
    <row r="1161">
      <c r="A1161" s="56">
        <v>8.79845082E8</v>
      </c>
      <c r="B1161" s="126">
        <v>40282.0</v>
      </c>
      <c r="C1161" s="126">
        <v>40299.0</v>
      </c>
      <c r="D1161" s="56" t="s">
        <v>89</v>
      </c>
      <c r="E1161" s="56" t="s">
        <v>110</v>
      </c>
      <c r="F1161" s="56">
        <v>4594.0</v>
      </c>
      <c r="G1161" s="56" t="s">
        <v>42</v>
      </c>
      <c r="H1161" s="56">
        <v>4567.0</v>
      </c>
      <c r="I1161" s="127">
        <v>9.33</v>
      </c>
      <c r="J1161" s="127">
        <v>6.92</v>
      </c>
      <c r="K1161" s="83">
        <f t="shared" si="1"/>
        <v>42610.11</v>
      </c>
      <c r="L1161" s="83">
        <f t="shared" si="2"/>
        <v>31603.64</v>
      </c>
      <c r="M1161" s="83">
        <f t="shared" si="3"/>
        <v>11006.47</v>
      </c>
      <c r="N1161" s="46" t="str">
        <f>VLOOKUP(F1161,products!$A$2:$B$13,2,FALSE)</f>
        <v>Fruits</v>
      </c>
      <c r="O1161" s="46" t="s">
        <v>110</v>
      </c>
      <c r="P1161" s="46">
        <f t="array" ref="P1161">WEEKDAY(B1161,2)</f>
        <v>3</v>
      </c>
      <c r="Q1161" s="46"/>
      <c r="R1161" s="46"/>
      <c r="S1161" s="46"/>
      <c r="T1161" s="46"/>
      <c r="U1161" s="46"/>
      <c r="V1161" s="46"/>
      <c r="W1161" s="46"/>
      <c r="X1161" s="46"/>
      <c r="Y1161" s="46"/>
      <c r="Z1161" s="46"/>
    </row>
    <row r="1162">
      <c r="A1162" s="56">
        <v>8.79923617E8</v>
      </c>
      <c r="B1162" s="126">
        <v>41861.0</v>
      </c>
      <c r="C1162" s="126">
        <v>41897.0</v>
      </c>
      <c r="D1162" s="56" t="s">
        <v>89</v>
      </c>
      <c r="E1162" s="56" t="s">
        <v>123</v>
      </c>
      <c r="F1162" s="56">
        <v>7331.0</v>
      </c>
      <c r="G1162" s="56" t="s">
        <v>43</v>
      </c>
      <c r="H1162" s="56">
        <v>7807.0</v>
      </c>
      <c r="I1162" s="127">
        <v>255.28</v>
      </c>
      <c r="J1162" s="127">
        <v>159.42</v>
      </c>
      <c r="K1162" s="83">
        <f t="shared" si="1"/>
        <v>1992970.96</v>
      </c>
      <c r="L1162" s="83">
        <f t="shared" si="2"/>
        <v>1244591.94</v>
      </c>
      <c r="M1162" s="83">
        <f t="shared" si="3"/>
        <v>748379.02</v>
      </c>
      <c r="N1162" s="46" t="str">
        <f>VLOOKUP(F1162,products!$A$2:$B$13,2,FALSE)</f>
        <v>Baby Food</v>
      </c>
      <c r="O1162" s="46" t="s">
        <v>123</v>
      </c>
      <c r="P1162" s="46">
        <f t="array" ref="P1162">WEEKDAY(B1162,2)</f>
        <v>7</v>
      </c>
      <c r="Q1162" s="46"/>
      <c r="R1162" s="46"/>
      <c r="S1162" s="46"/>
      <c r="T1162" s="46"/>
      <c r="U1162" s="46"/>
      <c r="V1162" s="46"/>
      <c r="W1162" s="46"/>
      <c r="X1162" s="46"/>
      <c r="Y1162" s="46"/>
      <c r="Z1162" s="46"/>
    </row>
    <row r="1163">
      <c r="A1163" s="56">
        <v>8.80176818E8</v>
      </c>
      <c r="B1163" s="126">
        <v>40452.0</v>
      </c>
      <c r="C1163" s="126">
        <v>40466.0</v>
      </c>
      <c r="D1163" s="56" t="s">
        <v>89</v>
      </c>
      <c r="E1163" s="56" t="s">
        <v>106</v>
      </c>
      <c r="F1163" s="56">
        <v>2455.0</v>
      </c>
      <c r="G1163" s="56" t="s">
        <v>43</v>
      </c>
      <c r="H1163" s="56">
        <v>2735.0</v>
      </c>
      <c r="I1163" s="127">
        <v>109.28</v>
      </c>
      <c r="J1163" s="127">
        <v>35.84</v>
      </c>
      <c r="K1163" s="83">
        <f t="shared" si="1"/>
        <v>298880.8</v>
      </c>
      <c r="L1163" s="83">
        <f t="shared" si="2"/>
        <v>98022.4</v>
      </c>
      <c r="M1163" s="83">
        <f t="shared" si="3"/>
        <v>200858.4</v>
      </c>
      <c r="N1163" s="46" t="str">
        <f>VLOOKUP(F1163,products!$A$2:$B$13,2,FALSE)</f>
        <v>Clothes</v>
      </c>
      <c r="O1163" s="46" t="s">
        <v>106</v>
      </c>
      <c r="P1163" s="46">
        <f t="array" ref="P1163">WEEKDAY(B1163,2)</f>
        <v>5</v>
      </c>
      <c r="Q1163" s="46"/>
      <c r="R1163" s="46"/>
      <c r="S1163" s="46"/>
      <c r="T1163" s="46"/>
      <c r="U1163" s="46"/>
      <c r="V1163" s="46"/>
      <c r="W1163" s="46"/>
      <c r="X1163" s="46"/>
      <c r="Y1163" s="46"/>
      <c r="Z1163" s="46"/>
    </row>
    <row r="1164">
      <c r="A1164" s="56">
        <v>8.8119477E8</v>
      </c>
      <c r="B1164" s="126">
        <v>41583.0</v>
      </c>
      <c r="C1164" s="126">
        <v>41613.0</v>
      </c>
      <c r="D1164" s="56" t="s">
        <v>10</v>
      </c>
      <c r="E1164" s="56" t="s">
        <v>120</v>
      </c>
      <c r="F1164" s="56">
        <v>8681.0</v>
      </c>
      <c r="G1164" s="56" t="s">
        <v>42</v>
      </c>
      <c r="H1164" s="56">
        <v>3969.0</v>
      </c>
      <c r="I1164" s="127">
        <v>651.21</v>
      </c>
      <c r="J1164" s="127">
        <v>524.96</v>
      </c>
      <c r="K1164" s="83">
        <f t="shared" si="1"/>
        <v>2584652.49</v>
      </c>
      <c r="L1164" s="83">
        <f t="shared" si="2"/>
        <v>2083566.24</v>
      </c>
      <c r="M1164" s="83">
        <f t="shared" si="3"/>
        <v>501086.25</v>
      </c>
      <c r="N1164" s="46" t="str">
        <f>VLOOKUP(F1164,products!$A$2:$B$13,2,FALSE)</f>
        <v>Office Supplies</v>
      </c>
      <c r="O1164" s="46" t="s">
        <v>120</v>
      </c>
      <c r="P1164" s="46">
        <f t="array" ref="P1164">WEEKDAY(B1164,2)</f>
        <v>2</v>
      </c>
      <c r="Q1164" s="46"/>
      <c r="R1164" s="46"/>
      <c r="S1164" s="46"/>
      <c r="T1164" s="46"/>
      <c r="U1164" s="46"/>
      <c r="V1164" s="46"/>
      <c r="W1164" s="46"/>
      <c r="X1164" s="46"/>
      <c r="Y1164" s="46"/>
      <c r="Z1164" s="46"/>
    </row>
    <row r="1165">
      <c r="A1165" s="56">
        <v>8.8171705E8</v>
      </c>
      <c r="B1165" s="126">
        <v>40504.0</v>
      </c>
      <c r="C1165" s="126">
        <v>40535.0</v>
      </c>
      <c r="D1165" s="56" t="s">
        <v>89</v>
      </c>
      <c r="E1165" s="56" t="s">
        <v>109</v>
      </c>
      <c r="F1165" s="56">
        <v>8969.0</v>
      </c>
      <c r="G1165" s="56" t="s">
        <v>43</v>
      </c>
      <c r="H1165" s="56">
        <v>8524.0</v>
      </c>
      <c r="I1165" s="127">
        <v>152.58</v>
      </c>
      <c r="J1165" s="127">
        <v>97.44</v>
      </c>
      <c r="K1165" s="83">
        <f t="shared" si="1"/>
        <v>1300591.92</v>
      </c>
      <c r="L1165" s="83">
        <f t="shared" si="2"/>
        <v>830578.56</v>
      </c>
      <c r="M1165" s="83">
        <f t="shared" si="3"/>
        <v>470013.36</v>
      </c>
      <c r="N1165" s="46" t="str">
        <f>VLOOKUP(F1165,products!$A$2:$B$13,2,FALSE)</f>
        <v>Snacks</v>
      </c>
      <c r="O1165" s="46" t="s">
        <v>109</v>
      </c>
      <c r="P1165" s="46">
        <f t="array" ref="P1165">WEEKDAY(B1165,2)</f>
        <v>1</v>
      </c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</row>
    <row r="1166">
      <c r="A1166" s="56">
        <v>8.83504474E8</v>
      </c>
      <c r="B1166" s="126">
        <v>41854.0</v>
      </c>
      <c r="C1166" s="126">
        <v>41890.0</v>
      </c>
      <c r="D1166" s="56" t="s">
        <v>95</v>
      </c>
      <c r="E1166" s="56" t="s">
        <v>101</v>
      </c>
      <c r="F1166" s="56">
        <v>8681.0</v>
      </c>
      <c r="G1166" s="56" t="s">
        <v>42</v>
      </c>
      <c r="H1166" s="56">
        <v>7462.0</v>
      </c>
      <c r="I1166" s="127">
        <v>651.21</v>
      </c>
      <c r="J1166" s="127">
        <v>524.96</v>
      </c>
      <c r="K1166" s="83">
        <f t="shared" si="1"/>
        <v>4859329.02</v>
      </c>
      <c r="L1166" s="83">
        <f t="shared" si="2"/>
        <v>3917251.52</v>
      </c>
      <c r="M1166" s="83">
        <f t="shared" si="3"/>
        <v>942077.5</v>
      </c>
      <c r="N1166" s="46" t="str">
        <f>VLOOKUP(F1166,products!$A$2:$B$13,2,FALSE)</f>
        <v>Office Supplies</v>
      </c>
      <c r="O1166" s="46" t="s">
        <v>101</v>
      </c>
      <c r="P1166" s="46">
        <f t="array" ref="P1166">WEEKDAY(B1166,2)</f>
        <v>7</v>
      </c>
      <c r="Q1166" s="46"/>
      <c r="R1166" s="46"/>
      <c r="S1166" s="46"/>
      <c r="T1166" s="46"/>
      <c r="U1166" s="46"/>
      <c r="V1166" s="46"/>
      <c r="W1166" s="46"/>
      <c r="X1166" s="46"/>
      <c r="Y1166" s="46"/>
      <c r="Z1166" s="46"/>
    </row>
    <row r="1167">
      <c r="A1167" s="56">
        <v>8.84147775E8</v>
      </c>
      <c r="B1167" s="126">
        <v>40804.0</v>
      </c>
      <c r="C1167" s="126">
        <v>40835.0</v>
      </c>
      <c r="D1167" s="56" t="s">
        <v>95</v>
      </c>
      <c r="E1167" s="56" t="s">
        <v>130</v>
      </c>
      <c r="F1167" s="56">
        <v>1270.0</v>
      </c>
      <c r="G1167" s="56" t="s">
        <v>43</v>
      </c>
      <c r="H1167" s="56">
        <v>7829.0</v>
      </c>
      <c r="I1167" s="127">
        <v>47.45</v>
      </c>
      <c r="J1167" s="127">
        <v>31.79</v>
      </c>
      <c r="K1167" s="83">
        <f t="shared" si="1"/>
        <v>371486.05</v>
      </c>
      <c r="L1167" s="83">
        <f t="shared" si="2"/>
        <v>248883.91</v>
      </c>
      <c r="M1167" s="83">
        <f t="shared" si="3"/>
        <v>122602.14</v>
      </c>
      <c r="N1167" s="46" t="str">
        <f>VLOOKUP(F1167,products!$A$2:$B$13,2,FALSE)</f>
        <v>Beverages</v>
      </c>
      <c r="O1167" s="46" t="s">
        <v>130</v>
      </c>
      <c r="P1167" s="46">
        <f t="array" ref="P1167">WEEKDAY(B1167,2)</f>
        <v>7</v>
      </c>
      <c r="Q1167" s="46"/>
      <c r="R1167" s="46"/>
      <c r="S1167" s="46"/>
      <c r="T1167" s="46"/>
      <c r="U1167" s="46"/>
      <c r="V1167" s="46"/>
      <c r="W1167" s="46"/>
      <c r="X1167" s="46"/>
      <c r="Y1167" s="46"/>
      <c r="Z1167" s="46"/>
    </row>
    <row r="1168">
      <c r="A1168" s="56">
        <v>8.84192836E8</v>
      </c>
      <c r="B1168" s="126">
        <v>41257.0</v>
      </c>
      <c r="C1168" s="126">
        <v>41289.0</v>
      </c>
      <c r="D1168" s="56" t="s">
        <v>10</v>
      </c>
      <c r="E1168" s="56" t="s">
        <v>90</v>
      </c>
      <c r="F1168" s="56">
        <v>8681.0</v>
      </c>
      <c r="G1168" s="56" t="s">
        <v>42</v>
      </c>
      <c r="H1168" s="56">
        <v>1164.0</v>
      </c>
      <c r="I1168" s="127">
        <v>651.21</v>
      </c>
      <c r="J1168" s="127">
        <v>524.96</v>
      </c>
      <c r="K1168" s="83">
        <f t="shared" si="1"/>
        <v>758008.44</v>
      </c>
      <c r="L1168" s="83">
        <f t="shared" si="2"/>
        <v>611053.44</v>
      </c>
      <c r="M1168" s="83">
        <f t="shared" si="3"/>
        <v>146955</v>
      </c>
      <c r="N1168" s="46" t="str">
        <f>VLOOKUP(F1168,products!$A$2:$B$13,2,FALSE)</f>
        <v>Office Supplies</v>
      </c>
      <c r="O1168" s="46" t="s">
        <v>90</v>
      </c>
      <c r="P1168" s="46">
        <f t="array" ref="P1168">WEEKDAY(B1168,2)</f>
        <v>5</v>
      </c>
      <c r="Q1168" s="46"/>
      <c r="R1168" s="46"/>
      <c r="S1168" s="46"/>
      <c r="T1168" s="46"/>
      <c r="U1168" s="46"/>
      <c r="V1168" s="46"/>
      <c r="W1168" s="46"/>
      <c r="X1168" s="46"/>
      <c r="Y1168" s="46"/>
      <c r="Z1168" s="46"/>
    </row>
    <row r="1169">
      <c r="A1169" s="56">
        <v>8.84462773E8</v>
      </c>
      <c r="B1169" s="126">
        <v>40411.0</v>
      </c>
      <c r="C1169" s="126">
        <v>40456.0</v>
      </c>
      <c r="D1169" s="56" t="s">
        <v>89</v>
      </c>
      <c r="E1169" s="56" t="s">
        <v>105</v>
      </c>
      <c r="F1169" s="56">
        <v>8969.0</v>
      </c>
      <c r="G1169" s="56" t="s">
        <v>42</v>
      </c>
      <c r="H1169" s="56">
        <v>1044.0</v>
      </c>
      <c r="I1169" s="127">
        <v>152.58</v>
      </c>
      <c r="J1169" s="127">
        <v>97.44</v>
      </c>
      <c r="K1169" s="83">
        <f t="shared" si="1"/>
        <v>159293.52</v>
      </c>
      <c r="L1169" s="83">
        <f t="shared" si="2"/>
        <v>101727.36</v>
      </c>
      <c r="M1169" s="83">
        <f t="shared" si="3"/>
        <v>57566.16</v>
      </c>
      <c r="N1169" s="46" t="str">
        <f>VLOOKUP(F1169,products!$A$2:$B$13,2,FALSE)</f>
        <v>Snacks</v>
      </c>
      <c r="O1169" s="46" t="s">
        <v>105</v>
      </c>
      <c r="P1169" s="46">
        <f t="array" ref="P1169">WEEKDAY(B1169,2)</f>
        <v>6</v>
      </c>
      <c r="Q1169" s="46"/>
      <c r="R1169" s="46"/>
      <c r="S1169" s="46"/>
      <c r="T1169" s="46"/>
      <c r="U1169" s="46"/>
      <c r="V1169" s="46"/>
      <c r="W1169" s="46"/>
      <c r="X1169" s="46"/>
      <c r="Y1169" s="46"/>
      <c r="Z1169" s="46"/>
    </row>
    <row r="1170">
      <c r="A1170" s="56">
        <v>8.85046851E8</v>
      </c>
      <c r="B1170" s="126">
        <v>40348.0</v>
      </c>
      <c r="C1170" s="126">
        <v>40378.0</v>
      </c>
      <c r="D1170" s="56" t="s">
        <v>89</v>
      </c>
      <c r="E1170" s="56" t="s">
        <v>114</v>
      </c>
      <c r="F1170" s="56">
        <v>8681.0</v>
      </c>
      <c r="G1170" s="56" t="s">
        <v>42</v>
      </c>
      <c r="H1170" s="56">
        <v>3886.0</v>
      </c>
      <c r="I1170" s="127">
        <v>651.21</v>
      </c>
      <c r="J1170" s="127">
        <v>524.96</v>
      </c>
      <c r="K1170" s="83">
        <f t="shared" si="1"/>
        <v>2530602.06</v>
      </c>
      <c r="L1170" s="83">
        <f t="shared" si="2"/>
        <v>2039994.56</v>
      </c>
      <c r="M1170" s="83">
        <f t="shared" si="3"/>
        <v>490607.5</v>
      </c>
      <c r="N1170" s="46" t="str">
        <f>VLOOKUP(F1170,products!$A$2:$B$13,2,FALSE)</f>
        <v>Office Supplies</v>
      </c>
      <c r="O1170" s="46" t="s">
        <v>114</v>
      </c>
      <c r="P1170" s="46">
        <f t="array" ref="P1170">WEEKDAY(B1170,2)</f>
        <v>6</v>
      </c>
      <c r="Q1170" s="46"/>
      <c r="R1170" s="46"/>
      <c r="S1170" s="46"/>
      <c r="T1170" s="46"/>
      <c r="U1170" s="46"/>
      <c r="V1170" s="46"/>
      <c r="W1170" s="46"/>
      <c r="X1170" s="46"/>
      <c r="Y1170" s="46"/>
      <c r="Z1170" s="46"/>
    </row>
    <row r="1171">
      <c r="A1171" s="56">
        <v>8.85397469E8</v>
      </c>
      <c r="B1171" s="126">
        <v>42287.0</v>
      </c>
      <c r="C1171" s="126">
        <v>42326.0</v>
      </c>
      <c r="D1171" s="56" t="s">
        <v>89</v>
      </c>
      <c r="E1171" s="56" t="s">
        <v>104</v>
      </c>
      <c r="F1171" s="56">
        <v>8875.0</v>
      </c>
      <c r="G1171" s="56" t="s">
        <v>43</v>
      </c>
      <c r="H1171" s="56">
        <v>7642.0</v>
      </c>
      <c r="I1171" s="127">
        <v>421.89</v>
      </c>
      <c r="J1171" s="127">
        <v>364.69</v>
      </c>
      <c r="K1171" s="83">
        <f t="shared" si="1"/>
        <v>3224083.38</v>
      </c>
      <c r="L1171" s="83">
        <f t="shared" si="2"/>
        <v>2786960.98</v>
      </c>
      <c r="M1171" s="83">
        <f t="shared" si="3"/>
        <v>437122.4</v>
      </c>
      <c r="N1171" s="46" t="str">
        <f>VLOOKUP(F1171,products!$A$2:$B$13,2,FALSE)</f>
        <v>Meat</v>
      </c>
      <c r="O1171" s="46" t="s">
        <v>104</v>
      </c>
      <c r="P1171" s="46">
        <f t="array" ref="P1171">WEEKDAY(B1171,2)</f>
        <v>6</v>
      </c>
      <c r="Q1171" s="46"/>
      <c r="R1171" s="46"/>
      <c r="S1171" s="46"/>
      <c r="T1171" s="46"/>
      <c r="U1171" s="46"/>
      <c r="V1171" s="46"/>
      <c r="W1171" s="46"/>
      <c r="X1171" s="46"/>
      <c r="Y1171" s="46"/>
      <c r="Z1171" s="46"/>
    </row>
    <row r="1172">
      <c r="A1172" s="56">
        <v>8.85998284E8</v>
      </c>
      <c r="B1172" s="126">
        <v>42787.0</v>
      </c>
      <c r="C1172" s="126">
        <v>42794.0</v>
      </c>
      <c r="D1172" s="56" t="s">
        <v>10</v>
      </c>
      <c r="E1172" s="56" t="s">
        <v>101</v>
      </c>
      <c r="F1172" s="56">
        <v>2455.0</v>
      </c>
      <c r="G1172" s="56" t="s">
        <v>42</v>
      </c>
      <c r="H1172" s="56">
        <v>5436.0</v>
      </c>
      <c r="I1172" s="127">
        <v>109.28</v>
      </c>
      <c r="J1172" s="127">
        <v>35.84</v>
      </c>
      <c r="K1172" s="83">
        <f t="shared" si="1"/>
        <v>594046.08</v>
      </c>
      <c r="L1172" s="83">
        <f t="shared" si="2"/>
        <v>194826.24</v>
      </c>
      <c r="M1172" s="83">
        <f t="shared" si="3"/>
        <v>399219.84</v>
      </c>
      <c r="N1172" s="46" t="str">
        <f>VLOOKUP(F1172,products!$A$2:$B$13,2,FALSE)</f>
        <v>Clothes</v>
      </c>
      <c r="O1172" s="46" t="s">
        <v>101</v>
      </c>
      <c r="P1172" s="46">
        <f t="array" ref="P1172">WEEKDAY(B1172,2)</f>
        <v>2</v>
      </c>
      <c r="Q1172" s="46"/>
      <c r="R1172" s="46"/>
      <c r="S1172" s="46"/>
      <c r="T1172" s="46"/>
      <c r="U1172" s="46"/>
      <c r="V1172" s="46"/>
      <c r="W1172" s="46"/>
      <c r="X1172" s="46"/>
      <c r="Y1172" s="46"/>
      <c r="Z1172" s="46"/>
    </row>
    <row r="1173">
      <c r="A1173" s="56">
        <v>8.86620128E8</v>
      </c>
      <c r="B1173" s="126">
        <v>40732.0</v>
      </c>
      <c r="C1173" s="126">
        <v>40749.0</v>
      </c>
      <c r="D1173" s="56" t="s">
        <v>10</v>
      </c>
      <c r="E1173" s="56" t="s">
        <v>126</v>
      </c>
      <c r="F1173" s="56">
        <v>8681.0</v>
      </c>
      <c r="G1173" s="56" t="s">
        <v>42</v>
      </c>
      <c r="H1173" s="56">
        <v>9453.0</v>
      </c>
      <c r="I1173" s="127">
        <v>651.21</v>
      </c>
      <c r="J1173" s="127">
        <v>524.96</v>
      </c>
      <c r="K1173" s="83">
        <f t="shared" si="1"/>
        <v>6155888.13</v>
      </c>
      <c r="L1173" s="83">
        <f t="shared" si="2"/>
        <v>4962446.88</v>
      </c>
      <c r="M1173" s="83">
        <f t="shared" si="3"/>
        <v>1193441.25</v>
      </c>
      <c r="N1173" s="46" t="str">
        <f>VLOOKUP(F1173,products!$A$2:$B$13,2,FALSE)</f>
        <v>Office Supplies</v>
      </c>
      <c r="O1173" s="46" t="s">
        <v>126</v>
      </c>
      <c r="P1173" s="46">
        <f t="array" ref="P1173">WEEKDAY(B1173,2)</f>
        <v>5</v>
      </c>
      <c r="Q1173" s="46"/>
      <c r="R1173" s="46"/>
      <c r="S1173" s="46"/>
      <c r="T1173" s="46"/>
      <c r="U1173" s="46"/>
      <c r="V1173" s="46"/>
      <c r="W1173" s="46"/>
      <c r="X1173" s="46"/>
      <c r="Y1173" s="46"/>
      <c r="Z1173" s="46"/>
    </row>
    <row r="1174">
      <c r="A1174" s="56">
        <v>8.86763894E8</v>
      </c>
      <c r="B1174" s="126">
        <v>41385.0</v>
      </c>
      <c r="C1174" s="126">
        <v>41421.0</v>
      </c>
      <c r="D1174" s="56" t="s">
        <v>89</v>
      </c>
      <c r="E1174" s="56" t="s">
        <v>104</v>
      </c>
      <c r="F1174" s="56">
        <v>5988.0</v>
      </c>
      <c r="G1174" s="56" t="s">
        <v>42</v>
      </c>
      <c r="H1174" s="56">
        <v>1997.0</v>
      </c>
      <c r="I1174" s="127">
        <v>154.06</v>
      </c>
      <c r="J1174" s="127">
        <v>90.93</v>
      </c>
      <c r="K1174" s="83">
        <f t="shared" si="1"/>
        <v>307657.82</v>
      </c>
      <c r="L1174" s="83">
        <f t="shared" si="2"/>
        <v>181587.21</v>
      </c>
      <c r="M1174" s="83">
        <f t="shared" si="3"/>
        <v>126070.61</v>
      </c>
      <c r="N1174" s="46" t="str">
        <f>VLOOKUP(F1174,products!$A$2:$B$13,2,FALSE)</f>
        <v>Vegetables</v>
      </c>
      <c r="O1174" s="46" t="s">
        <v>104</v>
      </c>
      <c r="P1174" s="46">
        <f t="array" ref="P1174">WEEKDAY(B1174,2)</f>
        <v>7</v>
      </c>
      <c r="Q1174" s="46"/>
      <c r="R1174" s="46"/>
      <c r="S1174" s="46"/>
      <c r="T1174" s="46"/>
      <c r="U1174" s="46"/>
      <c r="V1174" s="46"/>
      <c r="W1174" s="46"/>
      <c r="X1174" s="46"/>
      <c r="Y1174" s="46"/>
      <c r="Z1174" s="46"/>
    </row>
    <row r="1175">
      <c r="A1175" s="56">
        <v>8.8750118E8</v>
      </c>
      <c r="B1175" s="126">
        <v>42860.0</v>
      </c>
      <c r="C1175" s="126">
        <v>42906.0</v>
      </c>
      <c r="D1175" s="56" t="s">
        <v>10</v>
      </c>
      <c r="E1175" s="56" t="s">
        <v>103</v>
      </c>
      <c r="F1175" s="56">
        <v>8293.0</v>
      </c>
      <c r="G1175" s="56" t="s">
        <v>43</v>
      </c>
      <c r="H1175" s="56">
        <v>176.0</v>
      </c>
      <c r="I1175" s="127">
        <v>437.2</v>
      </c>
      <c r="J1175" s="127">
        <v>263.33</v>
      </c>
      <c r="K1175" s="83">
        <f t="shared" si="1"/>
        <v>76947.2</v>
      </c>
      <c r="L1175" s="83">
        <f t="shared" si="2"/>
        <v>46346.08</v>
      </c>
      <c r="M1175" s="83">
        <f t="shared" si="3"/>
        <v>30601.12</v>
      </c>
      <c r="N1175" s="46" t="str">
        <f>VLOOKUP(F1175,products!$A$2:$B$13,2,FALSE)</f>
        <v>Cosmetics</v>
      </c>
      <c r="O1175" s="46" t="s">
        <v>103</v>
      </c>
      <c r="P1175" s="46">
        <f t="array" ref="P1175">WEEKDAY(B1175,2)</f>
        <v>5</v>
      </c>
      <c r="Q1175" s="46"/>
      <c r="R1175" s="46"/>
      <c r="S1175" s="46"/>
      <c r="T1175" s="46"/>
      <c r="U1175" s="46"/>
      <c r="V1175" s="46"/>
      <c r="W1175" s="46"/>
      <c r="X1175" s="46"/>
      <c r="Y1175" s="46"/>
      <c r="Z1175" s="46"/>
    </row>
    <row r="1176">
      <c r="A1176" s="56">
        <v>8.89093768E8</v>
      </c>
      <c r="B1176" s="126">
        <v>40278.0</v>
      </c>
      <c r="C1176" s="126">
        <v>40318.0</v>
      </c>
      <c r="D1176" s="56" t="s">
        <v>89</v>
      </c>
      <c r="E1176" s="56" t="s">
        <v>130</v>
      </c>
      <c r="F1176" s="56">
        <v>2103.0</v>
      </c>
      <c r="G1176" s="56" t="s">
        <v>42</v>
      </c>
      <c r="H1176" s="56">
        <v>1458.0</v>
      </c>
      <c r="I1176" s="127">
        <v>205.7</v>
      </c>
      <c r="J1176" s="127">
        <v>117.11</v>
      </c>
      <c r="K1176" s="83">
        <f t="shared" si="1"/>
        <v>299910.6</v>
      </c>
      <c r="L1176" s="83">
        <f t="shared" si="2"/>
        <v>170746.38</v>
      </c>
      <c r="M1176" s="83">
        <f t="shared" si="3"/>
        <v>129164.22</v>
      </c>
      <c r="N1176" s="46" t="str">
        <f>VLOOKUP(F1176,products!$A$2:$B$13,2,FALSE)</f>
        <v>Cereal</v>
      </c>
      <c r="O1176" s="46" t="s">
        <v>130</v>
      </c>
      <c r="P1176" s="46">
        <f t="array" ref="P1176">WEEKDAY(B1176,2)</f>
        <v>6</v>
      </c>
      <c r="Q1176" s="46"/>
      <c r="R1176" s="46"/>
      <c r="S1176" s="46"/>
      <c r="T1176" s="46"/>
      <c r="U1176" s="46"/>
      <c r="V1176" s="46"/>
      <c r="W1176" s="46"/>
      <c r="X1176" s="46"/>
      <c r="Y1176" s="46"/>
      <c r="Z1176" s="46"/>
    </row>
    <row r="1177">
      <c r="A1177" s="56">
        <v>8.89125955E8</v>
      </c>
      <c r="B1177" s="126">
        <v>41786.0</v>
      </c>
      <c r="C1177" s="126">
        <v>41805.0</v>
      </c>
      <c r="D1177" s="56" t="s">
        <v>95</v>
      </c>
      <c r="E1177" s="56" t="s">
        <v>128</v>
      </c>
      <c r="F1177" s="56">
        <v>4594.0</v>
      </c>
      <c r="G1177" s="56" t="s">
        <v>42</v>
      </c>
      <c r="H1177" s="56">
        <v>983.0</v>
      </c>
      <c r="I1177" s="127">
        <v>9.33</v>
      </c>
      <c r="J1177" s="127">
        <v>6.92</v>
      </c>
      <c r="K1177" s="83">
        <f t="shared" si="1"/>
        <v>9171.39</v>
      </c>
      <c r="L1177" s="83">
        <f t="shared" si="2"/>
        <v>6802.36</v>
      </c>
      <c r="M1177" s="83">
        <f t="shared" si="3"/>
        <v>2369.03</v>
      </c>
      <c r="N1177" s="46" t="str">
        <f>VLOOKUP(F1177,products!$A$2:$B$13,2,FALSE)</f>
        <v>Fruits</v>
      </c>
      <c r="O1177" s="46" t="s">
        <v>128</v>
      </c>
      <c r="P1177" s="46">
        <f t="array" ref="P1177">WEEKDAY(B1177,2)</f>
        <v>2</v>
      </c>
      <c r="Q1177" s="46"/>
      <c r="R1177" s="46"/>
      <c r="S1177" s="46"/>
      <c r="T1177" s="46"/>
      <c r="U1177" s="46"/>
      <c r="V1177" s="46"/>
      <c r="W1177" s="46"/>
      <c r="X1177" s="46"/>
      <c r="Y1177" s="46"/>
      <c r="Z1177" s="46"/>
    </row>
    <row r="1178">
      <c r="A1178" s="56">
        <v>8.91681563E8</v>
      </c>
      <c r="B1178" s="126">
        <v>40969.0</v>
      </c>
      <c r="C1178" s="126">
        <v>40995.0</v>
      </c>
      <c r="D1178" s="56" t="s">
        <v>89</v>
      </c>
      <c r="E1178" s="56" t="s">
        <v>133</v>
      </c>
      <c r="F1178" s="56">
        <v>7940.0</v>
      </c>
      <c r="G1178" s="56" t="s">
        <v>42</v>
      </c>
      <c r="H1178" s="56">
        <v>7245.0</v>
      </c>
      <c r="I1178" s="127">
        <v>668.27</v>
      </c>
      <c r="J1178" s="127">
        <v>502.54</v>
      </c>
      <c r="K1178" s="83">
        <f t="shared" si="1"/>
        <v>4841616.15</v>
      </c>
      <c r="L1178" s="83">
        <f t="shared" si="2"/>
        <v>3640902.3</v>
      </c>
      <c r="M1178" s="83">
        <f t="shared" si="3"/>
        <v>1200713.85</v>
      </c>
      <c r="N1178" s="46" t="str">
        <f>VLOOKUP(F1178,products!$A$2:$B$13,2,FALSE)</f>
        <v>Household</v>
      </c>
      <c r="O1178" s="46" t="s">
        <v>133</v>
      </c>
      <c r="P1178" s="46">
        <f t="array" ref="P1178">WEEKDAY(B1178,2)</f>
        <v>4</v>
      </c>
      <c r="Q1178" s="46"/>
      <c r="R1178" s="46"/>
      <c r="S1178" s="46"/>
      <c r="T1178" s="46"/>
      <c r="U1178" s="46"/>
      <c r="V1178" s="46"/>
      <c r="W1178" s="46"/>
      <c r="X1178" s="46"/>
      <c r="Y1178" s="46"/>
      <c r="Z1178" s="46"/>
    </row>
    <row r="1179">
      <c r="A1179" s="56">
        <v>8.91808593E8</v>
      </c>
      <c r="B1179" s="126">
        <v>41059.0</v>
      </c>
      <c r="C1179" s="126">
        <v>41071.0</v>
      </c>
      <c r="D1179" s="56" t="s">
        <v>95</v>
      </c>
      <c r="E1179" s="56" t="s">
        <v>96</v>
      </c>
      <c r="F1179" s="56">
        <v>7331.0</v>
      </c>
      <c r="G1179" s="56" t="s">
        <v>42</v>
      </c>
      <c r="H1179" s="56">
        <v>4835.0</v>
      </c>
      <c r="I1179" s="127">
        <v>255.28</v>
      </c>
      <c r="J1179" s="127">
        <v>159.42</v>
      </c>
      <c r="K1179" s="83">
        <f t="shared" si="1"/>
        <v>1234278.8</v>
      </c>
      <c r="L1179" s="83">
        <f t="shared" si="2"/>
        <v>770795.7</v>
      </c>
      <c r="M1179" s="83">
        <f t="shared" si="3"/>
        <v>463483.1</v>
      </c>
      <c r="N1179" s="46" t="str">
        <f>VLOOKUP(F1179,products!$A$2:$B$13,2,FALSE)</f>
        <v>Baby Food</v>
      </c>
      <c r="O1179" s="46" t="s">
        <v>96</v>
      </c>
      <c r="P1179" s="46">
        <f t="array" ref="P1179">WEEKDAY(B1179,2)</f>
        <v>3</v>
      </c>
      <c r="Q1179" s="46"/>
      <c r="R1179" s="46"/>
      <c r="S1179" s="46"/>
      <c r="T1179" s="46"/>
      <c r="U1179" s="46"/>
      <c r="V1179" s="46"/>
      <c r="W1179" s="46"/>
      <c r="X1179" s="46"/>
      <c r="Y1179" s="46"/>
      <c r="Z1179" s="46"/>
    </row>
    <row r="1180">
      <c r="A1180" s="56">
        <v>8.92042911E8</v>
      </c>
      <c r="B1180" s="126">
        <v>40646.0</v>
      </c>
      <c r="C1180" s="126">
        <v>40675.0</v>
      </c>
      <c r="D1180" s="56" t="s">
        <v>95</v>
      </c>
      <c r="E1180" s="56" t="s">
        <v>106</v>
      </c>
      <c r="F1180" s="56">
        <v>8293.0</v>
      </c>
      <c r="G1180" s="56" t="s">
        <v>42</v>
      </c>
      <c r="H1180" s="56">
        <v>4175.0</v>
      </c>
      <c r="I1180" s="127">
        <v>437.2</v>
      </c>
      <c r="J1180" s="127">
        <v>263.33</v>
      </c>
      <c r="K1180" s="83">
        <f t="shared" si="1"/>
        <v>1825310</v>
      </c>
      <c r="L1180" s="83">
        <f t="shared" si="2"/>
        <v>1099402.75</v>
      </c>
      <c r="M1180" s="83">
        <f t="shared" si="3"/>
        <v>725907.25</v>
      </c>
      <c r="N1180" s="46" t="str">
        <f>VLOOKUP(F1180,products!$A$2:$B$13,2,FALSE)</f>
        <v>Cosmetics</v>
      </c>
      <c r="O1180" s="46" t="s">
        <v>106</v>
      </c>
      <c r="P1180" s="46">
        <f t="array" ref="P1180">WEEKDAY(B1180,2)</f>
        <v>3</v>
      </c>
      <c r="Q1180" s="46"/>
      <c r="R1180" s="46"/>
      <c r="S1180" s="46"/>
      <c r="T1180" s="46"/>
      <c r="U1180" s="46"/>
      <c r="V1180" s="46"/>
      <c r="W1180" s="46"/>
      <c r="X1180" s="46"/>
      <c r="Y1180" s="46"/>
      <c r="Z1180" s="46"/>
    </row>
    <row r="1181">
      <c r="A1181" s="56">
        <v>8.94589078E8</v>
      </c>
      <c r="B1181" s="126">
        <v>41709.0</v>
      </c>
      <c r="C1181" s="126">
        <v>41739.0</v>
      </c>
      <c r="D1181" s="56" t="s">
        <v>89</v>
      </c>
      <c r="E1181" s="56" t="s">
        <v>112</v>
      </c>
      <c r="F1181" s="56">
        <v>5988.0</v>
      </c>
      <c r="G1181" s="56" t="s">
        <v>43</v>
      </c>
      <c r="H1181" s="56">
        <v>7643.0</v>
      </c>
      <c r="I1181" s="127">
        <v>154.06</v>
      </c>
      <c r="J1181" s="127">
        <v>90.93</v>
      </c>
      <c r="K1181" s="83">
        <f t="shared" si="1"/>
        <v>1177480.58</v>
      </c>
      <c r="L1181" s="83">
        <f t="shared" si="2"/>
        <v>694977.99</v>
      </c>
      <c r="M1181" s="83">
        <f t="shared" si="3"/>
        <v>482502.59</v>
      </c>
      <c r="N1181" s="46" t="str">
        <f>VLOOKUP(F1181,products!$A$2:$B$13,2,FALSE)</f>
        <v>Vegetables</v>
      </c>
      <c r="O1181" s="46" t="s">
        <v>112</v>
      </c>
      <c r="P1181" s="46">
        <f t="array" ref="P1181">WEEKDAY(B1181,2)</f>
        <v>2</v>
      </c>
      <c r="Q1181" s="46"/>
      <c r="R1181" s="46"/>
      <c r="S1181" s="46"/>
      <c r="T1181" s="46"/>
      <c r="U1181" s="46"/>
      <c r="V1181" s="46"/>
      <c r="W1181" s="46"/>
      <c r="X1181" s="46"/>
      <c r="Y1181" s="46"/>
      <c r="Z1181" s="46"/>
    </row>
    <row r="1182">
      <c r="A1182" s="56">
        <v>8.97317206E8</v>
      </c>
      <c r="B1182" s="126">
        <v>42229.0</v>
      </c>
      <c r="C1182" s="126">
        <v>42248.0</v>
      </c>
      <c r="D1182" s="56" t="s">
        <v>95</v>
      </c>
      <c r="E1182" s="56" t="s">
        <v>126</v>
      </c>
      <c r="F1182" s="56">
        <v>1270.0</v>
      </c>
      <c r="G1182" s="56" t="s">
        <v>43</v>
      </c>
      <c r="H1182" s="56">
        <v>4957.0</v>
      </c>
      <c r="I1182" s="127">
        <v>47.45</v>
      </c>
      <c r="J1182" s="127">
        <v>31.79</v>
      </c>
      <c r="K1182" s="83">
        <f t="shared" si="1"/>
        <v>235209.65</v>
      </c>
      <c r="L1182" s="83">
        <f t="shared" si="2"/>
        <v>157583.03</v>
      </c>
      <c r="M1182" s="83">
        <f t="shared" si="3"/>
        <v>77626.62</v>
      </c>
      <c r="N1182" s="46" t="str">
        <f>VLOOKUP(F1182,products!$A$2:$B$13,2,FALSE)</f>
        <v>Beverages</v>
      </c>
      <c r="O1182" s="46" t="s">
        <v>126</v>
      </c>
      <c r="P1182" s="46">
        <f t="array" ref="P1182">WEEKDAY(B1182,2)</f>
        <v>4</v>
      </c>
      <c r="Q1182" s="46"/>
      <c r="R1182" s="46"/>
      <c r="S1182" s="46"/>
      <c r="T1182" s="46"/>
      <c r="U1182" s="46"/>
      <c r="V1182" s="46"/>
      <c r="W1182" s="46"/>
      <c r="X1182" s="46"/>
      <c r="Y1182" s="46"/>
      <c r="Z1182" s="46"/>
    </row>
    <row r="1183">
      <c r="A1183" s="56">
        <v>8.97638213E8</v>
      </c>
      <c r="B1183" s="126">
        <v>41896.0</v>
      </c>
      <c r="C1183" s="126">
        <v>41920.0</v>
      </c>
      <c r="D1183" s="56" t="s">
        <v>89</v>
      </c>
      <c r="E1183" s="56" t="s">
        <v>115</v>
      </c>
      <c r="F1183" s="56">
        <v>2103.0</v>
      </c>
      <c r="G1183" s="56" t="s">
        <v>42</v>
      </c>
      <c r="H1183" s="56">
        <v>9950.0</v>
      </c>
      <c r="I1183" s="127">
        <v>205.7</v>
      </c>
      <c r="J1183" s="127">
        <v>117.11</v>
      </c>
      <c r="K1183" s="83">
        <f t="shared" si="1"/>
        <v>2046715</v>
      </c>
      <c r="L1183" s="83">
        <f t="shared" si="2"/>
        <v>1165244.5</v>
      </c>
      <c r="M1183" s="83">
        <f t="shared" si="3"/>
        <v>881470.5</v>
      </c>
      <c r="N1183" s="46" t="str">
        <f>VLOOKUP(F1183,products!$A$2:$B$13,2,FALSE)</f>
        <v>Cereal</v>
      </c>
      <c r="O1183" s="46" t="s">
        <v>115</v>
      </c>
      <c r="P1183" s="46">
        <f t="array" ref="P1183">WEEKDAY(B1183,2)</f>
        <v>7</v>
      </c>
      <c r="Q1183" s="46"/>
      <c r="R1183" s="46"/>
      <c r="S1183" s="46"/>
      <c r="T1183" s="46"/>
      <c r="U1183" s="46"/>
      <c r="V1183" s="46"/>
      <c r="W1183" s="46"/>
      <c r="X1183" s="46"/>
      <c r="Y1183" s="46"/>
      <c r="Z1183" s="46"/>
    </row>
    <row r="1184">
      <c r="A1184" s="56">
        <v>8.97785842E8</v>
      </c>
      <c r="B1184" s="126">
        <v>41402.0</v>
      </c>
      <c r="C1184" s="126">
        <v>41406.0</v>
      </c>
      <c r="D1184" s="56" t="s">
        <v>93</v>
      </c>
      <c r="E1184" s="56" t="s">
        <v>108</v>
      </c>
      <c r="F1184" s="56">
        <v>8681.0</v>
      </c>
      <c r="G1184" s="56" t="s">
        <v>42</v>
      </c>
      <c r="H1184" s="56">
        <v>3636.0</v>
      </c>
      <c r="I1184" s="127">
        <v>651.21</v>
      </c>
      <c r="J1184" s="127">
        <v>524.96</v>
      </c>
      <c r="K1184" s="83">
        <f t="shared" si="1"/>
        <v>2367799.56</v>
      </c>
      <c r="L1184" s="83">
        <f t="shared" si="2"/>
        <v>1908754.56</v>
      </c>
      <c r="M1184" s="83">
        <f t="shared" si="3"/>
        <v>459045</v>
      </c>
      <c r="N1184" s="46" t="str">
        <f>VLOOKUP(F1184,products!$A$2:$B$13,2,FALSE)</f>
        <v>Office Supplies</v>
      </c>
      <c r="O1184" s="46" t="s">
        <v>108</v>
      </c>
      <c r="P1184" s="46">
        <f t="array" ref="P1184">WEEKDAY(B1184,2)</f>
        <v>3</v>
      </c>
      <c r="Q1184" s="46"/>
      <c r="R1184" s="46"/>
      <c r="S1184" s="46"/>
      <c r="T1184" s="46"/>
      <c r="U1184" s="46"/>
      <c r="V1184" s="46"/>
      <c r="W1184" s="46"/>
      <c r="X1184" s="46"/>
      <c r="Y1184" s="46"/>
      <c r="Z1184" s="46"/>
    </row>
    <row r="1185">
      <c r="A1185" s="56">
        <v>8.98211562E8</v>
      </c>
      <c r="B1185" s="126">
        <v>41330.0</v>
      </c>
      <c r="C1185" s="126">
        <v>41345.0</v>
      </c>
      <c r="D1185" s="56" t="s">
        <v>93</v>
      </c>
      <c r="E1185" s="56" t="s">
        <v>117</v>
      </c>
      <c r="F1185" s="56">
        <v>4594.0</v>
      </c>
      <c r="G1185" s="56" t="s">
        <v>42</v>
      </c>
      <c r="H1185" s="56">
        <v>9616.0</v>
      </c>
      <c r="I1185" s="127">
        <v>9.33</v>
      </c>
      <c r="J1185" s="127">
        <v>6.92</v>
      </c>
      <c r="K1185" s="83">
        <f t="shared" si="1"/>
        <v>89717.28</v>
      </c>
      <c r="L1185" s="83">
        <f t="shared" si="2"/>
        <v>66542.72</v>
      </c>
      <c r="M1185" s="83">
        <f t="shared" si="3"/>
        <v>23174.56</v>
      </c>
      <c r="N1185" s="46" t="str">
        <f>VLOOKUP(F1185,products!$A$2:$B$13,2,FALSE)</f>
        <v>Fruits</v>
      </c>
      <c r="O1185" s="46" t="s">
        <v>117</v>
      </c>
      <c r="P1185" s="46">
        <f t="array" ref="P1185">WEEKDAY(B1185,2)</f>
        <v>1</v>
      </c>
      <c r="Q1185" s="46"/>
      <c r="R1185" s="46"/>
      <c r="S1185" s="46"/>
      <c r="T1185" s="46"/>
      <c r="U1185" s="46"/>
      <c r="V1185" s="46"/>
      <c r="W1185" s="46"/>
      <c r="X1185" s="46"/>
      <c r="Y1185" s="46"/>
      <c r="Z1185" s="46"/>
    </row>
    <row r="1186">
      <c r="A1186" s="56">
        <v>8.99868094E8</v>
      </c>
      <c r="B1186" s="126">
        <v>40970.0</v>
      </c>
      <c r="C1186" s="126">
        <v>40994.0</v>
      </c>
      <c r="D1186" s="56" t="s">
        <v>10</v>
      </c>
      <c r="E1186" s="56" t="e">
        <v>#N/A</v>
      </c>
      <c r="F1186" s="56">
        <v>4594.0</v>
      </c>
      <c r="G1186" s="56" t="s">
        <v>43</v>
      </c>
      <c r="H1186" s="56">
        <v>9821.0</v>
      </c>
      <c r="I1186" s="127">
        <v>9.33</v>
      </c>
      <c r="J1186" s="127">
        <v>6.92</v>
      </c>
      <c r="K1186" s="83">
        <f t="shared" si="1"/>
        <v>91629.93</v>
      </c>
      <c r="L1186" s="83">
        <f t="shared" si="2"/>
        <v>67961.32</v>
      </c>
      <c r="M1186" s="83">
        <f t="shared" si="3"/>
        <v>23668.61</v>
      </c>
      <c r="N1186" s="46" t="str">
        <f>VLOOKUP(F1186,products!$A$2:$B$13,2,FALSE)</f>
        <v>Fruits</v>
      </c>
      <c r="O1186" s="46" t="s">
        <v>92</v>
      </c>
      <c r="P1186" s="46">
        <f t="array" ref="P1186">WEEKDAY(B1186,2)</f>
        <v>5</v>
      </c>
      <c r="Q1186" s="46"/>
      <c r="R1186" s="46"/>
      <c r="S1186" s="46"/>
      <c r="T1186" s="46"/>
      <c r="U1186" s="46"/>
      <c r="V1186" s="46"/>
      <c r="W1186" s="46"/>
      <c r="X1186" s="46"/>
      <c r="Y1186" s="46"/>
      <c r="Z1186" s="46"/>
    </row>
    <row r="1187">
      <c r="A1187" s="56">
        <v>9.00808799E8</v>
      </c>
      <c r="B1187" s="126">
        <v>42906.0</v>
      </c>
      <c r="C1187" s="126">
        <v>42914.0</v>
      </c>
      <c r="D1187" s="56" t="s">
        <v>10</v>
      </c>
      <c r="E1187" s="56" t="s">
        <v>138</v>
      </c>
      <c r="F1187" s="56">
        <v>8293.0</v>
      </c>
      <c r="G1187" s="56" t="s">
        <v>43</v>
      </c>
      <c r="H1187" s="56">
        <v>8196.0</v>
      </c>
      <c r="I1187" s="127">
        <v>437.2</v>
      </c>
      <c r="J1187" s="127">
        <v>263.33</v>
      </c>
      <c r="K1187" s="83">
        <f t="shared" si="1"/>
        <v>3583291.2</v>
      </c>
      <c r="L1187" s="83">
        <f t="shared" si="2"/>
        <v>2158252.68</v>
      </c>
      <c r="M1187" s="83">
        <f t="shared" si="3"/>
        <v>1425038.52</v>
      </c>
      <c r="N1187" s="46" t="str">
        <f>VLOOKUP(F1187,products!$A$2:$B$13,2,FALSE)</f>
        <v>Cosmetics</v>
      </c>
      <c r="O1187" s="46" t="s">
        <v>138</v>
      </c>
      <c r="P1187" s="46">
        <f t="array" ref="P1187">WEEKDAY(B1187,2)</f>
        <v>2</v>
      </c>
      <c r="Q1187" s="46"/>
      <c r="R1187" s="46"/>
      <c r="S1187" s="46"/>
      <c r="T1187" s="46"/>
      <c r="U1187" s="46"/>
      <c r="V1187" s="46"/>
      <c r="W1187" s="46"/>
      <c r="X1187" s="46"/>
      <c r="Y1187" s="46"/>
      <c r="Z1187" s="46"/>
    </row>
    <row r="1188">
      <c r="A1188" s="56">
        <v>9.01670968E8</v>
      </c>
      <c r="B1188" s="126">
        <v>40498.0</v>
      </c>
      <c r="C1188" s="126">
        <v>40523.0</v>
      </c>
      <c r="D1188" s="56" t="s">
        <v>10</v>
      </c>
      <c r="E1188" s="56" t="s">
        <v>127</v>
      </c>
      <c r="F1188" s="56">
        <v>5988.0</v>
      </c>
      <c r="G1188" s="56" t="s">
        <v>42</v>
      </c>
      <c r="H1188" s="56">
        <v>3331.0</v>
      </c>
      <c r="I1188" s="127">
        <v>154.06</v>
      </c>
      <c r="J1188" s="127">
        <v>90.93</v>
      </c>
      <c r="K1188" s="83">
        <f t="shared" si="1"/>
        <v>513173.86</v>
      </c>
      <c r="L1188" s="83">
        <f t="shared" si="2"/>
        <v>302887.83</v>
      </c>
      <c r="M1188" s="83">
        <f t="shared" si="3"/>
        <v>210286.03</v>
      </c>
      <c r="N1188" s="46" t="str">
        <f>VLOOKUP(F1188,products!$A$2:$B$13,2,FALSE)</f>
        <v>Vegetables</v>
      </c>
      <c r="O1188" s="46" t="s">
        <v>127</v>
      </c>
      <c r="P1188" s="46">
        <f t="array" ref="P1188">WEEKDAY(B1188,2)</f>
        <v>2</v>
      </c>
      <c r="Q1188" s="46"/>
      <c r="R1188" s="46"/>
      <c r="S1188" s="46"/>
      <c r="T1188" s="46"/>
      <c r="U1188" s="46"/>
      <c r="V1188" s="46"/>
      <c r="W1188" s="46"/>
      <c r="X1188" s="46"/>
      <c r="Y1188" s="46"/>
      <c r="Z1188" s="46"/>
    </row>
    <row r="1189">
      <c r="A1189" s="56">
        <v>9.01789844E8</v>
      </c>
      <c r="B1189" s="126">
        <v>42087.0</v>
      </c>
      <c r="C1189" s="126">
        <v>42129.0</v>
      </c>
      <c r="D1189" s="56" t="s">
        <v>95</v>
      </c>
      <c r="E1189" s="56" t="s">
        <v>112</v>
      </c>
      <c r="F1189" s="56">
        <v>8875.0</v>
      </c>
      <c r="G1189" s="56" t="s">
        <v>43</v>
      </c>
      <c r="H1189" s="56">
        <v>8509.0</v>
      </c>
      <c r="I1189" s="127">
        <v>421.89</v>
      </c>
      <c r="J1189" s="127">
        <v>364.69</v>
      </c>
      <c r="K1189" s="83">
        <f t="shared" si="1"/>
        <v>3589862.01</v>
      </c>
      <c r="L1189" s="83">
        <f t="shared" si="2"/>
        <v>3103147.21</v>
      </c>
      <c r="M1189" s="83">
        <f t="shared" si="3"/>
        <v>486714.8</v>
      </c>
      <c r="N1189" s="46" t="str">
        <f>VLOOKUP(F1189,products!$A$2:$B$13,2,FALSE)</f>
        <v>Meat</v>
      </c>
      <c r="O1189" s="46" t="s">
        <v>112</v>
      </c>
      <c r="P1189" s="46">
        <f t="array" ref="P1189">WEEKDAY(B1189,2)</f>
        <v>2</v>
      </c>
      <c r="Q1189" s="46"/>
      <c r="R1189" s="46"/>
      <c r="S1189" s="46"/>
      <c r="T1189" s="46"/>
      <c r="U1189" s="46"/>
      <c r="V1189" s="46"/>
      <c r="W1189" s="46"/>
      <c r="X1189" s="46"/>
      <c r="Y1189" s="46"/>
      <c r="Z1189" s="46"/>
    </row>
    <row r="1190">
      <c r="A1190" s="56">
        <v>9.04589211E8</v>
      </c>
      <c r="B1190" s="126">
        <v>41742.0</v>
      </c>
      <c r="C1190" s="126">
        <v>41763.0</v>
      </c>
      <c r="D1190" s="56" t="s">
        <v>95</v>
      </c>
      <c r="E1190" s="56" t="s">
        <v>120</v>
      </c>
      <c r="F1190" s="56">
        <v>8681.0</v>
      </c>
      <c r="G1190" s="56" t="s">
        <v>43</v>
      </c>
      <c r="H1190" s="56">
        <v>6905.0</v>
      </c>
      <c r="I1190" s="127">
        <v>651.21</v>
      </c>
      <c r="J1190" s="127">
        <v>524.96</v>
      </c>
      <c r="K1190" s="83">
        <f t="shared" si="1"/>
        <v>4496605.05</v>
      </c>
      <c r="L1190" s="83">
        <f t="shared" si="2"/>
        <v>3624848.8</v>
      </c>
      <c r="M1190" s="83">
        <f t="shared" si="3"/>
        <v>871756.25</v>
      </c>
      <c r="N1190" s="46" t="str">
        <f>VLOOKUP(F1190,products!$A$2:$B$13,2,FALSE)</f>
        <v>Office Supplies</v>
      </c>
      <c r="O1190" s="46" t="s">
        <v>120</v>
      </c>
      <c r="P1190" s="46">
        <f t="array" ref="P1190">WEEKDAY(B1190,2)</f>
        <v>7</v>
      </c>
      <c r="Q1190" s="46"/>
      <c r="R1190" s="46"/>
      <c r="S1190" s="46"/>
      <c r="T1190" s="46"/>
      <c r="U1190" s="46"/>
      <c r="V1190" s="46"/>
      <c r="W1190" s="46"/>
      <c r="X1190" s="46"/>
      <c r="Y1190" s="46"/>
      <c r="Z1190" s="46"/>
    </row>
    <row r="1191">
      <c r="A1191" s="56">
        <v>9.048128E8</v>
      </c>
      <c r="B1191" s="126">
        <v>40825.0</v>
      </c>
      <c r="C1191" s="126">
        <v>40871.0</v>
      </c>
      <c r="D1191" s="56" t="s">
        <v>89</v>
      </c>
      <c r="E1191" s="56" t="s">
        <v>105</v>
      </c>
      <c r="F1191" s="56">
        <v>4594.0</v>
      </c>
      <c r="G1191" s="56" t="s">
        <v>42</v>
      </c>
      <c r="H1191" s="56">
        <v>3069.0</v>
      </c>
      <c r="I1191" s="127">
        <v>9.33</v>
      </c>
      <c r="J1191" s="127">
        <v>6.92</v>
      </c>
      <c r="K1191" s="83">
        <f t="shared" si="1"/>
        <v>28633.77</v>
      </c>
      <c r="L1191" s="83">
        <f t="shared" si="2"/>
        <v>21237.48</v>
      </c>
      <c r="M1191" s="83">
        <f t="shared" si="3"/>
        <v>7396.29</v>
      </c>
      <c r="N1191" s="46" t="str">
        <f>VLOOKUP(F1191,products!$A$2:$B$13,2,FALSE)</f>
        <v>Fruits</v>
      </c>
      <c r="O1191" s="46" t="s">
        <v>105</v>
      </c>
      <c r="P1191" s="46">
        <f t="array" ref="P1191">WEEKDAY(B1191,2)</f>
        <v>7</v>
      </c>
      <c r="Q1191" s="46"/>
      <c r="R1191" s="46"/>
      <c r="S1191" s="46"/>
      <c r="T1191" s="46"/>
      <c r="U1191" s="46"/>
      <c r="V1191" s="46"/>
      <c r="W1191" s="46"/>
      <c r="X1191" s="46"/>
      <c r="Y1191" s="46"/>
      <c r="Z1191" s="46"/>
    </row>
    <row r="1192">
      <c r="A1192" s="56">
        <v>9.05036389E8</v>
      </c>
      <c r="B1192" s="126">
        <v>42675.0</v>
      </c>
      <c r="C1192" s="126">
        <v>42694.0</v>
      </c>
      <c r="D1192" s="56" t="s">
        <v>93</v>
      </c>
      <c r="E1192" s="56" t="s">
        <v>106</v>
      </c>
      <c r="F1192" s="56">
        <v>2103.0</v>
      </c>
      <c r="G1192" s="56" t="s">
        <v>43</v>
      </c>
      <c r="H1192" s="56">
        <v>9234.0</v>
      </c>
      <c r="I1192" s="127">
        <v>205.7</v>
      </c>
      <c r="J1192" s="127">
        <v>117.11</v>
      </c>
      <c r="K1192" s="83">
        <f t="shared" si="1"/>
        <v>1899433.8</v>
      </c>
      <c r="L1192" s="83">
        <f t="shared" si="2"/>
        <v>1081393.74</v>
      </c>
      <c r="M1192" s="83">
        <f t="shared" si="3"/>
        <v>818040.06</v>
      </c>
      <c r="N1192" s="46" t="str">
        <f>VLOOKUP(F1192,products!$A$2:$B$13,2,FALSE)</f>
        <v>Cereal</v>
      </c>
      <c r="O1192" s="46" t="s">
        <v>106</v>
      </c>
      <c r="P1192" s="46">
        <f t="array" ref="P1192">WEEKDAY(B1192,2)</f>
        <v>2</v>
      </c>
      <c r="Q1192" s="46"/>
      <c r="R1192" s="46"/>
      <c r="S1192" s="46"/>
      <c r="T1192" s="46"/>
      <c r="U1192" s="46"/>
      <c r="V1192" s="46"/>
      <c r="W1192" s="46"/>
      <c r="X1192" s="46"/>
      <c r="Y1192" s="46"/>
      <c r="Z1192" s="46"/>
    </row>
    <row r="1193">
      <c r="A1193" s="56">
        <v>9.05509746E8</v>
      </c>
      <c r="B1193" s="126">
        <v>42290.0</v>
      </c>
      <c r="C1193" s="126">
        <v>42297.0</v>
      </c>
      <c r="D1193" s="56" t="s">
        <v>93</v>
      </c>
      <c r="E1193" s="56" t="s">
        <v>119</v>
      </c>
      <c r="F1193" s="56">
        <v>7940.0</v>
      </c>
      <c r="G1193" s="56" t="s">
        <v>42</v>
      </c>
      <c r="H1193" s="56">
        <v>9311.0</v>
      </c>
      <c r="I1193" s="127">
        <v>668.27</v>
      </c>
      <c r="J1193" s="127">
        <v>502.54</v>
      </c>
      <c r="K1193" s="83">
        <f t="shared" si="1"/>
        <v>6222261.97</v>
      </c>
      <c r="L1193" s="83">
        <f t="shared" si="2"/>
        <v>4679149.94</v>
      </c>
      <c r="M1193" s="83">
        <f t="shared" si="3"/>
        <v>1543112.03</v>
      </c>
      <c r="N1193" s="46" t="str">
        <f>VLOOKUP(F1193,products!$A$2:$B$13,2,FALSE)</f>
        <v>Household</v>
      </c>
      <c r="O1193" s="46" t="s">
        <v>119</v>
      </c>
      <c r="P1193" s="46">
        <f t="array" ref="P1193">WEEKDAY(B1193,2)</f>
        <v>2</v>
      </c>
      <c r="Q1193" s="46"/>
      <c r="R1193" s="46"/>
      <c r="S1193" s="46"/>
      <c r="T1193" s="46"/>
      <c r="U1193" s="46"/>
      <c r="V1193" s="46"/>
      <c r="W1193" s="46"/>
      <c r="X1193" s="46"/>
      <c r="Y1193" s="46"/>
      <c r="Z1193" s="46"/>
    </row>
    <row r="1194">
      <c r="A1194" s="56">
        <v>9.05947482E8</v>
      </c>
      <c r="B1194" s="126">
        <v>42338.0</v>
      </c>
      <c r="C1194" s="126">
        <v>42387.0</v>
      </c>
      <c r="D1194" s="56" t="s">
        <v>10</v>
      </c>
      <c r="E1194" s="56" t="s">
        <v>135</v>
      </c>
      <c r="F1194" s="56">
        <v>2103.0</v>
      </c>
      <c r="G1194" s="56" t="s">
        <v>43</v>
      </c>
      <c r="H1194" s="56">
        <v>8847.0</v>
      </c>
      <c r="I1194" s="127">
        <v>205.7</v>
      </c>
      <c r="J1194" s="127">
        <v>117.11</v>
      </c>
      <c r="K1194" s="83">
        <f t="shared" si="1"/>
        <v>1819827.9</v>
      </c>
      <c r="L1194" s="83">
        <f t="shared" si="2"/>
        <v>1036072.17</v>
      </c>
      <c r="M1194" s="83">
        <f t="shared" si="3"/>
        <v>783755.73</v>
      </c>
      <c r="N1194" s="46" t="str">
        <f>VLOOKUP(F1194,products!$A$2:$B$13,2,FALSE)</f>
        <v>Cereal</v>
      </c>
      <c r="O1194" s="46" t="s">
        <v>135</v>
      </c>
      <c r="P1194" s="46">
        <f t="array" ref="P1194">WEEKDAY(B1194,2)</f>
        <v>1</v>
      </c>
      <c r="Q1194" s="46"/>
      <c r="R1194" s="46"/>
      <c r="S1194" s="46"/>
      <c r="T1194" s="46"/>
      <c r="U1194" s="46"/>
      <c r="V1194" s="46"/>
      <c r="W1194" s="46"/>
      <c r="X1194" s="46"/>
      <c r="Y1194" s="46"/>
      <c r="Z1194" s="46"/>
    </row>
    <row r="1195">
      <c r="A1195" s="56">
        <v>9.06345736E8</v>
      </c>
      <c r="B1195" s="126">
        <v>41200.0</v>
      </c>
      <c r="C1195" s="126">
        <v>41234.0</v>
      </c>
      <c r="D1195" s="56" t="s">
        <v>10</v>
      </c>
      <c r="E1195" s="56" t="s">
        <v>121</v>
      </c>
      <c r="F1195" s="56">
        <v>1270.0</v>
      </c>
      <c r="G1195" s="56" t="s">
        <v>42</v>
      </c>
      <c r="H1195" s="56">
        <v>6699.0</v>
      </c>
      <c r="I1195" s="127">
        <v>47.45</v>
      </c>
      <c r="J1195" s="127">
        <v>31.79</v>
      </c>
      <c r="K1195" s="83">
        <f t="shared" si="1"/>
        <v>317867.55</v>
      </c>
      <c r="L1195" s="83">
        <f t="shared" si="2"/>
        <v>212961.21</v>
      </c>
      <c r="M1195" s="83">
        <f t="shared" si="3"/>
        <v>104906.34</v>
      </c>
      <c r="N1195" s="46" t="str">
        <f>VLOOKUP(F1195,products!$A$2:$B$13,2,FALSE)</f>
        <v>Beverages</v>
      </c>
      <c r="O1195" s="46" t="s">
        <v>121</v>
      </c>
      <c r="P1195" s="46">
        <f t="array" ref="P1195">WEEKDAY(B1195,2)</f>
        <v>4</v>
      </c>
      <c r="Q1195" s="46"/>
      <c r="R1195" s="46"/>
      <c r="S1195" s="46"/>
      <c r="T1195" s="46"/>
      <c r="U1195" s="46"/>
      <c r="V1195" s="46"/>
      <c r="W1195" s="46"/>
      <c r="X1195" s="46"/>
      <c r="Y1195" s="46"/>
      <c r="Z1195" s="46"/>
    </row>
    <row r="1196">
      <c r="A1196" s="56">
        <v>9.06508815E8</v>
      </c>
      <c r="B1196" s="126">
        <v>41652.0</v>
      </c>
      <c r="C1196" s="126">
        <v>41662.0</v>
      </c>
      <c r="D1196" s="56" t="s">
        <v>95</v>
      </c>
      <c r="E1196" s="56" t="s">
        <v>99</v>
      </c>
      <c r="F1196" s="56">
        <v>2455.0</v>
      </c>
      <c r="G1196" s="56" t="s">
        <v>43</v>
      </c>
      <c r="H1196" s="56">
        <v>4958.0</v>
      </c>
      <c r="I1196" s="127">
        <v>109.28</v>
      </c>
      <c r="J1196" s="127">
        <v>35.84</v>
      </c>
      <c r="K1196" s="83">
        <f t="shared" si="1"/>
        <v>541810.24</v>
      </c>
      <c r="L1196" s="83">
        <f t="shared" si="2"/>
        <v>177694.72</v>
      </c>
      <c r="M1196" s="83">
        <f t="shared" si="3"/>
        <v>364115.52</v>
      </c>
      <c r="N1196" s="46" t="str">
        <f>VLOOKUP(F1196,products!$A$2:$B$13,2,FALSE)</f>
        <v>Clothes</v>
      </c>
      <c r="O1196" s="46" t="s">
        <v>99</v>
      </c>
      <c r="P1196" s="46">
        <f t="array" ref="P1196">WEEKDAY(B1196,2)</f>
        <v>1</v>
      </c>
      <c r="Q1196" s="46"/>
      <c r="R1196" s="46"/>
      <c r="S1196" s="46"/>
      <c r="T1196" s="46"/>
      <c r="U1196" s="46"/>
      <c r="V1196" s="46"/>
      <c r="W1196" s="46"/>
      <c r="X1196" s="46"/>
      <c r="Y1196" s="46"/>
      <c r="Z1196" s="46"/>
    </row>
    <row r="1197">
      <c r="A1197" s="56">
        <v>9.06794202E8</v>
      </c>
      <c r="B1197" s="126">
        <v>41751.0</v>
      </c>
      <c r="C1197" s="126">
        <v>41770.0</v>
      </c>
      <c r="D1197" s="56" t="s">
        <v>93</v>
      </c>
      <c r="E1197" s="56" t="s">
        <v>130</v>
      </c>
      <c r="F1197" s="56">
        <v>2455.0</v>
      </c>
      <c r="G1197" s="56" t="s">
        <v>43</v>
      </c>
      <c r="H1197" s="56">
        <v>9410.0</v>
      </c>
      <c r="I1197" s="127">
        <v>109.28</v>
      </c>
      <c r="J1197" s="127">
        <v>35.84</v>
      </c>
      <c r="K1197" s="83">
        <f t="shared" si="1"/>
        <v>1028324.8</v>
      </c>
      <c r="L1197" s="83">
        <f t="shared" si="2"/>
        <v>337254.4</v>
      </c>
      <c r="M1197" s="83">
        <f t="shared" si="3"/>
        <v>691070.4</v>
      </c>
      <c r="N1197" s="46" t="str">
        <f>VLOOKUP(F1197,products!$A$2:$B$13,2,FALSE)</f>
        <v>Clothes</v>
      </c>
      <c r="O1197" s="46" t="s">
        <v>130</v>
      </c>
      <c r="P1197" s="46">
        <f t="array" ref="P1197">WEEKDAY(B1197,2)</f>
        <v>2</v>
      </c>
      <c r="Q1197" s="46"/>
      <c r="R1197" s="46"/>
      <c r="S1197" s="46"/>
      <c r="T1197" s="46"/>
      <c r="U1197" s="46"/>
      <c r="V1197" s="46"/>
      <c r="W1197" s="46"/>
      <c r="X1197" s="46"/>
      <c r="Y1197" s="46"/>
      <c r="Z1197" s="46"/>
    </row>
    <row r="1198">
      <c r="A1198" s="56">
        <v>9.07047402E8</v>
      </c>
      <c r="B1198" s="126">
        <v>40342.0</v>
      </c>
      <c r="C1198" s="126">
        <v>40391.0</v>
      </c>
      <c r="D1198" s="56" t="s">
        <v>89</v>
      </c>
      <c r="E1198" s="56" t="e">
        <v>#N/A</v>
      </c>
      <c r="F1198" s="56">
        <v>8875.0</v>
      </c>
      <c r="G1198" s="56" t="s">
        <v>43</v>
      </c>
      <c r="H1198" s="56">
        <v>4338.0</v>
      </c>
      <c r="I1198" s="127">
        <v>421.89</v>
      </c>
      <c r="J1198" s="127">
        <v>364.69</v>
      </c>
      <c r="K1198" s="83">
        <f t="shared" si="1"/>
        <v>1830158.82</v>
      </c>
      <c r="L1198" s="83">
        <f t="shared" si="2"/>
        <v>1582025.22</v>
      </c>
      <c r="M1198" s="83">
        <f t="shared" si="3"/>
        <v>248133.6</v>
      </c>
      <c r="N1198" s="46" t="str">
        <f>VLOOKUP(F1198,products!$A$2:$B$13,2,FALSE)</f>
        <v>Meat</v>
      </c>
      <c r="O1198" s="46" t="s">
        <v>92</v>
      </c>
      <c r="P1198" s="46">
        <f t="array" ref="P1198">WEEKDAY(B1198,2)</f>
        <v>7</v>
      </c>
      <c r="Q1198" s="46"/>
      <c r="R1198" s="46"/>
      <c r="S1198" s="46"/>
      <c r="T1198" s="46"/>
      <c r="U1198" s="46"/>
      <c r="V1198" s="46"/>
      <c r="W1198" s="46"/>
      <c r="X1198" s="46"/>
      <c r="Y1198" s="46"/>
      <c r="Z1198" s="46"/>
    </row>
    <row r="1199">
      <c r="A1199" s="56">
        <v>9.07349526E8</v>
      </c>
      <c r="B1199" s="126">
        <v>41004.0</v>
      </c>
      <c r="C1199" s="126">
        <v>41045.0</v>
      </c>
      <c r="D1199" s="56" t="s">
        <v>10</v>
      </c>
      <c r="E1199" s="56" t="s">
        <v>137</v>
      </c>
      <c r="F1199" s="56">
        <v>8293.0</v>
      </c>
      <c r="G1199" s="56" t="s">
        <v>43</v>
      </c>
      <c r="H1199" s="56">
        <v>3743.0</v>
      </c>
      <c r="I1199" s="127">
        <v>437.2</v>
      </c>
      <c r="J1199" s="127">
        <v>263.33</v>
      </c>
      <c r="K1199" s="83">
        <f t="shared" si="1"/>
        <v>1636439.6</v>
      </c>
      <c r="L1199" s="83">
        <f t="shared" si="2"/>
        <v>985644.19</v>
      </c>
      <c r="M1199" s="83">
        <f t="shared" si="3"/>
        <v>650795.41</v>
      </c>
      <c r="N1199" s="46" t="str">
        <f>VLOOKUP(F1199,products!$A$2:$B$13,2,FALSE)</f>
        <v>Cosmetics</v>
      </c>
      <c r="O1199" s="46" t="s">
        <v>137</v>
      </c>
      <c r="P1199" s="46">
        <f t="array" ref="P1199">WEEKDAY(B1199,2)</f>
        <v>4</v>
      </c>
      <c r="Q1199" s="46"/>
      <c r="R1199" s="46"/>
      <c r="S1199" s="46"/>
      <c r="T1199" s="46"/>
      <c r="U1199" s="46"/>
      <c r="V1199" s="46"/>
      <c r="W1199" s="46"/>
      <c r="X1199" s="46"/>
      <c r="Y1199" s="46"/>
      <c r="Z1199" s="46"/>
    </row>
    <row r="1200">
      <c r="A1200" s="56">
        <v>9.07691991E8</v>
      </c>
      <c r="B1200" s="126">
        <v>41676.0</v>
      </c>
      <c r="C1200" s="126">
        <v>41707.0</v>
      </c>
      <c r="D1200" s="56" t="s">
        <v>89</v>
      </c>
      <c r="E1200" s="56" t="s">
        <v>110</v>
      </c>
      <c r="F1200" s="56">
        <v>2103.0</v>
      </c>
      <c r="G1200" s="56" t="s">
        <v>42</v>
      </c>
      <c r="H1200" s="56">
        <v>5086.0</v>
      </c>
      <c r="I1200" s="127">
        <v>205.7</v>
      </c>
      <c r="J1200" s="127">
        <v>117.11</v>
      </c>
      <c r="K1200" s="83">
        <f t="shared" si="1"/>
        <v>1046190.2</v>
      </c>
      <c r="L1200" s="83">
        <f t="shared" si="2"/>
        <v>595621.46</v>
      </c>
      <c r="M1200" s="83">
        <f t="shared" si="3"/>
        <v>450568.74</v>
      </c>
      <c r="N1200" s="46" t="str">
        <f>VLOOKUP(F1200,products!$A$2:$B$13,2,FALSE)</f>
        <v>Cereal</v>
      </c>
      <c r="O1200" s="46" t="s">
        <v>110</v>
      </c>
      <c r="P1200" s="46">
        <f t="array" ref="P1200">WEEKDAY(B1200,2)</f>
        <v>4</v>
      </c>
      <c r="Q1200" s="46"/>
      <c r="R1200" s="46"/>
      <c r="S1200" s="46"/>
      <c r="T1200" s="46"/>
      <c r="U1200" s="46"/>
      <c r="V1200" s="46"/>
      <c r="W1200" s="46"/>
      <c r="X1200" s="46"/>
      <c r="Y1200" s="46"/>
      <c r="Z1200" s="46"/>
    </row>
    <row r="1201">
      <c r="A1201" s="56">
        <v>9.10610234E8</v>
      </c>
      <c r="B1201" s="126">
        <v>42919.0</v>
      </c>
      <c r="C1201" s="126">
        <v>42947.0</v>
      </c>
      <c r="D1201" s="56" t="s">
        <v>93</v>
      </c>
      <c r="E1201" s="56" t="s">
        <v>132</v>
      </c>
      <c r="F1201" s="56">
        <v>8293.0</v>
      </c>
      <c r="G1201" s="56" t="s">
        <v>43</v>
      </c>
      <c r="H1201" s="56">
        <v>8659.0</v>
      </c>
      <c r="I1201" s="127">
        <v>437.2</v>
      </c>
      <c r="J1201" s="127">
        <v>263.33</v>
      </c>
      <c r="K1201" s="83">
        <f t="shared" si="1"/>
        <v>3785714.8</v>
      </c>
      <c r="L1201" s="83">
        <f t="shared" si="2"/>
        <v>2280174.47</v>
      </c>
      <c r="M1201" s="83">
        <f t="shared" si="3"/>
        <v>1505540.33</v>
      </c>
      <c r="N1201" s="46" t="str">
        <f>VLOOKUP(F1201,products!$A$2:$B$13,2,FALSE)</f>
        <v>Cosmetics</v>
      </c>
      <c r="O1201" s="46" t="s">
        <v>132</v>
      </c>
      <c r="P1201" s="46">
        <f t="array" ref="P1201">WEEKDAY(B1201,2)</f>
        <v>1</v>
      </c>
      <c r="Q1201" s="46"/>
      <c r="R1201" s="46"/>
      <c r="S1201" s="46"/>
      <c r="T1201" s="46"/>
      <c r="U1201" s="46"/>
      <c r="V1201" s="46"/>
      <c r="W1201" s="46"/>
      <c r="X1201" s="46"/>
      <c r="Y1201" s="46"/>
      <c r="Z1201" s="46"/>
    </row>
    <row r="1202">
      <c r="A1202" s="56">
        <v>9.1088618E8</v>
      </c>
      <c r="B1202" s="126">
        <v>42134.0</v>
      </c>
      <c r="C1202" s="126">
        <v>42165.0</v>
      </c>
      <c r="D1202" s="56" t="s">
        <v>89</v>
      </c>
      <c r="E1202" s="56" t="s">
        <v>105</v>
      </c>
      <c r="F1202" s="56">
        <v>1270.0</v>
      </c>
      <c r="G1202" s="56" t="s">
        <v>43</v>
      </c>
      <c r="H1202" s="56">
        <v>317.0</v>
      </c>
      <c r="I1202" s="127">
        <v>47.45</v>
      </c>
      <c r="J1202" s="127">
        <v>31.79</v>
      </c>
      <c r="K1202" s="83">
        <f t="shared" si="1"/>
        <v>15041.65</v>
      </c>
      <c r="L1202" s="83">
        <f t="shared" si="2"/>
        <v>10077.43</v>
      </c>
      <c r="M1202" s="83">
        <f t="shared" si="3"/>
        <v>4964.22</v>
      </c>
      <c r="N1202" s="46" t="str">
        <f>VLOOKUP(F1202,products!$A$2:$B$13,2,FALSE)</f>
        <v>Beverages</v>
      </c>
      <c r="O1202" s="46" t="s">
        <v>105</v>
      </c>
      <c r="P1202" s="46">
        <f t="array" ref="P1202">WEEKDAY(B1202,2)</f>
        <v>7</v>
      </c>
      <c r="Q1202" s="46"/>
      <c r="R1202" s="46"/>
      <c r="S1202" s="46"/>
      <c r="T1202" s="46"/>
      <c r="U1202" s="46"/>
      <c r="V1202" s="46"/>
      <c r="W1202" s="46"/>
      <c r="X1202" s="46"/>
      <c r="Y1202" s="46"/>
      <c r="Z1202" s="46"/>
    </row>
    <row r="1203">
      <c r="A1203" s="56">
        <v>9.11891257E8</v>
      </c>
      <c r="B1203" s="126">
        <v>41555.0</v>
      </c>
      <c r="C1203" s="126">
        <v>41579.0</v>
      </c>
      <c r="D1203" s="56" t="s">
        <v>10</v>
      </c>
      <c r="E1203" s="56" t="s">
        <v>125</v>
      </c>
      <c r="F1203" s="56">
        <v>4594.0</v>
      </c>
      <c r="G1203" s="56" t="s">
        <v>42</v>
      </c>
      <c r="H1203" s="56">
        <v>7742.0</v>
      </c>
      <c r="I1203" s="127">
        <v>9.33</v>
      </c>
      <c r="J1203" s="127">
        <v>6.92</v>
      </c>
      <c r="K1203" s="83">
        <f t="shared" si="1"/>
        <v>72232.86</v>
      </c>
      <c r="L1203" s="83">
        <f t="shared" si="2"/>
        <v>53574.64</v>
      </c>
      <c r="M1203" s="83">
        <f t="shared" si="3"/>
        <v>18658.22</v>
      </c>
      <c r="N1203" s="46" t="str">
        <f>VLOOKUP(F1203,products!$A$2:$B$13,2,FALSE)</f>
        <v>Fruits</v>
      </c>
      <c r="O1203" s="46" t="s">
        <v>125</v>
      </c>
      <c r="P1203" s="46">
        <f t="array" ref="P1203">WEEKDAY(B1203,2)</f>
        <v>2</v>
      </c>
      <c r="Q1203" s="46"/>
      <c r="R1203" s="46"/>
      <c r="S1203" s="46"/>
      <c r="T1203" s="46"/>
      <c r="U1203" s="46"/>
      <c r="V1203" s="46"/>
      <c r="W1203" s="46"/>
      <c r="X1203" s="46"/>
      <c r="Y1203" s="46"/>
      <c r="Z1203" s="46"/>
    </row>
    <row r="1204">
      <c r="A1204" s="56">
        <v>9.13074433E8</v>
      </c>
      <c r="B1204" s="126">
        <v>41580.0</v>
      </c>
      <c r="C1204" s="126">
        <v>41625.0</v>
      </c>
      <c r="D1204" s="56" t="s">
        <v>95</v>
      </c>
      <c r="E1204" s="56" t="s">
        <v>124</v>
      </c>
      <c r="F1204" s="56">
        <v>3127.0</v>
      </c>
      <c r="G1204" s="56" t="s">
        <v>42</v>
      </c>
      <c r="H1204" s="56">
        <v>7870.0</v>
      </c>
      <c r="I1204" s="127">
        <v>81.73</v>
      </c>
      <c r="J1204" s="127">
        <v>56.67</v>
      </c>
      <c r="K1204" s="83">
        <f t="shared" si="1"/>
        <v>643215.1</v>
      </c>
      <c r="L1204" s="83">
        <f t="shared" si="2"/>
        <v>445992.9</v>
      </c>
      <c r="M1204" s="83">
        <f t="shared" si="3"/>
        <v>197222.2</v>
      </c>
      <c r="N1204" s="46" t="str">
        <f>VLOOKUP(F1204,products!$A$2:$B$13,2,FALSE)</f>
        <v>Personal Care</v>
      </c>
      <c r="O1204" s="46" t="s">
        <v>124</v>
      </c>
      <c r="P1204" s="46">
        <f t="array" ref="P1204">WEEKDAY(B1204,2)</f>
        <v>6</v>
      </c>
      <c r="Q1204" s="46"/>
      <c r="R1204" s="46"/>
      <c r="S1204" s="46"/>
      <c r="T1204" s="46"/>
      <c r="U1204" s="46"/>
      <c r="V1204" s="46"/>
      <c r="W1204" s="46"/>
      <c r="X1204" s="46"/>
      <c r="Y1204" s="46"/>
      <c r="Z1204" s="46"/>
    </row>
    <row r="1205">
      <c r="A1205" s="56">
        <v>9.13729751E8</v>
      </c>
      <c r="B1205" s="126">
        <v>40651.0</v>
      </c>
      <c r="C1205" s="126">
        <v>40672.0</v>
      </c>
      <c r="D1205" s="56" t="s">
        <v>89</v>
      </c>
      <c r="E1205" s="56" t="s">
        <v>102</v>
      </c>
      <c r="F1205" s="56">
        <v>8875.0</v>
      </c>
      <c r="G1205" s="56" t="s">
        <v>43</v>
      </c>
      <c r="H1205" s="56">
        <v>1793.0</v>
      </c>
      <c r="I1205" s="127">
        <v>421.89</v>
      </c>
      <c r="J1205" s="127">
        <v>364.69</v>
      </c>
      <c r="K1205" s="83">
        <f t="shared" si="1"/>
        <v>756448.77</v>
      </c>
      <c r="L1205" s="83">
        <f t="shared" si="2"/>
        <v>653889.17</v>
      </c>
      <c r="M1205" s="83">
        <f t="shared" si="3"/>
        <v>102559.6</v>
      </c>
      <c r="N1205" s="46" t="str">
        <f>VLOOKUP(F1205,products!$A$2:$B$13,2,FALSE)</f>
        <v>Meat</v>
      </c>
      <c r="O1205" s="46" t="s">
        <v>102</v>
      </c>
      <c r="P1205" s="46">
        <f t="array" ref="P1205">WEEKDAY(B1205,2)</f>
        <v>1</v>
      </c>
      <c r="Q1205" s="46"/>
      <c r="R1205" s="46"/>
      <c r="S1205" s="46"/>
      <c r="T1205" s="46"/>
      <c r="U1205" s="46"/>
      <c r="V1205" s="46"/>
      <c r="W1205" s="46"/>
      <c r="X1205" s="46"/>
      <c r="Y1205" s="46"/>
      <c r="Z1205" s="46"/>
    </row>
    <row r="1206">
      <c r="A1206" s="56">
        <v>9.16089236E8</v>
      </c>
      <c r="B1206" s="126">
        <v>41817.0</v>
      </c>
      <c r="C1206" s="126">
        <v>41848.0</v>
      </c>
      <c r="D1206" s="56" t="s">
        <v>10</v>
      </c>
      <c r="E1206" s="56" t="s">
        <v>109</v>
      </c>
      <c r="F1206" s="56">
        <v>8293.0</v>
      </c>
      <c r="G1206" s="56" t="s">
        <v>42</v>
      </c>
      <c r="H1206" s="56">
        <v>17.0</v>
      </c>
      <c r="I1206" s="127">
        <v>437.2</v>
      </c>
      <c r="J1206" s="127">
        <v>263.33</v>
      </c>
      <c r="K1206" s="83">
        <f t="shared" si="1"/>
        <v>7432.4</v>
      </c>
      <c r="L1206" s="83">
        <f t="shared" si="2"/>
        <v>4476.61</v>
      </c>
      <c r="M1206" s="83">
        <f t="shared" si="3"/>
        <v>2955.79</v>
      </c>
      <c r="N1206" s="46" t="str">
        <f>VLOOKUP(F1206,products!$A$2:$B$13,2,FALSE)</f>
        <v>Cosmetics</v>
      </c>
      <c r="O1206" s="46" t="s">
        <v>109</v>
      </c>
      <c r="P1206" s="46">
        <f t="array" ref="P1206">WEEKDAY(B1206,2)</f>
        <v>5</v>
      </c>
      <c r="Q1206" s="46"/>
      <c r="R1206" s="46"/>
      <c r="S1206" s="46"/>
      <c r="T1206" s="46"/>
      <c r="U1206" s="46"/>
      <c r="V1206" s="46"/>
      <c r="W1206" s="46"/>
      <c r="X1206" s="46"/>
      <c r="Y1206" s="46"/>
      <c r="Z1206" s="46"/>
    </row>
    <row r="1207">
      <c r="A1207" s="56">
        <v>9.17485272E8</v>
      </c>
      <c r="B1207" s="126">
        <v>40422.0</v>
      </c>
      <c r="C1207" s="126">
        <v>40454.0</v>
      </c>
      <c r="D1207" s="56" t="s">
        <v>93</v>
      </c>
      <c r="E1207" s="56" t="s">
        <v>124</v>
      </c>
      <c r="F1207" s="56">
        <v>7331.0</v>
      </c>
      <c r="G1207" s="56" t="s">
        <v>43</v>
      </c>
      <c r="H1207" s="56">
        <v>3136.0</v>
      </c>
      <c r="I1207" s="127">
        <v>255.28</v>
      </c>
      <c r="J1207" s="127">
        <v>159.42</v>
      </c>
      <c r="K1207" s="83">
        <f t="shared" si="1"/>
        <v>800558.08</v>
      </c>
      <c r="L1207" s="83">
        <f t="shared" si="2"/>
        <v>499941.12</v>
      </c>
      <c r="M1207" s="83">
        <f t="shared" si="3"/>
        <v>300616.96</v>
      </c>
      <c r="N1207" s="46" t="str">
        <f>VLOOKUP(F1207,products!$A$2:$B$13,2,FALSE)</f>
        <v>Baby Food</v>
      </c>
      <c r="O1207" s="46" t="s">
        <v>124</v>
      </c>
      <c r="P1207" s="46">
        <f t="array" ref="P1207">WEEKDAY(B1207,2)</f>
        <v>3</v>
      </c>
      <c r="Q1207" s="46"/>
      <c r="R1207" s="46"/>
      <c r="S1207" s="46"/>
      <c r="T1207" s="46"/>
      <c r="U1207" s="46"/>
      <c r="V1207" s="46"/>
      <c r="W1207" s="46"/>
      <c r="X1207" s="46"/>
      <c r="Y1207" s="46"/>
      <c r="Z1207" s="46"/>
    </row>
    <row r="1208">
      <c r="A1208" s="56">
        <v>9.17639768E8</v>
      </c>
      <c r="B1208" s="126">
        <v>41578.0</v>
      </c>
      <c r="C1208" s="126">
        <v>41622.0</v>
      </c>
      <c r="D1208" s="56" t="s">
        <v>93</v>
      </c>
      <c r="E1208" s="56" t="s">
        <v>91</v>
      </c>
      <c r="F1208" s="56">
        <v>5988.0</v>
      </c>
      <c r="G1208" s="56" t="s">
        <v>43</v>
      </c>
      <c r="H1208" s="56">
        <v>8854.0</v>
      </c>
      <c r="I1208" s="127">
        <v>154.06</v>
      </c>
      <c r="J1208" s="127">
        <v>90.93</v>
      </c>
      <c r="K1208" s="83">
        <f t="shared" si="1"/>
        <v>1364047.24</v>
      </c>
      <c r="L1208" s="83">
        <f t="shared" si="2"/>
        <v>805094.22</v>
      </c>
      <c r="M1208" s="83">
        <f t="shared" si="3"/>
        <v>558953.02</v>
      </c>
      <c r="N1208" s="46" t="str">
        <f>VLOOKUP(F1208,products!$A$2:$B$13,2,FALSE)</f>
        <v>Vegetables</v>
      </c>
      <c r="O1208" s="46" t="s">
        <v>91</v>
      </c>
      <c r="P1208" s="46">
        <f t="array" ref="P1208">WEEKDAY(B1208,2)</f>
        <v>4</v>
      </c>
      <c r="Q1208" s="46"/>
      <c r="R1208" s="46"/>
      <c r="S1208" s="46"/>
      <c r="T1208" s="46"/>
      <c r="U1208" s="46"/>
      <c r="V1208" s="46"/>
      <c r="W1208" s="46"/>
      <c r="X1208" s="46"/>
      <c r="Y1208" s="46"/>
      <c r="Z1208" s="46"/>
    </row>
    <row r="1209">
      <c r="A1209" s="56">
        <v>9.17792117E8</v>
      </c>
      <c r="B1209" s="126">
        <v>41527.0</v>
      </c>
      <c r="C1209" s="126">
        <v>41554.0</v>
      </c>
      <c r="D1209" s="56" t="s">
        <v>89</v>
      </c>
      <c r="E1209" s="56" t="s">
        <v>137</v>
      </c>
      <c r="F1209" s="56">
        <v>2455.0</v>
      </c>
      <c r="G1209" s="56" t="s">
        <v>43</v>
      </c>
      <c r="H1209" s="56">
        <v>3938.0</v>
      </c>
      <c r="I1209" s="127">
        <v>109.28</v>
      </c>
      <c r="J1209" s="127">
        <v>35.84</v>
      </c>
      <c r="K1209" s="83">
        <f t="shared" si="1"/>
        <v>430344.64</v>
      </c>
      <c r="L1209" s="83">
        <f t="shared" si="2"/>
        <v>141137.92</v>
      </c>
      <c r="M1209" s="83">
        <f t="shared" si="3"/>
        <v>289206.72</v>
      </c>
      <c r="N1209" s="46" t="str">
        <f>VLOOKUP(F1209,products!$A$2:$B$13,2,FALSE)</f>
        <v>Clothes</v>
      </c>
      <c r="O1209" s="46" t="s">
        <v>137</v>
      </c>
      <c r="P1209" s="46">
        <f t="array" ref="P1209">WEEKDAY(B1209,2)</f>
        <v>2</v>
      </c>
      <c r="Q1209" s="46"/>
      <c r="R1209" s="46"/>
      <c r="S1209" s="46"/>
      <c r="T1209" s="46"/>
      <c r="U1209" s="46"/>
      <c r="V1209" s="46"/>
      <c r="W1209" s="46"/>
      <c r="X1209" s="46"/>
      <c r="Y1209" s="46"/>
      <c r="Z1209" s="46"/>
    </row>
    <row r="1210">
      <c r="A1210" s="56">
        <v>9.17835032E8</v>
      </c>
      <c r="B1210" s="126">
        <v>40772.0</v>
      </c>
      <c r="C1210" s="126">
        <v>40822.0</v>
      </c>
      <c r="D1210" s="56" t="s">
        <v>10</v>
      </c>
      <c r="E1210" s="56" t="s">
        <v>118</v>
      </c>
      <c r="F1210" s="56">
        <v>5988.0</v>
      </c>
      <c r="G1210" s="56" t="s">
        <v>42</v>
      </c>
      <c r="H1210" s="56">
        <v>6637.0</v>
      </c>
      <c r="I1210" s="127">
        <v>154.06</v>
      </c>
      <c r="J1210" s="127">
        <v>90.93</v>
      </c>
      <c r="K1210" s="83">
        <f t="shared" si="1"/>
        <v>1022496.22</v>
      </c>
      <c r="L1210" s="83">
        <f t="shared" si="2"/>
        <v>603502.41</v>
      </c>
      <c r="M1210" s="83">
        <f t="shared" si="3"/>
        <v>418993.81</v>
      </c>
      <c r="N1210" s="46" t="str">
        <f>VLOOKUP(F1210,products!$A$2:$B$13,2,FALSE)</f>
        <v>Vegetables</v>
      </c>
      <c r="O1210" s="46" t="s">
        <v>118</v>
      </c>
      <c r="P1210" s="46">
        <f t="array" ref="P1210">WEEKDAY(B1210,2)</f>
        <v>3</v>
      </c>
      <c r="Q1210" s="46"/>
      <c r="R1210" s="46"/>
      <c r="S1210" s="46"/>
      <c r="T1210" s="46"/>
      <c r="U1210" s="46"/>
      <c r="V1210" s="46"/>
      <c r="W1210" s="46"/>
      <c r="X1210" s="46"/>
      <c r="Y1210" s="46"/>
      <c r="Z1210" s="46"/>
    </row>
    <row r="1211">
      <c r="A1211" s="56">
        <v>9.17874085E8</v>
      </c>
      <c r="B1211" s="126">
        <v>41164.0</v>
      </c>
      <c r="C1211" s="126">
        <v>41175.0</v>
      </c>
      <c r="D1211" s="56" t="s">
        <v>89</v>
      </c>
      <c r="E1211" s="56" t="s">
        <v>90</v>
      </c>
      <c r="F1211" s="56">
        <v>8875.0</v>
      </c>
      <c r="G1211" s="56" t="s">
        <v>42</v>
      </c>
      <c r="H1211" s="56">
        <v>8194.0</v>
      </c>
      <c r="I1211" s="127">
        <v>421.89</v>
      </c>
      <c r="J1211" s="127">
        <v>364.69</v>
      </c>
      <c r="K1211" s="83">
        <f t="shared" si="1"/>
        <v>3456966.66</v>
      </c>
      <c r="L1211" s="83">
        <f t="shared" si="2"/>
        <v>2988269.86</v>
      </c>
      <c r="M1211" s="83">
        <f t="shared" si="3"/>
        <v>468696.8</v>
      </c>
      <c r="N1211" s="46" t="str">
        <f>VLOOKUP(F1211,products!$A$2:$B$13,2,FALSE)</f>
        <v>Meat</v>
      </c>
      <c r="O1211" s="46" t="s">
        <v>90</v>
      </c>
      <c r="P1211" s="46">
        <f t="array" ref="P1211">WEEKDAY(B1211,2)</f>
        <v>3</v>
      </c>
      <c r="Q1211" s="46"/>
      <c r="R1211" s="46"/>
      <c r="S1211" s="46"/>
      <c r="T1211" s="46"/>
      <c r="U1211" s="46"/>
      <c r="V1211" s="46"/>
      <c r="W1211" s="46"/>
      <c r="X1211" s="46"/>
      <c r="Y1211" s="46"/>
      <c r="Z1211" s="46"/>
    </row>
    <row r="1212">
      <c r="A1212" s="56">
        <v>9.17904984E8</v>
      </c>
      <c r="B1212" s="126">
        <v>40289.0</v>
      </c>
      <c r="C1212" s="126">
        <v>40292.0</v>
      </c>
      <c r="D1212" s="56" t="s">
        <v>93</v>
      </c>
      <c r="E1212" s="56" t="s">
        <v>105</v>
      </c>
      <c r="F1212" s="56">
        <v>3127.0</v>
      </c>
      <c r="G1212" s="56" t="s">
        <v>43</v>
      </c>
      <c r="H1212" s="56">
        <v>7338.0</v>
      </c>
      <c r="I1212" s="127">
        <v>81.73</v>
      </c>
      <c r="J1212" s="127">
        <v>56.67</v>
      </c>
      <c r="K1212" s="83">
        <f t="shared" si="1"/>
        <v>599734.74</v>
      </c>
      <c r="L1212" s="83">
        <f t="shared" si="2"/>
        <v>415844.46</v>
      </c>
      <c r="M1212" s="83">
        <f t="shared" si="3"/>
        <v>183890.28</v>
      </c>
      <c r="N1212" s="46" t="str">
        <f>VLOOKUP(F1212,products!$A$2:$B$13,2,FALSE)</f>
        <v>Personal Care</v>
      </c>
      <c r="O1212" s="46" t="s">
        <v>105</v>
      </c>
      <c r="P1212" s="46">
        <f t="array" ref="P1212">WEEKDAY(B1212,2)</f>
        <v>3</v>
      </c>
      <c r="Q1212" s="46"/>
      <c r="R1212" s="46"/>
      <c r="S1212" s="46"/>
      <c r="T1212" s="46"/>
      <c r="U1212" s="46"/>
      <c r="V1212" s="46"/>
      <c r="W1212" s="46"/>
      <c r="X1212" s="46"/>
      <c r="Y1212" s="46"/>
      <c r="Z1212" s="46"/>
    </row>
    <row r="1213">
      <c r="A1213" s="56">
        <v>9.18364179E8</v>
      </c>
      <c r="B1213" s="126">
        <v>41343.0</v>
      </c>
      <c r="C1213" s="126">
        <v>41375.0</v>
      </c>
      <c r="D1213" s="56" t="s">
        <v>95</v>
      </c>
      <c r="E1213" s="56" t="s">
        <v>130</v>
      </c>
      <c r="F1213" s="56">
        <v>8969.0</v>
      </c>
      <c r="G1213" s="56" t="s">
        <v>42</v>
      </c>
      <c r="H1213" s="56">
        <v>3223.0</v>
      </c>
      <c r="I1213" s="127">
        <v>152.58</v>
      </c>
      <c r="J1213" s="127">
        <v>97.44</v>
      </c>
      <c r="K1213" s="83">
        <f t="shared" si="1"/>
        <v>491765.34</v>
      </c>
      <c r="L1213" s="83">
        <f t="shared" si="2"/>
        <v>314049.12</v>
      </c>
      <c r="M1213" s="83">
        <f t="shared" si="3"/>
        <v>177716.22</v>
      </c>
      <c r="N1213" s="46" t="str">
        <f>VLOOKUP(F1213,products!$A$2:$B$13,2,FALSE)</f>
        <v>Snacks</v>
      </c>
      <c r="O1213" s="46" t="s">
        <v>130</v>
      </c>
      <c r="P1213" s="46">
        <f t="array" ref="P1213">WEEKDAY(B1213,2)</f>
        <v>7</v>
      </c>
      <c r="Q1213" s="46"/>
      <c r="R1213" s="46"/>
      <c r="S1213" s="46"/>
      <c r="T1213" s="46"/>
      <c r="U1213" s="46"/>
      <c r="V1213" s="46"/>
      <c r="W1213" s="46"/>
      <c r="X1213" s="46"/>
      <c r="Y1213" s="46"/>
      <c r="Z1213" s="46"/>
    </row>
    <row r="1214">
      <c r="A1214" s="56">
        <v>9.19133651E8</v>
      </c>
      <c r="B1214" s="126">
        <v>41561.0</v>
      </c>
      <c r="C1214" s="126">
        <v>41582.0</v>
      </c>
      <c r="D1214" s="56" t="s">
        <v>89</v>
      </c>
      <c r="E1214" s="56" t="s">
        <v>133</v>
      </c>
      <c r="F1214" s="56">
        <v>2455.0</v>
      </c>
      <c r="G1214" s="56" t="s">
        <v>43</v>
      </c>
      <c r="H1214" s="56">
        <v>927.0</v>
      </c>
      <c r="I1214" s="127">
        <v>109.28</v>
      </c>
      <c r="J1214" s="127">
        <v>35.84</v>
      </c>
      <c r="K1214" s="83">
        <f t="shared" si="1"/>
        <v>101302.56</v>
      </c>
      <c r="L1214" s="83">
        <f t="shared" si="2"/>
        <v>33223.68</v>
      </c>
      <c r="M1214" s="83">
        <f t="shared" si="3"/>
        <v>68078.88</v>
      </c>
      <c r="N1214" s="46" t="str">
        <f>VLOOKUP(F1214,products!$A$2:$B$13,2,FALSE)</f>
        <v>Clothes</v>
      </c>
      <c r="O1214" s="46" t="s">
        <v>133</v>
      </c>
      <c r="P1214" s="46">
        <f t="array" ref="P1214">WEEKDAY(B1214,2)</f>
        <v>1</v>
      </c>
      <c r="Q1214" s="46"/>
      <c r="R1214" s="46"/>
      <c r="S1214" s="46"/>
      <c r="T1214" s="46"/>
      <c r="U1214" s="46"/>
      <c r="V1214" s="46"/>
      <c r="W1214" s="46"/>
      <c r="X1214" s="46"/>
      <c r="Y1214" s="46"/>
      <c r="Z1214" s="46"/>
    </row>
    <row r="1215">
      <c r="A1215" s="56">
        <v>9.19922006E8</v>
      </c>
      <c r="B1215" s="126">
        <v>40782.0</v>
      </c>
      <c r="C1215" s="126">
        <v>40804.0</v>
      </c>
      <c r="D1215" s="56" t="s">
        <v>93</v>
      </c>
      <c r="E1215" s="56" t="e">
        <v>#N/A</v>
      </c>
      <c r="F1215" s="56">
        <v>4594.0</v>
      </c>
      <c r="G1215" s="56" t="s">
        <v>43</v>
      </c>
      <c r="H1215" s="56">
        <v>4219.0</v>
      </c>
      <c r="I1215" s="127">
        <v>9.33</v>
      </c>
      <c r="J1215" s="127">
        <v>6.92</v>
      </c>
      <c r="K1215" s="83">
        <f t="shared" si="1"/>
        <v>39363.27</v>
      </c>
      <c r="L1215" s="83">
        <f t="shared" si="2"/>
        <v>29195.48</v>
      </c>
      <c r="M1215" s="83">
        <f t="shared" si="3"/>
        <v>10167.79</v>
      </c>
      <c r="N1215" s="46" t="str">
        <f>VLOOKUP(F1215,products!$A$2:$B$13,2,FALSE)</f>
        <v>Fruits</v>
      </c>
      <c r="O1215" s="46" t="s">
        <v>92</v>
      </c>
      <c r="P1215" s="46">
        <f t="array" ref="P1215">WEEKDAY(B1215,2)</f>
        <v>6</v>
      </c>
      <c r="Q1215" s="46"/>
      <c r="R1215" s="46"/>
      <c r="S1215" s="46"/>
      <c r="T1215" s="46"/>
      <c r="U1215" s="46"/>
      <c r="V1215" s="46"/>
      <c r="W1215" s="46"/>
      <c r="X1215" s="46"/>
      <c r="Y1215" s="46"/>
      <c r="Z1215" s="46"/>
    </row>
    <row r="1216">
      <c r="A1216" s="56">
        <v>9.2001127E8</v>
      </c>
      <c r="B1216" s="126">
        <v>42864.0</v>
      </c>
      <c r="C1216" s="126">
        <v>42898.0</v>
      </c>
      <c r="D1216" s="56" t="s">
        <v>89</v>
      </c>
      <c r="E1216" s="56" t="s">
        <v>114</v>
      </c>
      <c r="F1216" s="56">
        <v>8875.0</v>
      </c>
      <c r="G1216" s="56" t="s">
        <v>42</v>
      </c>
      <c r="H1216" s="56">
        <v>634.0</v>
      </c>
      <c r="I1216" s="127">
        <v>421.89</v>
      </c>
      <c r="J1216" s="127">
        <v>364.69</v>
      </c>
      <c r="K1216" s="83">
        <f t="shared" si="1"/>
        <v>267478.26</v>
      </c>
      <c r="L1216" s="83">
        <f t="shared" si="2"/>
        <v>231213.46</v>
      </c>
      <c r="M1216" s="83">
        <f t="shared" si="3"/>
        <v>36264.8</v>
      </c>
      <c r="N1216" s="46" t="str">
        <f>VLOOKUP(F1216,products!$A$2:$B$13,2,FALSE)</f>
        <v>Meat</v>
      </c>
      <c r="O1216" s="46" t="s">
        <v>114</v>
      </c>
      <c r="P1216" s="46">
        <f t="array" ref="P1216">WEEKDAY(B1216,2)</f>
        <v>2</v>
      </c>
      <c r="Q1216" s="46"/>
      <c r="R1216" s="46"/>
      <c r="S1216" s="46"/>
      <c r="T1216" s="46"/>
      <c r="U1216" s="46"/>
      <c r="V1216" s="46"/>
      <c r="W1216" s="46"/>
      <c r="X1216" s="46"/>
      <c r="Y1216" s="46"/>
      <c r="Z1216" s="46"/>
    </row>
    <row r="1217">
      <c r="A1217" s="56">
        <v>9.20688903E8</v>
      </c>
      <c r="B1217" s="126">
        <v>41764.0</v>
      </c>
      <c r="C1217" s="126">
        <v>41802.0</v>
      </c>
      <c r="D1217" s="56" t="s">
        <v>93</v>
      </c>
      <c r="E1217" s="56" t="s">
        <v>113</v>
      </c>
      <c r="F1217" s="56">
        <v>7331.0</v>
      </c>
      <c r="G1217" s="56" t="s">
        <v>42</v>
      </c>
      <c r="H1217" s="56">
        <v>1161.0</v>
      </c>
      <c r="I1217" s="127">
        <v>255.28</v>
      </c>
      <c r="J1217" s="127">
        <v>159.42</v>
      </c>
      <c r="K1217" s="83">
        <f t="shared" si="1"/>
        <v>296380.08</v>
      </c>
      <c r="L1217" s="83">
        <f t="shared" si="2"/>
        <v>185086.62</v>
      </c>
      <c r="M1217" s="83">
        <f t="shared" si="3"/>
        <v>111293.46</v>
      </c>
      <c r="N1217" s="46" t="str">
        <f>VLOOKUP(F1217,products!$A$2:$B$13,2,FALSE)</f>
        <v>Baby Food</v>
      </c>
      <c r="O1217" s="46" t="s">
        <v>113</v>
      </c>
      <c r="P1217" s="46">
        <f t="array" ref="P1217">WEEKDAY(B1217,2)</f>
        <v>1</v>
      </c>
      <c r="Q1217" s="46"/>
      <c r="R1217" s="46"/>
      <c r="S1217" s="46"/>
      <c r="T1217" s="46"/>
      <c r="U1217" s="46"/>
      <c r="V1217" s="46"/>
      <c r="W1217" s="46"/>
      <c r="X1217" s="46"/>
      <c r="Y1217" s="46"/>
      <c r="Z1217" s="46"/>
    </row>
    <row r="1218">
      <c r="A1218" s="56">
        <v>9.21133935E8</v>
      </c>
      <c r="B1218" s="126">
        <v>41491.0</v>
      </c>
      <c r="C1218" s="126">
        <v>41497.0</v>
      </c>
      <c r="D1218" s="56" t="s">
        <v>93</v>
      </c>
      <c r="E1218" s="56" t="s">
        <v>109</v>
      </c>
      <c r="F1218" s="56">
        <v>8969.0</v>
      </c>
      <c r="G1218" s="56" t="s">
        <v>43</v>
      </c>
      <c r="H1218" s="56">
        <v>2856.0</v>
      </c>
      <c r="I1218" s="127">
        <v>152.58</v>
      </c>
      <c r="J1218" s="127">
        <v>97.44</v>
      </c>
      <c r="K1218" s="83">
        <f t="shared" si="1"/>
        <v>435768.48</v>
      </c>
      <c r="L1218" s="83">
        <f t="shared" si="2"/>
        <v>278288.64</v>
      </c>
      <c r="M1218" s="83">
        <f t="shared" si="3"/>
        <v>157479.84</v>
      </c>
      <c r="N1218" s="46" t="str">
        <f>VLOOKUP(F1218,products!$A$2:$B$13,2,FALSE)</f>
        <v>Snacks</v>
      </c>
      <c r="O1218" s="46" t="s">
        <v>109</v>
      </c>
      <c r="P1218" s="46">
        <f t="array" ref="P1218">WEEKDAY(B1218,2)</f>
        <v>1</v>
      </c>
      <c r="Q1218" s="46"/>
      <c r="R1218" s="46"/>
      <c r="S1218" s="46"/>
      <c r="T1218" s="46"/>
      <c r="U1218" s="46"/>
      <c r="V1218" s="46"/>
      <c r="W1218" s="46"/>
      <c r="X1218" s="46"/>
      <c r="Y1218" s="46"/>
      <c r="Z1218" s="46"/>
    </row>
    <row r="1219">
      <c r="A1219" s="56">
        <v>9.21230065E8</v>
      </c>
      <c r="B1219" s="126">
        <v>42456.0</v>
      </c>
      <c r="C1219" s="126">
        <v>42506.0</v>
      </c>
      <c r="D1219" s="56" t="s">
        <v>89</v>
      </c>
      <c r="E1219" s="56" t="s">
        <v>115</v>
      </c>
      <c r="F1219" s="56">
        <v>7331.0</v>
      </c>
      <c r="G1219" s="56" t="s">
        <v>42</v>
      </c>
      <c r="H1219" s="56">
        <v>1303.0</v>
      </c>
      <c r="I1219" s="127">
        <v>255.28</v>
      </c>
      <c r="J1219" s="127">
        <v>159.42</v>
      </c>
      <c r="K1219" s="83">
        <f t="shared" si="1"/>
        <v>332629.84</v>
      </c>
      <c r="L1219" s="83">
        <f t="shared" si="2"/>
        <v>207724.26</v>
      </c>
      <c r="M1219" s="83">
        <f t="shared" si="3"/>
        <v>124905.58</v>
      </c>
      <c r="N1219" s="46" t="str">
        <f>VLOOKUP(F1219,products!$A$2:$B$13,2,FALSE)</f>
        <v>Baby Food</v>
      </c>
      <c r="O1219" s="46" t="s">
        <v>115</v>
      </c>
      <c r="P1219" s="46">
        <f t="array" ref="P1219">WEEKDAY(B1219,2)</f>
        <v>7</v>
      </c>
      <c r="Q1219" s="46"/>
      <c r="R1219" s="46"/>
      <c r="S1219" s="46"/>
      <c r="T1219" s="46"/>
      <c r="U1219" s="46"/>
      <c r="V1219" s="46"/>
      <c r="W1219" s="46"/>
      <c r="X1219" s="46"/>
      <c r="Y1219" s="46"/>
      <c r="Z1219" s="46"/>
    </row>
    <row r="1220">
      <c r="A1220" s="56">
        <v>9.2169398E8</v>
      </c>
      <c r="B1220" s="126">
        <v>41186.0</v>
      </c>
      <c r="C1220" s="126">
        <v>41217.0</v>
      </c>
      <c r="D1220" s="56" t="s">
        <v>89</v>
      </c>
      <c r="E1220" s="56" t="s">
        <v>138</v>
      </c>
      <c r="F1220" s="56">
        <v>5988.0</v>
      </c>
      <c r="G1220" s="56" t="s">
        <v>43</v>
      </c>
      <c r="H1220" s="56">
        <v>8586.0</v>
      </c>
      <c r="I1220" s="127">
        <v>154.06</v>
      </c>
      <c r="J1220" s="127">
        <v>90.93</v>
      </c>
      <c r="K1220" s="83">
        <f t="shared" si="1"/>
        <v>1322759.16</v>
      </c>
      <c r="L1220" s="83">
        <f t="shared" si="2"/>
        <v>780724.98</v>
      </c>
      <c r="M1220" s="83">
        <f t="shared" si="3"/>
        <v>542034.18</v>
      </c>
      <c r="N1220" s="46" t="str">
        <f>VLOOKUP(F1220,products!$A$2:$B$13,2,FALSE)</f>
        <v>Vegetables</v>
      </c>
      <c r="O1220" s="46" t="s">
        <v>138</v>
      </c>
      <c r="P1220" s="46">
        <f t="array" ref="P1220">WEEKDAY(B1220,2)</f>
        <v>4</v>
      </c>
      <c r="Q1220" s="46"/>
      <c r="R1220" s="46"/>
      <c r="S1220" s="46"/>
      <c r="T1220" s="46"/>
      <c r="U1220" s="46"/>
      <c r="V1220" s="46"/>
      <c r="W1220" s="46"/>
      <c r="X1220" s="46"/>
      <c r="Y1220" s="46"/>
      <c r="Z1220" s="46"/>
    </row>
    <row r="1221">
      <c r="A1221" s="56">
        <v>9.2236346E8</v>
      </c>
      <c r="B1221" s="126">
        <v>41585.0</v>
      </c>
      <c r="C1221" s="126">
        <v>41601.0</v>
      </c>
      <c r="D1221" s="56" t="s">
        <v>95</v>
      </c>
      <c r="E1221" s="56" t="s">
        <v>107</v>
      </c>
      <c r="F1221" s="56">
        <v>2455.0</v>
      </c>
      <c r="G1221" s="56" t="s">
        <v>43</v>
      </c>
      <c r="H1221" s="56">
        <v>6700.0</v>
      </c>
      <c r="I1221" s="127">
        <v>109.28</v>
      </c>
      <c r="J1221" s="127">
        <v>35.84</v>
      </c>
      <c r="K1221" s="83">
        <f t="shared" si="1"/>
        <v>732176</v>
      </c>
      <c r="L1221" s="83">
        <f t="shared" si="2"/>
        <v>240128</v>
      </c>
      <c r="M1221" s="83">
        <f t="shared" si="3"/>
        <v>492048</v>
      </c>
      <c r="N1221" s="46" t="str">
        <f>VLOOKUP(F1221,products!$A$2:$B$13,2,FALSE)</f>
        <v>Clothes</v>
      </c>
      <c r="O1221" s="46" t="s">
        <v>107</v>
      </c>
      <c r="P1221" s="46">
        <f t="array" ref="P1221">WEEKDAY(B1221,2)</f>
        <v>4</v>
      </c>
      <c r="Q1221" s="46"/>
      <c r="R1221" s="46"/>
      <c r="S1221" s="46"/>
      <c r="T1221" s="46"/>
      <c r="U1221" s="46"/>
      <c r="V1221" s="46"/>
      <c r="W1221" s="46"/>
      <c r="X1221" s="46"/>
      <c r="Y1221" s="46"/>
      <c r="Z1221" s="46"/>
    </row>
    <row r="1222">
      <c r="A1222" s="56">
        <v>9.22564303E8</v>
      </c>
      <c r="B1222" s="126">
        <v>42811.0</v>
      </c>
      <c r="C1222" s="126">
        <v>42827.0</v>
      </c>
      <c r="D1222" s="56" t="s">
        <v>93</v>
      </c>
      <c r="E1222" s="56" t="e">
        <v>#N/A</v>
      </c>
      <c r="F1222" s="56">
        <v>7940.0</v>
      </c>
      <c r="G1222" s="56" t="s">
        <v>42</v>
      </c>
      <c r="H1222" s="56">
        <v>6134.0</v>
      </c>
      <c r="I1222" s="127">
        <v>668.27</v>
      </c>
      <c r="J1222" s="127">
        <v>502.54</v>
      </c>
      <c r="K1222" s="83">
        <f t="shared" si="1"/>
        <v>4099168.18</v>
      </c>
      <c r="L1222" s="83">
        <f t="shared" si="2"/>
        <v>3082580.36</v>
      </c>
      <c r="M1222" s="83">
        <f t="shared" si="3"/>
        <v>1016587.82</v>
      </c>
      <c r="N1222" s="46" t="str">
        <f>VLOOKUP(F1222,products!$A$2:$B$13,2,FALSE)</f>
        <v>Household</v>
      </c>
      <c r="O1222" s="46" t="s">
        <v>92</v>
      </c>
      <c r="P1222" s="46">
        <f t="array" ref="P1222">WEEKDAY(B1222,2)</f>
        <v>5</v>
      </c>
      <c r="Q1222" s="46"/>
      <c r="R1222" s="46"/>
      <c r="S1222" s="46"/>
      <c r="T1222" s="46"/>
      <c r="U1222" s="46"/>
      <c r="V1222" s="46"/>
      <c r="W1222" s="46"/>
      <c r="X1222" s="46"/>
      <c r="Y1222" s="46"/>
      <c r="Z1222" s="46"/>
    </row>
    <row r="1223">
      <c r="A1223" s="56">
        <v>9.23160398E8</v>
      </c>
      <c r="B1223" s="126">
        <v>42869.0</v>
      </c>
      <c r="C1223" s="126">
        <v>42901.0</v>
      </c>
      <c r="D1223" s="56" t="s">
        <v>93</v>
      </c>
      <c r="E1223" s="56" t="s">
        <v>128</v>
      </c>
      <c r="F1223" s="56">
        <v>2455.0</v>
      </c>
      <c r="G1223" s="56" t="s">
        <v>42</v>
      </c>
      <c r="H1223" s="56">
        <v>2531.0</v>
      </c>
      <c r="I1223" s="127">
        <v>109.28</v>
      </c>
      <c r="J1223" s="127">
        <v>35.84</v>
      </c>
      <c r="K1223" s="83">
        <f t="shared" si="1"/>
        <v>276587.68</v>
      </c>
      <c r="L1223" s="83">
        <f t="shared" si="2"/>
        <v>90711.04</v>
      </c>
      <c r="M1223" s="83">
        <f t="shared" si="3"/>
        <v>185876.64</v>
      </c>
      <c r="N1223" s="46" t="str">
        <f>VLOOKUP(F1223,products!$A$2:$B$13,2,FALSE)</f>
        <v>Clothes</v>
      </c>
      <c r="O1223" s="46" t="s">
        <v>128</v>
      </c>
      <c r="P1223" s="46">
        <f t="array" ref="P1223">WEEKDAY(B1223,2)</f>
        <v>7</v>
      </c>
      <c r="Q1223" s="46"/>
      <c r="R1223" s="46"/>
      <c r="S1223" s="46"/>
      <c r="T1223" s="46"/>
      <c r="U1223" s="46"/>
      <c r="V1223" s="46"/>
      <c r="W1223" s="46"/>
      <c r="X1223" s="46"/>
      <c r="Y1223" s="46"/>
      <c r="Z1223" s="46"/>
    </row>
    <row r="1224">
      <c r="A1224" s="56">
        <v>9.23922574E8</v>
      </c>
      <c r="B1224" s="126">
        <v>40642.0</v>
      </c>
      <c r="C1224" s="126">
        <v>40686.0</v>
      </c>
      <c r="D1224" s="56" t="s">
        <v>89</v>
      </c>
      <c r="E1224" s="56" t="s">
        <v>127</v>
      </c>
      <c r="F1224" s="56">
        <v>5988.0</v>
      </c>
      <c r="G1224" s="56" t="s">
        <v>42</v>
      </c>
      <c r="H1224" s="56">
        <v>8076.0</v>
      </c>
      <c r="I1224" s="127">
        <v>154.06</v>
      </c>
      <c r="J1224" s="127">
        <v>90.93</v>
      </c>
      <c r="K1224" s="83">
        <f t="shared" si="1"/>
        <v>1244188.56</v>
      </c>
      <c r="L1224" s="83">
        <f t="shared" si="2"/>
        <v>734350.68</v>
      </c>
      <c r="M1224" s="83">
        <f t="shared" si="3"/>
        <v>509837.88</v>
      </c>
      <c r="N1224" s="46" t="str">
        <f>VLOOKUP(F1224,products!$A$2:$B$13,2,FALSE)</f>
        <v>Vegetables</v>
      </c>
      <c r="O1224" s="46" t="s">
        <v>127</v>
      </c>
      <c r="P1224" s="46">
        <f t="array" ref="P1224">WEEKDAY(B1224,2)</f>
        <v>6</v>
      </c>
      <c r="Q1224" s="46"/>
      <c r="R1224" s="46"/>
      <c r="S1224" s="46"/>
      <c r="T1224" s="46"/>
      <c r="U1224" s="46"/>
      <c r="V1224" s="46"/>
      <c r="W1224" s="46"/>
      <c r="X1224" s="46"/>
      <c r="Y1224" s="46"/>
      <c r="Z1224" s="46"/>
    </row>
    <row r="1225">
      <c r="A1225" s="56">
        <v>9.26064479E8</v>
      </c>
      <c r="B1225" s="126">
        <v>42784.0</v>
      </c>
      <c r="C1225" s="126">
        <v>42804.0</v>
      </c>
      <c r="D1225" s="56" t="s">
        <v>93</v>
      </c>
      <c r="E1225" s="56" t="s">
        <v>118</v>
      </c>
      <c r="F1225" s="56">
        <v>8681.0</v>
      </c>
      <c r="G1225" s="56" t="s">
        <v>43</v>
      </c>
      <c r="H1225" s="56">
        <v>1913.0</v>
      </c>
      <c r="I1225" s="127">
        <v>651.21</v>
      </c>
      <c r="J1225" s="127">
        <v>524.96</v>
      </c>
      <c r="K1225" s="83">
        <f t="shared" si="1"/>
        <v>1245764.73</v>
      </c>
      <c r="L1225" s="83">
        <f t="shared" si="2"/>
        <v>1004248.48</v>
      </c>
      <c r="M1225" s="83">
        <f t="shared" si="3"/>
        <v>241516.25</v>
      </c>
      <c r="N1225" s="46" t="str">
        <f>VLOOKUP(F1225,products!$A$2:$B$13,2,FALSE)</f>
        <v>Office Supplies</v>
      </c>
      <c r="O1225" s="46" t="s">
        <v>118</v>
      </c>
      <c r="P1225" s="46">
        <f t="array" ref="P1225">WEEKDAY(B1225,2)</f>
        <v>6</v>
      </c>
      <c r="Q1225" s="46"/>
      <c r="R1225" s="46"/>
      <c r="S1225" s="46"/>
      <c r="T1225" s="46"/>
      <c r="U1225" s="46"/>
      <c r="V1225" s="46"/>
      <c r="W1225" s="46"/>
      <c r="X1225" s="46"/>
      <c r="Y1225" s="46"/>
      <c r="Z1225" s="46"/>
    </row>
    <row r="1226">
      <c r="A1226" s="56">
        <v>9.26280772E8</v>
      </c>
      <c r="B1226" s="126">
        <v>42190.0</v>
      </c>
      <c r="C1226" s="126">
        <v>42206.0</v>
      </c>
      <c r="D1226" s="56" t="s">
        <v>95</v>
      </c>
      <c r="E1226" s="56" t="s">
        <v>110</v>
      </c>
      <c r="F1226" s="56">
        <v>1270.0</v>
      </c>
      <c r="G1226" s="56" t="s">
        <v>42</v>
      </c>
      <c r="H1226" s="56">
        <v>5919.0</v>
      </c>
      <c r="I1226" s="127">
        <v>47.45</v>
      </c>
      <c r="J1226" s="127">
        <v>31.79</v>
      </c>
      <c r="K1226" s="83">
        <f t="shared" si="1"/>
        <v>280856.55</v>
      </c>
      <c r="L1226" s="83">
        <f t="shared" si="2"/>
        <v>188165.01</v>
      </c>
      <c r="M1226" s="83">
        <f t="shared" si="3"/>
        <v>92691.54</v>
      </c>
      <c r="N1226" s="46" t="str">
        <f>VLOOKUP(F1226,products!$A$2:$B$13,2,FALSE)</f>
        <v>Beverages</v>
      </c>
      <c r="O1226" s="46" t="s">
        <v>110</v>
      </c>
      <c r="P1226" s="46">
        <f t="array" ref="P1226">WEEKDAY(B1226,2)</f>
        <v>7</v>
      </c>
      <c r="Q1226" s="46"/>
      <c r="R1226" s="46"/>
      <c r="S1226" s="46"/>
      <c r="T1226" s="46"/>
      <c r="U1226" s="46"/>
      <c r="V1226" s="46"/>
      <c r="W1226" s="46"/>
      <c r="X1226" s="46"/>
      <c r="Y1226" s="46"/>
      <c r="Z1226" s="46"/>
    </row>
    <row r="1227">
      <c r="A1227" s="56">
        <v>9.2676357E8</v>
      </c>
      <c r="B1227" s="126">
        <v>42690.0</v>
      </c>
      <c r="C1227" s="126">
        <v>42699.0</v>
      </c>
      <c r="D1227" s="56" t="s">
        <v>95</v>
      </c>
      <c r="E1227" s="56" t="s">
        <v>136</v>
      </c>
      <c r="F1227" s="56">
        <v>2455.0</v>
      </c>
      <c r="G1227" s="56" t="s">
        <v>42</v>
      </c>
      <c r="H1227" s="56">
        <v>8790.0</v>
      </c>
      <c r="I1227" s="127">
        <v>109.28</v>
      </c>
      <c r="J1227" s="127">
        <v>35.84</v>
      </c>
      <c r="K1227" s="83">
        <f t="shared" si="1"/>
        <v>960571.2</v>
      </c>
      <c r="L1227" s="83">
        <f t="shared" si="2"/>
        <v>315033.6</v>
      </c>
      <c r="M1227" s="83">
        <f t="shared" si="3"/>
        <v>645537.6</v>
      </c>
      <c r="N1227" s="46" t="str">
        <f>VLOOKUP(F1227,products!$A$2:$B$13,2,FALSE)</f>
        <v>Clothes</v>
      </c>
      <c r="O1227" s="46" t="s">
        <v>136</v>
      </c>
      <c r="P1227" s="46">
        <f t="array" ref="P1227">WEEKDAY(B1227,2)</f>
        <v>3</v>
      </c>
      <c r="Q1227" s="46"/>
      <c r="R1227" s="46"/>
      <c r="S1227" s="46"/>
      <c r="T1227" s="46"/>
      <c r="U1227" s="46"/>
      <c r="V1227" s="46"/>
      <c r="W1227" s="46"/>
      <c r="X1227" s="46"/>
      <c r="Y1227" s="46"/>
      <c r="Z1227" s="46"/>
    </row>
    <row r="1228">
      <c r="A1228" s="56">
        <v>9.26826655E8</v>
      </c>
      <c r="B1228" s="126">
        <v>40558.0</v>
      </c>
      <c r="C1228" s="126">
        <v>40590.0</v>
      </c>
      <c r="D1228" s="56" t="s">
        <v>95</v>
      </c>
      <c r="E1228" s="56" t="s">
        <v>126</v>
      </c>
      <c r="F1228" s="56">
        <v>7331.0</v>
      </c>
      <c r="G1228" s="56" t="s">
        <v>43</v>
      </c>
      <c r="H1228" s="56">
        <v>7458.0</v>
      </c>
      <c r="I1228" s="127">
        <v>255.28</v>
      </c>
      <c r="J1228" s="127">
        <v>159.42</v>
      </c>
      <c r="K1228" s="83">
        <f t="shared" si="1"/>
        <v>1903878.24</v>
      </c>
      <c r="L1228" s="83">
        <f t="shared" si="2"/>
        <v>1188954.36</v>
      </c>
      <c r="M1228" s="83">
        <f t="shared" si="3"/>
        <v>714923.88</v>
      </c>
      <c r="N1228" s="46" t="str">
        <f>VLOOKUP(F1228,products!$A$2:$B$13,2,FALSE)</f>
        <v>Baby Food</v>
      </c>
      <c r="O1228" s="46" t="s">
        <v>126</v>
      </c>
      <c r="P1228" s="46">
        <f t="array" ref="P1228">WEEKDAY(B1228,2)</f>
        <v>6</v>
      </c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</row>
    <row r="1229">
      <c r="A1229" s="56">
        <v>9.27351081E8</v>
      </c>
      <c r="B1229" s="126">
        <v>40686.0</v>
      </c>
      <c r="C1229" s="126">
        <v>40696.0</v>
      </c>
      <c r="D1229" s="56" t="s">
        <v>95</v>
      </c>
      <c r="E1229" s="56" t="s">
        <v>129</v>
      </c>
      <c r="F1229" s="56">
        <v>5988.0</v>
      </c>
      <c r="G1229" s="56" t="s">
        <v>42</v>
      </c>
      <c r="H1229" s="56">
        <v>2647.0</v>
      </c>
      <c r="I1229" s="127">
        <v>154.06</v>
      </c>
      <c r="J1229" s="127">
        <v>90.93</v>
      </c>
      <c r="K1229" s="83">
        <f t="shared" si="1"/>
        <v>407796.82</v>
      </c>
      <c r="L1229" s="83">
        <f t="shared" si="2"/>
        <v>240691.71</v>
      </c>
      <c r="M1229" s="83">
        <f t="shared" si="3"/>
        <v>167105.11</v>
      </c>
      <c r="N1229" s="46" t="str">
        <f>VLOOKUP(F1229,products!$A$2:$B$13,2,FALSE)</f>
        <v>Vegetables</v>
      </c>
      <c r="O1229" s="46" t="s">
        <v>129</v>
      </c>
      <c r="P1229" s="46">
        <f t="array" ref="P1229">WEEKDAY(B1229,2)</f>
        <v>1</v>
      </c>
      <c r="Q1229" s="46"/>
      <c r="R1229" s="46"/>
      <c r="S1229" s="46"/>
      <c r="T1229" s="46"/>
      <c r="U1229" s="46"/>
      <c r="V1229" s="46"/>
      <c r="W1229" s="46"/>
      <c r="X1229" s="46"/>
      <c r="Y1229" s="46"/>
      <c r="Z1229" s="46"/>
    </row>
    <row r="1230">
      <c r="A1230" s="56">
        <v>9.28168189E8</v>
      </c>
      <c r="B1230" s="126">
        <v>40591.0</v>
      </c>
      <c r="C1230" s="126">
        <v>40617.0</v>
      </c>
      <c r="D1230" s="56" t="s">
        <v>95</v>
      </c>
      <c r="E1230" s="56" t="s">
        <v>125</v>
      </c>
      <c r="F1230" s="56">
        <v>2103.0</v>
      </c>
      <c r="G1230" s="56" t="s">
        <v>42</v>
      </c>
      <c r="H1230" s="56">
        <v>4448.0</v>
      </c>
      <c r="I1230" s="127">
        <v>205.7</v>
      </c>
      <c r="J1230" s="127">
        <v>117.11</v>
      </c>
      <c r="K1230" s="83">
        <f t="shared" si="1"/>
        <v>914953.6</v>
      </c>
      <c r="L1230" s="83">
        <f t="shared" si="2"/>
        <v>520905.28</v>
      </c>
      <c r="M1230" s="83">
        <f t="shared" si="3"/>
        <v>394048.32</v>
      </c>
      <c r="N1230" s="46" t="str">
        <f>VLOOKUP(F1230,products!$A$2:$B$13,2,FALSE)</f>
        <v>Cereal</v>
      </c>
      <c r="O1230" s="46" t="s">
        <v>125</v>
      </c>
      <c r="P1230" s="46">
        <f t="array" ref="P1230">WEEKDAY(B1230,2)</f>
        <v>4</v>
      </c>
      <c r="Q1230" s="46"/>
      <c r="R1230" s="46"/>
      <c r="S1230" s="46"/>
      <c r="T1230" s="46"/>
      <c r="U1230" s="46"/>
      <c r="V1230" s="46"/>
      <c r="W1230" s="46"/>
      <c r="X1230" s="46"/>
      <c r="Y1230" s="46"/>
      <c r="Z1230" s="46"/>
    </row>
    <row r="1231">
      <c r="A1231" s="56">
        <v>9.29812705E8</v>
      </c>
      <c r="B1231" s="126">
        <v>42877.0</v>
      </c>
      <c r="C1231" s="126">
        <v>42880.0</v>
      </c>
      <c r="D1231" s="56" t="s">
        <v>95</v>
      </c>
      <c r="E1231" s="56" t="s">
        <v>105</v>
      </c>
      <c r="F1231" s="56">
        <v>8875.0</v>
      </c>
      <c r="G1231" s="56" t="s">
        <v>43</v>
      </c>
      <c r="H1231" s="56">
        <v>1097.0</v>
      </c>
      <c r="I1231" s="127">
        <v>421.89</v>
      </c>
      <c r="J1231" s="127">
        <v>364.69</v>
      </c>
      <c r="K1231" s="83">
        <f t="shared" si="1"/>
        <v>462813.33</v>
      </c>
      <c r="L1231" s="83">
        <f t="shared" si="2"/>
        <v>400064.93</v>
      </c>
      <c r="M1231" s="83">
        <f t="shared" si="3"/>
        <v>62748.4</v>
      </c>
      <c r="N1231" s="46" t="str">
        <f>VLOOKUP(F1231,products!$A$2:$B$13,2,FALSE)</f>
        <v>Meat</v>
      </c>
      <c r="O1231" s="46" t="s">
        <v>105</v>
      </c>
      <c r="P1231" s="46">
        <f t="array" ref="P1231">WEEKDAY(B1231,2)</f>
        <v>1</v>
      </c>
      <c r="Q1231" s="46"/>
      <c r="R1231" s="46"/>
      <c r="S1231" s="46"/>
      <c r="T1231" s="46"/>
      <c r="U1231" s="46"/>
      <c r="V1231" s="46"/>
      <c r="W1231" s="46"/>
      <c r="X1231" s="46"/>
      <c r="Y1231" s="46"/>
      <c r="Z1231" s="46"/>
    </row>
    <row r="1232">
      <c r="A1232" s="56">
        <v>9.30136287E8</v>
      </c>
      <c r="B1232" s="126">
        <v>41779.0</v>
      </c>
      <c r="C1232" s="126">
        <v>41811.0</v>
      </c>
      <c r="D1232" s="56" t="s">
        <v>93</v>
      </c>
      <c r="E1232" s="56" t="s">
        <v>123</v>
      </c>
      <c r="F1232" s="56">
        <v>1270.0</v>
      </c>
      <c r="G1232" s="56" t="s">
        <v>43</v>
      </c>
      <c r="H1232" s="56">
        <v>6852.0</v>
      </c>
      <c r="I1232" s="127">
        <v>47.45</v>
      </c>
      <c r="J1232" s="127">
        <v>31.79</v>
      </c>
      <c r="K1232" s="83">
        <f t="shared" si="1"/>
        <v>325127.4</v>
      </c>
      <c r="L1232" s="83">
        <f t="shared" si="2"/>
        <v>217825.08</v>
      </c>
      <c r="M1232" s="83">
        <f t="shared" si="3"/>
        <v>107302.32</v>
      </c>
      <c r="N1232" s="46" t="str">
        <f>VLOOKUP(F1232,products!$A$2:$B$13,2,FALSE)</f>
        <v>Beverages</v>
      </c>
      <c r="O1232" s="46" t="s">
        <v>123</v>
      </c>
      <c r="P1232" s="46">
        <f t="array" ref="P1232">WEEKDAY(B1232,2)</f>
        <v>2</v>
      </c>
      <c r="Q1232" s="46"/>
      <c r="R1232" s="46"/>
      <c r="S1232" s="46"/>
      <c r="T1232" s="46"/>
      <c r="U1232" s="46"/>
      <c r="V1232" s="46"/>
      <c r="W1232" s="46"/>
      <c r="X1232" s="46"/>
      <c r="Y1232" s="46"/>
      <c r="Z1232" s="46"/>
    </row>
    <row r="1233">
      <c r="A1233" s="56">
        <v>9.3029679E8</v>
      </c>
      <c r="B1233" s="126">
        <v>40229.0</v>
      </c>
      <c r="C1233" s="126">
        <v>40263.0</v>
      </c>
      <c r="D1233" s="56" t="s">
        <v>10</v>
      </c>
      <c r="E1233" s="56" t="s">
        <v>110</v>
      </c>
      <c r="F1233" s="56">
        <v>8875.0</v>
      </c>
      <c r="G1233" s="56" t="s">
        <v>42</v>
      </c>
      <c r="H1233" s="56">
        <v>4348.0</v>
      </c>
      <c r="I1233" s="127">
        <v>421.89</v>
      </c>
      <c r="J1233" s="127">
        <v>364.69</v>
      </c>
      <c r="K1233" s="83">
        <f t="shared" si="1"/>
        <v>1834377.72</v>
      </c>
      <c r="L1233" s="83">
        <f t="shared" si="2"/>
        <v>1585672.12</v>
      </c>
      <c r="M1233" s="83">
        <f t="shared" si="3"/>
        <v>248705.6</v>
      </c>
      <c r="N1233" s="46" t="str">
        <f>VLOOKUP(F1233,products!$A$2:$B$13,2,FALSE)</f>
        <v>Meat</v>
      </c>
      <c r="O1233" s="46" t="s">
        <v>110</v>
      </c>
      <c r="P1233" s="46">
        <f t="array" ref="P1233">WEEKDAY(B1233,2)</f>
        <v>6</v>
      </c>
      <c r="Q1233" s="46"/>
      <c r="R1233" s="46"/>
      <c r="S1233" s="46"/>
      <c r="T1233" s="46"/>
      <c r="U1233" s="46"/>
      <c r="V1233" s="46"/>
      <c r="W1233" s="46"/>
      <c r="X1233" s="46"/>
      <c r="Y1233" s="46"/>
      <c r="Z1233" s="46"/>
    </row>
    <row r="1234">
      <c r="A1234" s="56">
        <v>9.30457293E8</v>
      </c>
      <c r="B1234" s="126">
        <v>41445.0</v>
      </c>
      <c r="C1234" s="126">
        <v>41481.0</v>
      </c>
      <c r="D1234" s="56" t="s">
        <v>95</v>
      </c>
      <c r="E1234" s="56" t="s">
        <v>94</v>
      </c>
      <c r="F1234" s="56">
        <v>2103.0</v>
      </c>
      <c r="G1234" s="56" t="s">
        <v>42</v>
      </c>
      <c r="H1234" s="56">
        <v>1845.0</v>
      </c>
      <c r="I1234" s="127">
        <v>205.7</v>
      </c>
      <c r="J1234" s="127">
        <v>117.11</v>
      </c>
      <c r="K1234" s="83">
        <f t="shared" si="1"/>
        <v>379516.5</v>
      </c>
      <c r="L1234" s="83">
        <f t="shared" si="2"/>
        <v>216067.95</v>
      </c>
      <c r="M1234" s="83">
        <f t="shared" si="3"/>
        <v>163448.55</v>
      </c>
      <c r="N1234" s="46" t="str">
        <f>VLOOKUP(F1234,products!$A$2:$B$13,2,FALSE)</f>
        <v>Cereal</v>
      </c>
      <c r="O1234" s="46" t="s">
        <v>94</v>
      </c>
      <c r="P1234" s="46">
        <f t="array" ref="P1234">WEEKDAY(B1234,2)</f>
        <v>4</v>
      </c>
      <c r="Q1234" s="46"/>
      <c r="R1234" s="46"/>
      <c r="S1234" s="46"/>
      <c r="T1234" s="46"/>
      <c r="U1234" s="46"/>
      <c r="V1234" s="46"/>
      <c r="W1234" s="46"/>
      <c r="X1234" s="46"/>
      <c r="Y1234" s="46"/>
      <c r="Z1234" s="46"/>
    </row>
    <row r="1235">
      <c r="A1235" s="56">
        <v>9.30670154E8</v>
      </c>
      <c r="B1235" s="126">
        <v>42792.0</v>
      </c>
      <c r="C1235" s="126">
        <v>42809.0</v>
      </c>
      <c r="D1235" s="56" t="s">
        <v>93</v>
      </c>
      <c r="E1235" s="56" t="s">
        <v>90</v>
      </c>
      <c r="F1235" s="56">
        <v>8875.0</v>
      </c>
      <c r="G1235" s="56" t="s">
        <v>43</v>
      </c>
      <c r="H1235" s="56">
        <v>4835.0</v>
      </c>
      <c r="I1235" s="127">
        <v>421.89</v>
      </c>
      <c r="J1235" s="127">
        <v>364.69</v>
      </c>
      <c r="K1235" s="83">
        <f t="shared" si="1"/>
        <v>2039838.15</v>
      </c>
      <c r="L1235" s="83">
        <f t="shared" si="2"/>
        <v>1763276.15</v>
      </c>
      <c r="M1235" s="83">
        <f t="shared" si="3"/>
        <v>276562</v>
      </c>
      <c r="N1235" s="46" t="str">
        <f>VLOOKUP(F1235,products!$A$2:$B$13,2,FALSE)</f>
        <v>Meat</v>
      </c>
      <c r="O1235" s="46" t="s">
        <v>90</v>
      </c>
      <c r="P1235" s="46">
        <f t="array" ref="P1235">WEEKDAY(B1235,2)</f>
        <v>7</v>
      </c>
      <c r="Q1235" s="46"/>
      <c r="R1235" s="46"/>
      <c r="S1235" s="46"/>
      <c r="T1235" s="46"/>
      <c r="U1235" s="46"/>
      <c r="V1235" s="46"/>
      <c r="W1235" s="46"/>
      <c r="X1235" s="46"/>
      <c r="Y1235" s="46"/>
      <c r="Z1235" s="46"/>
    </row>
    <row r="1236">
      <c r="A1236" s="56">
        <v>9.3147782E8</v>
      </c>
      <c r="B1236" s="126">
        <v>41813.0</v>
      </c>
      <c r="C1236" s="126">
        <v>41839.0</v>
      </c>
      <c r="D1236" s="56" t="s">
        <v>93</v>
      </c>
      <c r="E1236" s="56" t="s">
        <v>109</v>
      </c>
      <c r="F1236" s="56">
        <v>1270.0</v>
      </c>
      <c r="G1236" s="56" t="s">
        <v>43</v>
      </c>
      <c r="H1236" s="56">
        <v>3841.0</v>
      </c>
      <c r="I1236" s="127">
        <v>47.45</v>
      </c>
      <c r="J1236" s="127">
        <v>31.79</v>
      </c>
      <c r="K1236" s="83">
        <f t="shared" si="1"/>
        <v>182255.45</v>
      </c>
      <c r="L1236" s="83">
        <f t="shared" si="2"/>
        <v>122105.39</v>
      </c>
      <c r="M1236" s="83">
        <f t="shared" si="3"/>
        <v>60150.06</v>
      </c>
      <c r="N1236" s="46" t="str">
        <f>VLOOKUP(F1236,products!$A$2:$B$13,2,FALSE)</f>
        <v>Beverages</v>
      </c>
      <c r="O1236" s="46" t="s">
        <v>109</v>
      </c>
      <c r="P1236" s="46">
        <f t="array" ref="P1236">WEEKDAY(B1236,2)</f>
        <v>1</v>
      </c>
      <c r="Q1236" s="46"/>
      <c r="R1236" s="46"/>
      <c r="S1236" s="46"/>
      <c r="T1236" s="46"/>
      <c r="U1236" s="46"/>
      <c r="V1236" s="46"/>
      <c r="W1236" s="46"/>
      <c r="X1236" s="46"/>
      <c r="Y1236" s="46"/>
      <c r="Z1236" s="46"/>
    </row>
    <row r="1237">
      <c r="A1237" s="56">
        <v>9.31559789E8</v>
      </c>
      <c r="B1237" s="126">
        <v>41450.0</v>
      </c>
      <c r="C1237" s="126">
        <v>41460.0</v>
      </c>
      <c r="D1237" s="56" t="s">
        <v>10</v>
      </c>
      <c r="E1237" s="56" t="s">
        <v>123</v>
      </c>
      <c r="F1237" s="56">
        <v>2455.0</v>
      </c>
      <c r="G1237" s="56" t="s">
        <v>42</v>
      </c>
      <c r="H1237" s="56">
        <v>8098.0</v>
      </c>
      <c r="I1237" s="127">
        <v>109.28</v>
      </c>
      <c r="J1237" s="127">
        <v>35.84</v>
      </c>
      <c r="K1237" s="83">
        <f t="shared" si="1"/>
        <v>884949.44</v>
      </c>
      <c r="L1237" s="83">
        <f t="shared" si="2"/>
        <v>290232.32</v>
      </c>
      <c r="M1237" s="83">
        <f t="shared" si="3"/>
        <v>594717.12</v>
      </c>
      <c r="N1237" s="46" t="str">
        <f>VLOOKUP(F1237,products!$A$2:$B$13,2,FALSE)</f>
        <v>Clothes</v>
      </c>
      <c r="O1237" s="46" t="s">
        <v>123</v>
      </c>
      <c r="P1237" s="46">
        <f t="array" ref="P1237">WEEKDAY(B1237,2)</f>
        <v>2</v>
      </c>
      <c r="Q1237" s="46"/>
      <c r="R1237" s="46"/>
      <c r="S1237" s="46"/>
      <c r="T1237" s="46"/>
      <c r="U1237" s="46"/>
      <c r="V1237" s="46"/>
      <c r="W1237" s="46"/>
      <c r="X1237" s="46"/>
      <c r="Y1237" s="46"/>
      <c r="Z1237" s="46"/>
    </row>
    <row r="1238">
      <c r="A1238" s="56">
        <v>9.32475602E8</v>
      </c>
      <c r="B1238" s="126">
        <v>41556.0</v>
      </c>
      <c r="C1238" s="126">
        <v>41599.0</v>
      </c>
      <c r="D1238" s="56" t="s">
        <v>93</v>
      </c>
      <c r="E1238" s="56" t="s">
        <v>128</v>
      </c>
      <c r="F1238" s="56">
        <v>1270.0</v>
      </c>
      <c r="G1238" s="56" t="s">
        <v>42</v>
      </c>
      <c r="H1238" s="56">
        <v>9107.0</v>
      </c>
      <c r="I1238" s="127">
        <v>47.45</v>
      </c>
      <c r="J1238" s="127">
        <v>31.79</v>
      </c>
      <c r="K1238" s="83">
        <f t="shared" si="1"/>
        <v>432127.15</v>
      </c>
      <c r="L1238" s="83">
        <f t="shared" si="2"/>
        <v>289511.53</v>
      </c>
      <c r="M1238" s="83">
        <f t="shared" si="3"/>
        <v>142615.62</v>
      </c>
      <c r="N1238" s="46" t="str">
        <f>VLOOKUP(F1238,products!$A$2:$B$13,2,FALSE)</f>
        <v>Beverages</v>
      </c>
      <c r="O1238" s="46" t="s">
        <v>128</v>
      </c>
      <c r="P1238" s="46">
        <f t="array" ref="P1238">WEEKDAY(B1238,2)</f>
        <v>3</v>
      </c>
      <c r="Q1238" s="46"/>
      <c r="R1238" s="46"/>
      <c r="S1238" s="46"/>
      <c r="T1238" s="46"/>
      <c r="U1238" s="46"/>
      <c r="V1238" s="46"/>
      <c r="W1238" s="46"/>
      <c r="X1238" s="46"/>
      <c r="Y1238" s="46"/>
      <c r="Z1238" s="46"/>
    </row>
    <row r="1239">
      <c r="A1239" s="56">
        <v>9.33642041E8</v>
      </c>
      <c r="B1239" s="126">
        <v>41018.0</v>
      </c>
      <c r="C1239" s="126">
        <v>41048.0</v>
      </c>
      <c r="D1239" s="56" t="s">
        <v>95</v>
      </c>
      <c r="E1239" s="56" t="s">
        <v>94</v>
      </c>
      <c r="F1239" s="56">
        <v>3127.0</v>
      </c>
      <c r="G1239" s="56" t="s">
        <v>43</v>
      </c>
      <c r="H1239" s="56">
        <v>4282.0</v>
      </c>
      <c r="I1239" s="127">
        <v>81.73</v>
      </c>
      <c r="J1239" s="127">
        <v>56.67</v>
      </c>
      <c r="K1239" s="83">
        <f t="shared" si="1"/>
        <v>349967.86</v>
      </c>
      <c r="L1239" s="83">
        <f t="shared" si="2"/>
        <v>242660.94</v>
      </c>
      <c r="M1239" s="83">
        <f t="shared" si="3"/>
        <v>107306.92</v>
      </c>
      <c r="N1239" s="46" t="str">
        <f>VLOOKUP(F1239,products!$A$2:$B$13,2,FALSE)</f>
        <v>Personal Care</v>
      </c>
      <c r="O1239" s="46" t="s">
        <v>94</v>
      </c>
      <c r="P1239" s="46">
        <f t="array" ref="P1239">WEEKDAY(B1239,2)</f>
        <v>4</v>
      </c>
      <c r="Q1239" s="46"/>
      <c r="R1239" s="46"/>
      <c r="S1239" s="46"/>
      <c r="T1239" s="46"/>
      <c r="U1239" s="46"/>
      <c r="V1239" s="46"/>
      <c r="W1239" s="46"/>
      <c r="X1239" s="46"/>
      <c r="Y1239" s="46"/>
      <c r="Z1239" s="46"/>
    </row>
    <row r="1240">
      <c r="A1240" s="56">
        <v>9.33699119E8</v>
      </c>
      <c r="B1240" s="126">
        <v>41591.0</v>
      </c>
      <c r="C1240" s="126">
        <v>41602.0</v>
      </c>
      <c r="D1240" s="56" t="s">
        <v>10</v>
      </c>
      <c r="E1240" s="56" t="s">
        <v>121</v>
      </c>
      <c r="F1240" s="56">
        <v>3127.0</v>
      </c>
      <c r="G1240" s="56" t="s">
        <v>42</v>
      </c>
      <c r="H1240" s="56">
        <v>1173.0</v>
      </c>
      <c r="I1240" s="127">
        <v>81.73</v>
      </c>
      <c r="J1240" s="127">
        <v>56.67</v>
      </c>
      <c r="K1240" s="83">
        <f t="shared" si="1"/>
        <v>95869.29</v>
      </c>
      <c r="L1240" s="83">
        <f t="shared" si="2"/>
        <v>66473.91</v>
      </c>
      <c r="M1240" s="83">
        <f t="shared" si="3"/>
        <v>29395.38</v>
      </c>
      <c r="N1240" s="46" t="str">
        <f>VLOOKUP(F1240,products!$A$2:$B$13,2,FALSE)</f>
        <v>Personal Care</v>
      </c>
      <c r="O1240" s="46" t="s">
        <v>121</v>
      </c>
      <c r="P1240" s="46">
        <f t="array" ref="P1240">WEEKDAY(B1240,2)</f>
        <v>3</v>
      </c>
      <c r="Q1240" s="46"/>
      <c r="R1240" s="46"/>
      <c r="S1240" s="46"/>
      <c r="T1240" s="46"/>
      <c r="U1240" s="46"/>
      <c r="V1240" s="46"/>
      <c r="W1240" s="46"/>
      <c r="X1240" s="46"/>
      <c r="Y1240" s="46"/>
      <c r="Z1240" s="46"/>
    </row>
    <row r="1241">
      <c r="A1241" s="56">
        <v>9.33720576E8</v>
      </c>
      <c r="B1241" s="126">
        <v>42596.0</v>
      </c>
      <c r="C1241" s="126">
        <v>42644.0</v>
      </c>
      <c r="D1241" s="56" t="s">
        <v>95</v>
      </c>
      <c r="E1241" s="56" t="s">
        <v>129</v>
      </c>
      <c r="F1241" s="56">
        <v>5988.0</v>
      </c>
      <c r="G1241" s="56" t="s">
        <v>42</v>
      </c>
      <c r="H1241" s="56">
        <v>7523.0</v>
      </c>
      <c r="I1241" s="127">
        <v>154.06</v>
      </c>
      <c r="J1241" s="127">
        <v>90.93</v>
      </c>
      <c r="K1241" s="83">
        <f t="shared" si="1"/>
        <v>1158993.38</v>
      </c>
      <c r="L1241" s="83">
        <f t="shared" si="2"/>
        <v>684066.39</v>
      </c>
      <c r="M1241" s="83">
        <f t="shared" si="3"/>
        <v>474926.99</v>
      </c>
      <c r="N1241" s="46" t="str">
        <f>VLOOKUP(F1241,products!$A$2:$B$13,2,FALSE)</f>
        <v>Vegetables</v>
      </c>
      <c r="O1241" s="46" t="s">
        <v>129</v>
      </c>
      <c r="P1241" s="46">
        <f t="array" ref="P1241">WEEKDAY(B1241,2)</f>
        <v>7</v>
      </c>
      <c r="Q1241" s="46"/>
      <c r="R1241" s="46"/>
      <c r="S1241" s="46"/>
      <c r="T1241" s="46"/>
      <c r="U1241" s="46"/>
      <c r="V1241" s="46"/>
      <c r="W1241" s="46"/>
      <c r="X1241" s="46"/>
      <c r="Y1241" s="46"/>
      <c r="Z1241" s="46"/>
    </row>
    <row r="1242">
      <c r="A1242" s="56">
        <v>9.33963048E8</v>
      </c>
      <c r="B1242" s="126">
        <v>40684.0</v>
      </c>
      <c r="C1242" s="126">
        <v>40718.0</v>
      </c>
      <c r="D1242" s="56" t="s">
        <v>89</v>
      </c>
      <c r="E1242" s="56" t="s">
        <v>122</v>
      </c>
      <c r="F1242" s="56">
        <v>2455.0</v>
      </c>
      <c r="G1242" s="56" t="s">
        <v>42</v>
      </c>
      <c r="H1242" s="56">
        <v>9275.0</v>
      </c>
      <c r="I1242" s="127">
        <v>109.28</v>
      </c>
      <c r="J1242" s="127">
        <v>35.84</v>
      </c>
      <c r="K1242" s="83">
        <f t="shared" si="1"/>
        <v>1013572</v>
      </c>
      <c r="L1242" s="83">
        <f t="shared" si="2"/>
        <v>332416</v>
      </c>
      <c r="M1242" s="83">
        <f t="shared" si="3"/>
        <v>681156</v>
      </c>
      <c r="N1242" s="46" t="str">
        <f>VLOOKUP(F1242,products!$A$2:$B$13,2,FALSE)</f>
        <v>Clothes</v>
      </c>
      <c r="O1242" s="46" t="s">
        <v>122</v>
      </c>
      <c r="P1242" s="46">
        <f t="array" ref="P1242">WEEKDAY(B1242,2)</f>
        <v>6</v>
      </c>
      <c r="Q1242" s="46"/>
      <c r="R1242" s="46"/>
      <c r="S1242" s="46"/>
      <c r="T1242" s="46"/>
      <c r="U1242" s="46"/>
      <c r="V1242" s="46"/>
      <c r="W1242" s="46"/>
      <c r="X1242" s="46"/>
      <c r="Y1242" s="46"/>
      <c r="Z1242" s="46"/>
    </row>
    <row r="1243">
      <c r="A1243" s="56">
        <v>9.34718358E8</v>
      </c>
      <c r="B1243" s="126">
        <v>42340.0</v>
      </c>
      <c r="C1243" s="126">
        <v>42354.0</v>
      </c>
      <c r="D1243" s="56" t="s">
        <v>95</v>
      </c>
      <c r="E1243" s="56" t="s">
        <v>127</v>
      </c>
      <c r="F1243" s="56">
        <v>5988.0</v>
      </c>
      <c r="G1243" s="56" t="s">
        <v>43</v>
      </c>
      <c r="H1243" s="56">
        <v>2789.0</v>
      </c>
      <c r="I1243" s="127">
        <v>154.06</v>
      </c>
      <c r="J1243" s="127">
        <v>90.93</v>
      </c>
      <c r="K1243" s="83">
        <f t="shared" si="1"/>
        <v>429673.34</v>
      </c>
      <c r="L1243" s="83">
        <f t="shared" si="2"/>
        <v>253603.77</v>
      </c>
      <c r="M1243" s="83">
        <f t="shared" si="3"/>
        <v>176069.57</v>
      </c>
      <c r="N1243" s="46" t="str">
        <f>VLOOKUP(F1243,products!$A$2:$B$13,2,FALSE)</f>
        <v>Vegetables</v>
      </c>
      <c r="O1243" s="46" t="s">
        <v>127</v>
      </c>
      <c r="P1243" s="46">
        <f t="array" ref="P1243">WEEKDAY(B1243,2)</f>
        <v>3</v>
      </c>
      <c r="Q1243" s="46"/>
      <c r="R1243" s="46"/>
      <c r="S1243" s="46"/>
      <c r="T1243" s="46"/>
      <c r="U1243" s="46"/>
      <c r="V1243" s="46"/>
      <c r="W1243" s="46"/>
      <c r="X1243" s="46"/>
      <c r="Y1243" s="46"/>
      <c r="Z1243" s="46"/>
    </row>
    <row r="1244">
      <c r="A1244" s="56">
        <v>9.35789954E8</v>
      </c>
      <c r="B1244" s="126">
        <v>40454.0</v>
      </c>
      <c r="C1244" s="126">
        <v>40500.0</v>
      </c>
      <c r="D1244" s="56" t="s">
        <v>93</v>
      </c>
      <c r="E1244" s="56" t="s">
        <v>116</v>
      </c>
      <c r="F1244" s="56">
        <v>1270.0</v>
      </c>
      <c r="G1244" s="56" t="s">
        <v>43</v>
      </c>
      <c r="H1244" s="56">
        <v>9898.0</v>
      </c>
      <c r="I1244" s="127">
        <v>47.45</v>
      </c>
      <c r="J1244" s="127">
        <v>31.79</v>
      </c>
      <c r="K1244" s="83">
        <f t="shared" si="1"/>
        <v>469660.1</v>
      </c>
      <c r="L1244" s="83">
        <f t="shared" si="2"/>
        <v>314657.42</v>
      </c>
      <c r="M1244" s="83">
        <f t="shared" si="3"/>
        <v>155002.68</v>
      </c>
      <c r="N1244" s="46" t="str">
        <f>VLOOKUP(F1244,products!$A$2:$B$13,2,FALSE)</f>
        <v>Beverages</v>
      </c>
      <c r="O1244" s="46" t="s">
        <v>116</v>
      </c>
      <c r="P1244" s="46">
        <f t="array" ref="P1244">WEEKDAY(B1244,2)</f>
        <v>7</v>
      </c>
      <c r="Q1244" s="46"/>
      <c r="R1244" s="46"/>
      <c r="S1244" s="46"/>
      <c r="T1244" s="46"/>
      <c r="U1244" s="46"/>
      <c r="V1244" s="46"/>
      <c r="W1244" s="46"/>
      <c r="X1244" s="46"/>
      <c r="Y1244" s="46"/>
      <c r="Z1244" s="46"/>
    </row>
    <row r="1245">
      <c r="A1245" s="56">
        <v>9.35907542E8</v>
      </c>
      <c r="B1245" s="126">
        <v>42425.0</v>
      </c>
      <c r="C1245" s="126">
        <v>42450.0</v>
      </c>
      <c r="D1245" s="56" t="s">
        <v>89</v>
      </c>
      <c r="E1245" s="56" t="s">
        <v>119</v>
      </c>
      <c r="F1245" s="56">
        <v>1270.0</v>
      </c>
      <c r="G1245" s="56" t="s">
        <v>42</v>
      </c>
      <c r="H1245" s="56">
        <v>4695.0</v>
      </c>
      <c r="I1245" s="127">
        <v>47.45</v>
      </c>
      <c r="J1245" s="127">
        <v>31.79</v>
      </c>
      <c r="K1245" s="83">
        <f t="shared" si="1"/>
        <v>222777.75</v>
      </c>
      <c r="L1245" s="83">
        <f t="shared" si="2"/>
        <v>149254.05</v>
      </c>
      <c r="M1245" s="83">
        <f t="shared" si="3"/>
        <v>73523.7</v>
      </c>
      <c r="N1245" s="46" t="str">
        <f>VLOOKUP(F1245,products!$A$2:$B$13,2,FALSE)</f>
        <v>Beverages</v>
      </c>
      <c r="O1245" s="46" t="s">
        <v>119</v>
      </c>
      <c r="P1245" s="46">
        <f t="array" ref="P1245">WEEKDAY(B1245,2)</f>
        <v>4</v>
      </c>
      <c r="Q1245" s="46"/>
      <c r="R1245" s="46"/>
      <c r="S1245" s="46"/>
      <c r="T1245" s="46"/>
      <c r="U1245" s="46"/>
      <c r="V1245" s="46"/>
      <c r="W1245" s="46"/>
      <c r="X1245" s="46"/>
      <c r="Y1245" s="46"/>
      <c r="Z1245" s="46"/>
    </row>
    <row r="1246">
      <c r="A1246" s="56">
        <v>9.36411798E8</v>
      </c>
      <c r="B1246" s="126">
        <v>41165.0</v>
      </c>
      <c r="C1246" s="126">
        <v>41169.0</v>
      </c>
      <c r="D1246" s="56" t="s">
        <v>93</v>
      </c>
      <c r="E1246" s="56" t="s">
        <v>124</v>
      </c>
      <c r="F1246" s="56">
        <v>3127.0</v>
      </c>
      <c r="G1246" s="56" t="s">
        <v>42</v>
      </c>
      <c r="H1246" s="56">
        <v>3915.0</v>
      </c>
      <c r="I1246" s="127">
        <v>81.73</v>
      </c>
      <c r="J1246" s="127">
        <v>56.67</v>
      </c>
      <c r="K1246" s="83">
        <f t="shared" si="1"/>
        <v>319972.95</v>
      </c>
      <c r="L1246" s="83">
        <f t="shared" si="2"/>
        <v>221863.05</v>
      </c>
      <c r="M1246" s="83">
        <f t="shared" si="3"/>
        <v>98109.9</v>
      </c>
      <c r="N1246" s="46" t="str">
        <f>VLOOKUP(F1246,products!$A$2:$B$13,2,FALSE)</f>
        <v>Personal Care</v>
      </c>
      <c r="O1246" s="46" t="s">
        <v>124</v>
      </c>
      <c r="P1246" s="46">
        <f t="array" ref="P1246">WEEKDAY(B1246,2)</f>
        <v>4</v>
      </c>
      <c r="Q1246" s="46"/>
      <c r="R1246" s="46"/>
      <c r="S1246" s="46"/>
      <c r="T1246" s="46"/>
      <c r="U1246" s="46"/>
      <c r="V1246" s="46"/>
      <c r="W1246" s="46"/>
      <c r="X1246" s="46"/>
      <c r="Y1246" s="46"/>
      <c r="Z1246" s="46"/>
    </row>
    <row r="1247">
      <c r="A1247" s="56">
        <v>9.3654741E8</v>
      </c>
      <c r="B1247" s="126">
        <v>40551.0</v>
      </c>
      <c r="C1247" s="126">
        <v>40555.0</v>
      </c>
      <c r="D1247" s="56" t="s">
        <v>93</v>
      </c>
      <c r="E1247" s="56" t="s">
        <v>138</v>
      </c>
      <c r="F1247" s="56">
        <v>5988.0</v>
      </c>
      <c r="G1247" s="56" t="s">
        <v>42</v>
      </c>
      <c r="H1247" s="56">
        <v>4046.0</v>
      </c>
      <c r="I1247" s="127">
        <v>154.06</v>
      </c>
      <c r="J1247" s="127">
        <v>90.93</v>
      </c>
      <c r="K1247" s="83">
        <f t="shared" si="1"/>
        <v>623326.76</v>
      </c>
      <c r="L1247" s="83">
        <f t="shared" si="2"/>
        <v>367902.78</v>
      </c>
      <c r="M1247" s="83">
        <f t="shared" si="3"/>
        <v>255423.98</v>
      </c>
      <c r="N1247" s="46" t="str">
        <f>VLOOKUP(F1247,products!$A$2:$B$13,2,FALSE)</f>
        <v>Vegetables</v>
      </c>
      <c r="O1247" s="46" t="s">
        <v>138</v>
      </c>
      <c r="P1247" s="46">
        <f t="array" ref="P1247">WEEKDAY(B1247,2)</f>
        <v>6</v>
      </c>
      <c r="Q1247" s="46"/>
      <c r="R1247" s="46"/>
      <c r="S1247" s="46"/>
      <c r="T1247" s="46"/>
      <c r="U1247" s="46"/>
      <c r="V1247" s="46"/>
      <c r="W1247" s="46"/>
      <c r="X1247" s="46"/>
      <c r="Y1247" s="46"/>
      <c r="Z1247" s="46"/>
    </row>
    <row r="1248">
      <c r="A1248" s="56">
        <v>9.36664998E8</v>
      </c>
      <c r="B1248" s="126">
        <v>42522.0</v>
      </c>
      <c r="C1248" s="126">
        <v>42556.0</v>
      </c>
      <c r="D1248" s="56" t="s">
        <v>89</v>
      </c>
      <c r="E1248" s="56" t="s">
        <v>96</v>
      </c>
      <c r="F1248" s="56">
        <v>5988.0</v>
      </c>
      <c r="G1248" s="56" t="s">
        <v>42</v>
      </c>
      <c r="H1248" s="56">
        <v>8843.0</v>
      </c>
      <c r="I1248" s="127">
        <v>154.06</v>
      </c>
      <c r="J1248" s="127">
        <v>90.93</v>
      </c>
      <c r="K1248" s="83">
        <f t="shared" si="1"/>
        <v>1362352.58</v>
      </c>
      <c r="L1248" s="83">
        <f t="shared" si="2"/>
        <v>804093.99</v>
      </c>
      <c r="M1248" s="83">
        <f t="shared" si="3"/>
        <v>558258.59</v>
      </c>
      <c r="N1248" s="46" t="str">
        <f>VLOOKUP(F1248,products!$A$2:$B$13,2,FALSE)</f>
        <v>Vegetables</v>
      </c>
      <c r="O1248" s="46" t="s">
        <v>96</v>
      </c>
      <c r="P1248" s="46">
        <f t="array" ref="P1248">WEEKDAY(B1248,2)</f>
        <v>3</v>
      </c>
      <c r="Q1248" s="46"/>
      <c r="R1248" s="46"/>
      <c r="S1248" s="46"/>
      <c r="T1248" s="46"/>
      <c r="U1248" s="46"/>
      <c r="V1248" s="46"/>
      <c r="W1248" s="46"/>
      <c r="X1248" s="46"/>
      <c r="Y1248" s="46"/>
      <c r="Z1248" s="46"/>
    </row>
    <row r="1249">
      <c r="A1249" s="56">
        <v>9.3787564E8</v>
      </c>
      <c r="B1249" s="126">
        <v>40846.0</v>
      </c>
      <c r="C1249" s="126">
        <v>40877.0</v>
      </c>
      <c r="D1249" s="56" t="s">
        <v>10</v>
      </c>
      <c r="E1249" s="56" t="s">
        <v>120</v>
      </c>
      <c r="F1249" s="56">
        <v>2455.0</v>
      </c>
      <c r="G1249" s="56" t="s">
        <v>43</v>
      </c>
      <c r="H1249" s="56">
        <v>7098.0</v>
      </c>
      <c r="I1249" s="127">
        <v>109.28</v>
      </c>
      <c r="J1249" s="127">
        <v>35.84</v>
      </c>
      <c r="K1249" s="83">
        <f t="shared" si="1"/>
        <v>775669.44</v>
      </c>
      <c r="L1249" s="83">
        <f t="shared" si="2"/>
        <v>254392.32</v>
      </c>
      <c r="M1249" s="83">
        <f t="shared" si="3"/>
        <v>521277.12</v>
      </c>
      <c r="N1249" s="46" t="str">
        <f>VLOOKUP(F1249,products!$A$2:$B$13,2,FALSE)</f>
        <v>Clothes</v>
      </c>
      <c r="O1249" s="46" t="s">
        <v>120</v>
      </c>
      <c r="P1249" s="46">
        <f t="array" ref="P1249">WEEKDAY(B1249,2)</f>
        <v>7</v>
      </c>
      <c r="Q1249" s="46"/>
      <c r="R1249" s="46"/>
      <c r="S1249" s="46"/>
      <c r="T1249" s="46"/>
      <c r="U1249" s="46"/>
      <c r="V1249" s="46"/>
      <c r="W1249" s="46"/>
      <c r="X1249" s="46"/>
      <c r="Y1249" s="46"/>
      <c r="Z1249" s="46"/>
    </row>
    <row r="1250">
      <c r="A1250" s="56">
        <v>9.3820995E8</v>
      </c>
      <c r="B1250" s="126">
        <v>40251.0</v>
      </c>
      <c r="C1250" s="126">
        <v>40253.0</v>
      </c>
      <c r="D1250" s="56" t="s">
        <v>10</v>
      </c>
      <c r="E1250" s="56" t="s">
        <v>100</v>
      </c>
      <c r="F1250" s="56">
        <v>3127.0</v>
      </c>
      <c r="G1250" s="56" t="s">
        <v>42</v>
      </c>
      <c r="H1250" s="56">
        <v>6028.0</v>
      </c>
      <c r="I1250" s="127">
        <v>81.73</v>
      </c>
      <c r="J1250" s="127">
        <v>56.67</v>
      </c>
      <c r="K1250" s="83">
        <f t="shared" si="1"/>
        <v>492668.44</v>
      </c>
      <c r="L1250" s="83">
        <f t="shared" si="2"/>
        <v>341606.76</v>
      </c>
      <c r="M1250" s="83">
        <f t="shared" si="3"/>
        <v>151061.68</v>
      </c>
      <c r="N1250" s="46" t="str">
        <f>VLOOKUP(F1250,products!$A$2:$B$13,2,FALSE)</f>
        <v>Personal Care</v>
      </c>
      <c r="O1250" s="46" t="s">
        <v>100</v>
      </c>
      <c r="P1250" s="46">
        <f t="array" ref="P1250">WEEKDAY(B1250,2)</f>
        <v>7</v>
      </c>
      <c r="Q1250" s="46"/>
      <c r="R1250" s="46"/>
      <c r="S1250" s="46"/>
      <c r="T1250" s="46"/>
      <c r="U1250" s="46"/>
      <c r="V1250" s="46"/>
      <c r="W1250" s="46"/>
      <c r="X1250" s="46"/>
      <c r="Y1250" s="46"/>
      <c r="Z1250" s="46"/>
    </row>
    <row r="1251">
      <c r="A1251" s="56">
        <v>9.40682303E8</v>
      </c>
      <c r="B1251" s="126">
        <v>40179.0</v>
      </c>
      <c r="C1251" s="126">
        <v>40218.0</v>
      </c>
      <c r="D1251" s="56" t="s">
        <v>93</v>
      </c>
      <c r="E1251" s="56" t="s">
        <v>129</v>
      </c>
      <c r="F1251" s="56">
        <v>2103.0</v>
      </c>
      <c r="G1251" s="56" t="s">
        <v>43</v>
      </c>
      <c r="H1251" s="56">
        <v>7652.0</v>
      </c>
      <c r="I1251" s="127">
        <v>205.7</v>
      </c>
      <c r="J1251" s="127">
        <v>117.11</v>
      </c>
      <c r="K1251" s="83">
        <f t="shared" si="1"/>
        <v>1574016.4</v>
      </c>
      <c r="L1251" s="83">
        <f t="shared" si="2"/>
        <v>896125.72</v>
      </c>
      <c r="M1251" s="83">
        <f t="shared" si="3"/>
        <v>677890.68</v>
      </c>
      <c r="N1251" s="46" t="str">
        <f>VLOOKUP(F1251,products!$A$2:$B$13,2,FALSE)</f>
        <v>Cereal</v>
      </c>
      <c r="O1251" s="46" t="s">
        <v>129</v>
      </c>
      <c r="P1251" s="46">
        <f t="array" ref="P1251">WEEKDAY(B1251,2)</f>
        <v>5</v>
      </c>
      <c r="Q1251" s="46"/>
      <c r="R1251" s="46"/>
      <c r="S1251" s="46"/>
      <c r="T1251" s="46"/>
      <c r="U1251" s="46"/>
      <c r="V1251" s="46"/>
      <c r="W1251" s="46"/>
      <c r="X1251" s="46"/>
      <c r="Y1251" s="46"/>
      <c r="Z1251" s="46"/>
    </row>
    <row r="1252">
      <c r="A1252" s="56">
        <v>9.41061675E8</v>
      </c>
      <c r="B1252" s="126">
        <v>42802.0</v>
      </c>
      <c r="C1252" s="126">
        <v>42814.0</v>
      </c>
      <c r="D1252" s="56" t="s">
        <v>89</v>
      </c>
      <c r="E1252" s="56" t="e">
        <v>#N/A</v>
      </c>
      <c r="F1252" s="56">
        <v>5988.0</v>
      </c>
      <c r="G1252" s="56" t="s">
        <v>42</v>
      </c>
      <c r="H1252" s="56">
        <v>9917.0</v>
      </c>
      <c r="I1252" s="127">
        <v>154.06</v>
      </c>
      <c r="J1252" s="127">
        <v>90.93</v>
      </c>
      <c r="K1252" s="83">
        <f t="shared" si="1"/>
        <v>1527813.02</v>
      </c>
      <c r="L1252" s="83">
        <f t="shared" si="2"/>
        <v>901752.81</v>
      </c>
      <c r="M1252" s="83">
        <f t="shared" si="3"/>
        <v>626060.21</v>
      </c>
      <c r="N1252" s="46" t="str">
        <f>VLOOKUP(F1252,products!$A$2:$B$13,2,FALSE)</f>
        <v>Vegetables</v>
      </c>
      <c r="O1252" s="46" t="s">
        <v>92</v>
      </c>
      <c r="P1252" s="46">
        <f t="array" ref="P1252">WEEKDAY(B1252,2)</f>
        <v>3</v>
      </c>
      <c r="Q1252" s="46"/>
      <c r="R1252" s="46"/>
      <c r="S1252" s="46"/>
      <c r="T1252" s="46"/>
      <c r="U1252" s="46"/>
      <c r="V1252" s="46"/>
      <c r="W1252" s="46"/>
      <c r="X1252" s="46"/>
      <c r="Y1252" s="46"/>
      <c r="Z1252" s="46"/>
    </row>
    <row r="1253">
      <c r="A1253" s="56">
        <v>9.41524302E8</v>
      </c>
      <c r="B1253" s="126">
        <v>41915.0</v>
      </c>
      <c r="C1253" s="126">
        <v>41921.0</v>
      </c>
      <c r="D1253" s="56" t="s">
        <v>10</v>
      </c>
      <c r="E1253" s="56" t="s">
        <v>127</v>
      </c>
      <c r="F1253" s="56">
        <v>3127.0</v>
      </c>
      <c r="G1253" s="56" t="s">
        <v>43</v>
      </c>
      <c r="H1253" s="56">
        <v>6819.0</v>
      </c>
      <c r="I1253" s="127">
        <v>81.73</v>
      </c>
      <c r="J1253" s="127">
        <v>56.67</v>
      </c>
      <c r="K1253" s="83">
        <f t="shared" si="1"/>
        <v>557316.87</v>
      </c>
      <c r="L1253" s="83">
        <f t="shared" si="2"/>
        <v>386432.73</v>
      </c>
      <c r="M1253" s="83">
        <f t="shared" si="3"/>
        <v>170884.14</v>
      </c>
      <c r="N1253" s="46" t="str">
        <f>VLOOKUP(F1253,products!$A$2:$B$13,2,FALSE)</f>
        <v>Personal Care</v>
      </c>
      <c r="O1253" s="46" t="s">
        <v>127</v>
      </c>
      <c r="P1253" s="46">
        <f t="array" ref="P1253">WEEKDAY(B1253,2)</f>
        <v>5</v>
      </c>
      <c r="Q1253" s="46"/>
      <c r="R1253" s="46"/>
      <c r="S1253" s="46"/>
      <c r="T1253" s="46"/>
      <c r="U1253" s="46"/>
      <c r="V1253" s="46"/>
      <c r="W1253" s="46"/>
      <c r="X1253" s="46"/>
      <c r="Y1253" s="46"/>
      <c r="Z1253" s="46"/>
    </row>
    <row r="1254">
      <c r="A1254" s="56">
        <v>9.41933286E8</v>
      </c>
      <c r="B1254" s="126">
        <v>41279.0</v>
      </c>
      <c r="C1254" s="126">
        <v>41313.0</v>
      </c>
      <c r="D1254" s="56" t="s">
        <v>89</v>
      </c>
      <c r="E1254" s="56" t="s">
        <v>111</v>
      </c>
      <c r="F1254" s="56">
        <v>8969.0</v>
      </c>
      <c r="G1254" s="56" t="s">
        <v>43</v>
      </c>
      <c r="H1254" s="56">
        <v>7846.0</v>
      </c>
      <c r="I1254" s="127">
        <v>152.58</v>
      </c>
      <c r="J1254" s="127">
        <v>97.44</v>
      </c>
      <c r="K1254" s="83">
        <f t="shared" si="1"/>
        <v>1197142.68</v>
      </c>
      <c r="L1254" s="83">
        <f t="shared" si="2"/>
        <v>764514.24</v>
      </c>
      <c r="M1254" s="83">
        <f t="shared" si="3"/>
        <v>432628.44</v>
      </c>
      <c r="N1254" s="46" t="str">
        <f>VLOOKUP(F1254,products!$A$2:$B$13,2,FALSE)</f>
        <v>Snacks</v>
      </c>
      <c r="O1254" s="46" t="s">
        <v>111</v>
      </c>
      <c r="P1254" s="46">
        <f t="array" ref="P1254">WEEKDAY(B1254,2)</f>
        <v>6</v>
      </c>
      <c r="Q1254" s="46"/>
      <c r="R1254" s="46"/>
      <c r="S1254" s="46"/>
      <c r="T1254" s="46"/>
      <c r="U1254" s="46"/>
      <c r="V1254" s="46"/>
      <c r="W1254" s="46"/>
      <c r="X1254" s="46"/>
      <c r="Y1254" s="46"/>
      <c r="Z1254" s="46"/>
    </row>
    <row r="1255">
      <c r="A1255" s="56">
        <v>9.4237231E8</v>
      </c>
      <c r="B1255" s="126">
        <v>40945.0</v>
      </c>
      <c r="C1255" s="126">
        <v>40958.0</v>
      </c>
      <c r="D1255" s="56" t="s">
        <v>89</v>
      </c>
      <c r="E1255" s="56" t="s">
        <v>133</v>
      </c>
      <c r="F1255" s="56">
        <v>5988.0</v>
      </c>
      <c r="G1255" s="56" t="s">
        <v>42</v>
      </c>
      <c r="H1255" s="56">
        <v>7763.0</v>
      </c>
      <c r="I1255" s="127">
        <v>154.06</v>
      </c>
      <c r="J1255" s="127">
        <v>90.93</v>
      </c>
      <c r="K1255" s="83">
        <f t="shared" si="1"/>
        <v>1195967.78</v>
      </c>
      <c r="L1255" s="83">
        <f t="shared" si="2"/>
        <v>705889.59</v>
      </c>
      <c r="M1255" s="83">
        <f t="shared" si="3"/>
        <v>490078.19</v>
      </c>
      <c r="N1255" s="46" t="str">
        <f>VLOOKUP(F1255,products!$A$2:$B$13,2,FALSE)</f>
        <v>Vegetables</v>
      </c>
      <c r="O1255" s="46" t="s">
        <v>133</v>
      </c>
      <c r="P1255" s="46">
        <f t="array" ref="P1255">WEEKDAY(B1255,2)</f>
        <v>1</v>
      </c>
      <c r="Q1255" s="46"/>
      <c r="R1255" s="46"/>
      <c r="S1255" s="46"/>
      <c r="T1255" s="46"/>
      <c r="U1255" s="46"/>
      <c r="V1255" s="46"/>
      <c r="W1255" s="46"/>
      <c r="X1255" s="46"/>
      <c r="Y1255" s="46"/>
      <c r="Z1255" s="46"/>
    </row>
    <row r="1256">
      <c r="A1256" s="56">
        <v>9.42454278E8</v>
      </c>
      <c r="B1256" s="126">
        <v>40583.0</v>
      </c>
      <c r="C1256" s="126">
        <v>40631.0</v>
      </c>
      <c r="D1256" s="56" t="s">
        <v>89</v>
      </c>
      <c r="E1256" s="56" t="s">
        <v>137</v>
      </c>
      <c r="F1256" s="56">
        <v>8293.0</v>
      </c>
      <c r="G1256" s="56" t="s">
        <v>43</v>
      </c>
      <c r="H1256" s="56">
        <v>2019.0</v>
      </c>
      <c r="I1256" s="127">
        <v>437.2</v>
      </c>
      <c r="J1256" s="127">
        <v>263.33</v>
      </c>
      <c r="K1256" s="83">
        <f t="shared" si="1"/>
        <v>882706.8</v>
      </c>
      <c r="L1256" s="83">
        <f t="shared" si="2"/>
        <v>531663.27</v>
      </c>
      <c r="M1256" s="83">
        <f t="shared" si="3"/>
        <v>351043.53</v>
      </c>
      <c r="N1256" s="46" t="str">
        <f>VLOOKUP(F1256,products!$A$2:$B$13,2,FALSE)</f>
        <v>Cosmetics</v>
      </c>
      <c r="O1256" s="46" t="s">
        <v>137</v>
      </c>
      <c r="P1256" s="46">
        <f t="array" ref="P1256">WEEKDAY(B1256,2)</f>
        <v>3</v>
      </c>
      <c r="Q1256" s="46"/>
      <c r="R1256" s="46"/>
      <c r="S1256" s="46"/>
      <c r="T1256" s="46"/>
      <c r="U1256" s="46"/>
      <c r="V1256" s="46"/>
      <c r="W1256" s="46"/>
      <c r="X1256" s="46"/>
      <c r="Y1256" s="46"/>
      <c r="Z1256" s="46"/>
    </row>
    <row r="1257">
      <c r="A1257" s="56">
        <v>9.43274819E8</v>
      </c>
      <c r="B1257" s="126">
        <v>41313.0</v>
      </c>
      <c r="C1257" s="126">
        <v>41341.0</v>
      </c>
      <c r="D1257" s="56" t="s">
        <v>89</v>
      </c>
      <c r="E1257" s="56" t="s">
        <v>124</v>
      </c>
      <c r="F1257" s="56">
        <v>8969.0</v>
      </c>
      <c r="G1257" s="56" t="s">
        <v>43</v>
      </c>
      <c r="H1257" s="56">
        <v>4836.0</v>
      </c>
      <c r="I1257" s="127">
        <v>152.58</v>
      </c>
      <c r="J1257" s="127">
        <v>97.44</v>
      </c>
      <c r="K1257" s="83">
        <f t="shared" si="1"/>
        <v>737876.88</v>
      </c>
      <c r="L1257" s="83">
        <f t="shared" si="2"/>
        <v>471219.84</v>
      </c>
      <c r="M1257" s="83">
        <f t="shared" si="3"/>
        <v>266657.04</v>
      </c>
      <c r="N1257" s="46" t="str">
        <f>VLOOKUP(F1257,products!$A$2:$B$13,2,FALSE)</f>
        <v>Snacks</v>
      </c>
      <c r="O1257" s="46" t="s">
        <v>124</v>
      </c>
      <c r="P1257" s="46">
        <f t="array" ref="P1257">WEEKDAY(B1257,2)</f>
        <v>5</v>
      </c>
      <c r="Q1257" s="46"/>
      <c r="R1257" s="46"/>
      <c r="S1257" s="46"/>
      <c r="T1257" s="46"/>
      <c r="U1257" s="46"/>
      <c r="V1257" s="46"/>
      <c r="W1257" s="46"/>
      <c r="X1257" s="46"/>
      <c r="Y1257" s="46"/>
      <c r="Z1257" s="46"/>
    </row>
    <row r="1258">
      <c r="A1258" s="56">
        <v>9.4424771E8</v>
      </c>
      <c r="B1258" s="126">
        <v>41992.0</v>
      </c>
      <c r="C1258" s="126">
        <v>42035.0</v>
      </c>
      <c r="D1258" s="56" t="s">
        <v>95</v>
      </c>
      <c r="E1258" s="56" t="s">
        <v>125</v>
      </c>
      <c r="F1258" s="56">
        <v>7331.0</v>
      </c>
      <c r="G1258" s="56" t="s">
        <v>43</v>
      </c>
      <c r="H1258" s="56">
        <v>2736.0</v>
      </c>
      <c r="I1258" s="127">
        <v>255.28</v>
      </c>
      <c r="J1258" s="127">
        <v>159.42</v>
      </c>
      <c r="K1258" s="83">
        <f t="shared" si="1"/>
        <v>698446.08</v>
      </c>
      <c r="L1258" s="83">
        <f t="shared" si="2"/>
        <v>436173.12</v>
      </c>
      <c r="M1258" s="83">
        <f t="shared" si="3"/>
        <v>262272.96</v>
      </c>
      <c r="N1258" s="46" t="str">
        <f>VLOOKUP(F1258,products!$A$2:$B$13,2,FALSE)</f>
        <v>Baby Food</v>
      </c>
      <c r="O1258" s="46" t="s">
        <v>125</v>
      </c>
      <c r="P1258" s="46">
        <f t="array" ref="P1258">WEEKDAY(B1258,2)</f>
        <v>5</v>
      </c>
      <c r="Q1258" s="46"/>
      <c r="R1258" s="46"/>
      <c r="S1258" s="46"/>
      <c r="T1258" s="46"/>
      <c r="U1258" s="46"/>
      <c r="V1258" s="46"/>
      <c r="W1258" s="46"/>
      <c r="X1258" s="46"/>
      <c r="Y1258" s="46"/>
      <c r="Z1258" s="46"/>
    </row>
    <row r="1259">
      <c r="A1259" s="56">
        <v>9.44609057E8</v>
      </c>
      <c r="B1259" s="126">
        <v>41669.0</v>
      </c>
      <c r="C1259" s="126">
        <v>41714.0</v>
      </c>
      <c r="D1259" s="56" t="s">
        <v>93</v>
      </c>
      <c r="E1259" s="56" t="s">
        <v>115</v>
      </c>
      <c r="F1259" s="56">
        <v>8875.0</v>
      </c>
      <c r="G1259" s="56" t="s">
        <v>43</v>
      </c>
      <c r="H1259" s="56">
        <v>9666.0</v>
      </c>
      <c r="I1259" s="127">
        <v>421.89</v>
      </c>
      <c r="J1259" s="127">
        <v>364.69</v>
      </c>
      <c r="K1259" s="83">
        <f t="shared" si="1"/>
        <v>4077988.74</v>
      </c>
      <c r="L1259" s="83">
        <f t="shared" si="2"/>
        <v>3525093.54</v>
      </c>
      <c r="M1259" s="83">
        <f t="shared" si="3"/>
        <v>552895.2</v>
      </c>
      <c r="N1259" s="46" t="str">
        <f>VLOOKUP(F1259,products!$A$2:$B$13,2,FALSE)</f>
        <v>Meat</v>
      </c>
      <c r="O1259" s="46" t="s">
        <v>115</v>
      </c>
      <c r="P1259" s="46">
        <f t="array" ref="P1259">WEEKDAY(B1259,2)</f>
        <v>4</v>
      </c>
      <c r="Q1259" s="46"/>
      <c r="R1259" s="46"/>
      <c r="S1259" s="46"/>
      <c r="T1259" s="46"/>
      <c r="U1259" s="46"/>
      <c r="V1259" s="46"/>
      <c r="W1259" s="46"/>
      <c r="X1259" s="46"/>
      <c r="Y1259" s="46"/>
      <c r="Z1259" s="46"/>
    </row>
    <row r="1260">
      <c r="A1260" s="56">
        <v>9.46421372E8</v>
      </c>
      <c r="B1260" s="126">
        <v>42082.0</v>
      </c>
      <c r="C1260" s="126">
        <v>42084.0</v>
      </c>
      <c r="D1260" s="56" t="s">
        <v>89</v>
      </c>
      <c r="E1260" s="56" t="s">
        <v>113</v>
      </c>
      <c r="F1260" s="56">
        <v>1270.0</v>
      </c>
      <c r="G1260" s="56" t="s">
        <v>42</v>
      </c>
      <c r="H1260" s="56">
        <v>5971.0</v>
      </c>
      <c r="I1260" s="127">
        <v>47.45</v>
      </c>
      <c r="J1260" s="127">
        <v>31.79</v>
      </c>
      <c r="K1260" s="83">
        <f t="shared" si="1"/>
        <v>283323.95</v>
      </c>
      <c r="L1260" s="83">
        <f t="shared" si="2"/>
        <v>189818.09</v>
      </c>
      <c r="M1260" s="83">
        <f t="shared" si="3"/>
        <v>93505.86</v>
      </c>
      <c r="N1260" s="46" t="str">
        <f>VLOOKUP(F1260,products!$A$2:$B$13,2,FALSE)</f>
        <v>Beverages</v>
      </c>
      <c r="O1260" s="46" t="s">
        <v>113</v>
      </c>
      <c r="P1260" s="46">
        <f t="array" ref="P1260">WEEKDAY(B1260,2)</f>
        <v>4</v>
      </c>
      <c r="Q1260" s="46"/>
      <c r="R1260" s="46"/>
      <c r="S1260" s="46"/>
      <c r="T1260" s="46"/>
      <c r="U1260" s="46"/>
      <c r="V1260" s="46"/>
      <c r="W1260" s="46"/>
      <c r="X1260" s="46"/>
      <c r="Y1260" s="46"/>
      <c r="Z1260" s="46"/>
    </row>
    <row r="1261">
      <c r="A1261" s="56">
        <v>9.46823489E8</v>
      </c>
      <c r="B1261" s="126">
        <v>42563.0</v>
      </c>
      <c r="C1261" s="126">
        <v>42612.0</v>
      </c>
      <c r="D1261" s="56" t="s">
        <v>95</v>
      </c>
      <c r="E1261" s="56" t="s">
        <v>127</v>
      </c>
      <c r="F1261" s="56">
        <v>2103.0</v>
      </c>
      <c r="G1261" s="56" t="s">
        <v>43</v>
      </c>
      <c r="H1261" s="56">
        <v>4966.0</v>
      </c>
      <c r="I1261" s="127">
        <v>205.7</v>
      </c>
      <c r="J1261" s="127">
        <v>117.11</v>
      </c>
      <c r="K1261" s="83">
        <f t="shared" si="1"/>
        <v>1021506.2</v>
      </c>
      <c r="L1261" s="83">
        <f t="shared" si="2"/>
        <v>581568.26</v>
      </c>
      <c r="M1261" s="83">
        <f t="shared" si="3"/>
        <v>439937.94</v>
      </c>
      <c r="N1261" s="46" t="str">
        <f>VLOOKUP(F1261,products!$A$2:$B$13,2,FALSE)</f>
        <v>Cereal</v>
      </c>
      <c r="O1261" s="46" t="s">
        <v>127</v>
      </c>
      <c r="P1261" s="46">
        <f t="array" ref="P1261">WEEKDAY(B1261,2)</f>
        <v>2</v>
      </c>
      <c r="Q1261" s="46"/>
      <c r="R1261" s="46"/>
      <c r="S1261" s="46"/>
      <c r="T1261" s="46"/>
      <c r="U1261" s="46"/>
      <c r="V1261" s="46"/>
      <c r="W1261" s="46"/>
      <c r="X1261" s="46"/>
      <c r="Y1261" s="46"/>
      <c r="Z1261" s="46"/>
    </row>
    <row r="1262">
      <c r="A1262" s="56">
        <v>9.47073256E8</v>
      </c>
      <c r="B1262" s="126">
        <v>40329.0</v>
      </c>
      <c r="C1262" s="126">
        <v>40341.0</v>
      </c>
      <c r="D1262" s="56" t="s">
        <v>10</v>
      </c>
      <c r="E1262" s="56" t="s">
        <v>102</v>
      </c>
      <c r="F1262" s="56">
        <v>8969.0</v>
      </c>
      <c r="G1262" s="56" t="s">
        <v>43</v>
      </c>
      <c r="H1262" s="56">
        <v>8878.0</v>
      </c>
      <c r="I1262" s="127">
        <v>152.58</v>
      </c>
      <c r="J1262" s="127">
        <v>97.44</v>
      </c>
      <c r="K1262" s="83">
        <f t="shared" si="1"/>
        <v>1354605.24</v>
      </c>
      <c r="L1262" s="83">
        <f t="shared" si="2"/>
        <v>865072.32</v>
      </c>
      <c r="M1262" s="83">
        <f t="shared" si="3"/>
        <v>489532.92</v>
      </c>
      <c r="N1262" s="46" t="str">
        <f>VLOOKUP(F1262,products!$A$2:$B$13,2,FALSE)</f>
        <v>Snacks</v>
      </c>
      <c r="O1262" s="46" t="s">
        <v>102</v>
      </c>
      <c r="P1262" s="46">
        <f t="array" ref="P1262">WEEKDAY(B1262,2)</f>
        <v>1</v>
      </c>
      <c r="Q1262" s="46"/>
      <c r="R1262" s="46"/>
      <c r="S1262" s="46"/>
      <c r="T1262" s="46"/>
      <c r="U1262" s="46"/>
      <c r="V1262" s="46"/>
      <c r="W1262" s="46"/>
      <c r="X1262" s="46"/>
      <c r="Y1262" s="46"/>
      <c r="Z1262" s="46"/>
    </row>
    <row r="1263">
      <c r="A1263" s="56">
        <v>9.47507131E8</v>
      </c>
      <c r="B1263" s="126">
        <v>41524.0</v>
      </c>
      <c r="C1263" s="126">
        <v>41567.0</v>
      </c>
      <c r="D1263" s="56" t="s">
        <v>93</v>
      </c>
      <c r="E1263" s="56" t="s">
        <v>113</v>
      </c>
      <c r="F1263" s="56">
        <v>1270.0</v>
      </c>
      <c r="G1263" s="56" t="s">
        <v>42</v>
      </c>
      <c r="H1263" s="56">
        <v>7271.0</v>
      </c>
      <c r="I1263" s="127">
        <v>47.45</v>
      </c>
      <c r="J1263" s="127">
        <v>31.79</v>
      </c>
      <c r="K1263" s="83">
        <f t="shared" si="1"/>
        <v>345008.95</v>
      </c>
      <c r="L1263" s="83">
        <f t="shared" si="2"/>
        <v>231145.09</v>
      </c>
      <c r="M1263" s="83">
        <f t="shared" si="3"/>
        <v>113863.86</v>
      </c>
      <c r="N1263" s="46" t="str">
        <f>VLOOKUP(F1263,products!$A$2:$B$13,2,FALSE)</f>
        <v>Beverages</v>
      </c>
      <c r="O1263" s="46" t="s">
        <v>113</v>
      </c>
      <c r="P1263" s="46">
        <f t="array" ref="P1263">WEEKDAY(B1263,2)</f>
        <v>6</v>
      </c>
      <c r="Q1263" s="46"/>
      <c r="R1263" s="46"/>
      <c r="S1263" s="46"/>
      <c r="T1263" s="46"/>
      <c r="U1263" s="46"/>
      <c r="V1263" s="46"/>
      <c r="W1263" s="46"/>
      <c r="X1263" s="46"/>
      <c r="Y1263" s="46"/>
      <c r="Z1263" s="46"/>
    </row>
    <row r="1264">
      <c r="A1264" s="56">
        <v>9.48075759E8</v>
      </c>
      <c r="B1264" s="126">
        <v>40515.0</v>
      </c>
      <c r="C1264" s="126">
        <v>40547.0</v>
      </c>
      <c r="D1264" s="56" t="s">
        <v>89</v>
      </c>
      <c r="E1264" s="56" t="s">
        <v>123</v>
      </c>
      <c r="F1264" s="56">
        <v>1270.0</v>
      </c>
      <c r="G1264" s="56" t="s">
        <v>42</v>
      </c>
      <c r="H1264" s="56">
        <v>5540.0</v>
      </c>
      <c r="I1264" s="127">
        <v>47.45</v>
      </c>
      <c r="J1264" s="127">
        <v>31.79</v>
      </c>
      <c r="K1264" s="83">
        <f t="shared" si="1"/>
        <v>262873</v>
      </c>
      <c r="L1264" s="83">
        <f t="shared" si="2"/>
        <v>176116.6</v>
      </c>
      <c r="M1264" s="83">
        <f t="shared" si="3"/>
        <v>86756.4</v>
      </c>
      <c r="N1264" s="46" t="str">
        <f>VLOOKUP(F1264,products!$A$2:$B$13,2,FALSE)</f>
        <v>Beverages</v>
      </c>
      <c r="O1264" s="46" t="s">
        <v>123</v>
      </c>
      <c r="P1264" s="46">
        <f t="array" ref="P1264">WEEKDAY(B1264,2)</f>
        <v>5</v>
      </c>
      <c r="Q1264" s="46"/>
      <c r="R1264" s="46"/>
      <c r="S1264" s="46"/>
      <c r="T1264" s="46"/>
      <c r="U1264" s="46"/>
      <c r="V1264" s="46"/>
      <c r="W1264" s="46"/>
      <c r="X1264" s="46"/>
      <c r="Y1264" s="46"/>
      <c r="Z1264" s="46"/>
    </row>
    <row r="1265">
      <c r="A1265" s="56">
        <v>9.48518216E8</v>
      </c>
      <c r="B1265" s="126">
        <v>41006.0</v>
      </c>
      <c r="C1265" s="126">
        <v>41033.0</v>
      </c>
      <c r="D1265" s="56" t="s">
        <v>95</v>
      </c>
      <c r="E1265" s="56" t="s">
        <v>125</v>
      </c>
      <c r="F1265" s="56">
        <v>8875.0</v>
      </c>
      <c r="G1265" s="56" t="s">
        <v>42</v>
      </c>
      <c r="H1265" s="56">
        <v>6473.0</v>
      </c>
      <c r="I1265" s="127">
        <v>421.89</v>
      </c>
      <c r="J1265" s="127">
        <v>364.69</v>
      </c>
      <c r="K1265" s="83">
        <f t="shared" si="1"/>
        <v>2730893.97</v>
      </c>
      <c r="L1265" s="83">
        <f t="shared" si="2"/>
        <v>2360638.37</v>
      </c>
      <c r="M1265" s="83">
        <f t="shared" si="3"/>
        <v>370255.6</v>
      </c>
      <c r="N1265" s="46" t="str">
        <f>VLOOKUP(F1265,products!$A$2:$B$13,2,FALSE)</f>
        <v>Meat</v>
      </c>
      <c r="O1265" s="46" t="s">
        <v>125</v>
      </c>
      <c r="P1265" s="46">
        <f t="array" ref="P1265">WEEKDAY(B1265,2)</f>
        <v>6</v>
      </c>
      <c r="Q1265" s="46"/>
      <c r="R1265" s="46"/>
      <c r="S1265" s="46"/>
      <c r="T1265" s="46"/>
      <c r="U1265" s="46"/>
      <c r="V1265" s="46"/>
      <c r="W1265" s="46"/>
      <c r="X1265" s="46"/>
      <c r="Y1265" s="46"/>
      <c r="Z1265" s="46"/>
    </row>
    <row r="1266">
      <c r="A1266" s="56">
        <v>9.49388539E8</v>
      </c>
      <c r="B1266" s="126">
        <v>42631.0</v>
      </c>
      <c r="C1266" s="126">
        <v>42643.0</v>
      </c>
      <c r="D1266" s="56" t="s">
        <v>89</v>
      </c>
      <c r="E1266" s="56" t="s">
        <v>111</v>
      </c>
      <c r="F1266" s="56">
        <v>8969.0</v>
      </c>
      <c r="G1266" s="56" t="s">
        <v>43</v>
      </c>
      <c r="H1266" s="56">
        <v>4021.0</v>
      </c>
      <c r="I1266" s="127">
        <v>152.58</v>
      </c>
      <c r="J1266" s="127">
        <v>97.44</v>
      </c>
      <c r="K1266" s="83">
        <f t="shared" si="1"/>
        <v>613524.18</v>
      </c>
      <c r="L1266" s="83">
        <f t="shared" si="2"/>
        <v>391806.24</v>
      </c>
      <c r="M1266" s="83">
        <f t="shared" si="3"/>
        <v>221717.94</v>
      </c>
      <c r="N1266" s="46" t="str">
        <f>VLOOKUP(F1266,products!$A$2:$B$13,2,FALSE)</f>
        <v>Snacks</v>
      </c>
      <c r="O1266" s="46" t="s">
        <v>111</v>
      </c>
      <c r="P1266" s="46">
        <f t="array" ref="P1266">WEEKDAY(B1266,2)</f>
        <v>7</v>
      </c>
      <c r="Q1266" s="46"/>
      <c r="R1266" s="46"/>
      <c r="S1266" s="46"/>
      <c r="T1266" s="46"/>
      <c r="U1266" s="46"/>
      <c r="V1266" s="46"/>
      <c r="W1266" s="46"/>
      <c r="X1266" s="46"/>
      <c r="Y1266" s="46"/>
      <c r="Z1266" s="46"/>
    </row>
    <row r="1267">
      <c r="A1267" s="56">
        <v>9.49732291E8</v>
      </c>
      <c r="B1267" s="126">
        <v>42921.0</v>
      </c>
      <c r="C1267" s="126">
        <v>42961.0</v>
      </c>
      <c r="D1267" s="56" t="s">
        <v>93</v>
      </c>
      <c r="E1267" s="56" t="s">
        <v>119</v>
      </c>
      <c r="F1267" s="56">
        <v>1270.0</v>
      </c>
      <c r="G1267" s="56" t="s">
        <v>42</v>
      </c>
      <c r="H1267" s="56">
        <v>5745.0</v>
      </c>
      <c r="I1267" s="127">
        <v>47.45</v>
      </c>
      <c r="J1267" s="127">
        <v>31.79</v>
      </c>
      <c r="K1267" s="83">
        <f t="shared" si="1"/>
        <v>272600.25</v>
      </c>
      <c r="L1267" s="83">
        <f t="shared" si="2"/>
        <v>182633.55</v>
      </c>
      <c r="M1267" s="83">
        <f t="shared" si="3"/>
        <v>89966.7</v>
      </c>
      <c r="N1267" s="46" t="str">
        <f>VLOOKUP(F1267,products!$A$2:$B$13,2,FALSE)</f>
        <v>Beverages</v>
      </c>
      <c r="O1267" s="46" t="s">
        <v>119</v>
      </c>
      <c r="P1267" s="46">
        <f t="array" ref="P1267">WEEKDAY(B1267,2)</f>
        <v>3</v>
      </c>
      <c r="Q1267" s="46"/>
      <c r="R1267" s="46"/>
      <c r="S1267" s="46"/>
      <c r="T1267" s="46"/>
      <c r="U1267" s="46"/>
      <c r="V1267" s="46"/>
      <c r="W1267" s="46"/>
      <c r="X1267" s="46"/>
      <c r="Y1267" s="46"/>
      <c r="Z1267" s="46"/>
    </row>
    <row r="1268">
      <c r="A1268" s="56">
        <v>9.49912965E8</v>
      </c>
      <c r="B1268" s="126">
        <v>42759.0</v>
      </c>
      <c r="C1268" s="126">
        <v>42800.0</v>
      </c>
      <c r="D1268" s="56" t="s">
        <v>89</v>
      </c>
      <c r="E1268" s="56" t="s">
        <v>104</v>
      </c>
      <c r="F1268" s="56">
        <v>8293.0</v>
      </c>
      <c r="G1268" s="56" t="s">
        <v>43</v>
      </c>
      <c r="H1268" s="56">
        <v>9210.0</v>
      </c>
      <c r="I1268" s="127">
        <v>437.2</v>
      </c>
      <c r="J1268" s="127">
        <v>263.33</v>
      </c>
      <c r="K1268" s="83">
        <f t="shared" si="1"/>
        <v>4026612</v>
      </c>
      <c r="L1268" s="83">
        <f t="shared" si="2"/>
        <v>2425269.3</v>
      </c>
      <c r="M1268" s="83">
        <f t="shared" si="3"/>
        <v>1601342.7</v>
      </c>
      <c r="N1268" s="46" t="str">
        <f>VLOOKUP(F1268,products!$A$2:$B$13,2,FALSE)</f>
        <v>Cosmetics</v>
      </c>
      <c r="O1268" s="46" t="s">
        <v>104</v>
      </c>
      <c r="P1268" s="46">
        <f t="array" ref="P1268">WEEKDAY(B1268,2)</f>
        <v>2</v>
      </c>
      <c r="Q1268" s="46"/>
      <c r="R1268" s="46"/>
      <c r="S1268" s="46"/>
      <c r="T1268" s="46"/>
      <c r="U1268" s="46"/>
      <c r="V1268" s="46"/>
      <c r="W1268" s="46"/>
      <c r="X1268" s="46"/>
      <c r="Y1268" s="46"/>
      <c r="Z1268" s="46"/>
    </row>
    <row r="1269">
      <c r="A1269" s="56">
        <v>9.51698243E8</v>
      </c>
      <c r="B1269" s="126">
        <v>42902.0</v>
      </c>
      <c r="C1269" s="126">
        <v>42919.0</v>
      </c>
      <c r="D1269" s="56" t="s">
        <v>93</v>
      </c>
      <c r="E1269" s="56" t="s">
        <v>101</v>
      </c>
      <c r="F1269" s="56">
        <v>8969.0</v>
      </c>
      <c r="G1269" s="56" t="s">
        <v>43</v>
      </c>
      <c r="H1269" s="56">
        <v>7514.0</v>
      </c>
      <c r="I1269" s="127">
        <v>152.58</v>
      </c>
      <c r="J1269" s="127">
        <v>97.44</v>
      </c>
      <c r="K1269" s="83">
        <f t="shared" si="1"/>
        <v>1146486.12</v>
      </c>
      <c r="L1269" s="83">
        <f t="shared" si="2"/>
        <v>732164.16</v>
      </c>
      <c r="M1269" s="83">
        <f t="shared" si="3"/>
        <v>414321.96</v>
      </c>
      <c r="N1269" s="46" t="str">
        <f>VLOOKUP(F1269,products!$A$2:$B$13,2,FALSE)</f>
        <v>Snacks</v>
      </c>
      <c r="O1269" s="46" t="s">
        <v>101</v>
      </c>
      <c r="P1269" s="46">
        <f t="array" ref="P1269">WEEKDAY(B1269,2)</f>
        <v>5</v>
      </c>
      <c r="Q1269" s="46"/>
      <c r="R1269" s="46"/>
      <c r="S1269" s="46"/>
      <c r="T1269" s="46"/>
      <c r="U1269" s="46"/>
      <c r="V1269" s="46"/>
      <c r="W1269" s="46"/>
      <c r="X1269" s="46"/>
      <c r="Y1269" s="46"/>
      <c r="Z1269" s="46"/>
    </row>
    <row r="1270">
      <c r="A1270" s="56">
        <v>9.54040992E8</v>
      </c>
      <c r="B1270" s="126">
        <v>40738.0</v>
      </c>
      <c r="C1270" s="126">
        <v>40782.0</v>
      </c>
      <c r="D1270" s="56" t="s">
        <v>93</v>
      </c>
      <c r="E1270" s="56" t="s">
        <v>133</v>
      </c>
      <c r="F1270" s="56">
        <v>8969.0</v>
      </c>
      <c r="G1270" s="56" t="s">
        <v>42</v>
      </c>
      <c r="H1270" s="56">
        <v>785.0</v>
      </c>
      <c r="I1270" s="127">
        <v>152.58</v>
      </c>
      <c r="J1270" s="127">
        <v>97.44</v>
      </c>
      <c r="K1270" s="83">
        <f t="shared" si="1"/>
        <v>119775.3</v>
      </c>
      <c r="L1270" s="83">
        <f t="shared" si="2"/>
        <v>76490.4</v>
      </c>
      <c r="M1270" s="83">
        <f t="shared" si="3"/>
        <v>43284.9</v>
      </c>
      <c r="N1270" s="46" t="str">
        <f>VLOOKUP(F1270,products!$A$2:$B$13,2,FALSE)</f>
        <v>Snacks</v>
      </c>
      <c r="O1270" s="46" t="s">
        <v>133</v>
      </c>
      <c r="P1270" s="46">
        <f t="array" ref="P1270">WEEKDAY(B1270,2)</f>
        <v>4</v>
      </c>
      <c r="Q1270" s="46"/>
      <c r="R1270" s="46"/>
      <c r="S1270" s="46"/>
      <c r="T1270" s="46"/>
      <c r="U1270" s="46"/>
      <c r="V1270" s="46"/>
      <c r="W1270" s="46"/>
      <c r="X1270" s="46"/>
      <c r="Y1270" s="46"/>
      <c r="Z1270" s="46"/>
    </row>
    <row r="1271">
      <c r="A1271" s="56">
        <v>9.54065883E8</v>
      </c>
      <c r="B1271" s="126">
        <v>42568.0</v>
      </c>
      <c r="C1271" s="126">
        <v>42614.0</v>
      </c>
      <c r="D1271" s="56" t="s">
        <v>93</v>
      </c>
      <c r="E1271" s="56" t="s">
        <v>123</v>
      </c>
      <c r="F1271" s="56">
        <v>7940.0</v>
      </c>
      <c r="G1271" s="56" t="s">
        <v>42</v>
      </c>
      <c r="H1271" s="56">
        <v>8151.0</v>
      </c>
      <c r="I1271" s="127">
        <v>668.27</v>
      </c>
      <c r="J1271" s="127">
        <v>502.54</v>
      </c>
      <c r="K1271" s="83">
        <f t="shared" si="1"/>
        <v>5447068.77</v>
      </c>
      <c r="L1271" s="83">
        <f t="shared" si="2"/>
        <v>4096203.54</v>
      </c>
      <c r="M1271" s="83">
        <f t="shared" si="3"/>
        <v>1350865.23</v>
      </c>
      <c r="N1271" s="46" t="str">
        <f>VLOOKUP(F1271,products!$A$2:$B$13,2,FALSE)</f>
        <v>Household</v>
      </c>
      <c r="O1271" s="46" t="s">
        <v>123</v>
      </c>
      <c r="P1271" s="46">
        <f t="array" ref="P1271">WEEKDAY(B1271,2)</f>
        <v>7</v>
      </c>
      <c r="Q1271" s="46"/>
      <c r="R1271" s="46"/>
      <c r="S1271" s="46"/>
      <c r="T1271" s="46"/>
      <c r="U1271" s="46"/>
      <c r="V1271" s="46"/>
      <c r="W1271" s="46"/>
      <c r="X1271" s="46"/>
      <c r="Y1271" s="46"/>
      <c r="Z1271" s="46"/>
    </row>
    <row r="1272">
      <c r="A1272" s="56">
        <v>9.54341828E8</v>
      </c>
      <c r="B1272" s="126">
        <v>41782.0</v>
      </c>
      <c r="C1272" s="126">
        <v>41831.0</v>
      </c>
      <c r="D1272" s="56" t="s">
        <v>95</v>
      </c>
      <c r="E1272" s="56" t="s">
        <v>135</v>
      </c>
      <c r="F1272" s="56">
        <v>5988.0</v>
      </c>
      <c r="G1272" s="56" t="s">
        <v>42</v>
      </c>
      <c r="H1272" s="56">
        <v>9809.0</v>
      </c>
      <c r="I1272" s="127">
        <v>154.06</v>
      </c>
      <c r="J1272" s="127">
        <v>90.93</v>
      </c>
      <c r="K1272" s="83">
        <f t="shared" si="1"/>
        <v>1511174.54</v>
      </c>
      <c r="L1272" s="83">
        <f t="shared" si="2"/>
        <v>891932.37</v>
      </c>
      <c r="M1272" s="83">
        <f t="shared" si="3"/>
        <v>619242.17</v>
      </c>
      <c r="N1272" s="46" t="str">
        <f>VLOOKUP(F1272,products!$A$2:$B$13,2,FALSE)</f>
        <v>Vegetables</v>
      </c>
      <c r="O1272" s="46" t="s">
        <v>135</v>
      </c>
      <c r="P1272" s="46">
        <f t="array" ref="P1272">WEEKDAY(B1272,2)</f>
        <v>5</v>
      </c>
      <c r="Q1272" s="46"/>
      <c r="R1272" s="46"/>
      <c r="S1272" s="46"/>
      <c r="T1272" s="46"/>
      <c r="U1272" s="46"/>
      <c r="V1272" s="46"/>
      <c r="W1272" s="46"/>
      <c r="X1272" s="46"/>
      <c r="Y1272" s="46"/>
      <c r="Z1272" s="46"/>
    </row>
    <row r="1273">
      <c r="A1273" s="56">
        <v>9.55466639E8</v>
      </c>
      <c r="B1273" s="126">
        <v>41616.0</v>
      </c>
      <c r="C1273" s="126">
        <v>41666.0</v>
      </c>
      <c r="D1273" s="56" t="s">
        <v>10</v>
      </c>
      <c r="E1273" s="56" t="s">
        <v>98</v>
      </c>
      <c r="F1273" s="56">
        <v>3127.0</v>
      </c>
      <c r="G1273" s="56" t="s">
        <v>43</v>
      </c>
      <c r="H1273" s="56">
        <v>2666.0</v>
      </c>
      <c r="I1273" s="127">
        <v>81.73</v>
      </c>
      <c r="J1273" s="127">
        <v>56.67</v>
      </c>
      <c r="K1273" s="83">
        <f t="shared" si="1"/>
        <v>217892.18</v>
      </c>
      <c r="L1273" s="83">
        <f t="shared" si="2"/>
        <v>151082.22</v>
      </c>
      <c r="M1273" s="83">
        <f t="shared" si="3"/>
        <v>66809.96</v>
      </c>
      <c r="N1273" s="46" t="str">
        <f>VLOOKUP(F1273,products!$A$2:$B$13,2,FALSE)</f>
        <v>Personal Care</v>
      </c>
      <c r="O1273" s="46" t="s">
        <v>98</v>
      </c>
      <c r="P1273" s="46">
        <f t="array" ref="P1273">WEEKDAY(B1273,2)</f>
        <v>7</v>
      </c>
      <c r="Q1273" s="46"/>
      <c r="R1273" s="46"/>
      <c r="S1273" s="46"/>
      <c r="T1273" s="46"/>
      <c r="U1273" s="46"/>
      <c r="V1273" s="46"/>
      <c r="W1273" s="46"/>
      <c r="X1273" s="46"/>
      <c r="Y1273" s="46"/>
      <c r="Z1273" s="46"/>
    </row>
    <row r="1274">
      <c r="A1274" s="56">
        <v>9.56594026E8</v>
      </c>
      <c r="B1274" s="126">
        <v>40685.0</v>
      </c>
      <c r="C1274" s="126">
        <v>40711.0</v>
      </c>
      <c r="D1274" s="56" t="s">
        <v>93</v>
      </c>
      <c r="E1274" s="56" t="s">
        <v>98</v>
      </c>
      <c r="F1274" s="56">
        <v>7331.0</v>
      </c>
      <c r="G1274" s="56" t="s">
        <v>42</v>
      </c>
      <c r="H1274" s="56">
        <v>6285.0</v>
      </c>
      <c r="I1274" s="127">
        <v>255.28</v>
      </c>
      <c r="J1274" s="127">
        <v>159.42</v>
      </c>
      <c r="K1274" s="83">
        <f t="shared" si="1"/>
        <v>1604434.8</v>
      </c>
      <c r="L1274" s="83">
        <f t="shared" si="2"/>
        <v>1001954.7</v>
      </c>
      <c r="M1274" s="83">
        <f t="shared" si="3"/>
        <v>602480.1</v>
      </c>
      <c r="N1274" s="46" t="str">
        <f>VLOOKUP(F1274,products!$A$2:$B$13,2,FALSE)</f>
        <v>Baby Food</v>
      </c>
      <c r="O1274" s="46" t="s">
        <v>98</v>
      </c>
      <c r="P1274" s="46">
        <f t="array" ref="P1274">WEEKDAY(B1274,2)</f>
        <v>7</v>
      </c>
      <c r="Q1274" s="46"/>
      <c r="R1274" s="46"/>
      <c r="S1274" s="46"/>
      <c r="T1274" s="46"/>
      <c r="U1274" s="46"/>
      <c r="V1274" s="46"/>
      <c r="W1274" s="46"/>
      <c r="X1274" s="46"/>
      <c r="Y1274" s="46"/>
      <c r="Z1274" s="46"/>
    </row>
    <row r="1275">
      <c r="A1275" s="56">
        <v>9.56969964E8</v>
      </c>
      <c r="B1275" s="126">
        <v>42484.0</v>
      </c>
      <c r="C1275" s="126">
        <v>42517.0</v>
      </c>
      <c r="D1275" s="56" t="s">
        <v>93</v>
      </c>
      <c r="E1275" s="56" t="s">
        <v>127</v>
      </c>
      <c r="F1275" s="56">
        <v>5988.0</v>
      </c>
      <c r="G1275" s="56" t="s">
        <v>43</v>
      </c>
      <c r="H1275" s="56">
        <v>7533.0</v>
      </c>
      <c r="I1275" s="127">
        <v>154.06</v>
      </c>
      <c r="J1275" s="127">
        <v>90.93</v>
      </c>
      <c r="K1275" s="83">
        <f t="shared" si="1"/>
        <v>1160533.98</v>
      </c>
      <c r="L1275" s="83">
        <f t="shared" si="2"/>
        <v>684975.69</v>
      </c>
      <c r="M1275" s="83">
        <f t="shared" si="3"/>
        <v>475558.29</v>
      </c>
      <c r="N1275" s="46" t="str">
        <f>VLOOKUP(F1275,products!$A$2:$B$13,2,FALSE)</f>
        <v>Vegetables</v>
      </c>
      <c r="O1275" s="46" t="s">
        <v>127</v>
      </c>
      <c r="P1275" s="46">
        <f t="array" ref="P1275">WEEKDAY(B1275,2)</f>
        <v>7</v>
      </c>
      <c r="Q1275" s="46"/>
      <c r="R1275" s="46"/>
      <c r="S1275" s="46"/>
      <c r="T1275" s="46"/>
      <c r="U1275" s="46"/>
      <c r="V1275" s="46"/>
      <c r="W1275" s="46"/>
      <c r="X1275" s="46"/>
      <c r="Y1275" s="46"/>
      <c r="Z1275" s="46"/>
    </row>
    <row r="1276">
      <c r="A1276" s="56">
        <v>9.57926118E8</v>
      </c>
      <c r="B1276" s="126">
        <v>42600.0</v>
      </c>
      <c r="C1276" s="126">
        <v>42614.0</v>
      </c>
      <c r="D1276" s="56" t="s">
        <v>93</v>
      </c>
      <c r="E1276" s="56" t="s">
        <v>138</v>
      </c>
      <c r="F1276" s="56">
        <v>8969.0</v>
      </c>
      <c r="G1276" s="56" t="s">
        <v>43</v>
      </c>
      <c r="H1276" s="56">
        <v>480.0</v>
      </c>
      <c r="I1276" s="127">
        <v>152.58</v>
      </c>
      <c r="J1276" s="127">
        <v>97.44</v>
      </c>
      <c r="K1276" s="83">
        <f t="shared" si="1"/>
        <v>73238.4</v>
      </c>
      <c r="L1276" s="83">
        <f t="shared" si="2"/>
        <v>46771.2</v>
      </c>
      <c r="M1276" s="83">
        <f t="shared" si="3"/>
        <v>26467.2</v>
      </c>
      <c r="N1276" s="46" t="str">
        <f>VLOOKUP(F1276,products!$A$2:$B$13,2,FALSE)</f>
        <v>Snacks</v>
      </c>
      <c r="O1276" s="46" t="s">
        <v>138</v>
      </c>
      <c r="P1276" s="46">
        <f t="array" ref="P1276">WEEKDAY(B1276,2)</f>
        <v>4</v>
      </c>
      <c r="Q1276" s="46"/>
      <c r="R1276" s="46"/>
      <c r="S1276" s="46"/>
      <c r="T1276" s="46"/>
      <c r="U1276" s="46"/>
      <c r="V1276" s="46"/>
      <c r="W1276" s="46"/>
      <c r="X1276" s="46"/>
      <c r="Y1276" s="46"/>
      <c r="Z1276" s="46"/>
    </row>
    <row r="1277">
      <c r="A1277" s="56">
        <v>9.58366E8</v>
      </c>
      <c r="B1277" s="126">
        <v>41089.0</v>
      </c>
      <c r="C1277" s="126">
        <v>41124.0</v>
      </c>
      <c r="D1277" s="56" t="s">
        <v>89</v>
      </c>
      <c r="E1277" s="56" t="s">
        <v>111</v>
      </c>
      <c r="F1277" s="56">
        <v>2103.0</v>
      </c>
      <c r="G1277" s="56" t="s">
        <v>42</v>
      </c>
      <c r="H1277" s="56">
        <v>651.0</v>
      </c>
      <c r="I1277" s="127">
        <v>205.7</v>
      </c>
      <c r="J1277" s="127">
        <v>117.11</v>
      </c>
      <c r="K1277" s="83">
        <f t="shared" si="1"/>
        <v>133910.7</v>
      </c>
      <c r="L1277" s="83">
        <f t="shared" si="2"/>
        <v>76238.61</v>
      </c>
      <c r="M1277" s="83">
        <f t="shared" si="3"/>
        <v>57672.09</v>
      </c>
      <c r="N1277" s="46" t="str">
        <f>VLOOKUP(F1277,products!$A$2:$B$13,2,FALSE)</f>
        <v>Cereal</v>
      </c>
      <c r="O1277" s="46" t="s">
        <v>111</v>
      </c>
      <c r="P1277" s="46">
        <f t="array" ref="P1277">WEEKDAY(B1277,2)</f>
        <v>5</v>
      </c>
      <c r="Q1277" s="46"/>
      <c r="R1277" s="46"/>
      <c r="S1277" s="46"/>
      <c r="T1277" s="46"/>
      <c r="U1277" s="46"/>
      <c r="V1277" s="46"/>
      <c r="W1277" s="46"/>
      <c r="X1277" s="46"/>
      <c r="Y1277" s="46"/>
      <c r="Z1277" s="46"/>
    </row>
    <row r="1278">
      <c r="A1278" s="56">
        <v>9.60213077E8</v>
      </c>
      <c r="B1278" s="126">
        <v>42247.0</v>
      </c>
      <c r="C1278" s="126">
        <v>42293.0</v>
      </c>
      <c r="D1278" s="56" t="s">
        <v>95</v>
      </c>
      <c r="E1278" s="56" t="s">
        <v>109</v>
      </c>
      <c r="F1278" s="56">
        <v>1270.0</v>
      </c>
      <c r="G1278" s="56" t="s">
        <v>43</v>
      </c>
      <c r="H1278" s="56">
        <v>7242.0</v>
      </c>
      <c r="I1278" s="127">
        <v>47.45</v>
      </c>
      <c r="J1278" s="127">
        <v>31.79</v>
      </c>
      <c r="K1278" s="83">
        <f t="shared" si="1"/>
        <v>343632.9</v>
      </c>
      <c r="L1278" s="83">
        <f t="shared" si="2"/>
        <v>230223.18</v>
      </c>
      <c r="M1278" s="83">
        <f t="shared" si="3"/>
        <v>113409.72</v>
      </c>
      <c r="N1278" s="46" t="str">
        <f>VLOOKUP(F1278,products!$A$2:$B$13,2,FALSE)</f>
        <v>Beverages</v>
      </c>
      <c r="O1278" s="46" t="s">
        <v>109</v>
      </c>
      <c r="P1278" s="46">
        <f t="array" ref="P1278">WEEKDAY(B1278,2)</f>
        <v>1</v>
      </c>
      <c r="Q1278" s="46"/>
      <c r="R1278" s="46"/>
      <c r="S1278" s="46"/>
      <c r="T1278" s="46"/>
      <c r="U1278" s="46"/>
      <c r="V1278" s="46"/>
      <c r="W1278" s="46"/>
      <c r="X1278" s="46"/>
      <c r="Y1278" s="46"/>
      <c r="Z1278" s="46"/>
    </row>
    <row r="1279">
      <c r="A1279" s="56">
        <v>9.62560546E8</v>
      </c>
      <c r="B1279" s="126">
        <v>40526.0</v>
      </c>
      <c r="C1279" s="126">
        <v>40551.0</v>
      </c>
      <c r="D1279" s="56" t="s">
        <v>89</v>
      </c>
      <c r="E1279" s="56" t="s">
        <v>102</v>
      </c>
      <c r="F1279" s="56">
        <v>2103.0</v>
      </c>
      <c r="G1279" s="56" t="s">
        <v>42</v>
      </c>
      <c r="H1279" s="56">
        <v>1911.0</v>
      </c>
      <c r="I1279" s="127">
        <v>205.7</v>
      </c>
      <c r="J1279" s="127">
        <v>117.11</v>
      </c>
      <c r="K1279" s="83">
        <f t="shared" si="1"/>
        <v>393092.7</v>
      </c>
      <c r="L1279" s="83">
        <f t="shared" si="2"/>
        <v>223797.21</v>
      </c>
      <c r="M1279" s="83">
        <f t="shared" si="3"/>
        <v>169295.49</v>
      </c>
      <c r="N1279" s="46" t="str">
        <f>VLOOKUP(F1279,products!$A$2:$B$13,2,FALSE)</f>
        <v>Cereal</v>
      </c>
      <c r="O1279" s="46" t="s">
        <v>102</v>
      </c>
      <c r="P1279" s="46">
        <f t="array" ref="P1279">WEEKDAY(B1279,2)</f>
        <v>2</v>
      </c>
      <c r="Q1279" s="46"/>
      <c r="R1279" s="46"/>
      <c r="S1279" s="46"/>
      <c r="T1279" s="46"/>
      <c r="U1279" s="46"/>
      <c r="V1279" s="46"/>
      <c r="W1279" s="46"/>
      <c r="X1279" s="46"/>
      <c r="Y1279" s="46"/>
      <c r="Z1279" s="46"/>
    </row>
    <row r="1280">
      <c r="A1280" s="56">
        <v>9.63219296E8</v>
      </c>
      <c r="B1280" s="126">
        <v>40422.0</v>
      </c>
      <c r="C1280" s="126">
        <v>40439.0</v>
      </c>
      <c r="D1280" s="56" t="s">
        <v>10</v>
      </c>
      <c r="E1280" s="56" t="s">
        <v>119</v>
      </c>
      <c r="F1280" s="56">
        <v>2103.0</v>
      </c>
      <c r="G1280" s="56" t="s">
        <v>43</v>
      </c>
      <c r="H1280" s="56">
        <v>6850.0</v>
      </c>
      <c r="I1280" s="127">
        <v>205.7</v>
      </c>
      <c r="J1280" s="127">
        <v>117.11</v>
      </c>
      <c r="K1280" s="83">
        <f t="shared" si="1"/>
        <v>1409045</v>
      </c>
      <c r="L1280" s="83">
        <f t="shared" si="2"/>
        <v>802203.5</v>
      </c>
      <c r="M1280" s="83">
        <f t="shared" si="3"/>
        <v>606841.5</v>
      </c>
      <c r="N1280" s="46" t="str">
        <f>VLOOKUP(F1280,products!$A$2:$B$13,2,FALSE)</f>
        <v>Cereal</v>
      </c>
      <c r="O1280" s="46" t="s">
        <v>119</v>
      </c>
      <c r="P1280" s="46">
        <f t="array" ref="P1280">WEEKDAY(B1280,2)</f>
        <v>3</v>
      </c>
      <c r="Q1280" s="46"/>
      <c r="R1280" s="46"/>
      <c r="S1280" s="46"/>
      <c r="T1280" s="46"/>
      <c r="U1280" s="46"/>
      <c r="V1280" s="46"/>
      <c r="W1280" s="46"/>
      <c r="X1280" s="46"/>
      <c r="Y1280" s="46"/>
      <c r="Z1280" s="46"/>
    </row>
    <row r="1281">
      <c r="A1281" s="56">
        <v>9.65796363E8</v>
      </c>
      <c r="B1281" s="126">
        <v>40611.0</v>
      </c>
      <c r="C1281" s="126">
        <v>40621.0</v>
      </c>
      <c r="D1281" s="56" t="s">
        <v>89</v>
      </c>
      <c r="E1281" s="56" t="s">
        <v>110</v>
      </c>
      <c r="F1281" s="56">
        <v>4594.0</v>
      </c>
      <c r="G1281" s="56" t="s">
        <v>43</v>
      </c>
      <c r="H1281" s="56">
        <v>9461.0</v>
      </c>
      <c r="I1281" s="127">
        <v>9.33</v>
      </c>
      <c r="J1281" s="127">
        <v>6.92</v>
      </c>
      <c r="K1281" s="83">
        <f t="shared" si="1"/>
        <v>88271.13</v>
      </c>
      <c r="L1281" s="83">
        <f t="shared" si="2"/>
        <v>65470.12</v>
      </c>
      <c r="M1281" s="83">
        <f t="shared" si="3"/>
        <v>22801.01</v>
      </c>
      <c r="N1281" s="46" t="str">
        <f>VLOOKUP(F1281,products!$A$2:$B$13,2,FALSE)</f>
        <v>Fruits</v>
      </c>
      <c r="O1281" s="46" t="s">
        <v>110</v>
      </c>
      <c r="P1281" s="46">
        <f t="array" ref="P1281">WEEKDAY(B1281,2)</f>
        <v>3</v>
      </c>
      <c r="Q1281" s="46"/>
      <c r="R1281" s="46"/>
      <c r="S1281" s="46"/>
      <c r="T1281" s="46"/>
      <c r="U1281" s="46"/>
      <c r="V1281" s="46"/>
      <c r="W1281" s="46"/>
      <c r="X1281" s="46"/>
      <c r="Y1281" s="46"/>
      <c r="Z1281" s="46"/>
    </row>
    <row r="1282">
      <c r="A1282" s="56">
        <v>9.66800153E8</v>
      </c>
      <c r="B1282" s="126">
        <v>40415.0</v>
      </c>
      <c r="C1282" s="126">
        <v>40431.0</v>
      </c>
      <c r="D1282" s="56" t="s">
        <v>89</v>
      </c>
      <c r="E1282" s="56" t="s">
        <v>117</v>
      </c>
      <c r="F1282" s="56">
        <v>8875.0</v>
      </c>
      <c r="G1282" s="56" t="s">
        <v>42</v>
      </c>
      <c r="H1282" s="56">
        <v>6505.0</v>
      </c>
      <c r="I1282" s="127">
        <v>421.89</v>
      </c>
      <c r="J1282" s="127">
        <v>364.69</v>
      </c>
      <c r="K1282" s="83">
        <f t="shared" si="1"/>
        <v>2744394.45</v>
      </c>
      <c r="L1282" s="83">
        <f t="shared" si="2"/>
        <v>2372308.45</v>
      </c>
      <c r="M1282" s="83">
        <f t="shared" si="3"/>
        <v>372086</v>
      </c>
      <c r="N1282" s="46" t="str">
        <f>VLOOKUP(F1282,products!$A$2:$B$13,2,FALSE)</f>
        <v>Meat</v>
      </c>
      <c r="O1282" s="46" t="s">
        <v>117</v>
      </c>
      <c r="P1282" s="46">
        <f t="array" ref="P1282">WEEKDAY(B1282,2)</f>
        <v>3</v>
      </c>
      <c r="Q1282" s="46"/>
      <c r="R1282" s="46"/>
      <c r="S1282" s="46"/>
      <c r="T1282" s="46"/>
      <c r="U1282" s="46"/>
      <c r="V1282" s="46"/>
      <c r="W1282" s="46"/>
      <c r="X1282" s="46"/>
      <c r="Y1282" s="46"/>
      <c r="Z1282" s="46"/>
    </row>
    <row r="1283">
      <c r="A1283" s="56">
        <v>9.67258059E8</v>
      </c>
      <c r="B1283" s="126">
        <v>41851.0</v>
      </c>
      <c r="C1283" s="126">
        <v>41859.0</v>
      </c>
      <c r="D1283" s="56" t="s">
        <v>89</v>
      </c>
      <c r="E1283" s="56" t="s">
        <v>118</v>
      </c>
      <c r="F1283" s="56">
        <v>3127.0</v>
      </c>
      <c r="G1283" s="56" t="s">
        <v>43</v>
      </c>
      <c r="H1283" s="56">
        <v>2009.0</v>
      </c>
      <c r="I1283" s="127">
        <v>81.73</v>
      </c>
      <c r="J1283" s="127">
        <v>56.67</v>
      </c>
      <c r="K1283" s="83">
        <f t="shared" si="1"/>
        <v>164195.57</v>
      </c>
      <c r="L1283" s="83">
        <f t="shared" si="2"/>
        <v>113850.03</v>
      </c>
      <c r="M1283" s="83">
        <f t="shared" si="3"/>
        <v>50345.54</v>
      </c>
      <c r="N1283" s="46" t="str">
        <f>VLOOKUP(F1283,products!$A$2:$B$13,2,FALSE)</f>
        <v>Personal Care</v>
      </c>
      <c r="O1283" s="46" t="s">
        <v>118</v>
      </c>
      <c r="P1283" s="46">
        <f t="array" ref="P1283">WEEKDAY(B1283,2)</f>
        <v>4</v>
      </c>
      <c r="Q1283" s="46"/>
      <c r="R1283" s="46"/>
      <c r="S1283" s="46"/>
      <c r="T1283" s="46"/>
      <c r="U1283" s="46"/>
      <c r="V1283" s="46"/>
      <c r="W1283" s="46"/>
      <c r="X1283" s="46"/>
      <c r="Y1283" s="46"/>
      <c r="Z1283" s="46"/>
    </row>
    <row r="1284">
      <c r="A1284" s="56">
        <v>9.67679059E8</v>
      </c>
      <c r="B1284" s="126">
        <v>41336.0</v>
      </c>
      <c r="C1284" s="126">
        <v>41352.0</v>
      </c>
      <c r="D1284" s="56" t="s">
        <v>10</v>
      </c>
      <c r="E1284" s="56" t="s">
        <v>128</v>
      </c>
      <c r="F1284" s="56">
        <v>5988.0</v>
      </c>
      <c r="G1284" s="56" t="s">
        <v>43</v>
      </c>
      <c r="H1284" s="56">
        <v>6592.0</v>
      </c>
      <c r="I1284" s="127">
        <v>154.06</v>
      </c>
      <c r="J1284" s="127">
        <v>90.93</v>
      </c>
      <c r="K1284" s="83">
        <f t="shared" si="1"/>
        <v>1015563.52</v>
      </c>
      <c r="L1284" s="83">
        <f t="shared" si="2"/>
        <v>599410.56</v>
      </c>
      <c r="M1284" s="83">
        <f t="shared" si="3"/>
        <v>416152.96</v>
      </c>
      <c r="N1284" s="46" t="str">
        <f>VLOOKUP(F1284,products!$A$2:$B$13,2,FALSE)</f>
        <v>Vegetables</v>
      </c>
      <c r="O1284" s="46" t="s">
        <v>128</v>
      </c>
      <c r="P1284" s="46">
        <f t="array" ref="P1284">WEEKDAY(B1284,2)</f>
        <v>7</v>
      </c>
      <c r="Q1284" s="46"/>
      <c r="R1284" s="46"/>
      <c r="S1284" s="46"/>
      <c r="T1284" s="46"/>
      <c r="U1284" s="46"/>
      <c r="V1284" s="46"/>
      <c r="W1284" s="46"/>
      <c r="X1284" s="46"/>
      <c r="Y1284" s="46"/>
      <c r="Z1284" s="46"/>
    </row>
    <row r="1285">
      <c r="A1285" s="56">
        <v>9.6818546E8</v>
      </c>
      <c r="B1285" s="126">
        <v>41283.0</v>
      </c>
      <c r="C1285" s="126">
        <v>41308.0</v>
      </c>
      <c r="D1285" s="56" t="s">
        <v>89</v>
      </c>
      <c r="E1285" s="56" t="s">
        <v>106</v>
      </c>
      <c r="F1285" s="56">
        <v>8969.0</v>
      </c>
      <c r="G1285" s="56" t="s">
        <v>43</v>
      </c>
      <c r="H1285" s="56">
        <v>6448.0</v>
      </c>
      <c r="I1285" s="127">
        <v>152.58</v>
      </c>
      <c r="J1285" s="127">
        <v>97.44</v>
      </c>
      <c r="K1285" s="83">
        <f t="shared" si="1"/>
        <v>983835.84</v>
      </c>
      <c r="L1285" s="83">
        <f t="shared" si="2"/>
        <v>628293.12</v>
      </c>
      <c r="M1285" s="83">
        <f t="shared" si="3"/>
        <v>355542.72</v>
      </c>
      <c r="N1285" s="46" t="str">
        <f>VLOOKUP(F1285,products!$A$2:$B$13,2,FALSE)</f>
        <v>Snacks</v>
      </c>
      <c r="O1285" s="46" t="s">
        <v>106</v>
      </c>
      <c r="P1285" s="46">
        <f t="array" ref="P1285">WEEKDAY(B1285,2)</f>
        <v>3</v>
      </c>
      <c r="Q1285" s="46"/>
      <c r="R1285" s="46"/>
      <c r="S1285" s="46"/>
      <c r="T1285" s="46"/>
      <c r="U1285" s="46"/>
      <c r="V1285" s="46"/>
      <c r="W1285" s="46"/>
      <c r="X1285" s="46"/>
      <c r="Y1285" s="46"/>
      <c r="Z1285" s="46"/>
    </row>
    <row r="1286">
      <c r="A1286" s="56">
        <v>9.69195258E8</v>
      </c>
      <c r="B1286" s="126">
        <v>41147.0</v>
      </c>
      <c r="C1286" s="126">
        <v>41169.0</v>
      </c>
      <c r="D1286" s="56" t="s">
        <v>93</v>
      </c>
      <c r="E1286" s="56" t="s">
        <v>135</v>
      </c>
      <c r="F1286" s="56">
        <v>5988.0</v>
      </c>
      <c r="G1286" s="56" t="s">
        <v>43</v>
      </c>
      <c r="H1286" s="56">
        <v>5269.0</v>
      </c>
      <c r="I1286" s="127">
        <v>154.06</v>
      </c>
      <c r="J1286" s="127">
        <v>90.93</v>
      </c>
      <c r="K1286" s="83">
        <f t="shared" si="1"/>
        <v>811742.14</v>
      </c>
      <c r="L1286" s="83">
        <f t="shared" si="2"/>
        <v>479110.17</v>
      </c>
      <c r="M1286" s="83">
        <f t="shared" si="3"/>
        <v>332631.97</v>
      </c>
      <c r="N1286" s="46" t="str">
        <f>VLOOKUP(F1286,products!$A$2:$B$13,2,FALSE)</f>
        <v>Vegetables</v>
      </c>
      <c r="O1286" s="46" t="s">
        <v>135</v>
      </c>
      <c r="P1286" s="46">
        <f t="array" ref="P1286">WEEKDAY(B1286,2)</f>
        <v>7</v>
      </c>
      <c r="Q1286" s="46"/>
      <c r="R1286" s="46"/>
      <c r="S1286" s="46"/>
      <c r="T1286" s="46"/>
      <c r="U1286" s="46"/>
      <c r="V1286" s="46"/>
      <c r="W1286" s="46"/>
      <c r="X1286" s="46"/>
      <c r="Y1286" s="46"/>
      <c r="Z1286" s="46"/>
    </row>
    <row r="1287">
      <c r="A1287" s="56">
        <v>9.69199979E8</v>
      </c>
      <c r="B1287" s="126">
        <v>41590.0</v>
      </c>
      <c r="C1287" s="126">
        <v>41615.0</v>
      </c>
      <c r="D1287" s="56" t="s">
        <v>95</v>
      </c>
      <c r="E1287" s="56" t="s">
        <v>138</v>
      </c>
      <c r="F1287" s="56">
        <v>8875.0</v>
      </c>
      <c r="G1287" s="56" t="s">
        <v>43</v>
      </c>
      <c r="H1287" s="56">
        <v>6666.0</v>
      </c>
      <c r="I1287" s="127">
        <v>421.89</v>
      </c>
      <c r="J1287" s="127">
        <v>364.69</v>
      </c>
      <c r="K1287" s="83">
        <f t="shared" si="1"/>
        <v>2812318.74</v>
      </c>
      <c r="L1287" s="83">
        <f t="shared" si="2"/>
        <v>2431023.54</v>
      </c>
      <c r="M1287" s="83">
        <f t="shared" si="3"/>
        <v>381295.2</v>
      </c>
      <c r="N1287" s="46" t="str">
        <f>VLOOKUP(F1287,products!$A$2:$B$13,2,FALSE)</f>
        <v>Meat</v>
      </c>
      <c r="O1287" s="46" t="s">
        <v>138</v>
      </c>
      <c r="P1287" s="46">
        <f t="array" ref="P1287">WEEKDAY(B1287,2)</f>
        <v>2</v>
      </c>
      <c r="Q1287" s="46"/>
      <c r="R1287" s="46"/>
      <c r="S1287" s="46"/>
      <c r="T1287" s="46"/>
      <c r="U1287" s="46"/>
      <c r="V1287" s="46"/>
      <c r="W1287" s="46"/>
      <c r="X1287" s="46"/>
      <c r="Y1287" s="46"/>
      <c r="Z1287" s="46"/>
    </row>
    <row r="1288">
      <c r="A1288" s="56">
        <v>9.69289243E8</v>
      </c>
      <c r="B1288" s="126">
        <v>40905.0</v>
      </c>
      <c r="C1288" s="126">
        <v>40941.0</v>
      </c>
      <c r="D1288" s="56" t="s">
        <v>10</v>
      </c>
      <c r="E1288" s="56" t="s">
        <v>133</v>
      </c>
      <c r="F1288" s="56">
        <v>7940.0</v>
      </c>
      <c r="G1288" s="56" t="s">
        <v>43</v>
      </c>
      <c r="H1288" s="56">
        <v>3082.0</v>
      </c>
      <c r="I1288" s="127">
        <v>668.27</v>
      </c>
      <c r="J1288" s="127">
        <v>502.54</v>
      </c>
      <c r="K1288" s="83">
        <f t="shared" si="1"/>
        <v>2059608.14</v>
      </c>
      <c r="L1288" s="83">
        <f t="shared" si="2"/>
        <v>1548828.28</v>
      </c>
      <c r="M1288" s="83">
        <f t="shared" si="3"/>
        <v>510779.86</v>
      </c>
      <c r="N1288" s="46" t="str">
        <f>VLOOKUP(F1288,products!$A$2:$B$13,2,FALSE)</f>
        <v>Household</v>
      </c>
      <c r="O1288" s="46" t="s">
        <v>133</v>
      </c>
      <c r="P1288" s="46">
        <f t="array" ref="P1288">WEEKDAY(B1288,2)</f>
        <v>3</v>
      </c>
      <c r="Q1288" s="46"/>
      <c r="R1288" s="46"/>
      <c r="S1288" s="46"/>
      <c r="T1288" s="46"/>
      <c r="U1288" s="46"/>
      <c r="V1288" s="46"/>
      <c r="W1288" s="46"/>
      <c r="X1288" s="46"/>
      <c r="Y1288" s="46"/>
      <c r="Z1288" s="46"/>
    </row>
    <row r="1289">
      <c r="A1289" s="56">
        <v>9.70427358E8</v>
      </c>
      <c r="B1289" s="126">
        <v>40477.0</v>
      </c>
      <c r="C1289" s="126">
        <v>40482.0</v>
      </c>
      <c r="D1289" s="56" t="s">
        <v>95</v>
      </c>
      <c r="E1289" s="56" t="s">
        <v>101</v>
      </c>
      <c r="F1289" s="56">
        <v>8875.0</v>
      </c>
      <c r="G1289" s="56" t="s">
        <v>42</v>
      </c>
      <c r="H1289" s="56">
        <v>9875.0</v>
      </c>
      <c r="I1289" s="127">
        <v>421.89</v>
      </c>
      <c r="J1289" s="127">
        <v>364.69</v>
      </c>
      <c r="K1289" s="83">
        <f t="shared" si="1"/>
        <v>4166163.75</v>
      </c>
      <c r="L1289" s="83">
        <f t="shared" si="2"/>
        <v>3601313.75</v>
      </c>
      <c r="M1289" s="83">
        <f t="shared" si="3"/>
        <v>564850</v>
      </c>
      <c r="N1289" s="46" t="str">
        <f>VLOOKUP(F1289,products!$A$2:$B$13,2,FALSE)</f>
        <v>Meat</v>
      </c>
      <c r="O1289" s="46" t="s">
        <v>101</v>
      </c>
      <c r="P1289" s="46">
        <f t="array" ref="P1289">WEEKDAY(B1289,2)</f>
        <v>2</v>
      </c>
      <c r="Q1289" s="46"/>
      <c r="R1289" s="46"/>
      <c r="S1289" s="46"/>
      <c r="T1289" s="46"/>
      <c r="U1289" s="46"/>
      <c r="V1289" s="46"/>
      <c r="W1289" s="46"/>
      <c r="X1289" s="46"/>
      <c r="Y1289" s="46"/>
      <c r="Z1289" s="46"/>
    </row>
    <row r="1290">
      <c r="A1290" s="56">
        <v>9.71578347E8</v>
      </c>
      <c r="B1290" s="126">
        <v>41759.0</v>
      </c>
      <c r="C1290" s="126">
        <v>41806.0</v>
      </c>
      <c r="D1290" s="56" t="s">
        <v>93</v>
      </c>
      <c r="E1290" s="56" t="s">
        <v>136</v>
      </c>
      <c r="F1290" s="56">
        <v>7940.0</v>
      </c>
      <c r="G1290" s="56" t="s">
        <v>43</v>
      </c>
      <c r="H1290" s="56">
        <v>478.0</v>
      </c>
      <c r="I1290" s="127">
        <v>668.27</v>
      </c>
      <c r="J1290" s="127">
        <v>502.54</v>
      </c>
      <c r="K1290" s="83">
        <f t="shared" si="1"/>
        <v>319433.06</v>
      </c>
      <c r="L1290" s="83">
        <f t="shared" si="2"/>
        <v>240214.12</v>
      </c>
      <c r="M1290" s="83">
        <f t="shared" si="3"/>
        <v>79218.94</v>
      </c>
      <c r="N1290" s="46" t="str">
        <f>VLOOKUP(F1290,products!$A$2:$B$13,2,FALSE)</f>
        <v>Household</v>
      </c>
      <c r="O1290" s="46" t="s">
        <v>136</v>
      </c>
      <c r="P1290" s="46">
        <f t="array" ref="P1290">WEEKDAY(B1290,2)</f>
        <v>3</v>
      </c>
      <c r="Q1290" s="46"/>
      <c r="R1290" s="46"/>
      <c r="S1290" s="46"/>
      <c r="T1290" s="46"/>
      <c r="U1290" s="46"/>
      <c r="V1290" s="46"/>
      <c r="W1290" s="46"/>
      <c r="X1290" s="46"/>
      <c r="Y1290" s="46"/>
      <c r="Z1290" s="46"/>
    </row>
    <row r="1291">
      <c r="A1291" s="56">
        <v>9.71899354E8</v>
      </c>
      <c r="B1291" s="126">
        <v>41426.0</v>
      </c>
      <c r="C1291" s="126">
        <v>41426.0</v>
      </c>
      <c r="D1291" s="56" t="s">
        <v>10</v>
      </c>
      <c r="E1291" s="56" t="s">
        <v>132</v>
      </c>
      <c r="F1291" s="56">
        <v>8969.0</v>
      </c>
      <c r="G1291" s="56" t="s">
        <v>43</v>
      </c>
      <c r="H1291" s="56">
        <v>5471.0</v>
      </c>
      <c r="I1291" s="127">
        <v>152.58</v>
      </c>
      <c r="J1291" s="127">
        <v>97.44</v>
      </c>
      <c r="K1291" s="83">
        <f t="shared" si="1"/>
        <v>834765.18</v>
      </c>
      <c r="L1291" s="83">
        <f t="shared" si="2"/>
        <v>533094.24</v>
      </c>
      <c r="M1291" s="83">
        <f t="shared" si="3"/>
        <v>301670.94</v>
      </c>
      <c r="N1291" s="46" t="str">
        <f>VLOOKUP(F1291,products!$A$2:$B$13,2,FALSE)</f>
        <v>Snacks</v>
      </c>
      <c r="O1291" s="46" t="s">
        <v>132</v>
      </c>
      <c r="P1291" s="46">
        <f t="array" ref="P1291">WEEKDAY(B1291,2)</f>
        <v>6</v>
      </c>
      <c r="Q1291" s="46"/>
      <c r="R1291" s="46"/>
      <c r="S1291" s="46"/>
      <c r="T1291" s="46"/>
      <c r="U1291" s="46"/>
      <c r="V1291" s="46"/>
      <c r="W1291" s="46"/>
      <c r="X1291" s="46"/>
      <c r="Y1291" s="46"/>
      <c r="Z1291" s="46"/>
    </row>
    <row r="1292">
      <c r="A1292" s="56">
        <v>9.72419059E8</v>
      </c>
      <c r="B1292" s="126">
        <v>41112.0</v>
      </c>
      <c r="C1292" s="126">
        <v>41138.0</v>
      </c>
      <c r="D1292" s="56" t="s">
        <v>95</v>
      </c>
      <c r="E1292" s="56" t="s">
        <v>104</v>
      </c>
      <c r="F1292" s="56">
        <v>2103.0</v>
      </c>
      <c r="G1292" s="56" t="s">
        <v>43</v>
      </c>
      <c r="H1292" s="56">
        <v>9264.0</v>
      </c>
      <c r="I1292" s="127">
        <v>205.7</v>
      </c>
      <c r="J1292" s="127">
        <v>117.11</v>
      </c>
      <c r="K1292" s="83">
        <f t="shared" si="1"/>
        <v>1905604.8</v>
      </c>
      <c r="L1292" s="83">
        <f t="shared" si="2"/>
        <v>1084907.04</v>
      </c>
      <c r="M1292" s="83">
        <f t="shared" si="3"/>
        <v>820697.76</v>
      </c>
      <c r="N1292" s="46" t="str">
        <f>VLOOKUP(F1292,products!$A$2:$B$13,2,FALSE)</f>
        <v>Cereal</v>
      </c>
      <c r="O1292" s="46" t="s">
        <v>104</v>
      </c>
      <c r="P1292" s="46">
        <f t="array" ref="P1292">WEEKDAY(B1292,2)</f>
        <v>7</v>
      </c>
      <c r="Q1292" s="46"/>
      <c r="R1292" s="46"/>
      <c r="S1292" s="46"/>
      <c r="T1292" s="46"/>
      <c r="U1292" s="46"/>
      <c r="V1292" s="46"/>
      <c r="W1292" s="46"/>
      <c r="X1292" s="46"/>
      <c r="Y1292" s="46"/>
      <c r="Z1292" s="46"/>
    </row>
    <row r="1293">
      <c r="A1293" s="56">
        <v>9.72452533E8</v>
      </c>
      <c r="B1293" s="126">
        <v>42238.0</v>
      </c>
      <c r="C1293" s="126">
        <v>42281.0</v>
      </c>
      <c r="D1293" s="56" t="s">
        <v>93</v>
      </c>
      <c r="E1293" s="56" t="s">
        <v>130</v>
      </c>
      <c r="F1293" s="56">
        <v>5988.0</v>
      </c>
      <c r="G1293" s="56" t="s">
        <v>43</v>
      </c>
      <c r="H1293" s="56">
        <v>9169.0</v>
      </c>
      <c r="I1293" s="127">
        <v>154.06</v>
      </c>
      <c r="J1293" s="127">
        <v>90.93</v>
      </c>
      <c r="K1293" s="83">
        <f t="shared" si="1"/>
        <v>1412576.14</v>
      </c>
      <c r="L1293" s="83">
        <f t="shared" si="2"/>
        <v>833737.17</v>
      </c>
      <c r="M1293" s="83">
        <f t="shared" si="3"/>
        <v>578838.97</v>
      </c>
      <c r="N1293" s="46" t="str">
        <f>VLOOKUP(F1293,products!$A$2:$B$13,2,FALSE)</f>
        <v>Vegetables</v>
      </c>
      <c r="O1293" s="46" t="s">
        <v>130</v>
      </c>
      <c r="P1293" s="46">
        <f t="array" ref="P1293">WEEKDAY(B1293,2)</f>
        <v>6</v>
      </c>
      <c r="Q1293" s="46"/>
      <c r="R1293" s="46"/>
      <c r="S1293" s="46"/>
      <c r="T1293" s="46"/>
      <c r="U1293" s="46"/>
      <c r="V1293" s="46"/>
      <c r="W1293" s="46"/>
      <c r="X1293" s="46"/>
      <c r="Y1293" s="46"/>
      <c r="Z1293" s="46"/>
    </row>
    <row r="1294">
      <c r="A1294" s="56">
        <v>9.72981679E8</v>
      </c>
      <c r="B1294" s="126">
        <v>42809.0</v>
      </c>
      <c r="C1294" s="126">
        <v>42834.0</v>
      </c>
      <c r="D1294" s="56" t="s">
        <v>10</v>
      </c>
      <c r="E1294" s="56" t="s">
        <v>124</v>
      </c>
      <c r="F1294" s="56">
        <v>8969.0</v>
      </c>
      <c r="G1294" s="56" t="s">
        <v>43</v>
      </c>
      <c r="H1294" s="56">
        <v>5755.0</v>
      </c>
      <c r="I1294" s="127">
        <v>152.58</v>
      </c>
      <c r="J1294" s="127">
        <v>97.44</v>
      </c>
      <c r="K1294" s="83">
        <f t="shared" si="1"/>
        <v>878097.9</v>
      </c>
      <c r="L1294" s="83">
        <f t="shared" si="2"/>
        <v>560767.2</v>
      </c>
      <c r="M1294" s="83">
        <f t="shared" si="3"/>
        <v>317330.7</v>
      </c>
      <c r="N1294" s="46" t="str">
        <f>VLOOKUP(F1294,products!$A$2:$B$13,2,FALSE)</f>
        <v>Snacks</v>
      </c>
      <c r="O1294" s="46" t="s">
        <v>124</v>
      </c>
      <c r="P1294" s="46">
        <f t="array" ref="P1294">WEEKDAY(B1294,2)</f>
        <v>3</v>
      </c>
      <c r="Q1294" s="46"/>
      <c r="R1294" s="46"/>
      <c r="S1294" s="46"/>
      <c r="T1294" s="46"/>
      <c r="U1294" s="46"/>
      <c r="V1294" s="46"/>
      <c r="W1294" s="46"/>
      <c r="X1294" s="46"/>
      <c r="Y1294" s="46"/>
      <c r="Z1294" s="46"/>
    </row>
    <row r="1295">
      <c r="A1295" s="56">
        <v>9.73268353E8</v>
      </c>
      <c r="B1295" s="126">
        <v>42526.0</v>
      </c>
      <c r="C1295" s="126">
        <v>42547.0</v>
      </c>
      <c r="D1295" s="56" t="s">
        <v>95</v>
      </c>
      <c r="E1295" s="56" t="s">
        <v>135</v>
      </c>
      <c r="F1295" s="56">
        <v>1270.0</v>
      </c>
      <c r="G1295" s="56" t="s">
        <v>43</v>
      </c>
      <c r="H1295" s="56">
        <v>589.0</v>
      </c>
      <c r="I1295" s="127">
        <v>47.45</v>
      </c>
      <c r="J1295" s="127">
        <v>31.79</v>
      </c>
      <c r="K1295" s="83">
        <f t="shared" si="1"/>
        <v>27948.05</v>
      </c>
      <c r="L1295" s="83">
        <f t="shared" si="2"/>
        <v>18724.31</v>
      </c>
      <c r="M1295" s="83">
        <f t="shared" si="3"/>
        <v>9223.74</v>
      </c>
      <c r="N1295" s="46" t="str">
        <f>VLOOKUP(F1295,products!$A$2:$B$13,2,FALSE)</f>
        <v>Beverages</v>
      </c>
      <c r="O1295" s="46" t="s">
        <v>135</v>
      </c>
      <c r="P1295" s="46">
        <f t="array" ref="P1295">WEEKDAY(B1295,2)</f>
        <v>7</v>
      </c>
      <c r="Q1295" s="46"/>
      <c r="R1295" s="46"/>
      <c r="S1295" s="46"/>
      <c r="T1295" s="46"/>
      <c r="U1295" s="46"/>
      <c r="V1295" s="46"/>
      <c r="W1295" s="46"/>
      <c r="X1295" s="46"/>
      <c r="Y1295" s="46"/>
      <c r="Z1295" s="46"/>
    </row>
    <row r="1296">
      <c r="A1296" s="56">
        <v>9.7414726E8</v>
      </c>
      <c r="B1296" s="126">
        <v>40681.0</v>
      </c>
      <c r="C1296" s="126">
        <v>40702.0</v>
      </c>
      <c r="D1296" s="56" t="s">
        <v>93</v>
      </c>
      <c r="E1296" s="56" t="s">
        <v>128</v>
      </c>
      <c r="F1296" s="56">
        <v>2455.0</v>
      </c>
      <c r="G1296" s="56" t="s">
        <v>42</v>
      </c>
      <c r="H1296" s="56">
        <v>677.0</v>
      </c>
      <c r="I1296" s="127">
        <v>109.28</v>
      </c>
      <c r="J1296" s="127">
        <v>35.84</v>
      </c>
      <c r="K1296" s="83">
        <f t="shared" si="1"/>
        <v>73982.56</v>
      </c>
      <c r="L1296" s="83">
        <f t="shared" si="2"/>
        <v>24263.68</v>
      </c>
      <c r="M1296" s="83">
        <f t="shared" si="3"/>
        <v>49718.88</v>
      </c>
      <c r="N1296" s="46" t="str">
        <f>VLOOKUP(F1296,products!$A$2:$B$13,2,FALSE)</f>
        <v>Clothes</v>
      </c>
      <c r="O1296" s="46" t="s">
        <v>128</v>
      </c>
      <c r="P1296" s="46">
        <f t="array" ref="P1296">WEEKDAY(B1296,2)</f>
        <v>3</v>
      </c>
      <c r="Q1296" s="46"/>
      <c r="R1296" s="46"/>
      <c r="S1296" s="46"/>
      <c r="T1296" s="46"/>
      <c r="U1296" s="46"/>
      <c r="V1296" s="46"/>
      <c r="W1296" s="46"/>
      <c r="X1296" s="46"/>
      <c r="Y1296" s="46"/>
      <c r="Z1296" s="46"/>
    </row>
    <row r="1297">
      <c r="A1297" s="56">
        <v>9.7442063E8</v>
      </c>
      <c r="B1297" s="126">
        <v>40659.0</v>
      </c>
      <c r="C1297" s="126">
        <v>40709.0</v>
      </c>
      <c r="D1297" s="56" t="s">
        <v>95</v>
      </c>
      <c r="E1297" s="56" t="s">
        <v>129</v>
      </c>
      <c r="F1297" s="56">
        <v>4594.0</v>
      </c>
      <c r="G1297" s="56" t="s">
        <v>42</v>
      </c>
      <c r="H1297" s="56">
        <v>1573.0</v>
      </c>
      <c r="I1297" s="127">
        <v>9.33</v>
      </c>
      <c r="J1297" s="127">
        <v>6.92</v>
      </c>
      <c r="K1297" s="83">
        <f t="shared" si="1"/>
        <v>14676.09</v>
      </c>
      <c r="L1297" s="83">
        <f t="shared" si="2"/>
        <v>10885.16</v>
      </c>
      <c r="M1297" s="83">
        <f t="shared" si="3"/>
        <v>3790.93</v>
      </c>
      <c r="N1297" s="46" t="str">
        <f>VLOOKUP(F1297,products!$A$2:$B$13,2,FALSE)</f>
        <v>Fruits</v>
      </c>
      <c r="O1297" s="46" t="s">
        <v>129</v>
      </c>
      <c r="P1297" s="46">
        <f t="array" ref="P1297">WEEKDAY(B1297,2)</f>
        <v>2</v>
      </c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</row>
    <row r="1298">
      <c r="A1298" s="56">
        <v>9.75080668E8</v>
      </c>
      <c r="B1298" s="126">
        <v>42939.0</v>
      </c>
      <c r="C1298" s="126">
        <v>42967.0</v>
      </c>
      <c r="D1298" s="56" t="s">
        <v>10</v>
      </c>
      <c r="E1298" s="56" t="e">
        <v>#N/A</v>
      </c>
      <c r="F1298" s="56">
        <v>5988.0</v>
      </c>
      <c r="G1298" s="56" t="s">
        <v>42</v>
      </c>
      <c r="H1298" s="56">
        <v>6893.0</v>
      </c>
      <c r="I1298" s="127">
        <v>154.06</v>
      </c>
      <c r="J1298" s="127">
        <v>90.93</v>
      </c>
      <c r="K1298" s="83">
        <f t="shared" si="1"/>
        <v>1061935.58</v>
      </c>
      <c r="L1298" s="83">
        <f t="shared" si="2"/>
        <v>626780.49</v>
      </c>
      <c r="M1298" s="83">
        <f t="shared" si="3"/>
        <v>435155.09</v>
      </c>
      <c r="N1298" s="46" t="str">
        <f>VLOOKUP(F1298,products!$A$2:$B$13,2,FALSE)</f>
        <v>Vegetables</v>
      </c>
      <c r="O1298" s="46" t="s">
        <v>92</v>
      </c>
      <c r="P1298" s="46">
        <f t="array" ref="P1298">WEEKDAY(B1298,2)</f>
        <v>7</v>
      </c>
      <c r="Q1298" s="46"/>
      <c r="R1298" s="46"/>
      <c r="S1298" s="46"/>
      <c r="T1298" s="46"/>
      <c r="U1298" s="46"/>
      <c r="V1298" s="46"/>
      <c r="W1298" s="46"/>
      <c r="X1298" s="46"/>
      <c r="Y1298" s="46"/>
      <c r="Z1298" s="46"/>
    </row>
    <row r="1299">
      <c r="A1299" s="56">
        <v>9.75823962E8</v>
      </c>
      <c r="B1299" s="126">
        <v>41709.0</v>
      </c>
      <c r="C1299" s="126">
        <v>41737.0</v>
      </c>
      <c r="D1299" s="56" t="s">
        <v>93</v>
      </c>
      <c r="E1299" s="56" t="s">
        <v>138</v>
      </c>
      <c r="F1299" s="56">
        <v>8681.0</v>
      </c>
      <c r="G1299" s="56" t="s">
        <v>43</v>
      </c>
      <c r="H1299" s="56">
        <v>6850.0</v>
      </c>
      <c r="I1299" s="127">
        <v>651.21</v>
      </c>
      <c r="J1299" s="127">
        <v>524.96</v>
      </c>
      <c r="K1299" s="83">
        <f t="shared" si="1"/>
        <v>4460788.5</v>
      </c>
      <c r="L1299" s="83">
        <f t="shared" si="2"/>
        <v>3595976</v>
      </c>
      <c r="M1299" s="83">
        <f t="shared" si="3"/>
        <v>864812.5</v>
      </c>
      <c r="N1299" s="46" t="str">
        <f>VLOOKUP(F1299,products!$A$2:$B$13,2,FALSE)</f>
        <v>Office Supplies</v>
      </c>
      <c r="O1299" s="46" t="s">
        <v>138</v>
      </c>
      <c r="P1299" s="46">
        <f t="array" ref="P1299">WEEKDAY(B1299,2)</f>
        <v>2</v>
      </c>
      <c r="Q1299" s="46"/>
      <c r="R1299" s="46"/>
      <c r="S1299" s="46"/>
      <c r="T1299" s="46"/>
      <c r="U1299" s="46"/>
      <c r="V1299" s="46"/>
      <c r="W1299" s="46"/>
      <c r="X1299" s="46"/>
      <c r="Y1299" s="46"/>
      <c r="Z1299" s="46"/>
    </row>
    <row r="1300">
      <c r="A1300" s="56">
        <v>9.76323497E8</v>
      </c>
      <c r="B1300" s="126">
        <v>42772.0</v>
      </c>
      <c r="C1300" s="126">
        <v>42776.0</v>
      </c>
      <c r="D1300" s="56" t="s">
        <v>89</v>
      </c>
      <c r="E1300" s="56" t="s">
        <v>99</v>
      </c>
      <c r="F1300" s="56">
        <v>1270.0</v>
      </c>
      <c r="G1300" s="56" t="s">
        <v>43</v>
      </c>
      <c r="H1300" s="56">
        <v>4674.0</v>
      </c>
      <c r="I1300" s="127">
        <v>47.45</v>
      </c>
      <c r="J1300" s="127">
        <v>31.79</v>
      </c>
      <c r="K1300" s="83">
        <f t="shared" si="1"/>
        <v>221781.3</v>
      </c>
      <c r="L1300" s="83">
        <f t="shared" si="2"/>
        <v>148586.46</v>
      </c>
      <c r="M1300" s="83">
        <f t="shared" si="3"/>
        <v>73194.84</v>
      </c>
      <c r="N1300" s="46" t="str">
        <f>VLOOKUP(F1300,products!$A$2:$B$13,2,FALSE)</f>
        <v>Beverages</v>
      </c>
      <c r="O1300" s="46" t="s">
        <v>99</v>
      </c>
      <c r="P1300" s="46">
        <f t="array" ref="P1300">WEEKDAY(B1300,2)</f>
        <v>1</v>
      </c>
      <c r="Q1300" s="46"/>
      <c r="R1300" s="46"/>
      <c r="S1300" s="46"/>
      <c r="T1300" s="46"/>
      <c r="U1300" s="46"/>
      <c r="V1300" s="46"/>
      <c r="W1300" s="46"/>
      <c r="X1300" s="46"/>
      <c r="Y1300" s="46"/>
      <c r="Z1300" s="46"/>
    </row>
    <row r="1301">
      <c r="A1301" s="56">
        <v>9.77324712E8</v>
      </c>
      <c r="B1301" s="126">
        <v>40575.0</v>
      </c>
      <c r="C1301" s="126">
        <v>40612.0</v>
      </c>
      <c r="D1301" s="56" t="s">
        <v>95</v>
      </c>
      <c r="E1301" s="56" t="s">
        <v>107</v>
      </c>
      <c r="F1301" s="56">
        <v>8969.0</v>
      </c>
      <c r="G1301" s="56" t="s">
        <v>43</v>
      </c>
      <c r="H1301" s="56">
        <v>955.0</v>
      </c>
      <c r="I1301" s="127">
        <v>152.58</v>
      </c>
      <c r="J1301" s="127">
        <v>97.44</v>
      </c>
      <c r="K1301" s="83">
        <f t="shared" si="1"/>
        <v>145713.9</v>
      </c>
      <c r="L1301" s="83">
        <f t="shared" si="2"/>
        <v>93055.2</v>
      </c>
      <c r="M1301" s="83">
        <f t="shared" si="3"/>
        <v>52658.7</v>
      </c>
      <c r="N1301" s="46" t="str">
        <f>VLOOKUP(F1301,products!$A$2:$B$13,2,FALSE)</f>
        <v>Snacks</v>
      </c>
      <c r="O1301" s="46" t="s">
        <v>107</v>
      </c>
      <c r="P1301" s="46">
        <f t="array" ref="P1301">WEEKDAY(B1301,2)</f>
        <v>2</v>
      </c>
      <c r="Q1301" s="46"/>
      <c r="R1301" s="46"/>
      <c r="S1301" s="46"/>
      <c r="T1301" s="46"/>
      <c r="U1301" s="46"/>
      <c r="V1301" s="46"/>
      <c r="W1301" s="46"/>
      <c r="X1301" s="46"/>
      <c r="Y1301" s="46"/>
      <c r="Z1301" s="46"/>
    </row>
    <row r="1302">
      <c r="A1302" s="56">
        <v>9.79073941E8</v>
      </c>
      <c r="B1302" s="126">
        <v>40355.0</v>
      </c>
      <c r="C1302" s="126">
        <v>40377.0</v>
      </c>
      <c r="D1302" s="56" t="s">
        <v>10</v>
      </c>
      <c r="E1302" s="56" t="s">
        <v>122</v>
      </c>
      <c r="F1302" s="56">
        <v>7331.0</v>
      </c>
      <c r="G1302" s="56" t="s">
        <v>43</v>
      </c>
      <c r="H1302" s="56">
        <v>8591.0</v>
      </c>
      <c r="I1302" s="127">
        <v>255.28</v>
      </c>
      <c r="J1302" s="127">
        <v>159.42</v>
      </c>
      <c r="K1302" s="83">
        <f t="shared" si="1"/>
        <v>2193110.48</v>
      </c>
      <c r="L1302" s="83">
        <f t="shared" si="2"/>
        <v>1369577.22</v>
      </c>
      <c r="M1302" s="83">
        <f t="shared" si="3"/>
        <v>823533.26</v>
      </c>
      <c r="N1302" s="46" t="str">
        <f>VLOOKUP(F1302,products!$A$2:$B$13,2,FALSE)</f>
        <v>Baby Food</v>
      </c>
      <c r="O1302" s="46" t="s">
        <v>122</v>
      </c>
      <c r="P1302" s="46">
        <f t="array" ref="P1302">WEEKDAY(B1302,2)</f>
        <v>6</v>
      </c>
      <c r="Q1302" s="46"/>
      <c r="R1302" s="46"/>
      <c r="S1302" s="46"/>
      <c r="T1302" s="46"/>
      <c r="U1302" s="46"/>
      <c r="V1302" s="46"/>
      <c r="W1302" s="46"/>
      <c r="X1302" s="46"/>
      <c r="Y1302" s="46"/>
      <c r="Z1302" s="46"/>
    </row>
    <row r="1303">
      <c r="A1303" s="56">
        <v>9.79200112E8</v>
      </c>
      <c r="B1303" s="126">
        <v>41622.0</v>
      </c>
      <c r="C1303" s="126">
        <v>41638.0</v>
      </c>
      <c r="D1303" s="56" t="s">
        <v>10</v>
      </c>
      <c r="E1303" s="56" t="s">
        <v>119</v>
      </c>
      <c r="F1303" s="56">
        <v>8875.0</v>
      </c>
      <c r="G1303" s="56" t="s">
        <v>43</v>
      </c>
      <c r="H1303" s="56">
        <v>5928.0</v>
      </c>
      <c r="I1303" s="127">
        <v>421.89</v>
      </c>
      <c r="J1303" s="127">
        <v>364.69</v>
      </c>
      <c r="K1303" s="83">
        <f t="shared" si="1"/>
        <v>2500963.92</v>
      </c>
      <c r="L1303" s="83">
        <f t="shared" si="2"/>
        <v>2161882.32</v>
      </c>
      <c r="M1303" s="83">
        <f t="shared" si="3"/>
        <v>339081.6</v>
      </c>
      <c r="N1303" s="46" t="str">
        <f>VLOOKUP(F1303,products!$A$2:$B$13,2,FALSE)</f>
        <v>Meat</v>
      </c>
      <c r="O1303" s="46" t="s">
        <v>119</v>
      </c>
      <c r="P1303" s="46">
        <f t="array" ref="P1303">WEEKDAY(B1303,2)</f>
        <v>6</v>
      </c>
      <c r="Q1303" s="46"/>
      <c r="R1303" s="46"/>
      <c r="S1303" s="46"/>
      <c r="T1303" s="46"/>
      <c r="U1303" s="46"/>
      <c r="V1303" s="46"/>
      <c r="W1303" s="46"/>
      <c r="X1303" s="46"/>
      <c r="Y1303" s="46"/>
      <c r="Z1303" s="46"/>
    </row>
    <row r="1304">
      <c r="A1304" s="56">
        <v>9.80381143E8</v>
      </c>
      <c r="B1304" s="126">
        <v>40439.0</v>
      </c>
      <c r="C1304" s="126">
        <v>40447.0</v>
      </c>
      <c r="D1304" s="56" t="s">
        <v>10</v>
      </c>
      <c r="E1304" s="56" t="s">
        <v>125</v>
      </c>
      <c r="F1304" s="56">
        <v>7331.0</v>
      </c>
      <c r="G1304" s="56" t="s">
        <v>42</v>
      </c>
      <c r="H1304" s="56">
        <v>5421.0</v>
      </c>
      <c r="I1304" s="127">
        <v>255.28</v>
      </c>
      <c r="J1304" s="127">
        <v>159.42</v>
      </c>
      <c r="K1304" s="83">
        <f t="shared" si="1"/>
        <v>1383872.88</v>
      </c>
      <c r="L1304" s="83">
        <f t="shared" si="2"/>
        <v>864215.82</v>
      </c>
      <c r="M1304" s="83">
        <f t="shared" si="3"/>
        <v>519657.06</v>
      </c>
      <c r="N1304" s="46" t="str">
        <f>VLOOKUP(F1304,products!$A$2:$B$13,2,FALSE)</f>
        <v>Baby Food</v>
      </c>
      <c r="O1304" s="46" t="s">
        <v>125</v>
      </c>
      <c r="P1304" s="46">
        <f t="array" ref="P1304">WEEKDAY(B1304,2)</f>
        <v>6</v>
      </c>
      <c r="Q1304" s="46"/>
      <c r="R1304" s="46"/>
      <c r="S1304" s="46"/>
      <c r="T1304" s="46"/>
      <c r="U1304" s="46"/>
      <c r="V1304" s="46"/>
      <c r="W1304" s="46"/>
      <c r="X1304" s="46"/>
      <c r="Y1304" s="46"/>
      <c r="Z1304" s="46"/>
    </row>
    <row r="1305">
      <c r="A1305" s="56">
        <v>9.80598723E8</v>
      </c>
      <c r="B1305" s="126">
        <v>42229.0</v>
      </c>
      <c r="C1305" s="126">
        <v>42271.0</v>
      </c>
      <c r="D1305" s="56" t="s">
        <v>10</v>
      </c>
      <c r="E1305" s="56" t="s">
        <v>97</v>
      </c>
      <c r="F1305" s="56">
        <v>3127.0</v>
      </c>
      <c r="G1305" s="56" t="s">
        <v>42</v>
      </c>
      <c r="H1305" s="56">
        <v>9808.0</v>
      </c>
      <c r="I1305" s="127">
        <v>81.73</v>
      </c>
      <c r="J1305" s="127">
        <v>56.67</v>
      </c>
      <c r="K1305" s="83">
        <f t="shared" si="1"/>
        <v>801607.84</v>
      </c>
      <c r="L1305" s="83">
        <f t="shared" si="2"/>
        <v>555819.36</v>
      </c>
      <c r="M1305" s="83">
        <f t="shared" si="3"/>
        <v>245788.48</v>
      </c>
      <c r="N1305" s="46" t="str">
        <f>VLOOKUP(F1305,products!$A$2:$B$13,2,FALSE)</f>
        <v>Personal Care</v>
      </c>
      <c r="O1305" s="46" t="s">
        <v>97</v>
      </c>
      <c r="P1305" s="46">
        <f t="array" ref="P1305">WEEKDAY(B1305,2)</f>
        <v>4</v>
      </c>
      <c r="Q1305" s="46"/>
      <c r="R1305" s="46"/>
      <c r="S1305" s="46"/>
      <c r="T1305" s="46"/>
      <c r="U1305" s="46"/>
      <c r="V1305" s="46"/>
      <c r="W1305" s="46"/>
      <c r="X1305" s="46"/>
      <c r="Y1305" s="46"/>
      <c r="Z1305" s="46"/>
    </row>
    <row r="1306">
      <c r="A1306" s="56">
        <v>9.80961358E8</v>
      </c>
      <c r="B1306" s="126">
        <v>41523.0</v>
      </c>
      <c r="C1306" s="126">
        <v>41555.0</v>
      </c>
      <c r="D1306" s="56" t="s">
        <v>10</v>
      </c>
      <c r="E1306" s="56" t="s">
        <v>107</v>
      </c>
      <c r="F1306" s="56">
        <v>8293.0</v>
      </c>
      <c r="G1306" s="56" t="s">
        <v>43</v>
      </c>
      <c r="H1306" s="56">
        <v>7120.0</v>
      </c>
      <c r="I1306" s="127">
        <v>437.2</v>
      </c>
      <c r="J1306" s="127">
        <v>263.33</v>
      </c>
      <c r="K1306" s="83">
        <f t="shared" si="1"/>
        <v>3112864</v>
      </c>
      <c r="L1306" s="83">
        <f t="shared" si="2"/>
        <v>1874909.6</v>
      </c>
      <c r="M1306" s="83">
        <f t="shared" si="3"/>
        <v>1237954.4</v>
      </c>
      <c r="N1306" s="46" t="str">
        <f>VLOOKUP(F1306,products!$A$2:$B$13,2,FALSE)</f>
        <v>Cosmetics</v>
      </c>
      <c r="O1306" s="46" t="s">
        <v>107</v>
      </c>
      <c r="P1306" s="46">
        <f t="array" ref="P1306">WEEKDAY(B1306,2)</f>
        <v>5</v>
      </c>
      <c r="Q1306" s="46"/>
      <c r="R1306" s="46"/>
      <c r="S1306" s="46"/>
      <c r="T1306" s="46"/>
      <c r="U1306" s="46"/>
      <c r="V1306" s="46"/>
      <c r="W1306" s="46"/>
      <c r="X1306" s="46"/>
      <c r="Y1306" s="46"/>
      <c r="Z1306" s="46"/>
    </row>
    <row r="1307">
      <c r="A1307" s="56">
        <v>9.81154048E8</v>
      </c>
      <c r="B1307" s="126">
        <v>41482.0</v>
      </c>
      <c r="C1307" s="126">
        <v>41495.0</v>
      </c>
      <c r="D1307" s="56" t="s">
        <v>10</v>
      </c>
      <c r="E1307" s="56" t="s">
        <v>126</v>
      </c>
      <c r="F1307" s="56">
        <v>1270.0</v>
      </c>
      <c r="G1307" s="56" t="s">
        <v>42</v>
      </c>
      <c r="H1307" s="56">
        <v>4141.0</v>
      </c>
      <c r="I1307" s="127">
        <v>47.45</v>
      </c>
      <c r="J1307" s="127">
        <v>31.79</v>
      </c>
      <c r="K1307" s="83">
        <f t="shared" si="1"/>
        <v>196490.45</v>
      </c>
      <c r="L1307" s="83">
        <f t="shared" si="2"/>
        <v>131642.39</v>
      </c>
      <c r="M1307" s="83">
        <f t="shared" si="3"/>
        <v>64848.06</v>
      </c>
      <c r="N1307" s="46" t="str">
        <f>VLOOKUP(F1307,products!$A$2:$B$13,2,FALSE)</f>
        <v>Beverages</v>
      </c>
      <c r="O1307" s="46" t="s">
        <v>126</v>
      </c>
      <c r="P1307" s="46">
        <f t="array" ref="P1307">WEEKDAY(B1307,2)</f>
        <v>6</v>
      </c>
      <c r="Q1307" s="46"/>
      <c r="R1307" s="46"/>
      <c r="S1307" s="46"/>
      <c r="T1307" s="46"/>
      <c r="U1307" s="46"/>
      <c r="V1307" s="46"/>
      <c r="W1307" s="46"/>
      <c r="X1307" s="46"/>
      <c r="Y1307" s="46"/>
      <c r="Z1307" s="46"/>
    </row>
    <row r="1308">
      <c r="A1308" s="56">
        <v>9.81808078E8</v>
      </c>
      <c r="B1308" s="126">
        <v>40935.0</v>
      </c>
      <c r="C1308" s="126">
        <v>40936.0</v>
      </c>
      <c r="D1308" s="56" t="s">
        <v>93</v>
      </c>
      <c r="E1308" s="56" t="s">
        <v>112</v>
      </c>
      <c r="F1308" s="56">
        <v>8969.0</v>
      </c>
      <c r="G1308" s="56" t="s">
        <v>43</v>
      </c>
      <c r="H1308" s="56">
        <v>7683.0</v>
      </c>
      <c r="I1308" s="127">
        <v>152.58</v>
      </c>
      <c r="J1308" s="127">
        <v>97.44</v>
      </c>
      <c r="K1308" s="83">
        <f t="shared" si="1"/>
        <v>1172272.14</v>
      </c>
      <c r="L1308" s="83">
        <f t="shared" si="2"/>
        <v>748631.52</v>
      </c>
      <c r="M1308" s="83">
        <f t="shared" si="3"/>
        <v>423640.62</v>
      </c>
      <c r="N1308" s="46" t="str">
        <f>VLOOKUP(F1308,products!$A$2:$B$13,2,FALSE)</f>
        <v>Snacks</v>
      </c>
      <c r="O1308" s="46" t="s">
        <v>112</v>
      </c>
      <c r="P1308" s="46">
        <f t="array" ref="P1308">WEEKDAY(B1308,2)</f>
        <v>5</v>
      </c>
      <c r="Q1308" s="46"/>
      <c r="R1308" s="46"/>
      <c r="S1308" s="46"/>
      <c r="T1308" s="46"/>
      <c r="U1308" s="46"/>
      <c r="V1308" s="46"/>
      <c r="W1308" s="46"/>
      <c r="X1308" s="46"/>
      <c r="Y1308" s="46"/>
      <c r="Z1308" s="46"/>
    </row>
    <row r="1309">
      <c r="A1309" s="56">
        <v>9.82566821E8</v>
      </c>
      <c r="B1309" s="126">
        <v>40650.0</v>
      </c>
      <c r="C1309" s="126">
        <v>40699.0</v>
      </c>
      <c r="D1309" s="56" t="s">
        <v>89</v>
      </c>
      <c r="E1309" s="56" t="s">
        <v>110</v>
      </c>
      <c r="F1309" s="56">
        <v>8681.0</v>
      </c>
      <c r="G1309" s="56" t="s">
        <v>43</v>
      </c>
      <c r="H1309" s="56">
        <v>2212.0</v>
      </c>
      <c r="I1309" s="127">
        <v>651.21</v>
      </c>
      <c r="J1309" s="127">
        <v>524.96</v>
      </c>
      <c r="K1309" s="83">
        <f t="shared" si="1"/>
        <v>1440476.52</v>
      </c>
      <c r="L1309" s="83">
        <f t="shared" si="2"/>
        <v>1161211.52</v>
      </c>
      <c r="M1309" s="83">
        <f t="shared" si="3"/>
        <v>279265</v>
      </c>
      <c r="N1309" s="46" t="str">
        <f>VLOOKUP(F1309,products!$A$2:$B$13,2,FALSE)</f>
        <v>Office Supplies</v>
      </c>
      <c r="O1309" s="46" t="s">
        <v>110</v>
      </c>
      <c r="P1309" s="46">
        <f t="array" ref="P1309">WEEKDAY(B1309,2)</f>
        <v>7</v>
      </c>
      <c r="Q1309" s="46"/>
      <c r="R1309" s="46"/>
      <c r="S1309" s="46"/>
      <c r="T1309" s="46"/>
      <c r="U1309" s="46"/>
      <c r="V1309" s="46"/>
      <c r="W1309" s="46"/>
      <c r="X1309" s="46"/>
      <c r="Y1309" s="46"/>
      <c r="Z1309" s="46"/>
    </row>
    <row r="1310">
      <c r="A1310" s="56">
        <v>9.85039174E8</v>
      </c>
      <c r="B1310" s="126">
        <v>40578.0</v>
      </c>
      <c r="C1310" s="126">
        <v>40612.0</v>
      </c>
      <c r="D1310" s="56" t="s">
        <v>95</v>
      </c>
      <c r="E1310" s="56" t="s">
        <v>121</v>
      </c>
      <c r="F1310" s="56">
        <v>1270.0</v>
      </c>
      <c r="G1310" s="56" t="s">
        <v>43</v>
      </c>
      <c r="H1310" s="56">
        <v>3836.0</v>
      </c>
      <c r="I1310" s="127">
        <v>47.45</v>
      </c>
      <c r="J1310" s="127">
        <v>31.79</v>
      </c>
      <c r="K1310" s="83">
        <f t="shared" si="1"/>
        <v>182018.2</v>
      </c>
      <c r="L1310" s="83">
        <f t="shared" si="2"/>
        <v>121946.44</v>
      </c>
      <c r="M1310" s="83">
        <f t="shared" si="3"/>
        <v>60071.76</v>
      </c>
      <c r="N1310" s="46" t="str">
        <f>VLOOKUP(F1310,products!$A$2:$B$13,2,FALSE)</f>
        <v>Beverages</v>
      </c>
      <c r="O1310" s="46" t="s">
        <v>121</v>
      </c>
      <c r="P1310" s="46">
        <f t="array" ref="P1310">WEEKDAY(B1310,2)</f>
        <v>5</v>
      </c>
      <c r="Q1310" s="46"/>
      <c r="R1310" s="46"/>
      <c r="S1310" s="46"/>
      <c r="T1310" s="46"/>
      <c r="U1310" s="46"/>
      <c r="V1310" s="46"/>
      <c r="W1310" s="46"/>
      <c r="X1310" s="46"/>
      <c r="Y1310" s="46"/>
      <c r="Z1310" s="46"/>
    </row>
    <row r="1311">
      <c r="A1311" s="56">
        <v>9.85417258E8</v>
      </c>
      <c r="B1311" s="126">
        <v>40817.0</v>
      </c>
      <c r="C1311" s="126">
        <v>40837.0</v>
      </c>
      <c r="D1311" s="56" t="s">
        <v>89</v>
      </c>
      <c r="E1311" s="56" t="s">
        <v>103</v>
      </c>
      <c r="F1311" s="56">
        <v>2103.0</v>
      </c>
      <c r="G1311" s="56" t="s">
        <v>43</v>
      </c>
      <c r="H1311" s="56">
        <v>5720.0</v>
      </c>
      <c r="I1311" s="127">
        <v>205.7</v>
      </c>
      <c r="J1311" s="127">
        <v>117.11</v>
      </c>
      <c r="K1311" s="83">
        <f t="shared" si="1"/>
        <v>1176604</v>
      </c>
      <c r="L1311" s="83">
        <f t="shared" si="2"/>
        <v>669869.2</v>
      </c>
      <c r="M1311" s="83">
        <f t="shared" si="3"/>
        <v>506734.8</v>
      </c>
      <c r="N1311" s="46" t="str">
        <f>VLOOKUP(F1311,products!$A$2:$B$13,2,FALSE)</f>
        <v>Cereal</v>
      </c>
      <c r="O1311" s="46" t="s">
        <v>103</v>
      </c>
      <c r="P1311" s="46">
        <f t="array" ref="P1311">WEEKDAY(B1311,2)</f>
        <v>6</v>
      </c>
      <c r="Q1311" s="46"/>
      <c r="R1311" s="46"/>
      <c r="S1311" s="46"/>
      <c r="T1311" s="46"/>
      <c r="U1311" s="46"/>
      <c r="V1311" s="46"/>
      <c r="W1311" s="46"/>
      <c r="X1311" s="46"/>
      <c r="Y1311" s="46"/>
      <c r="Z1311" s="46"/>
    </row>
    <row r="1312">
      <c r="A1312" s="56">
        <v>9.86449801E8</v>
      </c>
      <c r="B1312" s="126">
        <v>41305.0</v>
      </c>
      <c r="C1312" s="126">
        <v>41346.0</v>
      </c>
      <c r="D1312" s="56" t="s">
        <v>95</v>
      </c>
      <c r="E1312" s="56" t="s">
        <v>131</v>
      </c>
      <c r="F1312" s="56">
        <v>8875.0</v>
      </c>
      <c r="G1312" s="56" t="s">
        <v>42</v>
      </c>
      <c r="H1312" s="56">
        <v>1272.0</v>
      </c>
      <c r="I1312" s="127">
        <v>421.89</v>
      </c>
      <c r="J1312" s="127">
        <v>364.69</v>
      </c>
      <c r="K1312" s="83">
        <f t="shared" si="1"/>
        <v>536644.08</v>
      </c>
      <c r="L1312" s="83">
        <f t="shared" si="2"/>
        <v>463885.68</v>
      </c>
      <c r="M1312" s="83">
        <f t="shared" si="3"/>
        <v>72758.4</v>
      </c>
      <c r="N1312" s="46" t="str">
        <f>VLOOKUP(F1312,products!$A$2:$B$13,2,FALSE)</f>
        <v>Meat</v>
      </c>
      <c r="O1312" s="46" t="s">
        <v>131</v>
      </c>
      <c r="P1312" s="46">
        <f t="array" ref="P1312">WEEKDAY(B1312,2)</f>
        <v>4</v>
      </c>
      <c r="Q1312" s="46"/>
      <c r="R1312" s="46"/>
      <c r="S1312" s="46"/>
      <c r="T1312" s="46"/>
      <c r="U1312" s="46"/>
      <c r="V1312" s="46"/>
      <c r="W1312" s="46"/>
      <c r="X1312" s="46"/>
      <c r="Y1312" s="46"/>
      <c r="Z1312" s="46"/>
    </row>
    <row r="1313">
      <c r="A1313" s="56">
        <v>9.87050187E8</v>
      </c>
      <c r="B1313" s="126">
        <v>41011.0</v>
      </c>
      <c r="C1313" s="126">
        <v>41024.0</v>
      </c>
      <c r="D1313" s="56" t="s">
        <v>10</v>
      </c>
      <c r="E1313" s="56" t="s">
        <v>119</v>
      </c>
      <c r="F1313" s="56">
        <v>5988.0</v>
      </c>
      <c r="G1313" s="56" t="s">
        <v>43</v>
      </c>
      <c r="H1313" s="56">
        <v>8940.0</v>
      </c>
      <c r="I1313" s="127">
        <v>154.06</v>
      </c>
      <c r="J1313" s="127">
        <v>90.93</v>
      </c>
      <c r="K1313" s="83">
        <f t="shared" si="1"/>
        <v>1377296.4</v>
      </c>
      <c r="L1313" s="83">
        <f t="shared" si="2"/>
        <v>812914.2</v>
      </c>
      <c r="M1313" s="83">
        <f t="shared" si="3"/>
        <v>564382.2</v>
      </c>
      <c r="N1313" s="46" t="str">
        <f>VLOOKUP(F1313,products!$A$2:$B$13,2,FALSE)</f>
        <v>Vegetables</v>
      </c>
      <c r="O1313" s="46" t="s">
        <v>119</v>
      </c>
      <c r="P1313" s="46">
        <f t="array" ref="P1313">WEEKDAY(B1313,2)</f>
        <v>4</v>
      </c>
      <c r="Q1313" s="46"/>
      <c r="R1313" s="46"/>
      <c r="S1313" s="46"/>
      <c r="T1313" s="46"/>
      <c r="U1313" s="46"/>
      <c r="V1313" s="46"/>
      <c r="W1313" s="46"/>
      <c r="X1313" s="46"/>
      <c r="Y1313" s="46"/>
      <c r="Z1313" s="46"/>
    </row>
    <row r="1314">
      <c r="A1314" s="56">
        <v>9.87410676E8</v>
      </c>
      <c r="B1314" s="126">
        <v>41864.0</v>
      </c>
      <c r="C1314" s="126">
        <v>41888.0</v>
      </c>
      <c r="D1314" s="56" t="s">
        <v>10</v>
      </c>
      <c r="E1314" s="56" t="s">
        <v>118</v>
      </c>
      <c r="F1314" s="56">
        <v>2103.0</v>
      </c>
      <c r="G1314" s="56" t="s">
        <v>42</v>
      </c>
      <c r="H1314" s="56">
        <v>5616.0</v>
      </c>
      <c r="I1314" s="127">
        <v>205.7</v>
      </c>
      <c r="J1314" s="127">
        <v>117.11</v>
      </c>
      <c r="K1314" s="83">
        <f t="shared" si="1"/>
        <v>1155211.2</v>
      </c>
      <c r="L1314" s="83">
        <f t="shared" si="2"/>
        <v>657689.76</v>
      </c>
      <c r="M1314" s="83">
        <f t="shared" si="3"/>
        <v>497521.44</v>
      </c>
      <c r="N1314" s="46" t="str">
        <f>VLOOKUP(F1314,products!$A$2:$B$13,2,FALSE)</f>
        <v>Cereal</v>
      </c>
      <c r="O1314" s="46" t="s">
        <v>118</v>
      </c>
      <c r="P1314" s="46">
        <f t="array" ref="P1314">WEEKDAY(B1314,2)</f>
        <v>3</v>
      </c>
      <c r="Q1314" s="46"/>
      <c r="R1314" s="46"/>
      <c r="S1314" s="46"/>
      <c r="T1314" s="46"/>
      <c r="U1314" s="46"/>
      <c r="V1314" s="46"/>
      <c r="W1314" s="46"/>
      <c r="X1314" s="46"/>
      <c r="Y1314" s="46"/>
      <c r="Z1314" s="46"/>
    </row>
    <row r="1315">
      <c r="A1315" s="56">
        <v>9.8745917E8</v>
      </c>
      <c r="B1315" s="126">
        <v>40375.0</v>
      </c>
      <c r="C1315" s="126">
        <v>40417.0</v>
      </c>
      <c r="D1315" s="56" t="s">
        <v>89</v>
      </c>
      <c r="E1315" s="56" t="s">
        <v>113</v>
      </c>
      <c r="F1315" s="56">
        <v>3127.0</v>
      </c>
      <c r="G1315" s="56" t="s">
        <v>43</v>
      </c>
      <c r="H1315" s="56">
        <v>9967.0</v>
      </c>
      <c r="I1315" s="127">
        <v>81.73</v>
      </c>
      <c r="J1315" s="127">
        <v>56.67</v>
      </c>
      <c r="K1315" s="83">
        <f t="shared" si="1"/>
        <v>814602.91</v>
      </c>
      <c r="L1315" s="83">
        <f t="shared" si="2"/>
        <v>564829.89</v>
      </c>
      <c r="M1315" s="83">
        <f t="shared" si="3"/>
        <v>249773.02</v>
      </c>
      <c r="N1315" s="46" t="str">
        <f>VLOOKUP(F1315,products!$A$2:$B$13,2,FALSE)</f>
        <v>Personal Care</v>
      </c>
      <c r="O1315" s="46" t="s">
        <v>113</v>
      </c>
      <c r="P1315" s="46">
        <f t="array" ref="P1315">WEEKDAY(B1315,2)</f>
        <v>5</v>
      </c>
      <c r="Q1315" s="46"/>
      <c r="R1315" s="46"/>
      <c r="S1315" s="46"/>
      <c r="T1315" s="46"/>
      <c r="U1315" s="46"/>
      <c r="V1315" s="46"/>
      <c r="W1315" s="46"/>
      <c r="X1315" s="46"/>
      <c r="Y1315" s="46"/>
      <c r="Z1315" s="46"/>
    </row>
    <row r="1316">
      <c r="A1316" s="56">
        <v>9.87767302E8</v>
      </c>
      <c r="B1316" s="126">
        <v>41098.0</v>
      </c>
      <c r="C1316" s="126">
        <v>41122.0</v>
      </c>
      <c r="D1316" s="56" t="s">
        <v>10</v>
      </c>
      <c r="E1316" s="56" t="s">
        <v>110</v>
      </c>
      <c r="F1316" s="56">
        <v>8681.0</v>
      </c>
      <c r="G1316" s="56" t="s">
        <v>43</v>
      </c>
      <c r="H1316" s="56">
        <v>1150.0</v>
      </c>
      <c r="I1316" s="127">
        <v>651.21</v>
      </c>
      <c r="J1316" s="127">
        <v>524.96</v>
      </c>
      <c r="K1316" s="83">
        <f t="shared" si="1"/>
        <v>748891.5</v>
      </c>
      <c r="L1316" s="83">
        <f t="shared" si="2"/>
        <v>603704</v>
      </c>
      <c r="M1316" s="83">
        <f t="shared" si="3"/>
        <v>145187.5</v>
      </c>
      <c r="N1316" s="46" t="str">
        <f>VLOOKUP(F1316,products!$A$2:$B$13,2,FALSE)</f>
        <v>Office Supplies</v>
      </c>
      <c r="O1316" s="46" t="s">
        <v>110</v>
      </c>
      <c r="P1316" s="46">
        <f t="array" ref="P1316">WEEKDAY(B1316,2)</f>
        <v>7</v>
      </c>
      <c r="Q1316" s="46"/>
      <c r="R1316" s="46"/>
      <c r="S1316" s="46"/>
      <c r="T1316" s="46"/>
      <c r="U1316" s="46"/>
      <c r="V1316" s="46"/>
      <c r="W1316" s="46"/>
      <c r="X1316" s="46"/>
      <c r="Y1316" s="46"/>
      <c r="Z1316" s="46"/>
    </row>
    <row r="1317">
      <c r="A1317" s="56">
        <v>9.8859986E8</v>
      </c>
      <c r="B1317" s="126">
        <v>41949.0</v>
      </c>
      <c r="C1317" s="126">
        <v>41984.0</v>
      </c>
      <c r="D1317" s="56" t="s">
        <v>95</v>
      </c>
      <c r="E1317" s="56" t="s">
        <v>114</v>
      </c>
      <c r="F1317" s="56">
        <v>7940.0</v>
      </c>
      <c r="G1317" s="56" t="s">
        <v>42</v>
      </c>
      <c r="H1317" s="56">
        <v>7522.0</v>
      </c>
      <c r="I1317" s="127">
        <v>668.27</v>
      </c>
      <c r="J1317" s="127">
        <v>502.54</v>
      </c>
      <c r="K1317" s="83">
        <f t="shared" si="1"/>
        <v>5026726.94</v>
      </c>
      <c r="L1317" s="83">
        <f t="shared" si="2"/>
        <v>3780105.88</v>
      </c>
      <c r="M1317" s="83">
        <f t="shared" si="3"/>
        <v>1246621.06</v>
      </c>
      <c r="N1317" s="46" t="str">
        <f>VLOOKUP(F1317,products!$A$2:$B$13,2,FALSE)</f>
        <v>Household</v>
      </c>
      <c r="O1317" s="46" t="s">
        <v>114</v>
      </c>
      <c r="P1317" s="46">
        <f t="array" ref="P1317">WEEKDAY(B1317,2)</f>
        <v>4</v>
      </c>
      <c r="Q1317" s="46"/>
      <c r="R1317" s="46"/>
      <c r="S1317" s="46"/>
      <c r="T1317" s="46"/>
      <c r="U1317" s="46"/>
      <c r="V1317" s="46"/>
      <c r="W1317" s="46"/>
      <c r="X1317" s="46"/>
      <c r="Y1317" s="46"/>
      <c r="Z1317" s="46"/>
    </row>
    <row r="1318">
      <c r="A1318" s="56">
        <v>9.88614022E8</v>
      </c>
      <c r="B1318" s="126">
        <v>40510.0</v>
      </c>
      <c r="C1318" s="126">
        <v>40554.0</v>
      </c>
      <c r="D1318" s="56" t="s">
        <v>93</v>
      </c>
      <c r="E1318" s="56" t="s">
        <v>119</v>
      </c>
      <c r="F1318" s="56">
        <v>2103.0</v>
      </c>
      <c r="G1318" s="56" t="s">
        <v>42</v>
      </c>
      <c r="H1318" s="56">
        <v>1713.0</v>
      </c>
      <c r="I1318" s="127">
        <v>205.7</v>
      </c>
      <c r="J1318" s="127">
        <v>117.11</v>
      </c>
      <c r="K1318" s="83">
        <f t="shared" si="1"/>
        <v>352364.1</v>
      </c>
      <c r="L1318" s="83">
        <f t="shared" si="2"/>
        <v>200609.43</v>
      </c>
      <c r="M1318" s="83">
        <f t="shared" si="3"/>
        <v>151754.67</v>
      </c>
      <c r="N1318" s="46" t="str">
        <f>VLOOKUP(F1318,products!$A$2:$B$13,2,FALSE)</f>
        <v>Cereal</v>
      </c>
      <c r="O1318" s="46" t="s">
        <v>119</v>
      </c>
      <c r="P1318" s="46">
        <f t="array" ref="P1318">WEEKDAY(B1318,2)</f>
        <v>7</v>
      </c>
      <c r="Q1318" s="46"/>
      <c r="R1318" s="46"/>
      <c r="S1318" s="46"/>
      <c r="T1318" s="46"/>
      <c r="U1318" s="46"/>
      <c r="V1318" s="46"/>
      <c r="W1318" s="46"/>
      <c r="X1318" s="46"/>
      <c r="Y1318" s="46"/>
      <c r="Z1318" s="46"/>
    </row>
    <row r="1319">
      <c r="A1319" s="56">
        <v>9.89102828E8</v>
      </c>
      <c r="B1319" s="126">
        <v>41071.0</v>
      </c>
      <c r="C1319" s="126">
        <v>41098.0</v>
      </c>
      <c r="D1319" s="56" t="s">
        <v>93</v>
      </c>
      <c r="E1319" s="56" t="e">
        <v>#N/A</v>
      </c>
      <c r="F1319" s="56">
        <v>4594.0</v>
      </c>
      <c r="G1319" s="56" t="s">
        <v>43</v>
      </c>
      <c r="H1319" s="56">
        <v>6362.0</v>
      </c>
      <c r="I1319" s="127">
        <v>9.33</v>
      </c>
      <c r="J1319" s="127">
        <v>6.92</v>
      </c>
      <c r="K1319" s="83">
        <f t="shared" si="1"/>
        <v>59357.46</v>
      </c>
      <c r="L1319" s="83">
        <f t="shared" si="2"/>
        <v>44025.04</v>
      </c>
      <c r="M1319" s="83">
        <f t="shared" si="3"/>
        <v>15332.42</v>
      </c>
      <c r="N1319" s="46" t="str">
        <f>VLOOKUP(F1319,products!$A$2:$B$13,2,FALSE)</f>
        <v>Fruits</v>
      </c>
      <c r="O1319" s="46" t="s">
        <v>92</v>
      </c>
      <c r="P1319" s="46">
        <f t="array" ref="P1319">WEEKDAY(B1319,2)</f>
        <v>1</v>
      </c>
      <c r="Q1319" s="46"/>
      <c r="R1319" s="46"/>
      <c r="S1319" s="46"/>
      <c r="T1319" s="46"/>
      <c r="U1319" s="46"/>
      <c r="V1319" s="46"/>
      <c r="W1319" s="46"/>
      <c r="X1319" s="46"/>
      <c r="Y1319" s="46"/>
      <c r="Z1319" s="46"/>
    </row>
    <row r="1320">
      <c r="A1320" s="56">
        <v>9.89403665E8</v>
      </c>
      <c r="B1320" s="126">
        <v>42116.0</v>
      </c>
      <c r="C1320" s="126">
        <v>42149.0</v>
      </c>
      <c r="D1320" s="56" t="s">
        <v>89</v>
      </c>
      <c r="E1320" s="56" t="s">
        <v>119</v>
      </c>
      <c r="F1320" s="56">
        <v>2455.0</v>
      </c>
      <c r="G1320" s="56" t="s">
        <v>43</v>
      </c>
      <c r="H1320" s="56">
        <v>5386.0</v>
      </c>
      <c r="I1320" s="127">
        <v>109.28</v>
      </c>
      <c r="J1320" s="127">
        <v>35.84</v>
      </c>
      <c r="K1320" s="83">
        <f t="shared" si="1"/>
        <v>588582.08</v>
      </c>
      <c r="L1320" s="83">
        <f t="shared" si="2"/>
        <v>193034.24</v>
      </c>
      <c r="M1320" s="83">
        <f t="shared" si="3"/>
        <v>395547.84</v>
      </c>
      <c r="N1320" s="46" t="str">
        <f>VLOOKUP(F1320,products!$A$2:$B$13,2,FALSE)</f>
        <v>Clothes</v>
      </c>
      <c r="O1320" s="46" t="s">
        <v>119</v>
      </c>
      <c r="P1320" s="46">
        <f t="array" ref="P1320">WEEKDAY(B1320,2)</f>
        <v>3</v>
      </c>
      <c r="Q1320" s="46"/>
      <c r="R1320" s="46"/>
      <c r="S1320" s="46"/>
      <c r="T1320" s="46"/>
      <c r="U1320" s="46"/>
      <c r="V1320" s="46"/>
      <c r="W1320" s="46"/>
      <c r="X1320" s="46"/>
      <c r="Y1320" s="46"/>
      <c r="Z1320" s="46"/>
    </row>
    <row r="1321">
      <c r="A1321" s="56">
        <v>9.9045509E8</v>
      </c>
      <c r="B1321" s="126">
        <v>41608.0</v>
      </c>
      <c r="C1321" s="126">
        <v>41622.0</v>
      </c>
      <c r="D1321" s="56" t="s">
        <v>89</v>
      </c>
      <c r="E1321" s="56" t="s">
        <v>116</v>
      </c>
      <c r="F1321" s="56">
        <v>7940.0</v>
      </c>
      <c r="G1321" s="56" t="s">
        <v>43</v>
      </c>
      <c r="H1321" s="56">
        <v>6526.0</v>
      </c>
      <c r="I1321" s="127">
        <v>668.27</v>
      </c>
      <c r="J1321" s="127">
        <v>502.54</v>
      </c>
      <c r="K1321" s="83">
        <f t="shared" si="1"/>
        <v>4361130.02</v>
      </c>
      <c r="L1321" s="83">
        <f t="shared" si="2"/>
        <v>3279576.04</v>
      </c>
      <c r="M1321" s="83">
        <f t="shared" si="3"/>
        <v>1081553.98</v>
      </c>
      <c r="N1321" s="46" t="str">
        <f>VLOOKUP(F1321,products!$A$2:$B$13,2,FALSE)</f>
        <v>Household</v>
      </c>
      <c r="O1321" s="46" t="s">
        <v>116</v>
      </c>
      <c r="P1321" s="46">
        <f t="array" ref="P1321">WEEKDAY(B1321,2)</f>
        <v>6</v>
      </c>
      <c r="Q1321" s="46"/>
      <c r="R1321" s="46"/>
      <c r="S1321" s="46"/>
      <c r="T1321" s="46"/>
      <c r="U1321" s="46"/>
      <c r="V1321" s="46"/>
      <c r="W1321" s="46"/>
      <c r="X1321" s="46"/>
      <c r="Y1321" s="46"/>
      <c r="Z1321" s="46"/>
    </row>
    <row r="1322">
      <c r="A1322" s="56">
        <v>9.9077481E8</v>
      </c>
      <c r="B1322" s="126">
        <v>41656.0</v>
      </c>
      <c r="C1322" s="126">
        <v>41688.0</v>
      </c>
      <c r="D1322" s="56" t="s">
        <v>10</v>
      </c>
      <c r="E1322" s="56" t="s">
        <v>121</v>
      </c>
      <c r="F1322" s="56">
        <v>7940.0</v>
      </c>
      <c r="G1322" s="56" t="s">
        <v>42</v>
      </c>
      <c r="H1322" s="56">
        <v>1138.0</v>
      </c>
      <c r="I1322" s="127">
        <v>668.27</v>
      </c>
      <c r="J1322" s="127">
        <v>502.54</v>
      </c>
      <c r="K1322" s="83">
        <f t="shared" si="1"/>
        <v>760491.26</v>
      </c>
      <c r="L1322" s="83">
        <f t="shared" si="2"/>
        <v>571890.52</v>
      </c>
      <c r="M1322" s="83">
        <f t="shared" si="3"/>
        <v>188600.74</v>
      </c>
      <c r="N1322" s="46" t="str">
        <f>VLOOKUP(F1322,products!$A$2:$B$13,2,FALSE)</f>
        <v>Household</v>
      </c>
      <c r="O1322" s="46" t="s">
        <v>121</v>
      </c>
      <c r="P1322" s="46">
        <f t="array" ref="P1322">WEEKDAY(B1322,2)</f>
        <v>5</v>
      </c>
      <c r="Q1322" s="46"/>
      <c r="R1322" s="46"/>
      <c r="S1322" s="46"/>
      <c r="T1322" s="46"/>
      <c r="U1322" s="46"/>
      <c r="V1322" s="46"/>
      <c r="W1322" s="46"/>
      <c r="X1322" s="46"/>
      <c r="Y1322" s="46"/>
      <c r="Z1322" s="46"/>
    </row>
    <row r="1323">
      <c r="A1323" s="56">
        <v>9.91761863E8</v>
      </c>
      <c r="B1323" s="126">
        <v>40897.0</v>
      </c>
      <c r="C1323" s="126">
        <v>40901.0</v>
      </c>
      <c r="D1323" s="56" t="s">
        <v>89</v>
      </c>
      <c r="E1323" s="56" t="s">
        <v>90</v>
      </c>
      <c r="F1323" s="56">
        <v>4594.0</v>
      </c>
      <c r="G1323" s="56" t="s">
        <v>42</v>
      </c>
      <c r="H1323" s="56">
        <v>3229.0</v>
      </c>
      <c r="I1323" s="127">
        <v>9.33</v>
      </c>
      <c r="J1323" s="127">
        <v>6.92</v>
      </c>
      <c r="K1323" s="83">
        <f t="shared" si="1"/>
        <v>30126.57</v>
      </c>
      <c r="L1323" s="83">
        <f t="shared" si="2"/>
        <v>22344.68</v>
      </c>
      <c r="M1323" s="83">
        <f t="shared" si="3"/>
        <v>7781.89</v>
      </c>
      <c r="N1323" s="46" t="str">
        <f>VLOOKUP(F1323,products!$A$2:$B$13,2,FALSE)</f>
        <v>Fruits</v>
      </c>
      <c r="O1323" s="46" t="s">
        <v>90</v>
      </c>
      <c r="P1323" s="46">
        <f t="array" ref="P1323">WEEKDAY(B1323,2)</f>
        <v>2</v>
      </c>
      <c r="Q1323" s="46"/>
      <c r="R1323" s="46"/>
      <c r="S1323" s="46"/>
      <c r="T1323" s="46"/>
      <c r="U1323" s="46"/>
      <c r="V1323" s="46"/>
      <c r="W1323" s="46"/>
      <c r="X1323" s="46"/>
      <c r="Y1323" s="46"/>
      <c r="Z1323" s="46"/>
    </row>
    <row r="1324">
      <c r="A1324" s="56">
        <v>9.92992675E8</v>
      </c>
      <c r="B1324" s="126">
        <v>40610.0</v>
      </c>
      <c r="C1324" s="126">
        <v>40611.0</v>
      </c>
      <c r="D1324" s="56" t="s">
        <v>89</v>
      </c>
      <c r="E1324" s="56" t="s">
        <v>91</v>
      </c>
      <c r="F1324" s="56">
        <v>5988.0</v>
      </c>
      <c r="G1324" s="56" t="s">
        <v>42</v>
      </c>
      <c r="H1324" s="56">
        <v>7454.0</v>
      </c>
      <c r="I1324" s="127">
        <v>154.06</v>
      </c>
      <c r="J1324" s="127">
        <v>90.93</v>
      </c>
      <c r="K1324" s="83">
        <f t="shared" si="1"/>
        <v>1148363.24</v>
      </c>
      <c r="L1324" s="83">
        <f t="shared" si="2"/>
        <v>677792.22</v>
      </c>
      <c r="M1324" s="83">
        <f t="shared" si="3"/>
        <v>470571.02</v>
      </c>
      <c r="N1324" s="46" t="str">
        <f>VLOOKUP(F1324,products!$A$2:$B$13,2,FALSE)</f>
        <v>Vegetables</v>
      </c>
      <c r="O1324" s="46" t="s">
        <v>91</v>
      </c>
      <c r="P1324" s="46">
        <f t="array" ref="P1324">WEEKDAY(B1324,2)</f>
        <v>2</v>
      </c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</row>
    <row r="1325">
      <c r="A1325" s="56">
        <v>9.93368613E8</v>
      </c>
      <c r="B1325" s="126">
        <v>42408.0</v>
      </c>
      <c r="C1325" s="126">
        <v>42416.0</v>
      </c>
      <c r="D1325" s="56" t="s">
        <v>95</v>
      </c>
      <c r="E1325" s="56" t="s">
        <v>100</v>
      </c>
      <c r="F1325" s="56">
        <v>3127.0</v>
      </c>
      <c r="G1325" s="56" t="s">
        <v>42</v>
      </c>
      <c r="H1325" s="56">
        <v>8702.0</v>
      </c>
      <c r="I1325" s="127">
        <v>81.73</v>
      </c>
      <c r="J1325" s="127">
        <v>56.67</v>
      </c>
      <c r="K1325" s="83">
        <f t="shared" si="1"/>
        <v>711214.46</v>
      </c>
      <c r="L1325" s="83">
        <f t="shared" si="2"/>
        <v>493142.34</v>
      </c>
      <c r="M1325" s="83">
        <f t="shared" si="3"/>
        <v>218072.12</v>
      </c>
      <c r="N1325" s="46" t="str">
        <f>VLOOKUP(F1325,products!$A$2:$B$13,2,FALSE)</f>
        <v>Personal Care</v>
      </c>
      <c r="O1325" s="46" t="s">
        <v>100</v>
      </c>
      <c r="P1325" s="46">
        <f t="array" ref="P1325">WEEKDAY(B1325,2)</f>
        <v>1</v>
      </c>
      <c r="Q1325" s="46"/>
      <c r="R1325" s="46"/>
      <c r="S1325" s="46"/>
      <c r="T1325" s="46"/>
      <c r="U1325" s="46"/>
      <c r="V1325" s="46"/>
      <c r="W1325" s="46"/>
      <c r="X1325" s="46"/>
      <c r="Y1325" s="46"/>
      <c r="Z1325" s="46"/>
    </row>
    <row r="1326">
      <c r="A1326" s="56">
        <v>9.94406735E8</v>
      </c>
      <c r="B1326" s="126">
        <v>42162.0</v>
      </c>
      <c r="C1326" s="126">
        <v>42185.0</v>
      </c>
      <c r="D1326" s="56" t="s">
        <v>89</v>
      </c>
      <c r="E1326" s="56" t="s">
        <v>112</v>
      </c>
      <c r="F1326" s="56">
        <v>1270.0</v>
      </c>
      <c r="G1326" s="56" t="s">
        <v>43</v>
      </c>
      <c r="H1326" s="56">
        <v>5906.0</v>
      </c>
      <c r="I1326" s="127">
        <v>47.45</v>
      </c>
      <c r="J1326" s="127">
        <v>31.79</v>
      </c>
      <c r="K1326" s="83">
        <f t="shared" si="1"/>
        <v>280239.7</v>
      </c>
      <c r="L1326" s="83">
        <f t="shared" si="2"/>
        <v>187751.74</v>
      </c>
      <c r="M1326" s="83">
        <f t="shared" si="3"/>
        <v>92487.96</v>
      </c>
      <c r="N1326" s="46" t="str">
        <f>VLOOKUP(F1326,products!$A$2:$B$13,2,FALSE)</f>
        <v>Beverages</v>
      </c>
      <c r="O1326" s="46" t="s">
        <v>112</v>
      </c>
      <c r="P1326" s="46">
        <f t="array" ref="P1326">WEEKDAY(B1326,2)</f>
        <v>7</v>
      </c>
      <c r="Q1326" s="46"/>
      <c r="R1326" s="46"/>
      <c r="S1326" s="46"/>
      <c r="T1326" s="46"/>
      <c r="U1326" s="46"/>
      <c r="V1326" s="46"/>
      <c r="W1326" s="46"/>
      <c r="X1326" s="46"/>
      <c r="Y1326" s="46"/>
      <c r="Z1326" s="46"/>
    </row>
    <row r="1327">
      <c r="A1327" s="56">
        <v>9.94504153E8</v>
      </c>
      <c r="B1327" s="126">
        <v>42745.0</v>
      </c>
      <c r="C1327" s="126">
        <v>42748.0</v>
      </c>
      <c r="D1327" s="56" t="s">
        <v>89</v>
      </c>
      <c r="E1327" s="56" t="s">
        <v>132</v>
      </c>
      <c r="F1327" s="56">
        <v>4594.0</v>
      </c>
      <c r="G1327" s="56" t="s">
        <v>43</v>
      </c>
      <c r="H1327" s="56">
        <v>4734.0</v>
      </c>
      <c r="I1327" s="127">
        <v>9.33</v>
      </c>
      <c r="J1327" s="127">
        <v>6.92</v>
      </c>
      <c r="K1327" s="83">
        <f t="shared" si="1"/>
        <v>44168.22</v>
      </c>
      <c r="L1327" s="83">
        <f t="shared" si="2"/>
        <v>32759.28</v>
      </c>
      <c r="M1327" s="83">
        <f t="shared" si="3"/>
        <v>11408.94</v>
      </c>
      <c r="N1327" s="46" t="str">
        <f>VLOOKUP(F1327,products!$A$2:$B$13,2,FALSE)</f>
        <v>Fruits</v>
      </c>
      <c r="O1327" s="46" t="s">
        <v>132</v>
      </c>
      <c r="P1327" s="46">
        <f t="array" ref="P1327">WEEKDAY(B1327,2)</f>
        <v>2</v>
      </c>
      <c r="Q1327" s="46"/>
      <c r="R1327" s="46"/>
      <c r="S1327" s="46"/>
      <c r="T1327" s="46"/>
      <c r="U1327" s="46"/>
      <c r="V1327" s="46"/>
      <c r="W1327" s="46"/>
      <c r="X1327" s="46"/>
      <c r="Y1327" s="46"/>
      <c r="Z1327" s="46"/>
    </row>
    <row r="1328">
      <c r="A1328" s="56">
        <v>9.94978797E8</v>
      </c>
      <c r="B1328" s="126">
        <v>41978.0</v>
      </c>
      <c r="C1328" s="126">
        <v>42006.0</v>
      </c>
      <c r="D1328" s="56" t="s">
        <v>95</v>
      </c>
      <c r="E1328" s="56" t="s">
        <v>126</v>
      </c>
      <c r="F1328" s="56">
        <v>1270.0</v>
      </c>
      <c r="G1328" s="56" t="s">
        <v>42</v>
      </c>
      <c r="H1328" s="56">
        <v>5192.0</v>
      </c>
      <c r="I1328" s="127">
        <v>47.45</v>
      </c>
      <c r="J1328" s="127">
        <v>31.79</v>
      </c>
      <c r="K1328" s="83">
        <f t="shared" si="1"/>
        <v>246360.4</v>
      </c>
      <c r="L1328" s="83">
        <f t="shared" si="2"/>
        <v>165053.68</v>
      </c>
      <c r="M1328" s="83">
        <f t="shared" si="3"/>
        <v>81306.72</v>
      </c>
      <c r="N1328" s="46" t="str">
        <f>VLOOKUP(F1328,products!$A$2:$B$13,2,FALSE)</f>
        <v>Beverages</v>
      </c>
      <c r="O1328" s="46" t="s">
        <v>126</v>
      </c>
      <c r="P1328" s="46">
        <f t="array" ref="P1328">WEEKDAY(B1328,2)</f>
        <v>5</v>
      </c>
      <c r="Q1328" s="46"/>
      <c r="R1328" s="46"/>
      <c r="S1328" s="46"/>
      <c r="T1328" s="46"/>
      <c r="U1328" s="46"/>
      <c r="V1328" s="46"/>
      <c r="W1328" s="46"/>
      <c r="X1328" s="46"/>
      <c r="Y1328" s="46"/>
      <c r="Z1328" s="46"/>
    </row>
    <row r="1329">
      <c r="A1329" s="56">
        <v>9.96754205E8</v>
      </c>
      <c r="B1329" s="126">
        <v>40441.0</v>
      </c>
      <c r="C1329" s="126">
        <v>40443.0</v>
      </c>
      <c r="D1329" s="56" t="s">
        <v>93</v>
      </c>
      <c r="E1329" s="56" t="s">
        <v>111</v>
      </c>
      <c r="F1329" s="56">
        <v>7331.0</v>
      </c>
      <c r="G1329" s="56" t="s">
        <v>42</v>
      </c>
      <c r="H1329" s="56">
        <v>574.0</v>
      </c>
      <c r="I1329" s="127">
        <v>255.28</v>
      </c>
      <c r="J1329" s="127">
        <v>159.42</v>
      </c>
      <c r="K1329" s="83">
        <f t="shared" si="1"/>
        <v>146530.72</v>
      </c>
      <c r="L1329" s="83">
        <f t="shared" si="2"/>
        <v>91507.08</v>
      </c>
      <c r="M1329" s="83">
        <f t="shared" si="3"/>
        <v>55023.64</v>
      </c>
      <c r="N1329" s="46" t="str">
        <f>VLOOKUP(F1329,products!$A$2:$B$13,2,FALSE)</f>
        <v>Baby Food</v>
      </c>
      <c r="O1329" s="46" t="s">
        <v>111</v>
      </c>
      <c r="P1329" s="46">
        <f t="array" ref="P1329">WEEKDAY(B1329,2)</f>
        <v>1</v>
      </c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</row>
    <row r="1330">
      <c r="A1330" s="56">
        <v>9.98043382E8</v>
      </c>
      <c r="B1330" s="126">
        <v>40344.0</v>
      </c>
      <c r="C1330" s="126">
        <v>40362.0</v>
      </c>
      <c r="D1330" s="56" t="s">
        <v>95</v>
      </c>
      <c r="E1330" s="56" t="s">
        <v>112</v>
      </c>
      <c r="F1330" s="56">
        <v>8293.0</v>
      </c>
      <c r="G1330" s="56" t="s">
        <v>43</v>
      </c>
      <c r="H1330" s="56">
        <v>2070.0</v>
      </c>
      <c r="I1330" s="127">
        <v>437.2</v>
      </c>
      <c r="J1330" s="127">
        <v>263.33</v>
      </c>
      <c r="K1330" s="83">
        <f t="shared" si="1"/>
        <v>905004</v>
      </c>
      <c r="L1330" s="83">
        <f t="shared" si="2"/>
        <v>545093.1</v>
      </c>
      <c r="M1330" s="83">
        <f t="shared" si="3"/>
        <v>359910.9</v>
      </c>
      <c r="N1330" s="46" t="str">
        <f>VLOOKUP(F1330,products!$A$2:$B$13,2,FALSE)</f>
        <v>Cosmetics</v>
      </c>
      <c r="O1330" s="46" t="s">
        <v>112</v>
      </c>
      <c r="P1330" s="46">
        <f t="array" ref="P1330">WEEKDAY(B1330,2)</f>
        <v>2</v>
      </c>
      <c r="Q1330" s="46"/>
      <c r="R1330" s="46"/>
      <c r="S1330" s="46"/>
      <c r="T1330" s="46"/>
      <c r="U1330" s="46"/>
      <c r="V1330" s="46"/>
      <c r="W1330" s="46"/>
      <c r="X1330" s="46"/>
      <c r="Y1330" s="46"/>
      <c r="Z1330" s="46"/>
    </row>
    <row r="1331">
      <c r="A1331" s="56">
        <v>9.99879729E8</v>
      </c>
      <c r="B1331" s="126">
        <v>40999.0</v>
      </c>
      <c r="C1331" s="126">
        <v>41035.0</v>
      </c>
      <c r="D1331" s="56" t="s">
        <v>89</v>
      </c>
      <c r="E1331" s="56" t="s">
        <v>131</v>
      </c>
      <c r="F1331" s="56">
        <v>7940.0</v>
      </c>
      <c r="G1331" s="56" t="s">
        <v>42</v>
      </c>
      <c r="H1331" s="56">
        <v>5486.0</v>
      </c>
      <c r="I1331" s="127">
        <v>668.27</v>
      </c>
      <c r="J1331" s="127">
        <v>502.54</v>
      </c>
      <c r="K1331" s="83">
        <f t="shared" si="1"/>
        <v>3666129.22</v>
      </c>
      <c r="L1331" s="83">
        <f t="shared" si="2"/>
        <v>2756934.44</v>
      </c>
      <c r="M1331" s="83">
        <f t="shared" si="3"/>
        <v>909194.78</v>
      </c>
      <c r="N1331" s="46" t="str">
        <f>VLOOKUP(F1331,products!$A$2:$B$13,2,FALSE)</f>
        <v>Household</v>
      </c>
      <c r="O1331" s="46" t="s">
        <v>131</v>
      </c>
      <c r="P1331" s="46">
        <f t="array" ref="P1331">WEEKDAY(B1331,2)</f>
        <v>6</v>
      </c>
      <c r="Q1331" s="46"/>
      <c r="R1331" s="46"/>
      <c r="S1331" s="46"/>
      <c r="T1331" s="46"/>
      <c r="U1331" s="46"/>
      <c r="V1331" s="46"/>
      <c r="W1331" s="46"/>
      <c r="X1331" s="46"/>
      <c r="Y1331" s="46"/>
      <c r="Z1331" s="46"/>
    </row>
  </sheetData>
  <conditionalFormatting sqref="A1">
    <cfRule type="containsBlanks" dxfId="0" priority="1">
      <formula>LEN(TRIM(A1))=0</formula>
    </cfRule>
  </conditionalFormatting>
  <conditionalFormatting sqref="A1:Z1331">
    <cfRule type="containsBlanks" dxfId="0" priority="2">
      <formula>LEN(TRIM(A1))=0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8" t="s">
        <v>139</v>
      </c>
      <c r="B1" s="128" t="s">
        <v>79</v>
      </c>
      <c r="C1" s="128" t="s">
        <v>80</v>
      </c>
      <c r="D1" s="128" t="s">
        <v>81</v>
      </c>
      <c r="E1" s="128" t="s">
        <v>82</v>
      </c>
      <c r="F1" s="128" t="s">
        <v>83</v>
      </c>
      <c r="G1" s="129" t="s">
        <v>140</v>
      </c>
      <c r="H1" s="128" t="s">
        <v>45</v>
      </c>
      <c r="I1" s="128" t="s">
        <v>85</v>
      </c>
      <c r="J1" s="128" t="s">
        <v>86</v>
      </c>
      <c r="K1" s="128" t="s">
        <v>7</v>
      </c>
      <c r="L1" s="128" t="s">
        <v>47</v>
      </c>
      <c r="M1" s="128" t="s">
        <v>87</v>
      </c>
      <c r="N1" s="128" t="s">
        <v>6</v>
      </c>
      <c r="O1" s="130" t="s">
        <v>141</v>
      </c>
      <c r="P1" s="128" t="s">
        <v>142</v>
      </c>
      <c r="Q1" s="128" t="s">
        <v>29</v>
      </c>
      <c r="R1" s="128" t="s">
        <v>30</v>
      </c>
      <c r="S1" s="128" t="s">
        <v>143</v>
      </c>
      <c r="T1" s="129" t="s">
        <v>6</v>
      </c>
      <c r="U1" s="128" t="s">
        <v>44</v>
      </c>
      <c r="V1" s="128" t="s">
        <v>140</v>
      </c>
      <c r="W1" s="129" t="s">
        <v>140</v>
      </c>
      <c r="X1" s="129" t="s">
        <v>140</v>
      </c>
      <c r="Y1" s="129" t="s">
        <v>140</v>
      </c>
      <c r="Z1" s="129" t="s">
        <v>140</v>
      </c>
      <c r="AA1" s="129" t="s">
        <v>140</v>
      </c>
    </row>
    <row r="2">
      <c r="A2" s="110">
        <v>1.00640618E8</v>
      </c>
      <c r="B2" s="131">
        <v>41920.0</v>
      </c>
      <c r="C2" s="131">
        <v>41930.0</v>
      </c>
      <c r="D2" s="110" t="s">
        <v>89</v>
      </c>
      <c r="E2" s="110" t="s">
        <v>90</v>
      </c>
      <c r="F2" s="110">
        <v>2103.0</v>
      </c>
      <c r="G2" s="38" t="s">
        <v>43</v>
      </c>
      <c r="H2" s="110">
        <v>650.0</v>
      </c>
      <c r="I2" s="132">
        <v>205.7</v>
      </c>
      <c r="J2" s="132">
        <v>117.11</v>
      </c>
      <c r="K2" s="39">
        <f t="shared" ref="K2:K1331" si="1">H2*I2</f>
        <v>133705</v>
      </c>
      <c r="L2" s="39">
        <f t="shared" ref="L2:L1331" si="2">J2*H2</f>
        <v>76121.5</v>
      </c>
      <c r="M2" s="39">
        <f t="shared" ref="M2:M1331" si="3">K2-L2</f>
        <v>57583.5</v>
      </c>
      <c r="N2" s="38" t="str">
        <f>VLOOKUP(F2,products!$A$2:$B$13,2,FALSE)</f>
        <v>Cereal</v>
      </c>
      <c r="O2" s="133">
        <f t="shared" ref="O2:O1331" si="4">L2/K2</f>
        <v>0.5693242586</v>
      </c>
      <c r="P2" s="38" t="str">
        <f>VLOOKUP($E2,countries!$A$2:$E$250,3,false)</f>
        <v>Norway</v>
      </c>
      <c r="Q2" s="38" t="str">
        <f>VLOOKUP($E2,countries!$A$2:$E$250,4,false)</f>
        <v>Europe</v>
      </c>
      <c r="R2" s="38" t="str">
        <f>VLOOKUP($E2,countries!$A$2:$E$250,5,false)</f>
        <v>Northern Europe</v>
      </c>
      <c r="S2" s="38">
        <f t="shared" ref="S2:S1331" si="5">C2-B2</f>
        <v>10</v>
      </c>
      <c r="T2" s="38" t="s">
        <v>144</v>
      </c>
      <c r="U2" s="38">
        <f t="array" ref="U2:U1331">YEAR(B2:B1331)</f>
        <v>2014</v>
      </c>
      <c r="V2" s="113">
        <f t="array" ref="V2:V1331">MONTH(B2:B1331)</f>
        <v>10</v>
      </c>
      <c r="W2" s="113" t="str">
        <f t="array" ref="W2:W1331">IFERROR(VLOOKUP(E2:E1331,countries!A2:E250,1,FALSE), "")</f>
        <v>NOR</v>
      </c>
      <c r="X2" s="38" t="str">
        <f t="array" ref="X2:X1331">IFERROR(VLOOKUP($W$2:$W$1331,countries!$A$2:$E$250,3,FALSE), "Undefined")</f>
        <v>Norway</v>
      </c>
      <c r="Y2" s="38" t="str">
        <f t="array" ref="Y2:Y1331">IFERROR(VLOOKUP($W$2:$W$1331,countries!$A$2:$E$250,4,FALSE), "Undefined")</f>
        <v>Europe</v>
      </c>
      <c r="Z2" s="38" t="str">
        <f t="array" ref="Z2:Z1331">IFERROR(VLOOKUP($W$2:$W$1331,countries!$A$2:$E$250,5,FALSE), "Undefined")</f>
        <v>Northern Europe</v>
      </c>
      <c r="AA2" s="113" t="str">
        <f t="array" ref="AA2">PROPER(G2)</f>
        <v>Online</v>
      </c>
    </row>
    <row r="3">
      <c r="A3" s="110">
        <v>1.00983083E8</v>
      </c>
      <c r="B3" s="131">
        <v>42593.0</v>
      </c>
      <c r="C3" s="131">
        <v>42593.0</v>
      </c>
      <c r="D3" s="110" t="s">
        <v>10</v>
      </c>
      <c r="E3" s="110" t="s">
        <v>91</v>
      </c>
      <c r="F3" s="110">
        <v>2103.0</v>
      </c>
      <c r="G3" s="38" t="s">
        <v>42</v>
      </c>
      <c r="H3" s="110">
        <v>1993.0</v>
      </c>
      <c r="I3" s="132">
        <v>205.7</v>
      </c>
      <c r="J3" s="132">
        <v>117.11</v>
      </c>
      <c r="K3" s="39">
        <f t="shared" si="1"/>
        <v>409960.1</v>
      </c>
      <c r="L3" s="39">
        <f t="shared" si="2"/>
        <v>233400.23</v>
      </c>
      <c r="M3" s="39">
        <f t="shared" si="3"/>
        <v>176559.87</v>
      </c>
      <c r="N3" s="38" t="str">
        <f>VLOOKUP(F3,products!$A$2:$B$13,2,FALSE)</f>
        <v>Cereal</v>
      </c>
      <c r="O3" s="133">
        <f t="shared" si="4"/>
        <v>0.5693242586</v>
      </c>
      <c r="P3" s="38" t="str">
        <f>VLOOKUP(E3,countries!A$2:E$250,3,false)</f>
        <v>Serbia</v>
      </c>
      <c r="Q3" s="38" t="str">
        <f>VLOOKUP($E3,countries!$A$2:$E$250,4,false)</f>
        <v>Europe</v>
      </c>
      <c r="R3" s="38" t="str">
        <f>VLOOKUP($E3,countries!$A$2:$E$250,5,false)</f>
        <v>Southern Europe</v>
      </c>
      <c r="S3" s="38">
        <f t="shared" si="5"/>
        <v>0</v>
      </c>
      <c r="T3" s="38" t="s">
        <v>144</v>
      </c>
      <c r="U3" s="38">
        <v>2016.0</v>
      </c>
      <c r="V3" s="38">
        <v>8.0</v>
      </c>
      <c r="W3" s="38" t="s">
        <v>91</v>
      </c>
      <c r="X3" s="38" t="s">
        <v>145</v>
      </c>
      <c r="Y3" s="38" t="s">
        <v>146</v>
      </c>
      <c r="Z3" s="38" t="s">
        <v>147</v>
      </c>
      <c r="AA3" s="113" t="str">
        <f t="array" ref="AA3">PROPER(G3)</f>
        <v>Offline</v>
      </c>
    </row>
    <row r="4">
      <c r="A4" s="110">
        <v>1.01025998E8</v>
      </c>
      <c r="B4" s="131">
        <v>41838.0</v>
      </c>
      <c r="C4" s="131">
        <v>41862.0</v>
      </c>
      <c r="D4" s="110" t="s">
        <v>89</v>
      </c>
      <c r="E4" s="110" t="e">
        <v>#N/A</v>
      </c>
      <c r="F4" s="110">
        <v>7940.0</v>
      </c>
      <c r="G4" s="38" t="s">
        <v>43</v>
      </c>
      <c r="H4" s="110">
        <v>4693.0</v>
      </c>
      <c r="I4" s="132">
        <v>668.27</v>
      </c>
      <c r="J4" s="132">
        <v>502.54</v>
      </c>
      <c r="K4" s="39">
        <f t="shared" si="1"/>
        <v>3136191.11</v>
      </c>
      <c r="L4" s="39">
        <f t="shared" si="2"/>
        <v>2358420.22</v>
      </c>
      <c r="M4" s="39">
        <f t="shared" si="3"/>
        <v>777770.89</v>
      </c>
      <c r="N4" s="38" t="str">
        <f>VLOOKUP(F4,products!$A$2:$B$13,2,FALSE)</f>
        <v>Household</v>
      </c>
      <c r="O4" s="133">
        <f t="shared" si="4"/>
        <v>0.7520014365</v>
      </c>
      <c r="P4" s="38" t="str">
        <f>VLOOKUP(E4,countries!A$2:E$250,3,false)</f>
        <v>#N/A</v>
      </c>
      <c r="Q4" s="38" t="str">
        <f>VLOOKUP($E4,countries!$A$2:$E$250,4,false)</f>
        <v>#N/A</v>
      </c>
      <c r="R4" s="38" t="str">
        <f>VLOOKUP($E4,countries!$A$2:$E$250,5,false)</f>
        <v>#N/A</v>
      </c>
      <c r="S4" s="38">
        <f t="shared" si="5"/>
        <v>24</v>
      </c>
      <c r="T4" s="38" t="s">
        <v>148</v>
      </c>
      <c r="U4" s="38">
        <v>2014.0</v>
      </c>
      <c r="V4" s="38">
        <v>7.0</v>
      </c>
      <c r="W4" s="38" t="s">
        <v>92</v>
      </c>
      <c r="X4" s="38" t="s">
        <v>149</v>
      </c>
      <c r="Y4" s="38" t="s">
        <v>149</v>
      </c>
      <c r="Z4" s="38" t="s">
        <v>149</v>
      </c>
      <c r="AA4" s="113" t="str">
        <f t="array" ref="AA4">PROPER(G4)</f>
        <v>Online</v>
      </c>
    </row>
    <row r="5">
      <c r="A5" s="110">
        <v>1.02230632E8</v>
      </c>
      <c r="B5" s="131">
        <v>42868.0</v>
      </c>
      <c r="C5" s="131">
        <v>42899.0</v>
      </c>
      <c r="D5" s="110" t="s">
        <v>93</v>
      </c>
      <c r="E5" s="110" t="s">
        <v>94</v>
      </c>
      <c r="F5" s="110">
        <v>2455.0</v>
      </c>
      <c r="G5" s="38" t="s">
        <v>43</v>
      </c>
      <c r="H5" s="110">
        <v>1171.0</v>
      </c>
      <c r="I5" s="132">
        <v>109.28</v>
      </c>
      <c r="J5" s="132">
        <v>35.84</v>
      </c>
      <c r="K5" s="39">
        <f t="shared" si="1"/>
        <v>127966.88</v>
      </c>
      <c r="L5" s="39">
        <f t="shared" si="2"/>
        <v>41968.64</v>
      </c>
      <c r="M5" s="39">
        <f t="shared" si="3"/>
        <v>85998.24</v>
      </c>
      <c r="N5" s="38" t="str">
        <f>VLOOKUP(F5,products!$A$2:$B$13,2,FALSE)</f>
        <v>Clothes</v>
      </c>
      <c r="O5" s="133">
        <f t="shared" si="4"/>
        <v>0.3279648609</v>
      </c>
      <c r="P5" s="38" t="str">
        <f>VLOOKUP(E5,countries!A$2:E$250,3,false)</f>
        <v>Montenegro</v>
      </c>
      <c r="Q5" s="38" t="str">
        <f>VLOOKUP($E5,countries!$A$2:$E$250,4,false)</f>
        <v>Europe</v>
      </c>
      <c r="R5" s="38" t="str">
        <f>VLOOKUP($E5,countries!$A$2:$E$250,5,false)</f>
        <v>Southern Europe</v>
      </c>
      <c r="S5" s="38">
        <f t="shared" si="5"/>
        <v>31</v>
      </c>
      <c r="T5" s="38" t="s">
        <v>150</v>
      </c>
      <c r="U5" s="38">
        <v>2017.0</v>
      </c>
      <c r="V5" s="38">
        <v>5.0</v>
      </c>
      <c r="W5" s="38" t="s">
        <v>94</v>
      </c>
      <c r="X5" s="38" t="s">
        <v>151</v>
      </c>
      <c r="Y5" s="38" t="s">
        <v>146</v>
      </c>
      <c r="Z5" s="38" t="s">
        <v>147</v>
      </c>
      <c r="AA5" s="113" t="str">
        <f t="array" ref="AA5">PROPER(G5)</f>
        <v>Online</v>
      </c>
    </row>
    <row r="6">
      <c r="A6" s="110">
        <v>1.03435266E8</v>
      </c>
      <c r="B6" s="131">
        <v>41132.0</v>
      </c>
      <c r="C6" s="131">
        <v>41170.0</v>
      </c>
      <c r="D6" s="110" t="s">
        <v>95</v>
      </c>
      <c r="E6" s="110" t="s">
        <v>91</v>
      </c>
      <c r="F6" s="110">
        <v>1270.0</v>
      </c>
      <c r="G6" s="38" t="s">
        <v>42</v>
      </c>
      <c r="H6" s="110">
        <v>7648.0</v>
      </c>
      <c r="I6" s="132">
        <v>47.45</v>
      </c>
      <c r="J6" s="132">
        <v>31.79</v>
      </c>
      <c r="K6" s="39">
        <f t="shared" si="1"/>
        <v>362897.6</v>
      </c>
      <c r="L6" s="39">
        <f t="shared" si="2"/>
        <v>243129.92</v>
      </c>
      <c r="M6" s="39">
        <f t="shared" si="3"/>
        <v>119767.68</v>
      </c>
      <c r="N6" s="38" t="str">
        <f>VLOOKUP(F6,products!$A$2:$B$13,2,FALSE)</f>
        <v>Beverages</v>
      </c>
      <c r="O6" s="133">
        <f t="shared" si="4"/>
        <v>0.6699683878</v>
      </c>
      <c r="P6" s="38" t="str">
        <f>VLOOKUP(E6,countries!A$2:E$250,3,false)</f>
        <v>Serbia</v>
      </c>
      <c r="Q6" s="38" t="str">
        <f>VLOOKUP($E6,countries!$A$2:$E$250,4,false)</f>
        <v>Europe</v>
      </c>
      <c r="R6" s="38" t="str">
        <f>VLOOKUP($E6,countries!$A$2:$E$250,5,false)</f>
        <v>Southern Europe</v>
      </c>
      <c r="S6" s="38">
        <f t="shared" si="5"/>
        <v>38</v>
      </c>
      <c r="T6" s="38" t="s">
        <v>152</v>
      </c>
      <c r="U6" s="38">
        <v>2012.0</v>
      </c>
      <c r="V6" s="38">
        <v>8.0</v>
      </c>
      <c r="W6" s="38" t="s">
        <v>91</v>
      </c>
      <c r="X6" s="38" t="s">
        <v>145</v>
      </c>
      <c r="Y6" s="38" t="s">
        <v>146</v>
      </c>
      <c r="Z6" s="38" t="s">
        <v>147</v>
      </c>
      <c r="AA6" s="113" t="str">
        <f t="array" ref="AA6">PROPER(G6)</f>
        <v>Offline</v>
      </c>
    </row>
    <row r="7">
      <c r="A7" s="110">
        <v>1.03450715E8</v>
      </c>
      <c r="B7" s="131">
        <v>42078.0</v>
      </c>
      <c r="C7" s="131">
        <v>42112.0</v>
      </c>
      <c r="D7" s="110" t="s">
        <v>95</v>
      </c>
      <c r="E7" s="110" t="s">
        <v>96</v>
      </c>
      <c r="F7" s="110">
        <v>8681.0</v>
      </c>
      <c r="G7" s="38" t="s">
        <v>43</v>
      </c>
      <c r="H7" s="110">
        <v>2220.0</v>
      </c>
      <c r="I7" s="132">
        <v>651.21</v>
      </c>
      <c r="J7" s="132">
        <v>524.96</v>
      </c>
      <c r="K7" s="39">
        <f t="shared" si="1"/>
        <v>1445686.2</v>
      </c>
      <c r="L7" s="39">
        <f t="shared" si="2"/>
        <v>1165411.2</v>
      </c>
      <c r="M7" s="39">
        <f t="shared" si="3"/>
        <v>280275</v>
      </c>
      <c r="N7" s="38" t="str">
        <f>VLOOKUP(F7,products!$A$2:$B$13,2,FALSE)</f>
        <v>Office Supplies</v>
      </c>
      <c r="O7" s="133">
        <f t="shared" si="4"/>
        <v>0.806130127</v>
      </c>
      <c r="P7" s="38" t="str">
        <f>VLOOKUP(E7,countries!A$2:E$250,3,false)</f>
        <v>Slovakia</v>
      </c>
      <c r="Q7" s="38" t="str">
        <f>VLOOKUP($E7,countries!$A$2:$E$250,4,false)</f>
        <v>Europe</v>
      </c>
      <c r="R7" s="38" t="str">
        <f>VLOOKUP($E7,countries!$A$2:$E$250,5,false)</f>
        <v>Eastern Europe</v>
      </c>
      <c r="S7" s="38">
        <f t="shared" si="5"/>
        <v>34</v>
      </c>
      <c r="T7" s="38" t="s">
        <v>153</v>
      </c>
      <c r="U7" s="38">
        <v>2015.0</v>
      </c>
      <c r="V7" s="38">
        <v>3.0</v>
      </c>
      <c r="W7" s="38" t="s">
        <v>96</v>
      </c>
      <c r="X7" s="38" t="s">
        <v>154</v>
      </c>
      <c r="Y7" s="38" t="s">
        <v>146</v>
      </c>
      <c r="Z7" s="38" t="s">
        <v>155</v>
      </c>
      <c r="AA7" s="113" t="str">
        <f t="array" ref="AA7">PROPER(G7)</f>
        <v>Online</v>
      </c>
    </row>
    <row r="8">
      <c r="A8" s="110">
        <v>1.03499639E8</v>
      </c>
      <c r="B8" s="131">
        <v>41384.0</v>
      </c>
      <c r="C8" s="131">
        <v>41431.0</v>
      </c>
      <c r="D8" s="110" t="s">
        <v>93</v>
      </c>
      <c r="E8" s="110" t="s">
        <v>97</v>
      </c>
      <c r="F8" s="110">
        <v>4594.0</v>
      </c>
      <c r="G8" s="38" t="s">
        <v>43</v>
      </c>
      <c r="H8" s="110">
        <v>6698.0</v>
      </c>
      <c r="I8" s="132">
        <v>9.33</v>
      </c>
      <c r="J8" s="132">
        <v>6.92</v>
      </c>
      <c r="K8" s="39">
        <f t="shared" si="1"/>
        <v>62492.34</v>
      </c>
      <c r="L8" s="39">
        <f t="shared" si="2"/>
        <v>46350.16</v>
      </c>
      <c r="M8" s="39">
        <f t="shared" si="3"/>
        <v>16142.18</v>
      </c>
      <c r="N8" s="38" t="str">
        <f>VLOOKUP(F8,products!$A$2:$B$13,2,FALSE)</f>
        <v>Fruits</v>
      </c>
      <c r="O8" s="133">
        <f t="shared" si="4"/>
        <v>0.741693462</v>
      </c>
      <c r="P8" s="38" t="str">
        <f>VLOOKUP(E8,countries!A$2:E$250,3,false)</f>
        <v>France</v>
      </c>
      <c r="Q8" s="38" t="str">
        <f>VLOOKUP($E8,countries!$A$2:$E$250,4,false)</f>
        <v>Europe</v>
      </c>
      <c r="R8" s="38" t="str">
        <f>VLOOKUP($E8,countries!$A$2:$E$250,5,false)</f>
        <v>Western Europe</v>
      </c>
      <c r="S8" s="38">
        <f t="shared" si="5"/>
        <v>47</v>
      </c>
      <c r="T8" s="38" t="s">
        <v>156</v>
      </c>
      <c r="U8" s="38">
        <v>2013.0</v>
      </c>
      <c r="V8" s="38">
        <v>4.0</v>
      </c>
      <c r="W8" s="38" t="s">
        <v>97</v>
      </c>
      <c r="X8" s="38" t="s">
        <v>157</v>
      </c>
      <c r="Y8" s="38" t="s">
        <v>146</v>
      </c>
      <c r="Z8" s="38" t="s">
        <v>158</v>
      </c>
      <c r="AA8" s="113" t="str">
        <f t="array" ref="AA8">PROPER(G8)</f>
        <v>Online</v>
      </c>
    </row>
    <row r="9">
      <c r="A9" s="110">
        <v>1.0376228E8</v>
      </c>
      <c r="B9" s="131">
        <v>40859.0</v>
      </c>
      <c r="C9" s="131">
        <v>40891.0</v>
      </c>
      <c r="D9" s="110" t="s">
        <v>89</v>
      </c>
      <c r="E9" s="110" t="s">
        <v>98</v>
      </c>
      <c r="F9" s="110">
        <v>5988.0</v>
      </c>
      <c r="G9" s="38" t="s">
        <v>43</v>
      </c>
      <c r="H9" s="110">
        <v>4419.0</v>
      </c>
      <c r="I9" s="132">
        <v>154.06</v>
      </c>
      <c r="J9" s="132">
        <v>90.93</v>
      </c>
      <c r="K9" s="39">
        <f t="shared" si="1"/>
        <v>680791.14</v>
      </c>
      <c r="L9" s="39">
        <f t="shared" si="2"/>
        <v>401819.67</v>
      </c>
      <c r="M9" s="39">
        <f t="shared" si="3"/>
        <v>278971.47</v>
      </c>
      <c r="N9" s="38" t="str">
        <f>VLOOKUP(F9,products!$A$2:$B$13,2,FALSE)</f>
        <v>Vegetables</v>
      </c>
      <c r="O9" s="133">
        <f t="shared" si="4"/>
        <v>0.5902245878</v>
      </c>
      <c r="P9" s="38" t="str">
        <f>VLOOKUP(E9,countries!A$2:E$250,3,false)</f>
        <v>Spain</v>
      </c>
      <c r="Q9" s="38" t="str">
        <f>VLOOKUP($E9,countries!$A$2:$E$250,4,false)</f>
        <v>Europe</v>
      </c>
      <c r="R9" s="38" t="str">
        <f>VLOOKUP($E9,countries!$A$2:$E$250,5,false)</f>
        <v>Southern Europe</v>
      </c>
      <c r="S9" s="38">
        <f t="shared" si="5"/>
        <v>32</v>
      </c>
      <c r="T9" s="38" t="s">
        <v>159</v>
      </c>
      <c r="U9" s="38">
        <v>2011.0</v>
      </c>
      <c r="V9" s="38">
        <v>11.0</v>
      </c>
      <c r="W9" s="38" t="s">
        <v>98</v>
      </c>
      <c r="X9" s="38" t="s">
        <v>160</v>
      </c>
      <c r="Y9" s="38" t="s">
        <v>146</v>
      </c>
      <c r="Z9" s="38" t="s">
        <v>147</v>
      </c>
      <c r="AA9" s="113" t="str">
        <f t="array" ref="AA9">PROPER(G9)</f>
        <v>Online</v>
      </c>
    </row>
    <row r="10">
      <c r="A10" s="110">
        <v>1.03832662E8</v>
      </c>
      <c r="B10" s="131">
        <v>41171.0</v>
      </c>
      <c r="C10" s="131">
        <v>41202.0</v>
      </c>
      <c r="D10" s="110" t="s">
        <v>95</v>
      </c>
      <c r="E10" s="110" t="s">
        <v>99</v>
      </c>
      <c r="F10" s="110">
        <v>7331.0</v>
      </c>
      <c r="G10" s="38" t="s">
        <v>42</v>
      </c>
      <c r="H10" s="110">
        <v>5247.0</v>
      </c>
      <c r="I10" s="132">
        <v>255.28</v>
      </c>
      <c r="J10" s="132">
        <v>159.42</v>
      </c>
      <c r="K10" s="39">
        <f t="shared" si="1"/>
        <v>1339454.16</v>
      </c>
      <c r="L10" s="39">
        <f t="shared" si="2"/>
        <v>836476.74</v>
      </c>
      <c r="M10" s="39">
        <f t="shared" si="3"/>
        <v>502977.42</v>
      </c>
      <c r="N10" s="38" t="str">
        <f>VLOOKUP(F10,products!$A$2:$B$13,2,FALSE)</f>
        <v>Baby Food</v>
      </c>
      <c r="O10" s="133">
        <f t="shared" si="4"/>
        <v>0.6244907552</v>
      </c>
      <c r="P10" s="38" t="str">
        <f>VLOOKUP(E10,countries!A$2:E$250,3,false)</f>
        <v>Croatia</v>
      </c>
      <c r="Q10" s="38" t="str">
        <f>VLOOKUP($E10,countries!$A$2:$E$250,4,false)</f>
        <v>Europe</v>
      </c>
      <c r="R10" s="38" t="str">
        <f>VLOOKUP($E10,countries!$A$2:$E$250,5,false)</f>
        <v>Southern Europe</v>
      </c>
      <c r="S10" s="38">
        <f t="shared" si="5"/>
        <v>31</v>
      </c>
      <c r="T10" s="38" t="s">
        <v>161</v>
      </c>
      <c r="U10" s="38">
        <v>2012.0</v>
      </c>
      <c r="V10" s="38">
        <v>9.0</v>
      </c>
      <c r="W10" s="38" t="s">
        <v>99</v>
      </c>
      <c r="X10" s="38" t="s">
        <v>162</v>
      </c>
      <c r="Y10" s="38" t="s">
        <v>146</v>
      </c>
      <c r="Z10" s="38" t="s">
        <v>147</v>
      </c>
      <c r="AA10" s="113" t="str">
        <f t="array" ref="AA10">PROPER(G10)</f>
        <v>Offline</v>
      </c>
    </row>
    <row r="11">
      <c r="A11" s="110">
        <v>1.04008615E8</v>
      </c>
      <c r="B11" s="131">
        <v>40566.0</v>
      </c>
      <c r="C11" s="131">
        <v>40596.0</v>
      </c>
      <c r="D11" s="110" t="s">
        <v>89</v>
      </c>
      <c r="E11" s="110" t="s">
        <v>100</v>
      </c>
      <c r="F11" s="110">
        <v>2103.0</v>
      </c>
      <c r="G11" s="38" t="s">
        <v>43</v>
      </c>
      <c r="H11" s="110">
        <v>7315.0</v>
      </c>
      <c r="I11" s="132">
        <v>205.7</v>
      </c>
      <c r="J11" s="132">
        <v>117.11</v>
      </c>
      <c r="K11" s="39">
        <f t="shared" si="1"/>
        <v>1504695.5</v>
      </c>
      <c r="L11" s="39">
        <f t="shared" si="2"/>
        <v>856659.65</v>
      </c>
      <c r="M11" s="39">
        <f t="shared" si="3"/>
        <v>648035.85</v>
      </c>
      <c r="N11" s="38" t="str">
        <f>VLOOKUP(F11,products!$A$2:$B$13,2,FALSE)</f>
        <v>Cereal</v>
      </c>
      <c r="O11" s="133">
        <f t="shared" si="4"/>
        <v>0.5693242586</v>
      </c>
      <c r="P11" s="38" t="str">
        <f>VLOOKUP(E11,countries!A$2:E$250,3,false)</f>
        <v>Germany</v>
      </c>
      <c r="Q11" s="38" t="str">
        <f>VLOOKUP($E11,countries!$A$2:$E$250,4,false)</f>
        <v>Europe</v>
      </c>
      <c r="R11" s="38" t="str">
        <f>VLOOKUP($E11,countries!$A$2:$E$250,5,false)</f>
        <v>Western Europe</v>
      </c>
      <c r="S11" s="38">
        <f t="shared" si="5"/>
        <v>30</v>
      </c>
      <c r="T11" s="38" t="s">
        <v>144</v>
      </c>
      <c r="U11" s="38">
        <v>2011.0</v>
      </c>
      <c r="V11" s="38">
        <v>1.0</v>
      </c>
      <c r="W11" s="38" t="s">
        <v>100</v>
      </c>
      <c r="X11" s="38" t="s">
        <v>163</v>
      </c>
      <c r="Y11" s="38" t="s">
        <v>146</v>
      </c>
      <c r="Z11" s="38" t="s">
        <v>158</v>
      </c>
      <c r="AA11" s="113" t="str">
        <f t="array" ref="AA11">PROPER(G11)</f>
        <v>Online</v>
      </c>
    </row>
    <row r="12">
      <c r="A12" s="110">
        <v>1.04165685E8</v>
      </c>
      <c r="B12" s="131">
        <v>40958.0</v>
      </c>
      <c r="C12" s="131">
        <v>40974.0</v>
      </c>
      <c r="D12" s="110" t="s">
        <v>93</v>
      </c>
      <c r="E12" s="110" t="s">
        <v>101</v>
      </c>
      <c r="F12" s="110">
        <v>7940.0</v>
      </c>
      <c r="G12" s="38" t="s">
        <v>43</v>
      </c>
      <c r="H12" s="110">
        <v>3796.0</v>
      </c>
      <c r="I12" s="132">
        <v>668.27</v>
      </c>
      <c r="J12" s="132">
        <v>502.54</v>
      </c>
      <c r="K12" s="39">
        <f t="shared" si="1"/>
        <v>2536752.92</v>
      </c>
      <c r="L12" s="39">
        <f t="shared" si="2"/>
        <v>1907641.84</v>
      </c>
      <c r="M12" s="39">
        <f t="shared" si="3"/>
        <v>629111.08</v>
      </c>
      <c r="N12" s="38" t="str">
        <f>VLOOKUP(F12,products!$A$2:$B$13,2,FALSE)</f>
        <v>Household</v>
      </c>
      <c r="O12" s="133">
        <f t="shared" si="4"/>
        <v>0.7520014365</v>
      </c>
      <c r="P12" s="38" t="str">
        <f>VLOOKUP(E12,countries!A$2:E$250,3,false)</f>
        <v>Armenia</v>
      </c>
      <c r="Q12" s="38" t="str">
        <f>VLOOKUP($E12,countries!$A$2:$E$250,4,false)</f>
        <v>Asia</v>
      </c>
      <c r="R12" s="38" t="str">
        <f>VLOOKUP($E12,countries!$A$2:$E$250,5,false)</f>
        <v>Western Asia</v>
      </c>
      <c r="S12" s="38">
        <f t="shared" si="5"/>
        <v>16</v>
      </c>
      <c r="T12" s="38" t="s">
        <v>148</v>
      </c>
      <c r="U12" s="38">
        <v>2012.0</v>
      </c>
      <c r="V12" s="38">
        <v>2.0</v>
      </c>
      <c r="W12" s="38" t="s">
        <v>101</v>
      </c>
      <c r="X12" s="38" t="s">
        <v>164</v>
      </c>
      <c r="Y12" s="38" t="s">
        <v>165</v>
      </c>
      <c r="Z12" s="38" t="s">
        <v>166</v>
      </c>
      <c r="AA12" s="113" t="str">
        <f t="array" ref="AA12">PROPER(G12)</f>
        <v>Online</v>
      </c>
    </row>
    <row r="13">
      <c r="A13" s="110">
        <v>1.04190576E8</v>
      </c>
      <c r="B13" s="131">
        <v>42788.0</v>
      </c>
      <c r="C13" s="131">
        <v>42806.0</v>
      </c>
      <c r="D13" s="110" t="s">
        <v>10</v>
      </c>
      <c r="E13" s="110" t="s">
        <v>102</v>
      </c>
      <c r="F13" s="110">
        <v>8875.0</v>
      </c>
      <c r="G13" s="38" t="s">
        <v>42</v>
      </c>
      <c r="H13" s="110">
        <v>1162.0</v>
      </c>
      <c r="I13" s="132">
        <v>421.89</v>
      </c>
      <c r="J13" s="132">
        <v>364.69</v>
      </c>
      <c r="K13" s="39">
        <f t="shared" si="1"/>
        <v>490236.18</v>
      </c>
      <c r="L13" s="39">
        <f t="shared" si="2"/>
        <v>423769.78</v>
      </c>
      <c r="M13" s="39">
        <f t="shared" si="3"/>
        <v>66466.4</v>
      </c>
      <c r="N13" s="38" t="str">
        <f>VLOOKUP(F13,products!$A$2:$B$13,2,FALSE)</f>
        <v>Meat</v>
      </c>
      <c r="O13" s="133">
        <f t="shared" si="4"/>
        <v>0.8644196354</v>
      </c>
      <c r="P13" s="38" t="str">
        <f>VLOOKUP(E13,countries!A$2:E$250,3,false)</f>
        <v>Georgia</v>
      </c>
      <c r="Q13" s="38" t="str">
        <f>VLOOKUP($E13,countries!$A$2:$E$250,4,false)</f>
        <v>Asia</v>
      </c>
      <c r="R13" s="38" t="str">
        <f>VLOOKUP($E13,countries!$A$2:$E$250,5,false)</f>
        <v>Western Asia</v>
      </c>
      <c r="S13" s="38">
        <f t="shared" si="5"/>
        <v>18</v>
      </c>
      <c r="T13" s="38" t="s">
        <v>167</v>
      </c>
      <c r="U13" s="38">
        <v>2017.0</v>
      </c>
      <c r="V13" s="38">
        <v>2.0</v>
      </c>
      <c r="W13" s="38" t="s">
        <v>102</v>
      </c>
      <c r="X13" s="38" t="s">
        <v>168</v>
      </c>
      <c r="Y13" s="38" t="s">
        <v>165</v>
      </c>
      <c r="Z13" s="38" t="s">
        <v>166</v>
      </c>
      <c r="AA13" s="113" t="str">
        <f t="array" ref="AA13">PROPER(G13)</f>
        <v>Offline</v>
      </c>
    </row>
    <row r="14">
      <c r="A14" s="110">
        <v>1.04245078E8</v>
      </c>
      <c r="B14" s="131">
        <v>41360.0</v>
      </c>
      <c r="C14" s="131">
        <v>41385.0</v>
      </c>
      <c r="D14" s="110" t="s">
        <v>89</v>
      </c>
      <c r="E14" s="110" t="s">
        <v>103</v>
      </c>
      <c r="F14" s="110">
        <v>4594.0</v>
      </c>
      <c r="G14" s="38" t="s">
        <v>42</v>
      </c>
      <c r="H14" s="110">
        <v>7290.0</v>
      </c>
      <c r="I14" s="132">
        <v>9.33</v>
      </c>
      <c r="J14" s="132">
        <v>6.92</v>
      </c>
      <c r="K14" s="39">
        <f t="shared" si="1"/>
        <v>68015.7</v>
      </c>
      <c r="L14" s="39">
        <f t="shared" si="2"/>
        <v>50446.8</v>
      </c>
      <c r="M14" s="39">
        <f t="shared" si="3"/>
        <v>17568.9</v>
      </c>
      <c r="N14" s="38" t="str">
        <f>VLOOKUP(F14,products!$A$2:$B$13,2,FALSE)</f>
        <v>Fruits</v>
      </c>
      <c r="O14" s="133">
        <f t="shared" si="4"/>
        <v>0.741693462</v>
      </c>
      <c r="P14" s="38" t="str">
        <f>VLOOKUP(E14,countries!A$2:E$250,3,false)</f>
        <v>United Kingdom</v>
      </c>
      <c r="Q14" s="38" t="str">
        <f>VLOOKUP($E14,countries!$A$2:$E$250,4,false)</f>
        <v>Europe</v>
      </c>
      <c r="R14" s="38" t="str">
        <f>VLOOKUP($E14,countries!$A$2:$E$250,5,false)</f>
        <v>Northern Europe</v>
      </c>
      <c r="S14" s="38">
        <f t="shared" si="5"/>
        <v>25</v>
      </c>
      <c r="T14" s="38" t="s">
        <v>156</v>
      </c>
      <c r="U14" s="38">
        <v>2013.0</v>
      </c>
      <c r="V14" s="38">
        <v>3.0</v>
      </c>
      <c r="W14" s="38" t="s">
        <v>103</v>
      </c>
      <c r="X14" s="38" t="s">
        <v>169</v>
      </c>
      <c r="Y14" s="38" t="s">
        <v>146</v>
      </c>
      <c r="Z14" s="38" t="s">
        <v>170</v>
      </c>
      <c r="AA14" s="113" t="str">
        <f t="array" ref="AA14">PROPER(G14)</f>
        <v>Offline</v>
      </c>
    </row>
    <row r="15">
      <c r="A15" s="110">
        <v>1.0454849E8</v>
      </c>
      <c r="B15" s="131">
        <v>41640.0</v>
      </c>
      <c r="C15" s="131">
        <v>41644.0</v>
      </c>
      <c r="D15" s="110" t="s">
        <v>89</v>
      </c>
      <c r="E15" s="110" t="e">
        <v>#N/A</v>
      </c>
      <c r="F15" s="110">
        <v>7331.0</v>
      </c>
      <c r="G15" s="38" t="s">
        <v>43</v>
      </c>
      <c r="H15" s="110">
        <v>7076.0</v>
      </c>
      <c r="I15" s="132">
        <v>255.28</v>
      </c>
      <c r="J15" s="132">
        <v>159.42</v>
      </c>
      <c r="K15" s="39">
        <f t="shared" si="1"/>
        <v>1806361.28</v>
      </c>
      <c r="L15" s="39">
        <f t="shared" si="2"/>
        <v>1128055.92</v>
      </c>
      <c r="M15" s="39">
        <f t="shared" si="3"/>
        <v>678305.36</v>
      </c>
      <c r="N15" s="38" t="str">
        <f>VLOOKUP(F15,products!$A$2:$B$13,2,FALSE)</f>
        <v>Baby Food</v>
      </c>
      <c r="O15" s="133">
        <f t="shared" si="4"/>
        <v>0.6244907552</v>
      </c>
      <c r="P15" s="38" t="str">
        <f>VLOOKUP(E15,countries!A$2:E$250,3,false)</f>
        <v>#N/A</v>
      </c>
      <c r="Q15" s="38" t="str">
        <f>VLOOKUP($E15,countries!$A$2:$E$250,4,false)</f>
        <v>#N/A</v>
      </c>
      <c r="R15" s="38" t="str">
        <f>VLOOKUP($E15,countries!$A$2:$E$250,5,false)</f>
        <v>#N/A</v>
      </c>
      <c r="S15" s="38">
        <f t="shared" si="5"/>
        <v>4</v>
      </c>
      <c r="T15" s="38" t="s">
        <v>161</v>
      </c>
      <c r="U15" s="38">
        <v>2014.0</v>
      </c>
      <c r="V15" s="38">
        <v>1.0</v>
      </c>
      <c r="W15" s="38" t="s">
        <v>92</v>
      </c>
      <c r="X15" s="38" t="s">
        <v>149</v>
      </c>
      <c r="Y15" s="38" t="s">
        <v>149</v>
      </c>
      <c r="Z15" s="38" t="s">
        <v>149</v>
      </c>
      <c r="AA15" s="113" t="str">
        <f t="array" ref="AA15">PROPER(G15)</f>
        <v>Online</v>
      </c>
    </row>
    <row r="16">
      <c r="A16" s="110">
        <v>1.0503E8</v>
      </c>
      <c r="B16" s="131">
        <v>42523.0</v>
      </c>
      <c r="C16" s="131">
        <v>42534.0</v>
      </c>
      <c r="D16" s="110" t="s">
        <v>10</v>
      </c>
      <c r="E16" s="110" t="s">
        <v>104</v>
      </c>
      <c r="F16" s="110">
        <v>2455.0</v>
      </c>
      <c r="G16" s="38" t="s">
        <v>42</v>
      </c>
      <c r="H16" s="110">
        <v>9566.0</v>
      </c>
      <c r="I16" s="132">
        <v>109.28</v>
      </c>
      <c r="J16" s="132">
        <v>35.84</v>
      </c>
      <c r="K16" s="39">
        <f t="shared" si="1"/>
        <v>1045372.48</v>
      </c>
      <c r="L16" s="39">
        <f t="shared" si="2"/>
        <v>342845.44</v>
      </c>
      <c r="M16" s="39">
        <f t="shared" si="3"/>
        <v>702527.04</v>
      </c>
      <c r="N16" s="38" t="str">
        <f>VLOOKUP(F16,products!$A$2:$B$13,2,FALSE)</f>
        <v>Clothes</v>
      </c>
      <c r="O16" s="133">
        <f t="shared" si="4"/>
        <v>0.3279648609</v>
      </c>
      <c r="P16" s="38" t="str">
        <f>VLOOKUP(E16,countries!A$2:E$250,3,false)</f>
        <v>Slovenia</v>
      </c>
      <c r="Q16" s="38" t="str">
        <f>VLOOKUP($E16,countries!$A$2:$E$250,4,false)</f>
        <v>Europe</v>
      </c>
      <c r="R16" s="38" t="str">
        <f>VLOOKUP($E16,countries!$A$2:$E$250,5,false)</f>
        <v>Southern Europe</v>
      </c>
      <c r="S16" s="38">
        <f t="shared" si="5"/>
        <v>11</v>
      </c>
      <c r="T16" s="38" t="s">
        <v>150</v>
      </c>
      <c r="U16" s="38">
        <v>2016.0</v>
      </c>
      <c r="V16" s="38">
        <v>6.0</v>
      </c>
      <c r="W16" s="38" t="s">
        <v>104</v>
      </c>
      <c r="X16" s="38" t="s">
        <v>171</v>
      </c>
      <c r="Y16" s="38" t="s">
        <v>146</v>
      </c>
      <c r="Z16" s="38" t="s">
        <v>147</v>
      </c>
      <c r="AA16" s="113" t="str">
        <f t="array" ref="AA16">PROPER(G16)</f>
        <v>Offline</v>
      </c>
    </row>
    <row r="17">
      <c r="A17" s="110">
        <v>1.07651269E8</v>
      </c>
      <c r="B17" s="131">
        <v>41575.0</v>
      </c>
      <c r="C17" s="131">
        <v>41589.0</v>
      </c>
      <c r="D17" s="110" t="s">
        <v>89</v>
      </c>
      <c r="E17" s="110" t="s">
        <v>99</v>
      </c>
      <c r="F17" s="110">
        <v>7940.0</v>
      </c>
      <c r="G17" s="38" t="s">
        <v>43</v>
      </c>
      <c r="H17" s="110">
        <v>5258.0</v>
      </c>
      <c r="I17" s="132">
        <v>668.27</v>
      </c>
      <c r="J17" s="132">
        <v>502.54</v>
      </c>
      <c r="K17" s="39">
        <f t="shared" si="1"/>
        <v>3513763.66</v>
      </c>
      <c r="L17" s="39">
        <f t="shared" si="2"/>
        <v>2642355.32</v>
      </c>
      <c r="M17" s="39">
        <f t="shared" si="3"/>
        <v>871408.34</v>
      </c>
      <c r="N17" s="38" t="str">
        <f>VLOOKUP(F17,products!$A$2:$B$13,2,FALSE)</f>
        <v>Household</v>
      </c>
      <c r="O17" s="133">
        <f t="shared" si="4"/>
        <v>0.7520014365</v>
      </c>
      <c r="P17" s="38" t="str">
        <f>VLOOKUP(E17,countries!A$2:E$250,3,false)</f>
        <v>Croatia</v>
      </c>
      <c r="Q17" s="38" t="str">
        <f>VLOOKUP($E17,countries!$A$2:$E$250,4,false)</f>
        <v>Europe</v>
      </c>
      <c r="R17" s="38" t="str">
        <f>VLOOKUP($E17,countries!$A$2:$E$250,5,false)</f>
        <v>Southern Europe</v>
      </c>
      <c r="S17" s="38">
        <f t="shared" si="5"/>
        <v>14</v>
      </c>
      <c r="T17" s="38" t="s">
        <v>148</v>
      </c>
      <c r="U17" s="38">
        <v>2013.0</v>
      </c>
      <c r="V17" s="38">
        <v>10.0</v>
      </c>
      <c r="W17" s="38" t="s">
        <v>99</v>
      </c>
      <c r="X17" s="38" t="s">
        <v>162</v>
      </c>
      <c r="Y17" s="38" t="s">
        <v>146</v>
      </c>
      <c r="Z17" s="38" t="s">
        <v>147</v>
      </c>
      <c r="AA17" s="113" t="str">
        <f t="array" ref="AA17">PROPER(G17)</f>
        <v>Online</v>
      </c>
    </row>
    <row r="18">
      <c r="A18" s="110">
        <v>1.08407437E8</v>
      </c>
      <c r="B18" s="131">
        <v>42054.0</v>
      </c>
      <c r="C18" s="131">
        <v>42090.0</v>
      </c>
      <c r="D18" s="110" t="s">
        <v>10</v>
      </c>
      <c r="E18" s="110" t="s">
        <v>105</v>
      </c>
      <c r="F18" s="110">
        <v>7331.0</v>
      </c>
      <c r="G18" s="38" t="s">
        <v>42</v>
      </c>
      <c r="H18" s="110">
        <v>9025.0</v>
      </c>
      <c r="I18" s="132">
        <v>255.28</v>
      </c>
      <c r="J18" s="132">
        <v>159.42</v>
      </c>
      <c r="K18" s="39">
        <f t="shared" si="1"/>
        <v>2303902</v>
      </c>
      <c r="L18" s="39">
        <f t="shared" si="2"/>
        <v>1438765.5</v>
      </c>
      <c r="M18" s="39">
        <f t="shared" si="3"/>
        <v>865136.5</v>
      </c>
      <c r="N18" s="38" t="str">
        <f>VLOOKUP(F18,products!$A$2:$B$13,2,FALSE)</f>
        <v>Baby Food</v>
      </c>
      <c r="O18" s="133">
        <f t="shared" si="4"/>
        <v>0.6244907552</v>
      </c>
      <c r="P18" s="38" t="str">
        <f>VLOOKUP(E18,countries!A$2:E$250,3,false)</f>
        <v>Romania</v>
      </c>
      <c r="Q18" s="38" t="str">
        <f>VLOOKUP($E18,countries!$A$2:$E$250,4,false)</f>
        <v>Europe</v>
      </c>
      <c r="R18" s="38" t="str">
        <f>VLOOKUP($E18,countries!$A$2:$E$250,5,false)</f>
        <v>Eastern Europe</v>
      </c>
      <c r="S18" s="38">
        <f t="shared" si="5"/>
        <v>36</v>
      </c>
      <c r="T18" s="38" t="s">
        <v>161</v>
      </c>
      <c r="U18" s="38">
        <v>2015.0</v>
      </c>
      <c r="V18" s="38">
        <v>2.0</v>
      </c>
      <c r="W18" s="38" t="s">
        <v>105</v>
      </c>
      <c r="X18" s="38" t="s">
        <v>172</v>
      </c>
      <c r="Y18" s="38" t="s">
        <v>146</v>
      </c>
      <c r="Z18" s="38" t="s">
        <v>155</v>
      </c>
      <c r="AA18" s="113" t="str">
        <f t="array" ref="AA18">PROPER(G18)</f>
        <v>Offline</v>
      </c>
    </row>
    <row r="19">
      <c r="A19" s="110">
        <v>1.09914195E8</v>
      </c>
      <c r="B19" s="131">
        <v>40980.0</v>
      </c>
      <c r="C19" s="131">
        <v>41015.0</v>
      </c>
      <c r="D19" s="110" t="s">
        <v>89</v>
      </c>
      <c r="E19" s="110" t="s">
        <v>106</v>
      </c>
      <c r="F19" s="110">
        <v>2455.0</v>
      </c>
      <c r="G19" s="38" t="s">
        <v>42</v>
      </c>
      <c r="H19" s="110">
        <v>4908.0</v>
      </c>
      <c r="I19" s="132">
        <v>109.28</v>
      </c>
      <c r="J19" s="132">
        <v>35.84</v>
      </c>
      <c r="K19" s="39">
        <f t="shared" si="1"/>
        <v>536346.24</v>
      </c>
      <c r="L19" s="39">
        <f t="shared" si="2"/>
        <v>175902.72</v>
      </c>
      <c r="M19" s="39">
        <f t="shared" si="3"/>
        <v>360443.52</v>
      </c>
      <c r="N19" s="38" t="str">
        <f>VLOOKUP(F19,products!$A$2:$B$13,2,FALSE)</f>
        <v>Clothes</v>
      </c>
      <c r="O19" s="133">
        <f t="shared" si="4"/>
        <v>0.3279648609</v>
      </c>
      <c r="P19" s="38" t="str">
        <f>VLOOKUP(E19,countries!A$2:E$250,3,false)</f>
        <v>Poland</v>
      </c>
      <c r="Q19" s="38" t="str">
        <f>VLOOKUP($E19,countries!$A$2:$E$250,4,false)</f>
        <v>Europe</v>
      </c>
      <c r="R19" s="38" t="str">
        <f>VLOOKUP($E19,countries!$A$2:$E$250,5,false)</f>
        <v>Eastern Europe</v>
      </c>
      <c r="S19" s="38">
        <f t="shared" si="5"/>
        <v>35</v>
      </c>
      <c r="T19" s="38" t="s">
        <v>150</v>
      </c>
      <c r="U19" s="38">
        <v>2012.0</v>
      </c>
      <c r="V19" s="38">
        <v>3.0</v>
      </c>
      <c r="W19" s="38" t="s">
        <v>106</v>
      </c>
      <c r="X19" s="38" t="s">
        <v>173</v>
      </c>
      <c r="Y19" s="38" t="s">
        <v>146</v>
      </c>
      <c r="Z19" s="38" t="s">
        <v>155</v>
      </c>
      <c r="AA19" s="113" t="str">
        <f t="array" ref="AA19">PROPER(G19)</f>
        <v>Offline</v>
      </c>
    </row>
    <row r="20">
      <c r="A20" s="110">
        <v>1.11063039E8</v>
      </c>
      <c r="B20" s="131">
        <v>41055.0</v>
      </c>
      <c r="C20" s="131">
        <v>41103.0</v>
      </c>
      <c r="D20" s="110" t="s">
        <v>93</v>
      </c>
      <c r="E20" s="110" t="s">
        <v>107</v>
      </c>
      <c r="F20" s="110">
        <v>7331.0</v>
      </c>
      <c r="G20" s="38" t="s">
        <v>43</v>
      </c>
      <c r="H20" s="110">
        <v>4876.0</v>
      </c>
      <c r="I20" s="132">
        <v>255.28</v>
      </c>
      <c r="J20" s="132">
        <v>159.42</v>
      </c>
      <c r="K20" s="39">
        <f t="shared" si="1"/>
        <v>1244745.28</v>
      </c>
      <c r="L20" s="39">
        <f t="shared" si="2"/>
        <v>777331.92</v>
      </c>
      <c r="M20" s="39">
        <f t="shared" si="3"/>
        <v>467413.36</v>
      </c>
      <c r="N20" s="38" t="str">
        <f>VLOOKUP(F20,products!$A$2:$B$13,2,FALSE)</f>
        <v>Baby Food</v>
      </c>
      <c r="O20" s="133">
        <f t="shared" si="4"/>
        <v>0.6244907552</v>
      </c>
      <c r="P20" s="38" t="str">
        <f>VLOOKUP(E20,countries!A$2:E$250,3,false)</f>
        <v>Luxembourg</v>
      </c>
      <c r="Q20" s="38" t="str">
        <f>VLOOKUP($E20,countries!$A$2:$E$250,4,false)</f>
        <v>Europe</v>
      </c>
      <c r="R20" s="38" t="str">
        <f>VLOOKUP($E20,countries!$A$2:$E$250,5,false)</f>
        <v>Western Europe</v>
      </c>
      <c r="S20" s="38">
        <f t="shared" si="5"/>
        <v>48</v>
      </c>
      <c r="T20" s="38" t="s">
        <v>161</v>
      </c>
      <c r="U20" s="38">
        <v>2012.0</v>
      </c>
      <c r="V20" s="38">
        <v>5.0</v>
      </c>
      <c r="W20" s="38" t="s">
        <v>107</v>
      </c>
      <c r="X20" s="38" t="s">
        <v>174</v>
      </c>
      <c r="Y20" s="38" t="s">
        <v>146</v>
      </c>
      <c r="Z20" s="38" t="s">
        <v>158</v>
      </c>
      <c r="AA20" s="113" t="str">
        <f t="array" ref="AA20">PROPER(G20)</f>
        <v>Online</v>
      </c>
    </row>
    <row r="21">
      <c r="A21" s="110">
        <v>1.11246287E8</v>
      </c>
      <c r="B21" s="131">
        <v>42895.0</v>
      </c>
      <c r="C21" s="131">
        <v>42918.0</v>
      </c>
      <c r="D21" s="110" t="s">
        <v>89</v>
      </c>
      <c r="E21" s="110" t="s">
        <v>108</v>
      </c>
      <c r="F21" s="110">
        <v>8875.0</v>
      </c>
      <c r="G21" s="38" t="s">
        <v>42</v>
      </c>
      <c r="H21" s="110">
        <v>9103.0</v>
      </c>
      <c r="I21" s="132">
        <v>421.89</v>
      </c>
      <c r="J21" s="132">
        <v>364.69</v>
      </c>
      <c r="K21" s="39">
        <f t="shared" si="1"/>
        <v>3840464.67</v>
      </c>
      <c r="L21" s="39">
        <f t="shared" si="2"/>
        <v>3319773.07</v>
      </c>
      <c r="M21" s="39">
        <f t="shared" si="3"/>
        <v>520691.6</v>
      </c>
      <c r="N21" s="38" t="str">
        <f>VLOOKUP(F21,products!$A$2:$B$13,2,FALSE)</f>
        <v>Meat</v>
      </c>
      <c r="O21" s="133">
        <f t="shared" si="4"/>
        <v>0.8644196354</v>
      </c>
      <c r="P21" s="38" t="str">
        <f>VLOOKUP(E21,countries!A$2:E$250,3,false)</f>
        <v>Cyprus</v>
      </c>
      <c r="Q21" s="38" t="str">
        <f>VLOOKUP($E21,countries!$A$2:$E$250,4,false)</f>
        <v>Asia</v>
      </c>
      <c r="R21" s="38" t="str">
        <f>VLOOKUP($E21,countries!$A$2:$E$250,5,false)</f>
        <v>Western Asia</v>
      </c>
      <c r="S21" s="38">
        <f t="shared" si="5"/>
        <v>23</v>
      </c>
      <c r="T21" s="38" t="s">
        <v>167</v>
      </c>
      <c r="U21" s="38">
        <v>2017.0</v>
      </c>
      <c r="V21" s="38">
        <v>6.0</v>
      </c>
      <c r="W21" s="38" t="s">
        <v>108</v>
      </c>
      <c r="X21" s="38" t="s">
        <v>175</v>
      </c>
      <c r="Y21" s="38" t="s">
        <v>165</v>
      </c>
      <c r="Z21" s="38" t="s">
        <v>166</v>
      </c>
      <c r="AA21" s="113" t="str">
        <f t="array" ref="AA21">PROPER(G21)</f>
        <v>Offline</v>
      </c>
    </row>
    <row r="22">
      <c r="A22" s="110">
        <v>1.11496055E8</v>
      </c>
      <c r="B22" s="131">
        <v>40661.0</v>
      </c>
      <c r="C22" s="131">
        <v>40698.0</v>
      </c>
      <c r="D22" s="110" t="s">
        <v>89</v>
      </c>
      <c r="E22" s="110" t="s">
        <v>109</v>
      </c>
      <c r="F22" s="110">
        <v>4594.0</v>
      </c>
      <c r="G22" s="38" t="s">
        <v>43</v>
      </c>
      <c r="H22" s="110">
        <v>3015.0</v>
      </c>
      <c r="I22" s="132">
        <v>9.33</v>
      </c>
      <c r="J22" s="132">
        <v>6.92</v>
      </c>
      <c r="K22" s="39">
        <f t="shared" si="1"/>
        <v>28129.95</v>
      </c>
      <c r="L22" s="39">
        <f t="shared" si="2"/>
        <v>20863.8</v>
      </c>
      <c r="M22" s="39">
        <f t="shared" si="3"/>
        <v>7266.15</v>
      </c>
      <c r="N22" s="38" t="str">
        <f>VLOOKUP(F22,products!$A$2:$B$13,2,FALSE)</f>
        <v>Fruits</v>
      </c>
      <c r="O22" s="133">
        <f t="shared" si="4"/>
        <v>0.741693462</v>
      </c>
      <c r="P22" s="38" t="str">
        <f>VLOOKUP(E22,countries!A$2:E$250,3,false)</f>
        <v>Belgium</v>
      </c>
      <c r="Q22" s="38" t="str">
        <f>VLOOKUP($E22,countries!$A$2:$E$250,4,false)</f>
        <v>Europe</v>
      </c>
      <c r="R22" s="38" t="str">
        <f>VLOOKUP($E22,countries!$A$2:$E$250,5,false)</f>
        <v>Western Europe</v>
      </c>
      <c r="S22" s="38">
        <f t="shared" si="5"/>
        <v>37</v>
      </c>
      <c r="T22" s="38" t="s">
        <v>156</v>
      </c>
      <c r="U22" s="38">
        <v>2011.0</v>
      </c>
      <c r="V22" s="38">
        <v>4.0</v>
      </c>
      <c r="W22" s="38" t="s">
        <v>109</v>
      </c>
      <c r="X22" s="38" t="s">
        <v>176</v>
      </c>
      <c r="Y22" s="38" t="s">
        <v>146</v>
      </c>
      <c r="Z22" s="38" t="s">
        <v>158</v>
      </c>
      <c r="AA22" s="113" t="str">
        <f t="array" ref="AA22">PROPER(G22)</f>
        <v>Online</v>
      </c>
    </row>
    <row r="23">
      <c r="A23" s="110">
        <v>1.11893022E8</v>
      </c>
      <c r="B23" s="131">
        <v>42671.0</v>
      </c>
      <c r="C23" s="131">
        <v>42706.0</v>
      </c>
      <c r="D23" s="110" t="s">
        <v>93</v>
      </c>
      <c r="E23" s="110" t="s">
        <v>104</v>
      </c>
      <c r="F23" s="110">
        <v>7331.0</v>
      </c>
      <c r="G23" s="38" t="s">
        <v>43</v>
      </c>
      <c r="H23" s="110">
        <v>486.0</v>
      </c>
      <c r="I23" s="132">
        <v>255.28</v>
      </c>
      <c r="J23" s="132">
        <v>159.42</v>
      </c>
      <c r="K23" s="39">
        <f t="shared" si="1"/>
        <v>124066.08</v>
      </c>
      <c r="L23" s="39">
        <f t="shared" si="2"/>
        <v>77478.12</v>
      </c>
      <c r="M23" s="39">
        <f t="shared" si="3"/>
        <v>46587.96</v>
      </c>
      <c r="N23" s="38" t="str">
        <f>VLOOKUP(F23,products!$A$2:$B$13,2,FALSE)</f>
        <v>Baby Food</v>
      </c>
      <c r="O23" s="133">
        <f t="shared" si="4"/>
        <v>0.6244907552</v>
      </c>
      <c r="P23" s="38" t="str">
        <f>VLOOKUP(E23,countries!A$2:E$250,3,false)</f>
        <v>Slovenia</v>
      </c>
      <c r="Q23" s="38" t="str">
        <f>VLOOKUP($E23,countries!$A$2:$E$250,4,false)</f>
        <v>Europe</v>
      </c>
      <c r="R23" s="38" t="str">
        <f>VLOOKUP($E23,countries!$A$2:$E$250,5,false)</f>
        <v>Southern Europe</v>
      </c>
      <c r="S23" s="38">
        <f t="shared" si="5"/>
        <v>35</v>
      </c>
      <c r="T23" s="38" t="s">
        <v>161</v>
      </c>
      <c r="U23" s="38">
        <v>2016.0</v>
      </c>
      <c r="V23" s="38">
        <v>10.0</v>
      </c>
      <c r="W23" s="38" t="s">
        <v>104</v>
      </c>
      <c r="X23" s="38" t="s">
        <v>171</v>
      </c>
      <c r="Y23" s="38" t="s">
        <v>146</v>
      </c>
      <c r="Z23" s="38" t="s">
        <v>147</v>
      </c>
      <c r="AA23" s="113" t="str">
        <f t="array" ref="AA23">PROPER(G23)</f>
        <v>Online</v>
      </c>
    </row>
    <row r="24">
      <c r="A24" s="110">
        <v>1.12330758E8</v>
      </c>
      <c r="B24" s="131">
        <v>42719.0</v>
      </c>
      <c r="C24" s="131">
        <v>42746.0</v>
      </c>
      <c r="D24" s="110" t="s">
        <v>10</v>
      </c>
      <c r="E24" s="110" t="s">
        <v>110</v>
      </c>
      <c r="F24" s="110">
        <v>8681.0</v>
      </c>
      <c r="G24" s="38" t="s">
        <v>42</v>
      </c>
      <c r="H24" s="110">
        <v>22.0</v>
      </c>
      <c r="I24" s="132">
        <v>651.21</v>
      </c>
      <c r="J24" s="132">
        <v>524.96</v>
      </c>
      <c r="K24" s="39">
        <f t="shared" si="1"/>
        <v>14326.62</v>
      </c>
      <c r="L24" s="39">
        <f t="shared" si="2"/>
        <v>11549.12</v>
      </c>
      <c r="M24" s="39">
        <f t="shared" si="3"/>
        <v>2777.5</v>
      </c>
      <c r="N24" s="38" t="str">
        <f>VLOOKUP(F24,products!$A$2:$B$13,2,FALSE)</f>
        <v>Office Supplies</v>
      </c>
      <c r="O24" s="133">
        <f t="shared" si="4"/>
        <v>0.806130127</v>
      </c>
      <c r="P24" s="38" t="str">
        <f>VLOOKUP(E24,countries!A$2:E$250,3,false)</f>
        <v>Lithuania</v>
      </c>
      <c r="Q24" s="38" t="str">
        <f>VLOOKUP($E24,countries!$A$2:$E$250,4,false)</f>
        <v>Europe</v>
      </c>
      <c r="R24" s="38" t="str">
        <f>VLOOKUP($E24,countries!$A$2:$E$250,5,false)</f>
        <v>Northern Europe</v>
      </c>
      <c r="S24" s="38">
        <f t="shared" si="5"/>
        <v>27</v>
      </c>
      <c r="T24" s="38" t="s">
        <v>153</v>
      </c>
      <c r="U24" s="38">
        <v>2016.0</v>
      </c>
      <c r="V24" s="38">
        <v>12.0</v>
      </c>
      <c r="W24" s="38" t="s">
        <v>110</v>
      </c>
      <c r="X24" s="38" t="s">
        <v>177</v>
      </c>
      <c r="Y24" s="38" t="s">
        <v>146</v>
      </c>
      <c r="Z24" s="38" t="s">
        <v>170</v>
      </c>
      <c r="AA24" s="113" t="str">
        <f t="array" ref="AA24">PROPER(G24)</f>
        <v>Offline</v>
      </c>
    </row>
    <row r="25">
      <c r="A25" s="110">
        <v>1.13524663E8</v>
      </c>
      <c r="B25" s="131">
        <v>40480.0</v>
      </c>
      <c r="C25" s="131">
        <v>40521.0</v>
      </c>
      <c r="D25" s="110" t="s">
        <v>93</v>
      </c>
      <c r="E25" s="110" t="s">
        <v>111</v>
      </c>
      <c r="F25" s="110">
        <v>8293.0</v>
      </c>
      <c r="G25" s="38" t="s">
        <v>43</v>
      </c>
      <c r="H25" s="110">
        <v>3325.0</v>
      </c>
      <c r="I25" s="132">
        <v>437.2</v>
      </c>
      <c r="J25" s="132">
        <v>263.33</v>
      </c>
      <c r="K25" s="39">
        <f t="shared" si="1"/>
        <v>1453690</v>
      </c>
      <c r="L25" s="39">
        <f t="shared" si="2"/>
        <v>875572.25</v>
      </c>
      <c r="M25" s="39">
        <f t="shared" si="3"/>
        <v>578117.75</v>
      </c>
      <c r="N25" s="38" t="str">
        <f>VLOOKUP(F25,products!$A$2:$B$13,2,FALSE)</f>
        <v>Cosmetics</v>
      </c>
      <c r="O25" s="133">
        <f t="shared" si="4"/>
        <v>0.6023101555</v>
      </c>
      <c r="P25" s="38" t="str">
        <f>VLOOKUP(E25,countries!A$2:E$250,3,false)</f>
        <v>Russia</v>
      </c>
      <c r="Q25" s="38" t="str">
        <f>VLOOKUP($E25,countries!$A$2:$E$250,4,false)</f>
        <v>Europe</v>
      </c>
      <c r="R25" s="38" t="str">
        <f>VLOOKUP($E25,countries!$A$2:$E$250,5,false)</f>
        <v>Eastern Europe</v>
      </c>
      <c r="S25" s="38">
        <f t="shared" si="5"/>
        <v>41</v>
      </c>
      <c r="T25" s="38" t="s">
        <v>178</v>
      </c>
      <c r="U25" s="38">
        <v>2010.0</v>
      </c>
      <c r="V25" s="38">
        <v>10.0</v>
      </c>
      <c r="W25" s="38" t="s">
        <v>111</v>
      </c>
      <c r="X25" s="38" t="s">
        <v>179</v>
      </c>
      <c r="Y25" s="38" t="s">
        <v>146</v>
      </c>
      <c r="Z25" s="38" t="s">
        <v>155</v>
      </c>
      <c r="AA25" s="113" t="str">
        <f t="array" ref="AA25">PROPER(G25)</f>
        <v>Online</v>
      </c>
    </row>
    <row r="26">
      <c r="A26" s="110">
        <v>1.14954173E8</v>
      </c>
      <c r="B26" s="131">
        <v>40212.0</v>
      </c>
      <c r="C26" s="131">
        <v>40220.0</v>
      </c>
      <c r="D26" s="110" t="s">
        <v>10</v>
      </c>
      <c r="E26" s="110" t="s">
        <v>112</v>
      </c>
      <c r="F26" s="110">
        <v>4594.0</v>
      </c>
      <c r="G26" s="38" t="s">
        <v>42</v>
      </c>
      <c r="H26" s="110">
        <v>6349.0</v>
      </c>
      <c r="I26" s="132">
        <v>9.33</v>
      </c>
      <c r="J26" s="132">
        <v>6.92</v>
      </c>
      <c r="K26" s="39">
        <f t="shared" si="1"/>
        <v>59236.17</v>
      </c>
      <c r="L26" s="39">
        <f t="shared" si="2"/>
        <v>43935.08</v>
      </c>
      <c r="M26" s="39">
        <f t="shared" si="3"/>
        <v>15301.09</v>
      </c>
      <c r="N26" s="38" t="str">
        <f>VLOOKUP(F26,products!$A$2:$B$13,2,FALSE)</f>
        <v>Fruits</v>
      </c>
      <c r="O26" s="133">
        <f t="shared" si="4"/>
        <v>0.741693462</v>
      </c>
      <c r="P26" s="38" t="str">
        <f>VLOOKUP(E26,countries!A$2:E$250,3,false)</f>
        <v>Malta</v>
      </c>
      <c r="Q26" s="38" t="str">
        <f>VLOOKUP($E26,countries!$A$2:$E$250,4,false)</f>
        <v>Europe</v>
      </c>
      <c r="R26" s="38" t="str">
        <f>VLOOKUP($E26,countries!$A$2:$E$250,5,false)</f>
        <v>Southern Europe</v>
      </c>
      <c r="S26" s="38">
        <f t="shared" si="5"/>
        <v>8</v>
      </c>
      <c r="T26" s="38" t="s">
        <v>156</v>
      </c>
      <c r="U26" s="38">
        <v>2010.0</v>
      </c>
      <c r="V26" s="38">
        <v>2.0</v>
      </c>
      <c r="W26" s="38" t="s">
        <v>112</v>
      </c>
      <c r="X26" s="38" t="s">
        <v>180</v>
      </c>
      <c r="Y26" s="38" t="s">
        <v>146</v>
      </c>
      <c r="Z26" s="38" t="s">
        <v>147</v>
      </c>
      <c r="AA26" s="113" t="str">
        <f t="array" ref="AA26">PROPER(G26)</f>
        <v>Offline</v>
      </c>
    </row>
    <row r="27">
      <c r="A27" s="110">
        <v>1.15363156E8</v>
      </c>
      <c r="B27" s="131">
        <v>42342.0</v>
      </c>
      <c r="C27" s="131">
        <v>42379.0</v>
      </c>
      <c r="D27" s="110" t="s">
        <v>95</v>
      </c>
      <c r="E27" s="110" t="s">
        <v>113</v>
      </c>
      <c r="F27" s="110">
        <v>8681.0</v>
      </c>
      <c r="G27" s="38" t="s">
        <v>42</v>
      </c>
      <c r="H27" s="110">
        <v>7376.0</v>
      </c>
      <c r="I27" s="132">
        <v>651.21</v>
      </c>
      <c r="J27" s="132">
        <v>524.96</v>
      </c>
      <c r="K27" s="39">
        <f t="shared" si="1"/>
        <v>4803324.96</v>
      </c>
      <c r="L27" s="39">
        <f t="shared" si="2"/>
        <v>3872104.96</v>
      </c>
      <c r="M27" s="39">
        <f t="shared" si="3"/>
        <v>931220</v>
      </c>
      <c r="N27" s="38" t="str">
        <f>VLOOKUP(F27,products!$A$2:$B$13,2,FALSE)</f>
        <v>Office Supplies</v>
      </c>
      <c r="O27" s="133">
        <f t="shared" si="4"/>
        <v>0.806130127</v>
      </c>
      <c r="P27" s="38" t="str">
        <f>VLOOKUP(E27,countries!A$2:E$250,3,false)</f>
        <v>Ukraine</v>
      </c>
      <c r="Q27" s="38" t="str">
        <f>VLOOKUP($E27,countries!$A$2:$E$250,4,false)</f>
        <v>Europe</v>
      </c>
      <c r="R27" s="38" t="str">
        <f>VLOOKUP($E27,countries!$A$2:$E$250,5,false)</f>
        <v>Eastern Europe</v>
      </c>
      <c r="S27" s="38">
        <f t="shared" si="5"/>
        <v>37</v>
      </c>
      <c r="T27" s="38" t="s">
        <v>153</v>
      </c>
      <c r="U27" s="38">
        <v>2015.0</v>
      </c>
      <c r="V27" s="38">
        <v>12.0</v>
      </c>
      <c r="W27" s="38" t="s">
        <v>113</v>
      </c>
      <c r="X27" s="38" t="s">
        <v>181</v>
      </c>
      <c r="Y27" s="38" t="s">
        <v>146</v>
      </c>
      <c r="Z27" s="38" t="s">
        <v>155</v>
      </c>
      <c r="AA27" s="113" t="str">
        <f t="array" ref="AA27">PROPER(G27)</f>
        <v>Offline</v>
      </c>
    </row>
    <row r="28">
      <c r="A28" s="110">
        <v>1.17929494E8</v>
      </c>
      <c r="B28" s="131">
        <v>42028.0</v>
      </c>
      <c r="C28" s="131">
        <v>42065.0</v>
      </c>
      <c r="D28" s="110" t="s">
        <v>95</v>
      </c>
      <c r="E28" s="110" t="e">
        <v>#N/A</v>
      </c>
      <c r="F28" s="110">
        <v>4594.0</v>
      </c>
      <c r="G28" s="38" t="s">
        <v>42</v>
      </c>
      <c r="H28" s="110">
        <v>6813.0</v>
      </c>
      <c r="I28" s="132">
        <v>9.33</v>
      </c>
      <c r="J28" s="132">
        <v>6.92</v>
      </c>
      <c r="K28" s="39">
        <f t="shared" si="1"/>
        <v>63565.29</v>
      </c>
      <c r="L28" s="39">
        <f t="shared" si="2"/>
        <v>47145.96</v>
      </c>
      <c r="M28" s="39">
        <f t="shared" si="3"/>
        <v>16419.33</v>
      </c>
      <c r="N28" s="38" t="str">
        <f>VLOOKUP(F28,products!$A$2:$B$13,2,FALSE)</f>
        <v>Fruits</v>
      </c>
      <c r="O28" s="133">
        <f t="shared" si="4"/>
        <v>0.741693462</v>
      </c>
      <c r="P28" s="38" t="str">
        <f>VLOOKUP(E28,countries!A$2:E$250,3,false)</f>
        <v>#N/A</v>
      </c>
      <c r="Q28" s="38" t="str">
        <f>VLOOKUP($E28,countries!$A$2:$E$250,4,false)</f>
        <v>#N/A</v>
      </c>
      <c r="R28" s="38" t="str">
        <f>VLOOKUP($E28,countries!$A$2:$E$250,5,false)</f>
        <v>#N/A</v>
      </c>
      <c r="S28" s="38">
        <f t="shared" si="5"/>
        <v>37</v>
      </c>
      <c r="T28" s="38" t="s">
        <v>156</v>
      </c>
      <c r="U28" s="38">
        <v>2015.0</v>
      </c>
      <c r="V28" s="38">
        <v>1.0</v>
      </c>
      <c r="W28" s="38" t="s">
        <v>92</v>
      </c>
      <c r="X28" s="38" t="s">
        <v>149</v>
      </c>
      <c r="Y28" s="38" t="s">
        <v>149</v>
      </c>
      <c r="Z28" s="38" t="s">
        <v>149</v>
      </c>
      <c r="AA28" s="113" t="str">
        <f t="array" ref="AA28">PROPER(G28)</f>
        <v>Offline</v>
      </c>
    </row>
    <row r="29">
      <c r="A29" s="110">
        <v>1.18086564E8</v>
      </c>
      <c r="B29" s="131">
        <v>42419.0</v>
      </c>
      <c r="C29" s="131">
        <v>42442.0</v>
      </c>
      <c r="D29" s="110" t="s">
        <v>89</v>
      </c>
      <c r="E29" s="110" t="s">
        <v>90</v>
      </c>
      <c r="F29" s="110">
        <v>8969.0</v>
      </c>
      <c r="G29" s="38" t="s">
        <v>43</v>
      </c>
      <c r="H29" s="110">
        <v>3293.0</v>
      </c>
      <c r="I29" s="132">
        <v>152.58</v>
      </c>
      <c r="J29" s="132">
        <v>97.44</v>
      </c>
      <c r="K29" s="39">
        <f t="shared" si="1"/>
        <v>502445.94</v>
      </c>
      <c r="L29" s="39">
        <f t="shared" si="2"/>
        <v>320869.92</v>
      </c>
      <c r="M29" s="39">
        <f t="shared" si="3"/>
        <v>181576.02</v>
      </c>
      <c r="N29" s="38" t="str">
        <f>VLOOKUP(F29,products!$A$2:$B$13,2,FALSE)</f>
        <v>Snacks</v>
      </c>
      <c r="O29" s="133">
        <f t="shared" si="4"/>
        <v>0.6386158081</v>
      </c>
      <c r="P29" s="38" t="str">
        <f>VLOOKUP(E29,countries!A$2:E$250,3,false)</f>
        <v>Norway</v>
      </c>
      <c r="Q29" s="38" t="str">
        <f>VLOOKUP($E29,countries!$A$2:$E$250,4,false)</f>
        <v>Europe</v>
      </c>
      <c r="R29" s="38" t="str">
        <f>VLOOKUP($E29,countries!$A$2:$E$250,5,false)</f>
        <v>Northern Europe</v>
      </c>
      <c r="S29" s="38">
        <f t="shared" si="5"/>
        <v>23</v>
      </c>
      <c r="T29" s="38" t="s">
        <v>182</v>
      </c>
      <c r="U29" s="38">
        <v>2016.0</v>
      </c>
      <c r="V29" s="38">
        <v>2.0</v>
      </c>
      <c r="W29" s="38" t="s">
        <v>90</v>
      </c>
      <c r="X29" s="38" t="s">
        <v>183</v>
      </c>
      <c r="Y29" s="38" t="s">
        <v>146</v>
      </c>
      <c r="Z29" s="38" t="s">
        <v>170</v>
      </c>
      <c r="AA29" s="113" t="str">
        <f t="array" ref="AA29">PROPER(G29)</f>
        <v>Online</v>
      </c>
    </row>
    <row r="30">
      <c r="A30" s="110">
        <v>1.18659913E8</v>
      </c>
      <c r="B30" s="131">
        <v>41853.0</v>
      </c>
      <c r="C30" s="131">
        <v>41868.0</v>
      </c>
      <c r="D30" s="110" t="s">
        <v>10</v>
      </c>
      <c r="E30" s="110" t="s">
        <v>114</v>
      </c>
      <c r="F30" s="110">
        <v>2103.0</v>
      </c>
      <c r="G30" s="38" t="s">
        <v>43</v>
      </c>
      <c r="H30" s="110">
        <v>2960.0</v>
      </c>
      <c r="I30" s="132">
        <v>205.7</v>
      </c>
      <c r="J30" s="132">
        <v>117.11</v>
      </c>
      <c r="K30" s="39">
        <f t="shared" si="1"/>
        <v>608872</v>
      </c>
      <c r="L30" s="39">
        <f t="shared" si="2"/>
        <v>346645.6</v>
      </c>
      <c r="M30" s="39">
        <f t="shared" si="3"/>
        <v>262226.4</v>
      </c>
      <c r="N30" s="38" t="str">
        <f>VLOOKUP(F30,products!$A$2:$B$13,2,FALSE)</f>
        <v>Cereal</v>
      </c>
      <c r="O30" s="133">
        <f t="shared" si="4"/>
        <v>0.5693242586</v>
      </c>
      <c r="P30" s="38" t="str">
        <f>VLOOKUP(E30,countries!A$2:E$250,3,false)</f>
        <v>Czech Republic</v>
      </c>
      <c r="Q30" s="38" t="str">
        <f>VLOOKUP($E30,countries!$A$2:$E$250,4,false)</f>
        <v>Europe</v>
      </c>
      <c r="R30" s="38" t="str">
        <f>VLOOKUP($E30,countries!$A$2:$E$250,5,false)</f>
        <v>Eastern Europe</v>
      </c>
      <c r="S30" s="38">
        <f t="shared" si="5"/>
        <v>15</v>
      </c>
      <c r="T30" s="38" t="s">
        <v>144</v>
      </c>
      <c r="U30" s="38">
        <v>2014.0</v>
      </c>
      <c r="V30" s="38">
        <v>8.0</v>
      </c>
      <c r="W30" s="38" t="s">
        <v>114</v>
      </c>
      <c r="X30" s="38" t="s">
        <v>184</v>
      </c>
      <c r="Y30" s="38" t="s">
        <v>146</v>
      </c>
      <c r="Z30" s="38" t="s">
        <v>155</v>
      </c>
      <c r="AA30" s="113" t="str">
        <f t="array" ref="AA30">PROPER(G30)</f>
        <v>Online</v>
      </c>
    </row>
    <row r="31">
      <c r="A31" s="110">
        <v>1.18859469E8</v>
      </c>
      <c r="B31" s="131">
        <v>40696.0</v>
      </c>
      <c r="C31" s="131">
        <v>40725.0</v>
      </c>
      <c r="D31" s="110" t="s">
        <v>93</v>
      </c>
      <c r="E31" s="110" t="e">
        <v>#N/A</v>
      </c>
      <c r="F31" s="110">
        <v>8969.0</v>
      </c>
      <c r="G31" s="38" t="s">
        <v>42</v>
      </c>
      <c r="H31" s="110">
        <v>2013.0</v>
      </c>
      <c r="I31" s="132">
        <v>152.58</v>
      </c>
      <c r="J31" s="132">
        <v>97.44</v>
      </c>
      <c r="K31" s="39">
        <f t="shared" si="1"/>
        <v>307143.54</v>
      </c>
      <c r="L31" s="39">
        <f t="shared" si="2"/>
        <v>196146.72</v>
      </c>
      <c r="M31" s="39">
        <f t="shared" si="3"/>
        <v>110996.82</v>
      </c>
      <c r="N31" s="38" t="str">
        <f>VLOOKUP(F31,products!$A$2:$B$13,2,FALSE)</f>
        <v>Snacks</v>
      </c>
      <c r="O31" s="133">
        <f t="shared" si="4"/>
        <v>0.6386158081</v>
      </c>
      <c r="P31" s="38" t="str">
        <f>VLOOKUP(E31,countries!A$2:E$250,3,false)</f>
        <v>#N/A</v>
      </c>
      <c r="Q31" s="38" t="str">
        <f>VLOOKUP($E31,countries!$A$2:$E$250,4,false)</f>
        <v>#N/A</v>
      </c>
      <c r="R31" s="38" t="str">
        <f>VLOOKUP($E31,countries!$A$2:$E$250,5,false)</f>
        <v>#N/A</v>
      </c>
      <c r="S31" s="38">
        <f t="shared" si="5"/>
        <v>29</v>
      </c>
      <c r="T31" s="38" t="s">
        <v>182</v>
      </c>
      <c r="U31" s="38">
        <v>2011.0</v>
      </c>
      <c r="V31" s="38">
        <v>6.0</v>
      </c>
      <c r="W31" s="38" t="s">
        <v>92</v>
      </c>
      <c r="X31" s="38" t="s">
        <v>149</v>
      </c>
      <c r="Y31" s="38" t="s">
        <v>149</v>
      </c>
      <c r="Z31" s="38" t="s">
        <v>149</v>
      </c>
      <c r="AA31" s="113" t="str">
        <f t="array" ref="AA31">PROPER(G31)</f>
        <v>Offline</v>
      </c>
    </row>
    <row r="32">
      <c r="A32" s="110">
        <v>1.19935786E8</v>
      </c>
      <c r="B32" s="131">
        <v>42018.0</v>
      </c>
      <c r="C32" s="131">
        <v>42031.0</v>
      </c>
      <c r="D32" s="110" t="s">
        <v>93</v>
      </c>
      <c r="E32" s="110" t="s">
        <v>105</v>
      </c>
      <c r="F32" s="110">
        <v>3127.0</v>
      </c>
      <c r="G32" s="38" t="s">
        <v>42</v>
      </c>
      <c r="H32" s="110">
        <v>519.0</v>
      </c>
      <c r="I32" s="132">
        <v>81.73</v>
      </c>
      <c r="J32" s="132">
        <v>56.67</v>
      </c>
      <c r="K32" s="39">
        <f t="shared" si="1"/>
        <v>42417.87</v>
      </c>
      <c r="L32" s="39">
        <f t="shared" si="2"/>
        <v>29411.73</v>
      </c>
      <c r="M32" s="39">
        <f t="shared" si="3"/>
        <v>13006.14</v>
      </c>
      <c r="N32" s="38" t="str">
        <f>VLOOKUP(F32,products!$A$2:$B$13,2,FALSE)</f>
        <v>Personal Care</v>
      </c>
      <c r="O32" s="133">
        <f t="shared" si="4"/>
        <v>0.6933806436</v>
      </c>
      <c r="P32" s="38" t="str">
        <f>VLOOKUP(E32,countries!A$2:E$250,3,false)</f>
        <v>Romania</v>
      </c>
      <c r="Q32" s="38" t="str">
        <f>VLOOKUP($E32,countries!$A$2:$E$250,4,false)</f>
        <v>Europe</v>
      </c>
      <c r="R32" s="38" t="str">
        <f>VLOOKUP($E32,countries!$A$2:$E$250,5,false)</f>
        <v>Eastern Europe</v>
      </c>
      <c r="S32" s="38">
        <f t="shared" si="5"/>
        <v>13</v>
      </c>
      <c r="T32" s="38" t="s">
        <v>185</v>
      </c>
      <c r="U32" s="38">
        <v>2015.0</v>
      </c>
      <c r="V32" s="38">
        <v>1.0</v>
      </c>
      <c r="W32" s="38" t="s">
        <v>105</v>
      </c>
      <c r="X32" s="38" t="s">
        <v>172</v>
      </c>
      <c r="Y32" s="38" t="s">
        <v>146</v>
      </c>
      <c r="Z32" s="38" t="s">
        <v>155</v>
      </c>
      <c r="AA32" s="113" t="str">
        <f t="array" ref="AA32">PROPER(G32)</f>
        <v>Offline</v>
      </c>
    </row>
    <row r="33">
      <c r="A33" s="110">
        <v>1.20419871E8</v>
      </c>
      <c r="B33" s="131">
        <v>42137.0</v>
      </c>
      <c r="C33" s="131">
        <v>42181.0</v>
      </c>
      <c r="D33" s="110" t="s">
        <v>95</v>
      </c>
      <c r="E33" s="110" t="s">
        <v>110</v>
      </c>
      <c r="F33" s="110">
        <v>3127.0</v>
      </c>
      <c r="G33" s="38" t="s">
        <v>43</v>
      </c>
      <c r="H33" s="110">
        <v>3771.0</v>
      </c>
      <c r="I33" s="132">
        <v>81.73</v>
      </c>
      <c r="J33" s="132">
        <v>56.67</v>
      </c>
      <c r="K33" s="39">
        <f t="shared" si="1"/>
        <v>308203.83</v>
      </c>
      <c r="L33" s="39">
        <f t="shared" si="2"/>
        <v>213702.57</v>
      </c>
      <c r="M33" s="39">
        <f t="shared" si="3"/>
        <v>94501.26</v>
      </c>
      <c r="N33" s="38" t="str">
        <f>VLOOKUP(F33,products!$A$2:$B$13,2,FALSE)</f>
        <v>Personal Care</v>
      </c>
      <c r="O33" s="133">
        <f t="shared" si="4"/>
        <v>0.6933806436</v>
      </c>
      <c r="P33" s="38" t="str">
        <f>VLOOKUP(E33,countries!A$2:E$250,3,false)</f>
        <v>Lithuania</v>
      </c>
      <c r="Q33" s="38" t="str">
        <f>VLOOKUP($E33,countries!$A$2:$E$250,4,false)</f>
        <v>Europe</v>
      </c>
      <c r="R33" s="38" t="str">
        <f>VLOOKUP($E33,countries!$A$2:$E$250,5,false)</f>
        <v>Northern Europe</v>
      </c>
      <c r="S33" s="38">
        <f t="shared" si="5"/>
        <v>44</v>
      </c>
      <c r="T33" s="38" t="s">
        <v>185</v>
      </c>
      <c r="U33" s="38">
        <v>2015.0</v>
      </c>
      <c r="V33" s="38">
        <v>5.0</v>
      </c>
      <c r="W33" s="38" t="s">
        <v>110</v>
      </c>
      <c r="X33" s="38" t="s">
        <v>177</v>
      </c>
      <c r="Y33" s="38" t="s">
        <v>146</v>
      </c>
      <c r="Z33" s="38" t="s">
        <v>170</v>
      </c>
      <c r="AA33" s="113" t="str">
        <f t="array" ref="AA33">PROPER(G33)</f>
        <v>Online</v>
      </c>
    </row>
    <row r="34">
      <c r="A34" s="110">
        <v>1.20977771E8</v>
      </c>
      <c r="B34" s="131">
        <v>40625.0</v>
      </c>
      <c r="C34" s="131">
        <v>40665.0</v>
      </c>
      <c r="D34" s="110" t="s">
        <v>89</v>
      </c>
      <c r="E34" s="110" t="s">
        <v>101</v>
      </c>
      <c r="F34" s="110">
        <v>4594.0</v>
      </c>
      <c r="G34" s="38" t="s">
        <v>43</v>
      </c>
      <c r="H34" s="110">
        <v>8866.0</v>
      </c>
      <c r="I34" s="132">
        <v>9.33</v>
      </c>
      <c r="J34" s="132">
        <v>6.92</v>
      </c>
      <c r="K34" s="39">
        <f t="shared" si="1"/>
        <v>82719.78</v>
      </c>
      <c r="L34" s="39">
        <f t="shared" si="2"/>
        <v>61352.72</v>
      </c>
      <c r="M34" s="39">
        <f t="shared" si="3"/>
        <v>21367.06</v>
      </c>
      <c r="N34" s="38" t="str">
        <f>VLOOKUP(F34,products!$A$2:$B$13,2,FALSE)</f>
        <v>Fruits</v>
      </c>
      <c r="O34" s="133">
        <f t="shared" si="4"/>
        <v>0.741693462</v>
      </c>
      <c r="P34" s="38" t="str">
        <f>VLOOKUP(E34,countries!A$2:E$250,3,false)</f>
        <v>Armenia</v>
      </c>
      <c r="Q34" s="38" t="str">
        <f>VLOOKUP($E34,countries!$A$2:$E$250,4,false)</f>
        <v>Asia</v>
      </c>
      <c r="R34" s="38" t="str">
        <f>VLOOKUP($E34,countries!$A$2:$E$250,5,false)</f>
        <v>Western Asia</v>
      </c>
      <c r="S34" s="38">
        <f t="shared" si="5"/>
        <v>40</v>
      </c>
      <c r="T34" s="38" t="s">
        <v>156</v>
      </c>
      <c r="U34" s="38">
        <v>2011.0</v>
      </c>
      <c r="V34" s="38">
        <v>3.0</v>
      </c>
      <c r="W34" s="38" t="s">
        <v>101</v>
      </c>
      <c r="X34" s="38" t="s">
        <v>164</v>
      </c>
      <c r="Y34" s="38" t="s">
        <v>165</v>
      </c>
      <c r="Z34" s="38" t="s">
        <v>166</v>
      </c>
      <c r="AA34" s="113" t="str">
        <f t="array" ref="AA34">PROPER(G34)</f>
        <v>Online</v>
      </c>
    </row>
    <row r="35">
      <c r="A35" s="110">
        <v>1.21380746E8</v>
      </c>
      <c r="B35" s="131">
        <v>42695.0</v>
      </c>
      <c r="C35" s="131">
        <v>42722.0</v>
      </c>
      <c r="D35" s="110" t="s">
        <v>10</v>
      </c>
      <c r="E35" s="110" t="s">
        <v>112</v>
      </c>
      <c r="F35" s="110">
        <v>4594.0</v>
      </c>
      <c r="G35" s="38" t="s">
        <v>43</v>
      </c>
      <c r="H35" s="110">
        <v>8115.0</v>
      </c>
      <c r="I35" s="132">
        <v>9.33</v>
      </c>
      <c r="J35" s="132">
        <v>6.92</v>
      </c>
      <c r="K35" s="39">
        <f t="shared" si="1"/>
        <v>75712.95</v>
      </c>
      <c r="L35" s="39">
        <f t="shared" si="2"/>
        <v>56155.8</v>
      </c>
      <c r="M35" s="39">
        <f t="shared" si="3"/>
        <v>19557.15</v>
      </c>
      <c r="N35" s="38" t="str">
        <f>VLOOKUP(F35,products!$A$2:$B$13,2,FALSE)</f>
        <v>Fruits</v>
      </c>
      <c r="O35" s="133">
        <f t="shared" si="4"/>
        <v>0.741693462</v>
      </c>
      <c r="P35" s="38" t="str">
        <f>VLOOKUP(E35,countries!A$2:E$250,3,false)</f>
        <v>Malta</v>
      </c>
      <c r="Q35" s="38" t="str">
        <f>VLOOKUP($E35,countries!$A$2:$E$250,4,false)</f>
        <v>Europe</v>
      </c>
      <c r="R35" s="38" t="str">
        <f>VLOOKUP($E35,countries!$A$2:$E$250,5,false)</f>
        <v>Southern Europe</v>
      </c>
      <c r="S35" s="38">
        <f t="shared" si="5"/>
        <v>27</v>
      </c>
      <c r="T35" s="38" t="s">
        <v>156</v>
      </c>
      <c r="U35" s="38">
        <v>2016.0</v>
      </c>
      <c r="V35" s="38">
        <v>11.0</v>
      </c>
      <c r="W35" s="38" t="s">
        <v>112</v>
      </c>
      <c r="X35" s="38" t="s">
        <v>180</v>
      </c>
      <c r="Y35" s="38" t="s">
        <v>146</v>
      </c>
      <c r="Z35" s="38" t="s">
        <v>147</v>
      </c>
      <c r="AA35" s="113" t="str">
        <f t="array" ref="AA35">PROPER(G35)</f>
        <v>Online</v>
      </c>
    </row>
    <row r="36">
      <c r="A36" s="110">
        <v>1.21945512E8</v>
      </c>
      <c r="B36" s="131">
        <v>42833.0</v>
      </c>
      <c r="C36" s="131">
        <v>42837.0</v>
      </c>
      <c r="D36" s="110" t="s">
        <v>10</v>
      </c>
      <c r="E36" s="110" t="s">
        <v>103</v>
      </c>
      <c r="F36" s="110">
        <v>1270.0</v>
      </c>
      <c r="G36" s="38" t="s">
        <v>43</v>
      </c>
      <c r="H36" s="110">
        <v>5242.0</v>
      </c>
      <c r="I36" s="132">
        <v>47.45</v>
      </c>
      <c r="J36" s="132">
        <v>31.79</v>
      </c>
      <c r="K36" s="39">
        <f t="shared" si="1"/>
        <v>248732.9</v>
      </c>
      <c r="L36" s="39">
        <f t="shared" si="2"/>
        <v>166643.18</v>
      </c>
      <c r="M36" s="39">
        <f t="shared" si="3"/>
        <v>82089.72</v>
      </c>
      <c r="N36" s="38" t="str">
        <f>VLOOKUP(F36,products!$A$2:$B$13,2,FALSE)</f>
        <v>Beverages</v>
      </c>
      <c r="O36" s="133">
        <f t="shared" si="4"/>
        <v>0.6699683878</v>
      </c>
      <c r="P36" s="38" t="str">
        <f>VLOOKUP(E36,countries!A$2:E$250,3,false)</f>
        <v>United Kingdom</v>
      </c>
      <c r="Q36" s="38" t="str">
        <f>VLOOKUP($E36,countries!$A$2:$E$250,4,false)</f>
        <v>Europe</v>
      </c>
      <c r="R36" s="38" t="str">
        <f>VLOOKUP($E36,countries!$A$2:$E$250,5,false)</f>
        <v>Northern Europe</v>
      </c>
      <c r="S36" s="38">
        <f t="shared" si="5"/>
        <v>4</v>
      </c>
      <c r="T36" s="38" t="s">
        <v>152</v>
      </c>
      <c r="U36" s="38">
        <v>2017.0</v>
      </c>
      <c r="V36" s="38">
        <v>4.0</v>
      </c>
      <c r="W36" s="38" t="s">
        <v>103</v>
      </c>
      <c r="X36" s="38" t="s">
        <v>169</v>
      </c>
      <c r="Y36" s="38" t="s">
        <v>146</v>
      </c>
      <c r="Z36" s="38" t="s">
        <v>170</v>
      </c>
      <c r="AA36" s="113" t="str">
        <f t="array" ref="AA36">PROPER(G36)</f>
        <v>Online</v>
      </c>
    </row>
    <row r="37">
      <c r="A37" s="110">
        <v>1.2214421E8</v>
      </c>
      <c r="B37" s="131">
        <v>42852.0</v>
      </c>
      <c r="C37" s="131">
        <v>42879.0</v>
      </c>
      <c r="D37" s="110" t="s">
        <v>10</v>
      </c>
      <c r="E37" s="110" t="s">
        <v>94</v>
      </c>
      <c r="F37" s="110">
        <v>1270.0</v>
      </c>
      <c r="G37" s="38" t="s">
        <v>42</v>
      </c>
      <c r="H37" s="110">
        <v>4041.0</v>
      </c>
      <c r="I37" s="132">
        <v>47.45</v>
      </c>
      <c r="J37" s="132">
        <v>31.79</v>
      </c>
      <c r="K37" s="39">
        <f t="shared" si="1"/>
        <v>191745.45</v>
      </c>
      <c r="L37" s="39">
        <f t="shared" si="2"/>
        <v>128463.39</v>
      </c>
      <c r="M37" s="39">
        <f t="shared" si="3"/>
        <v>63282.06</v>
      </c>
      <c r="N37" s="38" t="str">
        <f>VLOOKUP(F37,products!$A$2:$B$13,2,FALSE)</f>
        <v>Beverages</v>
      </c>
      <c r="O37" s="133">
        <f t="shared" si="4"/>
        <v>0.6699683878</v>
      </c>
      <c r="P37" s="38" t="str">
        <f>VLOOKUP(E37,countries!A$2:E$250,3,false)</f>
        <v>Montenegro</v>
      </c>
      <c r="Q37" s="38" t="str">
        <f>VLOOKUP($E37,countries!$A$2:$E$250,4,false)</f>
        <v>Europe</v>
      </c>
      <c r="R37" s="38" t="str">
        <f>VLOOKUP($E37,countries!$A$2:$E$250,5,false)</f>
        <v>Southern Europe</v>
      </c>
      <c r="S37" s="38">
        <f t="shared" si="5"/>
        <v>27</v>
      </c>
      <c r="T37" s="38" t="s">
        <v>152</v>
      </c>
      <c r="U37" s="38">
        <v>2017.0</v>
      </c>
      <c r="V37" s="38">
        <v>4.0</v>
      </c>
      <c r="W37" s="38" t="s">
        <v>94</v>
      </c>
      <c r="X37" s="38" t="s">
        <v>151</v>
      </c>
      <c r="Y37" s="38" t="s">
        <v>146</v>
      </c>
      <c r="Z37" s="38" t="s">
        <v>147</v>
      </c>
      <c r="AA37" s="113" t="str">
        <f t="array" ref="AA37">PROPER(G37)</f>
        <v>Offline</v>
      </c>
    </row>
    <row r="38">
      <c r="A38" s="110">
        <v>1.22372519E8</v>
      </c>
      <c r="B38" s="131">
        <v>42379.0</v>
      </c>
      <c r="C38" s="131">
        <v>42382.0</v>
      </c>
      <c r="D38" s="110" t="s">
        <v>93</v>
      </c>
      <c r="E38" s="110" t="s">
        <v>115</v>
      </c>
      <c r="F38" s="110">
        <v>1270.0</v>
      </c>
      <c r="G38" s="38" t="s">
        <v>42</v>
      </c>
      <c r="H38" s="110">
        <v>1603.0</v>
      </c>
      <c r="I38" s="132">
        <v>47.45</v>
      </c>
      <c r="J38" s="132">
        <v>31.79</v>
      </c>
      <c r="K38" s="39">
        <f t="shared" si="1"/>
        <v>76062.35</v>
      </c>
      <c r="L38" s="39">
        <f t="shared" si="2"/>
        <v>50959.37</v>
      </c>
      <c r="M38" s="39">
        <f t="shared" si="3"/>
        <v>25102.98</v>
      </c>
      <c r="N38" s="38" t="str">
        <f>VLOOKUP(F38,products!$A$2:$B$13,2,FALSE)</f>
        <v>Beverages</v>
      </c>
      <c r="O38" s="133">
        <f t="shared" si="4"/>
        <v>0.6699683878</v>
      </c>
      <c r="P38" s="38" t="str">
        <f>VLOOKUP(E38,countries!A$2:E$250,3,false)</f>
        <v>Portugal</v>
      </c>
      <c r="Q38" s="38" t="str">
        <f>VLOOKUP($E38,countries!$A$2:$E$250,4,false)</f>
        <v>Europe</v>
      </c>
      <c r="R38" s="38" t="str">
        <f>VLOOKUP($E38,countries!$A$2:$E$250,5,false)</f>
        <v>Southern Europe</v>
      </c>
      <c r="S38" s="38">
        <f t="shared" si="5"/>
        <v>3</v>
      </c>
      <c r="T38" s="38" t="s">
        <v>152</v>
      </c>
      <c r="U38" s="38">
        <v>2016.0</v>
      </c>
      <c r="V38" s="38">
        <v>1.0</v>
      </c>
      <c r="W38" s="38" t="s">
        <v>115</v>
      </c>
      <c r="X38" s="38" t="s">
        <v>186</v>
      </c>
      <c r="Y38" s="38" t="s">
        <v>146</v>
      </c>
      <c r="Z38" s="38" t="s">
        <v>147</v>
      </c>
      <c r="AA38" s="113" t="str">
        <f t="array" ref="AA38">PROPER(G38)</f>
        <v>Offline</v>
      </c>
    </row>
    <row r="39">
      <c r="A39" s="110">
        <v>1.22967326E8</v>
      </c>
      <c r="B39" s="131">
        <v>42818.0</v>
      </c>
      <c r="C39" s="131">
        <v>42850.0</v>
      </c>
      <c r="D39" s="110" t="s">
        <v>95</v>
      </c>
      <c r="E39" s="110" t="s">
        <v>116</v>
      </c>
      <c r="F39" s="110">
        <v>1270.0</v>
      </c>
      <c r="G39" s="38" t="s">
        <v>43</v>
      </c>
      <c r="H39" s="110">
        <v>7619.0</v>
      </c>
      <c r="I39" s="132">
        <v>47.45</v>
      </c>
      <c r="J39" s="132">
        <v>31.79</v>
      </c>
      <c r="K39" s="39">
        <f t="shared" si="1"/>
        <v>361521.55</v>
      </c>
      <c r="L39" s="39">
        <f t="shared" si="2"/>
        <v>242208.01</v>
      </c>
      <c r="M39" s="39">
        <f t="shared" si="3"/>
        <v>119313.54</v>
      </c>
      <c r="N39" s="38" t="str">
        <f>VLOOKUP(F39,products!$A$2:$B$13,2,FALSE)</f>
        <v>Beverages</v>
      </c>
      <c r="O39" s="133">
        <f t="shared" si="4"/>
        <v>0.6699683878</v>
      </c>
      <c r="P39" s="38" t="str">
        <f>VLOOKUP(E39,countries!A$2:E$250,3,false)</f>
        <v>Belarus</v>
      </c>
      <c r="Q39" s="38" t="str">
        <f>VLOOKUP($E39,countries!$A$2:$E$250,4,false)</f>
        <v>Europe</v>
      </c>
      <c r="R39" s="38" t="str">
        <f>VLOOKUP($E39,countries!$A$2:$E$250,5,false)</f>
        <v>Eastern Europe</v>
      </c>
      <c r="S39" s="38">
        <f t="shared" si="5"/>
        <v>32</v>
      </c>
      <c r="T39" s="38" t="s">
        <v>152</v>
      </c>
      <c r="U39" s="38">
        <v>2017.0</v>
      </c>
      <c r="V39" s="38">
        <v>3.0</v>
      </c>
      <c r="W39" s="38" t="s">
        <v>116</v>
      </c>
      <c r="X39" s="38" t="s">
        <v>187</v>
      </c>
      <c r="Y39" s="38" t="s">
        <v>146</v>
      </c>
      <c r="Z39" s="38" t="s">
        <v>155</v>
      </c>
      <c r="AA39" s="113" t="str">
        <f t="array" ref="AA39">PROPER(G39)</f>
        <v>Online</v>
      </c>
    </row>
    <row r="40">
      <c r="A40" s="110">
        <v>1.23086202E8</v>
      </c>
      <c r="B40" s="131">
        <v>41641.0</v>
      </c>
      <c r="C40" s="131">
        <v>41690.0</v>
      </c>
      <c r="D40" s="110" t="s">
        <v>89</v>
      </c>
      <c r="E40" s="110" t="s">
        <v>117</v>
      </c>
      <c r="F40" s="110">
        <v>7331.0</v>
      </c>
      <c r="G40" s="38" t="s">
        <v>42</v>
      </c>
      <c r="H40" s="110">
        <v>2797.0</v>
      </c>
      <c r="I40" s="132">
        <v>255.28</v>
      </c>
      <c r="J40" s="132">
        <v>159.42</v>
      </c>
      <c r="K40" s="39">
        <f t="shared" si="1"/>
        <v>714018.16</v>
      </c>
      <c r="L40" s="39">
        <f t="shared" si="2"/>
        <v>445897.74</v>
      </c>
      <c r="M40" s="39">
        <f t="shared" si="3"/>
        <v>268120.42</v>
      </c>
      <c r="N40" s="38" t="str">
        <f>VLOOKUP(F40,products!$A$2:$B$13,2,FALSE)</f>
        <v>Baby Food</v>
      </c>
      <c r="O40" s="133">
        <f t="shared" si="4"/>
        <v>0.6244907552</v>
      </c>
      <c r="P40" s="38" t="str">
        <f>VLOOKUP(E40,countries!A$2:E$250,3,false)</f>
        <v>Estonia</v>
      </c>
      <c r="Q40" s="38" t="str">
        <f>VLOOKUP($E40,countries!$A$2:$E$250,4,false)</f>
        <v>Europe</v>
      </c>
      <c r="R40" s="38" t="str">
        <f>VLOOKUP($E40,countries!$A$2:$E$250,5,false)</f>
        <v>Northern Europe</v>
      </c>
      <c r="S40" s="38">
        <f t="shared" si="5"/>
        <v>49</v>
      </c>
      <c r="T40" s="38" t="s">
        <v>161</v>
      </c>
      <c r="U40" s="38">
        <v>2014.0</v>
      </c>
      <c r="V40" s="38">
        <v>1.0</v>
      </c>
      <c r="W40" s="38" t="s">
        <v>117</v>
      </c>
      <c r="X40" s="38" t="s">
        <v>188</v>
      </c>
      <c r="Y40" s="38" t="s">
        <v>146</v>
      </c>
      <c r="Z40" s="38" t="s">
        <v>170</v>
      </c>
      <c r="AA40" s="113" t="str">
        <f t="array" ref="AA40">PROPER(G40)</f>
        <v>Offline</v>
      </c>
    </row>
    <row r="41">
      <c r="A41" s="110">
        <v>1.23544108E8</v>
      </c>
      <c r="B41" s="131">
        <v>40311.0</v>
      </c>
      <c r="C41" s="131">
        <v>40351.0</v>
      </c>
      <c r="D41" s="110" t="s">
        <v>89</v>
      </c>
      <c r="E41" s="110" t="s">
        <v>118</v>
      </c>
      <c r="F41" s="110">
        <v>2103.0</v>
      </c>
      <c r="G41" s="38" t="s">
        <v>43</v>
      </c>
      <c r="H41" s="110">
        <v>8302.0</v>
      </c>
      <c r="I41" s="132">
        <v>205.7</v>
      </c>
      <c r="J41" s="132">
        <v>117.11</v>
      </c>
      <c r="K41" s="39">
        <f t="shared" si="1"/>
        <v>1707721.4</v>
      </c>
      <c r="L41" s="39">
        <f t="shared" si="2"/>
        <v>972247.22</v>
      </c>
      <c r="M41" s="39">
        <f t="shared" si="3"/>
        <v>735474.18</v>
      </c>
      <c r="N41" s="38" t="str">
        <f>VLOOKUP(F41,products!$A$2:$B$13,2,FALSE)</f>
        <v>Cereal</v>
      </c>
      <c r="O41" s="133">
        <f t="shared" si="4"/>
        <v>0.5693242586</v>
      </c>
      <c r="P41" s="38" t="str">
        <f>VLOOKUP(E41,countries!A$2:E$250,3,false)</f>
        <v>Austria</v>
      </c>
      <c r="Q41" s="38" t="str">
        <f>VLOOKUP($E41,countries!$A$2:$E$250,4,false)</f>
        <v>Europe</v>
      </c>
      <c r="R41" s="38" t="str">
        <f>VLOOKUP($E41,countries!$A$2:$E$250,5,false)</f>
        <v>Western Europe</v>
      </c>
      <c r="S41" s="38">
        <f t="shared" si="5"/>
        <v>40</v>
      </c>
      <c r="T41" s="38" t="s">
        <v>144</v>
      </c>
      <c r="U41" s="38">
        <v>2010.0</v>
      </c>
      <c r="V41" s="38">
        <v>5.0</v>
      </c>
      <c r="W41" s="38" t="s">
        <v>118</v>
      </c>
      <c r="X41" s="38" t="s">
        <v>189</v>
      </c>
      <c r="Y41" s="38" t="s">
        <v>146</v>
      </c>
      <c r="Z41" s="38" t="s">
        <v>158</v>
      </c>
      <c r="AA41" s="113" t="str">
        <f t="array" ref="AA41">PROPER(G41)</f>
        <v>Online</v>
      </c>
    </row>
    <row r="42">
      <c r="A42" s="110">
        <v>1.2393893E8</v>
      </c>
      <c r="B42" s="131">
        <v>41114.0</v>
      </c>
      <c r="C42" s="131">
        <v>41123.0</v>
      </c>
      <c r="D42" s="110" t="s">
        <v>89</v>
      </c>
      <c r="E42" s="110" t="s">
        <v>116</v>
      </c>
      <c r="F42" s="110">
        <v>1270.0</v>
      </c>
      <c r="G42" s="38" t="s">
        <v>43</v>
      </c>
      <c r="H42" s="110">
        <v>5138.0</v>
      </c>
      <c r="I42" s="132">
        <v>47.45</v>
      </c>
      <c r="J42" s="132">
        <v>31.79</v>
      </c>
      <c r="K42" s="39">
        <f t="shared" si="1"/>
        <v>243798.1</v>
      </c>
      <c r="L42" s="39">
        <f t="shared" si="2"/>
        <v>163337.02</v>
      </c>
      <c r="M42" s="39">
        <f t="shared" si="3"/>
        <v>80461.08</v>
      </c>
      <c r="N42" s="38" t="str">
        <f>VLOOKUP(F42,products!$A$2:$B$13,2,FALSE)</f>
        <v>Beverages</v>
      </c>
      <c r="O42" s="133">
        <f t="shared" si="4"/>
        <v>0.6699683878</v>
      </c>
      <c r="P42" s="38" t="str">
        <f>VLOOKUP(E42,countries!A$2:E$250,3,false)</f>
        <v>Belarus</v>
      </c>
      <c r="Q42" s="38" t="str">
        <f>VLOOKUP($E42,countries!$A$2:$E$250,4,false)</f>
        <v>Europe</v>
      </c>
      <c r="R42" s="38" t="str">
        <f>VLOOKUP($E42,countries!$A$2:$E$250,5,false)</f>
        <v>Eastern Europe</v>
      </c>
      <c r="S42" s="38">
        <f t="shared" si="5"/>
        <v>9</v>
      </c>
      <c r="T42" s="38" t="s">
        <v>152</v>
      </c>
      <c r="U42" s="38">
        <v>2012.0</v>
      </c>
      <c r="V42" s="38">
        <v>7.0</v>
      </c>
      <c r="W42" s="38" t="s">
        <v>116</v>
      </c>
      <c r="X42" s="38" t="s">
        <v>187</v>
      </c>
      <c r="Y42" s="38" t="s">
        <v>146</v>
      </c>
      <c r="Z42" s="38" t="s">
        <v>155</v>
      </c>
      <c r="AA42" s="113" t="str">
        <f t="array" ref="AA42">PROPER(G42)</f>
        <v>Online</v>
      </c>
    </row>
    <row r="43">
      <c r="A43" s="110">
        <v>1.25339686E8</v>
      </c>
      <c r="B43" s="131">
        <v>42927.0</v>
      </c>
      <c r="C43" s="131">
        <v>42940.0</v>
      </c>
      <c r="D43" s="110" t="s">
        <v>93</v>
      </c>
      <c r="E43" s="110" t="s">
        <v>119</v>
      </c>
      <c r="F43" s="110">
        <v>8969.0</v>
      </c>
      <c r="G43" s="38" t="s">
        <v>43</v>
      </c>
      <c r="H43" s="110">
        <v>9653.0</v>
      </c>
      <c r="I43" s="132">
        <v>152.58</v>
      </c>
      <c r="J43" s="132">
        <v>97.44</v>
      </c>
      <c r="K43" s="39">
        <f t="shared" si="1"/>
        <v>1472854.74</v>
      </c>
      <c r="L43" s="39">
        <f t="shared" si="2"/>
        <v>940588.32</v>
      </c>
      <c r="M43" s="39">
        <f t="shared" si="3"/>
        <v>532266.42</v>
      </c>
      <c r="N43" s="38" t="str">
        <f>VLOOKUP(F43,products!$A$2:$B$13,2,FALSE)</f>
        <v>Snacks</v>
      </c>
      <c r="O43" s="133">
        <f t="shared" si="4"/>
        <v>0.6386158081</v>
      </c>
      <c r="P43" s="38" t="str">
        <f>VLOOKUP(E43,countries!A$2:E$250,3,false)</f>
        <v>Macedonia</v>
      </c>
      <c r="Q43" s="38" t="str">
        <f>VLOOKUP($E43,countries!$A$2:$E$250,4,false)</f>
        <v>Europe</v>
      </c>
      <c r="R43" s="38" t="str">
        <f>VLOOKUP($E43,countries!$A$2:$E$250,5,false)</f>
        <v>Southern Europe</v>
      </c>
      <c r="S43" s="38">
        <f t="shared" si="5"/>
        <v>13</v>
      </c>
      <c r="T43" s="38" t="s">
        <v>182</v>
      </c>
      <c r="U43" s="38">
        <v>2017.0</v>
      </c>
      <c r="V43" s="38">
        <v>7.0</v>
      </c>
      <c r="W43" s="38" t="s">
        <v>119</v>
      </c>
      <c r="X43" s="38" t="s">
        <v>190</v>
      </c>
      <c r="Y43" s="38" t="s">
        <v>146</v>
      </c>
      <c r="Z43" s="38" t="s">
        <v>147</v>
      </c>
      <c r="AA43" s="113" t="str">
        <f t="array" ref="AA43">PROPER(G43)</f>
        <v>Online</v>
      </c>
    </row>
    <row r="44">
      <c r="A44" s="110">
        <v>1.25349128E8</v>
      </c>
      <c r="B44" s="131">
        <v>41047.0</v>
      </c>
      <c r="C44" s="131">
        <v>41066.0</v>
      </c>
      <c r="D44" s="110" t="s">
        <v>93</v>
      </c>
      <c r="E44" s="110" t="s">
        <v>120</v>
      </c>
      <c r="F44" s="110">
        <v>2103.0</v>
      </c>
      <c r="G44" s="38" t="s">
        <v>42</v>
      </c>
      <c r="H44" s="110">
        <v>2447.0</v>
      </c>
      <c r="I44" s="132">
        <v>205.7</v>
      </c>
      <c r="J44" s="132">
        <v>117.11</v>
      </c>
      <c r="K44" s="39">
        <f t="shared" si="1"/>
        <v>503347.9</v>
      </c>
      <c r="L44" s="39">
        <f t="shared" si="2"/>
        <v>286568.17</v>
      </c>
      <c r="M44" s="39">
        <f t="shared" si="3"/>
        <v>216779.73</v>
      </c>
      <c r="N44" s="38" t="str">
        <f>VLOOKUP(F44,products!$A$2:$B$13,2,FALSE)</f>
        <v>Cereal</v>
      </c>
      <c r="O44" s="133">
        <f t="shared" si="4"/>
        <v>0.5693242586</v>
      </c>
      <c r="P44" s="38" t="str">
        <f>VLOOKUP(E44,countries!A$2:E$250,3,false)</f>
        <v>San Marino</v>
      </c>
      <c r="Q44" s="38" t="str">
        <f>VLOOKUP($E44,countries!$A$2:$E$250,4,false)</f>
        <v>Europe</v>
      </c>
      <c r="R44" s="38" t="str">
        <f>VLOOKUP($E44,countries!$A$2:$E$250,5,false)</f>
        <v>Southern Europe</v>
      </c>
      <c r="S44" s="38">
        <f t="shared" si="5"/>
        <v>19</v>
      </c>
      <c r="T44" s="38" t="s">
        <v>144</v>
      </c>
      <c r="U44" s="38">
        <v>2012.0</v>
      </c>
      <c r="V44" s="38">
        <v>5.0</v>
      </c>
      <c r="W44" s="38" t="s">
        <v>120</v>
      </c>
      <c r="X44" s="38" t="s">
        <v>191</v>
      </c>
      <c r="Y44" s="38" t="s">
        <v>146</v>
      </c>
      <c r="Z44" s="38" t="s">
        <v>147</v>
      </c>
      <c r="AA44" s="113" t="str">
        <f t="array" ref="AA44">PROPER(G44)</f>
        <v>Offline</v>
      </c>
    </row>
    <row r="45">
      <c r="A45" s="110">
        <v>1.26948583E8</v>
      </c>
      <c r="B45" s="131">
        <v>42879.0</v>
      </c>
      <c r="C45" s="131">
        <v>42925.0</v>
      </c>
      <c r="D45" s="110" t="s">
        <v>10</v>
      </c>
      <c r="E45" s="110" t="e">
        <v>#N/A</v>
      </c>
      <c r="F45" s="110">
        <v>7331.0</v>
      </c>
      <c r="G45" s="38" t="s">
        <v>43</v>
      </c>
      <c r="H45" s="110">
        <v>5762.0</v>
      </c>
      <c r="I45" s="132">
        <v>255.28</v>
      </c>
      <c r="J45" s="132">
        <v>159.42</v>
      </c>
      <c r="K45" s="39">
        <f t="shared" si="1"/>
        <v>1470923.36</v>
      </c>
      <c r="L45" s="39">
        <f t="shared" si="2"/>
        <v>918578.04</v>
      </c>
      <c r="M45" s="39">
        <f t="shared" si="3"/>
        <v>552345.32</v>
      </c>
      <c r="N45" s="38" t="str">
        <f>VLOOKUP(F45,products!$A$2:$B$13,2,FALSE)</f>
        <v>Baby Food</v>
      </c>
      <c r="O45" s="133">
        <f t="shared" si="4"/>
        <v>0.6244907552</v>
      </c>
      <c r="P45" s="38" t="str">
        <f>VLOOKUP(E45,countries!A$2:E$250,3,false)</f>
        <v>#N/A</v>
      </c>
      <c r="Q45" s="38" t="str">
        <f>VLOOKUP($E45,countries!$A$2:$E$250,4,false)</f>
        <v>#N/A</v>
      </c>
      <c r="R45" s="38" t="str">
        <f>VLOOKUP($E45,countries!$A$2:$E$250,5,false)</f>
        <v>#N/A</v>
      </c>
      <c r="S45" s="38">
        <f t="shared" si="5"/>
        <v>46</v>
      </c>
      <c r="T45" s="38" t="s">
        <v>161</v>
      </c>
      <c r="U45" s="38">
        <v>2017.0</v>
      </c>
      <c r="V45" s="38">
        <v>5.0</v>
      </c>
      <c r="W45" s="38" t="s">
        <v>92</v>
      </c>
      <c r="X45" s="38" t="s">
        <v>149</v>
      </c>
      <c r="Y45" s="38" t="s">
        <v>149</v>
      </c>
      <c r="Z45" s="38" t="s">
        <v>149</v>
      </c>
      <c r="AA45" s="113" t="str">
        <f t="array" ref="AA45">PROPER(G45)</f>
        <v>Online</v>
      </c>
    </row>
    <row r="46">
      <c r="A46" s="110">
        <v>1.27694451E8</v>
      </c>
      <c r="B46" s="131">
        <v>40884.0</v>
      </c>
      <c r="C46" s="131">
        <v>40904.0</v>
      </c>
      <c r="D46" s="110" t="s">
        <v>93</v>
      </c>
      <c r="E46" s="110" t="s">
        <v>117</v>
      </c>
      <c r="F46" s="110">
        <v>5988.0</v>
      </c>
      <c r="G46" s="38" t="s">
        <v>42</v>
      </c>
      <c r="H46" s="110">
        <v>6481.0</v>
      </c>
      <c r="I46" s="132">
        <v>154.06</v>
      </c>
      <c r="J46" s="132">
        <v>90.93</v>
      </c>
      <c r="K46" s="39">
        <f t="shared" si="1"/>
        <v>998462.86</v>
      </c>
      <c r="L46" s="39">
        <f t="shared" si="2"/>
        <v>589317.33</v>
      </c>
      <c r="M46" s="39">
        <f t="shared" si="3"/>
        <v>409145.53</v>
      </c>
      <c r="N46" s="38" t="str">
        <f>VLOOKUP(F46,products!$A$2:$B$13,2,FALSE)</f>
        <v>Vegetables</v>
      </c>
      <c r="O46" s="133">
        <f t="shared" si="4"/>
        <v>0.5902245878</v>
      </c>
      <c r="P46" s="38" t="str">
        <f>VLOOKUP(E46,countries!A$2:E$250,3,false)</f>
        <v>Estonia</v>
      </c>
      <c r="Q46" s="38" t="str">
        <f>VLOOKUP($E46,countries!$A$2:$E$250,4,false)</f>
        <v>Europe</v>
      </c>
      <c r="R46" s="38" t="str">
        <f>VLOOKUP($E46,countries!$A$2:$E$250,5,false)</f>
        <v>Northern Europe</v>
      </c>
      <c r="S46" s="38">
        <f t="shared" si="5"/>
        <v>20</v>
      </c>
      <c r="T46" s="38" t="s">
        <v>159</v>
      </c>
      <c r="U46" s="38">
        <v>2011.0</v>
      </c>
      <c r="V46" s="38">
        <v>12.0</v>
      </c>
      <c r="W46" s="38" t="s">
        <v>117</v>
      </c>
      <c r="X46" s="38" t="s">
        <v>188</v>
      </c>
      <c r="Y46" s="38" t="s">
        <v>146</v>
      </c>
      <c r="Z46" s="38" t="s">
        <v>170</v>
      </c>
      <c r="AA46" s="113" t="str">
        <f t="array" ref="AA46">PROPER(G46)</f>
        <v>Offline</v>
      </c>
    </row>
    <row r="47">
      <c r="A47" s="110">
        <v>1.27838218E8</v>
      </c>
      <c r="B47" s="131">
        <v>41537.0</v>
      </c>
      <c r="C47" s="131">
        <v>41576.0</v>
      </c>
      <c r="D47" s="110" t="s">
        <v>10</v>
      </c>
      <c r="E47" s="110" t="s">
        <v>121</v>
      </c>
      <c r="F47" s="110">
        <v>4594.0</v>
      </c>
      <c r="G47" s="38" t="s">
        <v>42</v>
      </c>
      <c r="H47" s="110">
        <v>9024.0</v>
      </c>
      <c r="I47" s="132">
        <v>9.33</v>
      </c>
      <c r="J47" s="132">
        <v>6.92</v>
      </c>
      <c r="K47" s="39">
        <f t="shared" si="1"/>
        <v>84193.92</v>
      </c>
      <c r="L47" s="39">
        <f t="shared" si="2"/>
        <v>62446.08</v>
      </c>
      <c r="M47" s="39">
        <f t="shared" si="3"/>
        <v>21747.84</v>
      </c>
      <c r="N47" s="38" t="str">
        <f>VLOOKUP(F47,products!$A$2:$B$13,2,FALSE)</f>
        <v>Fruits</v>
      </c>
      <c r="O47" s="133">
        <f t="shared" si="4"/>
        <v>0.741693462</v>
      </c>
      <c r="P47" s="38" t="str">
        <f>VLOOKUP(E47,countries!A$2:E$250,3,false)</f>
        <v>Netherlands</v>
      </c>
      <c r="Q47" s="38" t="str">
        <f>VLOOKUP($E47,countries!$A$2:$E$250,4,false)</f>
        <v>Europe</v>
      </c>
      <c r="R47" s="38" t="str">
        <f>VLOOKUP($E47,countries!$A$2:$E$250,5,false)</f>
        <v>Western Europe</v>
      </c>
      <c r="S47" s="38">
        <f t="shared" si="5"/>
        <v>39</v>
      </c>
      <c r="T47" s="38" t="s">
        <v>156</v>
      </c>
      <c r="U47" s="38">
        <v>2013.0</v>
      </c>
      <c r="V47" s="38">
        <v>9.0</v>
      </c>
      <c r="W47" s="38" t="s">
        <v>121</v>
      </c>
      <c r="X47" s="38" t="s">
        <v>192</v>
      </c>
      <c r="Y47" s="38" t="s">
        <v>146</v>
      </c>
      <c r="Z47" s="38" t="s">
        <v>158</v>
      </c>
      <c r="AA47" s="113" t="str">
        <f t="array" ref="AA47">PROPER(G47)</f>
        <v>Offline</v>
      </c>
    </row>
    <row r="48">
      <c r="A48" s="110">
        <v>1.28003442E8</v>
      </c>
      <c r="B48" s="131">
        <v>40430.0</v>
      </c>
      <c r="C48" s="131">
        <v>40474.0</v>
      </c>
      <c r="D48" s="110" t="s">
        <v>93</v>
      </c>
      <c r="E48" s="110" t="s">
        <v>122</v>
      </c>
      <c r="F48" s="110">
        <v>7331.0</v>
      </c>
      <c r="G48" s="38" t="s">
        <v>43</v>
      </c>
      <c r="H48" s="110">
        <v>7918.0</v>
      </c>
      <c r="I48" s="132">
        <v>255.28</v>
      </c>
      <c r="J48" s="132">
        <v>159.42</v>
      </c>
      <c r="K48" s="39">
        <f t="shared" si="1"/>
        <v>2021307.04</v>
      </c>
      <c r="L48" s="39">
        <f t="shared" si="2"/>
        <v>1262287.56</v>
      </c>
      <c r="M48" s="39">
        <f t="shared" si="3"/>
        <v>759019.48</v>
      </c>
      <c r="N48" s="38" t="str">
        <f>VLOOKUP(F48,products!$A$2:$B$13,2,FALSE)</f>
        <v>Baby Food</v>
      </c>
      <c r="O48" s="133">
        <f t="shared" si="4"/>
        <v>0.6244907552</v>
      </c>
      <c r="P48" s="38" t="str">
        <f>VLOOKUP(E48,countries!A$2:E$250,3,false)</f>
        <v>Switzerland</v>
      </c>
      <c r="Q48" s="38" t="str">
        <f>VLOOKUP($E48,countries!$A$2:$E$250,4,false)</f>
        <v>Europe</v>
      </c>
      <c r="R48" s="38" t="str">
        <f>VLOOKUP($E48,countries!$A$2:$E$250,5,false)</f>
        <v>Western Europe</v>
      </c>
      <c r="S48" s="38">
        <f t="shared" si="5"/>
        <v>44</v>
      </c>
      <c r="T48" s="38" t="s">
        <v>161</v>
      </c>
      <c r="U48" s="38">
        <v>2010.0</v>
      </c>
      <c r="V48" s="38">
        <v>9.0</v>
      </c>
      <c r="W48" s="38" t="s">
        <v>122</v>
      </c>
      <c r="X48" s="38" t="s">
        <v>193</v>
      </c>
      <c r="Y48" s="38" t="s">
        <v>146</v>
      </c>
      <c r="Z48" s="38" t="s">
        <v>158</v>
      </c>
      <c r="AA48" s="113" t="str">
        <f t="array" ref="AA48">PROPER(G48)</f>
        <v>Online</v>
      </c>
    </row>
    <row r="49">
      <c r="A49" s="110">
        <v>1.28686225E8</v>
      </c>
      <c r="B49" s="131">
        <v>40568.0</v>
      </c>
      <c r="C49" s="131">
        <v>40615.0</v>
      </c>
      <c r="D49" s="110" t="s">
        <v>89</v>
      </c>
      <c r="E49" s="110" t="s">
        <v>123</v>
      </c>
      <c r="F49" s="110">
        <v>7331.0</v>
      </c>
      <c r="G49" s="38" t="s">
        <v>43</v>
      </c>
      <c r="H49" s="110">
        <v>9968.0</v>
      </c>
      <c r="I49" s="132">
        <v>255.28</v>
      </c>
      <c r="J49" s="132">
        <v>159.42</v>
      </c>
      <c r="K49" s="39">
        <f t="shared" si="1"/>
        <v>2544631.04</v>
      </c>
      <c r="L49" s="39">
        <f t="shared" si="2"/>
        <v>1589098.56</v>
      </c>
      <c r="M49" s="39">
        <f t="shared" si="3"/>
        <v>955532.48</v>
      </c>
      <c r="N49" s="38" t="str">
        <f>VLOOKUP(F49,products!$A$2:$B$13,2,FALSE)</f>
        <v>Baby Food</v>
      </c>
      <c r="O49" s="133">
        <f t="shared" si="4"/>
        <v>0.6244907552</v>
      </c>
      <c r="P49" s="38" t="str">
        <f>VLOOKUP(E49,countries!A$2:E$250,3,false)</f>
        <v>Hungary</v>
      </c>
      <c r="Q49" s="38" t="str">
        <f>VLOOKUP($E49,countries!$A$2:$E$250,4,false)</f>
        <v>Europe</v>
      </c>
      <c r="R49" s="38" t="str">
        <f>VLOOKUP($E49,countries!$A$2:$E$250,5,false)</f>
        <v>Eastern Europe</v>
      </c>
      <c r="S49" s="38">
        <f t="shared" si="5"/>
        <v>47</v>
      </c>
      <c r="T49" s="38" t="s">
        <v>161</v>
      </c>
      <c r="U49" s="38">
        <v>2011.0</v>
      </c>
      <c r="V49" s="38">
        <v>1.0</v>
      </c>
      <c r="W49" s="38" t="s">
        <v>123</v>
      </c>
      <c r="X49" s="38" t="s">
        <v>194</v>
      </c>
      <c r="Y49" s="38" t="s">
        <v>146</v>
      </c>
      <c r="Z49" s="38" t="s">
        <v>155</v>
      </c>
      <c r="AA49" s="113" t="str">
        <f t="array" ref="AA49">PROPER(G49)</f>
        <v>Online</v>
      </c>
    </row>
    <row r="50">
      <c r="A50" s="110">
        <v>1.28766906E8</v>
      </c>
      <c r="B50" s="131">
        <v>40587.0</v>
      </c>
      <c r="C50" s="131">
        <v>40630.0</v>
      </c>
      <c r="D50" s="110" t="s">
        <v>10</v>
      </c>
      <c r="E50" s="110" t="e">
        <v>#N/A</v>
      </c>
      <c r="F50" s="110">
        <v>7940.0</v>
      </c>
      <c r="G50" s="38" t="s">
        <v>42</v>
      </c>
      <c r="H50" s="110">
        <v>3844.0</v>
      </c>
      <c r="I50" s="132">
        <v>668.27</v>
      </c>
      <c r="J50" s="132">
        <v>502.54</v>
      </c>
      <c r="K50" s="39">
        <f t="shared" si="1"/>
        <v>2568829.88</v>
      </c>
      <c r="L50" s="39">
        <f t="shared" si="2"/>
        <v>1931763.76</v>
      </c>
      <c r="M50" s="39">
        <f t="shared" si="3"/>
        <v>637066.12</v>
      </c>
      <c r="N50" s="38" t="str">
        <f>VLOOKUP(F50,products!$A$2:$B$13,2,FALSE)</f>
        <v>Household</v>
      </c>
      <c r="O50" s="133">
        <f t="shared" si="4"/>
        <v>0.7520014365</v>
      </c>
      <c r="P50" s="38" t="str">
        <f>VLOOKUP(E50,countries!A$2:E$250,3,false)</f>
        <v>#N/A</v>
      </c>
      <c r="Q50" s="38" t="str">
        <f>VLOOKUP($E50,countries!$A$2:$E$250,4,false)</f>
        <v>#N/A</v>
      </c>
      <c r="R50" s="38" t="str">
        <f>VLOOKUP($E50,countries!$A$2:$E$250,5,false)</f>
        <v>#N/A</v>
      </c>
      <c r="S50" s="38">
        <f t="shared" si="5"/>
        <v>43</v>
      </c>
      <c r="T50" s="38" t="s">
        <v>148</v>
      </c>
      <c r="U50" s="38">
        <v>2011.0</v>
      </c>
      <c r="V50" s="38">
        <v>2.0</v>
      </c>
      <c r="W50" s="38" t="s">
        <v>92</v>
      </c>
      <c r="X50" s="38" t="s">
        <v>149</v>
      </c>
      <c r="Y50" s="38" t="s">
        <v>149</v>
      </c>
      <c r="Z50" s="38" t="s">
        <v>149</v>
      </c>
      <c r="AA50" s="113" t="str">
        <f t="array" ref="AA50">PROPER(G50)</f>
        <v>Offline</v>
      </c>
    </row>
    <row r="51">
      <c r="A51" s="110">
        <v>1.29127395E8</v>
      </c>
      <c r="B51" s="131">
        <v>41441.0</v>
      </c>
      <c r="C51" s="131">
        <v>41445.0</v>
      </c>
      <c r="D51" s="110" t="s">
        <v>93</v>
      </c>
      <c r="E51" s="110" t="s">
        <v>124</v>
      </c>
      <c r="F51" s="110">
        <v>8681.0</v>
      </c>
      <c r="G51" s="38" t="s">
        <v>43</v>
      </c>
      <c r="H51" s="110">
        <v>520.0</v>
      </c>
      <c r="I51" s="132">
        <v>651.21</v>
      </c>
      <c r="J51" s="132">
        <v>524.96</v>
      </c>
      <c r="K51" s="39">
        <f t="shared" si="1"/>
        <v>338629.2</v>
      </c>
      <c r="L51" s="39">
        <f t="shared" si="2"/>
        <v>272979.2</v>
      </c>
      <c r="M51" s="39">
        <f t="shared" si="3"/>
        <v>65650</v>
      </c>
      <c r="N51" s="38" t="str">
        <f>VLOOKUP(F51,products!$A$2:$B$13,2,FALSE)</f>
        <v>Office Supplies</v>
      </c>
      <c r="O51" s="133">
        <f t="shared" si="4"/>
        <v>0.806130127</v>
      </c>
      <c r="P51" s="38" t="str">
        <f>VLOOKUP(E51,countries!A$2:E$250,3,false)</f>
        <v>Latvia</v>
      </c>
      <c r="Q51" s="38" t="str">
        <f>VLOOKUP($E51,countries!$A$2:$E$250,4,false)</f>
        <v>Europe</v>
      </c>
      <c r="R51" s="38" t="str">
        <f>VLOOKUP($E51,countries!$A$2:$E$250,5,false)</f>
        <v>Northern Europe</v>
      </c>
      <c r="S51" s="38">
        <f t="shared" si="5"/>
        <v>4</v>
      </c>
      <c r="T51" s="38" t="s">
        <v>153</v>
      </c>
      <c r="U51" s="38">
        <v>2013.0</v>
      </c>
      <c r="V51" s="38">
        <v>6.0</v>
      </c>
      <c r="W51" s="38" t="s">
        <v>124</v>
      </c>
      <c r="X51" s="38" t="s">
        <v>195</v>
      </c>
      <c r="Y51" s="38" t="s">
        <v>146</v>
      </c>
      <c r="Z51" s="38" t="s">
        <v>170</v>
      </c>
      <c r="AA51" s="113" t="str">
        <f t="array" ref="AA51">PROPER(G51)</f>
        <v>Online</v>
      </c>
    </row>
    <row r="52">
      <c r="A52" s="110">
        <v>1.29169023E8</v>
      </c>
      <c r="B52" s="131">
        <v>41068.0</v>
      </c>
      <c r="C52" s="131">
        <v>41108.0</v>
      </c>
      <c r="D52" s="110" t="s">
        <v>89</v>
      </c>
      <c r="E52" s="110" t="e">
        <v>#N/A</v>
      </c>
      <c r="F52" s="110">
        <v>1270.0</v>
      </c>
      <c r="G52" s="38" t="s">
        <v>42</v>
      </c>
      <c r="H52" s="110">
        <v>2839.0</v>
      </c>
      <c r="I52" s="132">
        <v>47.45</v>
      </c>
      <c r="J52" s="132">
        <v>31.79</v>
      </c>
      <c r="K52" s="39">
        <f t="shared" si="1"/>
        <v>134710.55</v>
      </c>
      <c r="L52" s="39">
        <f t="shared" si="2"/>
        <v>90251.81</v>
      </c>
      <c r="M52" s="39">
        <f t="shared" si="3"/>
        <v>44458.74</v>
      </c>
      <c r="N52" s="38" t="str">
        <f>VLOOKUP(F52,products!$A$2:$B$13,2,FALSE)</f>
        <v>Beverages</v>
      </c>
      <c r="O52" s="133">
        <f t="shared" si="4"/>
        <v>0.6699683878</v>
      </c>
      <c r="P52" s="38" t="str">
        <f>VLOOKUP(E52,countries!A$2:E$250,3,false)</f>
        <v>#N/A</v>
      </c>
      <c r="Q52" s="38" t="str">
        <f>VLOOKUP($E52,countries!$A$2:$E$250,4,false)</f>
        <v>#N/A</v>
      </c>
      <c r="R52" s="38" t="str">
        <f>VLOOKUP($E52,countries!$A$2:$E$250,5,false)</f>
        <v>#N/A</v>
      </c>
      <c r="S52" s="38">
        <f t="shared" si="5"/>
        <v>40</v>
      </c>
      <c r="T52" s="38" t="s">
        <v>152</v>
      </c>
      <c r="U52" s="38">
        <v>2012.0</v>
      </c>
      <c r="V52" s="38">
        <v>6.0</v>
      </c>
      <c r="W52" s="38" t="s">
        <v>92</v>
      </c>
      <c r="X52" s="38" t="s">
        <v>149</v>
      </c>
      <c r="Y52" s="38" t="s">
        <v>149</v>
      </c>
      <c r="Z52" s="38" t="s">
        <v>149</v>
      </c>
      <c r="AA52" s="113" t="str">
        <f t="array" ref="AA52">PROPER(G52)</f>
        <v>Offline</v>
      </c>
    </row>
    <row r="53">
      <c r="A53" s="110">
        <v>1.29875409E8</v>
      </c>
      <c r="B53" s="131">
        <v>40652.0</v>
      </c>
      <c r="C53" s="131">
        <v>40659.0</v>
      </c>
      <c r="D53" s="110" t="s">
        <v>93</v>
      </c>
      <c r="E53" s="110" t="s">
        <v>110</v>
      </c>
      <c r="F53" s="110">
        <v>3127.0</v>
      </c>
      <c r="G53" s="38" t="s">
        <v>42</v>
      </c>
      <c r="H53" s="110">
        <v>1875.0</v>
      </c>
      <c r="I53" s="132">
        <v>81.73</v>
      </c>
      <c r="J53" s="132">
        <v>56.67</v>
      </c>
      <c r="K53" s="39">
        <f t="shared" si="1"/>
        <v>153243.75</v>
      </c>
      <c r="L53" s="39">
        <f t="shared" si="2"/>
        <v>106256.25</v>
      </c>
      <c r="M53" s="39">
        <f t="shared" si="3"/>
        <v>46987.5</v>
      </c>
      <c r="N53" s="38" t="str">
        <f>VLOOKUP(F53,products!$A$2:$B$13,2,FALSE)</f>
        <v>Personal Care</v>
      </c>
      <c r="O53" s="133">
        <f t="shared" si="4"/>
        <v>0.6933806436</v>
      </c>
      <c r="P53" s="38" t="str">
        <f>VLOOKUP(E53,countries!A$2:E$250,3,false)</f>
        <v>Lithuania</v>
      </c>
      <c r="Q53" s="38" t="str">
        <f>VLOOKUP($E53,countries!$A$2:$E$250,4,false)</f>
        <v>Europe</v>
      </c>
      <c r="R53" s="38" t="str">
        <f>VLOOKUP($E53,countries!$A$2:$E$250,5,false)</f>
        <v>Northern Europe</v>
      </c>
      <c r="S53" s="38">
        <f t="shared" si="5"/>
        <v>7</v>
      </c>
      <c r="T53" s="38" t="s">
        <v>185</v>
      </c>
      <c r="U53" s="38">
        <v>2011.0</v>
      </c>
      <c r="V53" s="38">
        <v>4.0</v>
      </c>
      <c r="W53" s="38" t="s">
        <v>110</v>
      </c>
      <c r="X53" s="38" t="s">
        <v>177</v>
      </c>
      <c r="Y53" s="38" t="s">
        <v>146</v>
      </c>
      <c r="Z53" s="38" t="s">
        <v>170</v>
      </c>
      <c r="AA53" s="113" t="str">
        <f t="array" ref="AA53">PROPER(G53)</f>
        <v>Offline</v>
      </c>
    </row>
    <row r="54">
      <c r="A54" s="110">
        <v>1.29902875E8</v>
      </c>
      <c r="B54" s="131">
        <v>41719.0</v>
      </c>
      <c r="C54" s="131">
        <v>41753.0</v>
      </c>
      <c r="D54" s="110" t="s">
        <v>10</v>
      </c>
      <c r="E54" s="110" t="s">
        <v>125</v>
      </c>
      <c r="F54" s="110">
        <v>7940.0</v>
      </c>
      <c r="G54" s="38" t="s">
        <v>43</v>
      </c>
      <c r="H54" s="110">
        <v>2.0</v>
      </c>
      <c r="I54" s="132">
        <v>668.27</v>
      </c>
      <c r="J54" s="132">
        <v>502.54</v>
      </c>
      <c r="K54" s="39">
        <f t="shared" si="1"/>
        <v>1336.54</v>
      </c>
      <c r="L54" s="39">
        <f t="shared" si="2"/>
        <v>1005.08</v>
      </c>
      <c r="M54" s="39">
        <f t="shared" si="3"/>
        <v>331.46</v>
      </c>
      <c r="N54" s="38" t="str">
        <f>VLOOKUP(F54,products!$A$2:$B$13,2,FALSE)</f>
        <v>Household</v>
      </c>
      <c r="O54" s="133">
        <f t="shared" si="4"/>
        <v>0.7520014365</v>
      </c>
      <c r="P54" s="38" t="str">
        <f>VLOOKUP(E54,countries!A$2:E$250,3,false)</f>
        <v>Bulgaria</v>
      </c>
      <c r="Q54" s="38" t="str">
        <f>VLOOKUP($E54,countries!$A$2:$E$250,4,false)</f>
        <v>Europe</v>
      </c>
      <c r="R54" s="38" t="str">
        <f>VLOOKUP($E54,countries!$A$2:$E$250,5,false)</f>
        <v>Eastern Europe</v>
      </c>
      <c r="S54" s="38">
        <f t="shared" si="5"/>
        <v>34</v>
      </c>
      <c r="T54" s="38" t="s">
        <v>148</v>
      </c>
      <c r="U54" s="38">
        <v>2014.0</v>
      </c>
      <c r="V54" s="38">
        <v>3.0</v>
      </c>
      <c r="W54" s="38" t="s">
        <v>125</v>
      </c>
      <c r="X54" s="38" t="s">
        <v>196</v>
      </c>
      <c r="Y54" s="38" t="s">
        <v>146</v>
      </c>
      <c r="Z54" s="38" t="s">
        <v>155</v>
      </c>
      <c r="AA54" s="113" t="str">
        <f t="array" ref="AA54">PROPER(G54)</f>
        <v>Online</v>
      </c>
    </row>
    <row r="55">
      <c r="A55" s="110">
        <v>1.30356919E8</v>
      </c>
      <c r="B55" s="131">
        <v>41535.0</v>
      </c>
      <c r="C55" s="131">
        <v>41548.0</v>
      </c>
      <c r="D55" s="110" t="s">
        <v>95</v>
      </c>
      <c r="E55" s="110" t="s">
        <v>122</v>
      </c>
      <c r="F55" s="110">
        <v>5988.0</v>
      </c>
      <c r="G55" s="38" t="s">
        <v>43</v>
      </c>
      <c r="H55" s="110">
        <v>4364.0</v>
      </c>
      <c r="I55" s="132">
        <v>154.06</v>
      </c>
      <c r="J55" s="132">
        <v>90.93</v>
      </c>
      <c r="K55" s="39">
        <f t="shared" si="1"/>
        <v>672317.84</v>
      </c>
      <c r="L55" s="39">
        <f t="shared" si="2"/>
        <v>396818.52</v>
      </c>
      <c r="M55" s="39">
        <f t="shared" si="3"/>
        <v>275499.32</v>
      </c>
      <c r="N55" s="38" t="str">
        <f>VLOOKUP(F55,products!$A$2:$B$13,2,FALSE)</f>
        <v>Vegetables</v>
      </c>
      <c r="O55" s="133">
        <f t="shared" si="4"/>
        <v>0.5902245878</v>
      </c>
      <c r="P55" s="38" t="str">
        <f>VLOOKUP(E55,countries!A$2:E$250,3,false)</f>
        <v>Switzerland</v>
      </c>
      <c r="Q55" s="38" t="str">
        <f>VLOOKUP($E55,countries!$A$2:$E$250,4,false)</f>
        <v>Europe</v>
      </c>
      <c r="R55" s="38" t="str">
        <f>VLOOKUP($E55,countries!$A$2:$E$250,5,false)</f>
        <v>Western Europe</v>
      </c>
      <c r="S55" s="38">
        <f t="shared" si="5"/>
        <v>13</v>
      </c>
      <c r="T55" s="38" t="s">
        <v>159</v>
      </c>
      <c r="U55" s="38">
        <v>2013.0</v>
      </c>
      <c r="V55" s="38">
        <v>9.0</v>
      </c>
      <c r="W55" s="38" t="s">
        <v>122</v>
      </c>
      <c r="X55" s="38" t="s">
        <v>193</v>
      </c>
      <c r="Y55" s="38" t="s">
        <v>146</v>
      </c>
      <c r="Z55" s="38" t="s">
        <v>158</v>
      </c>
      <c r="AA55" s="113" t="str">
        <f t="array" ref="AA55">PROPER(G55)</f>
        <v>Online</v>
      </c>
    </row>
    <row r="56">
      <c r="A56" s="110">
        <v>1.30754315E8</v>
      </c>
      <c r="B56" s="131">
        <v>41574.0</v>
      </c>
      <c r="C56" s="131">
        <v>41580.0</v>
      </c>
      <c r="D56" s="110" t="s">
        <v>95</v>
      </c>
      <c r="E56" s="110" t="s">
        <v>97</v>
      </c>
      <c r="F56" s="110">
        <v>8681.0</v>
      </c>
      <c r="G56" s="38" t="s">
        <v>43</v>
      </c>
      <c r="H56" s="110">
        <v>1962.0</v>
      </c>
      <c r="I56" s="132">
        <v>651.21</v>
      </c>
      <c r="J56" s="132">
        <v>524.96</v>
      </c>
      <c r="K56" s="39">
        <f t="shared" si="1"/>
        <v>1277674.02</v>
      </c>
      <c r="L56" s="39">
        <f t="shared" si="2"/>
        <v>1029971.52</v>
      </c>
      <c r="M56" s="39">
        <f t="shared" si="3"/>
        <v>247702.5</v>
      </c>
      <c r="N56" s="38" t="str">
        <f>VLOOKUP(F56,products!$A$2:$B$13,2,FALSE)</f>
        <v>Office Supplies</v>
      </c>
      <c r="O56" s="133">
        <f t="shared" si="4"/>
        <v>0.806130127</v>
      </c>
      <c r="P56" s="38" t="str">
        <f>VLOOKUP(E56,countries!A$2:E$250,3,false)</f>
        <v>France</v>
      </c>
      <c r="Q56" s="38" t="str">
        <f>VLOOKUP($E56,countries!$A$2:$E$250,4,false)</f>
        <v>Europe</v>
      </c>
      <c r="R56" s="38" t="str">
        <f>VLOOKUP($E56,countries!$A$2:$E$250,5,false)</f>
        <v>Western Europe</v>
      </c>
      <c r="S56" s="38">
        <f t="shared" si="5"/>
        <v>6</v>
      </c>
      <c r="T56" s="38" t="s">
        <v>153</v>
      </c>
      <c r="U56" s="38">
        <v>2013.0</v>
      </c>
      <c r="V56" s="38">
        <v>10.0</v>
      </c>
      <c r="W56" s="38" t="s">
        <v>97</v>
      </c>
      <c r="X56" s="38" t="s">
        <v>157</v>
      </c>
      <c r="Y56" s="38" t="s">
        <v>146</v>
      </c>
      <c r="Z56" s="38" t="s">
        <v>158</v>
      </c>
      <c r="AA56" s="113" t="str">
        <f t="array" ref="AA56">PROPER(G56)</f>
        <v>Online</v>
      </c>
    </row>
    <row r="57">
      <c r="A57" s="110">
        <v>1.31585586E8</v>
      </c>
      <c r="B57" s="131">
        <v>42807.0</v>
      </c>
      <c r="C57" s="131">
        <v>42838.0</v>
      </c>
      <c r="D57" s="110" t="s">
        <v>10</v>
      </c>
      <c r="E57" s="110" t="s">
        <v>97</v>
      </c>
      <c r="F57" s="110">
        <v>3127.0</v>
      </c>
      <c r="G57" s="38" t="s">
        <v>42</v>
      </c>
      <c r="H57" s="110">
        <v>7954.0</v>
      </c>
      <c r="I57" s="132">
        <v>81.73</v>
      </c>
      <c r="J57" s="132">
        <v>56.67</v>
      </c>
      <c r="K57" s="39">
        <f t="shared" si="1"/>
        <v>650080.42</v>
      </c>
      <c r="L57" s="39">
        <f t="shared" si="2"/>
        <v>450753.18</v>
      </c>
      <c r="M57" s="39">
        <f t="shared" si="3"/>
        <v>199327.24</v>
      </c>
      <c r="N57" s="38" t="str">
        <f>VLOOKUP(F57,products!$A$2:$B$13,2,FALSE)</f>
        <v>Personal Care</v>
      </c>
      <c r="O57" s="133">
        <f t="shared" si="4"/>
        <v>0.6933806436</v>
      </c>
      <c r="P57" s="38" t="str">
        <f>VLOOKUP(E57,countries!A$2:E$250,3,false)</f>
        <v>France</v>
      </c>
      <c r="Q57" s="38" t="str">
        <f>VLOOKUP($E57,countries!$A$2:$E$250,4,false)</f>
        <v>Europe</v>
      </c>
      <c r="R57" s="38" t="str">
        <f>VLOOKUP($E57,countries!$A$2:$E$250,5,false)</f>
        <v>Western Europe</v>
      </c>
      <c r="S57" s="38">
        <f t="shared" si="5"/>
        <v>31</v>
      </c>
      <c r="T57" s="38" t="s">
        <v>185</v>
      </c>
      <c r="U57" s="38">
        <v>2017.0</v>
      </c>
      <c r="V57" s="38">
        <v>3.0</v>
      </c>
      <c r="W57" s="38" t="s">
        <v>97</v>
      </c>
      <c r="X57" s="38" t="s">
        <v>157</v>
      </c>
      <c r="Y57" s="38" t="s">
        <v>146</v>
      </c>
      <c r="Z57" s="38" t="s">
        <v>158</v>
      </c>
      <c r="AA57" s="113" t="str">
        <f t="array" ref="AA57">PROPER(G57)</f>
        <v>Offline</v>
      </c>
    </row>
    <row r="58">
      <c r="A58" s="110">
        <v>1.32069671E8</v>
      </c>
      <c r="B58" s="131">
        <v>42925.0</v>
      </c>
      <c r="C58" s="131">
        <v>42936.0</v>
      </c>
      <c r="D58" s="110" t="s">
        <v>89</v>
      </c>
      <c r="E58" s="110" t="s">
        <v>118</v>
      </c>
      <c r="F58" s="110">
        <v>3127.0</v>
      </c>
      <c r="G58" s="38" t="s">
        <v>43</v>
      </c>
      <c r="H58" s="110">
        <v>1205.0</v>
      </c>
      <c r="I58" s="132">
        <v>81.73</v>
      </c>
      <c r="J58" s="132">
        <v>56.67</v>
      </c>
      <c r="K58" s="39">
        <f t="shared" si="1"/>
        <v>98484.65</v>
      </c>
      <c r="L58" s="39">
        <f t="shared" si="2"/>
        <v>68287.35</v>
      </c>
      <c r="M58" s="39">
        <f t="shared" si="3"/>
        <v>30197.3</v>
      </c>
      <c r="N58" s="38" t="str">
        <f>VLOOKUP(F58,products!$A$2:$B$13,2,FALSE)</f>
        <v>Personal Care</v>
      </c>
      <c r="O58" s="133">
        <f t="shared" si="4"/>
        <v>0.6933806436</v>
      </c>
      <c r="P58" s="38" t="str">
        <f>VLOOKUP(E58,countries!A$2:E$250,3,false)</f>
        <v>Austria</v>
      </c>
      <c r="Q58" s="38" t="str">
        <f>VLOOKUP($E58,countries!$A$2:$E$250,4,false)</f>
        <v>Europe</v>
      </c>
      <c r="R58" s="38" t="str">
        <f>VLOOKUP($E58,countries!$A$2:$E$250,5,false)</f>
        <v>Western Europe</v>
      </c>
      <c r="S58" s="38">
        <f t="shared" si="5"/>
        <v>11</v>
      </c>
      <c r="T58" s="38" t="s">
        <v>185</v>
      </c>
      <c r="U58" s="38">
        <v>2017.0</v>
      </c>
      <c r="V58" s="38">
        <v>7.0</v>
      </c>
      <c r="W58" s="38" t="s">
        <v>118</v>
      </c>
      <c r="X58" s="38" t="s">
        <v>189</v>
      </c>
      <c r="Y58" s="38" t="s">
        <v>146</v>
      </c>
      <c r="Z58" s="38" t="s">
        <v>158</v>
      </c>
      <c r="AA58" s="113" t="str">
        <f t="array" ref="AA58">PROPER(G58)</f>
        <v>Online</v>
      </c>
    </row>
    <row r="59">
      <c r="A59" s="110">
        <v>1.32603538E8</v>
      </c>
      <c r="B59" s="131">
        <v>41172.0</v>
      </c>
      <c r="C59" s="131">
        <v>41219.0</v>
      </c>
      <c r="D59" s="110" t="s">
        <v>89</v>
      </c>
      <c r="E59" s="110" t="s">
        <v>123</v>
      </c>
      <c r="F59" s="110">
        <v>8293.0</v>
      </c>
      <c r="G59" s="38" t="s">
        <v>43</v>
      </c>
      <c r="H59" s="110">
        <v>9188.0</v>
      </c>
      <c r="I59" s="132">
        <v>437.2</v>
      </c>
      <c r="J59" s="132">
        <v>263.33</v>
      </c>
      <c r="K59" s="39">
        <f t="shared" si="1"/>
        <v>4016993.6</v>
      </c>
      <c r="L59" s="39">
        <f t="shared" si="2"/>
        <v>2419476.04</v>
      </c>
      <c r="M59" s="39">
        <f t="shared" si="3"/>
        <v>1597517.56</v>
      </c>
      <c r="N59" s="38" t="str">
        <f>VLOOKUP(F59,products!$A$2:$B$13,2,FALSE)</f>
        <v>Cosmetics</v>
      </c>
      <c r="O59" s="133">
        <f t="shared" si="4"/>
        <v>0.6023101555</v>
      </c>
      <c r="P59" s="38" t="str">
        <f>VLOOKUP(E59,countries!A$2:E$250,3,false)</f>
        <v>Hungary</v>
      </c>
      <c r="Q59" s="38" t="str">
        <f>VLOOKUP($E59,countries!$A$2:$E$250,4,false)</f>
        <v>Europe</v>
      </c>
      <c r="R59" s="38" t="str">
        <f>VLOOKUP($E59,countries!$A$2:$E$250,5,false)</f>
        <v>Eastern Europe</v>
      </c>
      <c r="S59" s="38">
        <f t="shared" si="5"/>
        <v>47</v>
      </c>
      <c r="T59" s="38" t="s">
        <v>178</v>
      </c>
      <c r="U59" s="38">
        <v>2012.0</v>
      </c>
      <c r="V59" s="38">
        <v>9.0</v>
      </c>
      <c r="W59" s="38" t="s">
        <v>123</v>
      </c>
      <c r="X59" s="38" t="s">
        <v>194</v>
      </c>
      <c r="Y59" s="38" t="s">
        <v>146</v>
      </c>
      <c r="Z59" s="38" t="s">
        <v>155</v>
      </c>
      <c r="AA59" s="113" t="str">
        <f t="array" ref="AA59">PROPER(G59)</f>
        <v>Online</v>
      </c>
    </row>
    <row r="60">
      <c r="A60" s="110">
        <v>1.3327645E8</v>
      </c>
      <c r="B60" s="131">
        <v>42396.0</v>
      </c>
      <c r="C60" s="131">
        <v>42444.0</v>
      </c>
      <c r="D60" s="110" t="s">
        <v>95</v>
      </c>
      <c r="E60" s="110" t="e">
        <v>#N/A</v>
      </c>
      <c r="F60" s="110">
        <v>3127.0</v>
      </c>
      <c r="G60" s="38" t="s">
        <v>43</v>
      </c>
      <c r="H60" s="110">
        <v>8318.0</v>
      </c>
      <c r="I60" s="132">
        <v>81.73</v>
      </c>
      <c r="J60" s="132">
        <v>56.67</v>
      </c>
      <c r="K60" s="39">
        <f t="shared" si="1"/>
        <v>679830.14</v>
      </c>
      <c r="L60" s="39">
        <f t="shared" si="2"/>
        <v>471381.06</v>
      </c>
      <c r="M60" s="39">
        <f t="shared" si="3"/>
        <v>208449.08</v>
      </c>
      <c r="N60" s="38" t="str">
        <f>VLOOKUP(F60,products!$A$2:$B$13,2,FALSE)</f>
        <v>Personal Care</v>
      </c>
      <c r="O60" s="133">
        <f t="shared" si="4"/>
        <v>0.6933806436</v>
      </c>
      <c r="P60" s="38" t="str">
        <f>VLOOKUP(E60,countries!A$2:E$250,3,false)</f>
        <v>#N/A</v>
      </c>
      <c r="Q60" s="38" t="str">
        <f>VLOOKUP($E60,countries!$A$2:$E$250,4,false)</f>
        <v>#N/A</v>
      </c>
      <c r="R60" s="38" t="str">
        <f>VLOOKUP($E60,countries!$A$2:$E$250,5,false)</f>
        <v>#N/A</v>
      </c>
      <c r="S60" s="38">
        <f t="shared" si="5"/>
        <v>48</v>
      </c>
      <c r="T60" s="38" t="s">
        <v>185</v>
      </c>
      <c r="U60" s="38">
        <v>2016.0</v>
      </c>
      <c r="V60" s="38">
        <v>1.0</v>
      </c>
      <c r="W60" s="38" t="s">
        <v>92</v>
      </c>
      <c r="X60" s="38" t="s">
        <v>149</v>
      </c>
      <c r="Y60" s="38" t="s">
        <v>149</v>
      </c>
      <c r="Z60" s="38" t="s">
        <v>149</v>
      </c>
      <c r="AA60" s="113" t="str">
        <f t="array" ref="AA60">PROPER(G60)</f>
        <v>Online</v>
      </c>
    </row>
    <row r="61">
      <c r="A61" s="110">
        <v>1.34121024E8</v>
      </c>
      <c r="B61" s="131">
        <v>40602.0</v>
      </c>
      <c r="C61" s="131">
        <v>40641.0</v>
      </c>
      <c r="D61" s="110" t="s">
        <v>93</v>
      </c>
      <c r="E61" s="110" t="s">
        <v>117</v>
      </c>
      <c r="F61" s="110">
        <v>5988.0</v>
      </c>
      <c r="G61" s="38" t="s">
        <v>43</v>
      </c>
      <c r="H61" s="110">
        <v>8246.0</v>
      </c>
      <c r="I61" s="132">
        <v>154.06</v>
      </c>
      <c r="J61" s="132">
        <v>90.93</v>
      </c>
      <c r="K61" s="39">
        <f t="shared" si="1"/>
        <v>1270378.76</v>
      </c>
      <c r="L61" s="39">
        <f t="shared" si="2"/>
        <v>749808.78</v>
      </c>
      <c r="M61" s="39">
        <f t="shared" si="3"/>
        <v>520569.98</v>
      </c>
      <c r="N61" s="38" t="str">
        <f>VLOOKUP(F61,products!$A$2:$B$13,2,FALSE)</f>
        <v>Vegetables</v>
      </c>
      <c r="O61" s="133">
        <f t="shared" si="4"/>
        <v>0.5902245878</v>
      </c>
      <c r="P61" s="38" t="str">
        <f>VLOOKUP(E61,countries!A$2:E$250,3,false)</f>
        <v>Estonia</v>
      </c>
      <c r="Q61" s="38" t="str">
        <f>VLOOKUP($E61,countries!$A$2:$E$250,4,false)</f>
        <v>Europe</v>
      </c>
      <c r="R61" s="38" t="str">
        <f>VLOOKUP($E61,countries!$A$2:$E$250,5,false)</f>
        <v>Northern Europe</v>
      </c>
      <c r="S61" s="38">
        <f t="shared" si="5"/>
        <v>39</v>
      </c>
      <c r="T61" s="38" t="s">
        <v>159</v>
      </c>
      <c r="U61" s="38">
        <v>2011.0</v>
      </c>
      <c r="V61" s="38">
        <v>2.0</v>
      </c>
      <c r="W61" s="38" t="s">
        <v>117</v>
      </c>
      <c r="X61" s="38" t="s">
        <v>188</v>
      </c>
      <c r="Y61" s="38" t="s">
        <v>146</v>
      </c>
      <c r="Z61" s="38" t="s">
        <v>170</v>
      </c>
      <c r="AA61" s="113" t="str">
        <f t="array" ref="AA61">PROPER(G61)</f>
        <v>Online</v>
      </c>
    </row>
    <row r="62">
      <c r="A62" s="110">
        <v>1.34790503E8</v>
      </c>
      <c r="B62" s="131">
        <v>41001.0</v>
      </c>
      <c r="C62" s="131">
        <v>41025.0</v>
      </c>
      <c r="D62" s="110" t="s">
        <v>89</v>
      </c>
      <c r="E62" s="110" t="s">
        <v>126</v>
      </c>
      <c r="F62" s="110">
        <v>2455.0</v>
      </c>
      <c r="G62" s="38" t="s">
        <v>43</v>
      </c>
      <c r="H62" s="110">
        <v>6360.0</v>
      </c>
      <c r="I62" s="132">
        <v>109.28</v>
      </c>
      <c r="J62" s="132">
        <v>35.84</v>
      </c>
      <c r="K62" s="39">
        <f t="shared" si="1"/>
        <v>695020.8</v>
      </c>
      <c r="L62" s="39">
        <f t="shared" si="2"/>
        <v>227942.4</v>
      </c>
      <c r="M62" s="39">
        <f t="shared" si="3"/>
        <v>467078.4</v>
      </c>
      <c r="N62" s="38" t="str">
        <f>VLOOKUP(F62,products!$A$2:$B$13,2,FALSE)</f>
        <v>Clothes</v>
      </c>
      <c r="O62" s="133">
        <f t="shared" si="4"/>
        <v>0.3279648609</v>
      </c>
      <c r="P62" s="38" t="str">
        <f>VLOOKUP(E62,countries!A$2:E$250,3,false)</f>
        <v>Italy</v>
      </c>
      <c r="Q62" s="38" t="str">
        <f>VLOOKUP($E62,countries!$A$2:$E$250,4,false)</f>
        <v>Europe</v>
      </c>
      <c r="R62" s="38" t="str">
        <f>VLOOKUP($E62,countries!$A$2:$E$250,5,false)</f>
        <v>Southern Europe</v>
      </c>
      <c r="S62" s="38">
        <f t="shared" si="5"/>
        <v>24</v>
      </c>
      <c r="T62" s="38" t="s">
        <v>150</v>
      </c>
      <c r="U62" s="38">
        <v>2012.0</v>
      </c>
      <c r="V62" s="38">
        <v>4.0</v>
      </c>
      <c r="W62" s="38" t="s">
        <v>126</v>
      </c>
      <c r="X62" s="38" t="s">
        <v>197</v>
      </c>
      <c r="Y62" s="38" t="s">
        <v>146</v>
      </c>
      <c r="Z62" s="38" t="s">
        <v>147</v>
      </c>
      <c r="AA62" s="113" t="str">
        <f t="array" ref="AA62">PROPER(G62)</f>
        <v>Online</v>
      </c>
    </row>
    <row r="63">
      <c r="A63" s="110">
        <v>1.36624276E8</v>
      </c>
      <c r="B63" s="131">
        <v>42420.0</v>
      </c>
      <c r="C63" s="131">
        <v>42437.0</v>
      </c>
      <c r="D63" s="110" t="s">
        <v>93</v>
      </c>
      <c r="E63" s="110" t="s">
        <v>124</v>
      </c>
      <c r="F63" s="110">
        <v>1270.0</v>
      </c>
      <c r="G63" s="38" t="s">
        <v>42</v>
      </c>
      <c r="H63" s="110">
        <v>9014.0</v>
      </c>
      <c r="I63" s="132">
        <v>47.45</v>
      </c>
      <c r="J63" s="132">
        <v>31.79</v>
      </c>
      <c r="K63" s="39">
        <f t="shared" si="1"/>
        <v>427714.3</v>
      </c>
      <c r="L63" s="39">
        <f t="shared" si="2"/>
        <v>286555.06</v>
      </c>
      <c r="M63" s="39">
        <f t="shared" si="3"/>
        <v>141159.24</v>
      </c>
      <c r="N63" s="38" t="str">
        <f>VLOOKUP(F63,products!$A$2:$B$13,2,FALSE)</f>
        <v>Beverages</v>
      </c>
      <c r="O63" s="133">
        <f t="shared" si="4"/>
        <v>0.6699683878</v>
      </c>
      <c r="P63" s="38" t="str">
        <f>VLOOKUP(E63,countries!A$2:E$250,3,false)</f>
        <v>Latvia</v>
      </c>
      <c r="Q63" s="38" t="str">
        <f>VLOOKUP($E63,countries!$A$2:$E$250,4,false)</f>
        <v>Europe</v>
      </c>
      <c r="R63" s="38" t="str">
        <f>VLOOKUP($E63,countries!$A$2:$E$250,5,false)</f>
        <v>Northern Europe</v>
      </c>
      <c r="S63" s="38">
        <f t="shared" si="5"/>
        <v>17</v>
      </c>
      <c r="T63" s="38" t="s">
        <v>152</v>
      </c>
      <c r="U63" s="38">
        <v>2016.0</v>
      </c>
      <c r="V63" s="38">
        <v>2.0</v>
      </c>
      <c r="W63" s="38" t="s">
        <v>124</v>
      </c>
      <c r="X63" s="38" t="s">
        <v>195</v>
      </c>
      <c r="Y63" s="38" t="s">
        <v>146</v>
      </c>
      <c r="Z63" s="38" t="s">
        <v>170</v>
      </c>
      <c r="AA63" s="113" t="str">
        <f t="array" ref="AA63">PROPER(G63)</f>
        <v>Offline</v>
      </c>
    </row>
    <row r="64">
      <c r="A64" s="110">
        <v>1.38025033E8</v>
      </c>
      <c r="B64" s="131">
        <v>41468.0</v>
      </c>
      <c r="C64" s="131">
        <v>41489.0</v>
      </c>
      <c r="D64" s="110" t="s">
        <v>93</v>
      </c>
      <c r="E64" s="110" t="s">
        <v>103</v>
      </c>
      <c r="F64" s="110">
        <v>8969.0</v>
      </c>
      <c r="G64" s="38" t="s">
        <v>43</v>
      </c>
      <c r="H64" s="110">
        <v>3529.0</v>
      </c>
      <c r="I64" s="132">
        <v>152.58</v>
      </c>
      <c r="J64" s="132">
        <v>97.44</v>
      </c>
      <c r="K64" s="39">
        <f t="shared" si="1"/>
        <v>538454.82</v>
      </c>
      <c r="L64" s="39">
        <f t="shared" si="2"/>
        <v>343865.76</v>
      </c>
      <c r="M64" s="39">
        <f t="shared" si="3"/>
        <v>194589.06</v>
      </c>
      <c r="N64" s="38" t="str">
        <f>VLOOKUP(F64,products!$A$2:$B$13,2,FALSE)</f>
        <v>Snacks</v>
      </c>
      <c r="O64" s="133">
        <f t="shared" si="4"/>
        <v>0.6386158081</v>
      </c>
      <c r="P64" s="38" t="str">
        <f>VLOOKUP(E64,countries!A$2:E$250,3,false)</f>
        <v>United Kingdom</v>
      </c>
      <c r="Q64" s="38" t="str">
        <f>VLOOKUP($E64,countries!$A$2:$E$250,4,false)</f>
        <v>Europe</v>
      </c>
      <c r="R64" s="38" t="str">
        <f>VLOOKUP($E64,countries!$A$2:$E$250,5,false)</f>
        <v>Northern Europe</v>
      </c>
      <c r="S64" s="38">
        <f t="shared" si="5"/>
        <v>21</v>
      </c>
      <c r="T64" s="38" t="s">
        <v>182</v>
      </c>
      <c r="U64" s="38">
        <v>2013.0</v>
      </c>
      <c r="V64" s="38">
        <v>7.0</v>
      </c>
      <c r="W64" s="38" t="s">
        <v>103</v>
      </c>
      <c r="X64" s="38" t="s">
        <v>169</v>
      </c>
      <c r="Y64" s="38" t="s">
        <v>146</v>
      </c>
      <c r="Z64" s="38" t="s">
        <v>170</v>
      </c>
      <c r="AA64" s="113" t="str">
        <f t="array" ref="AA64">PROPER(G64)</f>
        <v>Online</v>
      </c>
    </row>
    <row r="65">
      <c r="A65" s="110">
        <v>1.38182103E8</v>
      </c>
      <c r="B65" s="131">
        <v>41860.0</v>
      </c>
      <c r="C65" s="131">
        <v>41867.0</v>
      </c>
      <c r="D65" s="110" t="s">
        <v>10</v>
      </c>
      <c r="E65" s="110" t="s">
        <v>121</v>
      </c>
      <c r="F65" s="110">
        <v>8681.0</v>
      </c>
      <c r="G65" s="38" t="s">
        <v>43</v>
      </c>
      <c r="H65" s="110">
        <v>10.0</v>
      </c>
      <c r="I65" s="132">
        <v>651.21</v>
      </c>
      <c r="J65" s="132">
        <v>524.96</v>
      </c>
      <c r="K65" s="39">
        <f t="shared" si="1"/>
        <v>6512.1</v>
      </c>
      <c r="L65" s="39">
        <f t="shared" si="2"/>
        <v>5249.6</v>
      </c>
      <c r="M65" s="39">
        <f t="shared" si="3"/>
        <v>1262.5</v>
      </c>
      <c r="N65" s="38" t="str">
        <f>VLOOKUP(F65,products!$A$2:$B$13,2,FALSE)</f>
        <v>Office Supplies</v>
      </c>
      <c r="O65" s="133">
        <f t="shared" si="4"/>
        <v>0.806130127</v>
      </c>
      <c r="P65" s="38" t="str">
        <f>VLOOKUP(E65,countries!A$2:E$250,3,false)</f>
        <v>Netherlands</v>
      </c>
      <c r="Q65" s="38" t="str">
        <f>VLOOKUP($E65,countries!$A$2:$E$250,4,false)</f>
        <v>Europe</v>
      </c>
      <c r="R65" s="38" t="str">
        <f>VLOOKUP($E65,countries!$A$2:$E$250,5,false)</f>
        <v>Western Europe</v>
      </c>
      <c r="S65" s="38">
        <f t="shared" si="5"/>
        <v>7</v>
      </c>
      <c r="T65" s="38" t="s">
        <v>153</v>
      </c>
      <c r="U65" s="38">
        <v>2014.0</v>
      </c>
      <c r="V65" s="38">
        <v>8.0</v>
      </c>
      <c r="W65" s="38" t="s">
        <v>121</v>
      </c>
      <c r="X65" s="38" t="s">
        <v>192</v>
      </c>
      <c r="Y65" s="38" t="s">
        <v>146</v>
      </c>
      <c r="Z65" s="38" t="s">
        <v>158</v>
      </c>
      <c r="AA65" s="113" t="str">
        <f t="array" ref="AA65">PROPER(G65)</f>
        <v>Online</v>
      </c>
    </row>
    <row r="66">
      <c r="A66" s="110">
        <v>1.38820683E8</v>
      </c>
      <c r="B66" s="131">
        <v>40368.0</v>
      </c>
      <c r="C66" s="131">
        <v>40368.0</v>
      </c>
      <c r="D66" s="110" t="s">
        <v>93</v>
      </c>
      <c r="E66" s="110" t="s">
        <v>111</v>
      </c>
      <c r="F66" s="110">
        <v>2455.0</v>
      </c>
      <c r="G66" s="38" t="s">
        <v>42</v>
      </c>
      <c r="H66" s="110">
        <v>8980.0</v>
      </c>
      <c r="I66" s="132">
        <v>109.28</v>
      </c>
      <c r="J66" s="132">
        <v>35.84</v>
      </c>
      <c r="K66" s="39">
        <f t="shared" si="1"/>
        <v>981334.4</v>
      </c>
      <c r="L66" s="39">
        <f t="shared" si="2"/>
        <v>321843.2</v>
      </c>
      <c r="M66" s="39">
        <f t="shared" si="3"/>
        <v>659491.2</v>
      </c>
      <c r="N66" s="38" t="str">
        <f>VLOOKUP(F66,products!$A$2:$B$13,2,FALSE)</f>
        <v>Clothes</v>
      </c>
      <c r="O66" s="133">
        <f t="shared" si="4"/>
        <v>0.3279648609</v>
      </c>
      <c r="P66" s="38" t="str">
        <f>VLOOKUP(E66,countries!A$2:E$250,3,false)</f>
        <v>Russia</v>
      </c>
      <c r="Q66" s="38" t="str">
        <f>VLOOKUP($E66,countries!$A$2:$E$250,4,false)</f>
        <v>Europe</v>
      </c>
      <c r="R66" s="38" t="str">
        <f>VLOOKUP($E66,countries!$A$2:$E$250,5,false)</f>
        <v>Eastern Europe</v>
      </c>
      <c r="S66" s="38">
        <f t="shared" si="5"/>
        <v>0</v>
      </c>
      <c r="T66" s="38" t="s">
        <v>150</v>
      </c>
      <c r="U66" s="38">
        <v>2010.0</v>
      </c>
      <c r="V66" s="38">
        <v>7.0</v>
      </c>
      <c r="W66" s="38" t="s">
        <v>111</v>
      </c>
      <c r="X66" s="38" t="s">
        <v>179</v>
      </c>
      <c r="Y66" s="38" t="s">
        <v>146</v>
      </c>
      <c r="Z66" s="38" t="s">
        <v>155</v>
      </c>
      <c r="AA66" s="113" t="str">
        <f t="array" ref="AA66">PROPER(G66)</f>
        <v>Offline</v>
      </c>
    </row>
    <row r="67">
      <c r="A67" s="110">
        <v>1.39201343E8</v>
      </c>
      <c r="B67" s="131">
        <v>42609.0</v>
      </c>
      <c r="C67" s="131">
        <v>42619.0</v>
      </c>
      <c r="D67" s="110" t="s">
        <v>95</v>
      </c>
      <c r="E67" s="110" t="s">
        <v>127</v>
      </c>
      <c r="F67" s="110">
        <v>8293.0</v>
      </c>
      <c r="G67" s="38" t="s">
        <v>42</v>
      </c>
      <c r="H67" s="110">
        <v>1625.0</v>
      </c>
      <c r="I67" s="132">
        <v>437.2</v>
      </c>
      <c r="J67" s="132">
        <v>263.33</v>
      </c>
      <c r="K67" s="39">
        <f t="shared" si="1"/>
        <v>710450</v>
      </c>
      <c r="L67" s="39">
        <f t="shared" si="2"/>
        <v>427911.25</v>
      </c>
      <c r="M67" s="39">
        <f t="shared" si="3"/>
        <v>282538.75</v>
      </c>
      <c r="N67" s="38" t="str">
        <f>VLOOKUP(F67,products!$A$2:$B$13,2,FALSE)</f>
        <v>Cosmetics</v>
      </c>
      <c r="O67" s="133">
        <f t="shared" si="4"/>
        <v>0.6023101555</v>
      </c>
      <c r="P67" s="38" t="str">
        <f>VLOOKUP(E67,countries!A$2:E$250,3,false)</f>
        <v>Ireland</v>
      </c>
      <c r="Q67" s="38" t="str">
        <f>VLOOKUP($E67,countries!$A$2:$E$250,4,false)</f>
        <v>Europe</v>
      </c>
      <c r="R67" s="38" t="str">
        <f>VLOOKUP($E67,countries!$A$2:$E$250,5,false)</f>
        <v>Northern Europe</v>
      </c>
      <c r="S67" s="38">
        <f t="shared" si="5"/>
        <v>10</v>
      </c>
      <c r="T67" s="38" t="s">
        <v>178</v>
      </c>
      <c r="U67" s="38">
        <v>2016.0</v>
      </c>
      <c r="V67" s="38">
        <v>8.0</v>
      </c>
      <c r="W67" s="38" t="s">
        <v>127</v>
      </c>
      <c r="X67" s="38" t="s">
        <v>198</v>
      </c>
      <c r="Y67" s="38" t="s">
        <v>146</v>
      </c>
      <c r="Z67" s="38" t="s">
        <v>170</v>
      </c>
      <c r="AA67" s="113" t="str">
        <f t="array" ref="AA67">PROPER(G67)</f>
        <v>Offline</v>
      </c>
    </row>
    <row r="68">
      <c r="A68" s="110">
        <v>1.39949357E8</v>
      </c>
      <c r="B68" s="131">
        <v>41821.0</v>
      </c>
      <c r="C68" s="131">
        <v>41834.0</v>
      </c>
      <c r="D68" s="110" t="s">
        <v>95</v>
      </c>
      <c r="E68" s="110" t="e">
        <v>#N/A</v>
      </c>
      <c r="F68" s="110">
        <v>5988.0</v>
      </c>
      <c r="G68" s="38" t="s">
        <v>43</v>
      </c>
      <c r="H68" s="110">
        <v>2980.0</v>
      </c>
      <c r="I68" s="132">
        <v>154.06</v>
      </c>
      <c r="J68" s="132">
        <v>90.93</v>
      </c>
      <c r="K68" s="39">
        <f t="shared" si="1"/>
        <v>459098.8</v>
      </c>
      <c r="L68" s="39">
        <f t="shared" si="2"/>
        <v>270971.4</v>
      </c>
      <c r="M68" s="39">
        <f t="shared" si="3"/>
        <v>188127.4</v>
      </c>
      <c r="N68" s="38" t="str">
        <f>VLOOKUP(F68,products!$A$2:$B$13,2,FALSE)</f>
        <v>Vegetables</v>
      </c>
      <c r="O68" s="133">
        <f t="shared" si="4"/>
        <v>0.5902245878</v>
      </c>
      <c r="P68" s="38" t="str">
        <f>VLOOKUP(E68,countries!A$2:E$250,3,false)</f>
        <v>#N/A</v>
      </c>
      <c r="Q68" s="38" t="str">
        <f>VLOOKUP($E68,countries!$A$2:$E$250,4,false)</f>
        <v>#N/A</v>
      </c>
      <c r="R68" s="38" t="str">
        <f>VLOOKUP($E68,countries!$A$2:$E$250,5,false)</f>
        <v>#N/A</v>
      </c>
      <c r="S68" s="38">
        <f t="shared" si="5"/>
        <v>13</v>
      </c>
      <c r="T68" s="38" t="s">
        <v>159</v>
      </c>
      <c r="U68" s="38">
        <v>2014.0</v>
      </c>
      <c r="V68" s="38">
        <v>7.0</v>
      </c>
      <c r="W68" s="38" t="s">
        <v>92</v>
      </c>
      <c r="X68" s="38" t="s">
        <v>149</v>
      </c>
      <c r="Y68" s="38" t="s">
        <v>149</v>
      </c>
      <c r="Z68" s="38" t="s">
        <v>149</v>
      </c>
      <c r="AA68" s="113" t="str">
        <f t="array" ref="AA68">PROPER(G68)</f>
        <v>Online</v>
      </c>
    </row>
    <row r="69">
      <c r="A69" s="110">
        <v>1.40461766E8</v>
      </c>
      <c r="B69" s="131">
        <v>41828.0</v>
      </c>
      <c r="C69" s="131">
        <v>41840.0</v>
      </c>
      <c r="D69" s="110" t="s">
        <v>10</v>
      </c>
      <c r="E69" s="110" t="s">
        <v>113</v>
      </c>
      <c r="F69" s="110">
        <v>8293.0</v>
      </c>
      <c r="G69" s="38" t="s">
        <v>43</v>
      </c>
      <c r="H69" s="110">
        <v>4613.0</v>
      </c>
      <c r="I69" s="132">
        <v>437.2</v>
      </c>
      <c r="J69" s="132">
        <v>263.33</v>
      </c>
      <c r="K69" s="39">
        <f t="shared" si="1"/>
        <v>2016803.6</v>
      </c>
      <c r="L69" s="39">
        <f t="shared" si="2"/>
        <v>1214741.29</v>
      </c>
      <c r="M69" s="39">
        <f t="shared" si="3"/>
        <v>802062.31</v>
      </c>
      <c r="N69" s="38" t="str">
        <f>VLOOKUP(F69,products!$A$2:$B$13,2,FALSE)</f>
        <v>Cosmetics</v>
      </c>
      <c r="O69" s="133">
        <f t="shared" si="4"/>
        <v>0.6023101555</v>
      </c>
      <c r="P69" s="38" t="str">
        <f>VLOOKUP(E69,countries!A$2:E$250,3,false)</f>
        <v>Ukraine</v>
      </c>
      <c r="Q69" s="38" t="str">
        <f>VLOOKUP($E69,countries!$A$2:$E$250,4,false)</f>
        <v>Europe</v>
      </c>
      <c r="R69" s="38" t="str">
        <f>VLOOKUP($E69,countries!$A$2:$E$250,5,false)</f>
        <v>Eastern Europe</v>
      </c>
      <c r="S69" s="38">
        <f t="shared" si="5"/>
        <v>12</v>
      </c>
      <c r="T69" s="38" t="s">
        <v>178</v>
      </c>
      <c r="U69" s="38">
        <v>2014.0</v>
      </c>
      <c r="V69" s="38">
        <v>7.0</v>
      </c>
      <c r="W69" s="38" t="s">
        <v>113</v>
      </c>
      <c r="X69" s="38" t="s">
        <v>181</v>
      </c>
      <c r="Y69" s="38" t="s">
        <v>146</v>
      </c>
      <c r="Z69" s="38" t="s">
        <v>155</v>
      </c>
      <c r="AA69" s="113" t="str">
        <f t="array" ref="AA69">PROPER(G69)</f>
        <v>Online</v>
      </c>
    </row>
    <row r="70">
      <c r="A70" s="110">
        <v>1.40499961E8</v>
      </c>
      <c r="B70" s="131">
        <v>40631.0</v>
      </c>
      <c r="C70" s="131">
        <v>40663.0</v>
      </c>
      <c r="D70" s="110" t="s">
        <v>93</v>
      </c>
      <c r="E70" s="110" t="s">
        <v>124</v>
      </c>
      <c r="F70" s="110">
        <v>3127.0</v>
      </c>
      <c r="G70" s="38" t="s">
        <v>43</v>
      </c>
      <c r="H70" s="110">
        <v>5915.0</v>
      </c>
      <c r="I70" s="132">
        <v>81.73</v>
      </c>
      <c r="J70" s="132">
        <v>56.67</v>
      </c>
      <c r="K70" s="39">
        <f t="shared" si="1"/>
        <v>483432.95</v>
      </c>
      <c r="L70" s="39">
        <f t="shared" si="2"/>
        <v>335203.05</v>
      </c>
      <c r="M70" s="39">
        <f t="shared" si="3"/>
        <v>148229.9</v>
      </c>
      <c r="N70" s="38" t="str">
        <f>VLOOKUP(F70,products!$A$2:$B$13,2,FALSE)</f>
        <v>Personal Care</v>
      </c>
      <c r="O70" s="133">
        <f t="shared" si="4"/>
        <v>0.6933806436</v>
      </c>
      <c r="P70" s="38" t="str">
        <f>VLOOKUP(E70,countries!A$2:E$250,3,false)</f>
        <v>Latvia</v>
      </c>
      <c r="Q70" s="38" t="str">
        <f>VLOOKUP($E70,countries!$A$2:$E$250,4,false)</f>
        <v>Europe</v>
      </c>
      <c r="R70" s="38" t="str">
        <f>VLOOKUP($E70,countries!$A$2:$E$250,5,false)</f>
        <v>Northern Europe</v>
      </c>
      <c r="S70" s="38">
        <f t="shared" si="5"/>
        <v>32</v>
      </c>
      <c r="T70" s="38" t="s">
        <v>185</v>
      </c>
      <c r="U70" s="38">
        <v>2011.0</v>
      </c>
      <c r="V70" s="38">
        <v>3.0</v>
      </c>
      <c r="W70" s="38" t="s">
        <v>124</v>
      </c>
      <c r="X70" s="38" t="s">
        <v>195</v>
      </c>
      <c r="Y70" s="38" t="s">
        <v>146</v>
      </c>
      <c r="Z70" s="38" t="s">
        <v>170</v>
      </c>
      <c r="AA70" s="113" t="str">
        <f t="array" ref="AA70">PROPER(G70)</f>
        <v>Online</v>
      </c>
    </row>
    <row r="71">
      <c r="A71" s="110">
        <v>1.41764247E8</v>
      </c>
      <c r="B71" s="131">
        <v>41470.0</v>
      </c>
      <c r="C71" s="131">
        <v>41515.0</v>
      </c>
      <c r="D71" s="110" t="s">
        <v>95</v>
      </c>
      <c r="E71" s="110" t="s">
        <v>128</v>
      </c>
      <c r="F71" s="110">
        <v>7331.0</v>
      </c>
      <c r="G71" s="38" t="s">
        <v>42</v>
      </c>
      <c r="H71" s="110">
        <v>46.0</v>
      </c>
      <c r="I71" s="132">
        <v>255.28</v>
      </c>
      <c r="J71" s="132">
        <v>159.42</v>
      </c>
      <c r="K71" s="39">
        <f t="shared" si="1"/>
        <v>11742.88</v>
      </c>
      <c r="L71" s="39">
        <f t="shared" si="2"/>
        <v>7333.32</v>
      </c>
      <c r="M71" s="39">
        <f t="shared" si="3"/>
        <v>4409.56</v>
      </c>
      <c r="N71" s="38" t="str">
        <f>VLOOKUP(F71,products!$A$2:$B$13,2,FALSE)</f>
        <v>Baby Food</v>
      </c>
      <c r="O71" s="133">
        <f t="shared" si="4"/>
        <v>0.6244907552</v>
      </c>
      <c r="P71" s="38" t="str">
        <f>VLOOKUP(E71,countries!A$2:E$250,3,false)</f>
        <v>Andorra</v>
      </c>
      <c r="Q71" s="38" t="str">
        <f>VLOOKUP($E71,countries!$A$2:$E$250,4,false)</f>
        <v>Europe</v>
      </c>
      <c r="R71" s="38" t="str">
        <f>VLOOKUP($E71,countries!$A$2:$E$250,5,false)</f>
        <v>Southern Europe</v>
      </c>
      <c r="S71" s="38">
        <f t="shared" si="5"/>
        <v>45</v>
      </c>
      <c r="T71" s="38" t="s">
        <v>161</v>
      </c>
      <c r="U71" s="38">
        <v>2013.0</v>
      </c>
      <c r="V71" s="38">
        <v>7.0</v>
      </c>
      <c r="W71" s="38" t="s">
        <v>128</v>
      </c>
      <c r="X71" s="38" t="s">
        <v>199</v>
      </c>
      <c r="Y71" s="38" t="s">
        <v>146</v>
      </c>
      <c r="Z71" s="38" t="s">
        <v>147</v>
      </c>
      <c r="AA71" s="113" t="str">
        <f t="array" ref="AA71">PROPER(G71)</f>
        <v>Offline</v>
      </c>
    </row>
    <row r="72">
      <c r="A72" s="110">
        <v>1.41846215E8</v>
      </c>
      <c r="B72" s="131">
        <v>41108.0</v>
      </c>
      <c r="C72" s="131">
        <v>41137.0</v>
      </c>
      <c r="D72" s="110" t="s">
        <v>95</v>
      </c>
      <c r="E72" s="110" t="s">
        <v>102</v>
      </c>
      <c r="F72" s="110">
        <v>2455.0</v>
      </c>
      <c r="G72" s="38" t="s">
        <v>43</v>
      </c>
      <c r="H72" s="110">
        <v>4302.0</v>
      </c>
      <c r="I72" s="132">
        <v>109.28</v>
      </c>
      <c r="J72" s="132">
        <v>35.84</v>
      </c>
      <c r="K72" s="39">
        <f t="shared" si="1"/>
        <v>470122.56</v>
      </c>
      <c r="L72" s="39">
        <f t="shared" si="2"/>
        <v>154183.68</v>
      </c>
      <c r="M72" s="39">
        <f t="shared" si="3"/>
        <v>315938.88</v>
      </c>
      <c r="N72" s="38" t="str">
        <f>VLOOKUP(F72,products!$A$2:$B$13,2,FALSE)</f>
        <v>Clothes</v>
      </c>
      <c r="O72" s="133">
        <f t="shared" si="4"/>
        <v>0.3279648609</v>
      </c>
      <c r="P72" s="38" t="str">
        <f>VLOOKUP(E72,countries!A$2:E$250,3,false)</f>
        <v>Georgia</v>
      </c>
      <c r="Q72" s="38" t="str">
        <f>VLOOKUP($E72,countries!$A$2:$E$250,4,false)</f>
        <v>Asia</v>
      </c>
      <c r="R72" s="38" t="str">
        <f>VLOOKUP($E72,countries!$A$2:$E$250,5,false)</f>
        <v>Western Asia</v>
      </c>
      <c r="S72" s="38">
        <f t="shared" si="5"/>
        <v>29</v>
      </c>
      <c r="T72" s="38" t="s">
        <v>150</v>
      </c>
      <c r="U72" s="38">
        <v>2012.0</v>
      </c>
      <c r="V72" s="38">
        <v>7.0</v>
      </c>
      <c r="W72" s="38" t="s">
        <v>102</v>
      </c>
      <c r="X72" s="38" t="s">
        <v>168</v>
      </c>
      <c r="Y72" s="38" t="s">
        <v>165</v>
      </c>
      <c r="Z72" s="38" t="s">
        <v>166</v>
      </c>
      <c r="AA72" s="113" t="str">
        <f t="array" ref="AA72">PROPER(G72)</f>
        <v>Online</v>
      </c>
    </row>
    <row r="73">
      <c r="A73" s="110">
        <v>1.41875827E8</v>
      </c>
      <c r="B73" s="131">
        <v>40615.0</v>
      </c>
      <c r="C73" s="131">
        <v>40649.0</v>
      </c>
      <c r="D73" s="110" t="s">
        <v>10</v>
      </c>
      <c r="E73" s="110" t="s">
        <v>106</v>
      </c>
      <c r="F73" s="110">
        <v>7940.0</v>
      </c>
      <c r="G73" s="38" t="s">
        <v>43</v>
      </c>
      <c r="H73" s="110">
        <v>3065.0</v>
      </c>
      <c r="I73" s="132">
        <v>668.27</v>
      </c>
      <c r="J73" s="132">
        <v>502.54</v>
      </c>
      <c r="K73" s="39">
        <f t="shared" si="1"/>
        <v>2048247.55</v>
      </c>
      <c r="L73" s="39">
        <f t="shared" si="2"/>
        <v>1540285.1</v>
      </c>
      <c r="M73" s="39">
        <f t="shared" si="3"/>
        <v>507962.45</v>
      </c>
      <c r="N73" s="38" t="str">
        <f>VLOOKUP(F73,products!$A$2:$B$13,2,FALSE)</f>
        <v>Household</v>
      </c>
      <c r="O73" s="133">
        <f t="shared" si="4"/>
        <v>0.7520014365</v>
      </c>
      <c r="P73" s="38" t="str">
        <f>VLOOKUP(E73,countries!A$2:E$250,3,false)</f>
        <v>Poland</v>
      </c>
      <c r="Q73" s="38" t="str">
        <f>VLOOKUP($E73,countries!$A$2:$E$250,4,false)</f>
        <v>Europe</v>
      </c>
      <c r="R73" s="38" t="str">
        <f>VLOOKUP($E73,countries!$A$2:$E$250,5,false)</f>
        <v>Eastern Europe</v>
      </c>
      <c r="S73" s="38">
        <f t="shared" si="5"/>
        <v>34</v>
      </c>
      <c r="T73" s="38" t="s">
        <v>148</v>
      </c>
      <c r="U73" s="38">
        <v>2011.0</v>
      </c>
      <c r="V73" s="38">
        <v>3.0</v>
      </c>
      <c r="W73" s="38" t="s">
        <v>106</v>
      </c>
      <c r="X73" s="38" t="s">
        <v>173</v>
      </c>
      <c r="Y73" s="38" t="s">
        <v>146</v>
      </c>
      <c r="Z73" s="38" t="s">
        <v>155</v>
      </c>
      <c r="AA73" s="113" t="str">
        <f t="array" ref="AA73">PROPER(G73)</f>
        <v>Online</v>
      </c>
    </row>
    <row r="74">
      <c r="A74" s="110">
        <v>1.42375361E8</v>
      </c>
      <c r="B74" s="131">
        <v>41678.0</v>
      </c>
      <c r="C74" s="131">
        <v>41689.0</v>
      </c>
      <c r="D74" s="110" t="s">
        <v>93</v>
      </c>
      <c r="E74" s="110" t="s">
        <v>129</v>
      </c>
      <c r="F74" s="110">
        <v>4594.0</v>
      </c>
      <c r="G74" s="38" t="s">
        <v>43</v>
      </c>
      <c r="H74" s="110">
        <v>888.0</v>
      </c>
      <c r="I74" s="132">
        <v>9.33</v>
      </c>
      <c r="J74" s="132">
        <v>6.92</v>
      </c>
      <c r="K74" s="39">
        <f t="shared" si="1"/>
        <v>8285.04</v>
      </c>
      <c r="L74" s="39">
        <f t="shared" si="2"/>
        <v>6144.96</v>
      </c>
      <c r="M74" s="39">
        <f t="shared" si="3"/>
        <v>2140.08</v>
      </c>
      <c r="N74" s="38" t="str">
        <f>VLOOKUP(F74,products!$A$2:$B$13,2,FALSE)</f>
        <v>Fruits</v>
      </c>
      <c r="O74" s="133">
        <f t="shared" si="4"/>
        <v>0.741693462</v>
      </c>
      <c r="P74" s="38" t="str">
        <f>VLOOKUP(E74,countries!A$2:E$250,3,false)</f>
        <v>Liechtenstein</v>
      </c>
      <c r="Q74" s="38" t="str">
        <f>VLOOKUP($E74,countries!$A$2:$E$250,4,false)</f>
        <v>Europe</v>
      </c>
      <c r="R74" s="38" t="str">
        <f>VLOOKUP($E74,countries!$A$2:$E$250,5,false)</f>
        <v>Western Europe</v>
      </c>
      <c r="S74" s="38">
        <f t="shared" si="5"/>
        <v>11</v>
      </c>
      <c r="T74" s="38" t="s">
        <v>156</v>
      </c>
      <c r="U74" s="38">
        <v>2014.0</v>
      </c>
      <c r="V74" s="38">
        <v>2.0</v>
      </c>
      <c r="W74" s="38" t="s">
        <v>129</v>
      </c>
      <c r="X74" s="38" t="s">
        <v>200</v>
      </c>
      <c r="Y74" s="38" t="s">
        <v>146</v>
      </c>
      <c r="Z74" s="38" t="s">
        <v>158</v>
      </c>
      <c r="AA74" s="113" t="str">
        <f t="array" ref="AA74">PROPER(G74)</f>
        <v>Online</v>
      </c>
    </row>
    <row r="75">
      <c r="A75" s="110">
        <v>1.42987763E8</v>
      </c>
      <c r="B75" s="131">
        <v>41504.0</v>
      </c>
      <c r="C75" s="131">
        <v>41518.0</v>
      </c>
      <c r="D75" s="110" t="s">
        <v>93</v>
      </c>
      <c r="E75" s="110" t="s">
        <v>121</v>
      </c>
      <c r="F75" s="110">
        <v>7940.0</v>
      </c>
      <c r="G75" s="38" t="s">
        <v>42</v>
      </c>
      <c r="H75" s="110">
        <v>2112.0</v>
      </c>
      <c r="I75" s="132">
        <v>668.27</v>
      </c>
      <c r="J75" s="132">
        <v>502.54</v>
      </c>
      <c r="K75" s="39">
        <f t="shared" si="1"/>
        <v>1411386.24</v>
      </c>
      <c r="L75" s="39">
        <f t="shared" si="2"/>
        <v>1061364.48</v>
      </c>
      <c r="M75" s="39">
        <f t="shared" si="3"/>
        <v>350021.76</v>
      </c>
      <c r="N75" s="38" t="str">
        <f>VLOOKUP(F75,products!$A$2:$B$13,2,FALSE)</f>
        <v>Household</v>
      </c>
      <c r="O75" s="133">
        <f t="shared" si="4"/>
        <v>0.7520014365</v>
      </c>
      <c r="P75" s="38" t="str">
        <f>VLOOKUP(E75,countries!A$2:E$250,3,false)</f>
        <v>Netherlands</v>
      </c>
      <c r="Q75" s="38" t="str">
        <f>VLOOKUP($E75,countries!$A$2:$E$250,4,false)</f>
        <v>Europe</v>
      </c>
      <c r="R75" s="38" t="str">
        <f>VLOOKUP($E75,countries!$A$2:$E$250,5,false)</f>
        <v>Western Europe</v>
      </c>
      <c r="S75" s="38">
        <f t="shared" si="5"/>
        <v>14</v>
      </c>
      <c r="T75" s="38" t="s">
        <v>148</v>
      </c>
      <c r="U75" s="38">
        <v>2013.0</v>
      </c>
      <c r="V75" s="38">
        <v>8.0</v>
      </c>
      <c r="W75" s="38" t="s">
        <v>121</v>
      </c>
      <c r="X75" s="38" t="s">
        <v>192</v>
      </c>
      <c r="Y75" s="38" t="s">
        <v>146</v>
      </c>
      <c r="Z75" s="38" t="s">
        <v>158</v>
      </c>
      <c r="AA75" s="113" t="str">
        <f t="array" ref="AA75">PROPER(G75)</f>
        <v>Offline</v>
      </c>
    </row>
    <row r="76">
      <c r="A76" s="110">
        <v>1.43414771E8</v>
      </c>
      <c r="B76" s="131">
        <v>41050.0</v>
      </c>
      <c r="C76" s="131">
        <v>41063.0</v>
      </c>
      <c r="D76" s="110" t="s">
        <v>95</v>
      </c>
      <c r="E76" s="110" t="s">
        <v>127</v>
      </c>
      <c r="F76" s="110">
        <v>7940.0</v>
      </c>
      <c r="G76" s="38" t="s">
        <v>42</v>
      </c>
      <c r="H76" s="110">
        <v>8473.0</v>
      </c>
      <c r="I76" s="132">
        <v>668.27</v>
      </c>
      <c r="J76" s="132">
        <v>502.54</v>
      </c>
      <c r="K76" s="39">
        <f t="shared" si="1"/>
        <v>5662251.71</v>
      </c>
      <c r="L76" s="39">
        <f t="shared" si="2"/>
        <v>4258021.42</v>
      </c>
      <c r="M76" s="39">
        <f t="shared" si="3"/>
        <v>1404230.29</v>
      </c>
      <c r="N76" s="38" t="str">
        <f>VLOOKUP(F76,products!$A$2:$B$13,2,FALSE)</f>
        <v>Household</v>
      </c>
      <c r="O76" s="133">
        <f t="shared" si="4"/>
        <v>0.7520014365</v>
      </c>
      <c r="P76" s="38" t="str">
        <f>VLOOKUP(E76,countries!A$2:E$250,3,false)</f>
        <v>Ireland</v>
      </c>
      <c r="Q76" s="38" t="str">
        <f>VLOOKUP($E76,countries!$A$2:$E$250,4,false)</f>
        <v>Europe</v>
      </c>
      <c r="R76" s="38" t="str">
        <f>VLOOKUP($E76,countries!$A$2:$E$250,5,false)</f>
        <v>Northern Europe</v>
      </c>
      <c r="S76" s="38">
        <f t="shared" si="5"/>
        <v>13</v>
      </c>
      <c r="T76" s="38" t="s">
        <v>148</v>
      </c>
      <c r="U76" s="38">
        <v>2012.0</v>
      </c>
      <c r="V76" s="38">
        <v>5.0</v>
      </c>
      <c r="W76" s="38" t="s">
        <v>127</v>
      </c>
      <c r="X76" s="38" t="s">
        <v>198</v>
      </c>
      <c r="Y76" s="38" t="s">
        <v>146</v>
      </c>
      <c r="Z76" s="38" t="s">
        <v>170</v>
      </c>
      <c r="AA76" s="113" t="str">
        <f t="array" ref="AA76">PROPER(G76)</f>
        <v>Offline</v>
      </c>
    </row>
    <row r="77">
      <c r="A77" s="110">
        <v>1.44282948E8</v>
      </c>
      <c r="B77" s="131">
        <v>41468.0</v>
      </c>
      <c r="C77" s="131">
        <v>41487.0</v>
      </c>
      <c r="D77" s="110" t="s">
        <v>95</v>
      </c>
      <c r="E77" s="110" t="s">
        <v>130</v>
      </c>
      <c r="F77" s="110">
        <v>2103.0</v>
      </c>
      <c r="G77" s="38" t="s">
        <v>43</v>
      </c>
      <c r="H77" s="110">
        <v>5386.0</v>
      </c>
      <c r="I77" s="132">
        <v>205.7</v>
      </c>
      <c r="J77" s="132">
        <v>117.11</v>
      </c>
      <c r="K77" s="39">
        <f t="shared" si="1"/>
        <v>1107900.2</v>
      </c>
      <c r="L77" s="39">
        <f t="shared" si="2"/>
        <v>630754.46</v>
      </c>
      <c r="M77" s="39">
        <f t="shared" si="3"/>
        <v>477145.74</v>
      </c>
      <c r="N77" s="38" t="str">
        <f>VLOOKUP(F77,products!$A$2:$B$13,2,FALSE)</f>
        <v>Cereal</v>
      </c>
      <c r="O77" s="133">
        <f t="shared" si="4"/>
        <v>0.5693242586</v>
      </c>
      <c r="P77" s="38" t="str">
        <f>VLOOKUP(E77,countries!A$2:E$250,3,false)</f>
        <v>Finland</v>
      </c>
      <c r="Q77" s="38" t="str">
        <f>VLOOKUP($E77,countries!$A$2:$E$250,4,false)</f>
        <v>Europe</v>
      </c>
      <c r="R77" s="38" t="str">
        <f>VLOOKUP($E77,countries!$A$2:$E$250,5,false)</f>
        <v>Northern Europe</v>
      </c>
      <c r="S77" s="38">
        <f t="shared" si="5"/>
        <v>19</v>
      </c>
      <c r="T77" s="38" t="s">
        <v>144</v>
      </c>
      <c r="U77" s="38">
        <v>2013.0</v>
      </c>
      <c r="V77" s="38">
        <v>7.0</v>
      </c>
      <c r="W77" s="38" t="s">
        <v>130</v>
      </c>
      <c r="X77" s="38" t="s">
        <v>201</v>
      </c>
      <c r="Y77" s="38" t="s">
        <v>146</v>
      </c>
      <c r="Z77" s="38" t="s">
        <v>170</v>
      </c>
      <c r="AA77" s="113" t="str">
        <f t="array" ref="AA77">PROPER(G77)</f>
        <v>Online</v>
      </c>
    </row>
    <row r="78">
      <c r="A78" s="110">
        <v>1.44743001E8</v>
      </c>
      <c r="B78" s="131">
        <v>41345.0</v>
      </c>
      <c r="C78" s="131">
        <v>41385.0</v>
      </c>
      <c r="D78" s="110" t="s">
        <v>89</v>
      </c>
      <c r="E78" s="110" t="s">
        <v>104</v>
      </c>
      <c r="F78" s="110">
        <v>7331.0</v>
      </c>
      <c r="G78" s="38" t="s">
        <v>42</v>
      </c>
      <c r="H78" s="110">
        <v>1525.0</v>
      </c>
      <c r="I78" s="132">
        <v>255.28</v>
      </c>
      <c r="J78" s="132">
        <v>159.42</v>
      </c>
      <c r="K78" s="39">
        <f t="shared" si="1"/>
        <v>389302</v>
      </c>
      <c r="L78" s="39">
        <f t="shared" si="2"/>
        <v>243115.5</v>
      </c>
      <c r="M78" s="39">
        <f t="shared" si="3"/>
        <v>146186.5</v>
      </c>
      <c r="N78" s="38" t="str">
        <f>VLOOKUP(F78,products!$A$2:$B$13,2,FALSE)</f>
        <v>Baby Food</v>
      </c>
      <c r="O78" s="133">
        <f t="shared" si="4"/>
        <v>0.6244907552</v>
      </c>
      <c r="P78" s="38" t="str">
        <f>VLOOKUP(E78,countries!A$2:E$250,3,false)</f>
        <v>Slovenia</v>
      </c>
      <c r="Q78" s="38" t="str">
        <f>VLOOKUP($E78,countries!$A$2:$E$250,4,false)</f>
        <v>Europe</v>
      </c>
      <c r="R78" s="38" t="str">
        <f>VLOOKUP($E78,countries!$A$2:$E$250,5,false)</f>
        <v>Southern Europe</v>
      </c>
      <c r="S78" s="38">
        <f t="shared" si="5"/>
        <v>40</v>
      </c>
      <c r="T78" s="38" t="s">
        <v>161</v>
      </c>
      <c r="U78" s="38">
        <v>2013.0</v>
      </c>
      <c r="V78" s="38">
        <v>3.0</v>
      </c>
      <c r="W78" s="38" t="s">
        <v>104</v>
      </c>
      <c r="X78" s="38" t="s">
        <v>171</v>
      </c>
      <c r="Y78" s="38" t="s">
        <v>146</v>
      </c>
      <c r="Z78" s="38" t="s">
        <v>147</v>
      </c>
      <c r="AA78" s="113" t="str">
        <f t="array" ref="AA78">PROPER(G78)</f>
        <v>Offline</v>
      </c>
    </row>
    <row r="79">
      <c r="A79" s="110">
        <v>1.44978606E8</v>
      </c>
      <c r="B79" s="131">
        <v>40549.0</v>
      </c>
      <c r="C79" s="131">
        <v>40593.0</v>
      </c>
      <c r="D79" s="110" t="s">
        <v>10</v>
      </c>
      <c r="E79" s="110" t="s">
        <v>127</v>
      </c>
      <c r="F79" s="110">
        <v>8681.0</v>
      </c>
      <c r="G79" s="38" t="s">
        <v>43</v>
      </c>
      <c r="H79" s="110">
        <v>1246.0</v>
      </c>
      <c r="I79" s="132">
        <v>651.21</v>
      </c>
      <c r="J79" s="132">
        <v>524.96</v>
      </c>
      <c r="K79" s="39">
        <f t="shared" si="1"/>
        <v>811407.66</v>
      </c>
      <c r="L79" s="39">
        <f t="shared" si="2"/>
        <v>654100.16</v>
      </c>
      <c r="M79" s="39">
        <f t="shared" si="3"/>
        <v>157307.5</v>
      </c>
      <c r="N79" s="38" t="str">
        <f>VLOOKUP(F79,products!$A$2:$B$13,2,FALSE)</f>
        <v>Office Supplies</v>
      </c>
      <c r="O79" s="133">
        <f t="shared" si="4"/>
        <v>0.806130127</v>
      </c>
      <c r="P79" s="38" t="str">
        <f>VLOOKUP(E79,countries!A$2:E$250,3,false)</f>
        <v>Ireland</v>
      </c>
      <c r="Q79" s="38" t="str">
        <f>VLOOKUP($E79,countries!$A$2:$E$250,4,false)</f>
        <v>Europe</v>
      </c>
      <c r="R79" s="38" t="str">
        <f>VLOOKUP($E79,countries!$A$2:$E$250,5,false)</f>
        <v>Northern Europe</v>
      </c>
      <c r="S79" s="38">
        <f t="shared" si="5"/>
        <v>44</v>
      </c>
      <c r="T79" s="38" t="s">
        <v>153</v>
      </c>
      <c r="U79" s="38">
        <v>2011.0</v>
      </c>
      <c r="V79" s="38">
        <v>1.0</v>
      </c>
      <c r="W79" s="38" t="s">
        <v>127</v>
      </c>
      <c r="X79" s="38" t="s">
        <v>198</v>
      </c>
      <c r="Y79" s="38" t="s">
        <v>146</v>
      </c>
      <c r="Z79" s="38" t="s">
        <v>170</v>
      </c>
      <c r="AA79" s="113" t="str">
        <f t="array" ref="AA79">PROPER(G79)</f>
        <v>Online</v>
      </c>
    </row>
    <row r="80">
      <c r="A80" s="110">
        <v>1.46349751E8</v>
      </c>
      <c r="B80" s="131">
        <v>42856.0</v>
      </c>
      <c r="C80" s="131">
        <v>42899.0</v>
      </c>
      <c r="D80" s="110" t="s">
        <v>89</v>
      </c>
      <c r="E80" s="110" t="s">
        <v>110</v>
      </c>
      <c r="F80" s="110">
        <v>5988.0</v>
      </c>
      <c r="G80" s="38" t="s">
        <v>43</v>
      </c>
      <c r="H80" s="110">
        <v>6999.0</v>
      </c>
      <c r="I80" s="132">
        <v>154.06</v>
      </c>
      <c r="J80" s="132">
        <v>90.93</v>
      </c>
      <c r="K80" s="39">
        <f t="shared" si="1"/>
        <v>1078265.94</v>
      </c>
      <c r="L80" s="39">
        <f t="shared" si="2"/>
        <v>636419.07</v>
      </c>
      <c r="M80" s="39">
        <f t="shared" si="3"/>
        <v>441846.87</v>
      </c>
      <c r="N80" s="38" t="str">
        <f>VLOOKUP(F80,products!$A$2:$B$13,2,FALSE)</f>
        <v>Vegetables</v>
      </c>
      <c r="O80" s="133">
        <f t="shared" si="4"/>
        <v>0.5902245878</v>
      </c>
      <c r="P80" s="38" t="str">
        <f>VLOOKUP(E80,countries!A$2:E$250,3,false)</f>
        <v>Lithuania</v>
      </c>
      <c r="Q80" s="38" t="str">
        <f>VLOOKUP($E80,countries!$A$2:$E$250,4,false)</f>
        <v>Europe</v>
      </c>
      <c r="R80" s="38" t="str">
        <f>VLOOKUP($E80,countries!$A$2:$E$250,5,false)</f>
        <v>Northern Europe</v>
      </c>
      <c r="S80" s="38">
        <f t="shared" si="5"/>
        <v>43</v>
      </c>
      <c r="T80" s="38" t="s">
        <v>159</v>
      </c>
      <c r="U80" s="38">
        <v>2017.0</v>
      </c>
      <c r="V80" s="38">
        <v>5.0</v>
      </c>
      <c r="W80" s="38" t="s">
        <v>110</v>
      </c>
      <c r="X80" s="38" t="s">
        <v>177</v>
      </c>
      <c r="Y80" s="38" t="s">
        <v>146</v>
      </c>
      <c r="Z80" s="38" t="s">
        <v>170</v>
      </c>
      <c r="AA80" s="113" t="str">
        <f t="array" ref="AA80">PROPER(G80)</f>
        <v>Online</v>
      </c>
    </row>
    <row r="81">
      <c r="A81" s="110">
        <v>1.46545875E8</v>
      </c>
      <c r="B81" s="131">
        <v>40874.0</v>
      </c>
      <c r="C81" s="131">
        <v>40915.0</v>
      </c>
      <c r="D81" s="110" t="s">
        <v>89</v>
      </c>
      <c r="E81" s="110" t="s">
        <v>96</v>
      </c>
      <c r="F81" s="110">
        <v>8293.0</v>
      </c>
      <c r="G81" s="38" t="s">
        <v>42</v>
      </c>
      <c r="H81" s="110">
        <v>5036.0</v>
      </c>
      <c r="I81" s="132">
        <v>437.2</v>
      </c>
      <c r="J81" s="132">
        <v>263.33</v>
      </c>
      <c r="K81" s="39">
        <f t="shared" si="1"/>
        <v>2201739.2</v>
      </c>
      <c r="L81" s="39">
        <f t="shared" si="2"/>
        <v>1326129.88</v>
      </c>
      <c r="M81" s="39">
        <f t="shared" si="3"/>
        <v>875609.32</v>
      </c>
      <c r="N81" s="38" t="str">
        <f>VLOOKUP(F81,products!$A$2:$B$13,2,FALSE)</f>
        <v>Cosmetics</v>
      </c>
      <c r="O81" s="133">
        <f t="shared" si="4"/>
        <v>0.6023101555</v>
      </c>
      <c r="P81" s="38" t="str">
        <f>VLOOKUP(E81,countries!A$2:E$250,3,false)</f>
        <v>Slovakia</v>
      </c>
      <c r="Q81" s="38" t="str">
        <f>VLOOKUP($E81,countries!$A$2:$E$250,4,false)</f>
        <v>Europe</v>
      </c>
      <c r="R81" s="38" t="str">
        <f>VLOOKUP($E81,countries!$A$2:$E$250,5,false)</f>
        <v>Eastern Europe</v>
      </c>
      <c r="S81" s="38">
        <f t="shared" si="5"/>
        <v>41</v>
      </c>
      <c r="T81" s="38" t="s">
        <v>178</v>
      </c>
      <c r="U81" s="38">
        <v>2011.0</v>
      </c>
      <c r="V81" s="38">
        <v>11.0</v>
      </c>
      <c r="W81" s="38" t="s">
        <v>96</v>
      </c>
      <c r="X81" s="38" t="s">
        <v>154</v>
      </c>
      <c r="Y81" s="38" t="s">
        <v>146</v>
      </c>
      <c r="Z81" s="38" t="s">
        <v>155</v>
      </c>
      <c r="AA81" s="113" t="str">
        <f t="array" ref="AA81">PROPER(G81)</f>
        <v>Offline</v>
      </c>
    </row>
    <row r="82">
      <c r="A82" s="110">
        <v>1.47826898E8</v>
      </c>
      <c r="B82" s="131">
        <v>42276.0</v>
      </c>
      <c r="C82" s="131">
        <v>42313.0</v>
      </c>
      <c r="D82" s="110" t="s">
        <v>89</v>
      </c>
      <c r="E82" s="110" t="s">
        <v>109</v>
      </c>
      <c r="F82" s="110">
        <v>8293.0</v>
      </c>
      <c r="G82" s="38" t="s">
        <v>43</v>
      </c>
      <c r="H82" s="110">
        <v>4119.0</v>
      </c>
      <c r="I82" s="132">
        <v>437.2</v>
      </c>
      <c r="J82" s="132">
        <v>263.33</v>
      </c>
      <c r="K82" s="39">
        <f t="shared" si="1"/>
        <v>1800826.8</v>
      </c>
      <c r="L82" s="39">
        <f t="shared" si="2"/>
        <v>1084656.27</v>
      </c>
      <c r="M82" s="39">
        <f t="shared" si="3"/>
        <v>716170.53</v>
      </c>
      <c r="N82" s="38" t="str">
        <f>VLOOKUP(F82,products!$A$2:$B$13,2,FALSE)</f>
        <v>Cosmetics</v>
      </c>
      <c r="O82" s="133">
        <f t="shared" si="4"/>
        <v>0.6023101555</v>
      </c>
      <c r="P82" s="38" t="str">
        <f>VLOOKUP(E82,countries!A$2:E$250,3,false)</f>
        <v>Belgium</v>
      </c>
      <c r="Q82" s="38" t="str">
        <f>VLOOKUP($E82,countries!$A$2:$E$250,4,false)</f>
        <v>Europe</v>
      </c>
      <c r="R82" s="38" t="str">
        <f>VLOOKUP($E82,countries!$A$2:$E$250,5,false)</f>
        <v>Western Europe</v>
      </c>
      <c r="S82" s="38">
        <f t="shared" si="5"/>
        <v>37</v>
      </c>
      <c r="T82" s="38" t="s">
        <v>178</v>
      </c>
      <c r="U82" s="38">
        <v>2015.0</v>
      </c>
      <c r="V82" s="38">
        <v>9.0</v>
      </c>
      <c r="W82" s="38" t="s">
        <v>109</v>
      </c>
      <c r="X82" s="38" t="s">
        <v>176</v>
      </c>
      <c r="Y82" s="38" t="s">
        <v>146</v>
      </c>
      <c r="Z82" s="38" t="s">
        <v>158</v>
      </c>
      <c r="AA82" s="113" t="str">
        <f t="array" ref="AA82">PROPER(G82)</f>
        <v>Online</v>
      </c>
    </row>
    <row r="83">
      <c r="A83" s="110">
        <v>1.48894631E8</v>
      </c>
      <c r="B83" s="131">
        <v>41536.0</v>
      </c>
      <c r="C83" s="131">
        <v>41542.0</v>
      </c>
      <c r="D83" s="110" t="s">
        <v>95</v>
      </c>
      <c r="E83" s="110" t="s">
        <v>106</v>
      </c>
      <c r="F83" s="110">
        <v>8681.0</v>
      </c>
      <c r="G83" s="38" t="s">
        <v>43</v>
      </c>
      <c r="H83" s="110">
        <v>85.0</v>
      </c>
      <c r="I83" s="132">
        <v>651.21</v>
      </c>
      <c r="J83" s="132">
        <v>524.96</v>
      </c>
      <c r="K83" s="39">
        <f t="shared" si="1"/>
        <v>55352.85</v>
      </c>
      <c r="L83" s="39">
        <f t="shared" si="2"/>
        <v>44621.6</v>
      </c>
      <c r="M83" s="39">
        <f t="shared" si="3"/>
        <v>10731.25</v>
      </c>
      <c r="N83" s="38" t="str">
        <f>VLOOKUP(F83,products!$A$2:$B$13,2,FALSE)</f>
        <v>Office Supplies</v>
      </c>
      <c r="O83" s="133">
        <f t="shared" si="4"/>
        <v>0.806130127</v>
      </c>
      <c r="P83" s="38" t="str">
        <f>VLOOKUP(E83,countries!A$2:E$250,3,false)</f>
        <v>Poland</v>
      </c>
      <c r="Q83" s="38" t="str">
        <f>VLOOKUP($E83,countries!$A$2:$E$250,4,false)</f>
        <v>Europe</v>
      </c>
      <c r="R83" s="38" t="str">
        <f>VLOOKUP($E83,countries!$A$2:$E$250,5,false)</f>
        <v>Eastern Europe</v>
      </c>
      <c r="S83" s="38">
        <f t="shared" si="5"/>
        <v>6</v>
      </c>
      <c r="T83" s="38" t="s">
        <v>153</v>
      </c>
      <c r="U83" s="38">
        <v>2013.0</v>
      </c>
      <c r="V83" s="38">
        <v>9.0</v>
      </c>
      <c r="W83" s="38" t="s">
        <v>106</v>
      </c>
      <c r="X83" s="38" t="s">
        <v>173</v>
      </c>
      <c r="Y83" s="38" t="s">
        <v>146</v>
      </c>
      <c r="Z83" s="38" t="s">
        <v>155</v>
      </c>
      <c r="AA83" s="113" t="str">
        <f t="array" ref="AA83">PROPER(G83)</f>
        <v>Online</v>
      </c>
    </row>
    <row r="84">
      <c r="A84" s="110">
        <v>1.49274003E8</v>
      </c>
      <c r="B84" s="131">
        <v>41393.0</v>
      </c>
      <c r="C84" s="131">
        <v>41423.0</v>
      </c>
      <c r="D84" s="110" t="s">
        <v>10</v>
      </c>
      <c r="E84" s="110" t="s">
        <v>90</v>
      </c>
      <c r="F84" s="110">
        <v>7940.0</v>
      </c>
      <c r="G84" s="38" t="s">
        <v>42</v>
      </c>
      <c r="H84" s="110">
        <v>2350.0</v>
      </c>
      <c r="I84" s="132">
        <v>668.27</v>
      </c>
      <c r="J84" s="132">
        <v>502.54</v>
      </c>
      <c r="K84" s="39">
        <f t="shared" si="1"/>
        <v>1570434.5</v>
      </c>
      <c r="L84" s="39">
        <f t="shared" si="2"/>
        <v>1180969</v>
      </c>
      <c r="M84" s="39">
        <f t="shared" si="3"/>
        <v>389465.5</v>
      </c>
      <c r="N84" s="38" t="str">
        <f>VLOOKUP(F84,products!$A$2:$B$13,2,FALSE)</f>
        <v>Household</v>
      </c>
      <c r="O84" s="133">
        <f t="shared" si="4"/>
        <v>0.7520014365</v>
      </c>
      <c r="P84" s="38" t="str">
        <f>VLOOKUP(E84,countries!A$2:E$250,3,false)</f>
        <v>Norway</v>
      </c>
      <c r="Q84" s="38" t="str">
        <f>VLOOKUP($E84,countries!$A$2:$E$250,4,false)</f>
        <v>Europe</v>
      </c>
      <c r="R84" s="38" t="str">
        <f>VLOOKUP($E84,countries!$A$2:$E$250,5,false)</f>
        <v>Northern Europe</v>
      </c>
      <c r="S84" s="38">
        <f t="shared" si="5"/>
        <v>30</v>
      </c>
      <c r="T84" s="38" t="s">
        <v>148</v>
      </c>
      <c r="U84" s="38">
        <v>2013.0</v>
      </c>
      <c r="V84" s="38">
        <v>4.0</v>
      </c>
      <c r="W84" s="38" t="s">
        <v>90</v>
      </c>
      <c r="X84" s="38" t="s">
        <v>183</v>
      </c>
      <c r="Y84" s="38" t="s">
        <v>146</v>
      </c>
      <c r="Z84" s="38" t="s">
        <v>170</v>
      </c>
      <c r="AA84" s="113" t="str">
        <f t="array" ref="AA84">PROPER(G84)</f>
        <v>Offline</v>
      </c>
    </row>
    <row r="85">
      <c r="A85" s="110">
        <v>1.50293242E8</v>
      </c>
      <c r="B85" s="131">
        <v>42143.0</v>
      </c>
      <c r="C85" s="131">
        <v>42176.0</v>
      </c>
      <c r="D85" s="110" t="s">
        <v>95</v>
      </c>
      <c r="E85" s="110" t="e">
        <v>#N/A</v>
      </c>
      <c r="F85" s="110">
        <v>8681.0</v>
      </c>
      <c r="G85" s="38" t="s">
        <v>42</v>
      </c>
      <c r="H85" s="110">
        <v>3965.0</v>
      </c>
      <c r="I85" s="132">
        <v>651.21</v>
      </c>
      <c r="J85" s="132">
        <v>524.96</v>
      </c>
      <c r="K85" s="39">
        <f t="shared" si="1"/>
        <v>2582047.65</v>
      </c>
      <c r="L85" s="39">
        <f t="shared" si="2"/>
        <v>2081466.4</v>
      </c>
      <c r="M85" s="39">
        <f t="shared" si="3"/>
        <v>500581.25</v>
      </c>
      <c r="N85" s="38" t="str">
        <f>VLOOKUP(F85,products!$A$2:$B$13,2,FALSE)</f>
        <v>Office Supplies</v>
      </c>
      <c r="O85" s="133">
        <f t="shared" si="4"/>
        <v>0.806130127</v>
      </c>
      <c r="P85" s="38" t="str">
        <f>VLOOKUP(E85,countries!A$2:E$250,3,false)</f>
        <v>#N/A</v>
      </c>
      <c r="Q85" s="38" t="str">
        <f>VLOOKUP($E85,countries!$A$2:$E$250,4,false)</f>
        <v>#N/A</v>
      </c>
      <c r="R85" s="38" t="str">
        <f>VLOOKUP($E85,countries!$A$2:$E$250,5,false)</f>
        <v>#N/A</v>
      </c>
      <c r="S85" s="38">
        <f t="shared" si="5"/>
        <v>33</v>
      </c>
      <c r="T85" s="38" t="s">
        <v>153</v>
      </c>
      <c r="U85" s="38">
        <v>2015.0</v>
      </c>
      <c r="V85" s="38">
        <v>5.0</v>
      </c>
      <c r="W85" s="38" t="s">
        <v>92</v>
      </c>
      <c r="X85" s="38" t="s">
        <v>149</v>
      </c>
      <c r="Y85" s="38" t="s">
        <v>149</v>
      </c>
      <c r="Z85" s="38" t="s">
        <v>149</v>
      </c>
      <c r="AA85" s="113" t="str">
        <f t="array" ref="AA85">PROPER(G85)</f>
        <v>Offline</v>
      </c>
    </row>
    <row r="86">
      <c r="A86" s="110">
        <v>1.51312482E8</v>
      </c>
      <c r="B86" s="131">
        <v>42892.0</v>
      </c>
      <c r="C86" s="131">
        <v>42928.0</v>
      </c>
      <c r="D86" s="110" t="s">
        <v>95</v>
      </c>
      <c r="E86" s="110" t="s">
        <v>114</v>
      </c>
      <c r="F86" s="110">
        <v>8293.0</v>
      </c>
      <c r="G86" s="38" t="s">
        <v>43</v>
      </c>
      <c r="H86" s="110">
        <v>5581.0</v>
      </c>
      <c r="I86" s="132">
        <v>437.2</v>
      </c>
      <c r="J86" s="132">
        <v>263.33</v>
      </c>
      <c r="K86" s="39">
        <f t="shared" si="1"/>
        <v>2440013.2</v>
      </c>
      <c r="L86" s="39">
        <f t="shared" si="2"/>
        <v>1469644.73</v>
      </c>
      <c r="M86" s="39">
        <f t="shared" si="3"/>
        <v>970368.47</v>
      </c>
      <c r="N86" s="38" t="str">
        <f>VLOOKUP(F86,products!$A$2:$B$13,2,FALSE)</f>
        <v>Cosmetics</v>
      </c>
      <c r="O86" s="133">
        <f t="shared" si="4"/>
        <v>0.6023101555</v>
      </c>
      <c r="P86" s="38" t="str">
        <f>VLOOKUP(E86,countries!A$2:E$250,3,false)</f>
        <v>Czech Republic</v>
      </c>
      <c r="Q86" s="38" t="str">
        <f>VLOOKUP($E86,countries!$A$2:$E$250,4,false)</f>
        <v>Europe</v>
      </c>
      <c r="R86" s="38" t="str">
        <f>VLOOKUP($E86,countries!$A$2:$E$250,5,false)</f>
        <v>Eastern Europe</v>
      </c>
      <c r="S86" s="38">
        <f t="shared" si="5"/>
        <v>36</v>
      </c>
      <c r="T86" s="38" t="s">
        <v>178</v>
      </c>
      <c r="U86" s="38">
        <v>2017.0</v>
      </c>
      <c r="V86" s="38">
        <v>6.0</v>
      </c>
      <c r="W86" s="38" t="s">
        <v>114</v>
      </c>
      <c r="X86" s="38" t="s">
        <v>184</v>
      </c>
      <c r="Y86" s="38" t="s">
        <v>146</v>
      </c>
      <c r="Z86" s="38" t="s">
        <v>155</v>
      </c>
      <c r="AA86" s="113" t="str">
        <f t="array" ref="AA86">PROPER(G86)</f>
        <v>Online</v>
      </c>
    </row>
    <row r="87">
      <c r="A87" s="110">
        <v>1.52191388E8</v>
      </c>
      <c r="B87" s="131">
        <v>41047.0</v>
      </c>
      <c r="C87" s="131">
        <v>41082.0</v>
      </c>
      <c r="D87" s="110" t="s">
        <v>93</v>
      </c>
      <c r="E87" s="110" t="s">
        <v>131</v>
      </c>
      <c r="F87" s="110">
        <v>7331.0</v>
      </c>
      <c r="G87" s="38" t="s">
        <v>42</v>
      </c>
      <c r="H87" s="110">
        <v>5669.0</v>
      </c>
      <c r="I87" s="132">
        <v>255.28</v>
      </c>
      <c r="J87" s="132">
        <v>159.42</v>
      </c>
      <c r="K87" s="39">
        <f t="shared" si="1"/>
        <v>1447182.32</v>
      </c>
      <c r="L87" s="39">
        <f t="shared" si="2"/>
        <v>903751.98</v>
      </c>
      <c r="M87" s="39">
        <f t="shared" si="3"/>
        <v>543430.34</v>
      </c>
      <c r="N87" s="38" t="str">
        <f>VLOOKUP(F87,products!$A$2:$B$13,2,FALSE)</f>
        <v>Baby Food</v>
      </c>
      <c r="O87" s="133">
        <f t="shared" si="4"/>
        <v>0.6244907552</v>
      </c>
      <c r="P87" s="38" t="str">
        <f>VLOOKUP(E87,countries!A$2:E$250,3,false)</f>
        <v>Albania</v>
      </c>
      <c r="Q87" s="38" t="str">
        <f>VLOOKUP($E87,countries!$A$2:$E$250,4,false)</f>
        <v>Europe</v>
      </c>
      <c r="R87" s="38" t="str">
        <f>VLOOKUP($E87,countries!$A$2:$E$250,5,false)</f>
        <v>Southern Europe</v>
      </c>
      <c r="S87" s="38">
        <f t="shared" si="5"/>
        <v>35</v>
      </c>
      <c r="T87" s="38" t="s">
        <v>161</v>
      </c>
      <c r="U87" s="38">
        <v>2012.0</v>
      </c>
      <c r="V87" s="38">
        <v>5.0</v>
      </c>
      <c r="W87" s="38" t="s">
        <v>131</v>
      </c>
      <c r="X87" s="38" t="s">
        <v>202</v>
      </c>
      <c r="Y87" s="38" t="s">
        <v>146</v>
      </c>
      <c r="Z87" s="38" t="s">
        <v>147</v>
      </c>
      <c r="AA87" s="113" t="str">
        <f t="array" ref="AA87">PROPER(G87)</f>
        <v>Offline</v>
      </c>
    </row>
    <row r="88">
      <c r="A88" s="110">
        <v>1.52411115E8</v>
      </c>
      <c r="B88" s="131">
        <v>41278.0</v>
      </c>
      <c r="C88" s="131">
        <v>41326.0</v>
      </c>
      <c r="D88" s="110" t="s">
        <v>95</v>
      </c>
      <c r="E88" s="110" t="s">
        <v>132</v>
      </c>
      <c r="F88" s="110">
        <v>8875.0</v>
      </c>
      <c r="G88" s="38" t="s">
        <v>43</v>
      </c>
      <c r="H88" s="110">
        <v>691.0</v>
      </c>
      <c r="I88" s="132">
        <v>421.89</v>
      </c>
      <c r="J88" s="132">
        <v>364.69</v>
      </c>
      <c r="K88" s="39">
        <f t="shared" si="1"/>
        <v>291525.99</v>
      </c>
      <c r="L88" s="39">
        <f t="shared" si="2"/>
        <v>252000.79</v>
      </c>
      <c r="M88" s="39">
        <f t="shared" si="3"/>
        <v>39525.2</v>
      </c>
      <c r="N88" s="38" t="str">
        <f>VLOOKUP(F88,products!$A$2:$B$13,2,FALSE)</f>
        <v>Meat</v>
      </c>
      <c r="O88" s="133">
        <f t="shared" si="4"/>
        <v>0.8644196354</v>
      </c>
      <c r="P88" s="38" t="str">
        <f>VLOOKUP(E88,countries!A$2:E$250,3,false)</f>
        <v>Sweden</v>
      </c>
      <c r="Q88" s="38" t="str">
        <f>VLOOKUP($E88,countries!$A$2:$E$250,4,false)</f>
        <v>Europe</v>
      </c>
      <c r="R88" s="38" t="str">
        <f>VLOOKUP($E88,countries!$A$2:$E$250,5,false)</f>
        <v>Northern Europe</v>
      </c>
      <c r="S88" s="38">
        <f t="shared" si="5"/>
        <v>48</v>
      </c>
      <c r="T88" s="38" t="s">
        <v>167</v>
      </c>
      <c r="U88" s="38">
        <v>2013.0</v>
      </c>
      <c r="V88" s="38">
        <v>1.0</v>
      </c>
      <c r="W88" s="38" t="s">
        <v>132</v>
      </c>
      <c r="X88" s="38" t="s">
        <v>203</v>
      </c>
      <c r="Y88" s="38" t="s">
        <v>146</v>
      </c>
      <c r="Z88" s="38" t="s">
        <v>170</v>
      </c>
      <c r="AA88" s="113" t="str">
        <f t="array" ref="AA88">PROPER(G88)</f>
        <v>Online</v>
      </c>
    </row>
    <row r="89">
      <c r="A89" s="110">
        <v>1.52505099E8</v>
      </c>
      <c r="B89" s="131">
        <v>41036.0</v>
      </c>
      <c r="C89" s="131">
        <v>41048.0</v>
      </c>
      <c r="D89" s="110" t="s">
        <v>89</v>
      </c>
      <c r="E89" s="110" t="s">
        <v>120</v>
      </c>
      <c r="F89" s="110">
        <v>2455.0</v>
      </c>
      <c r="G89" s="38" t="s">
        <v>42</v>
      </c>
      <c r="H89" s="110">
        <v>8503.0</v>
      </c>
      <c r="I89" s="132">
        <v>109.28</v>
      </c>
      <c r="J89" s="132">
        <v>35.84</v>
      </c>
      <c r="K89" s="39">
        <f t="shared" si="1"/>
        <v>929207.84</v>
      </c>
      <c r="L89" s="39">
        <f t="shared" si="2"/>
        <v>304747.52</v>
      </c>
      <c r="M89" s="39">
        <f t="shared" si="3"/>
        <v>624460.32</v>
      </c>
      <c r="N89" s="38" t="str">
        <f>VLOOKUP(F89,products!$A$2:$B$13,2,FALSE)</f>
        <v>Clothes</v>
      </c>
      <c r="O89" s="133">
        <f t="shared" si="4"/>
        <v>0.3279648609</v>
      </c>
      <c r="P89" s="38" t="str">
        <f>VLOOKUP(E89,countries!A$2:E$250,3,false)</f>
        <v>San Marino</v>
      </c>
      <c r="Q89" s="38" t="str">
        <f>VLOOKUP($E89,countries!$A$2:$E$250,4,false)</f>
        <v>Europe</v>
      </c>
      <c r="R89" s="38" t="str">
        <f>VLOOKUP($E89,countries!$A$2:$E$250,5,false)</f>
        <v>Southern Europe</v>
      </c>
      <c r="S89" s="38">
        <f t="shared" si="5"/>
        <v>12</v>
      </c>
      <c r="T89" s="38" t="s">
        <v>150</v>
      </c>
      <c r="U89" s="38">
        <v>2012.0</v>
      </c>
      <c r="V89" s="38">
        <v>5.0</v>
      </c>
      <c r="W89" s="38" t="s">
        <v>120</v>
      </c>
      <c r="X89" s="38" t="s">
        <v>191</v>
      </c>
      <c r="Y89" s="38" t="s">
        <v>146</v>
      </c>
      <c r="Z89" s="38" t="s">
        <v>147</v>
      </c>
      <c r="AA89" s="113" t="str">
        <f t="array" ref="AA89">PROPER(G89)</f>
        <v>Offline</v>
      </c>
    </row>
    <row r="90">
      <c r="A90" s="110">
        <v>1.52746713E8</v>
      </c>
      <c r="B90" s="131">
        <v>40300.0</v>
      </c>
      <c r="C90" s="131">
        <v>40306.0</v>
      </c>
      <c r="D90" s="110" t="s">
        <v>10</v>
      </c>
      <c r="E90" s="110" t="s">
        <v>133</v>
      </c>
      <c r="F90" s="110">
        <v>8681.0</v>
      </c>
      <c r="G90" s="38" t="s">
        <v>42</v>
      </c>
      <c r="H90" s="110">
        <v>2.0</v>
      </c>
      <c r="I90" s="132">
        <v>651.21</v>
      </c>
      <c r="J90" s="132">
        <v>524.96</v>
      </c>
      <c r="K90" s="39">
        <f t="shared" si="1"/>
        <v>1302.42</v>
      </c>
      <c r="L90" s="39">
        <f t="shared" si="2"/>
        <v>1049.92</v>
      </c>
      <c r="M90" s="39">
        <f t="shared" si="3"/>
        <v>252.5</v>
      </c>
      <c r="N90" s="38" t="str">
        <f>VLOOKUP(F90,products!$A$2:$B$13,2,FALSE)</f>
        <v>Office Supplies</v>
      </c>
      <c r="O90" s="133">
        <f t="shared" si="4"/>
        <v>0.806130127</v>
      </c>
      <c r="P90" s="38" t="str">
        <f>VLOOKUP(E90,countries!A$2:E$250,3,false)</f>
        <v>Bosnia and Herzegovina</v>
      </c>
      <c r="Q90" s="38" t="str">
        <f>VLOOKUP($E90,countries!$A$2:$E$250,4,false)</f>
        <v>Europe</v>
      </c>
      <c r="R90" s="38" t="str">
        <f>VLOOKUP($E90,countries!$A$2:$E$250,5,false)</f>
        <v>Southern Europe</v>
      </c>
      <c r="S90" s="38">
        <f t="shared" si="5"/>
        <v>6</v>
      </c>
      <c r="T90" s="38" t="s">
        <v>153</v>
      </c>
      <c r="U90" s="38">
        <v>2010.0</v>
      </c>
      <c r="V90" s="38">
        <v>5.0</v>
      </c>
      <c r="W90" s="38" t="s">
        <v>133</v>
      </c>
      <c r="X90" s="38" t="s">
        <v>204</v>
      </c>
      <c r="Y90" s="38" t="s">
        <v>146</v>
      </c>
      <c r="Z90" s="38" t="s">
        <v>147</v>
      </c>
      <c r="AA90" s="113" t="str">
        <f t="array" ref="AA90">PROPER(G90)</f>
        <v>Offline</v>
      </c>
    </row>
    <row r="91">
      <c r="A91" s="110">
        <v>1.5397495E8</v>
      </c>
      <c r="B91" s="131">
        <v>40777.0</v>
      </c>
      <c r="C91" s="131">
        <v>40806.0</v>
      </c>
      <c r="D91" s="110" t="s">
        <v>93</v>
      </c>
      <c r="E91" s="110" t="s">
        <v>132</v>
      </c>
      <c r="F91" s="110">
        <v>4594.0</v>
      </c>
      <c r="G91" s="38" t="s">
        <v>42</v>
      </c>
      <c r="H91" s="110">
        <v>3464.0</v>
      </c>
      <c r="I91" s="132">
        <v>9.33</v>
      </c>
      <c r="J91" s="132">
        <v>6.92</v>
      </c>
      <c r="K91" s="39">
        <f t="shared" si="1"/>
        <v>32319.12</v>
      </c>
      <c r="L91" s="39">
        <f t="shared" si="2"/>
        <v>23970.88</v>
      </c>
      <c r="M91" s="39">
        <f t="shared" si="3"/>
        <v>8348.24</v>
      </c>
      <c r="N91" s="38" t="str">
        <f>VLOOKUP(F91,products!$A$2:$B$13,2,FALSE)</f>
        <v>Fruits</v>
      </c>
      <c r="O91" s="133">
        <f t="shared" si="4"/>
        <v>0.741693462</v>
      </c>
      <c r="P91" s="38" t="str">
        <f>VLOOKUP(E91,countries!A$2:E$250,3,false)</f>
        <v>Sweden</v>
      </c>
      <c r="Q91" s="38" t="str">
        <f>VLOOKUP($E91,countries!$A$2:$E$250,4,false)</f>
        <v>Europe</v>
      </c>
      <c r="R91" s="38" t="str">
        <f>VLOOKUP($E91,countries!$A$2:$E$250,5,false)</f>
        <v>Northern Europe</v>
      </c>
      <c r="S91" s="38">
        <f t="shared" si="5"/>
        <v>29</v>
      </c>
      <c r="T91" s="38" t="s">
        <v>156</v>
      </c>
      <c r="U91" s="38">
        <v>2011.0</v>
      </c>
      <c r="V91" s="38">
        <v>8.0</v>
      </c>
      <c r="W91" s="38" t="s">
        <v>132</v>
      </c>
      <c r="X91" s="38" t="s">
        <v>203</v>
      </c>
      <c r="Y91" s="38" t="s">
        <v>146</v>
      </c>
      <c r="Z91" s="38" t="s">
        <v>170</v>
      </c>
      <c r="AA91" s="113" t="str">
        <f t="array" ref="AA91">PROPER(G91)</f>
        <v>Offline</v>
      </c>
    </row>
    <row r="92">
      <c r="A92" s="110">
        <v>1.55086886E8</v>
      </c>
      <c r="B92" s="131">
        <v>41667.0</v>
      </c>
      <c r="C92" s="131">
        <v>41675.0</v>
      </c>
      <c r="D92" s="110" t="s">
        <v>89</v>
      </c>
      <c r="E92" s="110" t="s">
        <v>104</v>
      </c>
      <c r="F92" s="110">
        <v>8293.0</v>
      </c>
      <c r="G92" s="38" t="s">
        <v>42</v>
      </c>
      <c r="H92" s="110">
        <v>2511.0</v>
      </c>
      <c r="I92" s="132">
        <v>437.2</v>
      </c>
      <c r="J92" s="132">
        <v>263.33</v>
      </c>
      <c r="K92" s="39">
        <f t="shared" si="1"/>
        <v>1097809.2</v>
      </c>
      <c r="L92" s="39">
        <f t="shared" si="2"/>
        <v>661221.63</v>
      </c>
      <c r="M92" s="39">
        <f t="shared" si="3"/>
        <v>436587.57</v>
      </c>
      <c r="N92" s="38" t="str">
        <f>VLOOKUP(F92,products!$A$2:$B$13,2,FALSE)</f>
        <v>Cosmetics</v>
      </c>
      <c r="O92" s="133">
        <f t="shared" si="4"/>
        <v>0.6023101555</v>
      </c>
      <c r="P92" s="38" t="str">
        <f>VLOOKUP(E92,countries!A$2:E$250,3,false)</f>
        <v>Slovenia</v>
      </c>
      <c r="Q92" s="38" t="str">
        <f>VLOOKUP($E92,countries!$A$2:$E$250,4,false)</f>
        <v>Europe</v>
      </c>
      <c r="R92" s="38" t="str">
        <f>VLOOKUP($E92,countries!$A$2:$E$250,5,false)</f>
        <v>Southern Europe</v>
      </c>
      <c r="S92" s="38">
        <f t="shared" si="5"/>
        <v>8</v>
      </c>
      <c r="T92" s="38" t="s">
        <v>178</v>
      </c>
      <c r="U92" s="38">
        <v>2014.0</v>
      </c>
      <c r="V92" s="38">
        <v>1.0</v>
      </c>
      <c r="W92" s="38" t="s">
        <v>104</v>
      </c>
      <c r="X92" s="38" t="s">
        <v>171</v>
      </c>
      <c r="Y92" s="38" t="s">
        <v>146</v>
      </c>
      <c r="Z92" s="38" t="s">
        <v>147</v>
      </c>
      <c r="AA92" s="113" t="str">
        <f t="array" ref="AA92">PROPER(G92)</f>
        <v>Offline</v>
      </c>
    </row>
    <row r="93">
      <c r="A93" s="110">
        <v>1.55914723E8</v>
      </c>
      <c r="B93" s="131">
        <v>42075.0</v>
      </c>
      <c r="C93" s="131">
        <v>42092.0</v>
      </c>
      <c r="D93" s="110" t="s">
        <v>95</v>
      </c>
      <c r="E93" s="110" t="s">
        <v>127</v>
      </c>
      <c r="F93" s="110">
        <v>4594.0</v>
      </c>
      <c r="G93" s="38" t="s">
        <v>42</v>
      </c>
      <c r="H93" s="110">
        <v>7486.0</v>
      </c>
      <c r="I93" s="132">
        <v>9.33</v>
      </c>
      <c r="J93" s="132">
        <v>6.92</v>
      </c>
      <c r="K93" s="39">
        <f t="shared" si="1"/>
        <v>69844.38</v>
      </c>
      <c r="L93" s="39">
        <f t="shared" si="2"/>
        <v>51803.12</v>
      </c>
      <c r="M93" s="39">
        <f t="shared" si="3"/>
        <v>18041.26</v>
      </c>
      <c r="N93" s="38" t="str">
        <f>VLOOKUP(F93,products!$A$2:$B$13,2,FALSE)</f>
        <v>Fruits</v>
      </c>
      <c r="O93" s="133">
        <f t="shared" si="4"/>
        <v>0.741693462</v>
      </c>
      <c r="P93" s="38" t="str">
        <f>VLOOKUP(E93,countries!A$2:E$250,3,false)</f>
        <v>Ireland</v>
      </c>
      <c r="Q93" s="38" t="str">
        <f>VLOOKUP($E93,countries!$A$2:$E$250,4,false)</f>
        <v>Europe</v>
      </c>
      <c r="R93" s="38" t="str">
        <f>VLOOKUP($E93,countries!$A$2:$E$250,5,false)</f>
        <v>Northern Europe</v>
      </c>
      <c r="S93" s="38">
        <f t="shared" si="5"/>
        <v>17</v>
      </c>
      <c r="T93" s="38" t="s">
        <v>156</v>
      </c>
      <c r="U93" s="38">
        <v>2015.0</v>
      </c>
      <c r="V93" s="38">
        <v>3.0</v>
      </c>
      <c r="W93" s="38" t="s">
        <v>127</v>
      </c>
      <c r="X93" s="38" t="s">
        <v>198</v>
      </c>
      <c r="Y93" s="38" t="s">
        <v>146</v>
      </c>
      <c r="Z93" s="38" t="s">
        <v>170</v>
      </c>
      <c r="AA93" s="113" t="str">
        <f t="array" ref="AA93">PROPER(G93)</f>
        <v>Offline</v>
      </c>
    </row>
    <row r="94">
      <c r="A94" s="110">
        <v>1.56158483E8</v>
      </c>
      <c r="B94" s="131">
        <v>42547.0</v>
      </c>
      <c r="C94" s="131">
        <v>42587.0</v>
      </c>
      <c r="D94" s="110" t="s">
        <v>10</v>
      </c>
      <c r="E94" s="110" t="s">
        <v>110</v>
      </c>
      <c r="F94" s="110">
        <v>2455.0</v>
      </c>
      <c r="G94" s="38" t="s">
        <v>42</v>
      </c>
      <c r="H94" s="110">
        <v>9620.0</v>
      </c>
      <c r="I94" s="132">
        <v>109.28</v>
      </c>
      <c r="J94" s="132">
        <v>35.84</v>
      </c>
      <c r="K94" s="39">
        <f t="shared" si="1"/>
        <v>1051273.6</v>
      </c>
      <c r="L94" s="39">
        <f t="shared" si="2"/>
        <v>344780.8</v>
      </c>
      <c r="M94" s="39">
        <f t="shared" si="3"/>
        <v>706492.8</v>
      </c>
      <c r="N94" s="38" t="str">
        <f>VLOOKUP(F94,products!$A$2:$B$13,2,FALSE)</f>
        <v>Clothes</v>
      </c>
      <c r="O94" s="133">
        <f t="shared" si="4"/>
        <v>0.3279648609</v>
      </c>
      <c r="P94" s="38" t="str">
        <f>VLOOKUP(E94,countries!A$2:E$250,3,false)</f>
        <v>Lithuania</v>
      </c>
      <c r="Q94" s="38" t="str">
        <f>VLOOKUP($E94,countries!$A$2:$E$250,4,false)</f>
        <v>Europe</v>
      </c>
      <c r="R94" s="38" t="str">
        <f>VLOOKUP($E94,countries!$A$2:$E$250,5,false)</f>
        <v>Northern Europe</v>
      </c>
      <c r="S94" s="38">
        <f t="shared" si="5"/>
        <v>40</v>
      </c>
      <c r="T94" s="38" t="s">
        <v>150</v>
      </c>
      <c r="U94" s="38">
        <v>2016.0</v>
      </c>
      <c r="V94" s="38">
        <v>6.0</v>
      </c>
      <c r="W94" s="38" t="s">
        <v>110</v>
      </c>
      <c r="X94" s="38" t="s">
        <v>177</v>
      </c>
      <c r="Y94" s="38" t="s">
        <v>146</v>
      </c>
      <c r="Z94" s="38" t="s">
        <v>170</v>
      </c>
      <c r="AA94" s="113" t="str">
        <f t="array" ref="AA94">PROPER(G94)</f>
        <v>Offline</v>
      </c>
    </row>
    <row r="95">
      <c r="A95" s="110">
        <v>1.58479773E8</v>
      </c>
      <c r="B95" s="131">
        <v>42143.0</v>
      </c>
      <c r="C95" s="131">
        <v>42173.0</v>
      </c>
      <c r="D95" s="110" t="s">
        <v>93</v>
      </c>
      <c r="E95" s="110" t="s">
        <v>111</v>
      </c>
      <c r="F95" s="110">
        <v>7331.0</v>
      </c>
      <c r="G95" s="38" t="s">
        <v>42</v>
      </c>
      <c r="H95" s="110">
        <v>6542.0</v>
      </c>
      <c r="I95" s="132">
        <v>255.28</v>
      </c>
      <c r="J95" s="132">
        <v>159.42</v>
      </c>
      <c r="K95" s="39">
        <f t="shared" si="1"/>
        <v>1670041.76</v>
      </c>
      <c r="L95" s="39">
        <f t="shared" si="2"/>
        <v>1042925.64</v>
      </c>
      <c r="M95" s="39">
        <f t="shared" si="3"/>
        <v>627116.12</v>
      </c>
      <c r="N95" s="38" t="str">
        <f>VLOOKUP(F95,products!$A$2:$B$13,2,FALSE)</f>
        <v>Baby Food</v>
      </c>
      <c r="O95" s="133">
        <f t="shared" si="4"/>
        <v>0.6244907552</v>
      </c>
      <c r="P95" s="38" t="str">
        <f>VLOOKUP(E95,countries!A$2:E$250,3,false)</f>
        <v>Russia</v>
      </c>
      <c r="Q95" s="38" t="str">
        <f>VLOOKUP($E95,countries!$A$2:$E$250,4,false)</f>
        <v>Europe</v>
      </c>
      <c r="R95" s="38" t="str">
        <f>VLOOKUP($E95,countries!$A$2:$E$250,5,false)</f>
        <v>Eastern Europe</v>
      </c>
      <c r="S95" s="38">
        <f t="shared" si="5"/>
        <v>30</v>
      </c>
      <c r="T95" s="38" t="s">
        <v>161</v>
      </c>
      <c r="U95" s="38">
        <v>2015.0</v>
      </c>
      <c r="V95" s="38">
        <v>5.0</v>
      </c>
      <c r="W95" s="38" t="s">
        <v>111</v>
      </c>
      <c r="X95" s="38" t="s">
        <v>179</v>
      </c>
      <c r="Y95" s="38" t="s">
        <v>146</v>
      </c>
      <c r="Z95" s="38" t="s">
        <v>155</v>
      </c>
      <c r="AA95" s="113" t="str">
        <f t="array" ref="AA95">PROPER(G95)</f>
        <v>Offline</v>
      </c>
    </row>
    <row r="96">
      <c r="A96" s="110">
        <v>1.58673751E8</v>
      </c>
      <c r="B96" s="131">
        <v>41720.0</v>
      </c>
      <c r="C96" s="131">
        <v>41769.0</v>
      </c>
      <c r="D96" s="110" t="s">
        <v>95</v>
      </c>
      <c r="E96" s="110" t="s">
        <v>100</v>
      </c>
      <c r="F96" s="110">
        <v>8969.0</v>
      </c>
      <c r="G96" s="38" t="s">
        <v>43</v>
      </c>
      <c r="H96" s="110">
        <v>3944.0</v>
      </c>
      <c r="I96" s="132">
        <v>152.58</v>
      </c>
      <c r="J96" s="132">
        <v>97.44</v>
      </c>
      <c r="K96" s="39">
        <f t="shared" si="1"/>
        <v>601775.52</v>
      </c>
      <c r="L96" s="39">
        <f t="shared" si="2"/>
        <v>384303.36</v>
      </c>
      <c r="M96" s="39">
        <f t="shared" si="3"/>
        <v>217472.16</v>
      </c>
      <c r="N96" s="38" t="str">
        <f>VLOOKUP(F96,products!$A$2:$B$13,2,FALSE)</f>
        <v>Snacks</v>
      </c>
      <c r="O96" s="133">
        <f t="shared" si="4"/>
        <v>0.6386158081</v>
      </c>
      <c r="P96" s="38" t="str">
        <f>VLOOKUP(E96,countries!A$2:E$250,3,false)</f>
        <v>Germany</v>
      </c>
      <c r="Q96" s="38" t="str">
        <f>VLOOKUP($E96,countries!$A$2:$E$250,4,false)</f>
        <v>Europe</v>
      </c>
      <c r="R96" s="38" t="str">
        <f>VLOOKUP($E96,countries!$A$2:$E$250,5,false)</f>
        <v>Western Europe</v>
      </c>
      <c r="S96" s="38">
        <f t="shared" si="5"/>
        <v>49</v>
      </c>
      <c r="T96" s="38" t="s">
        <v>182</v>
      </c>
      <c r="U96" s="38">
        <v>2014.0</v>
      </c>
      <c r="V96" s="38">
        <v>3.0</v>
      </c>
      <c r="W96" s="38" t="s">
        <v>100</v>
      </c>
      <c r="X96" s="38" t="s">
        <v>163</v>
      </c>
      <c r="Y96" s="38" t="s">
        <v>146</v>
      </c>
      <c r="Z96" s="38" t="s">
        <v>158</v>
      </c>
      <c r="AA96" s="113" t="str">
        <f t="array" ref="AA96">PROPER(G96)</f>
        <v>Online</v>
      </c>
    </row>
    <row r="97">
      <c r="A97" s="110">
        <v>1.59232509E8</v>
      </c>
      <c r="B97" s="131">
        <v>41798.0</v>
      </c>
      <c r="C97" s="131">
        <v>41834.0</v>
      </c>
      <c r="D97" s="110" t="s">
        <v>95</v>
      </c>
      <c r="E97" s="110" t="s">
        <v>122</v>
      </c>
      <c r="F97" s="110">
        <v>4594.0</v>
      </c>
      <c r="G97" s="38" t="s">
        <v>43</v>
      </c>
      <c r="H97" s="110">
        <v>9293.0</v>
      </c>
      <c r="I97" s="132">
        <v>9.33</v>
      </c>
      <c r="J97" s="132">
        <v>6.92</v>
      </c>
      <c r="K97" s="39">
        <f t="shared" si="1"/>
        <v>86703.69</v>
      </c>
      <c r="L97" s="39">
        <f t="shared" si="2"/>
        <v>64307.56</v>
      </c>
      <c r="M97" s="39">
        <f t="shared" si="3"/>
        <v>22396.13</v>
      </c>
      <c r="N97" s="38" t="str">
        <f>VLOOKUP(F97,products!$A$2:$B$13,2,FALSE)</f>
        <v>Fruits</v>
      </c>
      <c r="O97" s="133">
        <f t="shared" si="4"/>
        <v>0.741693462</v>
      </c>
      <c r="P97" s="38" t="str">
        <f>VLOOKUP(E97,countries!A$2:E$250,3,false)</f>
        <v>Switzerland</v>
      </c>
      <c r="Q97" s="38" t="str">
        <f>VLOOKUP($E97,countries!$A$2:$E$250,4,false)</f>
        <v>Europe</v>
      </c>
      <c r="R97" s="38" t="str">
        <f>VLOOKUP($E97,countries!$A$2:$E$250,5,false)</f>
        <v>Western Europe</v>
      </c>
      <c r="S97" s="38">
        <f t="shared" si="5"/>
        <v>36</v>
      </c>
      <c r="T97" s="38" t="s">
        <v>156</v>
      </c>
      <c r="U97" s="38">
        <v>2014.0</v>
      </c>
      <c r="V97" s="38">
        <v>6.0</v>
      </c>
      <c r="W97" s="38" t="s">
        <v>122</v>
      </c>
      <c r="X97" s="38" t="s">
        <v>193</v>
      </c>
      <c r="Y97" s="38" t="s">
        <v>146</v>
      </c>
      <c r="Z97" s="38" t="s">
        <v>158</v>
      </c>
      <c r="AA97" s="113" t="str">
        <f t="array" ref="AA97">PROPER(G97)</f>
        <v>Online</v>
      </c>
    </row>
    <row r="98">
      <c r="A98" s="110">
        <v>1.59805858E8</v>
      </c>
      <c r="B98" s="131">
        <v>41232.0</v>
      </c>
      <c r="C98" s="131">
        <v>41260.0</v>
      </c>
      <c r="D98" s="110" t="s">
        <v>89</v>
      </c>
      <c r="E98" s="110" t="e">
        <v>#N/A</v>
      </c>
      <c r="F98" s="110">
        <v>8875.0</v>
      </c>
      <c r="G98" s="38" t="s">
        <v>42</v>
      </c>
      <c r="H98" s="110">
        <v>8959.0</v>
      </c>
      <c r="I98" s="132">
        <v>421.89</v>
      </c>
      <c r="J98" s="132">
        <v>364.69</v>
      </c>
      <c r="K98" s="39">
        <f t="shared" si="1"/>
        <v>3779712.51</v>
      </c>
      <c r="L98" s="39">
        <f t="shared" si="2"/>
        <v>3267257.71</v>
      </c>
      <c r="M98" s="39">
        <f t="shared" si="3"/>
        <v>512454.8</v>
      </c>
      <c r="N98" s="38" t="str">
        <f>VLOOKUP(F98,products!$A$2:$B$13,2,FALSE)</f>
        <v>Meat</v>
      </c>
      <c r="O98" s="133">
        <f t="shared" si="4"/>
        <v>0.8644196354</v>
      </c>
      <c r="P98" s="38" t="str">
        <f>VLOOKUP(E98,countries!A$2:E$250,3,false)</f>
        <v>#N/A</v>
      </c>
      <c r="Q98" s="38" t="str">
        <f>VLOOKUP($E98,countries!$A$2:$E$250,4,false)</f>
        <v>#N/A</v>
      </c>
      <c r="R98" s="38" t="str">
        <f>VLOOKUP($E98,countries!$A$2:$E$250,5,false)</f>
        <v>#N/A</v>
      </c>
      <c r="S98" s="38">
        <f t="shared" si="5"/>
        <v>28</v>
      </c>
      <c r="T98" s="38" t="s">
        <v>167</v>
      </c>
      <c r="U98" s="38">
        <v>2012.0</v>
      </c>
      <c r="V98" s="38">
        <v>11.0</v>
      </c>
      <c r="W98" s="38" t="s">
        <v>92</v>
      </c>
      <c r="X98" s="38" t="s">
        <v>149</v>
      </c>
      <c r="Y98" s="38" t="s">
        <v>149</v>
      </c>
      <c r="Z98" s="38" t="s">
        <v>149</v>
      </c>
      <c r="AA98" s="113" t="str">
        <f t="array" ref="AA98">PROPER(G98)</f>
        <v>Offline</v>
      </c>
    </row>
    <row r="99">
      <c r="A99" s="110">
        <v>1.60578763E8</v>
      </c>
      <c r="B99" s="131">
        <v>42274.0</v>
      </c>
      <c r="C99" s="131">
        <v>42307.0</v>
      </c>
      <c r="D99" s="110" t="s">
        <v>93</v>
      </c>
      <c r="E99" s="110" t="s">
        <v>105</v>
      </c>
      <c r="F99" s="110">
        <v>8681.0</v>
      </c>
      <c r="G99" s="38" t="s">
        <v>43</v>
      </c>
      <c r="H99" s="110">
        <v>7679.0</v>
      </c>
      <c r="I99" s="132">
        <v>651.21</v>
      </c>
      <c r="J99" s="132">
        <v>524.96</v>
      </c>
      <c r="K99" s="39">
        <f t="shared" si="1"/>
        <v>5000641.59</v>
      </c>
      <c r="L99" s="39">
        <f t="shared" si="2"/>
        <v>4031167.84</v>
      </c>
      <c r="M99" s="39">
        <f t="shared" si="3"/>
        <v>969473.75</v>
      </c>
      <c r="N99" s="38" t="str">
        <f>VLOOKUP(F99,products!$A$2:$B$13,2,FALSE)</f>
        <v>Office Supplies</v>
      </c>
      <c r="O99" s="133">
        <f t="shared" si="4"/>
        <v>0.806130127</v>
      </c>
      <c r="P99" s="38" t="str">
        <f>VLOOKUP(E99,countries!A$2:E$250,3,false)</f>
        <v>Romania</v>
      </c>
      <c r="Q99" s="38" t="str">
        <f>VLOOKUP($E99,countries!$A$2:$E$250,4,false)</f>
        <v>Europe</v>
      </c>
      <c r="R99" s="38" t="str">
        <f>VLOOKUP($E99,countries!$A$2:$E$250,5,false)</f>
        <v>Eastern Europe</v>
      </c>
      <c r="S99" s="38">
        <f t="shared" si="5"/>
        <v>33</v>
      </c>
      <c r="T99" s="38" t="s">
        <v>153</v>
      </c>
      <c r="U99" s="38">
        <v>2015.0</v>
      </c>
      <c r="V99" s="38">
        <v>9.0</v>
      </c>
      <c r="W99" s="38" t="s">
        <v>105</v>
      </c>
      <c r="X99" s="38" t="s">
        <v>172</v>
      </c>
      <c r="Y99" s="38" t="s">
        <v>146</v>
      </c>
      <c r="Z99" s="38" t="s">
        <v>155</v>
      </c>
      <c r="AA99" s="113" t="str">
        <f t="array" ref="AA99">PROPER(G99)</f>
        <v>Online</v>
      </c>
    </row>
    <row r="100">
      <c r="A100" s="110">
        <v>1.60751283E8</v>
      </c>
      <c r="B100" s="131">
        <v>40845.0</v>
      </c>
      <c r="C100" s="131">
        <v>40860.0</v>
      </c>
      <c r="D100" s="110" t="s">
        <v>10</v>
      </c>
      <c r="E100" s="110" t="s">
        <v>124</v>
      </c>
      <c r="F100" s="110">
        <v>3127.0</v>
      </c>
      <c r="G100" s="38" t="s">
        <v>42</v>
      </c>
      <c r="H100" s="110">
        <v>8732.0</v>
      </c>
      <c r="I100" s="132">
        <v>81.73</v>
      </c>
      <c r="J100" s="132">
        <v>56.67</v>
      </c>
      <c r="K100" s="39">
        <f t="shared" si="1"/>
        <v>713666.36</v>
      </c>
      <c r="L100" s="39">
        <f t="shared" si="2"/>
        <v>494842.44</v>
      </c>
      <c r="M100" s="39">
        <f t="shared" si="3"/>
        <v>218823.92</v>
      </c>
      <c r="N100" s="38" t="str">
        <f>VLOOKUP(F100,products!$A$2:$B$13,2,FALSE)</f>
        <v>Personal Care</v>
      </c>
      <c r="O100" s="133">
        <f t="shared" si="4"/>
        <v>0.6933806436</v>
      </c>
      <c r="P100" s="38" t="str">
        <f>VLOOKUP(E100,countries!A$2:E$250,3,false)</f>
        <v>Latvia</v>
      </c>
      <c r="Q100" s="38" t="str">
        <f>VLOOKUP($E100,countries!$A$2:$E$250,4,false)</f>
        <v>Europe</v>
      </c>
      <c r="R100" s="38" t="str">
        <f>VLOOKUP($E100,countries!$A$2:$E$250,5,false)</f>
        <v>Northern Europe</v>
      </c>
      <c r="S100" s="38">
        <f t="shared" si="5"/>
        <v>15</v>
      </c>
      <c r="T100" s="38" t="s">
        <v>185</v>
      </c>
      <c r="U100" s="38">
        <v>2011.0</v>
      </c>
      <c r="V100" s="38">
        <v>10.0</v>
      </c>
      <c r="W100" s="38" t="s">
        <v>124</v>
      </c>
      <c r="X100" s="38" t="s">
        <v>195</v>
      </c>
      <c r="Y100" s="38" t="s">
        <v>146</v>
      </c>
      <c r="Z100" s="38" t="s">
        <v>170</v>
      </c>
      <c r="AA100" s="113" t="str">
        <f t="array" ref="AA100">PROPER(G100)</f>
        <v>Offline</v>
      </c>
    </row>
    <row r="101">
      <c r="A101" s="110">
        <v>1.61399304E8</v>
      </c>
      <c r="B101" s="131">
        <v>40238.0</v>
      </c>
      <c r="C101" s="131">
        <v>40252.0</v>
      </c>
      <c r="D101" s="110" t="s">
        <v>93</v>
      </c>
      <c r="E101" s="110" t="s">
        <v>96</v>
      </c>
      <c r="F101" s="110">
        <v>8293.0</v>
      </c>
      <c r="G101" s="38" t="s">
        <v>43</v>
      </c>
      <c r="H101" s="110">
        <v>496.0</v>
      </c>
      <c r="I101" s="132">
        <v>437.2</v>
      </c>
      <c r="J101" s="132">
        <v>263.33</v>
      </c>
      <c r="K101" s="39">
        <f t="shared" si="1"/>
        <v>216851.2</v>
      </c>
      <c r="L101" s="39">
        <f t="shared" si="2"/>
        <v>130611.68</v>
      </c>
      <c r="M101" s="39">
        <f t="shared" si="3"/>
        <v>86239.52</v>
      </c>
      <c r="N101" s="38" t="str">
        <f>VLOOKUP(F101,products!$A$2:$B$13,2,FALSE)</f>
        <v>Cosmetics</v>
      </c>
      <c r="O101" s="133">
        <f t="shared" si="4"/>
        <v>0.6023101555</v>
      </c>
      <c r="P101" s="38" t="str">
        <f>VLOOKUP(E101,countries!A$2:E$250,3,false)</f>
        <v>Slovakia</v>
      </c>
      <c r="Q101" s="38" t="str">
        <f>VLOOKUP($E101,countries!$A$2:$E$250,4,false)</f>
        <v>Europe</v>
      </c>
      <c r="R101" s="38" t="str">
        <f>VLOOKUP($E101,countries!$A$2:$E$250,5,false)</f>
        <v>Eastern Europe</v>
      </c>
      <c r="S101" s="38">
        <f t="shared" si="5"/>
        <v>14</v>
      </c>
      <c r="T101" s="38" t="s">
        <v>178</v>
      </c>
      <c r="U101" s="38">
        <v>2010.0</v>
      </c>
      <c r="V101" s="38">
        <v>3.0</v>
      </c>
      <c r="W101" s="38" t="s">
        <v>96</v>
      </c>
      <c r="X101" s="38" t="s">
        <v>154</v>
      </c>
      <c r="Y101" s="38" t="s">
        <v>146</v>
      </c>
      <c r="Z101" s="38" t="s">
        <v>155</v>
      </c>
      <c r="AA101" s="113" t="str">
        <f t="array" ref="AA101">PROPER(G101)</f>
        <v>Online</v>
      </c>
    </row>
    <row r="102">
      <c r="A102" s="110">
        <v>1.61607444E8</v>
      </c>
      <c r="B102" s="131">
        <v>41143.0</v>
      </c>
      <c r="C102" s="131">
        <v>41185.0</v>
      </c>
      <c r="D102" s="110" t="s">
        <v>93</v>
      </c>
      <c r="E102" s="110" t="s">
        <v>105</v>
      </c>
      <c r="F102" s="110">
        <v>8875.0</v>
      </c>
      <c r="G102" s="38" t="s">
        <v>42</v>
      </c>
      <c r="H102" s="110">
        <v>2089.0</v>
      </c>
      <c r="I102" s="132">
        <v>421.89</v>
      </c>
      <c r="J102" s="132">
        <v>364.69</v>
      </c>
      <c r="K102" s="39">
        <f t="shared" si="1"/>
        <v>881328.21</v>
      </c>
      <c r="L102" s="39">
        <f t="shared" si="2"/>
        <v>761837.41</v>
      </c>
      <c r="M102" s="39">
        <f t="shared" si="3"/>
        <v>119490.8</v>
      </c>
      <c r="N102" s="38" t="str">
        <f>VLOOKUP(F102,products!$A$2:$B$13,2,FALSE)</f>
        <v>Meat</v>
      </c>
      <c r="O102" s="133">
        <f t="shared" si="4"/>
        <v>0.8644196354</v>
      </c>
      <c r="P102" s="38" t="str">
        <f>VLOOKUP(E102,countries!A$2:E$250,3,false)</f>
        <v>Romania</v>
      </c>
      <c r="Q102" s="38" t="str">
        <f>VLOOKUP($E102,countries!$A$2:$E$250,4,false)</f>
        <v>Europe</v>
      </c>
      <c r="R102" s="38" t="str">
        <f>VLOOKUP($E102,countries!$A$2:$E$250,5,false)</f>
        <v>Eastern Europe</v>
      </c>
      <c r="S102" s="38">
        <f t="shared" si="5"/>
        <v>42</v>
      </c>
      <c r="T102" s="38" t="s">
        <v>167</v>
      </c>
      <c r="U102" s="38">
        <v>2012.0</v>
      </c>
      <c r="V102" s="38">
        <v>8.0</v>
      </c>
      <c r="W102" s="38" t="s">
        <v>105</v>
      </c>
      <c r="X102" s="38" t="s">
        <v>172</v>
      </c>
      <c r="Y102" s="38" t="s">
        <v>146</v>
      </c>
      <c r="Z102" s="38" t="s">
        <v>155</v>
      </c>
      <c r="AA102" s="113" t="str">
        <f t="array" ref="AA102">PROPER(G102)</f>
        <v>Offline</v>
      </c>
    </row>
    <row r="103">
      <c r="A103" s="110">
        <v>1.6181215E8</v>
      </c>
      <c r="B103" s="131">
        <v>41222.0</v>
      </c>
      <c r="C103" s="131">
        <v>41225.0</v>
      </c>
      <c r="D103" s="110" t="s">
        <v>10</v>
      </c>
      <c r="E103" s="110" t="s">
        <v>135</v>
      </c>
      <c r="F103" s="110">
        <v>2455.0</v>
      </c>
      <c r="G103" s="38" t="s">
        <v>43</v>
      </c>
      <c r="H103" s="110">
        <v>2666.0</v>
      </c>
      <c r="I103" s="132">
        <v>109.28</v>
      </c>
      <c r="J103" s="132">
        <v>35.84</v>
      </c>
      <c r="K103" s="39">
        <f t="shared" si="1"/>
        <v>291340.48</v>
      </c>
      <c r="L103" s="39">
        <f t="shared" si="2"/>
        <v>95549.44</v>
      </c>
      <c r="M103" s="39">
        <f t="shared" si="3"/>
        <v>195791.04</v>
      </c>
      <c r="N103" s="38" t="str">
        <f>VLOOKUP(F103,products!$A$2:$B$13,2,FALSE)</f>
        <v>Clothes</v>
      </c>
      <c r="O103" s="133">
        <f t="shared" si="4"/>
        <v>0.3279648609</v>
      </c>
      <c r="P103" s="38" t="str">
        <f>VLOOKUP(E103,countries!A$2:E$250,3,false)</f>
        <v>Denmark</v>
      </c>
      <c r="Q103" s="38" t="str">
        <f>VLOOKUP($E103,countries!$A$2:$E$250,4,false)</f>
        <v>Europe</v>
      </c>
      <c r="R103" s="38" t="str">
        <f>VLOOKUP($E103,countries!$A$2:$E$250,5,false)</f>
        <v>Northern Europe</v>
      </c>
      <c r="S103" s="38">
        <f t="shared" si="5"/>
        <v>3</v>
      </c>
      <c r="T103" s="38" t="s">
        <v>150</v>
      </c>
      <c r="U103" s="38">
        <v>2012.0</v>
      </c>
      <c r="V103" s="38">
        <v>11.0</v>
      </c>
      <c r="W103" s="38" t="s">
        <v>135</v>
      </c>
      <c r="X103" s="38" t="s">
        <v>205</v>
      </c>
      <c r="Y103" s="38" t="s">
        <v>146</v>
      </c>
      <c r="Z103" s="38" t="s">
        <v>170</v>
      </c>
      <c r="AA103" s="113" t="str">
        <f t="array" ref="AA103">PROPER(G103)</f>
        <v>Online</v>
      </c>
    </row>
    <row r="104">
      <c r="A104" s="110">
        <v>1.62791907E8</v>
      </c>
      <c r="B104" s="131">
        <v>40785.0</v>
      </c>
      <c r="C104" s="131">
        <v>40835.0</v>
      </c>
      <c r="D104" s="110" t="s">
        <v>89</v>
      </c>
      <c r="E104" s="110" t="s">
        <v>111</v>
      </c>
      <c r="F104" s="110">
        <v>1270.0</v>
      </c>
      <c r="G104" s="38" t="s">
        <v>42</v>
      </c>
      <c r="H104" s="110">
        <v>2598.0</v>
      </c>
      <c r="I104" s="132">
        <v>47.45</v>
      </c>
      <c r="J104" s="132">
        <v>31.79</v>
      </c>
      <c r="K104" s="39">
        <f t="shared" si="1"/>
        <v>123275.1</v>
      </c>
      <c r="L104" s="39">
        <f t="shared" si="2"/>
        <v>82590.42</v>
      </c>
      <c r="M104" s="39">
        <f t="shared" si="3"/>
        <v>40684.68</v>
      </c>
      <c r="N104" s="38" t="str">
        <f>VLOOKUP(F104,products!$A$2:$B$13,2,FALSE)</f>
        <v>Beverages</v>
      </c>
      <c r="O104" s="133">
        <f t="shared" si="4"/>
        <v>0.6699683878</v>
      </c>
      <c r="P104" s="38" t="str">
        <f>VLOOKUP(E104,countries!A$2:E$250,3,false)</f>
        <v>Russia</v>
      </c>
      <c r="Q104" s="38" t="str">
        <f>VLOOKUP($E104,countries!$A$2:$E$250,4,false)</f>
        <v>Europe</v>
      </c>
      <c r="R104" s="38" t="str">
        <f>VLOOKUP($E104,countries!$A$2:$E$250,5,false)</f>
        <v>Eastern Europe</v>
      </c>
      <c r="S104" s="38">
        <f t="shared" si="5"/>
        <v>50</v>
      </c>
      <c r="T104" s="38" t="s">
        <v>152</v>
      </c>
      <c r="U104" s="38">
        <v>2011.0</v>
      </c>
      <c r="V104" s="38">
        <v>8.0</v>
      </c>
      <c r="W104" s="38" t="s">
        <v>111</v>
      </c>
      <c r="X104" s="38" t="s">
        <v>179</v>
      </c>
      <c r="Y104" s="38" t="s">
        <v>146</v>
      </c>
      <c r="Z104" s="38" t="s">
        <v>155</v>
      </c>
      <c r="AA104" s="113" t="str">
        <f t="array" ref="AA104">PROPER(G104)</f>
        <v>Offline</v>
      </c>
    </row>
    <row r="105">
      <c r="A105" s="110">
        <v>1.63587558E8</v>
      </c>
      <c r="B105" s="131">
        <v>42451.0</v>
      </c>
      <c r="C105" s="131">
        <v>42479.0</v>
      </c>
      <c r="D105" s="110" t="s">
        <v>89</v>
      </c>
      <c r="E105" s="110" t="s">
        <v>119</v>
      </c>
      <c r="F105" s="110">
        <v>8969.0</v>
      </c>
      <c r="G105" s="38" t="s">
        <v>42</v>
      </c>
      <c r="H105" s="110">
        <v>8048.0</v>
      </c>
      <c r="I105" s="132">
        <v>152.58</v>
      </c>
      <c r="J105" s="132">
        <v>97.44</v>
      </c>
      <c r="K105" s="39">
        <f t="shared" si="1"/>
        <v>1227963.84</v>
      </c>
      <c r="L105" s="39">
        <f t="shared" si="2"/>
        <v>784197.12</v>
      </c>
      <c r="M105" s="39">
        <f t="shared" si="3"/>
        <v>443766.72</v>
      </c>
      <c r="N105" s="38" t="str">
        <f>VLOOKUP(F105,products!$A$2:$B$13,2,FALSE)</f>
        <v>Snacks</v>
      </c>
      <c r="O105" s="133">
        <f t="shared" si="4"/>
        <v>0.6386158081</v>
      </c>
      <c r="P105" s="38" t="str">
        <f>VLOOKUP(E105,countries!A$2:E$250,3,false)</f>
        <v>Macedonia</v>
      </c>
      <c r="Q105" s="38" t="str">
        <f>VLOOKUP($E105,countries!$A$2:$E$250,4,false)</f>
        <v>Europe</v>
      </c>
      <c r="R105" s="38" t="str">
        <f>VLOOKUP($E105,countries!$A$2:$E$250,5,false)</f>
        <v>Southern Europe</v>
      </c>
      <c r="S105" s="38">
        <f t="shared" si="5"/>
        <v>28</v>
      </c>
      <c r="T105" s="38" t="s">
        <v>182</v>
      </c>
      <c r="U105" s="38">
        <v>2016.0</v>
      </c>
      <c r="V105" s="38">
        <v>3.0</v>
      </c>
      <c r="W105" s="38" t="s">
        <v>119</v>
      </c>
      <c r="X105" s="38" t="s">
        <v>190</v>
      </c>
      <c r="Y105" s="38" t="s">
        <v>146</v>
      </c>
      <c r="Z105" s="38" t="s">
        <v>147</v>
      </c>
      <c r="AA105" s="113" t="str">
        <f t="array" ref="AA105">PROPER(G105)</f>
        <v>Offline</v>
      </c>
    </row>
    <row r="106">
      <c r="A106" s="110">
        <v>1.63744628E8</v>
      </c>
      <c r="B106" s="131">
        <v>42842.0</v>
      </c>
      <c r="C106" s="131">
        <v>42856.0</v>
      </c>
      <c r="D106" s="110" t="s">
        <v>93</v>
      </c>
      <c r="E106" s="110" t="s">
        <v>130</v>
      </c>
      <c r="F106" s="110">
        <v>8681.0</v>
      </c>
      <c r="G106" s="38" t="s">
        <v>42</v>
      </c>
      <c r="H106" s="110">
        <v>4529.0</v>
      </c>
      <c r="I106" s="132">
        <v>651.21</v>
      </c>
      <c r="J106" s="132">
        <v>524.96</v>
      </c>
      <c r="K106" s="39">
        <f t="shared" si="1"/>
        <v>2949330.09</v>
      </c>
      <c r="L106" s="39">
        <f t="shared" si="2"/>
        <v>2377543.84</v>
      </c>
      <c r="M106" s="39">
        <f t="shared" si="3"/>
        <v>571786.25</v>
      </c>
      <c r="N106" s="38" t="str">
        <f>VLOOKUP(F106,products!$A$2:$B$13,2,FALSE)</f>
        <v>Office Supplies</v>
      </c>
      <c r="O106" s="133">
        <f t="shared" si="4"/>
        <v>0.806130127</v>
      </c>
      <c r="P106" s="38" t="str">
        <f>VLOOKUP(E106,countries!A$2:E$250,3,false)</f>
        <v>Finland</v>
      </c>
      <c r="Q106" s="38" t="str">
        <f>VLOOKUP($E106,countries!$A$2:$E$250,4,false)</f>
        <v>Europe</v>
      </c>
      <c r="R106" s="38" t="str">
        <f>VLOOKUP($E106,countries!$A$2:$E$250,5,false)</f>
        <v>Northern Europe</v>
      </c>
      <c r="S106" s="38">
        <f t="shared" si="5"/>
        <v>14</v>
      </c>
      <c r="T106" s="38" t="s">
        <v>153</v>
      </c>
      <c r="U106" s="38">
        <v>2017.0</v>
      </c>
      <c r="V106" s="38">
        <v>4.0</v>
      </c>
      <c r="W106" s="38" t="s">
        <v>130</v>
      </c>
      <c r="X106" s="38" t="s">
        <v>201</v>
      </c>
      <c r="Y106" s="38" t="s">
        <v>146</v>
      </c>
      <c r="Z106" s="38" t="s">
        <v>170</v>
      </c>
      <c r="AA106" s="113" t="str">
        <f t="array" ref="AA106">PROPER(G106)</f>
        <v>Offline</v>
      </c>
    </row>
    <row r="107">
      <c r="A107" s="110">
        <v>1.64259612E8</v>
      </c>
      <c r="B107" s="131">
        <v>42085.0</v>
      </c>
      <c r="C107" s="131">
        <v>42123.0</v>
      </c>
      <c r="D107" s="110" t="s">
        <v>89</v>
      </c>
      <c r="E107" s="110" t="s">
        <v>109</v>
      </c>
      <c r="F107" s="110">
        <v>8875.0</v>
      </c>
      <c r="G107" s="38" t="s">
        <v>42</v>
      </c>
      <c r="H107" s="110">
        <v>6924.0</v>
      </c>
      <c r="I107" s="132">
        <v>421.89</v>
      </c>
      <c r="J107" s="132">
        <v>364.69</v>
      </c>
      <c r="K107" s="39">
        <f t="shared" si="1"/>
        <v>2921166.36</v>
      </c>
      <c r="L107" s="39">
        <f t="shared" si="2"/>
        <v>2525113.56</v>
      </c>
      <c r="M107" s="39">
        <f t="shared" si="3"/>
        <v>396052.8</v>
      </c>
      <c r="N107" s="38" t="str">
        <f>VLOOKUP(F107,products!$A$2:$B$13,2,FALSE)</f>
        <v>Meat</v>
      </c>
      <c r="O107" s="133">
        <f t="shared" si="4"/>
        <v>0.8644196354</v>
      </c>
      <c r="P107" s="38" t="str">
        <f>VLOOKUP(E107,countries!A$2:E$250,3,false)</f>
        <v>Belgium</v>
      </c>
      <c r="Q107" s="38" t="str">
        <f>VLOOKUP($E107,countries!$A$2:$E$250,4,false)</f>
        <v>Europe</v>
      </c>
      <c r="R107" s="38" t="str">
        <f>VLOOKUP($E107,countries!$A$2:$E$250,5,false)</f>
        <v>Western Europe</v>
      </c>
      <c r="S107" s="38">
        <f t="shared" si="5"/>
        <v>38</v>
      </c>
      <c r="T107" s="38" t="s">
        <v>167</v>
      </c>
      <c r="U107" s="38">
        <v>2015.0</v>
      </c>
      <c r="V107" s="38">
        <v>3.0</v>
      </c>
      <c r="W107" s="38" t="s">
        <v>109</v>
      </c>
      <c r="X107" s="38" t="s">
        <v>176</v>
      </c>
      <c r="Y107" s="38" t="s">
        <v>146</v>
      </c>
      <c r="Z107" s="38" t="s">
        <v>158</v>
      </c>
      <c r="AA107" s="113" t="str">
        <f t="array" ref="AA107">PROPER(G107)</f>
        <v>Offline</v>
      </c>
    </row>
    <row r="108">
      <c r="A108" s="110">
        <v>1.668105E8</v>
      </c>
      <c r="B108" s="131">
        <v>40826.0</v>
      </c>
      <c r="C108" s="131">
        <v>40868.0</v>
      </c>
      <c r="D108" s="110" t="s">
        <v>89</v>
      </c>
      <c r="E108" s="110" t="s">
        <v>133</v>
      </c>
      <c r="F108" s="110">
        <v>2455.0</v>
      </c>
      <c r="G108" s="38" t="s">
        <v>43</v>
      </c>
      <c r="H108" s="110">
        <v>1789.0</v>
      </c>
      <c r="I108" s="132">
        <v>109.28</v>
      </c>
      <c r="J108" s="132">
        <v>35.84</v>
      </c>
      <c r="K108" s="39">
        <f t="shared" si="1"/>
        <v>195501.92</v>
      </c>
      <c r="L108" s="39">
        <f t="shared" si="2"/>
        <v>64117.76</v>
      </c>
      <c r="M108" s="39">
        <f t="shared" si="3"/>
        <v>131384.16</v>
      </c>
      <c r="N108" s="38" t="str">
        <f>VLOOKUP(F108,products!$A$2:$B$13,2,FALSE)</f>
        <v>Clothes</v>
      </c>
      <c r="O108" s="133">
        <f t="shared" si="4"/>
        <v>0.3279648609</v>
      </c>
      <c r="P108" s="38" t="str">
        <f>VLOOKUP(E108,countries!A$2:E$250,3,false)</f>
        <v>Bosnia and Herzegovina</v>
      </c>
      <c r="Q108" s="38" t="str">
        <f>VLOOKUP($E108,countries!$A$2:$E$250,4,false)</f>
        <v>Europe</v>
      </c>
      <c r="R108" s="38" t="str">
        <f>VLOOKUP($E108,countries!$A$2:$E$250,5,false)</f>
        <v>Southern Europe</v>
      </c>
      <c r="S108" s="38">
        <f t="shared" si="5"/>
        <v>42</v>
      </c>
      <c r="T108" s="38" t="s">
        <v>150</v>
      </c>
      <c r="U108" s="38">
        <v>2011.0</v>
      </c>
      <c r="V108" s="38">
        <v>10.0</v>
      </c>
      <c r="W108" s="38" t="s">
        <v>133</v>
      </c>
      <c r="X108" s="38" t="s">
        <v>204</v>
      </c>
      <c r="Y108" s="38" t="s">
        <v>146</v>
      </c>
      <c r="Z108" s="38" t="s">
        <v>147</v>
      </c>
      <c r="AA108" s="113" t="str">
        <f t="array" ref="AA108">PROPER(G108)</f>
        <v>Online</v>
      </c>
    </row>
    <row r="109">
      <c r="A109" s="110">
        <v>1.68319404E8</v>
      </c>
      <c r="B109" s="131">
        <v>40959.0</v>
      </c>
      <c r="C109" s="131">
        <v>40978.0</v>
      </c>
      <c r="D109" s="110" t="s">
        <v>95</v>
      </c>
      <c r="E109" s="110" t="s">
        <v>96</v>
      </c>
      <c r="F109" s="110">
        <v>8681.0</v>
      </c>
      <c r="G109" s="38" t="s">
        <v>43</v>
      </c>
      <c r="H109" s="110">
        <v>8307.0</v>
      </c>
      <c r="I109" s="132">
        <v>651.21</v>
      </c>
      <c r="J109" s="132">
        <v>524.96</v>
      </c>
      <c r="K109" s="39">
        <f t="shared" si="1"/>
        <v>5409601.47</v>
      </c>
      <c r="L109" s="39">
        <f t="shared" si="2"/>
        <v>4360842.72</v>
      </c>
      <c r="M109" s="39">
        <f t="shared" si="3"/>
        <v>1048758.75</v>
      </c>
      <c r="N109" s="38" t="str">
        <f>VLOOKUP(F109,products!$A$2:$B$13,2,FALSE)</f>
        <v>Office Supplies</v>
      </c>
      <c r="O109" s="133">
        <f t="shared" si="4"/>
        <v>0.806130127</v>
      </c>
      <c r="P109" s="38" t="str">
        <f>VLOOKUP(E109,countries!A$2:E$250,3,false)</f>
        <v>Slovakia</v>
      </c>
      <c r="Q109" s="38" t="str">
        <f>VLOOKUP($E109,countries!$A$2:$E$250,4,false)</f>
        <v>Europe</v>
      </c>
      <c r="R109" s="38" t="str">
        <f>VLOOKUP($E109,countries!$A$2:$E$250,5,false)</f>
        <v>Eastern Europe</v>
      </c>
      <c r="S109" s="38">
        <f t="shared" si="5"/>
        <v>19</v>
      </c>
      <c r="T109" s="38" t="s">
        <v>153</v>
      </c>
      <c r="U109" s="38">
        <v>2012.0</v>
      </c>
      <c r="V109" s="38">
        <v>2.0</v>
      </c>
      <c r="W109" s="38" t="s">
        <v>96</v>
      </c>
      <c r="X109" s="38" t="s">
        <v>154</v>
      </c>
      <c r="Y109" s="38" t="s">
        <v>146</v>
      </c>
      <c r="Z109" s="38" t="s">
        <v>155</v>
      </c>
      <c r="AA109" s="113" t="str">
        <f t="array" ref="AA109">PROPER(G109)</f>
        <v>Online</v>
      </c>
    </row>
    <row r="110">
      <c r="A110" s="110">
        <v>1.68487203E8</v>
      </c>
      <c r="B110" s="131">
        <v>41854.0</v>
      </c>
      <c r="C110" s="131">
        <v>41903.0</v>
      </c>
      <c r="D110" s="110" t="s">
        <v>95</v>
      </c>
      <c r="E110" s="110" t="e">
        <v>#N/A</v>
      </c>
      <c r="F110" s="110">
        <v>8681.0</v>
      </c>
      <c r="G110" s="38" t="s">
        <v>42</v>
      </c>
      <c r="H110" s="110">
        <v>7962.0</v>
      </c>
      <c r="I110" s="132">
        <v>651.21</v>
      </c>
      <c r="J110" s="132">
        <v>524.96</v>
      </c>
      <c r="K110" s="39">
        <f t="shared" si="1"/>
        <v>5184934.02</v>
      </c>
      <c r="L110" s="39">
        <f t="shared" si="2"/>
        <v>4179731.52</v>
      </c>
      <c r="M110" s="39">
        <f t="shared" si="3"/>
        <v>1005202.5</v>
      </c>
      <c r="N110" s="38" t="str">
        <f>VLOOKUP(F110,products!$A$2:$B$13,2,FALSE)</f>
        <v>Office Supplies</v>
      </c>
      <c r="O110" s="133">
        <f t="shared" si="4"/>
        <v>0.806130127</v>
      </c>
      <c r="P110" s="38" t="str">
        <f>VLOOKUP(E110,countries!A$2:E$250,3,false)</f>
        <v>#N/A</v>
      </c>
      <c r="Q110" s="38" t="str">
        <f>VLOOKUP($E110,countries!$A$2:$E$250,4,false)</f>
        <v>#N/A</v>
      </c>
      <c r="R110" s="38" t="str">
        <f>VLOOKUP($E110,countries!$A$2:$E$250,5,false)</f>
        <v>#N/A</v>
      </c>
      <c r="S110" s="38">
        <f t="shared" si="5"/>
        <v>49</v>
      </c>
      <c r="T110" s="38" t="s">
        <v>153</v>
      </c>
      <c r="U110" s="38">
        <v>2014.0</v>
      </c>
      <c r="V110" s="38">
        <v>8.0</v>
      </c>
      <c r="W110" s="38" t="s">
        <v>92</v>
      </c>
      <c r="X110" s="38" t="s">
        <v>149</v>
      </c>
      <c r="Y110" s="38" t="s">
        <v>149</v>
      </c>
      <c r="Z110" s="38" t="s">
        <v>149</v>
      </c>
      <c r="AA110" s="113" t="str">
        <f t="array" ref="AA110">PROPER(G110)</f>
        <v>Offline</v>
      </c>
    </row>
    <row r="111">
      <c r="A111" s="110">
        <v>1.68960559E8</v>
      </c>
      <c r="B111" s="131">
        <v>41469.0</v>
      </c>
      <c r="C111" s="131">
        <v>41505.0</v>
      </c>
      <c r="D111" s="110" t="s">
        <v>95</v>
      </c>
      <c r="E111" s="110" t="s">
        <v>102</v>
      </c>
      <c r="F111" s="110">
        <v>7331.0</v>
      </c>
      <c r="G111" s="38" t="s">
        <v>43</v>
      </c>
      <c r="H111" s="110">
        <v>8039.0</v>
      </c>
      <c r="I111" s="132">
        <v>255.28</v>
      </c>
      <c r="J111" s="132">
        <v>159.42</v>
      </c>
      <c r="K111" s="39">
        <f t="shared" si="1"/>
        <v>2052195.92</v>
      </c>
      <c r="L111" s="39">
        <f t="shared" si="2"/>
        <v>1281577.38</v>
      </c>
      <c r="M111" s="39">
        <f t="shared" si="3"/>
        <v>770618.54</v>
      </c>
      <c r="N111" s="38" t="str">
        <f>VLOOKUP(F111,products!$A$2:$B$13,2,FALSE)</f>
        <v>Baby Food</v>
      </c>
      <c r="O111" s="133">
        <f t="shared" si="4"/>
        <v>0.6244907552</v>
      </c>
      <c r="P111" s="38" t="str">
        <f>VLOOKUP(E111,countries!A$2:E$250,3,false)</f>
        <v>Georgia</v>
      </c>
      <c r="Q111" s="38" t="str">
        <f>VLOOKUP($E111,countries!$A$2:$E$250,4,false)</f>
        <v>Asia</v>
      </c>
      <c r="R111" s="38" t="str">
        <f>VLOOKUP($E111,countries!$A$2:$E$250,5,false)</f>
        <v>Western Asia</v>
      </c>
      <c r="S111" s="38">
        <f t="shared" si="5"/>
        <v>36</v>
      </c>
      <c r="T111" s="38" t="s">
        <v>161</v>
      </c>
      <c r="U111" s="38">
        <v>2013.0</v>
      </c>
      <c r="V111" s="38">
        <v>7.0</v>
      </c>
      <c r="W111" s="38" t="s">
        <v>102</v>
      </c>
      <c r="X111" s="38" t="s">
        <v>168</v>
      </c>
      <c r="Y111" s="38" t="s">
        <v>165</v>
      </c>
      <c r="Z111" s="38" t="s">
        <v>166</v>
      </c>
      <c r="AA111" s="113" t="str">
        <f t="array" ref="AA111">PROPER(G111)</f>
        <v>Online</v>
      </c>
    </row>
    <row r="112">
      <c r="A112" s="110">
        <v>1.68979442E8</v>
      </c>
      <c r="B112" s="131">
        <v>40473.0</v>
      </c>
      <c r="C112" s="131">
        <v>40522.0</v>
      </c>
      <c r="D112" s="110" t="s">
        <v>95</v>
      </c>
      <c r="E112" s="110" t="s">
        <v>120</v>
      </c>
      <c r="F112" s="110">
        <v>8875.0</v>
      </c>
      <c r="G112" s="38" t="s">
        <v>43</v>
      </c>
      <c r="H112" s="110">
        <v>3627.0</v>
      </c>
      <c r="I112" s="132">
        <v>421.89</v>
      </c>
      <c r="J112" s="132">
        <v>364.69</v>
      </c>
      <c r="K112" s="39">
        <f t="shared" si="1"/>
        <v>1530195.03</v>
      </c>
      <c r="L112" s="39">
        <f t="shared" si="2"/>
        <v>1322730.63</v>
      </c>
      <c r="M112" s="39">
        <f t="shared" si="3"/>
        <v>207464.4</v>
      </c>
      <c r="N112" s="38" t="str">
        <f>VLOOKUP(F112,products!$A$2:$B$13,2,FALSE)</f>
        <v>Meat</v>
      </c>
      <c r="O112" s="133">
        <f t="shared" si="4"/>
        <v>0.8644196354</v>
      </c>
      <c r="P112" s="38" t="str">
        <f>VLOOKUP(E112,countries!A$2:E$250,3,false)</f>
        <v>San Marino</v>
      </c>
      <c r="Q112" s="38" t="str">
        <f>VLOOKUP($E112,countries!$A$2:$E$250,4,false)</f>
        <v>Europe</v>
      </c>
      <c r="R112" s="38" t="str">
        <f>VLOOKUP($E112,countries!$A$2:$E$250,5,false)</f>
        <v>Southern Europe</v>
      </c>
      <c r="S112" s="38">
        <f t="shared" si="5"/>
        <v>49</v>
      </c>
      <c r="T112" s="38" t="s">
        <v>167</v>
      </c>
      <c r="U112" s="38">
        <v>2010.0</v>
      </c>
      <c r="V112" s="38">
        <v>10.0</v>
      </c>
      <c r="W112" s="38" t="s">
        <v>120</v>
      </c>
      <c r="X112" s="38" t="s">
        <v>191</v>
      </c>
      <c r="Y112" s="38" t="s">
        <v>146</v>
      </c>
      <c r="Z112" s="38" t="s">
        <v>147</v>
      </c>
      <c r="AA112" s="113" t="str">
        <f t="array" ref="AA112">PROPER(G112)</f>
        <v>Online</v>
      </c>
    </row>
    <row r="113">
      <c r="A113" s="110">
        <v>1.69378983E8</v>
      </c>
      <c r="B113" s="131">
        <v>41719.0</v>
      </c>
      <c r="C113" s="131">
        <v>41739.0</v>
      </c>
      <c r="D113" s="110" t="s">
        <v>93</v>
      </c>
      <c r="E113" s="110" t="s">
        <v>122</v>
      </c>
      <c r="F113" s="110">
        <v>8875.0</v>
      </c>
      <c r="G113" s="38" t="s">
        <v>43</v>
      </c>
      <c r="H113" s="110">
        <v>1860.0</v>
      </c>
      <c r="I113" s="132">
        <v>421.89</v>
      </c>
      <c r="J113" s="132">
        <v>364.69</v>
      </c>
      <c r="K113" s="39">
        <f t="shared" si="1"/>
        <v>784715.4</v>
      </c>
      <c r="L113" s="39">
        <f t="shared" si="2"/>
        <v>678323.4</v>
      </c>
      <c r="M113" s="39">
        <f t="shared" si="3"/>
        <v>106392</v>
      </c>
      <c r="N113" s="38" t="str">
        <f>VLOOKUP(F113,products!$A$2:$B$13,2,FALSE)</f>
        <v>Meat</v>
      </c>
      <c r="O113" s="133">
        <f t="shared" si="4"/>
        <v>0.8644196354</v>
      </c>
      <c r="P113" s="38" t="str">
        <f>VLOOKUP(E113,countries!A$2:E$250,3,false)</f>
        <v>Switzerland</v>
      </c>
      <c r="Q113" s="38" t="str">
        <f>VLOOKUP($E113,countries!$A$2:$E$250,4,false)</f>
        <v>Europe</v>
      </c>
      <c r="R113" s="38" t="str">
        <f>VLOOKUP($E113,countries!$A$2:$E$250,5,false)</f>
        <v>Western Europe</v>
      </c>
      <c r="S113" s="38">
        <f t="shared" si="5"/>
        <v>20</v>
      </c>
      <c r="T113" s="38" t="s">
        <v>167</v>
      </c>
      <c r="U113" s="38">
        <v>2014.0</v>
      </c>
      <c r="V113" s="38">
        <v>3.0</v>
      </c>
      <c r="W113" s="38" t="s">
        <v>122</v>
      </c>
      <c r="X113" s="38" t="s">
        <v>193</v>
      </c>
      <c r="Y113" s="38" t="s">
        <v>146</v>
      </c>
      <c r="Z113" s="38" t="s">
        <v>158</v>
      </c>
      <c r="AA113" s="113" t="str">
        <f t="array" ref="AA113">PROPER(G113)</f>
        <v>Online</v>
      </c>
    </row>
    <row r="114">
      <c r="A114" s="110">
        <v>1.69799983E8</v>
      </c>
      <c r="B114" s="131">
        <v>41204.0</v>
      </c>
      <c r="C114" s="131">
        <v>41233.0</v>
      </c>
      <c r="D114" s="110" t="s">
        <v>95</v>
      </c>
      <c r="E114" s="110" t="s">
        <v>104</v>
      </c>
      <c r="F114" s="110">
        <v>4594.0</v>
      </c>
      <c r="G114" s="38" t="s">
        <v>43</v>
      </c>
      <c r="H114" s="110">
        <v>6443.0</v>
      </c>
      <c r="I114" s="132">
        <v>9.33</v>
      </c>
      <c r="J114" s="132">
        <v>6.92</v>
      </c>
      <c r="K114" s="39">
        <f t="shared" si="1"/>
        <v>60113.19</v>
      </c>
      <c r="L114" s="39">
        <f t="shared" si="2"/>
        <v>44585.56</v>
      </c>
      <c r="M114" s="39">
        <f t="shared" si="3"/>
        <v>15527.63</v>
      </c>
      <c r="N114" s="38" t="str">
        <f>VLOOKUP(F114,products!$A$2:$B$13,2,FALSE)</f>
        <v>Fruits</v>
      </c>
      <c r="O114" s="133">
        <f t="shared" si="4"/>
        <v>0.741693462</v>
      </c>
      <c r="P114" s="38" t="str">
        <f>VLOOKUP(E114,countries!A$2:E$250,3,false)</f>
        <v>Slovenia</v>
      </c>
      <c r="Q114" s="38" t="str">
        <f>VLOOKUP($E114,countries!$A$2:$E$250,4,false)</f>
        <v>Europe</v>
      </c>
      <c r="R114" s="38" t="str">
        <f>VLOOKUP($E114,countries!$A$2:$E$250,5,false)</f>
        <v>Southern Europe</v>
      </c>
      <c r="S114" s="38">
        <f t="shared" si="5"/>
        <v>29</v>
      </c>
      <c r="T114" s="38" t="s">
        <v>156</v>
      </c>
      <c r="U114" s="38">
        <v>2012.0</v>
      </c>
      <c r="V114" s="38">
        <v>10.0</v>
      </c>
      <c r="W114" s="38" t="s">
        <v>104</v>
      </c>
      <c r="X114" s="38" t="s">
        <v>171</v>
      </c>
      <c r="Y114" s="38" t="s">
        <v>146</v>
      </c>
      <c r="Z114" s="38" t="s">
        <v>147</v>
      </c>
      <c r="AA114" s="113" t="str">
        <f t="array" ref="AA114">PROPER(G114)</f>
        <v>Online</v>
      </c>
    </row>
    <row r="115">
      <c r="A115" s="110">
        <v>1.73122918E8</v>
      </c>
      <c r="B115" s="131">
        <v>42163.0</v>
      </c>
      <c r="C115" s="131">
        <v>42210.0</v>
      </c>
      <c r="D115" s="110" t="s">
        <v>89</v>
      </c>
      <c r="E115" s="110" t="s">
        <v>116</v>
      </c>
      <c r="F115" s="110">
        <v>2455.0</v>
      </c>
      <c r="G115" s="38" t="s">
        <v>42</v>
      </c>
      <c r="H115" s="110">
        <v>9773.0</v>
      </c>
      <c r="I115" s="132">
        <v>109.28</v>
      </c>
      <c r="J115" s="132">
        <v>35.84</v>
      </c>
      <c r="K115" s="39">
        <f t="shared" si="1"/>
        <v>1067993.44</v>
      </c>
      <c r="L115" s="39">
        <f t="shared" si="2"/>
        <v>350264.32</v>
      </c>
      <c r="M115" s="39">
        <f t="shared" si="3"/>
        <v>717729.12</v>
      </c>
      <c r="N115" s="38" t="str">
        <f>VLOOKUP(F115,products!$A$2:$B$13,2,FALSE)</f>
        <v>Clothes</v>
      </c>
      <c r="O115" s="133">
        <f t="shared" si="4"/>
        <v>0.3279648609</v>
      </c>
      <c r="P115" s="38" t="str">
        <f>VLOOKUP(E115,countries!A$2:E$250,3,false)</f>
        <v>Belarus</v>
      </c>
      <c r="Q115" s="38" t="str">
        <f>VLOOKUP($E115,countries!$A$2:$E$250,4,false)</f>
        <v>Europe</v>
      </c>
      <c r="R115" s="38" t="str">
        <f>VLOOKUP($E115,countries!$A$2:$E$250,5,false)</f>
        <v>Eastern Europe</v>
      </c>
      <c r="S115" s="38">
        <f t="shared" si="5"/>
        <v>47</v>
      </c>
      <c r="T115" s="38" t="s">
        <v>150</v>
      </c>
      <c r="U115" s="38">
        <v>2015.0</v>
      </c>
      <c r="V115" s="38">
        <v>6.0</v>
      </c>
      <c r="W115" s="38" t="s">
        <v>116</v>
      </c>
      <c r="X115" s="38" t="s">
        <v>187</v>
      </c>
      <c r="Y115" s="38" t="s">
        <v>146</v>
      </c>
      <c r="Z115" s="38" t="s">
        <v>155</v>
      </c>
      <c r="AA115" s="113" t="str">
        <f t="array" ref="AA115">PROPER(G115)</f>
        <v>Offline</v>
      </c>
    </row>
    <row r="116">
      <c r="A116" s="110">
        <v>1.74218118E8</v>
      </c>
      <c r="B116" s="131">
        <v>42490.0</v>
      </c>
      <c r="C116" s="131">
        <v>42534.0</v>
      </c>
      <c r="D116" s="110" t="s">
        <v>89</v>
      </c>
      <c r="E116" s="110" t="s">
        <v>100</v>
      </c>
      <c r="F116" s="110">
        <v>2103.0</v>
      </c>
      <c r="G116" s="38" t="s">
        <v>42</v>
      </c>
      <c r="H116" s="110">
        <v>3867.0</v>
      </c>
      <c r="I116" s="132">
        <v>205.7</v>
      </c>
      <c r="J116" s="132">
        <v>117.11</v>
      </c>
      <c r="K116" s="39">
        <f t="shared" si="1"/>
        <v>795441.9</v>
      </c>
      <c r="L116" s="39">
        <f t="shared" si="2"/>
        <v>452864.37</v>
      </c>
      <c r="M116" s="39">
        <f t="shared" si="3"/>
        <v>342577.53</v>
      </c>
      <c r="N116" s="38" t="str">
        <f>VLOOKUP(F116,products!$A$2:$B$13,2,FALSE)</f>
        <v>Cereal</v>
      </c>
      <c r="O116" s="133">
        <f t="shared" si="4"/>
        <v>0.5693242586</v>
      </c>
      <c r="P116" s="38" t="str">
        <f>VLOOKUP(E116,countries!A$2:E$250,3,false)</f>
        <v>Germany</v>
      </c>
      <c r="Q116" s="38" t="str">
        <f>VLOOKUP($E116,countries!$A$2:$E$250,4,false)</f>
        <v>Europe</v>
      </c>
      <c r="R116" s="38" t="str">
        <f>VLOOKUP($E116,countries!$A$2:$E$250,5,false)</f>
        <v>Western Europe</v>
      </c>
      <c r="S116" s="38">
        <f t="shared" si="5"/>
        <v>44</v>
      </c>
      <c r="T116" s="38" t="s">
        <v>144</v>
      </c>
      <c r="U116" s="38">
        <v>2016.0</v>
      </c>
      <c r="V116" s="38">
        <v>4.0</v>
      </c>
      <c r="W116" s="38" t="s">
        <v>100</v>
      </c>
      <c r="X116" s="38" t="s">
        <v>163</v>
      </c>
      <c r="Y116" s="38" t="s">
        <v>146</v>
      </c>
      <c r="Z116" s="38" t="s">
        <v>158</v>
      </c>
      <c r="AA116" s="113" t="str">
        <f t="array" ref="AA116">PROPER(G116)</f>
        <v>Offline</v>
      </c>
    </row>
    <row r="117">
      <c r="A117" s="110">
        <v>1.74614226E8</v>
      </c>
      <c r="B117" s="131">
        <v>42910.0</v>
      </c>
      <c r="C117" s="131">
        <v>42960.0</v>
      </c>
      <c r="D117" s="110" t="s">
        <v>10</v>
      </c>
      <c r="E117" s="110" t="s">
        <v>128</v>
      </c>
      <c r="F117" s="110">
        <v>7331.0</v>
      </c>
      <c r="G117" s="38" t="s">
        <v>42</v>
      </c>
      <c r="H117" s="110">
        <v>1085.0</v>
      </c>
      <c r="I117" s="132">
        <v>255.28</v>
      </c>
      <c r="J117" s="132">
        <v>159.42</v>
      </c>
      <c r="K117" s="39">
        <f t="shared" si="1"/>
        <v>276978.8</v>
      </c>
      <c r="L117" s="39">
        <f t="shared" si="2"/>
        <v>172970.7</v>
      </c>
      <c r="M117" s="39">
        <f t="shared" si="3"/>
        <v>104008.1</v>
      </c>
      <c r="N117" s="38" t="str">
        <f>VLOOKUP(F117,products!$A$2:$B$13,2,FALSE)</f>
        <v>Baby Food</v>
      </c>
      <c r="O117" s="133">
        <f t="shared" si="4"/>
        <v>0.6244907552</v>
      </c>
      <c r="P117" s="38" t="str">
        <f>VLOOKUP(E117,countries!A$2:E$250,3,false)</f>
        <v>Andorra</v>
      </c>
      <c r="Q117" s="38" t="str">
        <f>VLOOKUP($E117,countries!$A$2:$E$250,4,false)</f>
        <v>Europe</v>
      </c>
      <c r="R117" s="38" t="str">
        <f>VLOOKUP($E117,countries!$A$2:$E$250,5,false)</f>
        <v>Southern Europe</v>
      </c>
      <c r="S117" s="38">
        <f t="shared" si="5"/>
        <v>50</v>
      </c>
      <c r="T117" s="38" t="s">
        <v>161</v>
      </c>
      <c r="U117" s="38">
        <v>2017.0</v>
      </c>
      <c r="V117" s="38">
        <v>6.0</v>
      </c>
      <c r="W117" s="38" t="s">
        <v>128</v>
      </c>
      <c r="X117" s="38" t="s">
        <v>199</v>
      </c>
      <c r="Y117" s="38" t="s">
        <v>146</v>
      </c>
      <c r="Z117" s="38" t="s">
        <v>147</v>
      </c>
      <c r="AA117" s="113" t="str">
        <f t="array" ref="AA117">PROPER(G117)</f>
        <v>Offline</v>
      </c>
    </row>
    <row r="118">
      <c r="A118" s="110">
        <v>1.74935233E8</v>
      </c>
      <c r="B118" s="131">
        <v>42577.0</v>
      </c>
      <c r="C118" s="131">
        <v>42580.0</v>
      </c>
      <c r="D118" s="110" t="s">
        <v>89</v>
      </c>
      <c r="E118" s="110" t="s">
        <v>97</v>
      </c>
      <c r="F118" s="110">
        <v>8293.0</v>
      </c>
      <c r="G118" s="38" t="s">
        <v>43</v>
      </c>
      <c r="H118" s="110">
        <v>6078.0</v>
      </c>
      <c r="I118" s="132">
        <v>437.2</v>
      </c>
      <c r="J118" s="132">
        <v>263.33</v>
      </c>
      <c r="K118" s="39">
        <f t="shared" si="1"/>
        <v>2657301.6</v>
      </c>
      <c r="L118" s="39">
        <f t="shared" si="2"/>
        <v>1600519.74</v>
      </c>
      <c r="M118" s="39">
        <f t="shared" si="3"/>
        <v>1056781.86</v>
      </c>
      <c r="N118" s="38" t="str">
        <f>VLOOKUP(F118,products!$A$2:$B$13,2,FALSE)</f>
        <v>Cosmetics</v>
      </c>
      <c r="O118" s="133">
        <f t="shared" si="4"/>
        <v>0.6023101555</v>
      </c>
      <c r="P118" s="38" t="str">
        <f>VLOOKUP(E118,countries!A$2:E$250,3,false)</f>
        <v>France</v>
      </c>
      <c r="Q118" s="38" t="str">
        <f>VLOOKUP($E118,countries!$A$2:$E$250,4,false)</f>
        <v>Europe</v>
      </c>
      <c r="R118" s="38" t="str">
        <f>VLOOKUP($E118,countries!$A$2:$E$250,5,false)</f>
        <v>Western Europe</v>
      </c>
      <c r="S118" s="38">
        <f t="shared" si="5"/>
        <v>3</v>
      </c>
      <c r="T118" s="38" t="s">
        <v>178</v>
      </c>
      <c r="U118" s="38">
        <v>2016.0</v>
      </c>
      <c r="V118" s="38">
        <v>7.0</v>
      </c>
      <c r="W118" s="38" t="s">
        <v>97</v>
      </c>
      <c r="X118" s="38" t="s">
        <v>157</v>
      </c>
      <c r="Y118" s="38" t="s">
        <v>146</v>
      </c>
      <c r="Z118" s="38" t="s">
        <v>158</v>
      </c>
      <c r="AA118" s="113" t="str">
        <f t="array" ref="AA118">PROPER(G118)</f>
        <v>Online</v>
      </c>
    </row>
    <row r="119">
      <c r="A119" s="110">
        <v>1.75723588E8</v>
      </c>
      <c r="B119" s="131">
        <v>41799.0</v>
      </c>
      <c r="C119" s="131">
        <v>41804.0</v>
      </c>
      <c r="D119" s="110" t="s">
        <v>93</v>
      </c>
      <c r="E119" s="110" t="s">
        <v>136</v>
      </c>
      <c r="F119" s="110">
        <v>7940.0</v>
      </c>
      <c r="G119" s="38" t="s">
        <v>43</v>
      </c>
      <c r="H119" s="110">
        <v>9370.0</v>
      </c>
      <c r="I119" s="132">
        <v>668.27</v>
      </c>
      <c r="J119" s="132">
        <v>502.54</v>
      </c>
      <c r="K119" s="39">
        <f t="shared" si="1"/>
        <v>6261689.9</v>
      </c>
      <c r="L119" s="39">
        <f t="shared" si="2"/>
        <v>4708799.8</v>
      </c>
      <c r="M119" s="39">
        <f t="shared" si="3"/>
        <v>1552890.1</v>
      </c>
      <c r="N119" s="38" t="str">
        <f>VLOOKUP(F119,products!$A$2:$B$13,2,FALSE)</f>
        <v>Household</v>
      </c>
      <c r="O119" s="133">
        <f t="shared" si="4"/>
        <v>0.7520014365</v>
      </c>
      <c r="P119" s="38" t="str">
        <f>VLOOKUP(E119,countries!A$2:E$250,3,false)</f>
        <v>Monaco</v>
      </c>
      <c r="Q119" s="38" t="str">
        <f>VLOOKUP($E119,countries!$A$2:$E$250,4,false)</f>
        <v>Europe</v>
      </c>
      <c r="R119" s="38" t="str">
        <f>VLOOKUP($E119,countries!$A$2:$E$250,5,false)</f>
        <v>Western Europe</v>
      </c>
      <c r="S119" s="38">
        <f t="shared" si="5"/>
        <v>5</v>
      </c>
      <c r="T119" s="38" t="s">
        <v>148</v>
      </c>
      <c r="U119" s="38">
        <v>2014.0</v>
      </c>
      <c r="V119" s="38">
        <v>6.0</v>
      </c>
      <c r="W119" s="38" t="s">
        <v>136</v>
      </c>
      <c r="X119" s="38" t="s">
        <v>206</v>
      </c>
      <c r="Y119" s="38" t="s">
        <v>146</v>
      </c>
      <c r="Z119" s="38" t="s">
        <v>158</v>
      </c>
      <c r="AA119" s="113" t="str">
        <f t="array" ref="AA119">PROPER(G119)</f>
        <v>Online</v>
      </c>
    </row>
    <row r="120">
      <c r="A120" s="110">
        <v>1.76050603E8</v>
      </c>
      <c r="B120" s="131">
        <v>41525.0</v>
      </c>
      <c r="C120" s="131">
        <v>41575.0</v>
      </c>
      <c r="D120" s="110" t="s">
        <v>10</v>
      </c>
      <c r="E120" s="110" t="s">
        <v>106</v>
      </c>
      <c r="F120" s="110">
        <v>2103.0</v>
      </c>
      <c r="G120" s="38" t="s">
        <v>43</v>
      </c>
      <c r="H120" s="110">
        <v>6140.0</v>
      </c>
      <c r="I120" s="132">
        <v>205.7</v>
      </c>
      <c r="J120" s="132">
        <v>117.11</v>
      </c>
      <c r="K120" s="39">
        <f t="shared" si="1"/>
        <v>1262998</v>
      </c>
      <c r="L120" s="39">
        <f t="shared" si="2"/>
        <v>719055.4</v>
      </c>
      <c r="M120" s="39">
        <f t="shared" si="3"/>
        <v>543942.6</v>
      </c>
      <c r="N120" s="38" t="str">
        <f>VLOOKUP(F120,products!$A$2:$B$13,2,FALSE)</f>
        <v>Cereal</v>
      </c>
      <c r="O120" s="133">
        <f t="shared" si="4"/>
        <v>0.5693242586</v>
      </c>
      <c r="P120" s="38" t="str">
        <f>VLOOKUP(E120,countries!A$2:E$250,3,false)</f>
        <v>Poland</v>
      </c>
      <c r="Q120" s="38" t="str">
        <f>VLOOKUP($E120,countries!$A$2:$E$250,4,false)</f>
        <v>Europe</v>
      </c>
      <c r="R120" s="38" t="str">
        <f>VLOOKUP($E120,countries!$A$2:$E$250,5,false)</f>
        <v>Eastern Europe</v>
      </c>
      <c r="S120" s="38">
        <f t="shared" si="5"/>
        <v>50</v>
      </c>
      <c r="T120" s="38" t="s">
        <v>144</v>
      </c>
      <c r="U120" s="38">
        <v>2013.0</v>
      </c>
      <c r="V120" s="38">
        <v>9.0</v>
      </c>
      <c r="W120" s="38" t="s">
        <v>106</v>
      </c>
      <c r="X120" s="38" t="s">
        <v>173</v>
      </c>
      <c r="Y120" s="38" t="s">
        <v>146</v>
      </c>
      <c r="Z120" s="38" t="s">
        <v>155</v>
      </c>
      <c r="AA120" s="113" t="str">
        <f t="array" ref="AA120">PROPER(G120)</f>
        <v>Online</v>
      </c>
    </row>
    <row r="121">
      <c r="A121" s="110">
        <v>1.76722657E8</v>
      </c>
      <c r="B121" s="131">
        <v>41160.0</v>
      </c>
      <c r="C121" s="131">
        <v>41168.0</v>
      </c>
      <c r="D121" s="110" t="s">
        <v>95</v>
      </c>
      <c r="E121" s="110" t="s">
        <v>117</v>
      </c>
      <c r="F121" s="110">
        <v>2455.0</v>
      </c>
      <c r="G121" s="38" t="s">
        <v>43</v>
      </c>
      <c r="H121" s="110">
        <v>5016.0</v>
      </c>
      <c r="I121" s="132">
        <v>109.28</v>
      </c>
      <c r="J121" s="132">
        <v>35.84</v>
      </c>
      <c r="K121" s="39">
        <f t="shared" si="1"/>
        <v>548148.48</v>
      </c>
      <c r="L121" s="39">
        <f t="shared" si="2"/>
        <v>179773.44</v>
      </c>
      <c r="M121" s="39">
        <f t="shared" si="3"/>
        <v>368375.04</v>
      </c>
      <c r="N121" s="38" t="str">
        <f>VLOOKUP(F121,products!$A$2:$B$13,2,FALSE)</f>
        <v>Clothes</v>
      </c>
      <c r="O121" s="133">
        <f t="shared" si="4"/>
        <v>0.3279648609</v>
      </c>
      <c r="P121" s="38" t="str">
        <f>VLOOKUP(E121,countries!A$2:E$250,3,false)</f>
        <v>Estonia</v>
      </c>
      <c r="Q121" s="38" t="str">
        <f>VLOOKUP($E121,countries!$A$2:$E$250,4,false)</f>
        <v>Europe</v>
      </c>
      <c r="R121" s="38" t="str">
        <f>VLOOKUP($E121,countries!$A$2:$E$250,5,false)</f>
        <v>Northern Europe</v>
      </c>
      <c r="S121" s="38">
        <f t="shared" si="5"/>
        <v>8</v>
      </c>
      <c r="T121" s="38" t="s">
        <v>150</v>
      </c>
      <c r="U121" s="38">
        <v>2012.0</v>
      </c>
      <c r="V121" s="38">
        <v>9.0</v>
      </c>
      <c r="W121" s="38" t="s">
        <v>117</v>
      </c>
      <c r="X121" s="38" t="s">
        <v>188</v>
      </c>
      <c r="Y121" s="38" t="s">
        <v>146</v>
      </c>
      <c r="Z121" s="38" t="s">
        <v>170</v>
      </c>
      <c r="AA121" s="113" t="str">
        <f t="array" ref="AA121">PROPER(G121)</f>
        <v>Online</v>
      </c>
    </row>
    <row r="122">
      <c r="A122" s="110">
        <v>1.7714709E8</v>
      </c>
      <c r="B122" s="131">
        <v>41470.0</v>
      </c>
      <c r="C122" s="131">
        <v>41503.0</v>
      </c>
      <c r="D122" s="110" t="s">
        <v>93</v>
      </c>
      <c r="E122" s="110" t="s">
        <v>136</v>
      </c>
      <c r="F122" s="110">
        <v>8875.0</v>
      </c>
      <c r="G122" s="38" t="s">
        <v>42</v>
      </c>
      <c r="H122" s="110">
        <v>615.0</v>
      </c>
      <c r="I122" s="132">
        <v>421.89</v>
      </c>
      <c r="J122" s="132">
        <v>364.69</v>
      </c>
      <c r="K122" s="39">
        <f t="shared" si="1"/>
        <v>259462.35</v>
      </c>
      <c r="L122" s="39">
        <f t="shared" si="2"/>
        <v>224284.35</v>
      </c>
      <c r="M122" s="39">
        <f t="shared" si="3"/>
        <v>35178</v>
      </c>
      <c r="N122" s="38" t="str">
        <f>VLOOKUP(F122,products!$A$2:$B$13,2,FALSE)</f>
        <v>Meat</v>
      </c>
      <c r="O122" s="133">
        <f t="shared" si="4"/>
        <v>0.8644196354</v>
      </c>
      <c r="P122" s="38" t="str">
        <f>VLOOKUP(E122,countries!A$2:E$250,3,false)</f>
        <v>Monaco</v>
      </c>
      <c r="Q122" s="38" t="str">
        <f>VLOOKUP($E122,countries!$A$2:$E$250,4,false)</f>
        <v>Europe</v>
      </c>
      <c r="R122" s="38" t="str">
        <f>VLOOKUP($E122,countries!$A$2:$E$250,5,false)</f>
        <v>Western Europe</v>
      </c>
      <c r="S122" s="38">
        <f t="shared" si="5"/>
        <v>33</v>
      </c>
      <c r="T122" s="38" t="s">
        <v>167</v>
      </c>
      <c r="U122" s="38">
        <v>2013.0</v>
      </c>
      <c r="V122" s="38">
        <v>7.0</v>
      </c>
      <c r="W122" s="38" t="s">
        <v>136</v>
      </c>
      <c r="X122" s="38" t="s">
        <v>206</v>
      </c>
      <c r="Y122" s="38" t="s">
        <v>146</v>
      </c>
      <c r="Z122" s="38" t="s">
        <v>158</v>
      </c>
      <c r="AA122" s="113" t="str">
        <f t="array" ref="AA122">PROPER(G122)</f>
        <v>Offline</v>
      </c>
    </row>
    <row r="123">
      <c r="A123" s="110">
        <v>1.78604066E8</v>
      </c>
      <c r="B123" s="131">
        <v>42267.0</v>
      </c>
      <c r="C123" s="131">
        <v>42295.0</v>
      </c>
      <c r="D123" s="110" t="s">
        <v>10</v>
      </c>
      <c r="E123" s="110" t="s">
        <v>118</v>
      </c>
      <c r="F123" s="110">
        <v>7940.0</v>
      </c>
      <c r="G123" s="38" t="s">
        <v>43</v>
      </c>
      <c r="H123" s="110">
        <v>1767.0</v>
      </c>
      <c r="I123" s="132">
        <v>668.27</v>
      </c>
      <c r="J123" s="132">
        <v>502.54</v>
      </c>
      <c r="K123" s="39">
        <f t="shared" si="1"/>
        <v>1180833.09</v>
      </c>
      <c r="L123" s="39">
        <f t="shared" si="2"/>
        <v>887988.18</v>
      </c>
      <c r="M123" s="39">
        <f t="shared" si="3"/>
        <v>292844.91</v>
      </c>
      <c r="N123" s="38" t="str">
        <f>VLOOKUP(F123,products!$A$2:$B$13,2,FALSE)</f>
        <v>Household</v>
      </c>
      <c r="O123" s="133">
        <f t="shared" si="4"/>
        <v>0.7520014365</v>
      </c>
      <c r="P123" s="38" t="str">
        <f>VLOOKUP(E123,countries!A$2:E$250,3,false)</f>
        <v>Austria</v>
      </c>
      <c r="Q123" s="38" t="str">
        <f>VLOOKUP($E123,countries!$A$2:$E$250,4,false)</f>
        <v>Europe</v>
      </c>
      <c r="R123" s="38" t="str">
        <f>VLOOKUP($E123,countries!$A$2:$E$250,5,false)</f>
        <v>Western Europe</v>
      </c>
      <c r="S123" s="38">
        <f t="shared" si="5"/>
        <v>28</v>
      </c>
      <c r="T123" s="38" t="s">
        <v>148</v>
      </c>
      <c r="U123" s="38">
        <v>2015.0</v>
      </c>
      <c r="V123" s="38">
        <v>9.0</v>
      </c>
      <c r="W123" s="38" t="s">
        <v>118</v>
      </c>
      <c r="X123" s="38" t="s">
        <v>189</v>
      </c>
      <c r="Y123" s="38" t="s">
        <v>146</v>
      </c>
      <c r="Z123" s="38" t="s">
        <v>158</v>
      </c>
      <c r="AA123" s="113" t="str">
        <f t="array" ref="AA123">PROPER(G123)</f>
        <v>Online</v>
      </c>
    </row>
    <row r="124">
      <c r="A124" s="110">
        <v>1.79819428E8</v>
      </c>
      <c r="B124" s="131">
        <v>41034.0</v>
      </c>
      <c r="C124" s="131">
        <v>41062.0</v>
      </c>
      <c r="D124" s="110" t="s">
        <v>10</v>
      </c>
      <c r="E124" s="110" t="s">
        <v>125</v>
      </c>
      <c r="F124" s="110">
        <v>8293.0</v>
      </c>
      <c r="G124" s="38" t="s">
        <v>43</v>
      </c>
      <c r="H124" s="110">
        <v>1420.0</v>
      </c>
      <c r="I124" s="132">
        <v>437.2</v>
      </c>
      <c r="J124" s="132">
        <v>263.33</v>
      </c>
      <c r="K124" s="39">
        <f t="shared" si="1"/>
        <v>620824</v>
      </c>
      <c r="L124" s="39">
        <f t="shared" si="2"/>
        <v>373928.6</v>
      </c>
      <c r="M124" s="39">
        <f t="shared" si="3"/>
        <v>246895.4</v>
      </c>
      <c r="N124" s="38" t="str">
        <f>VLOOKUP(F124,products!$A$2:$B$13,2,FALSE)</f>
        <v>Cosmetics</v>
      </c>
      <c r="O124" s="133">
        <f t="shared" si="4"/>
        <v>0.6023101555</v>
      </c>
      <c r="P124" s="38" t="str">
        <f>VLOOKUP(E124,countries!A$2:E$250,3,false)</f>
        <v>Bulgaria</v>
      </c>
      <c r="Q124" s="38" t="str">
        <f>VLOOKUP($E124,countries!$A$2:$E$250,4,false)</f>
        <v>Europe</v>
      </c>
      <c r="R124" s="38" t="str">
        <f>VLOOKUP($E124,countries!$A$2:$E$250,5,false)</f>
        <v>Eastern Europe</v>
      </c>
      <c r="S124" s="38">
        <f t="shared" si="5"/>
        <v>28</v>
      </c>
      <c r="T124" s="38" t="s">
        <v>178</v>
      </c>
      <c r="U124" s="38">
        <v>2012.0</v>
      </c>
      <c r="V124" s="38">
        <v>5.0</v>
      </c>
      <c r="W124" s="38" t="s">
        <v>125</v>
      </c>
      <c r="X124" s="38" t="s">
        <v>196</v>
      </c>
      <c r="Y124" s="38" t="s">
        <v>146</v>
      </c>
      <c r="Z124" s="38" t="s">
        <v>155</v>
      </c>
      <c r="AA124" s="113" t="str">
        <f t="array" ref="AA124">PROPER(G124)</f>
        <v>Online</v>
      </c>
    </row>
    <row r="125">
      <c r="A125" s="110">
        <v>1.80358016E8</v>
      </c>
      <c r="B125" s="131">
        <v>42490.0</v>
      </c>
      <c r="C125" s="131">
        <v>42506.0</v>
      </c>
      <c r="D125" s="110" t="s">
        <v>89</v>
      </c>
      <c r="E125" s="110" t="s">
        <v>112</v>
      </c>
      <c r="F125" s="110">
        <v>1270.0</v>
      </c>
      <c r="G125" s="38" t="s">
        <v>43</v>
      </c>
      <c r="H125" s="110">
        <v>800.0</v>
      </c>
      <c r="I125" s="132">
        <v>47.45</v>
      </c>
      <c r="J125" s="132">
        <v>31.79</v>
      </c>
      <c r="K125" s="39">
        <f t="shared" si="1"/>
        <v>37960</v>
      </c>
      <c r="L125" s="39">
        <f t="shared" si="2"/>
        <v>25432</v>
      </c>
      <c r="M125" s="39">
        <f t="shared" si="3"/>
        <v>12528</v>
      </c>
      <c r="N125" s="38" t="str">
        <f>VLOOKUP(F125,products!$A$2:$B$13,2,FALSE)</f>
        <v>Beverages</v>
      </c>
      <c r="O125" s="133">
        <f t="shared" si="4"/>
        <v>0.6699683878</v>
      </c>
      <c r="P125" s="38" t="str">
        <f>VLOOKUP(E125,countries!A$2:E$250,3,false)</f>
        <v>Malta</v>
      </c>
      <c r="Q125" s="38" t="str">
        <f>VLOOKUP($E125,countries!$A$2:$E$250,4,false)</f>
        <v>Europe</v>
      </c>
      <c r="R125" s="38" t="str">
        <f>VLOOKUP($E125,countries!$A$2:$E$250,5,false)</f>
        <v>Southern Europe</v>
      </c>
      <c r="S125" s="38">
        <f t="shared" si="5"/>
        <v>16</v>
      </c>
      <c r="T125" s="38" t="s">
        <v>152</v>
      </c>
      <c r="U125" s="38">
        <v>2016.0</v>
      </c>
      <c r="V125" s="38">
        <v>4.0</v>
      </c>
      <c r="W125" s="38" t="s">
        <v>112</v>
      </c>
      <c r="X125" s="38" t="s">
        <v>180</v>
      </c>
      <c r="Y125" s="38" t="s">
        <v>146</v>
      </c>
      <c r="Z125" s="38" t="s">
        <v>147</v>
      </c>
      <c r="AA125" s="113" t="str">
        <f t="array" ref="AA125">PROPER(G125)</f>
        <v>Online</v>
      </c>
    </row>
    <row r="126">
      <c r="A126" s="110">
        <v>1.80479466E8</v>
      </c>
      <c r="B126" s="131">
        <v>40548.0</v>
      </c>
      <c r="C126" s="131">
        <v>40555.0</v>
      </c>
      <c r="D126" s="110" t="s">
        <v>10</v>
      </c>
      <c r="E126" s="110" t="s">
        <v>116</v>
      </c>
      <c r="F126" s="110">
        <v>5988.0</v>
      </c>
      <c r="G126" s="38" t="s">
        <v>43</v>
      </c>
      <c r="H126" s="110">
        <v>6740.0</v>
      </c>
      <c r="I126" s="132">
        <v>154.06</v>
      </c>
      <c r="J126" s="132">
        <v>90.93</v>
      </c>
      <c r="K126" s="39">
        <f t="shared" si="1"/>
        <v>1038364.4</v>
      </c>
      <c r="L126" s="39">
        <f t="shared" si="2"/>
        <v>612868.2</v>
      </c>
      <c r="M126" s="39">
        <f t="shared" si="3"/>
        <v>425496.2</v>
      </c>
      <c r="N126" s="38" t="str">
        <f>VLOOKUP(F126,products!$A$2:$B$13,2,FALSE)</f>
        <v>Vegetables</v>
      </c>
      <c r="O126" s="133">
        <f t="shared" si="4"/>
        <v>0.5902245878</v>
      </c>
      <c r="P126" s="38" t="str">
        <f>VLOOKUP(E126,countries!A$2:E$250,3,false)</f>
        <v>Belarus</v>
      </c>
      <c r="Q126" s="38" t="str">
        <f>VLOOKUP($E126,countries!$A$2:$E$250,4,false)</f>
        <v>Europe</v>
      </c>
      <c r="R126" s="38" t="str">
        <f>VLOOKUP($E126,countries!$A$2:$E$250,5,false)</f>
        <v>Eastern Europe</v>
      </c>
      <c r="S126" s="38">
        <f t="shared" si="5"/>
        <v>7</v>
      </c>
      <c r="T126" s="38" t="s">
        <v>159</v>
      </c>
      <c r="U126" s="38">
        <v>2011.0</v>
      </c>
      <c r="V126" s="38">
        <v>1.0</v>
      </c>
      <c r="W126" s="38" t="s">
        <v>116</v>
      </c>
      <c r="X126" s="38" t="s">
        <v>187</v>
      </c>
      <c r="Y126" s="38" t="s">
        <v>146</v>
      </c>
      <c r="Z126" s="38" t="s">
        <v>155</v>
      </c>
      <c r="AA126" s="113" t="str">
        <f t="array" ref="AA126">PROPER(G126)</f>
        <v>Online</v>
      </c>
    </row>
    <row r="127">
      <c r="A127" s="110">
        <v>1.81260526E8</v>
      </c>
      <c r="B127" s="131">
        <v>42858.0</v>
      </c>
      <c r="C127" s="131">
        <v>42889.0</v>
      </c>
      <c r="D127" s="110" t="s">
        <v>89</v>
      </c>
      <c r="E127" s="110" t="s">
        <v>113</v>
      </c>
      <c r="F127" s="110">
        <v>8681.0</v>
      </c>
      <c r="G127" s="38" t="s">
        <v>42</v>
      </c>
      <c r="H127" s="110">
        <v>7872.0</v>
      </c>
      <c r="I127" s="132">
        <v>651.21</v>
      </c>
      <c r="J127" s="132">
        <v>524.96</v>
      </c>
      <c r="K127" s="39">
        <f t="shared" si="1"/>
        <v>5126325.12</v>
      </c>
      <c r="L127" s="39">
        <f t="shared" si="2"/>
        <v>4132485.12</v>
      </c>
      <c r="M127" s="39">
        <f t="shared" si="3"/>
        <v>993840</v>
      </c>
      <c r="N127" s="38" t="str">
        <f>VLOOKUP(F127,products!$A$2:$B$13,2,FALSE)</f>
        <v>Office Supplies</v>
      </c>
      <c r="O127" s="133">
        <f t="shared" si="4"/>
        <v>0.806130127</v>
      </c>
      <c r="P127" s="38" t="str">
        <f>VLOOKUP(E127,countries!A$2:E$250,3,false)</f>
        <v>Ukraine</v>
      </c>
      <c r="Q127" s="38" t="str">
        <f>VLOOKUP($E127,countries!$A$2:$E$250,4,false)</f>
        <v>Europe</v>
      </c>
      <c r="R127" s="38" t="str">
        <f>VLOOKUP($E127,countries!$A$2:$E$250,5,false)</f>
        <v>Eastern Europe</v>
      </c>
      <c r="S127" s="38">
        <f t="shared" si="5"/>
        <v>31</v>
      </c>
      <c r="T127" s="38" t="s">
        <v>153</v>
      </c>
      <c r="U127" s="38">
        <v>2017.0</v>
      </c>
      <c r="V127" s="38">
        <v>5.0</v>
      </c>
      <c r="W127" s="38" t="s">
        <v>113</v>
      </c>
      <c r="X127" s="38" t="s">
        <v>181</v>
      </c>
      <c r="Y127" s="38" t="s">
        <v>146</v>
      </c>
      <c r="Z127" s="38" t="s">
        <v>155</v>
      </c>
      <c r="AA127" s="113" t="str">
        <f t="array" ref="AA127">PROPER(G127)</f>
        <v>Offline</v>
      </c>
    </row>
    <row r="128">
      <c r="A128" s="110">
        <v>1.82078921E8</v>
      </c>
      <c r="B128" s="131">
        <v>42381.0</v>
      </c>
      <c r="C128" s="131">
        <v>42414.0</v>
      </c>
      <c r="D128" s="110" t="s">
        <v>95</v>
      </c>
      <c r="E128" s="110" t="s">
        <v>130</v>
      </c>
      <c r="F128" s="110">
        <v>4594.0</v>
      </c>
      <c r="G128" s="38" t="s">
        <v>42</v>
      </c>
      <c r="H128" s="110">
        <v>54.0</v>
      </c>
      <c r="I128" s="132">
        <v>9.33</v>
      </c>
      <c r="J128" s="132">
        <v>6.92</v>
      </c>
      <c r="K128" s="39">
        <f t="shared" si="1"/>
        <v>503.82</v>
      </c>
      <c r="L128" s="39">
        <f t="shared" si="2"/>
        <v>373.68</v>
      </c>
      <c r="M128" s="39">
        <f t="shared" si="3"/>
        <v>130.14</v>
      </c>
      <c r="N128" s="38" t="str">
        <f>VLOOKUP(F128,products!$A$2:$B$13,2,FALSE)</f>
        <v>Fruits</v>
      </c>
      <c r="O128" s="133">
        <f t="shared" si="4"/>
        <v>0.741693462</v>
      </c>
      <c r="P128" s="38" t="str">
        <f>VLOOKUP(E128,countries!A$2:E$250,3,false)</f>
        <v>Finland</v>
      </c>
      <c r="Q128" s="38" t="str">
        <f>VLOOKUP($E128,countries!$A$2:$E$250,4,false)</f>
        <v>Europe</v>
      </c>
      <c r="R128" s="38" t="str">
        <f>VLOOKUP($E128,countries!$A$2:$E$250,5,false)</f>
        <v>Northern Europe</v>
      </c>
      <c r="S128" s="38">
        <f t="shared" si="5"/>
        <v>33</v>
      </c>
      <c r="T128" s="38" t="s">
        <v>156</v>
      </c>
      <c r="U128" s="38">
        <v>2016.0</v>
      </c>
      <c r="V128" s="38">
        <v>1.0</v>
      </c>
      <c r="W128" s="38" t="s">
        <v>130</v>
      </c>
      <c r="X128" s="38" t="s">
        <v>201</v>
      </c>
      <c r="Y128" s="38" t="s">
        <v>146</v>
      </c>
      <c r="Z128" s="38" t="s">
        <v>170</v>
      </c>
      <c r="AA128" s="113" t="str">
        <f t="array" ref="AA128">PROPER(G128)</f>
        <v>Offline</v>
      </c>
    </row>
    <row r="129">
      <c r="A129" s="110">
        <v>1.82228696E8</v>
      </c>
      <c r="B129" s="131">
        <v>40329.0</v>
      </c>
      <c r="C129" s="131">
        <v>40371.0</v>
      </c>
      <c r="D129" s="110" t="s">
        <v>93</v>
      </c>
      <c r="E129" s="110" t="s">
        <v>124</v>
      </c>
      <c r="F129" s="110">
        <v>8681.0</v>
      </c>
      <c r="G129" s="38" t="s">
        <v>43</v>
      </c>
      <c r="H129" s="110">
        <v>4375.0</v>
      </c>
      <c r="I129" s="132">
        <v>651.21</v>
      </c>
      <c r="J129" s="132">
        <v>524.96</v>
      </c>
      <c r="K129" s="39">
        <f t="shared" si="1"/>
        <v>2849043.75</v>
      </c>
      <c r="L129" s="39">
        <f t="shared" si="2"/>
        <v>2296700</v>
      </c>
      <c r="M129" s="39">
        <f t="shared" si="3"/>
        <v>552343.75</v>
      </c>
      <c r="N129" s="38" t="str">
        <f>VLOOKUP(F129,products!$A$2:$B$13,2,FALSE)</f>
        <v>Office Supplies</v>
      </c>
      <c r="O129" s="133">
        <f t="shared" si="4"/>
        <v>0.806130127</v>
      </c>
      <c r="P129" s="38" t="str">
        <f>VLOOKUP(E129,countries!A$2:E$250,3,false)</f>
        <v>Latvia</v>
      </c>
      <c r="Q129" s="38" t="str">
        <f>VLOOKUP($E129,countries!$A$2:$E$250,4,false)</f>
        <v>Europe</v>
      </c>
      <c r="R129" s="38" t="str">
        <f>VLOOKUP($E129,countries!$A$2:$E$250,5,false)</f>
        <v>Northern Europe</v>
      </c>
      <c r="S129" s="38">
        <f t="shared" si="5"/>
        <v>42</v>
      </c>
      <c r="T129" s="38" t="s">
        <v>153</v>
      </c>
      <c r="U129" s="38">
        <v>2010.0</v>
      </c>
      <c r="V129" s="38">
        <v>5.0</v>
      </c>
      <c r="W129" s="38" t="s">
        <v>124</v>
      </c>
      <c r="X129" s="38" t="s">
        <v>195</v>
      </c>
      <c r="Y129" s="38" t="s">
        <v>146</v>
      </c>
      <c r="Z129" s="38" t="s">
        <v>170</v>
      </c>
      <c r="AA129" s="113" t="str">
        <f t="array" ref="AA129">PROPER(G129)</f>
        <v>Online</v>
      </c>
    </row>
    <row r="130">
      <c r="A130" s="110">
        <v>1.83778369E8</v>
      </c>
      <c r="B130" s="131">
        <v>41267.0</v>
      </c>
      <c r="C130" s="131">
        <v>41281.0</v>
      </c>
      <c r="D130" s="110" t="s">
        <v>93</v>
      </c>
      <c r="E130" s="110" t="s">
        <v>133</v>
      </c>
      <c r="F130" s="110">
        <v>8969.0</v>
      </c>
      <c r="G130" s="38" t="s">
        <v>43</v>
      </c>
      <c r="H130" s="110">
        <v>2958.0</v>
      </c>
      <c r="I130" s="132">
        <v>152.58</v>
      </c>
      <c r="J130" s="132">
        <v>97.44</v>
      </c>
      <c r="K130" s="39">
        <f t="shared" si="1"/>
        <v>451331.64</v>
      </c>
      <c r="L130" s="39">
        <f t="shared" si="2"/>
        <v>288227.52</v>
      </c>
      <c r="M130" s="39">
        <f t="shared" si="3"/>
        <v>163104.12</v>
      </c>
      <c r="N130" s="38" t="str">
        <f>VLOOKUP(F130,products!$A$2:$B$13,2,FALSE)</f>
        <v>Snacks</v>
      </c>
      <c r="O130" s="133">
        <f t="shared" si="4"/>
        <v>0.6386158081</v>
      </c>
      <c r="P130" s="38" t="str">
        <f>VLOOKUP(E130,countries!A$2:E$250,3,false)</f>
        <v>Bosnia and Herzegovina</v>
      </c>
      <c r="Q130" s="38" t="str">
        <f>VLOOKUP($E130,countries!$A$2:$E$250,4,false)</f>
        <v>Europe</v>
      </c>
      <c r="R130" s="38" t="str">
        <f>VLOOKUP($E130,countries!$A$2:$E$250,5,false)</f>
        <v>Southern Europe</v>
      </c>
      <c r="S130" s="38">
        <f t="shared" si="5"/>
        <v>14</v>
      </c>
      <c r="T130" s="38" t="s">
        <v>182</v>
      </c>
      <c r="U130" s="38">
        <v>2012.0</v>
      </c>
      <c r="V130" s="38">
        <v>12.0</v>
      </c>
      <c r="W130" s="38" t="s">
        <v>133</v>
      </c>
      <c r="X130" s="38" t="s">
        <v>204</v>
      </c>
      <c r="Y130" s="38" t="s">
        <v>146</v>
      </c>
      <c r="Z130" s="38" t="s">
        <v>147</v>
      </c>
      <c r="AA130" s="113" t="str">
        <f t="array" ref="AA130">PROPER(G130)</f>
        <v>Online</v>
      </c>
    </row>
    <row r="131">
      <c r="A131" s="110">
        <v>1.83910119E8</v>
      </c>
      <c r="B131" s="131">
        <v>41799.0</v>
      </c>
      <c r="C131" s="131">
        <v>41801.0</v>
      </c>
      <c r="D131" s="110" t="s">
        <v>10</v>
      </c>
      <c r="E131" s="110" t="s">
        <v>113</v>
      </c>
      <c r="F131" s="110">
        <v>8293.0</v>
      </c>
      <c r="G131" s="38" t="s">
        <v>43</v>
      </c>
      <c r="H131" s="110">
        <v>1946.0</v>
      </c>
      <c r="I131" s="132">
        <v>437.2</v>
      </c>
      <c r="J131" s="132">
        <v>263.33</v>
      </c>
      <c r="K131" s="39">
        <f t="shared" si="1"/>
        <v>850791.2</v>
      </c>
      <c r="L131" s="39">
        <f t="shared" si="2"/>
        <v>512440.18</v>
      </c>
      <c r="M131" s="39">
        <f t="shared" si="3"/>
        <v>338351.02</v>
      </c>
      <c r="N131" s="38" t="str">
        <f>VLOOKUP(F131,products!$A$2:$B$13,2,FALSE)</f>
        <v>Cosmetics</v>
      </c>
      <c r="O131" s="133">
        <f t="shared" si="4"/>
        <v>0.6023101555</v>
      </c>
      <c r="P131" s="38" t="str">
        <f>VLOOKUP(E131,countries!A$2:E$250,3,false)</f>
        <v>Ukraine</v>
      </c>
      <c r="Q131" s="38" t="str">
        <f>VLOOKUP($E131,countries!$A$2:$E$250,4,false)</f>
        <v>Europe</v>
      </c>
      <c r="R131" s="38" t="str">
        <f>VLOOKUP($E131,countries!$A$2:$E$250,5,false)</f>
        <v>Eastern Europe</v>
      </c>
      <c r="S131" s="38">
        <f t="shared" si="5"/>
        <v>2</v>
      </c>
      <c r="T131" s="38" t="s">
        <v>178</v>
      </c>
      <c r="U131" s="38">
        <v>2014.0</v>
      </c>
      <c r="V131" s="38">
        <v>6.0</v>
      </c>
      <c r="W131" s="38" t="s">
        <v>113</v>
      </c>
      <c r="X131" s="38" t="s">
        <v>181</v>
      </c>
      <c r="Y131" s="38" t="s">
        <v>146</v>
      </c>
      <c r="Z131" s="38" t="s">
        <v>155</v>
      </c>
      <c r="AA131" s="113" t="str">
        <f t="array" ref="AA131">PROPER(G131)</f>
        <v>Online</v>
      </c>
    </row>
    <row r="132">
      <c r="A132" s="110">
        <v>1.84120833E8</v>
      </c>
      <c r="B132" s="131">
        <v>41939.0</v>
      </c>
      <c r="C132" s="131">
        <v>41943.0</v>
      </c>
      <c r="D132" s="110" t="s">
        <v>95</v>
      </c>
      <c r="E132" s="110" t="s">
        <v>135</v>
      </c>
      <c r="F132" s="110">
        <v>2455.0</v>
      </c>
      <c r="G132" s="38" t="s">
        <v>42</v>
      </c>
      <c r="H132" s="110">
        <v>4301.0</v>
      </c>
      <c r="I132" s="132">
        <v>109.28</v>
      </c>
      <c r="J132" s="132">
        <v>35.84</v>
      </c>
      <c r="K132" s="39">
        <f t="shared" si="1"/>
        <v>470013.28</v>
      </c>
      <c r="L132" s="39">
        <f t="shared" si="2"/>
        <v>154147.84</v>
      </c>
      <c r="M132" s="39">
        <f t="shared" si="3"/>
        <v>315865.44</v>
      </c>
      <c r="N132" s="38" t="str">
        <f>VLOOKUP(F132,products!$A$2:$B$13,2,FALSE)</f>
        <v>Clothes</v>
      </c>
      <c r="O132" s="133">
        <f t="shared" si="4"/>
        <v>0.3279648609</v>
      </c>
      <c r="P132" s="38" t="str">
        <f>VLOOKUP(E132,countries!A$2:E$250,3,false)</f>
        <v>Denmark</v>
      </c>
      <c r="Q132" s="38" t="str">
        <f>VLOOKUP($E132,countries!$A$2:$E$250,4,false)</f>
        <v>Europe</v>
      </c>
      <c r="R132" s="38" t="str">
        <f>VLOOKUP($E132,countries!$A$2:$E$250,5,false)</f>
        <v>Northern Europe</v>
      </c>
      <c r="S132" s="38">
        <f t="shared" si="5"/>
        <v>4</v>
      </c>
      <c r="T132" s="38" t="s">
        <v>150</v>
      </c>
      <c r="U132" s="38">
        <v>2014.0</v>
      </c>
      <c r="V132" s="38">
        <v>10.0</v>
      </c>
      <c r="W132" s="38" t="s">
        <v>135</v>
      </c>
      <c r="X132" s="38" t="s">
        <v>205</v>
      </c>
      <c r="Y132" s="38" t="s">
        <v>146</v>
      </c>
      <c r="Z132" s="38" t="s">
        <v>170</v>
      </c>
      <c r="AA132" s="113" t="str">
        <f t="array" ref="AA132">PROPER(G132)</f>
        <v>Offline</v>
      </c>
    </row>
    <row r="133">
      <c r="A133" s="110">
        <v>1.84412229E8</v>
      </c>
      <c r="B133" s="131">
        <v>42098.0</v>
      </c>
      <c r="C133" s="131">
        <v>42101.0</v>
      </c>
      <c r="D133" s="110" t="s">
        <v>10</v>
      </c>
      <c r="E133" s="110" t="s">
        <v>133</v>
      </c>
      <c r="F133" s="110">
        <v>7331.0</v>
      </c>
      <c r="G133" s="38" t="s">
        <v>43</v>
      </c>
      <c r="H133" s="110">
        <v>531.0</v>
      </c>
      <c r="I133" s="132">
        <v>255.28</v>
      </c>
      <c r="J133" s="132">
        <v>159.42</v>
      </c>
      <c r="K133" s="39">
        <f t="shared" si="1"/>
        <v>135553.68</v>
      </c>
      <c r="L133" s="39">
        <f t="shared" si="2"/>
        <v>84652.02</v>
      </c>
      <c r="M133" s="39">
        <f t="shared" si="3"/>
        <v>50901.66</v>
      </c>
      <c r="N133" s="38" t="str">
        <f>VLOOKUP(F133,products!$A$2:$B$13,2,FALSE)</f>
        <v>Baby Food</v>
      </c>
      <c r="O133" s="133">
        <f t="shared" si="4"/>
        <v>0.6244907552</v>
      </c>
      <c r="P133" s="38" t="str">
        <f>VLOOKUP(E133,countries!A$2:E$250,3,false)</f>
        <v>Bosnia and Herzegovina</v>
      </c>
      <c r="Q133" s="38" t="str">
        <f>VLOOKUP($E133,countries!$A$2:$E$250,4,false)</f>
        <v>Europe</v>
      </c>
      <c r="R133" s="38" t="str">
        <f>VLOOKUP($E133,countries!$A$2:$E$250,5,false)</f>
        <v>Southern Europe</v>
      </c>
      <c r="S133" s="38">
        <f t="shared" si="5"/>
        <v>3</v>
      </c>
      <c r="T133" s="38" t="s">
        <v>161</v>
      </c>
      <c r="U133" s="38">
        <v>2015.0</v>
      </c>
      <c r="V133" s="38">
        <v>4.0</v>
      </c>
      <c r="W133" s="38" t="s">
        <v>133</v>
      </c>
      <c r="X133" s="38" t="s">
        <v>204</v>
      </c>
      <c r="Y133" s="38" t="s">
        <v>146</v>
      </c>
      <c r="Z133" s="38" t="s">
        <v>147</v>
      </c>
      <c r="AA133" s="113" t="str">
        <f t="array" ref="AA133">PROPER(G133)</f>
        <v>Online</v>
      </c>
    </row>
    <row r="134">
      <c r="A134" s="110">
        <v>1.84708344E8</v>
      </c>
      <c r="B134" s="131">
        <v>42701.0</v>
      </c>
      <c r="C134" s="131">
        <v>42706.0</v>
      </c>
      <c r="D134" s="110" t="s">
        <v>95</v>
      </c>
      <c r="E134" s="110" t="s">
        <v>133</v>
      </c>
      <c r="F134" s="110">
        <v>5988.0</v>
      </c>
      <c r="G134" s="38" t="s">
        <v>43</v>
      </c>
      <c r="H134" s="110">
        <v>8159.0</v>
      </c>
      <c r="I134" s="132">
        <v>154.06</v>
      </c>
      <c r="J134" s="132">
        <v>90.93</v>
      </c>
      <c r="K134" s="39">
        <f t="shared" si="1"/>
        <v>1256975.54</v>
      </c>
      <c r="L134" s="39">
        <f t="shared" si="2"/>
        <v>741897.87</v>
      </c>
      <c r="M134" s="39">
        <f t="shared" si="3"/>
        <v>515077.67</v>
      </c>
      <c r="N134" s="38" t="str">
        <f>VLOOKUP(F134,products!$A$2:$B$13,2,FALSE)</f>
        <v>Vegetables</v>
      </c>
      <c r="O134" s="133">
        <f t="shared" si="4"/>
        <v>0.5902245878</v>
      </c>
      <c r="P134" s="38" t="str">
        <f>VLOOKUP(E134,countries!A$2:E$250,3,false)</f>
        <v>Bosnia and Herzegovina</v>
      </c>
      <c r="Q134" s="38" t="str">
        <f>VLOOKUP($E134,countries!$A$2:$E$250,4,false)</f>
        <v>Europe</v>
      </c>
      <c r="R134" s="38" t="str">
        <f>VLOOKUP($E134,countries!$A$2:$E$250,5,false)</f>
        <v>Southern Europe</v>
      </c>
      <c r="S134" s="38">
        <f t="shared" si="5"/>
        <v>5</v>
      </c>
      <c r="T134" s="38" t="s">
        <v>159</v>
      </c>
      <c r="U134" s="38">
        <v>2016.0</v>
      </c>
      <c r="V134" s="38">
        <v>11.0</v>
      </c>
      <c r="W134" s="38" t="s">
        <v>133</v>
      </c>
      <c r="X134" s="38" t="s">
        <v>204</v>
      </c>
      <c r="Y134" s="38" t="s">
        <v>146</v>
      </c>
      <c r="Z134" s="38" t="s">
        <v>147</v>
      </c>
      <c r="AA134" s="113" t="str">
        <f t="array" ref="AA134">PROPER(G134)</f>
        <v>Online</v>
      </c>
    </row>
    <row r="135">
      <c r="A135" s="110">
        <v>1.84976994E8</v>
      </c>
      <c r="B135" s="131">
        <v>42237.0</v>
      </c>
      <c r="C135" s="131">
        <v>42268.0</v>
      </c>
      <c r="D135" s="110" t="s">
        <v>10</v>
      </c>
      <c r="E135" s="110" t="s">
        <v>129</v>
      </c>
      <c r="F135" s="110">
        <v>7940.0</v>
      </c>
      <c r="G135" s="38" t="s">
        <v>43</v>
      </c>
      <c r="H135" s="110">
        <v>7658.0</v>
      </c>
      <c r="I135" s="132">
        <v>668.27</v>
      </c>
      <c r="J135" s="132">
        <v>502.54</v>
      </c>
      <c r="K135" s="39">
        <f t="shared" si="1"/>
        <v>5117611.66</v>
      </c>
      <c r="L135" s="39">
        <f t="shared" si="2"/>
        <v>3848451.32</v>
      </c>
      <c r="M135" s="39">
        <f t="shared" si="3"/>
        <v>1269160.34</v>
      </c>
      <c r="N135" s="38" t="str">
        <f>VLOOKUP(F135,products!$A$2:$B$13,2,FALSE)</f>
        <v>Household</v>
      </c>
      <c r="O135" s="133">
        <f t="shared" si="4"/>
        <v>0.7520014365</v>
      </c>
      <c r="P135" s="38" t="str">
        <f>VLOOKUP(E135,countries!A$2:E$250,3,false)</f>
        <v>Liechtenstein</v>
      </c>
      <c r="Q135" s="38" t="str">
        <f>VLOOKUP($E135,countries!$A$2:$E$250,4,false)</f>
        <v>Europe</v>
      </c>
      <c r="R135" s="38" t="str">
        <f>VLOOKUP($E135,countries!$A$2:$E$250,5,false)</f>
        <v>Western Europe</v>
      </c>
      <c r="S135" s="38">
        <f t="shared" si="5"/>
        <v>31</v>
      </c>
      <c r="T135" s="38" t="s">
        <v>148</v>
      </c>
      <c r="U135" s="38">
        <v>2015.0</v>
      </c>
      <c r="V135" s="38">
        <v>8.0</v>
      </c>
      <c r="W135" s="38" t="s">
        <v>129</v>
      </c>
      <c r="X135" s="38" t="s">
        <v>200</v>
      </c>
      <c r="Y135" s="38" t="s">
        <v>146</v>
      </c>
      <c r="Z135" s="38" t="s">
        <v>158</v>
      </c>
      <c r="AA135" s="113" t="str">
        <f t="array" ref="AA135">PROPER(G135)</f>
        <v>Online</v>
      </c>
    </row>
    <row r="136">
      <c r="A136" s="110">
        <v>1.8594731E8</v>
      </c>
      <c r="B136" s="131">
        <v>40914.0</v>
      </c>
      <c r="C136" s="131">
        <v>40935.0</v>
      </c>
      <c r="D136" s="110" t="s">
        <v>93</v>
      </c>
      <c r="E136" s="110" t="s">
        <v>120</v>
      </c>
      <c r="F136" s="110">
        <v>3127.0</v>
      </c>
      <c r="G136" s="38" t="s">
        <v>43</v>
      </c>
      <c r="H136" s="110">
        <v>4796.0</v>
      </c>
      <c r="I136" s="132">
        <v>81.73</v>
      </c>
      <c r="J136" s="132">
        <v>56.67</v>
      </c>
      <c r="K136" s="39">
        <f t="shared" si="1"/>
        <v>391977.08</v>
      </c>
      <c r="L136" s="39">
        <f t="shared" si="2"/>
        <v>271789.32</v>
      </c>
      <c r="M136" s="39">
        <f t="shared" si="3"/>
        <v>120187.76</v>
      </c>
      <c r="N136" s="38" t="str">
        <f>VLOOKUP(F136,products!$A$2:$B$13,2,FALSE)</f>
        <v>Personal Care</v>
      </c>
      <c r="O136" s="133">
        <f t="shared" si="4"/>
        <v>0.6933806436</v>
      </c>
      <c r="P136" s="38" t="str">
        <f>VLOOKUP(E136,countries!A$2:E$250,3,false)</f>
        <v>San Marino</v>
      </c>
      <c r="Q136" s="38" t="str">
        <f>VLOOKUP($E136,countries!$A$2:$E$250,4,false)</f>
        <v>Europe</v>
      </c>
      <c r="R136" s="38" t="str">
        <f>VLOOKUP($E136,countries!$A$2:$E$250,5,false)</f>
        <v>Southern Europe</v>
      </c>
      <c r="S136" s="38">
        <f t="shared" si="5"/>
        <v>21</v>
      </c>
      <c r="T136" s="38" t="s">
        <v>185</v>
      </c>
      <c r="U136" s="38">
        <v>2012.0</v>
      </c>
      <c r="V136" s="38">
        <v>1.0</v>
      </c>
      <c r="W136" s="38" t="s">
        <v>120</v>
      </c>
      <c r="X136" s="38" t="s">
        <v>191</v>
      </c>
      <c r="Y136" s="38" t="s">
        <v>146</v>
      </c>
      <c r="Z136" s="38" t="s">
        <v>147</v>
      </c>
      <c r="AA136" s="113" t="str">
        <f t="array" ref="AA136">PROPER(G136)</f>
        <v>Online</v>
      </c>
    </row>
    <row r="137">
      <c r="A137" s="110">
        <v>1.85960614E8</v>
      </c>
      <c r="B137" s="131">
        <v>40653.0</v>
      </c>
      <c r="C137" s="131">
        <v>40691.0</v>
      </c>
      <c r="D137" s="110" t="s">
        <v>89</v>
      </c>
      <c r="E137" s="110" t="s">
        <v>118</v>
      </c>
      <c r="F137" s="110">
        <v>4594.0</v>
      </c>
      <c r="G137" s="38" t="s">
        <v>42</v>
      </c>
      <c r="H137" s="110">
        <v>8733.0</v>
      </c>
      <c r="I137" s="132">
        <v>9.33</v>
      </c>
      <c r="J137" s="132">
        <v>6.92</v>
      </c>
      <c r="K137" s="39">
        <f t="shared" si="1"/>
        <v>81478.89</v>
      </c>
      <c r="L137" s="39">
        <f t="shared" si="2"/>
        <v>60432.36</v>
      </c>
      <c r="M137" s="39">
        <f t="shared" si="3"/>
        <v>21046.53</v>
      </c>
      <c r="N137" s="38" t="str">
        <f>VLOOKUP(F137,products!$A$2:$B$13,2,FALSE)</f>
        <v>Fruits</v>
      </c>
      <c r="O137" s="133">
        <f t="shared" si="4"/>
        <v>0.741693462</v>
      </c>
      <c r="P137" s="38" t="str">
        <f>VLOOKUP(E137,countries!A$2:E$250,3,false)</f>
        <v>Austria</v>
      </c>
      <c r="Q137" s="38" t="str">
        <f>VLOOKUP($E137,countries!$A$2:$E$250,4,false)</f>
        <v>Europe</v>
      </c>
      <c r="R137" s="38" t="str">
        <f>VLOOKUP($E137,countries!$A$2:$E$250,5,false)</f>
        <v>Western Europe</v>
      </c>
      <c r="S137" s="38">
        <f t="shared" si="5"/>
        <v>38</v>
      </c>
      <c r="T137" s="38" t="s">
        <v>156</v>
      </c>
      <c r="U137" s="38">
        <v>2011.0</v>
      </c>
      <c r="V137" s="38">
        <v>4.0</v>
      </c>
      <c r="W137" s="38" t="s">
        <v>118</v>
      </c>
      <c r="X137" s="38" t="s">
        <v>189</v>
      </c>
      <c r="Y137" s="38" t="s">
        <v>146</v>
      </c>
      <c r="Z137" s="38" t="s">
        <v>158</v>
      </c>
      <c r="AA137" s="113" t="str">
        <f t="array" ref="AA137">PROPER(G137)</f>
        <v>Offline</v>
      </c>
    </row>
    <row r="138">
      <c r="A138" s="110">
        <v>1.8607949E8</v>
      </c>
      <c r="B138" s="131">
        <v>42241.0</v>
      </c>
      <c r="C138" s="131">
        <v>42245.0</v>
      </c>
      <c r="D138" s="110" t="s">
        <v>93</v>
      </c>
      <c r="E138" s="110" t="s">
        <v>135</v>
      </c>
      <c r="F138" s="110">
        <v>5988.0</v>
      </c>
      <c r="G138" s="38" t="s">
        <v>43</v>
      </c>
      <c r="H138" s="110">
        <v>3911.0</v>
      </c>
      <c r="I138" s="132">
        <v>154.06</v>
      </c>
      <c r="J138" s="132">
        <v>90.93</v>
      </c>
      <c r="K138" s="39">
        <f t="shared" si="1"/>
        <v>602528.66</v>
      </c>
      <c r="L138" s="39">
        <f t="shared" si="2"/>
        <v>355627.23</v>
      </c>
      <c r="M138" s="39">
        <f t="shared" si="3"/>
        <v>246901.43</v>
      </c>
      <c r="N138" s="38" t="str">
        <f>VLOOKUP(F138,products!$A$2:$B$13,2,FALSE)</f>
        <v>Vegetables</v>
      </c>
      <c r="O138" s="133">
        <f t="shared" si="4"/>
        <v>0.5902245878</v>
      </c>
      <c r="P138" s="38" t="str">
        <f>VLOOKUP(E138,countries!A$2:E$250,3,false)</f>
        <v>Denmark</v>
      </c>
      <c r="Q138" s="38" t="str">
        <f>VLOOKUP($E138,countries!$A$2:$E$250,4,false)</f>
        <v>Europe</v>
      </c>
      <c r="R138" s="38" t="str">
        <f>VLOOKUP($E138,countries!$A$2:$E$250,5,false)</f>
        <v>Northern Europe</v>
      </c>
      <c r="S138" s="38">
        <f t="shared" si="5"/>
        <v>4</v>
      </c>
      <c r="T138" s="38" t="s">
        <v>159</v>
      </c>
      <c r="U138" s="38">
        <v>2015.0</v>
      </c>
      <c r="V138" s="38">
        <v>8.0</v>
      </c>
      <c r="W138" s="38" t="s">
        <v>135</v>
      </c>
      <c r="X138" s="38" t="s">
        <v>205</v>
      </c>
      <c r="Y138" s="38" t="s">
        <v>146</v>
      </c>
      <c r="Z138" s="38" t="s">
        <v>170</v>
      </c>
      <c r="AA138" s="113" t="str">
        <f t="array" ref="AA138">PROPER(G138)</f>
        <v>Online</v>
      </c>
    </row>
    <row r="139">
      <c r="A139" s="110">
        <v>1.86597907E8</v>
      </c>
      <c r="B139" s="131">
        <v>42309.0</v>
      </c>
      <c r="C139" s="131">
        <v>42353.0</v>
      </c>
      <c r="D139" s="110" t="s">
        <v>89</v>
      </c>
      <c r="E139" s="110" t="s">
        <v>129</v>
      </c>
      <c r="F139" s="110">
        <v>8681.0</v>
      </c>
      <c r="G139" s="38" t="s">
        <v>43</v>
      </c>
      <c r="H139" s="110">
        <v>7322.0</v>
      </c>
      <c r="I139" s="132">
        <v>651.21</v>
      </c>
      <c r="J139" s="132">
        <v>524.96</v>
      </c>
      <c r="K139" s="39">
        <f t="shared" si="1"/>
        <v>4768159.62</v>
      </c>
      <c r="L139" s="39">
        <f t="shared" si="2"/>
        <v>3843757.12</v>
      </c>
      <c r="M139" s="39">
        <f t="shared" si="3"/>
        <v>924402.5</v>
      </c>
      <c r="N139" s="38" t="str">
        <f>VLOOKUP(F139,products!$A$2:$B$13,2,FALSE)</f>
        <v>Office Supplies</v>
      </c>
      <c r="O139" s="133">
        <f t="shared" si="4"/>
        <v>0.806130127</v>
      </c>
      <c r="P139" s="38" t="str">
        <f>VLOOKUP(E139,countries!A$2:E$250,3,false)</f>
        <v>Liechtenstein</v>
      </c>
      <c r="Q139" s="38" t="str">
        <f>VLOOKUP($E139,countries!$A$2:$E$250,4,false)</f>
        <v>Europe</v>
      </c>
      <c r="R139" s="38" t="str">
        <f>VLOOKUP($E139,countries!$A$2:$E$250,5,false)</f>
        <v>Western Europe</v>
      </c>
      <c r="S139" s="38">
        <f t="shared" si="5"/>
        <v>44</v>
      </c>
      <c r="T139" s="38" t="s">
        <v>153</v>
      </c>
      <c r="U139" s="38">
        <v>2015.0</v>
      </c>
      <c r="V139" s="38">
        <v>11.0</v>
      </c>
      <c r="W139" s="38" t="s">
        <v>129</v>
      </c>
      <c r="X139" s="38" t="s">
        <v>200</v>
      </c>
      <c r="Y139" s="38" t="s">
        <v>146</v>
      </c>
      <c r="Z139" s="38" t="s">
        <v>158</v>
      </c>
      <c r="AA139" s="113" t="str">
        <f t="array" ref="AA139">PROPER(G139)</f>
        <v>Online</v>
      </c>
    </row>
    <row r="140">
      <c r="A140" s="110">
        <v>1.86847674E8</v>
      </c>
      <c r="B140" s="131">
        <v>42841.0</v>
      </c>
      <c r="C140" s="131">
        <v>42848.0</v>
      </c>
      <c r="D140" s="110" t="s">
        <v>89</v>
      </c>
      <c r="E140" s="110" t="s">
        <v>137</v>
      </c>
      <c r="F140" s="110">
        <v>8293.0</v>
      </c>
      <c r="G140" s="38" t="s">
        <v>43</v>
      </c>
      <c r="H140" s="110">
        <v>1234.0</v>
      </c>
      <c r="I140" s="132">
        <v>437.2</v>
      </c>
      <c r="J140" s="132">
        <v>263.33</v>
      </c>
      <c r="K140" s="39">
        <f t="shared" si="1"/>
        <v>539504.8</v>
      </c>
      <c r="L140" s="39">
        <f t="shared" si="2"/>
        <v>324949.22</v>
      </c>
      <c r="M140" s="39">
        <f t="shared" si="3"/>
        <v>214555.58</v>
      </c>
      <c r="N140" s="38" t="str">
        <f>VLOOKUP(F140,products!$A$2:$B$13,2,FALSE)</f>
        <v>Cosmetics</v>
      </c>
      <c r="O140" s="133">
        <f t="shared" si="4"/>
        <v>0.6023101555</v>
      </c>
      <c r="P140" s="38" t="str">
        <f>VLOOKUP(E140,countries!A$2:E$250,3,false)</f>
        <v>Iceland</v>
      </c>
      <c r="Q140" s="38" t="str">
        <f>VLOOKUP($E140,countries!$A$2:$E$250,4,false)</f>
        <v>Europe</v>
      </c>
      <c r="R140" s="38" t="str">
        <f>VLOOKUP($E140,countries!$A$2:$E$250,5,false)</f>
        <v>Northern Europe</v>
      </c>
      <c r="S140" s="38">
        <f t="shared" si="5"/>
        <v>7</v>
      </c>
      <c r="T140" s="38" t="s">
        <v>178</v>
      </c>
      <c r="U140" s="38">
        <v>2017.0</v>
      </c>
      <c r="V140" s="38">
        <v>4.0</v>
      </c>
      <c r="W140" s="38" t="s">
        <v>137</v>
      </c>
      <c r="X140" s="38" t="s">
        <v>207</v>
      </c>
      <c r="Y140" s="38" t="s">
        <v>146</v>
      </c>
      <c r="Z140" s="38" t="s">
        <v>170</v>
      </c>
      <c r="AA140" s="113" t="str">
        <f t="array" ref="AA140">PROPER(G140)</f>
        <v>Online</v>
      </c>
    </row>
    <row r="141">
      <c r="A141" s="110">
        <v>1.8710345E8</v>
      </c>
      <c r="B141" s="131">
        <v>40667.0</v>
      </c>
      <c r="C141" s="131">
        <v>40677.0</v>
      </c>
      <c r="D141" s="110" t="s">
        <v>89</v>
      </c>
      <c r="E141" s="110" t="s">
        <v>109</v>
      </c>
      <c r="F141" s="110">
        <v>4594.0</v>
      </c>
      <c r="G141" s="38" t="s">
        <v>42</v>
      </c>
      <c r="H141" s="110">
        <v>6924.0</v>
      </c>
      <c r="I141" s="132">
        <v>9.33</v>
      </c>
      <c r="J141" s="132">
        <v>6.92</v>
      </c>
      <c r="K141" s="39">
        <f t="shared" si="1"/>
        <v>64600.92</v>
      </c>
      <c r="L141" s="39">
        <f t="shared" si="2"/>
        <v>47914.08</v>
      </c>
      <c r="M141" s="39">
        <f t="shared" si="3"/>
        <v>16686.84</v>
      </c>
      <c r="N141" s="38" t="str">
        <f>VLOOKUP(F141,products!$A$2:$B$13,2,FALSE)</f>
        <v>Fruits</v>
      </c>
      <c r="O141" s="133">
        <f t="shared" si="4"/>
        <v>0.741693462</v>
      </c>
      <c r="P141" s="38" t="str">
        <f>VLOOKUP(E141,countries!A$2:E$250,3,false)</f>
        <v>Belgium</v>
      </c>
      <c r="Q141" s="38" t="str">
        <f>VLOOKUP($E141,countries!$A$2:$E$250,4,false)</f>
        <v>Europe</v>
      </c>
      <c r="R141" s="38" t="str">
        <f>VLOOKUP($E141,countries!$A$2:$E$250,5,false)</f>
        <v>Western Europe</v>
      </c>
      <c r="S141" s="38">
        <f t="shared" si="5"/>
        <v>10</v>
      </c>
      <c r="T141" s="38" t="s">
        <v>156</v>
      </c>
      <c r="U141" s="38">
        <v>2011.0</v>
      </c>
      <c r="V141" s="38">
        <v>5.0</v>
      </c>
      <c r="W141" s="38" t="s">
        <v>109</v>
      </c>
      <c r="X141" s="38" t="s">
        <v>176</v>
      </c>
      <c r="Y141" s="38" t="s">
        <v>146</v>
      </c>
      <c r="Z141" s="38" t="s">
        <v>158</v>
      </c>
      <c r="AA141" s="113" t="str">
        <f t="array" ref="AA141">PROPER(G141)</f>
        <v>Offline</v>
      </c>
    </row>
    <row r="142">
      <c r="A142" s="110">
        <v>1.88866841E8</v>
      </c>
      <c r="B142" s="131">
        <v>41775.0</v>
      </c>
      <c r="C142" s="131">
        <v>41779.0</v>
      </c>
      <c r="D142" s="110" t="s">
        <v>93</v>
      </c>
      <c r="E142" s="110" t="s">
        <v>104</v>
      </c>
      <c r="F142" s="110">
        <v>2455.0</v>
      </c>
      <c r="G142" s="38" t="s">
        <v>42</v>
      </c>
      <c r="H142" s="110">
        <v>8750.0</v>
      </c>
      <c r="I142" s="132">
        <v>109.28</v>
      </c>
      <c r="J142" s="132">
        <v>35.84</v>
      </c>
      <c r="K142" s="39">
        <f t="shared" si="1"/>
        <v>956200</v>
      </c>
      <c r="L142" s="39">
        <f t="shared" si="2"/>
        <v>313600</v>
      </c>
      <c r="M142" s="39">
        <f t="shared" si="3"/>
        <v>642600</v>
      </c>
      <c r="N142" s="38" t="str">
        <f>VLOOKUP(F142,products!$A$2:$B$13,2,FALSE)</f>
        <v>Clothes</v>
      </c>
      <c r="O142" s="133">
        <f t="shared" si="4"/>
        <v>0.3279648609</v>
      </c>
      <c r="P142" s="38" t="str">
        <f>VLOOKUP(E142,countries!A$2:E$250,3,false)</f>
        <v>Slovenia</v>
      </c>
      <c r="Q142" s="38" t="str">
        <f>VLOOKUP($E142,countries!$A$2:$E$250,4,false)</f>
        <v>Europe</v>
      </c>
      <c r="R142" s="38" t="str">
        <f>VLOOKUP($E142,countries!$A$2:$E$250,5,false)</f>
        <v>Southern Europe</v>
      </c>
      <c r="S142" s="38">
        <f t="shared" si="5"/>
        <v>4</v>
      </c>
      <c r="T142" s="38" t="s">
        <v>150</v>
      </c>
      <c r="U142" s="38">
        <v>2014.0</v>
      </c>
      <c r="V142" s="38">
        <v>5.0</v>
      </c>
      <c r="W142" s="38" t="s">
        <v>104</v>
      </c>
      <c r="X142" s="38" t="s">
        <v>171</v>
      </c>
      <c r="Y142" s="38" t="s">
        <v>146</v>
      </c>
      <c r="Z142" s="38" t="s">
        <v>147</v>
      </c>
      <c r="AA142" s="113" t="str">
        <f t="array" ref="AA142">PROPER(G142)</f>
        <v>Offline</v>
      </c>
    </row>
    <row r="143">
      <c r="A143" s="110">
        <v>1.89108455E8</v>
      </c>
      <c r="B143" s="131">
        <v>41040.0</v>
      </c>
      <c r="C143" s="131">
        <v>41090.0</v>
      </c>
      <c r="D143" s="110" t="s">
        <v>95</v>
      </c>
      <c r="E143" s="110" t="s">
        <v>114</v>
      </c>
      <c r="F143" s="110">
        <v>8681.0</v>
      </c>
      <c r="G143" s="38" t="s">
        <v>42</v>
      </c>
      <c r="H143" s="110">
        <v>249.0</v>
      </c>
      <c r="I143" s="132">
        <v>651.21</v>
      </c>
      <c r="J143" s="132">
        <v>524.96</v>
      </c>
      <c r="K143" s="39">
        <f t="shared" si="1"/>
        <v>162151.29</v>
      </c>
      <c r="L143" s="39">
        <f t="shared" si="2"/>
        <v>130715.04</v>
      </c>
      <c r="M143" s="39">
        <f t="shared" si="3"/>
        <v>31436.25</v>
      </c>
      <c r="N143" s="38" t="str">
        <f>VLOOKUP(F143,products!$A$2:$B$13,2,FALSE)</f>
        <v>Office Supplies</v>
      </c>
      <c r="O143" s="133">
        <f t="shared" si="4"/>
        <v>0.806130127</v>
      </c>
      <c r="P143" s="38" t="str">
        <f>VLOOKUP(E143,countries!A$2:E$250,3,false)</f>
        <v>Czech Republic</v>
      </c>
      <c r="Q143" s="38" t="str">
        <f>VLOOKUP($E143,countries!$A$2:$E$250,4,false)</f>
        <v>Europe</v>
      </c>
      <c r="R143" s="38" t="str">
        <f>VLOOKUP($E143,countries!$A$2:$E$250,5,false)</f>
        <v>Eastern Europe</v>
      </c>
      <c r="S143" s="38">
        <f t="shared" si="5"/>
        <v>50</v>
      </c>
      <c r="T143" s="38" t="s">
        <v>153</v>
      </c>
      <c r="U143" s="38">
        <v>2012.0</v>
      </c>
      <c r="V143" s="38">
        <v>5.0</v>
      </c>
      <c r="W143" s="38" t="s">
        <v>114</v>
      </c>
      <c r="X143" s="38" t="s">
        <v>184</v>
      </c>
      <c r="Y143" s="38" t="s">
        <v>146</v>
      </c>
      <c r="Z143" s="38" t="s">
        <v>155</v>
      </c>
      <c r="AA143" s="113" t="str">
        <f t="array" ref="AA143">PROPER(G143)</f>
        <v>Offline</v>
      </c>
    </row>
    <row r="144">
      <c r="A144" s="110">
        <v>1.89667212E8</v>
      </c>
      <c r="B144" s="131">
        <v>41118.0</v>
      </c>
      <c r="C144" s="131">
        <v>41155.0</v>
      </c>
      <c r="D144" s="110" t="s">
        <v>95</v>
      </c>
      <c r="E144" s="110" t="s">
        <v>111</v>
      </c>
      <c r="F144" s="110">
        <v>8969.0</v>
      </c>
      <c r="G144" s="38" t="s">
        <v>42</v>
      </c>
      <c r="H144" s="110">
        <v>5598.0</v>
      </c>
      <c r="I144" s="132">
        <v>152.58</v>
      </c>
      <c r="J144" s="132">
        <v>97.44</v>
      </c>
      <c r="K144" s="39">
        <f t="shared" si="1"/>
        <v>854142.84</v>
      </c>
      <c r="L144" s="39">
        <f t="shared" si="2"/>
        <v>545469.12</v>
      </c>
      <c r="M144" s="39">
        <f t="shared" si="3"/>
        <v>308673.72</v>
      </c>
      <c r="N144" s="38" t="str">
        <f>VLOOKUP(F144,products!$A$2:$B$13,2,FALSE)</f>
        <v>Snacks</v>
      </c>
      <c r="O144" s="133">
        <f t="shared" si="4"/>
        <v>0.6386158081</v>
      </c>
      <c r="P144" s="38" t="str">
        <f>VLOOKUP(E144,countries!A$2:E$250,3,false)</f>
        <v>Russia</v>
      </c>
      <c r="Q144" s="38" t="str">
        <f>VLOOKUP($E144,countries!$A$2:$E$250,4,false)</f>
        <v>Europe</v>
      </c>
      <c r="R144" s="38" t="str">
        <f>VLOOKUP($E144,countries!$A$2:$E$250,5,false)</f>
        <v>Eastern Europe</v>
      </c>
      <c r="S144" s="38">
        <f t="shared" si="5"/>
        <v>37</v>
      </c>
      <c r="T144" s="38" t="s">
        <v>182</v>
      </c>
      <c r="U144" s="38">
        <v>2012.0</v>
      </c>
      <c r="V144" s="38">
        <v>7.0</v>
      </c>
      <c r="W144" s="38" t="s">
        <v>111</v>
      </c>
      <c r="X144" s="38" t="s">
        <v>179</v>
      </c>
      <c r="Y144" s="38" t="s">
        <v>146</v>
      </c>
      <c r="Z144" s="38" t="s">
        <v>155</v>
      </c>
      <c r="AA144" s="113" t="str">
        <f t="array" ref="AA144">PROPER(G144)</f>
        <v>Offline</v>
      </c>
    </row>
    <row r="145">
      <c r="A145" s="110">
        <v>1.89924275E8</v>
      </c>
      <c r="B145" s="131">
        <v>41327.0</v>
      </c>
      <c r="C145" s="131">
        <v>41354.0</v>
      </c>
      <c r="D145" s="110" t="s">
        <v>93</v>
      </c>
      <c r="E145" s="110" t="s">
        <v>99</v>
      </c>
      <c r="F145" s="110">
        <v>1270.0</v>
      </c>
      <c r="G145" s="38" t="s">
        <v>42</v>
      </c>
      <c r="H145" s="110">
        <v>1668.0</v>
      </c>
      <c r="I145" s="132">
        <v>47.45</v>
      </c>
      <c r="J145" s="132">
        <v>31.79</v>
      </c>
      <c r="K145" s="39">
        <f t="shared" si="1"/>
        <v>79146.6</v>
      </c>
      <c r="L145" s="39">
        <f t="shared" si="2"/>
        <v>53025.72</v>
      </c>
      <c r="M145" s="39">
        <f t="shared" si="3"/>
        <v>26120.88</v>
      </c>
      <c r="N145" s="38" t="str">
        <f>VLOOKUP(F145,products!$A$2:$B$13,2,FALSE)</f>
        <v>Beverages</v>
      </c>
      <c r="O145" s="133">
        <f t="shared" si="4"/>
        <v>0.6699683878</v>
      </c>
      <c r="P145" s="38" t="str">
        <f>VLOOKUP(E145,countries!A$2:E$250,3,false)</f>
        <v>Croatia</v>
      </c>
      <c r="Q145" s="38" t="str">
        <f>VLOOKUP($E145,countries!$A$2:$E$250,4,false)</f>
        <v>Europe</v>
      </c>
      <c r="R145" s="38" t="str">
        <f>VLOOKUP($E145,countries!$A$2:$E$250,5,false)</f>
        <v>Southern Europe</v>
      </c>
      <c r="S145" s="38">
        <f t="shared" si="5"/>
        <v>27</v>
      </c>
      <c r="T145" s="38" t="s">
        <v>152</v>
      </c>
      <c r="U145" s="38">
        <v>2013.0</v>
      </c>
      <c r="V145" s="38">
        <v>2.0</v>
      </c>
      <c r="W145" s="38" t="s">
        <v>99</v>
      </c>
      <c r="X145" s="38" t="s">
        <v>162</v>
      </c>
      <c r="Y145" s="38" t="s">
        <v>146</v>
      </c>
      <c r="Z145" s="38" t="s">
        <v>147</v>
      </c>
      <c r="AA145" s="113" t="str">
        <f t="array" ref="AA145">PROPER(G145)</f>
        <v>Offline</v>
      </c>
    </row>
    <row r="146">
      <c r="A146" s="110">
        <v>1.9000281E8</v>
      </c>
      <c r="B146" s="131">
        <v>42906.0</v>
      </c>
      <c r="C146" s="131">
        <v>42952.0</v>
      </c>
      <c r="D146" s="110" t="s">
        <v>10</v>
      </c>
      <c r="E146" s="110" t="s">
        <v>128</v>
      </c>
      <c r="F146" s="110">
        <v>2455.0</v>
      </c>
      <c r="G146" s="38" t="s">
        <v>43</v>
      </c>
      <c r="H146" s="110">
        <v>4909.0</v>
      </c>
      <c r="I146" s="132">
        <v>109.28</v>
      </c>
      <c r="J146" s="132">
        <v>35.84</v>
      </c>
      <c r="K146" s="39">
        <f t="shared" si="1"/>
        <v>536455.52</v>
      </c>
      <c r="L146" s="39">
        <f t="shared" si="2"/>
        <v>175938.56</v>
      </c>
      <c r="M146" s="39">
        <f t="shared" si="3"/>
        <v>360516.96</v>
      </c>
      <c r="N146" s="38" t="str">
        <f>VLOOKUP(F146,products!$A$2:$B$13,2,FALSE)</f>
        <v>Clothes</v>
      </c>
      <c r="O146" s="133">
        <f t="shared" si="4"/>
        <v>0.3279648609</v>
      </c>
      <c r="P146" s="38" t="str">
        <f>VLOOKUP(E146,countries!A$2:E$250,3,false)</f>
        <v>Andorra</v>
      </c>
      <c r="Q146" s="38" t="str">
        <f>VLOOKUP($E146,countries!$A$2:$E$250,4,false)</f>
        <v>Europe</v>
      </c>
      <c r="R146" s="38" t="str">
        <f>VLOOKUP($E146,countries!$A$2:$E$250,5,false)</f>
        <v>Southern Europe</v>
      </c>
      <c r="S146" s="38">
        <f t="shared" si="5"/>
        <v>46</v>
      </c>
      <c r="T146" s="38" t="s">
        <v>150</v>
      </c>
      <c r="U146" s="38">
        <v>2017.0</v>
      </c>
      <c r="V146" s="38">
        <v>6.0</v>
      </c>
      <c r="W146" s="38" t="s">
        <v>128</v>
      </c>
      <c r="X146" s="38" t="s">
        <v>199</v>
      </c>
      <c r="Y146" s="38" t="s">
        <v>146</v>
      </c>
      <c r="Z146" s="38" t="s">
        <v>147</v>
      </c>
      <c r="AA146" s="113" t="str">
        <f t="array" ref="AA146">PROPER(G146)</f>
        <v>Online</v>
      </c>
    </row>
    <row r="147">
      <c r="A147" s="110">
        <v>1.92236125E8</v>
      </c>
      <c r="B147" s="131">
        <v>42805.0</v>
      </c>
      <c r="C147" s="131">
        <v>42816.0</v>
      </c>
      <c r="D147" s="110" t="s">
        <v>95</v>
      </c>
      <c r="E147" s="110" t="s">
        <v>99</v>
      </c>
      <c r="F147" s="110">
        <v>1270.0</v>
      </c>
      <c r="G147" s="38" t="s">
        <v>42</v>
      </c>
      <c r="H147" s="110">
        <v>5796.0</v>
      </c>
      <c r="I147" s="132">
        <v>47.45</v>
      </c>
      <c r="J147" s="132">
        <v>31.79</v>
      </c>
      <c r="K147" s="39">
        <f t="shared" si="1"/>
        <v>275020.2</v>
      </c>
      <c r="L147" s="39">
        <f t="shared" si="2"/>
        <v>184254.84</v>
      </c>
      <c r="M147" s="39">
        <f t="shared" si="3"/>
        <v>90765.36</v>
      </c>
      <c r="N147" s="38" t="str">
        <f>VLOOKUP(F147,products!$A$2:$B$13,2,FALSE)</f>
        <v>Beverages</v>
      </c>
      <c r="O147" s="133">
        <f t="shared" si="4"/>
        <v>0.6699683878</v>
      </c>
      <c r="P147" s="38" t="str">
        <f>VLOOKUP(E147,countries!A$2:E$250,3,false)</f>
        <v>Croatia</v>
      </c>
      <c r="Q147" s="38" t="str">
        <f>VLOOKUP($E147,countries!$A$2:$E$250,4,false)</f>
        <v>Europe</v>
      </c>
      <c r="R147" s="38" t="str">
        <f>VLOOKUP($E147,countries!$A$2:$E$250,5,false)</f>
        <v>Southern Europe</v>
      </c>
      <c r="S147" s="38">
        <f t="shared" si="5"/>
        <v>11</v>
      </c>
      <c r="T147" s="38" t="s">
        <v>152</v>
      </c>
      <c r="U147" s="38">
        <v>2017.0</v>
      </c>
      <c r="V147" s="38">
        <v>3.0</v>
      </c>
      <c r="W147" s="38" t="s">
        <v>99</v>
      </c>
      <c r="X147" s="38" t="s">
        <v>162</v>
      </c>
      <c r="Y147" s="38" t="s">
        <v>146</v>
      </c>
      <c r="Z147" s="38" t="s">
        <v>147</v>
      </c>
      <c r="AA147" s="113" t="str">
        <f t="array" ref="AA147">PROPER(G147)</f>
        <v>Offline</v>
      </c>
    </row>
    <row r="148">
      <c r="A148" s="110">
        <v>1.92589318E8</v>
      </c>
      <c r="B148" s="131">
        <v>41214.0</v>
      </c>
      <c r="C148" s="131">
        <v>41259.0</v>
      </c>
      <c r="D148" s="110" t="s">
        <v>89</v>
      </c>
      <c r="E148" s="110" t="s">
        <v>114</v>
      </c>
      <c r="F148" s="110">
        <v>4594.0</v>
      </c>
      <c r="G148" s="38" t="s">
        <v>43</v>
      </c>
      <c r="H148" s="110">
        <v>314.0</v>
      </c>
      <c r="I148" s="132">
        <v>9.33</v>
      </c>
      <c r="J148" s="132">
        <v>6.92</v>
      </c>
      <c r="K148" s="39">
        <f t="shared" si="1"/>
        <v>2929.62</v>
      </c>
      <c r="L148" s="39">
        <f t="shared" si="2"/>
        <v>2172.88</v>
      </c>
      <c r="M148" s="39">
        <f t="shared" si="3"/>
        <v>756.74</v>
      </c>
      <c r="N148" s="38" t="str">
        <f>VLOOKUP(F148,products!$A$2:$B$13,2,FALSE)</f>
        <v>Fruits</v>
      </c>
      <c r="O148" s="133">
        <f t="shared" si="4"/>
        <v>0.741693462</v>
      </c>
      <c r="P148" s="38" t="str">
        <f>VLOOKUP(E148,countries!A$2:E$250,3,false)</f>
        <v>Czech Republic</v>
      </c>
      <c r="Q148" s="38" t="str">
        <f>VLOOKUP($E148,countries!$A$2:$E$250,4,false)</f>
        <v>Europe</v>
      </c>
      <c r="R148" s="38" t="str">
        <f>VLOOKUP($E148,countries!$A$2:$E$250,5,false)</f>
        <v>Eastern Europe</v>
      </c>
      <c r="S148" s="38">
        <f t="shared" si="5"/>
        <v>45</v>
      </c>
      <c r="T148" s="38" t="s">
        <v>156</v>
      </c>
      <c r="U148" s="38">
        <v>2012.0</v>
      </c>
      <c r="V148" s="38">
        <v>11.0</v>
      </c>
      <c r="W148" s="38" t="s">
        <v>114</v>
      </c>
      <c r="X148" s="38" t="s">
        <v>184</v>
      </c>
      <c r="Y148" s="38" t="s">
        <v>146</v>
      </c>
      <c r="Z148" s="38" t="s">
        <v>155</v>
      </c>
      <c r="AA148" s="113" t="str">
        <f t="array" ref="AA148">PROPER(G148)</f>
        <v>Online</v>
      </c>
    </row>
    <row r="149">
      <c r="A149" s="110">
        <v>1.92922341E8</v>
      </c>
      <c r="B149" s="131">
        <v>41001.0</v>
      </c>
      <c r="C149" s="131">
        <v>41030.0</v>
      </c>
      <c r="D149" s="110" t="s">
        <v>10</v>
      </c>
      <c r="E149" s="110" t="s">
        <v>118</v>
      </c>
      <c r="F149" s="110">
        <v>1270.0</v>
      </c>
      <c r="G149" s="38" t="s">
        <v>42</v>
      </c>
      <c r="H149" s="110">
        <v>8863.0</v>
      </c>
      <c r="I149" s="132">
        <v>47.45</v>
      </c>
      <c r="J149" s="132">
        <v>31.79</v>
      </c>
      <c r="K149" s="39">
        <f t="shared" si="1"/>
        <v>420549.35</v>
      </c>
      <c r="L149" s="39">
        <f t="shared" si="2"/>
        <v>281754.77</v>
      </c>
      <c r="M149" s="39">
        <f t="shared" si="3"/>
        <v>138794.58</v>
      </c>
      <c r="N149" s="38" t="str">
        <f>VLOOKUP(F149,products!$A$2:$B$13,2,FALSE)</f>
        <v>Beverages</v>
      </c>
      <c r="O149" s="133">
        <f t="shared" si="4"/>
        <v>0.6699683878</v>
      </c>
      <c r="P149" s="38" t="str">
        <f>VLOOKUP(E149,countries!A$2:E$250,3,false)</f>
        <v>Austria</v>
      </c>
      <c r="Q149" s="38" t="str">
        <f>VLOOKUP($E149,countries!$A$2:$E$250,4,false)</f>
        <v>Europe</v>
      </c>
      <c r="R149" s="38" t="str">
        <f>VLOOKUP($E149,countries!$A$2:$E$250,5,false)</f>
        <v>Western Europe</v>
      </c>
      <c r="S149" s="38">
        <f t="shared" si="5"/>
        <v>29</v>
      </c>
      <c r="T149" s="38" t="s">
        <v>152</v>
      </c>
      <c r="U149" s="38">
        <v>2012.0</v>
      </c>
      <c r="V149" s="38">
        <v>4.0</v>
      </c>
      <c r="W149" s="38" t="s">
        <v>118</v>
      </c>
      <c r="X149" s="38" t="s">
        <v>189</v>
      </c>
      <c r="Y149" s="38" t="s">
        <v>146</v>
      </c>
      <c r="Z149" s="38" t="s">
        <v>158</v>
      </c>
      <c r="AA149" s="113" t="str">
        <f t="array" ref="AA149">PROPER(G149)</f>
        <v>Offline</v>
      </c>
    </row>
    <row r="150">
      <c r="A150" s="110">
        <v>1.93472945E8</v>
      </c>
      <c r="B150" s="131">
        <v>42578.0</v>
      </c>
      <c r="C150" s="131">
        <v>42626.0</v>
      </c>
      <c r="D150" s="110" t="s">
        <v>89</v>
      </c>
      <c r="E150" s="110" t="s">
        <v>109</v>
      </c>
      <c r="F150" s="110">
        <v>8293.0</v>
      </c>
      <c r="G150" s="38" t="s">
        <v>42</v>
      </c>
      <c r="H150" s="110">
        <v>1799.0</v>
      </c>
      <c r="I150" s="132">
        <v>437.2</v>
      </c>
      <c r="J150" s="132">
        <v>263.33</v>
      </c>
      <c r="K150" s="39">
        <f t="shared" si="1"/>
        <v>786522.8</v>
      </c>
      <c r="L150" s="39">
        <f t="shared" si="2"/>
        <v>473730.67</v>
      </c>
      <c r="M150" s="39">
        <f t="shared" si="3"/>
        <v>312792.13</v>
      </c>
      <c r="N150" s="38" t="str">
        <f>VLOOKUP(F150,products!$A$2:$B$13,2,FALSE)</f>
        <v>Cosmetics</v>
      </c>
      <c r="O150" s="133">
        <f t="shared" si="4"/>
        <v>0.6023101555</v>
      </c>
      <c r="P150" s="38" t="str">
        <f>VLOOKUP(E150,countries!A$2:E$250,3,false)</f>
        <v>Belgium</v>
      </c>
      <c r="Q150" s="38" t="str">
        <f>VLOOKUP($E150,countries!$A$2:$E$250,4,false)</f>
        <v>Europe</v>
      </c>
      <c r="R150" s="38" t="str">
        <f>VLOOKUP($E150,countries!$A$2:$E$250,5,false)</f>
        <v>Western Europe</v>
      </c>
      <c r="S150" s="38">
        <f t="shared" si="5"/>
        <v>48</v>
      </c>
      <c r="T150" s="38" t="s">
        <v>178</v>
      </c>
      <c r="U150" s="38">
        <v>2016.0</v>
      </c>
      <c r="V150" s="38">
        <v>7.0</v>
      </c>
      <c r="W150" s="38" t="s">
        <v>109</v>
      </c>
      <c r="X150" s="38" t="s">
        <v>176</v>
      </c>
      <c r="Y150" s="38" t="s">
        <v>146</v>
      </c>
      <c r="Z150" s="38" t="s">
        <v>158</v>
      </c>
      <c r="AA150" s="113" t="str">
        <f t="array" ref="AA150">PROPER(G150)</f>
        <v>Offline</v>
      </c>
    </row>
    <row r="151">
      <c r="A151" s="110">
        <v>1.94176757E8</v>
      </c>
      <c r="B151" s="131">
        <v>42926.0</v>
      </c>
      <c r="C151" s="131">
        <v>42967.0</v>
      </c>
      <c r="D151" s="110" t="s">
        <v>89</v>
      </c>
      <c r="E151" s="110" t="s">
        <v>111</v>
      </c>
      <c r="F151" s="110">
        <v>7940.0</v>
      </c>
      <c r="G151" s="38" t="s">
        <v>43</v>
      </c>
      <c r="H151" s="110">
        <v>72.0</v>
      </c>
      <c r="I151" s="132">
        <v>668.27</v>
      </c>
      <c r="J151" s="132">
        <v>502.54</v>
      </c>
      <c r="K151" s="39">
        <f t="shared" si="1"/>
        <v>48115.44</v>
      </c>
      <c r="L151" s="39">
        <f t="shared" si="2"/>
        <v>36182.88</v>
      </c>
      <c r="M151" s="39">
        <f t="shared" si="3"/>
        <v>11932.56</v>
      </c>
      <c r="N151" s="38" t="str">
        <f>VLOOKUP(F151,products!$A$2:$B$13,2,FALSE)</f>
        <v>Household</v>
      </c>
      <c r="O151" s="133">
        <f t="shared" si="4"/>
        <v>0.7520014365</v>
      </c>
      <c r="P151" s="38" t="str">
        <f>VLOOKUP(E151,countries!A$2:E$250,3,false)</f>
        <v>Russia</v>
      </c>
      <c r="Q151" s="38" t="str">
        <f>VLOOKUP($E151,countries!$A$2:$E$250,4,false)</f>
        <v>Europe</v>
      </c>
      <c r="R151" s="38" t="str">
        <f>VLOOKUP($E151,countries!$A$2:$E$250,5,false)</f>
        <v>Eastern Europe</v>
      </c>
      <c r="S151" s="38">
        <f t="shared" si="5"/>
        <v>41</v>
      </c>
      <c r="T151" s="38" t="s">
        <v>148</v>
      </c>
      <c r="U151" s="38">
        <v>2017.0</v>
      </c>
      <c r="V151" s="38">
        <v>7.0</v>
      </c>
      <c r="W151" s="38" t="s">
        <v>111</v>
      </c>
      <c r="X151" s="38" t="s">
        <v>179</v>
      </c>
      <c r="Y151" s="38" t="s">
        <v>146</v>
      </c>
      <c r="Z151" s="38" t="s">
        <v>155</v>
      </c>
      <c r="AA151" s="113" t="str">
        <f t="array" ref="AA151">PROPER(G151)</f>
        <v>Online</v>
      </c>
    </row>
    <row r="152">
      <c r="A152" s="110">
        <v>1.94785726E8</v>
      </c>
      <c r="B152" s="131">
        <v>41928.0</v>
      </c>
      <c r="C152" s="131">
        <v>41956.0</v>
      </c>
      <c r="D152" s="110" t="s">
        <v>93</v>
      </c>
      <c r="E152" s="110" t="s">
        <v>129</v>
      </c>
      <c r="F152" s="110">
        <v>2103.0</v>
      </c>
      <c r="G152" s="38" t="s">
        <v>42</v>
      </c>
      <c r="H152" s="110">
        <v>280.0</v>
      </c>
      <c r="I152" s="132">
        <v>205.7</v>
      </c>
      <c r="J152" s="132">
        <v>117.11</v>
      </c>
      <c r="K152" s="39">
        <f t="shared" si="1"/>
        <v>57596</v>
      </c>
      <c r="L152" s="39">
        <f t="shared" si="2"/>
        <v>32790.8</v>
      </c>
      <c r="M152" s="39">
        <f t="shared" si="3"/>
        <v>24805.2</v>
      </c>
      <c r="N152" s="38" t="str">
        <f>VLOOKUP(F152,products!$A$2:$B$13,2,FALSE)</f>
        <v>Cereal</v>
      </c>
      <c r="O152" s="133">
        <f t="shared" si="4"/>
        <v>0.5693242586</v>
      </c>
      <c r="P152" s="38" t="str">
        <f>VLOOKUP(E152,countries!A$2:E$250,3,false)</f>
        <v>Liechtenstein</v>
      </c>
      <c r="Q152" s="38" t="str">
        <f>VLOOKUP($E152,countries!$A$2:$E$250,4,false)</f>
        <v>Europe</v>
      </c>
      <c r="R152" s="38" t="str">
        <f>VLOOKUP($E152,countries!$A$2:$E$250,5,false)</f>
        <v>Western Europe</v>
      </c>
      <c r="S152" s="38">
        <f t="shared" si="5"/>
        <v>28</v>
      </c>
      <c r="T152" s="38" t="s">
        <v>144</v>
      </c>
      <c r="U152" s="38">
        <v>2014.0</v>
      </c>
      <c r="V152" s="38">
        <v>10.0</v>
      </c>
      <c r="W152" s="38" t="s">
        <v>129</v>
      </c>
      <c r="X152" s="38" t="s">
        <v>200</v>
      </c>
      <c r="Y152" s="38" t="s">
        <v>146</v>
      </c>
      <c r="Z152" s="38" t="s">
        <v>158</v>
      </c>
      <c r="AA152" s="113" t="str">
        <f t="array" ref="AA152">PROPER(G152)</f>
        <v>Offline</v>
      </c>
    </row>
    <row r="153">
      <c r="A153" s="110">
        <v>1.94858253E8</v>
      </c>
      <c r="B153" s="131">
        <v>40680.0</v>
      </c>
      <c r="C153" s="131">
        <v>40685.0</v>
      </c>
      <c r="D153" s="110" t="s">
        <v>93</v>
      </c>
      <c r="E153" s="110" t="s">
        <v>107</v>
      </c>
      <c r="F153" s="110">
        <v>3127.0</v>
      </c>
      <c r="G153" s="38" t="s">
        <v>43</v>
      </c>
      <c r="H153" s="110">
        <v>1742.0</v>
      </c>
      <c r="I153" s="132">
        <v>81.73</v>
      </c>
      <c r="J153" s="132">
        <v>56.67</v>
      </c>
      <c r="K153" s="39">
        <f t="shared" si="1"/>
        <v>142373.66</v>
      </c>
      <c r="L153" s="39">
        <f t="shared" si="2"/>
        <v>98719.14</v>
      </c>
      <c r="M153" s="39">
        <f t="shared" si="3"/>
        <v>43654.52</v>
      </c>
      <c r="N153" s="38" t="str">
        <f>VLOOKUP(F153,products!$A$2:$B$13,2,FALSE)</f>
        <v>Personal Care</v>
      </c>
      <c r="O153" s="133">
        <f t="shared" si="4"/>
        <v>0.6933806436</v>
      </c>
      <c r="P153" s="38" t="str">
        <f>VLOOKUP(E153,countries!A$2:E$250,3,false)</f>
        <v>Luxembourg</v>
      </c>
      <c r="Q153" s="38" t="str">
        <f>VLOOKUP($E153,countries!$A$2:$E$250,4,false)</f>
        <v>Europe</v>
      </c>
      <c r="R153" s="38" t="str">
        <f>VLOOKUP($E153,countries!$A$2:$E$250,5,false)</f>
        <v>Western Europe</v>
      </c>
      <c r="S153" s="38">
        <f t="shared" si="5"/>
        <v>5</v>
      </c>
      <c r="T153" s="38" t="s">
        <v>185</v>
      </c>
      <c r="U153" s="38">
        <v>2011.0</v>
      </c>
      <c r="V153" s="38">
        <v>5.0</v>
      </c>
      <c r="W153" s="38" t="s">
        <v>107</v>
      </c>
      <c r="X153" s="38" t="s">
        <v>174</v>
      </c>
      <c r="Y153" s="38" t="s">
        <v>146</v>
      </c>
      <c r="Z153" s="38" t="s">
        <v>158</v>
      </c>
      <c r="AA153" s="113" t="str">
        <f t="array" ref="AA153">PROPER(G153)</f>
        <v>Online</v>
      </c>
    </row>
    <row r="154">
      <c r="A154" s="110">
        <v>1.94922626E8</v>
      </c>
      <c r="B154" s="131">
        <v>40931.0</v>
      </c>
      <c r="C154" s="131">
        <v>40946.0</v>
      </c>
      <c r="D154" s="110" t="s">
        <v>95</v>
      </c>
      <c r="E154" s="110" t="s">
        <v>101</v>
      </c>
      <c r="F154" s="110">
        <v>7331.0</v>
      </c>
      <c r="G154" s="38" t="s">
        <v>42</v>
      </c>
      <c r="H154" s="110">
        <v>791.0</v>
      </c>
      <c r="I154" s="132">
        <v>255.28</v>
      </c>
      <c r="J154" s="132">
        <v>159.42</v>
      </c>
      <c r="K154" s="39">
        <f t="shared" si="1"/>
        <v>201926.48</v>
      </c>
      <c r="L154" s="39">
        <f t="shared" si="2"/>
        <v>126101.22</v>
      </c>
      <c r="M154" s="39">
        <f t="shared" si="3"/>
        <v>75825.26</v>
      </c>
      <c r="N154" s="38" t="str">
        <f>VLOOKUP(F154,products!$A$2:$B$13,2,FALSE)</f>
        <v>Baby Food</v>
      </c>
      <c r="O154" s="133">
        <f t="shared" si="4"/>
        <v>0.6244907552</v>
      </c>
      <c r="P154" s="38" t="str">
        <f>VLOOKUP(E154,countries!A$2:E$250,3,false)</f>
        <v>Armenia</v>
      </c>
      <c r="Q154" s="38" t="str">
        <f>VLOOKUP($E154,countries!$A$2:$E$250,4,false)</f>
        <v>Asia</v>
      </c>
      <c r="R154" s="38" t="str">
        <f>VLOOKUP($E154,countries!$A$2:$E$250,5,false)</f>
        <v>Western Asia</v>
      </c>
      <c r="S154" s="38">
        <f t="shared" si="5"/>
        <v>15</v>
      </c>
      <c r="T154" s="38" t="s">
        <v>161</v>
      </c>
      <c r="U154" s="38">
        <v>2012.0</v>
      </c>
      <c r="V154" s="38">
        <v>1.0</v>
      </c>
      <c r="W154" s="38" t="s">
        <v>101</v>
      </c>
      <c r="X154" s="38" t="s">
        <v>164</v>
      </c>
      <c r="Y154" s="38" t="s">
        <v>165</v>
      </c>
      <c r="Z154" s="38" t="s">
        <v>166</v>
      </c>
      <c r="AA154" s="113" t="str">
        <f t="array" ref="AA154">PROPER(G154)</f>
        <v>Offline</v>
      </c>
    </row>
    <row r="155">
      <c r="A155" s="110">
        <v>1.95171105E8</v>
      </c>
      <c r="B155" s="131">
        <v>41845.0</v>
      </c>
      <c r="C155" s="131">
        <v>41886.0</v>
      </c>
      <c r="D155" s="110" t="s">
        <v>89</v>
      </c>
      <c r="E155" s="110" t="s">
        <v>130</v>
      </c>
      <c r="F155" s="110">
        <v>3127.0</v>
      </c>
      <c r="G155" s="38" t="s">
        <v>43</v>
      </c>
      <c r="H155" s="110">
        <v>4322.0</v>
      </c>
      <c r="I155" s="132">
        <v>81.73</v>
      </c>
      <c r="J155" s="132">
        <v>56.67</v>
      </c>
      <c r="K155" s="39">
        <f t="shared" si="1"/>
        <v>353237.06</v>
      </c>
      <c r="L155" s="39">
        <f t="shared" si="2"/>
        <v>244927.74</v>
      </c>
      <c r="M155" s="39">
        <f t="shared" si="3"/>
        <v>108309.32</v>
      </c>
      <c r="N155" s="38" t="str">
        <f>VLOOKUP(F155,products!$A$2:$B$13,2,FALSE)</f>
        <v>Personal Care</v>
      </c>
      <c r="O155" s="133">
        <f t="shared" si="4"/>
        <v>0.6933806436</v>
      </c>
      <c r="P155" s="38" t="str">
        <f>VLOOKUP(E155,countries!A$2:E$250,3,false)</f>
        <v>Finland</v>
      </c>
      <c r="Q155" s="38" t="str">
        <f>VLOOKUP($E155,countries!$A$2:$E$250,4,false)</f>
        <v>Europe</v>
      </c>
      <c r="R155" s="38" t="str">
        <f>VLOOKUP($E155,countries!$A$2:$E$250,5,false)</f>
        <v>Northern Europe</v>
      </c>
      <c r="S155" s="38">
        <f t="shared" si="5"/>
        <v>41</v>
      </c>
      <c r="T155" s="38" t="s">
        <v>185</v>
      </c>
      <c r="U155" s="38">
        <v>2014.0</v>
      </c>
      <c r="V155" s="38">
        <v>7.0</v>
      </c>
      <c r="W155" s="38" t="s">
        <v>130</v>
      </c>
      <c r="X155" s="38" t="s">
        <v>201</v>
      </c>
      <c r="Y155" s="38" t="s">
        <v>146</v>
      </c>
      <c r="Z155" s="38" t="s">
        <v>170</v>
      </c>
      <c r="AA155" s="113" t="str">
        <f t="array" ref="AA155">PROPER(G155)</f>
        <v>Online</v>
      </c>
    </row>
    <row r="156">
      <c r="A156" s="110">
        <v>1.95212733E8</v>
      </c>
      <c r="B156" s="131">
        <v>41473.0</v>
      </c>
      <c r="C156" s="131">
        <v>41500.0</v>
      </c>
      <c r="D156" s="110" t="s">
        <v>95</v>
      </c>
      <c r="E156" s="110" t="s">
        <v>117</v>
      </c>
      <c r="F156" s="110">
        <v>2103.0</v>
      </c>
      <c r="G156" s="38" t="s">
        <v>42</v>
      </c>
      <c r="H156" s="110">
        <v>6641.0</v>
      </c>
      <c r="I156" s="132">
        <v>205.7</v>
      </c>
      <c r="J156" s="132">
        <v>117.11</v>
      </c>
      <c r="K156" s="39">
        <f t="shared" si="1"/>
        <v>1366053.7</v>
      </c>
      <c r="L156" s="39">
        <f t="shared" si="2"/>
        <v>777727.51</v>
      </c>
      <c r="M156" s="39">
        <f t="shared" si="3"/>
        <v>588326.19</v>
      </c>
      <c r="N156" s="38" t="str">
        <f>VLOOKUP(F156,products!$A$2:$B$13,2,FALSE)</f>
        <v>Cereal</v>
      </c>
      <c r="O156" s="133">
        <f t="shared" si="4"/>
        <v>0.5693242586</v>
      </c>
      <c r="P156" s="38" t="str">
        <f>VLOOKUP(E156,countries!A$2:E$250,3,false)</f>
        <v>Estonia</v>
      </c>
      <c r="Q156" s="38" t="str">
        <f>VLOOKUP($E156,countries!$A$2:$E$250,4,false)</f>
        <v>Europe</v>
      </c>
      <c r="R156" s="38" t="str">
        <f>VLOOKUP($E156,countries!$A$2:$E$250,5,false)</f>
        <v>Northern Europe</v>
      </c>
      <c r="S156" s="38">
        <f t="shared" si="5"/>
        <v>27</v>
      </c>
      <c r="T156" s="38" t="s">
        <v>144</v>
      </c>
      <c r="U156" s="38">
        <v>2013.0</v>
      </c>
      <c r="V156" s="38">
        <v>7.0</v>
      </c>
      <c r="W156" s="38" t="s">
        <v>117</v>
      </c>
      <c r="X156" s="38" t="s">
        <v>188</v>
      </c>
      <c r="Y156" s="38" t="s">
        <v>146</v>
      </c>
      <c r="Z156" s="38" t="s">
        <v>170</v>
      </c>
      <c r="AA156" s="113" t="str">
        <f t="array" ref="AA156">PROPER(G156)</f>
        <v>Offline</v>
      </c>
    </row>
    <row r="157">
      <c r="A157" s="110">
        <v>1.95259082E8</v>
      </c>
      <c r="B157" s="131">
        <v>41543.0</v>
      </c>
      <c r="C157" s="131">
        <v>41558.0</v>
      </c>
      <c r="D157" s="110" t="s">
        <v>93</v>
      </c>
      <c r="E157" s="110" t="s">
        <v>138</v>
      </c>
      <c r="F157" s="110">
        <v>7940.0</v>
      </c>
      <c r="G157" s="38" t="s">
        <v>43</v>
      </c>
      <c r="H157" s="110">
        <v>356.0</v>
      </c>
      <c r="I157" s="132">
        <v>668.27</v>
      </c>
      <c r="J157" s="132">
        <v>502.54</v>
      </c>
      <c r="K157" s="39">
        <f t="shared" si="1"/>
        <v>237904.12</v>
      </c>
      <c r="L157" s="39">
        <f t="shared" si="2"/>
        <v>178904.24</v>
      </c>
      <c r="M157" s="39">
        <f t="shared" si="3"/>
        <v>58999.88</v>
      </c>
      <c r="N157" s="38" t="str">
        <f>VLOOKUP(F157,products!$A$2:$B$13,2,FALSE)</f>
        <v>Household</v>
      </c>
      <c r="O157" s="133">
        <f t="shared" si="4"/>
        <v>0.7520014365</v>
      </c>
      <c r="P157" s="38" t="str">
        <f>VLOOKUP(E157,countries!A$2:E$250,3,false)</f>
        <v>Greece</v>
      </c>
      <c r="Q157" s="38" t="str">
        <f>VLOOKUP($E157,countries!$A$2:$E$250,4,false)</f>
        <v>Europe</v>
      </c>
      <c r="R157" s="38" t="str">
        <f>VLOOKUP($E157,countries!$A$2:$E$250,5,false)</f>
        <v>Southern Europe</v>
      </c>
      <c r="S157" s="38">
        <f t="shared" si="5"/>
        <v>15</v>
      </c>
      <c r="T157" s="38" t="s">
        <v>148</v>
      </c>
      <c r="U157" s="38">
        <v>2013.0</v>
      </c>
      <c r="V157" s="38">
        <v>9.0</v>
      </c>
      <c r="W157" s="38" t="s">
        <v>138</v>
      </c>
      <c r="X157" s="38" t="s">
        <v>208</v>
      </c>
      <c r="Y157" s="38" t="s">
        <v>146</v>
      </c>
      <c r="Z157" s="38" t="s">
        <v>147</v>
      </c>
      <c r="AA157" s="113" t="str">
        <f t="array" ref="AA157">PROPER(G157)</f>
        <v>Online</v>
      </c>
    </row>
    <row r="158">
      <c r="A158" s="110">
        <v>1.96346127E8</v>
      </c>
      <c r="B158" s="131">
        <v>40602.0</v>
      </c>
      <c r="C158" s="131">
        <v>40645.0</v>
      </c>
      <c r="D158" s="110" t="s">
        <v>95</v>
      </c>
      <c r="E158" s="110" t="s">
        <v>101</v>
      </c>
      <c r="F158" s="110">
        <v>8969.0</v>
      </c>
      <c r="G158" s="38" t="s">
        <v>43</v>
      </c>
      <c r="H158" s="110">
        <v>2037.0</v>
      </c>
      <c r="I158" s="132">
        <v>152.58</v>
      </c>
      <c r="J158" s="132">
        <v>97.44</v>
      </c>
      <c r="K158" s="39">
        <f t="shared" si="1"/>
        <v>310805.46</v>
      </c>
      <c r="L158" s="39">
        <f t="shared" si="2"/>
        <v>198485.28</v>
      </c>
      <c r="M158" s="39">
        <f t="shared" si="3"/>
        <v>112320.18</v>
      </c>
      <c r="N158" s="38" t="str">
        <f>VLOOKUP(F158,products!$A$2:$B$13,2,FALSE)</f>
        <v>Snacks</v>
      </c>
      <c r="O158" s="133">
        <f t="shared" si="4"/>
        <v>0.6386158081</v>
      </c>
      <c r="P158" s="38" t="str">
        <f>VLOOKUP(E158,countries!A$2:E$250,3,false)</f>
        <v>Armenia</v>
      </c>
      <c r="Q158" s="38" t="str">
        <f>VLOOKUP($E158,countries!$A$2:$E$250,4,false)</f>
        <v>Asia</v>
      </c>
      <c r="R158" s="38" t="str">
        <f>VLOOKUP($E158,countries!$A$2:$E$250,5,false)</f>
        <v>Western Asia</v>
      </c>
      <c r="S158" s="38">
        <f t="shared" si="5"/>
        <v>43</v>
      </c>
      <c r="T158" s="38" t="s">
        <v>182</v>
      </c>
      <c r="U158" s="38">
        <v>2011.0</v>
      </c>
      <c r="V158" s="38">
        <v>2.0</v>
      </c>
      <c r="W158" s="38" t="s">
        <v>101</v>
      </c>
      <c r="X158" s="38" t="s">
        <v>164</v>
      </c>
      <c r="Y158" s="38" t="s">
        <v>165</v>
      </c>
      <c r="Z158" s="38" t="s">
        <v>166</v>
      </c>
      <c r="AA158" s="113" t="str">
        <f t="array" ref="AA158">PROPER(G158)</f>
        <v>Online</v>
      </c>
    </row>
    <row r="159">
      <c r="A159" s="110">
        <v>1.98537814E8</v>
      </c>
      <c r="B159" s="131">
        <v>40873.0</v>
      </c>
      <c r="C159" s="131">
        <v>40896.0</v>
      </c>
      <c r="D159" s="110" t="s">
        <v>10</v>
      </c>
      <c r="E159" s="110" t="s">
        <v>135</v>
      </c>
      <c r="F159" s="110">
        <v>8875.0</v>
      </c>
      <c r="G159" s="38" t="s">
        <v>43</v>
      </c>
      <c r="H159" s="110">
        <v>606.0</v>
      </c>
      <c r="I159" s="132">
        <v>421.89</v>
      </c>
      <c r="J159" s="132">
        <v>364.69</v>
      </c>
      <c r="K159" s="39">
        <f t="shared" si="1"/>
        <v>255665.34</v>
      </c>
      <c r="L159" s="39">
        <f t="shared" si="2"/>
        <v>221002.14</v>
      </c>
      <c r="M159" s="39">
        <f t="shared" si="3"/>
        <v>34663.2</v>
      </c>
      <c r="N159" s="38" t="str">
        <f>VLOOKUP(F159,products!$A$2:$B$13,2,FALSE)</f>
        <v>Meat</v>
      </c>
      <c r="O159" s="133">
        <f t="shared" si="4"/>
        <v>0.8644196354</v>
      </c>
      <c r="P159" s="38" t="str">
        <f>VLOOKUP(E159,countries!A$2:E$250,3,false)</f>
        <v>Denmark</v>
      </c>
      <c r="Q159" s="38" t="str">
        <f>VLOOKUP($E159,countries!$A$2:$E$250,4,false)</f>
        <v>Europe</v>
      </c>
      <c r="R159" s="38" t="str">
        <f>VLOOKUP($E159,countries!$A$2:$E$250,5,false)</f>
        <v>Northern Europe</v>
      </c>
      <c r="S159" s="38">
        <f t="shared" si="5"/>
        <v>23</v>
      </c>
      <c r="T159" s="38" t="s">
        <v>167</v>
      </c>
      <c r="U159" s="38">
        <v>2011.0</v>
      </c>
      <c r="V159" s="38">
        <v>11.0</v>
      </c>
      <c r="W159" s="38" t="s">
        <v>135</v>
      </c>
      <c r="X159" s="38" t="s">
        <v>205</v>
      </c>
      <c r="Y159" s="38" t="s">
        <v>146</v>
      </c>
      <c r="Z159" s="38" t="s">
        <v>170</v>
      </c>
      <c r="AA159" s="113" t="str">
        <f t="array" ref="AA159">PROPER(G159)</f>
        <v>Online</v>
      </c>
    </row>
    <row r="160">
      <c r="A160" s="110">
        <v>2.0035485E8</v>
      </c>
      <c r="B160" s="131">
        <v>41730.0</v>
      </c>
      <c r="C160" s="131">
        <v>41763.0</v>
      </c>
      <c r="D160" s="110" t="s">
        <v>95</v>
      </c>
      <c r="E160" s="110" t="s">
        <v>119</v>
      </c>
      <c r="F160" s="110">
        <v>7331.0</v>
      </c>
      <c r="G160" s="38" t="s">
        <v>42</v>
      </c>
      <c r="H160" s="110">
        <v>8307.0</v>
      </c>
      <c r="I160" s="132">
        <v>255.28</v>
      </c>
      <c r="J160" s="132">
        <v>159.42</v>
      </c>
      <c r="K160" s="39">
        <f t="shared" si="1"/>
        <v>2120610.96</v>
      </c>
      <c r="L160" s="39">
        <f t="shared" si="2"/>
        <v>1324301.94</v>
      </c>
      <c r="M160" s="39">
        <f t="shared" si="3"/>
        <v>796309.02</v>
      </c>
      <c r="N160" s="38" t="str">
        <f>VLOOKUP(F160,products!$A$2:$B$13,2,FALSE)</f>
        <v>Baby Food</v>
      </c>
      <c r="O160" s="133">
        <f t="shared" si="4"/>
        <v>0.6244907552</v>
      </c>
      <c r="P160" s="38" t="str">
        <f>VLOOKUP(E160,countries!A$2:E$250,3,false)</f>
        <v>Macedonia</v>
      </c>
      <c r="Q160" s="38" t="str">
        <f>VLOOKUP($E160,countries!$A$2:$E$250,4,false)</f>
        <v>Europe</v>
      </c>
      <c r="R160" s="38" t="str">
        <f>VLOOKUP($E160,countries!$A$2:$E$250,5,false)</f>
        <v>Southern Europe</v>
      </c>
      <c r="S160" s="38">
        <f t="shared" si="5"/>
        <v>33</v>
      </c>
      <c r="T160" s="38" t="s">
        <v>161</v>
      </c>
      <c r="U160" s="38">
        <v>2014.0</v>
      </c>
      <c r="V160" s="38">
        <v>4.0</v>
      </c>
      <c r="W160" s="38" t="s">
        <v>119</v>
      </c>
      <c r="X160" s="38" t="s">
        <v>190</v>
      </c>
      <c r="Y160" s="38" t="s">
        <v>146</v>
      </c>
      <c r="Z160" s="38" t="s">
        <v>147</v>
      </c>
      <c r="AA160" s="113" t="str">
        <f t="array" ref="AA160">PROPER(G160)</f>
        <v>Offline</v>
      </c>
    </row>
    <row r="161">
      <c r="A161" s="110">
        <v>2.00432097E8</v>
      </c>
      <c r="B161" s="131">
        <v>40925.0</v>
      </c>
      <c r="C161" s="131">
        <v>40939.0</v>
      </c>
      <c r="D161" s="110" t="s">
        <v>93</v>
      </c>
      <c r="E161" s="110" t="s">
        <v>115</v>
      </c>
      <c r="F161" s="110">
        <v>7940.0</v>
      </c>
      <c r="G161" s="38" t="s">
        <v>43</v>
      </c>
      <c r="H161" s="110">
        <v>1167.0</v>
      </c>
      <c r="I161" s="132">
        <v>668.27</v>
      </c>
      <c r="J161" s="132">
        <v>502.54</v>
      </c>
      <c r="K161" s="39">
        <f t="shared" si="1"/>
        <v>779871.09</v>
      </c>
      <c r="L161" s="39">
        <f t="shared" si="2"/>
        <v>586464.18</v>
      </c>
      <c r="M161" s="39">
        <f t="shared" si="3"/>
        <v>193406.91</v>
      </c>
      <c r="N161" s="38" t="str">
        <f>VLOOKUP(F161,products!$A$2:$B$13,2,FALSE)</f>
        <v>Household</v>
      </c>
      <c r="O161" s="133">
        <f t="shared" si="4"/>
        <v>0.7520014365</v>
      </c>
      <c r="P161" s="38" t="str">
        <f>VLOOKUP(E161,countries!A$2:E$250,3,false)</f>
        <v>Portugal</v>
      </c>
      <c r="Q161" s="38" t="str">
        <f>VLOOKUP($E161,countries!$A$2:$E$250,4,false)</f>
        <v>Europe</v>
      </c>
      <c r="R161" s="38" t="str">
        <f>VLOOKUP($E161,countries!$A$2:$E$250,5,false)</f>
        <v>Southern Europe</v>
      </c>
      <c r="S161" s="38">
        <f t="shared" si="5"/>
        <v>14</v>
      </c>
      <c r="T161" s="38" t="s">
        <v>148</v>
      </c>
      <c r="U161" s="38">
        <v>2012.0</v>
      </c>
      <c r="V161" s="38">
        <v>1.0</v>
      </c>
      <c r="W161" s="38" t="s">
        <v>115</v>
      </c>
      <c r="X161" s="38" t="s">
        <v>186</v>
      </c>
      <c r="Y161" s="38" t="s">
        <v>146</v>
      </c>
      <c r="Z161" s="38" t="s">
        <v>147</v>
      </c>
      <c r="AA161" s="113" t="str">
        <f t="array" ref="AA161">PROPER(G161)</f>
        <v>Online</v>
      </c>
    </row>
    <row r="162">
      <c r="A162" s="110">
        <v>2.00507199E8</v>
      </c>
      <c r="B162" s="131">
        <v>41679.0</v>
      </c>
      <c r="C162" s="131">
        <v>41695.0</v>
      </c>
      <c r="D162" s="110" t="s">
        <v>10</v>
      </c>
      <c r="E162" s="110" t="s">
        <v>125</v>
      </c>
      <c r="F162" s="110">
        <v>8681.0</v>
      </c>
      <c r="G162" s="38" t="s">
        <v>42</v>
      </c>
      <c r="H162" s="110">
        <v>3391.0</v>
      </c>
      <c r="I162" s="132">
        <v>651.21</v>
      </c>
      <c r="J162" s="132">
        <v>524.96</v>
      </c>
      <c r="K162" s="39">
        <f t="shared" si="1"/>
        <v>2208253.11</v>
      </c>
      <c r="L162" s="39">
        <f t="shared" si="2"/>
        <v>1780139.36</v>
      </c>
      <c r="M162" s="39">
        <f t="shared" si="3"/>
        <v>428113.75</v>
      </c>
      <c r="N162" s="38" t="str">
        <f>VLOOKUP(F162,products!$A$2:$B$13,2,FALSE)</f>
        <v>Office Supplies</v>
      </c>
      <c r="O162" s="133">
        <f t="shared" si="4"/>
        <v>0.806130127</v>
      </c>
      <c r="P162" s="38" t="str">
        <f>VLOOKUP(E162,countries!A$2:E$250,3,false)</f>
        <v>Bulgaria</v>
      </c>
      <c r="Q162" s="38" t="str">
        <f>VLOOKUP($E162,countries!$A$2:$E$250,4,false)</f>
        <v>Europe</v>
      </c>
      <c r="R162" s="38" t="str">
        <f>VLOOKUP($E162,countries!$A$2:$E$250,5,false)</f>
        <v>Eastern Europe</v>
      </c>
      <c r="S162" s="38">
        <f t="shared" si="5"/>
        <v>16</v>
      </c>
      <c r="T162" s="38" t="s">
        <v>153</v>
      </c>
      <c r="U162" s="38">
        <v>2014.0</v>
      </c>
      <c r="V162" s="38">
        <v>2.0</v>
      </c>
      <c r="W162" s="38" t="s">
        <v>125</v>
      </c>
      <c r="X162" s="38" t="s">
        <v>196</v>
      </c>
      <c r="Y162" s="38" t="s">
        <v>146</v>
      </c>
      <c r="Z162" s="38" t="s">
        <v>155</v>
      </c>
      <c r="AA162" s="113" t="str">
        <f t="array" ref="AA162">PROPER(G162)</f>
        <v>Offline</v>
      </c>
    </row>
    <row r="163">
      <c r="A163" s="110">
        <v>2.01294267E8</v>
      </c>
      <c r="B163" s="131">
        <v>41283.0</v>
      </c>
      <c r="C163" s="131">
        <v>41314.0</v>
      </c>
      <c r="D163" s="110" t="s">
        <v>93</v>
      </c>
      <c r="E163" s="110" t="s">
        <v>120</v>
      </c>
      <c r="F163" s="110">
        <v>8969.0</v>
      </c>
      <c r="G163" s="38" t="s">
        <v>42</v>
      </c>
      <c r="H163" s="110">
        <v>6302.0</v>
      </c>
      <c r="I163" s="132">
        <v>152.58</v>
      </c>
      <c r="J163" s="132">
        <v>97.44</v>
      </c>
      <c r="K163" s="39">
        <f t="shared" si="1"/>
        <v>961559.16</v>
      </c>
      <c r="L163" s="39">
        <f t="shared" si="2"/>
        <v>614066.88</v>
      </c>
      <c r="M163" s="39">
        <f t="shared" si="3"/>
        <v>347492.28</v>
      </c>
      <c r="N163" s="38" t="str">
        <f>VLOOKUP(F163,products!$A$2:$B$13,2,FALSE)</f>
        <v>Snacks</v>
      </c>
      <c r="O163" s="133">
        <f t="shared" si="4"/>
        <v>0.6386158081</v>
      </c>
      <c r="P163" s="38" t="str">
        <f>VLOOKUP(E163,countries!A$2:E$250,3,false)</f>
        <v>San Marino</v>
      </c>
      <c r="Q163" s="38" t="str">
        <f>VLOOKUP($E163,countries!$A$2:$E$250,4,false)</f>
        <v>Europe</v>
      </c>
      <c r="R163" s="38" t="str">
        <f>VLOOKUP($E163,countries!$A$2:$E$250,5,false)</f>
        <v>Southern Europe</v>
      </c>
      <c r="S163" s="38">
        <f t="shared" si="5"/>
        <v>31</v>
      </c>
      <c r="T163" s="38" t="s">
        <v>182</v>
      </c>
      <c r="U163" s="38">
        <v>2013.0</v>
      </c>
      <c r="V163" s="38">
        <v>1.0</v>
      </c>
      <c r="W163" s="38" t="s">
        <v>120</v>
      </c>
      <c r="X163" s="38" t="s">
        <v>191</v>
      </c>
      <c r="Y163" s="38" t="s">
        <v>146</v>
      </c>
      <c r="Z163" s="38" t="s">
        <v>147</v>
      </c>
      <c r="AA163" s="113" t="str">
        <f t="array" ref="AA163">PROPER(G163)</f>
        <v>Offline</v>
      </c>
    </row>
    <row r="164">
      <c r="A164" s="110">
        <v>2.02047002E8</v>
      </c>
      <c r="B164" s="131">
        <v>40937.0</v>
      </c>
      <c r="C164" s="131">
        <v>40974.0</v>
      </c>
      <c r="D164" s="110" t="s">
        <v>95</v>
      </c>
      <c r="E164" s="110" t="s">
        <v>113</v>
      </c>
      <c r="F164" s="110">
        <v>8293.0</v>
      </c>
      <c r="G164" s="38" t="s">
        <v>43</v>
      </c>
      <c r="H164" s="110">
        <v>9053.0</v>
      </c>
      <c r="I164" s="132">
        <v>437.2</v>
      </c>
      <c r="J164" s="132">
        <v>263.33</v>
      </c>
      <c r="K164" s="39">
        <f t="shared" si="1"/>
        <v>3957971.6</v>
      </c>
      <c r="L164" s="39">
        <f t="shared" si="2"/>
        <v>2383926.49</v>
      </c>
      <c r="M164" s="39">
        <f t="shared" si="3"/>
        <v>1574045.11</v>
      </c>
      <c r="N164" s="38" t="str">
        <f>VLOOKUP(F164,products!$A$2:$B$13,2,FALSE)</f>
        <v>Cosmetics</v>
      </c>
      <c r="O164" s="133">
        <f t="shared" si="4"/>
        <v>0.6023101555</v>
      </c>
      <c r="P164" s="38" t="str">
        <f>VLOOKUP(E164,countries!A$2:E$250,3,false)</f>
        <v>Ukraine</v>
      </c>
      <c r="Q164" s="38" t="str">
        <f>VLOOKUP($E164,countries!$A$2:$E$250,4,false)</f>
        <v>Europe</v>
      </c>
      <c r="R164" s="38" t="str">
        <f>VLOOKUP($E164,countries!$A$2:$E$250,5,false)</f>
        <v>Eastern Europe</v>
      </c>
      <c r="S164" s="38">
        <f t="shared" si="5"/>
        <v>37</v>
      </c>
      <c r="T164" s="38" t="s">
        <v>178</v>
      </c>
      <c r="U164" s="38">
        <v>2012.0</v>
      </c>
      <c r="V164" s="38">
        <v>1.0</v>
      </c>
      <c r="W164" s="38" t="s">
        <v>113</v>
      </c>
      <c r="X164" s="38" t="s">
        <v>181</v>
      </c>
      <c r="Y164" s="38" t="s">
        <v>146</v>
      </c>
      <c r="Z164" s="38" t="s">
        <v>155</v>
      </c>
      <c r="AA164" s="113" t="str">
        <f t="array" ref="AA164">PROPER(G164)</f>
        <v>Online</v>
      </c>
    </row>
    <row r="165">
      <c r="A165" s="110">
        <v>2.0303663E8</v>
      </c>
      <c r="B165" s="131">
        <v>42179.0</v>
      </c>
      <c r="C165" s="131">
        <v>42213.0</v>
      </c>
      <c r="D165" s="110" t="s">
        <v>93</v>
      </c>
      <c r="E165" s="110" t="s">
        <v>102</v>
      </c>
      <c r="F165" s="110">
        <v>7331.0</v>
      </c>
      <c r="G165" s="38" t="s">
        <v>43</v>
      </c>
      <c r="H165" s="110">
        <v>1905.0</v>
      </c>
      <c r="I165" s="132">
        <v>255.28</v>
      </c>
      <c r="J165" s="132">
        <v>159.42</v>
      </c>
      <c r="K165" s="39">
        <f t="shared" si="1"/>
        <v>486308.4</v>
      </c>
      <c r="L165" s="39">
        <f t="shared" si="2"/>
        <v>303695.1</v>
      </c>
      <c r="M165" s="39">
        <f t="shared" si="3"/>
        <v>182613.3</v>
      </c>
      <c r="N165" s="38" t="str">
        <f>VLOOKUP(F165,products!$A$2:$B$13,2,FALSE)</f>
        <v>Baby Food</v>
      </c>
      <c r="O165" s="133">
        <f t="shared" si="4"/>
        <v>0.6244907552</v>
      </c>
      <c r="P165" s="38" t="str">
        <f>VLOOKUP(E165,countries!A$2:E$250,3,false)</f>
        <v>Georgia</v>
      </c>
      <c r="Q165" s="38" t="str">
        <f>VLOOKUP($E165,countries!$A$2:$E$250,4,false)</f>
        <v>Asia</v>
      </c>
      <c r="R165" s="38" t="str">
        <f>VLOOKUP($E165,countries!$A$2:$E$250,5,false)</f>
        <v>Western Asia</v>
      </c>
      <c r="S165" s="38">
        <f t="shared" si="5"/>
        <v>34</v>
      </c>
      <c r="T165" s="38" t="s">
        <v>161</v>
      </c>
      <c r="U165" s="38">
        <v>2015.0</v>
      </c>
      <c r="V165" s="38">
        <v>6.0</v>
      </c>
      <c r="W165" s="38" t="s">
        <v>102</v>
      </c>
      <c r="X165" s="38" t="s">
        <v>168</v>
      </c>
      <c r="Y165" s="38" t="s">
        <v>165</v>
      </c>
      <c r="Z165" s="38" t="s">
        <v>166</v>
      </c>
      <c r="AA165" s="113" t="str">
        <f t="array" ref="AA165">PROPER(G165)</f>
        <v>Online</v>
      </c>
    </row>
    <row r="166">
      <c r="A166" s="110">
        <v>2.03955876E8</v>
      </c>
      <c r="B166" s="131">
        <v>40344.0</v>
      </c>
      <c r="C166" s="131">
        <v>40377.0</v>
      </c>
      <c r="D166" s="110" t="s">
        <v>89</v>
      </c>
      <c r="E166" s="110" t="s">
        <v>137</v>
      </c>
      <c r="F166" s="110">
        <v>2103.0</v>
      </c>
      <c r="G166" s="38" t="s">
        <v>43</v>
      </c>
      <c r="H166" s="110">
        <v>3931.0</v>
      </c>
      <c r="I166" s="132">
        <v>205.7</v>
      </c>
      <c r="J166" s="132">
        <v>117.11</v>
      </c>
      <c r="K166" s="39">
        <f t="shared" si="1"/>
        <v>808606.7</v>
      </c>
      <c r="L166" s="39">
        <f t="shared" si="2"/>
        <v>460359.41</v>
      </c>
      <c r="M166" s="39">
        <f t="shared" si="3"/>
        <v>348247.29</v>
      </c>
      <c r="N166" s="38" t="str">
        <f>VLOOKUP(F166,products!$A$2:$B$13,2,FALSE)</f>
        <v>Cereal</v>
      </c>
      <c r="O166" s="133">
        <f t="shared" si="4"/>
        <v>0.5693242586</v>
      </c>
      <c r="P166" s="38" t="str">
        <f>VLOOKUP(E166,countries!A$2:E$250,3,false)</f>
        <v>Iceland</v>
      </c>
      <c r="Q166" s="38" t="str">
        <f>VLOOKUP($E166,countries!$A$2:$E$250,4,false)</f>
        <v>Europe</v>
      </c>
      <c r="R166" s="38" t="str">
        <f>VLOOKUP($E166,countries!$A$2:$E$250,5,false)</f>
        <v>Northern Europe</v>
      </c>
      <c r="S166" s="38">
        <f t="shared" si="5"/>
        <v>33</v>
      </c>
      <c r="T166" s="38" t="s">
        <v>144</v>
      </c>
      <c r="U166" s="38">
        <v>2010.0</v>
      </c>
      <c r="V166" s="38">
        <v>6.0</v>
      </c>
      <c r="W166" s="38" t="s">
        <v>137</v>
      </c>
      <c r="X166" s="38" t="s">
        <v>207</v>
      </c>
      <c r="Y166" s="38" t="s">
        <v>146</v>
      </c>
      <c r="Z166" s="38" t="s">
        <v>170</v>
      </c>
      <c r="AA166" s="113" t="str">
        <f t="array" ref="AA166">PROPER(G166)</f>
        <v>Online</v>
      </c>
    </row>
    <row r="167">
      <c r="A167" s="110">
        <v>2.04392325E8</v>
      </c>
      <c r="B167" s="131">
        <v>40775.0</v>
      </c>
      <c r="C167" s="131">
        <v>40812.0</v>
      </c>
      <c r="D167" s="110" t="s">
        <v>95</v>
      </c>
      <c r="E167" s="110" t="s">
        <v>123</v>
      </c>
      <c r="F167" s="110">
        <v>8681.0</v>
      </c>
      <c r="G167" s="38" t="s">
        <v>43</v>
      </c>
      <c r="H167" s="110">
        <v>3086.0</v>
      </c>
      <c r="I167" s="132">
        <v>651.21</v>
      </c>
      <c r="J167" s="132">
        <v>524.96</v>
      </c>
      <c r="K167" s="39">
        <f t="shared" si="1"/>
        <v>2009634.06</v>
      </c>
      <c r="L167" s="39">
        <f t="shared" si="2"/>
        <v>1620026.56</v>
      </c>
      <c r="M167" s="39">
        <f t="shared" si="3"/>
        <v>389607.5</v>
      </c>
      <c r="N167" s="38" t="str">
        <f>VLOOKUP(F167,products!$A$2:$B$13,2,FALSE)</f>
        <v>Office Supplies</v>
      </c>
      <c r="O167" s="133">
        <f t="shared" si="4"/>
        <v>0.806130127</v>
      </c>
      <c r="P167" s="38" t="str">
        <f>VLOOKUP(E167,countries!A$2:E$250,3,false)</f>
        <v>Hungary</v>
      </c>
      <c r="Q167" s="38" t="str">
        <f>VLOOKUP($E167,countries!$A$2:$E$250,4,false)</f>
        <v>Europe</v>
      </c>
      <c r="R167" s="38" t="str">
        <f>VLOOKUP($E167,countries!$A$2:$E$250,5,false)</f>
        <v>Eastern Europe</v>
      </c>
      <c r="S167" s="38">
        <f t="shared" si="5"/>
        <v>37</v>
      </c>
      <c r="T167" s="38" t="s">
        <v>153</v>
      </c>
      <c r="U167" s="38">
        <v>2011.0</v>
      </c>
      <c r="V167" s="38">
        <v>8.0</v>
      </c>
      <c r="W167" s="38" t="s">
        <v>123</v>
      </c>
      <c r="X167" s="38" t="s">
        <v>194</v>
      </c>
      <c r="Y167" s="38" t="s">
        <v>146</v>
      </c>
      <c r="Z167" s="38" t="s">
        <v>155</v>
      </c>
      <c r="AA167" s="113" t="str">
        <f t="array" ref="AA167">PROPER(G167)</f>
        <v>Online</v>
      </c>
    </row>
    <row r="168">
      <c r="A168" s="110">
        <v>2.04418504E8</v>
      </c>
      <c r="B168" s="131">
        <v>42223.0</v>
      </c>
      <c r="C168" s="131">
        <v>42250.0</v>
      </c>
      <c r="D168" s="110" t="s">
        <v>10</v>
      </c>
      <c r="E168" s="110" t="s">
        <v>100</v>
      </c>
      <c r="F168" s="110">
        <v>5988.0</v>
      </c>
      <c r="G168" s="38" t="s">
        <v>42</v>
      </c>
      <c r="H168" s="110">
        <v>833.0</v>
      </c>
      <c r="I168" s="132">
        <v>154.06</v>
      </c>
      <c r="J168" s="132">
        <v>90.93</v>
      </c>
      <c r="K168" s="39">
        <f t="shared" si="1"/>
        <v>128331.98</v>
      </c>
      <c r="L168" s="39">
        <f t="shared" si="2"/>
        <v>75744.69</v>
      </c>
      <c r="M168" s="39">
        <f t="shared" si="3"/>
        <v>52587.29</v>
      </c>
      <c r="N168" s="38" t="str">
        <f>VLOOKUP(F168,products!$A$2:$B$13,2,FALSE)</f>
        <v>Vegetables</v>
      </c>
      <c r="O168" s="133">
        <f t="shared" si="4"/>
        <v>0.5902245878</v>
      </c>
      <c r="P168" s="38" t="str">
        <f>VLOOKUP(E168,countries!A$2:E$250,3,false)</f>
        <v>Germany</v>
      </c>
      <c r="Q168" s="38" t="str">
        <f>VLOOKUP($E168,countries!$A$2:$E$250,4,false)</f>
        <v>Europe</v>
      </c>
      <c r="R168" s="38" t="str">
        <f>VLOOKUP($E168,countries!$A$2:$E$250,5,false)</f>
        <v>Western Europe</v>
      </c>
      <c r="S168" s="38">
        <f t="shared" si="5"/>
        <v>27</v>
      </c>
      <c r="T168" s="38" t="s">
        <v>159</v>
      </c>
      <c r="U168" s="38">
        <v>2015.0</v>
      </c>
      <c r="V168" s="38">
        <v>8.0</v>
      </c>
      <c r="W168" s="38" t="s">
        <v>100</v>
      </c>
      <c r="X168" s="38" t="s">
        <v>163</v>
      </c>
      <c r="Y168" s="38" t="s">
        <v>146</v>
      </c>
      <c r="Z168" s="38" t="s">
        <v>158</v>
      </c>
      <c r="AA168" s="113" t="str">
        <f t="array" ref="AA168">PROPER(G168)</f>
        <v>Offline</v>
      </c>
    </row>
    <row r="169">
      <c r="A169" s="110">
        <v>2.05354487E8</v>
      </c>
      <c r="B169" s="131">
        <v>40951.0</v>
      </c>
      <c r="C169" s="131">
        <v>40959.0</v>
      </c>
      <c r="D169" s="110" t="s">
        <v>95</v>
      </c>
      <c r="E169" s="110" t="s">
        <v>133</v>
      </c>
      <c r="F169" s="110">
        <v>8293.0</v>
      </c>
      <c r="G169" s="38" t="s">
        <v>42</v>
      </c>
      <c r="H169" s="110">
        <v>7811.0</v>
      </c>
      <c r="I169" s="132">
        <v>437.2</v>
      </c>
      <c r="J169" s="132">
        <v>263.33</v>
      </c>
      <c r="K169" s="39">
        <f t="shared" si="1"/>
        <v>3414969.2</v>
      </c>
      <c r="L169" s="39">
        <f t="shared" si="2"/>
        <v>2056870.63</v>
      </c>
      <c r="M169" s="39">
        <f t="shared" si="3"/>
        <v>1358098.57</v>
      </c>
      <c r="N169" s="38" t="str">
        <f>VLOOKUP(F169,products!$A$2:$B$13,2,FALSE)</f>
        <v>Cosmetics</v>
      </c>
      <c r="O169" s="133">
        <f t="shared" si="4"/>
        <v>0.6023101555</v>
      </c>
      <c r="P169" s="38" t="str">
        <f>VLOOKUP(E169,countries!A$2:E$250,3,false)</f>
        <v>Bosnia and Herzegovina</v>
      </c>
      <c r="Q169" s="38" t="str">
        <f>VLOOKUP($E169,countries!$A$2:$E$250,4,false)</f>
        <v>Europe</v>
      </c>
      <c r="R169" s="38" t="str">
        <f>VLOOKUP($E169,countries!$A$2:$E$250,5,false)</f>
        <v>Southern Europe</v>
      </c>
      <c r="S169" s="38">
        <f t="shared" si="5"/>
        <v>8</v>
      </c>
      <c r="T169" s="38" t="s">
        <v>178</v>
      </c>
      <c r="U169" s="38">
        <v>2012.0</v>
      </c>
      <c r="V169" s="38">
        <v>2.0</v>
      </c>
      <c r="W169" s="38" t="s">
        <v>133</v>
      </c>
      <c r="X169" s="38" t="s">
        <v>204</v>
      </c>
      <c r="Y169" s="38" t="s">
        <v>146</v>
      </c>
      <c r="Z169" s="38" t="s">
        <v>147</v>
      </c>
      <c r="AA169" s="113" t="str">
        <f t="array" ref="AA169">PROPER(G169)</f>
        <v>Offline</v>
      </c>
    </row>
    <row r="170">
      <c r="A170" s="110">
        <v>2.08238399E8</v>
      </c>
      <c r="B170" s="131">
        <v>42245.0</v>
      </c>
      <c r="C170" s="131">
        <v>42292.0</v>
      </c>
      <c r="D170" s="110" t="s">
        <v>93</v>
      </c>
      <c r="E170" s="110" t="s">
        <v>131</v>
      </c>
      <c r="F170" s="110">
        <v>8293.0</v>
      </c>
      <c r="G170" s="38" t="s">
        <v>42</v>
      </c>
      <c r="H170" s="110">
        <v>1224.0</v>
      </c>
      <c r="I170" s="132">
        <v>437.2</v>
      </c>
      <c r="J170" s="132">
        <v>263.33</v>
      </c>
      <c r="K170" s="39">
        <f t="shared" si="1"/>
        <v>535132.8</v>
      </c>
      <c r="L170" s="39">
        <f t="shared" si="2"/>
        <v>322315.92</v>
      </c>
      <c r="M170" s="39">
        <f t="shared" si="3"/>
        <v>212816.88</v>
      </c>
      <c r="N170" s="38" t="str">
        <f>VLOOKUP(F170,products!$A$2:$B$13,2,FALSE)</f>
        <v>Cosmetics</v>
      </c>
      <c r="O170" s="133">
        <f t="shared" si="4"/>
        <v>0.6023101555</v>
      </c>
      <c r="P170" s="38" t="str">
        <f>VLOOKUP(E170,countries!A$2:E$250,3,false)</f>
        <v>Albania</v>
      </c>
      <c r="Q170" s="38" t="str">
        <f>VLOOKUP($E170,countries!$A$2:$E$250,4,false)</f>
        <v>Europe</v>
      </c>
      <c r="R170" s="38" t="str">
        <f>VLOOKUP($E170,countries!$A$2:$E$250,5,false)</f>
        <v>Southern Europe</v>
      </c>
      <c r="S170" s="38">
        <f t="shared" si="5"/>
        <v>47</v>
      </c>
      <c r="T170" s="38" t="s">
        <v>178</v>
      </c>
      <c r="U170" s="38">
        <v>2015.0</v>
      </c>
      <c r="V170" s="38">
        <v>8.0</v>
      </c>
      <c r="W170" s="38" t="s">
        <v>131</v>
      </c>
      <c r="X170" s="38" t="s">
        <v>202</v>
      </c>
      <c r="Y170" s="38" t="s">
        <v>146</v>
      </c>
      <c r="Z170" s="38" t="s">
        <v>147</v>
      </c>
      <c r="AA170" s="113" t="str">
        <f t="array" ref="AA170">PROPER(G170)</f>
        <v>Offline</v>
      </c>
    </row>
    <row r="171">
      <c r="A171" s="110">
        <v>2.08365428E8</v>
      </c>
      <c r="B171" s="131">
        <v>42335.0</v>
      </c>
      <c r="C171" s="131">
        <v>42367.0</v>
      </c>
      <c r="D171" s="110" t="s">
        <v>89</v>
      </c>
      <c r="E171" s="110" t="s">
        <v>106</v>
      </c>
      <c r="F171" s="110">
        <v>8681.0</v>
      </c>
      <c r="G171" s="38" t="s">
        <v>42</v>
      </c>
      <c r="H171" s="110">
        <v>8815.0</v>
      </c>
      <c r="I171" s="132">
        <v>651.21</v>
      </c>
      <c r="J171" s="132">
        <v>524.96</v>
      </c>
      <c r="K171" s="39">
        <f t="shared" si="1"/>
        <v>5740416.15</v>
      </c>
      <c r="L171" s="39">
        <f t="shared" si="2"/>
        <v>4627522.4</v>
      </c>
      <c r="M171" s="39">
        <f t="shared" si="3"/>
        <v>1112893.75</v>
      </c>
      <c r="N171" s="38" t="str">
        <f>VLOOKUP(F171,products!$A$2:$B$13,2,FALSE)</f>
        <v>Office Supplies</v>
      </c>
      <c r="O171" s="133">
        <f t="shared" si="4"/>
        <v>0.806130127</v>
      </c>
      <c r="P171" s="38" t="str">
        <f>VLOOKUP(E171,countries!A$2:E$250,3,false)</f>
        <v>Poland</v>
      </c>
      <c r="Q171" s="38" t="str">
        <f>VLOOKUP($E171,countries!$A$2:$E$250,4,false)</f>
        <v>Europe</v>
      </c>
      <c r="R171" s="38" t="str">
        <f>VLOOKUP($E171,countries!$A$2:$E$250,5,false)</f>
        <v>Eastern Europe</v>
      </c>
      <c r="S171" s="38">
        <f t="shared" si="5"/>
        <v>32</v>
      </c>
      <c r="T171" s="38" t="s">
        <v>153</v>
      </c>
      <c r="U171" s="38">
        <v>2015.0</v>
      </c>
      <c r="V171" s="38">
        <v>11.0</v>
      </c>
      <c r="W171" s="38" t="s">
        <v>106</v>
      </c>
      <c r="X171" s="38" t="s">
        <v>173</v>
      </c>
      <c r="Y171" s="38" t="s">
        <v>146</v>
      </c>
      <c r="Z171" s="38" t="s">
        <v>155</v>
      </c>
      <c r="AA171" s="113" t="str">
        <f t="array" ref="AA171">PROPER(G171)</f>
        <v>Offline</v>
      </c>
    </row>
    <row r="172">
      <c r="A172" s="110">
        <v>2.09357202E8</v>
      </c>
      <c r="B172" s="131">
        <v>42018.0</v>
      </c>
      <c r="C172" s="131">
        <v>42026.0</v>
      </c>
      <c r="D172" s="110" t="s">
        <v>95</v>
      </c>
      <c r="E172" s="110" t="s">
        <v>96</v>
      </c>
      <c r="F172" s="110">
        <v>2103.0</v>
      </c>
      <c r="G172" s="38" t="s">
        <v>43</v>
      </c>
      <c r="H172" s="110">
        <v>2303.0</v>
      </c>
      <c r="I172" s="132">
        <v>205.7</v>
      </c>
      <c r="J172" s="132">
        <v>117.11</v>
      </c>
      <c r="K172" s="39">
        <f t="shared" si="1"/>
        <v>473727.1</v>
      </c>
      <c r="L172" s="39">
        <f t="shared" si="2"/>
        <v>269704.33</v>
      </c>
      <c r="M172" s="39">
        <f t="shared" si="3"/>
        <v>204022.77</v>
      </c>
      <c r="N172" s="38" t="str">
        <f>VLOOKUP(F172,products!$A$2:$B$13,2,FALSE)</f>
        <v>Cereal</v>
      </c>
      <c r="O172" s="133">
        <f t="shared" si="4"/>
        <v>0.5693242586</v>
      </c>
      <c r="P172" s="38" t="str">
        <f>VLOOKUP(E172,countries!A$2:E$250,3,false)</f>
        <v>Slovakia</v>
      </c>
      <c r="Q172" s="38" t="str">
        <f>VLOOKUP($E172,countries!$A$2:$E$250,4,false)</f>
        <v>Europe</v>
      </c>
      <c r="R172" s="38" t="str">
        <f>VLOOKUP($E172,countries!$A$2:$E$250,5,false)</f>
        <v>Eastern Europe</v>
      </c>
      <c r="S172" s="38">
        <f t="shared" si="5"/>
        <v>8</v>
      </c>
      <c r="T172" s="38" t="s">
        <v>144</v>
      </c>
      <c r="U172" s="38">
        <v>2015.0</v>
      </c>
      <c r="V172" s="38">
        <v>1.0</v>
      </c>
      <c r="W172" s="38" t="s">
        <v>96</v>
      </c>
      <c r="X172" s="38" t="s">
        <v>154</v>
      </c>
      <c r="Y172" s="38" t="s">
        <v>146</v>
      </c>
      <c r="Z172" s="38" t="s">
        <v>155</v>
      </c>
      <c r="AA172" s="113" t="str">
        <f t="array" ref="AA172">PROPER(G172)</f>
        <v>Online</v>
      </c>
    </row>
    <row r="173">
      <c r="A173" s="110">
        <v>2.09445178E8</v>
      </c>
      <c r="B173" s="131">
        <v>41716.0</v>
      </c>
      <c r="C173" s="131">
        <v>41749.0</v>
      </c>
      <c r="D173" s="110" t="s">
        <v>89</v>
      </c>
      <c r="E173" s="110" t="s">
        <v>122</v>
      </c>
      <c r="F173" s="110">
        <v>8293.0</v>
      </c>
      <c r="G173" s="38" t="s">
        <v>42</v>
      </c>
      <c r="H173" s="110">
        <v>8337.0</v>
      </c>
      <c r="I173" s="132">
        <v>437.2</v>
      </c>
      <c r="J173" s="132">
        <v>263.33</v>
      </c>
      <c r="K173" s="39">
        <f t="shared" si="1"/>
        <v>3644936.4</v>
      </c>
      <c r="L173" s="39">
        <f t="shared" si="2"/>
        <v>2195382.21</v>
      </c>
      <c r="M173" s="39">
        <f t="shared" si="3"/>
        <v>1449554.19</v>
      </c>
      <c r="N173" s="38" t="str">
        <f>VLOOKUP(F173,products!$A$2:$B$13,2,FALSE)</f>
        <v>Cosmetics</v>
      </c>
      <c r="O173" s="133">
        <f t="shared" si="4"/>
        <v>0.6023101555</v>
      </c>
      <c r="P173" s="38" t="str">
        <f>VLOOKUP(E173,countries!A$2:E$250,3,false)</f>
        <v>Switzerland</v>
      </c>
      <c r="Q173" s="38" t="str">
        <f>VLOOKUP($E173,countries!$A$2:$E$250,4,false)</f>
        <v>Europe</v>
      </c>
      <c r="R173" s="38" t="str">
        <f>VLOOKUP($E173,countries!$A$2:$E$250,5,false)</f>
        <v>Western Europe</v>
      </c>
      <c r="S173" s="38">
        <f t="shared" si="5"/>
        <v>33</v>
      </c>
      <c r="T173" s="38" t="s">
        <v>178</v>
      </c>
      <c r="U173" s="38">
        <v>2014.0</v>
      </c>
      <c r="V173" s="38">
        <v>3.0</v>
      </c>
      <c r="W173" s="38" t="s">
        <v>122</v>
      </c>
      <c r="X173" s="38" t="s">
        <v>193</v>
      </c>
      <c r="Y173" s="38" t="s">
        <v>146</v>
      </c>
      <c r="Z173" s="38" t="s">
        <v>158</v>
      </c>
      <c r="AA173" s="113" t="str">
        <f t="array" ref="AA173">PROPER(G173)</f>
        <v>Offline</v>
      </c>
    </row>
    <row r="174">
      <c r="A174" s="110">
        <v>2.09598815E8</v>
      </c>
      <c r="B174" s="131">
        <v>41283.0</v>
      </c>
      <c r="C174" s="131">
        <v>41285.0</v>
      </c>
      <c r="D174" s="110" t="s">
        <v>93</v>
      </c>
      <c r="E174" s="110" t="s">
        <v>108</v>
      </c>
      <c r="F174" s="110">
        <v>2455.0</v>
      </c>
      <c r="G174" s="38" t="s">
        <v>42</v>
      </c>
      <c r="H174" s="110">
        <v>3802.0</v>
      </c>
      <c r="I174" s="132">
        <v>109.28</v>
      </c>
      <c r="J174" s="132">
        <v>35.84</v>
      </c>
      <c r="K174" s="39">
        <f t="shared" si="1"/>
        <v>415482.56</v>
      </c>
      <c r="L174" s="39">
        <f t="shared" si="2"/>
        <v>136263.68</v>
      </c>
      <c r="M174" s="39">
        <f t="shared" si="3"/>
        <v>279218.88</v>
      </c>
      <c r="N174" s="38" t="str">
        <f>VLOOKUP(F174,products!$A$2:$B$13,2,FALSE)</f>
        <v>Clothes</v>
      </c>
      <c r="O174" s="133">
        <f t="shared" si="4"/>
        <v>0.3279648609</v>
      </c>
      <c r="P174" s="38" t="str">
        <f>VLOOKUP(E174,countries!A$2:E$250,3,false)</f>
        <v>Cyprus</v>
      </c>
      <c r="Q174" s="38" t="str">
        <f>VLOOKUP($E174,countries!$A$2:$E$250,4,false)</f>
        <v>Asia</v>
      </c>
      <c r="R174" s="38" t="str">
        <f>VLOOKUP($E174,countries!$A$2:$E$250,5,false)</f>
        <v>Western Asia</v>
      </c>
      <c r="S174" s="38">
        <f t="shared" si="5"/>
        <v>2</v>
      </c>
      <c r="T174" s="38" t="s">
        <v>150</v>
      </c>
      <c r="U174" s="38">
        <v>2013.0</v>
      </c>
      <c r="V174" s="38">
        <v>1.0</v>
      </c>
      <c r="W174" s="38" t="s">
        <v>108</v>
      </c>
      <c r="X174" s="38" t="s">
        <v>175</v>
      </c>
      <c r="Y174" s="38" t="s">
        <v>165</v>
      </c>
      <c r="Z174" s="38" t="s">
        <v>166</v>
      </c>
      <c r="AA174" s="113" t="str">
        <f t="array" ref="AA174">PROPER(G174)</f>
        <v>Offline</v>
      </c>
    </row>
    <row r="175">
      <c r="A175" s="110">
        <v>2.09736573E8</v>
      </c>
      <c r="B175" s="131">
        <v>41875.0</v>
      </c>
      <c r="C175" s="131">
        <v>41906.0</v>
      </c>
      <c r="D175" s="110" t="s">
        <v>10</v>
      </c>
      <c r="E175" s="110" t="s">
        <v>91</v>
      </c>
      <c r="F175" s="110">
        <v>8681.0</v>
      </c>
      <c r="G175" s="38" t="s">
        <v>42</v>
      </c>
      <c r="H175" s="110">
        <v>4568.0</v>
      </c>
      <c r="I175" s="132">
        <v>651.21</v>
      </c>
      <c r="J175" s="132">
        <v>524.96</v>
      </c>
      <c r="K175" s="39">
        <f t="shared" si="1"/>
        <v>2974727.28</v>
      </c>
      <c r="L175" s="39">
        <f t="shared" si="2"/>
        <v>2398017.28</v>
      </c>
      <c r="M175" s="39">
        <f t="shared" si="3"/>
        <v>576710</v>
      </c>
      <c r="N175" s="38" t="str">
        <f>VLOOKUP(F175,products!$A$2:$B$13,2,FALSE)</f>
        <v>Office Supplies</v>
      </c>
      <c r="O175" s="133">
        <f t="shared" si="4"/>
        <v>0.806130127</v>
      </c>
      <c r="P175" s="38" t="str">
        <f>VLOOKUP(E175,countries!A$2:E$250,3,false)</f>
        <v>Serbia</v>
      </c>
      <c r="Q175" s="38" t="str">
        <f>VLOOKUP($E175,countries!$A$2:$E$250,4,false)</f>
        <v>Europe</v>
      </c>
      <c r="R175" s="38" t="str">
        <f>VLOOKUP($E175,countries!$A$2:$E$250,5,false)</f>
        <v>Southern Europe</v>
      </c>
      <c r="S175" s="38">
        <f t="shared" si="5"/>
        <v>31</v>
      </c>
      <c r="T175" s="38" t="s">
        <v>153</v>
      </c>
      <c r="U175" s="38">
        <v>2014.0</v>
      </c>
      <c r="V175" s="38">
        <v>8.0</v>
      </c>
      <c r="W175" s="38" t="s">
        <v>91</v>
      </c>
      <c r="X175" s="38" t="s">
        <v>145</v>
      </c>
      <c r="Y175" s="38" t="s">
        <v>146</v>
      </c>
      <c r="Z175" s="38" t="s">
        <v>147</v>
      </c>
      <c r="AA175" s="113" t="str">
        <f t="array" ref="AA175">PROPER(G175)</f>
        <v>Offline</v>
      </c>
    </row>
    <row r="176">
      <c r="A176" s="110">
        <v>2.11344611E8</v>
      </c>
      <c r="B176" s="131">
        <v>40238.0</v>
      </c>
      <c r="C176" s="131">
        <v>40260.0</v>
      </c>
      <c r="D176" s="110" t="s">
        <v>93</v>
      </c>
      <c r="E176" s="110" t="s">
        <v>125</v>
      </c>
      <c r="F176" s="110">
        <v>8969.0</v>
      </c>
      <c r="G176" s="38" t="s">
        <v>42</v>
      </c>
      <c r="H176" s="110">
        <v>422.0</v>
      </c>
      <c r="I176" s="132">
        <v>152.58</v>
      </c>
      <c r="J176" s="132">
        <v>97.44</v>
      </c>
      <c r="K176" s="39">
        <f t="shared" si="1"/>
        <v>64388.76</v>
      </c>
      <c r="L176" s="39">
        <f t="shared" si="2"/>
        <v>41119.68</v>
      </c>
      <c r="M176" s="39">
        <f t="shared" si="3"/>
        <v>23269.08</v>
      </c>
      <c r="N176" s="38" t="str">
        <f>VLOOKUP(F176,products!$A$2:$B$13,2,FALSE)</f>
        <v>Snacks</v>
      </c>
      <c r="O176" s="133">
        <f t="shared" si="4"/>
        <v>0.6386158081</v>
      </c>
      <c r="P176" s="38" t="str">
        <f>VLOOKUP(E176,countries!A$2:E$250,3,false)</f>
        <v>Bulgaria</v>
      </c>
      <c r="Q176" s="38" t="str">
        <f>VLOOKUP($E176,countries!$A$2:$E$250,4,false)</f>
        <v>Europe</v>
      </c>
      <c r="R176" s="38" t="str">
        <f>VLOOKUP($E176,countries!$A$2:$E$250,5,false)</f>
        <v>Eastern Europe</v>
      </c>
      <c r="S176" s="38">
        <f t="shared" si="5"/>
        <v>22</v>
      </c>
      <c r="T176" s="38" t="s">
        <v>182</v>
      </c>
      <c r="U176" s="38">
        <v>2010.0</v>
      </c>
      <c r="V176" s="38">
        <v>3.0</v>
      </c>
      <c r="W176" s="38" t="s">
        <v>125</v>
      </c>
      <c r="X176" s="38" t="s">
        <v>196</v>
      </c>
      <c r="Y176" s="38" t="s">
        <v>146</v>
      </c>
      <c r="Z176" s="38" t="s">
        <v>155</v>
      </c>
      <c r="AA176" s="113" t="str">
        <f t="array" ref="AA176">PROPER(G176)</f>
        <v>Offline</v>
      </c>
    </row>
    <row r="177">
      <c r="A177" s="110">
        <v>2.12106788E8</v>
      </c>
      <c r="B177" s="131">
        <v>40778.0</v>
      </c>
      <c r="C177" s="131">
        <v>40812.0</v>
      </c>
      <c r="D177" s="110" t="s">
        <v>95</v>
      </c>
      <c r="E177" s="110" t="s">
        <v>110</v>
      </c>
      <c r="F177" s="110">
        <v>8681.0</v>
      </c>
      <c r="G177" s="38" t="s">
        <v>43</v>
      </c>
      <c r="H177" s="110">
        <v>5967.0</v>
      </c>
      <c r="I177" s="132">
        <v>651.21</v>
      </c>
      <c r="J177" s="132">
        <v>524.96</v>
      </c>
      <c r="K177" s="39">
        <f t="shared" si="1"/>
        <v>3885770.07</v>
      </c>
      <c r="L177" s="39">
        <f t="shared" si="2"/>
        <v>3132436.32</v>
      </c>
      <c r="M177" s="39">
        <f t="shared" si="3"/>
        <v>753333.75</v>
      </c>
      <c r="N177" s="38" t="str">
        <f>VLOOKUP(F177,products!$A$2:$B$13,2,FALSE)</f>
        <v>Office Supplies</v>
      </c>
      <c r="O177" s="133">
        <f t="shared" si="4"/>
        <v>0.806130127</v>
      </c>
      <c r="P177" s="38" t="str">
        <f>VLOOKUP(E177,countries!A$2:E$250,3,false)</f>
        <v>Lithuania</v>
      </c>
      <c r="Q177" s="38" t="str">
        <f>VLOOKUP($E177,countries!$A$2:$E$250,4,false)</f>
        <v>Europe</v>
      </c>
      <c r="R177" s="38" t="str">
        <f>VLOOKUP($E177,countries!$A$2:$E$250,5,false)</f>
        <v>Northern Europe</v>
      </c>
      <c r="S177" s="38">
        <f t="shared" si="5"/>
        <v>34</v>
      </c>
      <c r="T177" s="38" t="s">
        <v>153</v>
      </c>
      <c r="U177" s="38">
        <v>2011.0</v>
      </c>
      <c r="V177" s="38">
        <v>8.0</v>
      </c>
      <c r="W177" s="38" t="s">
        <v>110</v>
      </c>
      <c r="X177" s="38" t="s">
        <v>177</v>
      </c>
      <c r="Y177" s="38" t="s">
        <v>146</v>
      </c>
      <c r="Z177" s="38" t="s">
        <v>170</v>
      </c>
      <c r="AA177" s="113" t="str">
        <f t="array" ref="AA177">PROPER(G177)</f>
        <v>Online</v>
      </c>
    </row>
    <row r="178">
      <c r="A178" s="110">
        <v>2.12319648E8</v>
      </c>
      <c r="B178" s="131">
        <v>42124.0</v>
      </c>
      <c r="C178" s="131">
        <v>42139.0</v>
      </c>
      <c r="D178" s="110" t="s">
        <v>93</v>
      </c>
      <c r="E178" s="110" t="s">
        <v>119</v>
      </c>
      <c r="F178" s="110">
        <v>1270.0</v>
      </c>
      <c r="G178" s="38" t="s">
        <v>42</v>
      </c>
      <c r="H178" s="110">
        <v>8957.0</v>
      </c>
      <c r="I178" s="132">
        <v>47.45</v>
      </c>
      <c r="J178" s="132">
        <v>31.79</v>
      </c>
      <c r="K178" s="39">
        <f t="shared" si="1"/>
        <v>425009.65</v>
      </c>
      <c r="L178" s="39">
        <f t="shared" si="2"/>
        <v>284743.03</v>
      </c>
      <c r="M178" s="39">
        <f t="shared" si="3"/>
        <v>140266.62</v>
      </c>
      <c r="N178" s="38" t="str">
        <f>VLOOKUP(F178,products!$A$2:$B$13,2,FALSE)</f>
        <v>Beverages</v>
      </c>
      <c r="O178" s="133">
        <f t="shared" si="4"/>
        <v>0.6699683878</v>
      </c>
      <c r="P178" s="38" t="str">
        <f>VLOOKUP(E178,countries!A$2:E$250,3,false)</f>
        <v>Macedonia</v>
      </c>
      <c r="Q178" s="38" t="str">
        <f>VLOOKUP($E178,countries!$A$2:$E$250,4,false)</f>
        <v>Europe</v>
      </c>
      <c r="R178" s="38" t="str">
        <f>VLOOKUP($E178,countries!$A$2:$E$250,5,false)</f>
        <v>Southern Europe</v>
      </c>
      <c r="S178" s="38">
        <f t="shared" si="5"/>
        <v>15</v>
      </c>
      <c r="T178" s="38" t="s">
        <v>152</v>
      </c>
      <c r="U178" s="38">
        <v>2015.0</v>
      </c>
      <c r="V178" s="38">
        <v>4.0</v>
      </c>
      <c r="W178" s="38" t="s">
        <v>119</v>
      </c>
      <c r="X178" s="38" t="s">
        <v>190</v>
      </c>
      <c r="Y178" s="38" t="s">
        <v>146</v>
      </c>
      <c r="Z178" s="38" t="s">
        <v>147</v>
      </c>
      <c r="AA178" s="113" t="str">
        <f t="array" ref="AA178">PROPER(G178)</f>
        <v>Offline</v>
      </c>
    </row>
    <row r="179">
      <c r="A179" s="110">
        <v>2.12903726E8</v>
      </c>
      <c r="B179" s="131">
        <v>42061.0</v>
      </c>
      <c r="C179" s="131">
        <v>42061.0</v>
      </c>
      <c r="D179" s="110" t="s">
        <v>93</v>
      </c>
      <c r="E179" s="110" t="s">
        <v>128</v>
      </c>
      <c r="F179" s="110">
        <v>8875.0</v>
      </c>
      <c r="G179" s="38" t="s">
        <v>43</v>
      </c>
      <c r="H179" s="110">
        <v>1798.0</v>
      </c>
      <c r="I179" s="132">
        <v>421.89</v>
      </c>
      <c r="J179" s="132">
        <v>364.69</v>
      </c>
      <c r="K179" s="39">
        <f t="shared" si="1"/>
        <v>758558.22</v>
      </c>
      <c r="L179" s="39">
        <f t="shared" si="2"/>
        <v>655712.62</v>
      </c>
      <c r="M179" s="39">
        <f t="shared" si="3"/>
        <v>102845.6</v>
      </c>
      <c r="N179" s="38" t="str">
        <f>VLOOKUP(F179,products!$A$2:$B$13,2,FALSE)</f>
        <v>Meat</v>
      </c>
      <c r="O179" s="133">
        <f t="shared" si="4"/>
        <v>0.8644196354</v>
      </c>
      <c r="P179" s="38" t="str">
        <f>VLOOKUP(E179,countries!A$2:E$250,3,false)</f>
        <v>Andorra</v>
      </c>
      <c r="Q179" s="38" t="str">
        <f>VLOOKUP($E179,countries!$A$2:$E$250,4,false)</f>
        <v>Europe</v>
      </c>
      <c r="R179" s="38" t="str">
        <f>VLOOKUP($E179,countries!$A$2:$E$250,5,false)</f>
        <v>Southern Europe</v>
      </c>
      <c r="S179" s="38">
        <f t="shared" si="5"/>
        <v>0</v>
      </c>
      <c r="T179" s="38" t="s">
        <v>167</v>
      </c>
      <c r="U179" s="38">
        <v>2015.0</v>
      </c>
      <c r="V179" s="38">
        <v>2.0</v>
      </c>
      <c r="W179" s="38" t="s">
        <v>128</v>
      </c>
      <c r="X179" s="38" t="s">
        <v>199</v>
      </c>
      <c r="Y179" s="38" t="s">
        <v>146</v>
      </c>
      <c r="Z179" s="38" t="s">
        <v>147</v>
      </c>
      <c r="AA179" s="113" t="str">
        <f t="array" ref="AA179">PROPER(G179)</f>
        <v>Online</v>
      </c>
    </row>
    <row r="180">
      <c r="A180" s="110">
        <v>2.14033257E8</v>
      </c>
      <c r="B180" s="131">
        <v>42337.0</v>
      </c>
      <c r="C180" s="131">
        <v>42341.0</v>
      </c>
      <c r="D180" s="110" t="s">
        <v>93</v>
      </c>
      <c r="E180" s="110" t="s">
        <v>111</v>
      </c>
      <c r="F180" s="110">
        <v>8969.0</v>
      </c>
      <c r="G180" s="38" t="s">
        <v>42</v>
      </c>
      <c r="H180" s="110">
        <v>6052.0</v>
      </c>
      <c r="I180" s="132">
        <v>152.58</v>
      </c>
      <c r="J180" s="132">
        <v>97.44</v>
      </c>
      <c r="K180" s="39">
        <f t="shared" si="1"/>
        <v>923414.16</v>
      </c>
      <c r="L180" s="39">
        <f t="shared" si="2"/>
        <v>589706.88</v>
      </c>
      <c r="M180" s="39">
        <f t="shared" si="3"/>
        <v>333707.28</v>
      </c>
      <c r="N180" s="38" t="str">
        <f>VLOOKUP(F180,products!$A$2:$B$13,2,FALSE)</f>
        <v>Snacks</v>
      </c>
      <c r="O180" s="133">
        <f t="shared" si="4"/>
        <v>0.6386158081</v>
      </c>
      <c r="P180" s="38" t="str">
        <f>VLOOKUP(E180,countries!A$2:E$250,3,false)</f>
        <v>Russia</v>
      </c>
      <c r="Q180" s="38" t="str">
        <f>VLOOKUP($E180,countries!$A$2:$E$250,4,false)</f>
        <v>Europe</v>
      </c>
      <c r="R180" s="38" t="str">
        <f>VLOOKUP($E180,countries!$A$2:$E$250,5,false)</f>
        <v>Eastern Europe</v>
      </c>
      <c r="S180" s="38">
        <f t="shared" si="5"/>
        <v>4</v>
      </c>
      <c r="T180" s="38" t="s">
        <v>182</v>
      </c>
      <c r="U180" s="38">
        <v>2015.0</v>
      </c>
      <c r="V180" s="38">
        <v>11.0</v>
      </c>
      <c r="W180" s="38" t="s">
        <v>111</v>
      </c>
      <c r="X180" s="38" t="s">
        <v>179</v>
      </c>
      <c r="Y180" s="38" t="s">
        <v>146</v>
      </c>
      <c r="Z180" s="38" t="s">
        <v>155</v>
      </c>
      <c r="AA180" s="113" t="str">
        <f t="array" ref="AA180">PROPER(G180)</f>
        <v>Offline</v>
      </c>
    </row>
    <row r="181">
      <c r="A181" s="110">
        <v>2.14292466E8</v>
      </c>
      <c r="B181" s="131">
        <v>40988.0</v>
      </c>
      <c r="C181" s="131">
        <v>41012.0</v>
      </c>
      <c r="D181" s="110" t="s">
        <v>93</v>
      </c>
      <c r="E181" s="110" t="s">
        <v>122</v>
      </c>
      <c r="F181" s="110">
        <v>8969.0</v>
      </c>
      <c r="G181" s="38" t="s">
        <v>43</v>
      </c>
      <c r="H181" s="110">
        <v>2758.0</v>
      </c>
      <c r="I181" s="132">
        <v>152.58</v>
      </c>
      <c r="J181" s="132">
        <v>97.44</v>
      </c>
      <c r="K181" s="39">
        <f t="shared" si="1"/>
        <v>420815.64</v>
      </c>
      <c r="L181" s="39">
        <f t="shared" si="2"/>
        <v>268739.52</v>
      </c>
      <c r="M181" s="39">
        <f t="shared" si="3"/>
        <v>152076.12</v>
      </c>
      <c r="N181" s="38" t="str">
        <f>VLOOKUP(F181,products!$A$2:$B$13,2,FALSE)</f>
        <v>Snacks</v>
      </c>
      <c r="O181" s="133">
        <f t="shared" si="4"/>
        <v>0.6386158081</v>
      </c>
      <c r="P181" s="38" t="str">
        <f>VLOOKUP(E181,countries!A$2:E$250,3,false)</f>
        <v>Switzerland</v>
      </c>
      <c r="Q181" s="38" t="str">
        <f>VLOOKUP($E181,countries!$A$2:$E$250,4,false)</f>
        <v>Europe</v>
      </c>
      <c r="R181" s="38" t="str">
        <f>VLOOKUP($E181,countries!$A$2:$E$250,5,false)</f>
        <v>Western Europe</v>
      </c>
      <c r="S181" s="38">
        <f t="shared" si="5"/>
        <v>24</v>
      </c>
      <c r="T181" s="38" t="s">
        <v>182</v>
      </c>
      <c r="U181" s="38">
        <v>2012.0</v>
      </c>
      <c r="V181" s="38">
        <v>3.0</v>
      </c>
      <c r="W181" s="38" t="s">
        <v>122</v>
      </c>
      <c r="X181" s="38" t="s">
        <v>193</v>
      </c>
      <c r="Y181" s="38" t="s">
        <v>146</v>
      </c>
      <c r="Z181" s="38" t="s">
        <v>158</v>
      </c>
      <c r="AA181" s="113" t="str">
        <f t="array" ref="AA181">PROPER(G181)</f>
        <v>Online</v>
      </c>
    </row>
    <row r="182">
      <c r="A182" s="110">
        <v>2.15540015E8</v>
      </c>
      <c r="B182" s="131">
        <v>41264.0</v>
      </c>
      <c r="C182" s="131">
        <v>41267.0</v>
      </c>
      <c r="D182" s="110" t="s">
        <v>89</v>
      </c>
      <c r="E182" s="110" t="s">
        <v>105</v>
      </c>
      <c r="F182" s="110">
        <v>3127.0</v>
      </c>
      <c r="G182" s="38" t="s">
        <v>42</v>
      </c>
      <c r="H182" s="110">
        <v>1935.0</v>
      </c>
      <c r="I182" s="132">
        <v>81.73</v>
      </c>
      <c r="J182" s="132">
        <v>56.67</v>
      </c>
      <c r="K182" s="39">
        <f t="shared" si="1"/>
        <v>158147.55</v>
      </c>
      <c r="L182" s="39">
        <f t="shared" si="2"/>
        <v>109656.45</v>
      </c>
      <c r="M182" s="39">
        <f t="shared" si="3"/>
        <v>48491.1</v>
      </c>
      <c r="N182" s="38" t="str">
        <f>VLOOKUP(F182,products!$A$2:$B$13,2,FALSE)</f>
        <v>Personal Care</v>
      </c>
      <c r="O182" s="133">
        <f t="shared" si="4"/>
        <v>0.6933806436</v>
      </c>
      <c r="P182" s="38" t="str">
        <f>VLOOKUP(E182,countries!A$2:E$250,3,false)</f>
        <v>Romania</v>
      </c>
      <c r="Q182" s="38" t="str">
        <f>VLOOKUP($E182,countries!$A$2:$E$250,4,false)</f>
        <v>Europe</v>
      </c>
      <c r="R182" s="38" t="str">
        <f>VLOOKUP($E182,countries!$A$2:$E$250,5,false)</f>
        <v>Eastern Europe</v>
      </c>
      <c r="S182" s="38">
        <f t="shared" si="5"/>
        <v>3</v>
      </c>
      <c r="T182" s="38" t="s">
        <v>185</v>
      </c>
      <c r="U182" s="38">
        <v>2012.0</v>
      </c>
      <c r="V182" s="38">
        <v>12.0</v>
      </c>
      <c r="W182" s="38" t="s">
        <v>105</v>
      </c>
      <c r="X182" s="38" t="s">
        <v>172</v>
      </c>
      <c r="Y182" s="38" t="s">
        <v>146</v>
      </c>
      <c r="Z182" s="38" t="s">
        <v>155</v>
      </c>
      <c r="AA182" s="113" t="str">
        <f t="array" ref="AA182">PROPER(G182)</f>
        <v>Offline</v>
      </c>
    </row>
    <row r="183">
      <c r="A183" s="110">
        <v>2.15584218E8</v>
      </c>
      <c r="B183" s="131">
        <v>42893.0</v>
      </c>
      <c r="C183" s="131">
        <v>42907.0</v>
      </c>
      <c r="D183" s="110" t="s">
        <v>89</v>
      </c>
      <c r="E183" s="110" t="s">
        <v>116</v>
      </c>
      <c r="F183" s="110">
        <v>5988.0</v>
      </c>
      <c r="G183" s="38" t="s">
        <v>42</v>
      </c>
      <c r="H183" s="110">
        <v>5016.0</v>
      </c>
      <c r="I183" s="132">
        <v>154.06</v>
      </c>
      <c r="J183" s="132">
        <v>90.93</v>
      </c>
      <c r="K183" s="39">
        <f t="shared" si="1"/>
        <v>772764.96</v>
      </c>
      <c r="L183" s="39">
        <f t="shared" si="2"/>
        <v>456104.88</v>
      </c>
      <c r="M183" s="39">
        <f t="shared" si="3"/>
        <v>316660.08</v>
      </c>
      <c r="N183" s="38" t="str">
        <f>VLOOKUP(F183,products!$A$2:$B$13,2,FALSE)</f>
        <v>Vegetables</v>
      </c>
      <c r="O183" s="133">
        <f t="shared" si="4"/>
        <v>0.5902245878</v>
      </c>
      <c r="P183" s="38" t="str">
        <f>VLOOKUP(E183,countries!A$2:E$250,3,false)</f>
        <v>Belarus</v>
      </c>
      <c r="Q183" s="38" t="str">
        <f>VLOOKUP($E183,countries!$A$2:$E$250,4,false)</f>
        <v>Europe</v>
      </c>
      <c r="R183" s="38" t="str">
        <f>VLOOKUP($E183,countries!$A$2:$E$250,5,false)</f>
        <v>Eastern Europe</v>
      </c>
      <c r="S183" s="38">
        <f t="shared" si="5"/>
        <v>14</v>
      </c>
      <c r="T183" s="38" t="s">
        <v>159</v>
      </c>
      <c r="U183" s="38">
        <v>2017.0</v>
      </c>
      <c r="V183" s="38">
        <v>6.0</v>
      </c>
      <c r="W183" s="38" t="s">
        <v>116</v>
      </c>
      <c r="X183" s="38" t="s">
        <v>187</v>
      </c>
      <c r="Y183" s="38" t="s">
        <v>146</v>
      </c>
      <c r="Z183" s="38" t="s">
        <v>155</v>
      </c>
      <c r="AA183" s="113" t="str">
        <f t="array" ref="AA183">PROPER(G183)</f>
        <v>Offline</v>
      </c>
    </row>
    <row r="184">
      <c r="A184" s="110">
        <v>2.16278588E8</v>
      </c>
      <c r="B184" s="131">
        <v>42357.0</v>
      </c>
      <c r="C184" s="131">
        <v>42357.0</v>
      </c>
      <c r="D184" s="110" t="s">
        <v>89</v>
      </c>
      <c r="E184" s="110" t="s">
        <v>107</v>
      </c>
      <c r="F184" s="110">
        <v>8875.0</v>
      </c>
      <c r="G184" s="38" t="s">
        <v>43</v>
      </c>
      <c r="H184" s="110">
        <v>495.0</v>
      </c>
      <c r="I184" s="132">
        <v>421.89</v>
      </c>
      <c r="J184" s="132">
        <v>364.69</v>
      </c>
      <c r="K184" s="39">
        <f t="shared" si="1"/>
        <v>208835.55</v>
      </c>
      <c r="L184" s="39">
        <f t="shared" si="2"/>
        <v>180521.55</v>
      </c>
      <c r="M184" s="39">
        <f t="shared" si="3"/>
        <v>28314</v>
      </c>
      <c r="N184" s="38" t="str">
        <f>VLOOKUP(F184,products!$A$2:$B$13,2,FALSE)</f>
        <v>Meat</v>
      </c>
      <c r="O184" s="133">
        <f t="shared" si="4"/>
        <v>0.8644196354</v>
      </c>
      <c r="P184" s="38" t="str">
        <f>VLOOKUP(E184,countries!A$2:E$250,3,false)</f>
        <v>Luxembourg</v>
      </c>
      <c r="Q184" s="38" t="str">
        <f>VLOOKUP($E184,countries!$A$2:$E$250,4,false)</f>
        <v>Europe</v>
      </c>
      <c r="R184" s="38" t="str">
        <f>VLOOKUP($E184,countries!$A$2:$E$250,5,false)</f>
        <v>Western Europe</v>
      </c>
      <c r="S184" s="38">
        <f t="shared" si="5"/>
        <v>0</v>
      </c>
      <c r="T184" s="38" t="s">
        <v>167</v>
      </c>
      <c r="U184" s="38">
        <v>2015.0</v>
      </c>
      <c r="V184" s="38">
        <v>12.0</v>
      </c>
      <c r="W184" s="38" t="s">
        <v>107</v>
      </c>
      <c r="X184" s="38" t="s">
        <v>174</v>
      </c>
      <c r="Y184" s="38" t="s">
        <v>146</v>
      </c>
      <c r="Z184" s="38" t="s">
        <v>158</v>
      </c>
      <c r="AA184" s="113" t="str">
        <f t="array" ref="AA184">PROPER(G184)</f>
        <v>Online</v>
      </c>
    </row>
    <row r="185">
      <c r="A185" s="110">
        <v>2.17165648E8</v>
      </c>
      <c r="B185" s="131">
        <v>41779.0</v>
      </c>
      <c r="C185" s="131">
        <v>41798.0</v>
      </c>
      <c r="D185" s="110" t="s">
        <v>89</v>
      </c>
      <c r="E185" s="110" t="s">
        <v>98</v>
      </c>
      <c r="F185" s="110">
        <v>8875.0</v>
      </c>
      <c r="G185" s="38" t="s">
        <v>42</v>
      </c>
      <c r="H185" s="134">
        <f>MEDIAN(H2:H1331)</f>
        <v>4958</v>
      </c>
      <c r="I185" s="132">
        <v>421.89</v>
      </c>
      <c r="J185" s="132">
        <v>364.69</v>
      </c>
      <c r="K185" s="39">
        <f t="shared" si="1"/>
        <v>2091730.62</v>
      </c>
      <c r="L185" s="39">
        <f t="shared" si="2"/>
        <v>1808133.02</v>
      </c>
      <c r="M185" s="39">
        <f t="shared" si="3"/>
        <v>283597.6</v>
      </c>
      <c r="N185" s="38" t="str">
        <f>VLOOKUP(F185,products!$A$2:$B$13,2,FALSE)</f>
        <v>Meat</v>
      </c>
      <c r="O185" s="133">
        <f t="shared" si="4"/>
        <v>0.8644196354</v>
      </c>
      <c r="P185" s="38" t="str">
        <f>VLOOKUP(E185,countries!A$2:E$250,3,false)</f>
        <v>Spain</v>
      </c>
      <c r="Q185" s="38" t="str">
        <f>VLOOKUP($E185,countries!$A$2:$E$250,4,false)</f>
        <v>Europe</v>
      </c>
      <c r="R185" s="38" t="str">
        <f>VLOOKUP($E185,countries!$A$2:$E$250,5,false)</f>
        <v>Southern Europe</v>
      </c>
      <c r="S185" s="38">
        <f t="shared" si="5"/>
        <v>19</v>
      </c>
      <c r="T185" s="38" t="s">
        <v>167</v>
      </c>
      <c r="U185" s="38">
        <v>2014.0</v>
      </c>
      <c r="V185" s="38">
        <v>5.0</v>
      </c>
      <c r="W185" s="38" t="s">
        <v>98</v>
      </c>
      <c r="X185" s="38" t="s">
        <v>160</v>
      </c>
      <c r="Y185" s="38" t="s">
        <v>146</v>
      </c>
      <c r="Z185" s="38" t="s">
        <v>147</v>
      </c>
      <c r="AA185" s="113" t="str">
        <f t="array" ref="AA185">PROPER(G185)</f>
        <v>Offline</v>
      </c>
    </row>
    <row r="186">
      <c r="A186" s="110">
        <v>2.17248904E8</v>
      </c>
      <c r="B186" s="131">
        <v>41034.0</v>
      </c>
      <c r="C186" s="131">
        <v>41075.0</v>
      </c>
      <c r="D186" s="110" t="s">
        <v>10</v>
      </c>
      <c r="E186" s="110" t="s">
        <v>96</v>
      </c>
      <c r="F186" s="110">
        <v>8681.0</v>
      </c>
      <c r="G186" s="38" t="s">
        <v>43</v>
      </c>
      <c r="H186" s="110">
        <v>7633.0</v>
      </c>
      <c r="I186" s="132">
        <v>651.21</v>
      </c>
      <c r="J186" s="132">
        <v>524.96</v>
      </c>
      <c r="K186" s="39">
        <f t="shared" si="1"/>
        <v>4970685.93</v>
      </c>
      <c r="L186" s="39">
        <f t="shared" si="2"/>
        <v>4007019.68</v>
      </c>
      <c r="M186" s="39">
        <f t="shared" si="3"/>
        <v>963666.25</v>
      </c>
      <c r="N186" s="38" t="str">
        <f>VLOOKUP(F186,products!$A$2:$B$13,2,FALSE)</f>
        <v>Office Supplies</v>
      </c>
      <c r="O186" s="133">
        <f t="shared" si="4"/>
        <v>0.806130127</v>
      </c>
      <c r="P186" s="38" t="str">
        <f>VLOOKUP(E186,countries!A$2:E$250,3,false)</f>
        <v>Slovakia</v>
      </c>
      <c r="Q186" s="38" t="str">
        <f>VLOOKUP($E186,countries!$A$2:$E$250,4,false)</f>
        <v>Europe</v>
      </c>
      <c r="R186" s="38" t="str">
        <f>VLOOKUP($E186,countries!$A$2:$E$250,5,false)</f>
        <v>Eastern Europe</v>
      </c>
      <c r="S186" s="38">
        <f t="shared" si="5"/>
        <v>41</v>
      </c>
      <c r="T186" s="38" t="s">
        <v>153</v>
      </c>
      <c r="U186" s="38">
        <v>2012.0</v>
      </c>
      <c r="V186" s="38">
        <v>5.0</v>
      </c>
      <c r="W186" s="38" t="s">
        <v>96</v>
      </c>
      <c r="X186" s="38" t="s">
        <v>154</v>
      </c>
      <c r="Y186" s="38" t="s">
        <v>146</v>
      </c>
      <c r="Z186" s="38" t="s">
        <v>155</v>
      </c>
      <c r="AA186" s="113" t="str">
        <f t="array" ref="AA186">PROPER(G186)</f>
        <v>Online</v>
      </c>
    </row>
    <row r="187">
      <c r="A187" s="110">
        <v>2.1785916E8</v>
      </c>
      <c r="B187" s="131">
        <v>42419.0</v>
      </c>
      <c r="C187" s="131">
        <v>42434.0</v>
      </c>
      <c r="D187" s="110" t="s">
        <v>93</v>
      </c>
      <c r="E187" s="110" t="s">
        <v>117</v>
      </c>
      <c r="F187" s="110">
        <v>1270.0</v>
      </c>
      <c r="G187" s="38" t="s">
        <v>42</v>
      </c>
      <c r="H187" s="110">
        <v>8222.0</v>
      </c>
      <c r="I187" s="132">
        <v>47.45</v>
      </c>
      <c r="J187" s="132">
        <v>31.79</v>
      </c>
      <c r="K187" s="39">
        <f t="shared" si="1"/>
        <v>390133.9</v>
      </c>
      <c r="L187" s="39">
        <f t="shared" si="2"/>
        <v>261377.38</v>
      </c>
      <c r="M187" s="39">
        <f t="shared" si="3"/>
        <v>128756.52</v>
      </c>
      <c r="N187" s="38" t="str">
        <f>VLOOKUP(F187,products!$A$2:$B$13,2,FALSE)</f>
        <v>Beverages</v>
      </c>
      <c r="O187" s="133">
        <f t="shared" si="4"/>
        <v>0.6699683878</v>
      </c>
      <c r="P187" s="38" t="str">
        <f>VLOOKUP(E187,countries!A$2:E$250,3,false)</f>
        <v>Estonia</v>
      </c>
      <c r="Q187" s="38" t="str">
        <f>VLOOKUP($E187,countries!$A$2:$E$250,4,false)</f>
        <v>Europe</v>
      </c>
      <c r="R187" s="38" t="str">
        <f>VLOOKUP($E187,countries!$A$2:$E$250,5,false)</f>
        <v>Northern Europe</v>
      </c>
      <c r="S187" s="38">
        <f t="shared" si="5"/>
        <v>15</v>
      </c>
      <c r="T187" s="38" t="s">
        <v>152</v>
      </c>
      <c r="U187" s="38">
        <v>2016.0</v>
      </c>
      <c r="V187" s="38">
        <v>2.0</v>
      </c>
      <c r="W187" s="38" t="s">
        <v>117</v>
      </c>
      <c r="X187" s="38" t="s">
        <v>188</v>
      </c>
      <c r="Y187" s="38" t="s">
        <v>146</v>
      </c>
      <c r="Z187" s="38" t="s">
        <v>170</v>
      </c>
      <c r="AA187" s="113" t="str">
        <f t="array" ref="AA187">PROPER(G187)</f>
        <v>Offline</v>
      </c>
    </row>
    <row r="188">
      <c r="A188" s="110">
        <v>2.17920958E8</v>
      </c>
      <c r="B188" s="131">
        <v>40669.0</v>
      </c>
      <c r="C188" s="131">
        <v>40719.0</v>
      </c>
      <c r="D188" s="110" t="s">
        <v>95</v>
      </c>
      <c r="E188" s="110" t="s">
        <v>123</v>
      </c>
      <c r="F188" s="110">
        <v>7331.0</v>
      </c>
      <c r="G188" s="38" t="s">
        <v>43</v>
      </c>
      <c r="H188" s="110">
        <v>6509.0</v>
      </c>
      <c r="I188" s="132">
        <v>255.28</v>
      </c>
      <c r="J188" s="132">
        <v>159.42</v>
      </c>
      <c r="K188" s="39">
        <f t="shared" si="1"/>
        <v>1661617.52</v>
      </c>
      <c r="L188" s="39">
        <f t="shared" si="2"/>
        <v>1037664.78</v>
      </c>
      <c r="M188" s="39">
        <f t="shared" si="3"/>
        <v>623952.74</v>
      </c>
      <c r="N188" s="38" t="str">
        <f>VLOOKUP(F188,products!$A$2:$B$13,2,FALSE)</f>
        <v>Baby Food</v>
      </c>
      <c r="O188" s="133">
        <f t="shared" si="4"/>
        <v>0.6244907552</v>
      </c>
      <c r="P188" s="38" t="str">
        <f>VLOOKUP(E188,countries!A$2:E$250,3,false)</f>
        <v>Hungary</v>
      </c>
      <c r="Q188" s="38" t="str">
        <f>VLOOKUP($E188,countries!$A$2:$E$250,4,false)</f>
        <v>Europe</v>
      </c>
      <c r="R188" s="38" t="str">
        <f>VLOOKUP($E188,countries!$A$2:$E$250,5,false)</f>
        <v>Eastern Europe</v>
      </c>
      <c r="S188" s="38">
        <f t="shared" si="5"/>
        <v>50</v>
      </c>
      <c r="T188" s="38" t="s">
        <v>161</v>
      </c>
      <c r="U188" s="38">
        <v>2011.0</v>
      </c>
      <c r="V188" s="38">
        <v>5.0</v>
      </c>
      <c r="W188" s="38" t="s">
        <v>123</v>
      </c>
      <c r="X188" s="38" t="s">
        <v>194</v>
      </c>
      <c r="Y188" s="38" t="s">
        <v>146</v>
      </c>
      <c r="Z188" s="38" t="s">
        <v>155</v>
      </c>
      <c r="AA188" s="113" t="str">
        <f t="array" ref="AA188">PROPER(G188)</f>
        <v>Online</v>
      </c>
    </row>
    <row r="189">
      <c r="A189" s="110">
        <v>2.1945132E8</v>
      </c>
      <c r="B189" s="131">
        <v>41808.0</v>
      </c>
      <c r="C189" s="131">
        <v>41822.0</v>
      </c>
      <c r="D189" s="110" t="s">
        <v>89</v>
      </c>
      <c r="E189" s="110" t="s">
        <v>113</v>
      </c>
      <c r="F189" s="110">
        <v>8875.0</v>
      </c>
      <c r="G189" s="38" t="s">
        <v>42</v>
      </c>
      <c r="H189" s="110">
        <v>9377.0</v>
      </c>
      <c r="I189" s="132">
        <v>421.89</v>
      </c>
      <c r="J189" s="132">
        <v>364.69</v>
      </c>
      <c r="K189" s="39">
        <f t="shared" si="1"/>
        <v>3956062.53</v>
      </c>
      <c r="L189" s="39">
        <f t="shared" si="2"/>
        <v>3419698.13</v>
      </c>
      <c r="M189" s="39">
        <f t="shared" si="3"/>
        <v>536364.4</v>
      </c>
      <c r="N189" s="38" t="str">
        <f>VLOOKUP(F189,products!$A$2:$B$13,2,FALSE)</f>
        <v>Meat</v>
      </c>
      <c r="O189" s="133">
        <f t="shared" si="4"/>
        <v>0.8644196354</v>
      </c>
      <c r="P189" s="38" t="str">
        <f>VLOOKUP(E189,countries!A$2:E$250,3,false)</f>
        <v>Ukraine</v>
      </c>
      <c r="Q189" s="38" t="str">
        <f>VLOOKUP($E189,countries!$A$2:$E$250,4,false)</f>
        <v>Europe</v>
      </c>
      <c r="R189" s="38" t="str">
        <f>VLOOKUP($E189,countries!$A$2:$E$250,5,false)</f>
        <v>Eastern Europe</v>
      </c>
      <c r="S189" s="38">
        <f t="shared" si="5"/>
        <v>14</v>
      </c>
      <c r="T189" s="38" t="s">
        <v>167</v>
      </c>
      <c r="U189" s="38">
        <v>2014.0</v>
      </c>
      <c r="V189" s="38">
        <v>6.0</v>
      </c>
      <c r="W189" s="38" t="s">
        <v>113</v>
      </c>
      <c r="X189" s="38" t="s">
        <v>181</v>
      </c>
      <c r="Y189" s="38" t="s">
        <v>146</v>
      </c>
      <c r="Z189" s="38" t="s">
        <v>155</v>
      </c>
      <c r="AA189" s="113" t="str">
        <f t="array" ref="AA189">PROPER(G189)</f>
        <v>Offline</v>
      </c>
    </row>
    <row r="190">
      <c r="A190" s="110">
        <v>2.20607459E8</v>
      </c>
      <c r="B190" s="131">
        <v>41561.0</v>
      </c>
      <c r="C190" s="131">
        <v>41564.0</v>
      </c>
      <c r="D190" s="110" t="s">
        <v>10</v>
      </c>
      <c r="E190" s="110" t="s">
        <v>117</v>
      </c>
      <c r="F190" s="110">
        <v>2103.0</v>
      </c>
      <c r="G190" s="38" t="s">
        <v>43</v>
      </c>
      <c r="H190" s="110">
        <v>1504.0</v>
      </c>
      <c r="I190" s="132">
        <v>205.7</v>
      </c>
      <c r="J190" s="132">
        <v>117.11</v>
      </c>
      <c r="K190" s="39">
        <f t="shared" si="1"/>
        <v>309372.8</v>
      </c>
      <c r="L190" s="39">
        <f t="shared" si="2"/>
        <v>176133.44</v>
      </c>
      <c r="M190" s="39">
        <f t="shared" si="3"/>
        <v>133239.36</v>
      </c>
      <c r="N190" s="38" t="str">
        <f>VLOOKUP(F190,products!$A$2:$B$13,2,FALSE)</f>
        <v>Cereal</v>
      </c>
      <c r="O190" s="133">
        <f t="shared" si="4"/>
        <v>0.5693242586</v>
      </c>
      <c r="P190" s="38" t="str">
        <f>VLOOKUP(E190,countries!A$2:E$250,3,false)</f>
        <v>Estonia</v>
      </c>
      <c r="Q190" s="38" t="str">
        <f>VLOOKUP($E190,countries!$A$2:$E$250,4,false)</f>
        <v>Europe</v>
      </c>
      <c r="R190" s="38" t="str">
        <f>VLOOKUP($E190,countries!$A$2:$E$250,5,false)</f>
        <v>Northern Europe</v>
      </c>
      <c r="S190" s="38">
        <f t="shared" si="5"/>
        <v>3</v>
      </c>
      <c r="T190" s="38" t="s">
        <v>144</v>
      </c>
      <c r="U190" s="38">
        <v>2013.0</v>
      </c>
      <c r="V190" s="38">
        <v>10.0</v>
      </c>
      <c r="W190" s="38" t="s">
        <v>117</v>
      </c>
      <c r="X190" s="38" t="s">
        <v>188</v>
      </c>
      <c r="Y190" s="38" t="s">
        <v>146</v>
      </c>
      <c r="Z190" s="38" t="s">
        <v>170</v>
      </c>
      <c r="AA190" s="113" t="str">
        <f t="array" ref="AA190">PROPER(G190)</f>
        <v>Online</v>
      </c>
    </row>
    <row r="191">
      <c r="A191" s="110">
        <v>2.21628844E8</v>
      </c>
      <c r="B191" s="131">
        <v>40752.0</v>
      </c>
      <c r="C191" s="131">
        <v>40787.0</v>
      </c>
      <c r="D191" s="110" t="s">
        <v>89</v>
      </c>
      <c r="E191" s="110" t="s">
        <v>111</v>
      </c>
      <c r="F191" s="110">
        <v>2455.0</v>
      </c>
      <c r="G191" s="38" t="s">
        <v>42</v>
      </c>
      <c r="H191" s="110">
        <v>3755.0</v>
      </c>
      <c r="I191" s="132">
        <v>109.28</v>
      </c>
      <c r="J191" s="132">
        <v>35.84</v>
      </c>
      <c r="K191" s="39">
        <f t="shared" si="1"/>
        <v>410346.4</v>
      </c>
      <c r="L191" s="39">
        <f t="shared" si="2"/>
        <v>134579.2</v>
      </c>
      <c r="M191" s="39">
        <f t="shared" si="3"/>
        <v>275767.2</v>
      </c>
      <c r="N191" s="38" t="str">
        <f>VLOOKUP(F191,products!$A$2:$B$13,2,FALSE)</f>
        <v>Clothes</v>
      </c>
      <c r="O191" s="133">
        <f t="shared" si="4"/>
        <v>0.3279648609</v>
      </c>
      <c r="P191" s="38" t="str">
        <f>VLOOKUP(E191,countries!A$2:E$250,3,false)</f>
        <v>Russia</v>
      </c>
      <c r="Q191" s="38" t="str">
        <f>VLOOKUP($E191,countries!$A$2:$E$250,4,false)</f>
        <v>Europe</v>
      </c>
      <c r="R191" s="38" t="str">
        <f>VLOOKUP($E191,countries!$A$2:$E$250,5,false)</f>
        <v>Eastern Europe</v>
      </c>
      <c r="S191" s="38">
        <f t="shared" si="5"/>
        <v>35</v>
      </c>
      <c r="T191" s="38" t="s">
        <v>150</v>
      </c>
      <c r="U191" s="38">
        <v>2011.0</v>
      </c>
      <c r="V191" s="38">
        <v>7.0</v>
      </c>
      <c r="W191" s="38" t="s">
        <v>111</v>
      </c>
      <c r="X191" s="38" t="s">
        <v>179</v>
      </c>
      <c r="Y191" s="38" t="s">
        <v>146</v>
      </c>
      <c r="Z191" s="38" t="s">
        <v>155</v>
      </c>
      <c r="AA191" s="113" t="str">
        <f t="array" ref="AA191">PROPER(G191)</f>
        <v>Offline</v>
      </c>
    </row>
    <row r="192">
      <c r="A192" s="110">
        <v>2.22720611E8</v>
      </c>
      <c r="B192" s="131">
        <v>40253.0</v>
      </c>
      <c r="C192" s="131">
        <v>40269.0</v>
      </c>
      <c r="D192" s="110" t="s">
        <v>93</v>
      </c>
      <c r="E192" s="110" t="s">
        <v>112</v>
      </c>
      <c r="F192" s="110">
        <v>7331.0</v>
      </c>
      <c r="G192" s="38" t="s">
        <v>42</v>
      </c>
      <c r="H192" s="110">
        <v>6833.0</v>
      </c>
      <c r="I192" s="132">
        <v>255.28</v>
      </c>
      <c r="J192" s="132">
        <v>159.42</v>
      </c>
      <c r="K192" s="39">
        <f t="shared" si="1"/>
        <v>1744328.24</v>
      </c>
      <c r="L192" s="39">
        <f t="shared" si="2"/>
        <v>1089316.86</v>
      </c>
      <c r="M192" s="39">
        <f t="shared" si="3"/>
        <v>655011.38</v>
      </c>
      <c r="N192" s="38" t="str">
        <f>VLOOKUP(F192,products!$A$2:$B$13,2,FALSE)</f>
        <v>Baby Food</v>
      </c>
      <c r="O192" s="133">
        <f t="shared" si="4"/>
        <v>0.6244907552</v>
      </c>
      <c r="P192" s="38" t="str">
        <f>VLOOKUP(E192,countries!A$2:E$250,3,false)</f>
        <v>Malta</v>
      </c>
      <c r="Q192" s="38" t="str">
        <f>VLOOKUP($E192,countries!$A$2:$E$250,4,false)</f>
        <v>Europe</v>
      </c>
      <c r="R192" s="38" t="str">
        <f>VLOOKUP($E192,countries!$A$2:$E$250,5,false)</f>
        <v>Southern Europe</v>
      </c>
      <c r="S192" s="38">
        <f t="shared" si="5"/>
        <v>16</v>
      </c>
      <c r="T192" s="38" t="s">
        <v>161</v>
      </c>
      <c r="U192" s="38">
        <v>2010.0</v>
      </c>
      <c r="V192" s="38">
        <v>3.0</v>
      </c>
      <c r="W192" s="38" t="s">
        <v>112</v>
      </c>
      <c r="X192" s="38" t="s">
        <v>180</v>
      </c>
      <c r="Y192" s="38" t="s">
        <v>146</v>
      </c>
      <c r="Z192" s="38" t="s">
        <v>147</v>
      </c>
      <c r="AA192" s="113" t="str">
        <f t="array" ref="AA192">PROPER(G192)</f>
        <v>Offline</v>
      </c>
    </row>
    <row r="193">
      <c r="A193" s="110">
        <v>2.23199975E8</v>
      </c>
      <c r="B193" s="131">
        <v>42695.0</v>
      </c>
      <c r="C193" s="131">
        <v>42739.0</v>
      </c>
      <c r="D193" s="110" t="s">
        <v>93</v>
      </c>
      <c r="E193" s="110" t="s">
        <v>135</v>
      </c>
      <c r="F193" s="110">
        <v>1270.0</v>
      </c>
      <c r="G193" s="38" t="s">
        <v>43</v>
      </c>
      <c r="H193" s="110">
        <v>8687.0</v>
      </c>
      <c r="I193" s="132">
        <v>47.45</v>
      </c>
      <c r="J193" s="132">
        <v>31.79</v>
      </c>
      <c r="K193" s="39">
        <f t="shared" si="1"/>
        <v>412198.15</v>
      </c>
      <c r="L193" s="39">
        <f t="shared" si="2"/>
        <v>276159.73</v>
      </c>
      <c r="M193" s="39">
        <f t="shared" si="3"/>
        <v>136038.42</v>
      </c>
      <c r="N193" s="38" t="str">
        <f>VLOOKUP(F193,products!$A$2:$B$13,2,FALSE)</f>
        <v>Beverages</v>
      </c>
      <c r="O193" s="133">
        <f t="shared" si="4"/>
        <v>0.6699683878</v>
      </c>
      <c r="P193" s="38" t="str">
        <f>VLOOKUP(E193,countries!A$2:E$250,3,false)</f>
        <v>Denmark</v>
      </c>
      <c r="Q193" s="38" t="str">
        <f>VLOOKUP($E193,countries!$A$2:$E$250,4,false)</f>
        <v>Europe</v>
      </c>
      <c r="R193" s="38" t="str">
        <f>VLOOKUP($E193,countries!$A$2:$E$250,5,false)</f>
        <v>Northern Europe</v>
      </c>
      <c r="S193" s="38">
        <f t="shared" si="5"/>
        <v>44</v>
      </c>
      <c r="T193" s="38" t="s">
        <v>152</v>
      </c>
      <c r="U193" s="38">
        <v>2016.0</v>
      </c>
      <c r="V193" s="38">
        <v>11.0</v>
      </c>
      <c r="W193" s="38" t="s">
        <v>135</v>
      </c>
      <c r="X193" s="38" t="s">
        <v>205</v>
      </c>
      <c r="Y193" s="38" t="s">
        <v>146</v>
      </c>
      <c r="Z193" s="38" t="s">
        <v>170</v>
      </c>
      <c r="AA193" s="113" t="str">
        <f t="array" ref="AA193">PROPER(G193)</f>
        <v>Online</v>
      </c>
    </row>
    <row r="194">
      <c r="A194" s="110">
        <v>2.23869454E8</v>
      </c>
      <c r="B194" s="131">
        <v>40328.0</v>
      </c>
      <c r="C194" s="131">
        <v>40356.0</v>
      </c>
      <c r="D194" s="110" t="s">
        <v>93</v>
      </c>
      <c r="E194" s="110" t="s">
        <v>127</v>
      </c>
      <c r="F194" s="110">
        <v>4594.0</v>
      </c>
      <c r="G194" s="38" t="s">
        <v>43</v>
      </c>
      <c r="H194" s="110">
        <v>6801.0</v>
      </c>
      <c r="I194" s="132">
        <v>9.33</v>
      </c>
      <c r="J194" s="132">
        <v>6.92</v>
      </c>
      <c r="K194" s="39">
        <f t="shared" si="1"/>
        <v>63453.33</v>
      </c>
      <c r="L194" s="39">
        <f t="shared" si="2"/>
        <v>47062.92</v>
      </c>
      <c r="M194" s="39">
        <f t="shared" si="3"/>
        <v>16390.41</v>
      </c>
      <c r="N194" s="38" t="str">
        <f>VLOOKUP(F194,products!$A$2:$B$13,2,FALSE)</f>
        <v>Fruits</v>
      </c>
      <c r="O194" s="133">
        <f t="shared" si="4"/>
        <v>0.741693462</v>
      </c>
      <c r="P194" s="38" t="str">
        <f>VLOOKUP(E194,countries!A$2:E$250,3,false)</f>
        <v>Ireland</v>
      </c>
      <c r="Q194" s="38" t="str">
        <f>VLOOKUP($E194,countries!$A$2:$E$250,4,false)</f>
        <v>Europe</v>
      </c>
      <c r="R194" s="38" t="str">
        <f>VLOOKUP($E194,countries!$A$2:$E$250,5,false)</f>
        <v>Northern Europe</v>
      </c>
      <c r="S194" s="38">
        <f t="shared" si="5"/>
        <v>28</v>
      </c>
      <c r="T194" s="38" t="s">
        <v>156</v>
      </c>
      <c r="U194" s="38">
        <v>2010.0</v>
      </c>
      <c r="V194" s="38">
        <v>5.0</v>
      </c>
      <c r="W194" s="38" t="s">
        <v>127</v>
      </c>
      <c r="X194" s="38" t="s">
        <v>198</v>
      </c>
      <c r="Y194" s="38" t="s">
        <v>146</v>
      </c>
      <c r="Z194" s="38" t="s">
        <v>170</v>
      </c>
      <c r="AA194" s="113" t="str">
        <f t="array" ref="AA194">PROPER(G194)</f>
        <v>Online</v>
      </c>
    </row>
    <row r="195">
      <c r="A195" s="110">
        <v>2.2464708E8</v>
      </c>
      <c r="B195" s="131">
        <v>41813.0</v>
      </c>
      <c r="C195" s="131">
        <v>41850.0</v>
      </c>
      <c r="D195" s="110" t="s">
        <v>95</v>
      </c>
      <c r="E195" s="110" t="s">
        <v>96</v>
      </c>
      <c r="F195" s="110">
        <v>8681.0</v>
      </c>
      <c r="G195" s="38" t="s">
        <v>42</v>
      </c>
      <c r="H195" s="110">
        <v>6918.0</v>
      </c>
      <c r="I195" s="132">
        <v>651.21</v>
      </c>
      <c r="J195" s="132">
        <v>524.96</v>
      </c>
      <c r="K195" s="39">
        <f t="shared" si="1"/>
        <v>4505070.78</v>
      </c>
      <c r="L195" s="39">
        <f t="shared" si="2"/>
        <v>3631673.28</v>
      </c>
      <c r="M195" s="39">
        <f t="shared" si="3"/>
        <v>873397.5</v>
      </c>
      <c r="N195" s="38" t="str">
        <f>VLOOKUP(F195,products!$A$2:$B$13,2,FALSE)</f>
        <v>Office Supplies</v>
      </c>
      <c r="O195" s="133">
        <f t="shared" si="4"/>
        <v>0.806130127</v>
      </c>
      <c r="P195" s="38" t="str">
        <f>VLOOKUP(E195,countries!A$2:E$250,3,false)</f>
        <v>Slovakia</v>
      </c>
      <c r="Q195" s="38" t="str">
        <f>VLOOKUP($E195,countries!$A$2:$E$250,4,false)</f>
        <v>Europe</v>
      </c>
      <c r="R195" s="38" t="str">
        <f>VLOOKUP($E195,countries!$A$2:$E$250,5,false)</f>
        <v>Eastern Europe</v>
      </c>
      <c r="S195" s="38">
        <f t="shared" si="5"/>
        <v>37</v>
      </c>
      <c r="T195" s="38" t="s">
        <v>153</v>
      </c>
      <c r="U195" s="38">
        <v>2014.0</v>
      </c>
      <c r="V195" s="38">
        <v>6.0</v>
      </c>
      <c r="W195" s="38" t="s">
        <v>96</v>
      </c>
      <c r="X195" s="38" t="s">
        <v>154</v>
      </c>
      <c r="Y195" s="38" t="s">
        <v>146</v>
      </c>
      <c r="Z195" s="38" t="s">
        <v>155</v>
      </c>
      <c r="AA195" s="113" t="str">
        <f t="array" ref="AA195">PROPER(G195)</f>
        <v>Offline</v>
      </c>
    </row>
    <row r="196">
      <c r="A196" s="110">
        <v>2.282112E8</v>
      </c>
      <c r="B196" s="131">
        <v>41243.0</v>
      </c>
      <c r="C196" s="131">
        <v>41246.0</v>
      </c>
      <c r="D196" s="110" t="s">
        <v>95</v>
      </c>
      <c r="E196" s="110" t="s">
        <v>120</v>
      </c>
      <c r="F196" s="110">
        <v>8293.0</v>
      </c>
      <c r="G196" s="38" t="s">
        <v>43</v>
      </c>
      <c r="H196" s="110">
        <v>1620.0</v>
      </c>
      <c r="I196" s="132">
        <v>437.2</v>
      </c>
      <c r="J196" s="132">
        <v>263.33</v>
      </c>
      <c r="K196" s="39">
        <f t="shared" si="1"/>
        <v>708264</v>
      </c>
      <c r="L196" s="39">
        <f t="shared" si="2"/>
        <v>426594.6</v>
      </c>
      <c r="M196" s="39">
        <f t="shared" si="3"/>
        <v>281669.4</v>
      </c>
      <c r="N196" s="38" t="str">
        <f>VLOOKUP(F196,products!$A$2:$B$13,2,FALSE)</f>
        <v>Cosmetics</v>
      </c>
      <c r="O196" s="133">
        <f t="shared" si="4"/>
        <v>0.6023101555</v>
      </c>
      <c r="P196" s="38" t="str">
        <f>VLOOKUP(E196,countries!A$2:E$250,3,false)</f>
        <v>San Marino</v>
      </c>
      <c r="Q196" s="38" t="str">
        <f>VLOOKUP($E196,countries!$A$2:$E$250,4,false)</f>
        <v>Europe</v>
      </c>
      <c r="R196" s="38" t="str">
        <f>VLOOKUP($E196,countries!$A$2:$E$250,5,false)</f>
        <v>Southern Europe</v>
      </c>
      <c r="S196" s="38">
        <f t="shared" si="5"/>
        <v>3</v>
      </c>
      <c r="T196" s="38" t="s">
        <v>178</v>
      </c>
      <c r="U196" s="38">
        <v>2012.0</v>
      </c>
      <c r="V196" s="38">
        <v>11.0</v>
      </c>
      <c r="W196" s="38" t="s">
        <v>120</v>
      </c>
      <c r="X196" s="38" t="s">
        <v>191</v>
      </c>
      <c r="Y196" s="38" t="s">
        <v>146</v>
      </c>
      <c r="Z196" s="38" t="s">
        <v>147</v>
      </c>
      <c r="AA196" s="113" t="str">
        <f t="array" ref="AA196">PROPER(G196)</f>
        <v>Online</v>
      </c>
    </row>
    <row r="197">
      <c r="A197" s="110">
        <v>2.29105556E8</v>
      </c>
      <c r="B197" s="131">
        <v>40343.0</v>
      </c>
      <c r="C197" s="131">
        <v>40393.0</v>
      </c>
      <c r="D197" s="110" t="s">
        <v>93</v>
      </c>
      <c r="E197" s="110" t="e">
        <v>#N/A</v>
      </c>
      <c r="F197" s="110">
        <v>8875.0</v>
      </c>
      <c r="G197" s="38" t="s">
        <v>42</v>
      </c>
      <c r="H197" s="110">
        <v>6280.0</v>
      </c>
      <c r="I197" s="132">
        <v>421.89</v>
      </c>
      <c r="J197" s="132">
        <v>364.69</v>
      </c>
      <c r="K197" s="39">
        <f t="shared" si="1"/>
        <v>2649469.2</v>
      </c>
      <c r="L197" s="39">
        <f t="shared" si="2"/>
        <v>2290253.2</v>
      </c>
      <c r="M197" s="39">
        <f t="shared" si="3"/>
        <v>359216</v>
      </c>
      <c r="N197" s="38" t="str">
        <f>VLOOKUP(F197,products!$A$2:$B$13,2,FALSE)</f>
        <v>Meat</v>
      </c>
      <c r="O197" s="133">
        <f t="shared" si="4"/>
        <v>0.8644196354</v>
      </c>
      <c r="P197" s="38" t="str">
        <f>VLOOKUP(E197,countries!A$2:E$250,3,false)</f>
        <v>#N/A</v>
      </c>
      <c r="Q197" s="38" t="str">
        <f>VLOOKUP($E197,countries!$A$2:$E$250,4,false)</f>
        <v>#N/A</v>
      </c>
      <c r="R197" s="38" t="str">
        <f>VLOOKUP($E197,countries!$A$2:$E$250,5,false)</f>
        <v>#N/A</v>
      </c>
      <c r="S197" s="38">
        <f t="shared" si="5"/>
        <v>50</v>
      </c>
      <c r="T197" s="38" t="s">
        <v>167</v>
      </c>
      <c r="U197" s="38">
        <v>2010.0</v>
      </c>
      <c r="V197" s="38">
        <v>6.0</v>
      </c>
      <c r="W197" s="38" t="s">
        <v>92</v>
      </c>
      <c r="X197" s="38" t="s">
        <v>149</v>
      </c>
      <c r="Y197" s="38" t="s">
        <v>149</v>
      </c>
      <c r="Z197" s="38" t="s">
        <v>149</v>
      </c>
      <c r="AA197" s="113" t="str">
        <f t="array" ref="AA197">PROPER(G197)</f>
        <v>Offline</v>
      </c>
    </row>
    <row r="198">
      <c r="A198" s="110">
        <v>2.29355323E8</v>
      </c>
      <c r="B198" s="131">
        <v>40875.0</v>
      </c>
      <c r="C198" s="131">
        <v>40887.0</v>
      </c>
      <c r="D198" s="110" t="s">
        <v>93</v>
      </c>
      <c r="E198" s="110" t="s">
        <v>129</v>
      </c>
      <c r="F198" s="110">
        <v>5988.0</v>
      </c>
      <c r="G198" s="38" t="s">
        <v>42</v>
      </c>
      <c r="H198" s="110">
        <v>192.0</v>
      </c>
      <c r="I198" s="132">
        <v>154.06</v>
      </c>
      <c r="J198" s="132">
        <v>90.93</v>
      </c>
      <c r="K198" s="39">
        <f t="shared" si="1"/>
        <v>29579.52</v>
      </c>
      <c r="L198" s="39">
        <f t="shared" si="2"/>
        <v>17458.56</v>
      </c>
      <c r="M198" s="39">
        <f t="shared" si="3"/>
        <v>12120.96</v>
      </c>
      <c r="N198" s="38" t="str">
        <f>VLOOKUP(F198,products!$A$2:$B$13,2,FALSE)</f>
        <v>Vegetables</v>
      </c>
      <c r="O198" s="133">
        <f t="shared" si="4"/>
        <v>0.5902245878</v>
      </c>
      <c r="P198" s="38" t="str">
        <f>VLOOKUP(E198,countries!A$2:E$250,3,false)</f>
        <v>Liechtenstein</v>
      </c>
      <c r="Q198" s="38" t="str">
        <f>VLOOKUP($E198,countries!$A$2:$E$250,4,false)</f>
        <v>Europe</v>
      </c>
      <c r="R198" s="38" t="str">
        <f>VLOOKUP($E198,countries!$A$2:$E$250,5,false)</f>
        <v>Western Europe</v>
      </c>
      <c r="S198" s="38">
        <f t="shared" si="5"/>
        <v>12</v>
      </c>
      <c r="T198" s="38" t="s">
        <v>159</v>
      </c>
      <c r="U198" s="38">
        <v>2011.0</v>
      </c>
      <c r="V198" s="38">
        <v>11.0</v>
      </c>
      <c r="W198" s="38" t="s">
        <v>129</v>
      </c>
      <c r="X198" s="38" t="s">
        <v>200</v>
      </c>
      <c r="Y198" s="38" t="s">
        <v>146</v>
      </c>
      <c r="Z198" s="38" t="s">
        <v>158</v>
      </c>
      <c r="AA198" s="113" t="str">
        <f t="array" ref="AA198">PROPER(G198)</f>
        <v>Offline</v>
      </c>
    </row>
    <row r="199">
      <c r="A199" s="110">
        <v>2.29693067E8</v>
      </c>
      <c r="B199" s="131">
        <v>41105.0</v>
      </c>
      <c r="C199" s="131">
        <v>41105.0</v>
      </c>
      <c r="D199" s="110" t="s">
        <v>93</v>
      </c>
      <c r="E199" s="110" t="s">
        <v>129</v>
      </c>
      <c r="F199" s="110">
        <v>8293.0</v>
      </c>
      <c r="G199" s="38" t="s">
        <v>43</v>
      </c>
      <c r="H199" s="110">
        <v>138.0</v>
      </c>
      <c r="I199" s="132">
        <v>437.2</v>
      </c>
      <c r="J199" s="132">
        <v>263.33</v>
      </c>
      <c r="K199" s="39">
        <f t="shared" si="1"/>
        <v>60333.6</v>
      </c>
      <c r="L199" s="39">
        <f t="shared" si="2"/>
        <v>36339.54</v>
      </c>
      <c r="M199" s="39">
        <f t="shared" si="3"/>
        <v>23994.06</v>
      </c>
      <c r="N199" s="38" t="str">
        <f>VLOOKUP(F199,products!$A$2:$B$13,2,FALSE)</f>
        <v>Cosmetics</v>
      </c>
      <c r="O199" s="133">
        <f t="shared" si="4"/>
        <v>0.6023101555</v>
      </c>
      <c r="P199" s="38" t="str">
        <f>VLOOKUP(E199,countries!A$2:E$250,3,false)</f>
        <v>Liechtenstein</v>
      </c>
      <c r="Q199" s="38" t="str">
        <f>VLOOKUP($E199,countries!$A$2:$E$250,4,false)</f>
        <v>Europe</v>
      </c>
      <c r="R199" s="38" t="str">
        <f>VLOOKUP($E199,countries!$A$2:$E$250,5,false)</f>
        <v>Western Europe</v>
      </c>
      <c r="S199" s="38">
        <f t="shared" si="5"/>
        <v>0</v>
      </c>
      <c r="T199" s="38" t="s">
        <v>178</v>
      </c>
      <c r="U199" s="38">
        <v>2012.0</v>
      </c>
      <c r="V199" s="38">
        <v>7.0</v>
      </c>
      <c r="W199" s="38" t="s">
        <v>129</v>
      </c>
      <c r="X199" s="38" t="s">
        <v>200</v>
      </c>
      <c r="Y199" s="38" t="s">
        <v>146</v>
      </c>
      <c r="Z199" s="38" t="s">
        <v>158</v>
      </c>
      <c r="AA199" s="113" t="str">
        <f t="array" ref="AA199">PROPER(G199)</f>
        <v>Online</v>
      </c>
    </row>
    <row r="200">
      <c r="A200" s="110">
        <v>2.31341445E8</v>
      </c>
      <c r="B200" s="131">
        <v>42244.0</v>
      </c>
      <c r="C200" s="131">
        <v>42284.0</v>
      </c>
      <c r="D200" s="110" t="s">
        <v>89</v>
      </c>
      <c r="E200" s="110" t="s">
        <v>133</v>
      </c>
      <c r="F200" s="110">
        <v>1270.0</v>
      </c>
      <c r="G200" s="38" t="s">
        <v>43</v>
      </c>
      <c r="H200" s="110">
        <v>7929.0</v>
      </c>
      <c r="I200" s="132">
        <v>47.45</v>
      </c>
      <c r="J200" s="132">
        <v>31.79</v>
      </c>
      <c r="K200" s="39">
        <f t="shared" si="1"/>
        <v>376231.05</v>
      </c>
      <c r="L200" s="39">
        <f t="shared" si="2"/>
        <v>252062.91</v>
      </c>
      <c r="M200" s="39">
        <f t="shared" si="3"/>
        <v>124168.14</v>
      </c>
      <c r="N200" s="38" t="str">
        <f>VLOOKUP(F200,products!$A$2:$B$13,2,FALSE)</f>
        <v>Beverages</v>
      </c>
      <c r="O200" s="133">
        <f t="shared" si="4"/>
        <v>0.6699683878</v>
      </c>
      <c r="P200" s="38" t="str">
        <f>VLOOKUP(E200,countries!A$2:E$250,3,false)</f>
        <v>Bosnia and Herzegovina</v>
      </c>
      <c r="Q200" s="38" t="str">
        <f>VLOOKUP($E200,countries!$A$2:$E$250,4,false)</f>
        <v>Europe</v>
      </c>
      <c r="R200" s="38" t="str">
        <f>VLOOKUP($E200,countries!$A$2:$E$250,5,false)</f>
        <v>Southern Europe</v>
      </c>
      <c r="S200" s="38">
        <f t="shared" si="5"/>
        <v>40</v>
      </c>
      <c r="T200" s="38" t="s">
        <v>152</v>
      </c>
      <c r="U200" s="38">
        <v>2015.0</v>
      </c>
      <c r="V200" s="38">
        <v>8.0</v>
      </c>
      <c r="W200" s="38" t="s">
        <v>133</v>
      </c>
      <c r="X200" s="38" t="s">
        <v>204</v>
      </c>
      <c r="Y200" s="38" t="s">
        <v>146</v>
      </c>
      <c r="Z200" s="38" t="s">
        <v>147</v>
      </c>
      <c r="AA200" s="113" t="str">
        <f t="array" ref="AA200">PROPER(G200)</f>
        <v>Online</v>
      </c>
    </row>
    <row r="201">
      <c r="A201" s="110">
        <v>2.31369769E8</v>
      </c>
      <c r="B201" s="131">
        <v>42133.0</v>
      </c>
      <c r="C201" s="131">
        <v>42140.0</v>
      </c>
      <c r="D201" s="110" t="s">
        <v>89</v>
      </c>
      <c r="E201" s="110" t="s">
        <v>96</v>
      </c>
      <c r="F201" s="110">
        <v>2455.0</v>
      </c>
      <c r="G201" s="38" t="s">
        <v>43</v>
      </c>
      <c r="H201" s="110">
        <v>6311.0</v>
      </c>
      <c r="I201" s="132">
        <v>109.28</v>
      </c>
      <c r="J201" s="132">
        <v>35.84</v>
      </c>
      <c r="K201" s="39">
        <f t="shared" si="1"/>
        <v>689666.08</v>
      </c>
      <c r="L201" s="39">
        <f t="shared" si="2"/>
        <v>226186.24</v>
      </c>
      <c r="M201" s="39">
        <f t="shared" si="3"/>
        <v>463479.84</v>
      </c>
      <c r="N201" s="38" t="str">
        <f>VLOOKUP(F201,products!$A$2:$B$13,2,FALSE)</f>
        <v>Clothes</v>
      </c>
      <c r="O201" s="133">
        <f t="shared" si="4"/>
        <v>0.3279648609</v>
      </c>
      <c r="P201" s="38" t="str">
        <f>VLOOKUP(E201,countries!A$2:E$250,3,false)</f>
        <v>Slovakia</v>
      </c>
      <c r="Q201" s="38" t="str">
        <f>VLOOKUP($E201,countries!$A$2:$E$250,4,false)</f>
        <v>Europe</v>
      </c>
      <c r="R201" s="38" t="str">
        <f>VLOOKUP($E201,countries!$A$2:$E$250,5,false)</f>
        <v>Eastern Europe</v>
      </c>
      <c r="S201" s="38">
        <f t="shared" si="5"/>
        <v>7</v>
      </c>
      <c r="T201" s="38" t="s">
        <v>150</v>
      </c>
      <c r="U201" s="38">
        <v>2015.0</v>
      </c>
      <c r="V201" s="38">
        <v>5.0</v>
      </c>
      <c r="W201" s="38" t="s">
        <v>96</v>
      </c>
      <c r="X201" s="38" t="s">
        <v>154</v>
      </c>
      <c r="Y201" s="38" t="s">
        <v>146</v>
      </c>
      <c r="Z201" s="38" t="s">
        <v>155</v>
      </c>
      <c r="AA201" s="113" t="str">
        <f t="array" ref="AA201">PROPER(G201)</f>
        <v>Online</v>
      </c>
    </row>
    <row r="202">
      <c r="A202" s="110">
        <v>2.31450879E8</v>
      </c>
      <c r="B202" s="131">
        <v>40181.0</v>
      </c>
      <c r="C202" s="131">
        <v>40231.0</v>
      </c>
      <c r="D202" s="110" t="s">
        <v>93</v>
      </c>
      <c r="E202" s="110" t="s">
        <v>101</v>
      </c>
      <c r="F202" s="110">
        <v>2455.0</v>
      </c>
      <c r="G202" s="38" t="s">
        <v>43</v>
      </c>
      <c r="H202" s="110">
        <v>313.0</v>
      </c>
      <c r="I202" s="132">
        <v>109.28</v>
      </c>
      <c r="J202" s="132">
        <v>35.84</v>
      </c>
      <c r="K202" s="39">
        <f t="shared" si="1"/>
        <v>34204.64</v>
      </c>
      <c r="L202" s="39">
        <f t="shared" si="2"/>
        <v>11217.92</v>
      </c>
      <c r="M202" s="39">
        <f t="shared" si="3"/>
        <v>22986.72</v>
      </c>
      <c r="N202" s="38" t="str">
        <f>VLOOKUP(F202,products!$A$2:$B$13,2,FALSE)</f>
        <v>Clothes</v>
      </c>
      <c r="O202" s="133">
        <f t="shared" si="4"/>
        <v>0.3279648609</v>
      </c>
      <c r="P202" s="38" t="str">
        <f>VLOOKUP(E202,countries!A$2:E$250,3,false)</f>
        <v>Armenia</v>
      </c>
      <c r="Q202" s="38" t="str">
        <f>VLOOKUP($E202,countries!$A$2:$E$250,4,false)</f>
        <v>Asia</v>
      </c>
      <c r="R202" s="38" t="str">
        <f>VLOOKUP($E202,countries!$A$2:$E$250,5,false)</f>
        <v>Western Asia</v>
      </c>
      <c r="S202" s="38">
        <f t="shared" si="5"/>
        <v>50</v>
      </c>
      <c r="T202" s="38" t="s">
        <v>150</v>
      </c>
      <c r="U202" s="38">
        <v>2010.0</v>
      </c>
      <c r="V202" s="38">
        <v>1.0</v>
      </c>
      <c r="W202" s="38" t="s">
        <v>101</v>
      </c>
      <c r="X202" s="38" t="s">
        <v>164</v>
      </c>
      <c r="Y202" s="38" t="s">
        <v>165</v>
      </c>
      <c r="Z202" s="38" t="s">
        <v>166</v>
      </c>
      <c r="AA202" s="113" t="str">
        <f t="array" ref="AA202">PROPER(G202)</f>
        <v>Online</v>
      </c>
    </row>
    <row r="203">
      <c r="A203" s="110">
        <v>2.3186115E8</v>
      </c>
      <c r="B203" s="131">
        <v>41929.0</v>
      </c>
      <c r="C203" s="131">
        <v>41944.0</v>
      </c>
      <c r="D203" s="110" t="s">
        <v>93</v>
      </c>
      <c r="E203" s="110" t="s">
        <v>116</v>
      </c>
      <c r="F203" s="110">
        <v>8293.0</v>
      </c>
      <c r="G203" s="38" t="s">
        <v>43</v>
      </c>
      <c r="H203" s="110">
        <v>1722.0</v>
      </c>
      <c r="I203" s="132">
        <v>437.2</v>
      </c>
      <c r="J203" s="132">
        <v>263.33</v>
      </c>
      <c r="K203" s="39">
        <f t="shared" si="1"/>
        <v>752858.4</v>
      </c>
      <c r="L203" s="39">
        <f t="shared" si="2"/>
        <v>453454.26</v>
      </c>
      <c r="M203" s="39">
        <f t="shared" si="3"/>
        <v>299404.14</v>
      </c>
      <c r="N203" s="38" t="str">
        <f>VLOOKUP(F203,products!$A$2:$B$13,2,FALSE)</f>
        <v>Cosmetics</v>
      </c>
      <c r="O203" s="133">
        <f t="shared" si="4"/>
        <v>0.6023101555</v>
      </c>
      <c r="P203" s="38" t="str">
        <f>VLOOKUP(E203,countries!A$2:E$250,3,false)</f>
        <v>Belarus</v>
      </c>
      <c r="Q203" s="38" t="str">
        <f>VLOOKUP($E203,countries!$A$2:$E$250,4,false)</f>
        <v>Europe</v>
      </c>
      <c r="R203" s="38" t="str">
        <f>VLOOKUP($E203,countries!$A$2:$E$250,5,false)</f>
        <v>Eastern Europe</v>
      </c>
      <c r="S203" s="38">
        <f t="shared" si="5"/>
        <v>15</v>
      </c>
      <c r="T203" s="38" t="s">
        <v>178</v>
      </c>
      <c r="U203" s="38">
        <v>2014.0</v>
      </c>
      <c r="V203" s="38">
        <v>10.0</v>
      </c>
      <c r="W203" s="38" t="s">
        <v>116</v>
      </c>
      <c r="X203" s="38" t="s">
        <v>187</v>
      </c>
      <c r="Y203" s="38" t="s">
        <v>146</v>
      </c>
      <c r="Z203" s="38" t="s">
        <v>155</v>
      </c>
      <c r="AA203" s="113" t="str">
        <f t="array" ref="AA203">PROPER(G203)</f>
        <v>Online</v>
      </c>
    </row>
    <row r="204">
      <c r="A204" s="110">
        <v>2.32196319E8</v>
      </c>
      <c r="B204" s="131">
        <v>42923.0</v>
      </c>
      <c r="C204" s="131">
        <v>42951.0</v>
      </c>
      <c r="D204" s="110" t="s">
        <v>93</v>
      </c>
      <c r="E204" s="110" t="s">
        <v>106</v>
      </c>
      <c r="F204" s="110">
        <v>7940.0</v>
      </c>
      <c r="G204" s="38" t="s">
        <v>42</v>
      </c>
      <c r="H204" s="110">
        <v>905.0</v>
      </c>
      <c r="I204" s="132">
        <v>668.27</v>
      </c>
      <c r="J204" s="132">
        <v>502.54</v>
      </c>
      <c r="K204" s="39">
        <f t="shared" si="1"/>
        <v>604784.35</v>
      </c>
      <c r="L204" s="39">
        <f t="shared" si="2"/>
        <v>454798.7</v>
      </c>
      <c r="M204" s="39">
        <f t="shared" si="3"/>
        <v>149985.65</v>
      </c>
      <c r="N204" s="38" t="str">
        <f>VLOOKUP(F204,products!$A$2:$B$13,2,FALSE)</f>
        <v>Household</v>
      </c>
      <c r="O204" s="133">
        <f t="shared" si="4"/>
        <v>0.7520014365</v>
      </c>
      <c r="P204" s="38" t="str">
        <f>VLOOKUP(E204,countries!A$2:E$250,3,false)</f>
        <v>Poland</v>
      </c>
      <c r="Q204" s="38" t="str">
        <f>VLOOKUP($E204,countries!$A$2:$E$250,4,false)</f>
        <v>Europe</v>
      </c>
      <c r="R204" s="38" t="str">
        <f>VLOOKUP($E204,countries!$A$2:$E$250,5,false)</f>
        <v>Eastern Europe</v>
      </c>
      <c r="S204" s="38">
        <f t="shared" si="5"/>
        <v>28</v>
      </c>
      <c r="T204" s="38" t="s">
        <v>148</v>
      </c>
      <c r="U204" s="38">
        <v>2017.0</v>
      </c>
      <c r="V204" s="38">
        <v>7.0</v>
      </c>
      <c r="W204" s="38" t="s">
        <v>106</v>
      </c>
      <c r="X204" s="38" t="s">
        <v>173</v>
      </c>
      <c r="Y204" s="38" t="s">
        <v>146</v>
      </c>
      <c r="Z204" s="38" t="s">
        <v>155</v>
      </c>
      <c r="AA204" s="113" t="str">
        <f t="array" ref="AA204">PROPER(G204)</f>
        <v>Offline</v>
      </c>
    </row>
    <row r="205">
      <c r="A205" s="110">
        <v>2.33440434E8</v>
      </c>
      <c r="B205" s="131">
        <v>42374.0</v>
      </c>
      <c r="C205" s="131">
        <v>42417.0</v>
      </c>
      <c r="D205" s="110" t="s">
        <v>89</v>
      </c>
      <c r="E205" s="110" t="s">
        <v>109</v>
      </c>
      <c r="F205" s="110">
        <v>8681.0</v>
      </c>
      <c r="G205" s="38" t="s">
        <v>42</v>
      </c>
      <c r="H205" s="110">
        <v>9067.0</v>
      </c>
      <c r="I205" s="132">
        <v>651.21</v>
      </c>
      <c r="J205" s="132">
        <v>524.96</v>
      </c>
      <c r="K205" s="39">
        <f t="shared" si="1"/>
        <v>5904521.07</v>
      </c>
      <c r="L205" s="39">
        <f t="shared" si="2"/>
        <v>4759812.32</v>
      </c>
      <c r="M205" s="39">
        <f t="shared" si="3"/>
        <v>1144708.75</v>
      </c>
      <c r="N205" s="38" t="str">
        <f>VLOOKUP(F205,products!$A$2:$B$13,2,FALSE)</f>
        <v>Office Supplies</v>
      </c>
      <c r="O205" s="133">
        <f t="shared" si="4"/>
        <v>0.806130127</v>
      </c>
      <c r="P205" s="38" t="str">
        <f>VLOOKUP(E205,countries!A$2:E$250,3,false)</f>
        <v>Belgium</v>
      </c>
      <c r="Q205" s="38" t="str">
        <f>VLOOKUP($E205,countries!$A$2:$E$250,4,false)</f>
        <v>Europe</v>
      </c>
      <c r="R205" s="38" t="str">
        <f>VLOOKUP($E205,countries!$A$2:$E$250,5,false)</f>
        <v>Western Europe</v>
      </c>
      <c r="S205" s="38">
        <f t="shared" si="5"/>
        <v>43</v>
      </c>
      <c r="T205" s="38" t="s">
        <v>153</v>
      </c>
      <c r="U205" s="38">
        <v>2016.0</v>
      </c>
      <c r="V205" s="38">
        <v>1.0</v>
      </c>
      <c r="W205" s="38" t="s">
        <v>109</v>
      </c>
      <c r="X205" s="38" t="s">
        <v>176</v>
      </c>
      <c r="Y205" s="38" t="s">
        <v>146</v>
      </c>
      <c r="Z205" s="38" t="s">
        <v>158</v>
      </c>
      <c r="AA205" s="113" t="str">
        <f t="array" ref="AA205">PROPER(G205)</f>
        <v>Offline</v>
      </c>
    </row>
    <row r="206">
      <c r="A206" s="110">
        <v>2.33709084E8</v>
      </c>
      <c r="B206" s="131">
        <v>41910.0</v>
      </c>
      <c r="C206" s="131">
        <v>41928.0</v>
      </c>
      <c r="D206" s="110" t="s">
        <v>89</v>
      </c>
      <c r="E206" s="110" t="s">
        <v>124</v>
      </c>
      <c r="F206" s="110">
        <v>2455.0</v>
      </c>
      <c r="G206" s="38" t="s">
        <v>42</v>
      </c>
      <c r="H206" s="110">
        <v>8566.0</v>
      </c>
      <c r="I206" s="132">
        <v>109.28</v>
      </c>
      <c r="J206" s="132">
        <v>35.84</v>
      </c>
      <c r="K206" s="39">
        <f t="shared" si="1"/>
        <v>936092.48</v>
      </c>
      <c r="L206" s="39">
        <f t="shared" si="2"/>
        <v>307005.44</v>
      </c>
      <c r="M206" s="39">
        <f t="shared" si="3"/>
        <v>629087.04</v>
      </c>
      <c r="N206" s="38" t="str">
        <f>VLOOKUP(F206,products!$A$2:$B$13,2,FALSE)</f>
        <v>Clothes</v>
      </c>
      <c r="O206" s="133">
        <f t="shared" si="4"/>
        <v>0.3279648609</v>
      </c>
      <c r="P206" s="38" t="str">
        <f>VLOOKUP(E206,countries!A$2:E$250,3,false)</f>
        <v>Latvia</v>
      </c>
      <c r="Q206" s="38" t="str">
        <f>VLOOKUP($E206,countries!$A$2:$E$250,4,false)</f>
        <v>Europe</v>
      </c>
      <c r="R206" s="38" t="str">
        <f>VLOOKUP($E206,countries!$A$2:$E$250,5,false)</f>
        <v>Northern Europe</v>
      </c>
      <c r="S206" s="38">
        <f t="shared" si="5"/>
        <v>18</v>
      </c>
      <c r="T206" s="38" t="s">
        <v>150</v>
      </c>
      <c r="U206" s="38">
        <v>2014.0</v>
      </c>
      <c r="V206" s="38">
        <v>9.0</v>
      </c>
      <c r="W206" s="38" t="s">
        <v>124</v>
      </c>
      <c r="X206" s="38" t="s">
        <v>195</v>
      </c>
      <c r="Y206" s="38" t="s">
        <v>146</v>
      </c>
      <c r="Z206" s="38" t="s">
        <v>170</v>
      </c>
      <c r="AA206" s="113" t="str">
        <f t="array" ref="AA206">PROPER(G206)</f>
        <v>Offline</v>
      </c>
    </row>
    <row r="207">
      <c r="A207" s="110">
        <v>2.33811223E8</v>
      </c>
      <c r="B207" s="131">
        <v>42936.0</v>
      </c>
      <c r="C207" s="131">
        <v>42936.0</v>
      </c>
      <c r="D207" s="110" t="s">
        <v>10</v>
      </c>
      <c r="E207" s="110" t="s">
        <v>122</v>
      </c>
      <c r="F207" s="110">
        <v>8293.0</v>
      </c>
      <c r="G207" s="38" t="s">
        <v>43</v>
      </c>
      <c r="H207" s="110">
        <v>8792.0</v>
      </c>
      <c r="I207" s="132">
        <v>437.2</v>
      </c>
      <c r="J207" s="132">
        <v>263.33</v>
      </c>
      <c r="K207" s="39">
        <f t="shared" si="1"/>
        <v>3843862.4</v>
      </c>
      <c r="L207" s="39">
        <f t="shared" si="2"/>
        <v>2315197.36</v>
      </c>
      <c r="M207" s="39">
        <f t="shared" si="3"/>
        <v>1528665.04</v>
      </c>
      <c r="N207" s="38" t="str">
        <f>VLOOKUP(F207,products!$A$2:$B$13,2,FALSE)</f>
        <v>Cosmetics</v>
      </c>
      <c r="O207" s="133">
        <f t="shared" si="4"/>
        <v>0.6023101555</v>
      </c>
      <c r="P207" s="38" t="str">
        <f>VLOOKUP(E207,countries!A$2:E$250,3,false)</f>
        <v>Switzerland</v>
      </c>
      <c r="Q207" s="38" t="str">
        <f>VLOOKUP($E207,countries!$A$2:$E$250,4,false)</f>
        <v>Europe</v>
      </c>
      <c r="R207" s="38" t="str">
        <f>VLOOKUP($E207,countries!$A$2:$E$250,5,false)</f>
        <v>Western Europe</v>
      </c>
      <c r="S207" s="38">
        <f t="shared" si="5"/>
        <v>0</v>
      </c>
      <c r="T207" s="38" t="s">
        <v>178</v>
      </c>
      <c r="U207" s="38">
        <v>2017.0</v>
      </c>
      <c r="V207" s="38">
        <v>7.0</v>
      </c>
      <c r="W207" s="38" t="s">
        <v>122</v>
      </c>
      <c r="X207" s="38" t="s">
        <v>193</v>
      </c>
      <c r="Y207" s="38" t="s">
        <v>146</v>
      </c>
      <c r="Z207" s="38" t="s">
        <v>158</v>
      </c>
      <c r="AA207" s="113" t="str">
        <f t="array" ref="AA207">PROPER(G207)</f>
        <v>Online</v>
      </c>
    </row>
    <row r="208">
      <c r="A208" s="110">
        <v>2.34082448E8</v>
      </c>
      <c r="B208" s="131">
        <v>41707.0</v>
      </c>
      <c r="C208" s="131">
        <v>41707.0</v>
      </c>
      <c r="D208" s="110" t="s">
        <v>10</v>
      </c>
      <c r="E208" s="110" t="s">
        <v>94</v>
      </c>
      <c r="F208" s="110">
        <v>2455.0</v>
      </c>
      <c r="G208" s="38" t="s">
        <v>43</v>
      </c>
      <c r="H208" s="110">
        <v>9053.0</v>
      </c>
      <c r="I208" s="132">
        <v>109.28</v>
      </c>
      <c r="J208" s="132">
        <v>35.84</v>
      </c>
      <c r="K208" s="39">
        <f t="shared" si="1"/>
        <v>989311.84</v>
      </c>
      <c r="L208" s="39">
        <f t="shared" si="2"/>
        <v>324459.52</v>
      </c>
      <c r="M208" s="39">
        <f t="shared" si="3"/>
        <v>664852.32</v>
      </c>
      <c r="N208" s="38" t="str">
        <f>VLOOKUP(F208,products!$A$2:$B$13,2,FALSE)</f>
        <v>Clothes</v>
      </c>
      <c r="O208" s="133">
        <f t="shared" si="4"/>
        <v>0.3279648609</v>
      </c>
      <c r="P208" s="38" t="str">
        <f>VLOOKUP(E208,countries!A$2:E$250,3,false)</f>
        <v>Montenegro</v>
      </c>
      <c r="Q208" s="38" t="str">
        <f>VLOOKUP($E208,countries!$A$2:$E$250,4,false)</f>
        <v>Europe</v>
      </c>
      <c r="R208" s="38" t="str">
        <f>VLOOKUP($E208,countries!$A$2:$E$250,5,false)</f>
        <v>Southern Europe</v>
      </c>
      <c r="S208" s="38">
        <f t="shared" si="5"/>
        <v>0</v>
      </c>
      <c r="T208" s="38" t="s">
        <v>150</v>
      </c>
      <c r="U208" s="38">
        <v>2014.0</v>
      </c>
      <c r="V208" s="38">
        <v>3.0</v>
      </c>
      <c r="W208" s="38" t="s">
        <v>94</v>
      </c>
      <c r="X208" s="38" t="s">
        <v>151</v>
      </c>
      <c r="Y208" s="38" t="s">
        <v>146</v>
      </c>
      <c r="Z208" s="38" t="s">
        <v>147</v>
      </c>
      <c r="AA208" s="113" t="str">
        <f t="array" ref="AA208">PROPER(G208)</f>
        <v>Online</v>
      </c>
    </row>
    <row r="209">
      <c r="A209" s="110">
        <v>2.36042392E8</v>
      </c>
      <c r="B209" s="131">
        <v>41627.0</v>
      </c>
      <c r="C209" s="131">
        <v>41665.0</v>
      </c>
      <c r="D209" s="110" t="s">
        <v>95</v>
      </c>
      <c r="E209" s="110" t="s">
        <v>100</v>
      </c>
      <c r="F209" s="110">
        <v>8681.0</v>
      </c>
      <c r="G209" s="38" t="s">
        <v>42</v>
      </c>
      <c r="H209" s="110">
        <v>9044.0</v>
      </c>
      <c r="I209" s="132">
        <v>651.21</v>
      </c>
      <c r="J209" s="132">
        <v>524.96</v>
      </c>
      <c r="K209" s="39">
        <f t="shared" si="1"/>
        <v>5889543.24</v>
      </c>
      <c r="L209" s="39">
        <f t="shared" si="2"/>
        <v>4747738.24</v>
      </c>
      <c r="M209" s="39">
        <f t="shared" si="3"/>
        <v>1141805</v>
      </c>
      <c r="N209" s="38" t="str">
        <f>VLOOKUP(F209,products!$A$2:$B$13,2,FALSE)</f>
        <v>Office Supplies</v>
      </c>
      <c r="O209" s="133">
        <f t="shared" si="4"/>
        <v>0.806130127</v>
      </c>
      <c r="P209" s="38" t="str">
        <f>VLOOKUP(E209,countries!A$2:E$250,3,false)</f>
        <v>Germany</v>
      </c>
      <c r="Q209" s="38" t="str">
        <f>VLOOKUP($E209,countries!$A$2:$E$250,4,false)</f>
        <v>Europe</v>
      </c>
      <c r="R209" s="38" t="str">
        <f>VLOOKUP($E209,countries!$A$2:$E$250,5,false)</f>
        <v>Western Europe</v>
      </c>
      <c r="S209" s="38">
        <f t="shared" si="5"/>
        <v>38</v>
      </c>
      <c r="T209" s="38" t="s">
        <v>153</v>
      </c>
      <c r="U209" s="38">
        <v>2013.0</v>
      </c>
      <c r="V209" s="38">
        <v>12.0</v>
      </c>
      <c r="W209" s="38" t="s">
        <v>100</v>
      </c>
      <c r="X209" s="38" t="s">
        <v>163</v>
      </c>
      <c r="Y209" s="38" t="s">
        <v>146</v>
      </c>
      <c r="Z209" s="38" t="s">
        <v>158</v>
      </c>
      <c r="AA209" s="113" t="str">
        <f t="array" ref="AA209">PROPER(G209)</f>
        <v>Offline</v>
      </c>
    </row>
    <row r="210">
      <c r="A210" s="110">
        <v>2.38170993E8</v>
      </c>
      <c r="B210" s="131">
        <v>41265.0</v>
      </c>
      <c r="C210" s="131">
        <v>41312.0</v>
      </c>
      <c r="D210" s="110" t="s">
        <v>93</v>
      </c>
      <c r="E210" s="110" t="s">
        <v>90</v>
      </c>
      <c r="F210" s="110">
        <v>1270.0</v>
      </c>
      <c r="G210" s="38" t="s">
        <v>42</v>
      </c>
      <c r="H210" s="110">
        <v>8944.0</v>
      </c>
      <c r="I210" s="132">
        <v>47.45</v>
      </c>
      <c r="J210" s="132">
        <v>31.79</v>
      </c>
      <c r="K210" s="39">
        <f t="shared" si="1"/>
        <v>424392.8</v>
      </c>
      <c r="L210" s="39">
        <f t="shared" si="2"/>
        <v>284329.76</v>
      </c>
      <c r="M210" s="39">
        <f t="shared" si="3"/>
        <v>140063.04</v>
      </c>
      <c r="N210" s="38" t="str">
        <f>VLOOKUP(F210,products!$A$2:$B$13,2,FALSE)</f>
        <v>Beverages</v>
      </c>
      <c r="O210" s="133">
        <f t="shared" si="4"/>
        <v>0.6699683878</v>
      </c>
      <c r="P210" s="38" t="str">
        <f>VLOOKUP(E210,countries!A$2:E$250,3,false)</f>
        <v>Norway</v>
      </c>
      <c r="Q210" s="38" t="str">
        <f>VLOOKUP($E210,countries!$A$2:$E$250,4,false)</f>
        <v>Europe</v>
      </c>
      <c r="R210" s="38" t="str">
        <f>VLOOKUP($E210,countries!$A$2:$E$250,5,false)</f>
        <v>Northern Europe</v>
      </c>
      <c r="S210" s="38">
        <f t="shared" si="5"/>
        <v>47</v>
      </c>
      <c r="T210" s="38" t="s">
        <v>152</v>
      </c>
      <c r="U210" s="38">
        <v>2012.0</v>
      </c>
      <c r="V210" s="38">
        <v>12.0</v>
      </c>
      <c r="W210" s="38" t="s">
        <v>90</v>
      </c>
      <c r="X210" s="38" t="s">
        <v>183</v>
      </c>
      <c r="Y210" s="38" t="s">
        <v>146</v>
      </c>
      <c r="Z210" s="38" t="s">
        <v>170</v>
      </c>
      <c r="AA210" s="113" t="str">
        <f t="array" ref="AA210">PROPER(G210)</f>
        <v>Offline</v>
      </c>
    </row>
    <row r="211">
      <c r="A211" s="110">
        <v>2.39048612E8</v>
      </c>
      <c r="B211" s="131">
        <v>42568.0</v>
      </c>
      <c r="C211" s="131">
        <v>42577.0</v>
      </c>
      <c r="D211" s="110" t="s">
        <v>93</v>
      </c>
      <c r="E211" s="110" t="s">
        <v>120</v>
      </c>
      <c r="F211" s="110">
        <v>3127.0</v>
      </c>
      <c r="G211" s="38" t="s">
        <v>43</v>
      </c>
      <c r="H211" s="110">
        <v>8651.0</v>
      </c>
      <c r="I211" s="132">
        <v>81.73</v>
      </c>
      <c r="J211" s="132">
        <v>56.67</v>
      </c>
      <c r="K211" s="39">
        <f t="shared" si="1"/>
        <v>707046.23</v>
      </c>
      <c r="L211" s="39">
        <f t="shared" si="2"/>
        <v>490252.17</v>
      </c>
      <c r="M211" s="39">
        <f t="shared" si="3"/>
        <v>216794.06</v>
      </c>
      <c r="N211" s="38" t="str">
        <f>VLOOKUP(F211,products!$A$2:$B$13,2,FALSE)</f>
        <v>Personal Care</v>
      </c>
      <c r="O211" s="133">
        <f t="shared" si="4"/>
        <v>0.6933806436</v>
      </c>
      <c r="P211" s="38" t="str">
        <f>VLOOKUP(E211,countries!A$2:E$250,3,false)</f>
        <v>San Marino</v>
      </c>
      <c r="Q211" s="38" t="str">
        <f>VLOOKUP($E211,countries!$A$2:$E$250,4,false)</f>
        <v>Europe</v>
      </c>
      <c r="R211" s="38" t="str">
        <f>VLOOKUP($E211,countries!$A$2:$E$250,5,false)</f>
        <v>Southern Europe</v>
      </c>
      <c r="S211" s="38">
        <f t="shared" si="5"/>
        <v>9</v>
      </c>
      <c r="T211" s="38" t="s">
        <v>185</v>
      </c>
      <c r="U211" s="38">
        <v>2016.0</v>
      </c>
      <c r="V211" s="38">
        <v>7.0</v>
      </c>
      <c r="W211" s="38" t="s">
        <v>120</v>
      </c>
      <c r="X211" s="38" t="s">
        <v>191</v>
      </c>
      <c r="Y211" s="38" t="s">
        <v>146</v>
      </c>
      <c r="Z211" s="38" t="s">
        <v>147</v>
      </c>
      <c r="AA211" s="113" t="str">
        <f t="array" ref="AA211">PROPER(G211)</f>
        <v>Online</v>
      </c>
    </row>
    <row r="212">
      <c r="A212" s="110">
        <v>2.39386355E8</v>
      </c>
      <c r="B212" s="131">
        <v>42798.0</v>
      </c>
      <c r="C212" s="131">
        <v>42845.0</v>
      </c>
      <c r="D212" s="110" t="s">
        <v>93</v>
      </c>
      <c r="E212" s="110" t="s">
        <v>120</v>
      </c>
      <c r="F212" s="110">
        <v>8681.0</v>
      </c>
      <c r="G212" s="38" t="s">
        <v>42</v>
      </c>
      <c r="H212" s="110">
        <v>8597.0</v>
      </c>
      <c r="I212" s="132">
        <v>651.21</v>
      </c>
      <c r="J212" s="132">
        <v>524.96</v>
      </c>
      <c r="K212" s="39">
        <f t="shared" si="1"/>
        <v>5598452.37</v>
      </c>
      <c r="L212" s="39">
        <f t="shared" si="2"/>
        <v>4513081.12</v>
      </c>
      <c r="M212" s="39">
        <f t="shared" si="3"/>
        <v>1085371.25</v>
      </c>
      <c r="N212" s="38" t="str">
        <f>VLOOKUP(F212,products!$A$2:$B$13,2,FALSE)</f>
        <v>Office Supplies</v>
      </c>
      <c r="O212" s="133">
        <f t="shared" si="4"/>
        <v>0.806130127</v>
      </c>
      <c r="P212" s="38" t="str">
        <f>VLOOKUP(E212,countries!A$2:E$250,3,false)</f>
        <v>San Marino</v>
      </c>
      <c r="Q212" s="38" t="str">
        <f>VLOOKUP($E212,countries!$A$2:$E$250,4,false)</f>
        <v>Europe</v>
      </c>
      <c r="R212" s="38" t="str">
        <f>VLOOKUP($E212,countries!$A$2:$E$250,5,false)</f>
        <v>Southern Europe</v>
      </c>
      <c r="S212" s="38">
        <f t="shared" si="5"/>
        <v>47</v>
      </c>
      <c r="T212" s="38" t="s">
        <v>153</v>
      </c>
      <c r="U212" s="38">
        <v>2017.0</v>
      </c>
      <c r="V212" s="38">
        <v>3.0</v>
      </c>
      <c r="W212" s="38" t="s">
        <v>120</v>
      </c>
      <c r="X212" s="38" t="s">
        <v>191</v>
      </c>
      <c r="Y212" s="38" t="s">
        <v>146</v>
      </c>
      <c r="Z212" s="38" t="s">
        <v>147</v>
      </c>
      <c r="AA212" s="113" t="str">
        <f t="array" ref="AA212">PROPER(G212)</f>
        <v>Offline</v>
      </c>
    </row>
    <row r="213">
      <c r="A213" s="110">
        <v>2.39554154E8</v>
      </c>
      <c r="B213" s="131">
        <v>40926.0</v>
      </c>
      <c r="C213" s="131">
        <v>40952.0</v>
      </c>
      <c r="D213" s="110" t="s">
        <v>93</v>
      </c>
      <c r="E213" s="110" t="s">
        <v>137</v>
      </c>
      <c r="F213" s="110">
        <v>8681.0</v>
      </c>
      <c r="G213" s="38" t="s">
        <v>42</v>
      </c>
      <c r="H213" s="110">
        <v>8253.0</v>
      </c>
      <c r="I213" s="132">
        <v>651.21</v>
      </c>
      <c r="J213" s="132">
        <v>524.96</v>
      </c>
      <c r="K213" s="39">
        <f t="shared" si="1"/>
        <v>5374436.13</v>
      </c>
      <c r="L213" s="39">
        <f t="shared" si="2"/>
        <v>4332494.88</v>
      </c>
      <c r="M213" s="39">
        <f t="shared" si="3"/>
        <v>1041941.25</v>
      </c>
      <c r="N213" s="38" t="str">
        <f>VLOOKUP(F213,products!$A$2:$B$13,2,FALSE)</f>
        <v>Office Supplies</v>
      </c>
      <c r="O213" s="133">
        <f t="shared" si="4"/>
        <v>0.806130127</v>
      </c>
      <c r="P213" s="38" t="str">
        <f>VLOOKUP(E213,countries!A$2:E$250,3,false)</f>
        <v>Iceland</v>
      </c>
      <c r="Q213" s="38" t="str">
        <f>VLOOKUP($E213,countries!$A$2:$E$250,4,false)</f>
        <v>Europe</v>
      </c>
      <c r="R213" s="38" t="str">
        <f>VLOOKUP($E213,countries!$A$2:$E$250,5,false)</f>
        <v>Northern Europe</v>
      </c>
      <c r="S213" s="38">
        <f t="shared" si="5"/>
        <v>26</v>
      </c>
      <c r="T213" s="38" t="s">
        <v>153</v>
      </c>
      <c r="U213" s="38">
        <v>2012.0</v>
      </c>
      <c r="V213" s="38">
        <v>1.0</v>
      </c>
      <c r="W213" s="38" t="s">
        <v>137</v>
      </c>
      <c r="X213" s="38" t="s">
        <v>207</v>
      </c>
      <c r="Y213" s="38" t="s">
        <v>146</v>
      </c>
      <c r="Z213" s="38" t="s">
        <v>170</v>
      </c>
      <c r="AA213" s="113" t="str">
        <f t="array" ref="AA213">PROPER(G213)</f>
        <v>Offline</v>
      </c>
    </row>
    <row r="214">
      <c r="A214" s="110">
        <v>2.41392648E8</v>
      </c>
      <c r="B214" s="131">
        <v>42788.0</v>
      </c>
      <c r="C214" s="131">
        <v>42810.0</v>
      </c>
      <c r="D214" s="110" t="s">
        <v>95</v>
      </c>
      <c r="E214" s="110" t="s">
        <v>119</v>
      </c>
      <c r="F214" s="110">
        <v>7940.0</v>
      </c>
      <c r="G214" s="38" t="s">
        <v>43</v>
      </c>
      <c r="H214" s="110">
        <v>2304.0</v>
      </c>
      <c r="I214" s="132">
        <v>668.27</v>
      </c>
      <c r="J214" s="132">
        <v>502.54</v>
      </c>
      <c r="K214" s="39">
        <f t="shared" si="1"/>
        <v>1539694.08</v>
      </c>
      <c r="L214" s="39">
        <f t="shared" si="2"/>
        <v>1157852.16</v>
      </c>
      <c r="M214" s="39">
        <f t="shared" si="3"/>
        <v>381841.92</v>
      </c>
      <c r="N214" s="38" t="str">
        <f>VLOOKUP(F214,products!$A$2:$B$13,2,FALSE)</f>
        <v>Household</v>
      </c>
      <c r="O214" s="133">
        <f t="shared" si="4"/>
        <v>0.7520014365</v>
      </c>
      <c r="P214" s="38" t="str">
        <f>VLOOKUP(E214,countries!A$2:E$250,3,false)</f>
        <v>Macedonia</v>
      </c>
      <c r="Q214" s="38" t="str">
        <f>VLOOKUP($E214,countries!$A$2:$E$250,4,false)</f>
        <v>Europe</v>
      </c>
      <c r="R214" s="38" t="str">
        <f>VLOOKUP($E214,countries!$A$2:$E$250,5,false)</f>
        <v>Southern Europe</v>
      </c>
      <c r="S214" s="38">
        <f t="shared" si="5"/>
        <v>22</v>
      </c>
      <c r="T214" s="38" t="s">
        <v>148</v>
      </c>
      <c r="U214" s="38">
        <v>2017.0</v>
      </c>
      <c r="V214" s="38">
        <v>2.0</v>
      </c>
      <c r="W214" s="38" t="s">
        <v>119</v>
      </c>
      <c r="X214" s="38" t="s">
        <v>190</v>
      </c>
      <c r="Y214" s="38" t="s">
        <v>146</v>
      </c>
      <c r="Z214" s="38" t="s">
        <v>147</v>
      </c>
      <c r="AA214" s="113" t="str">
        <f t="array" ref="AA214">PROPER(G214)</f>
        <v>Online</v>
      </c>
    </row>
    <row r="215">
      <c r="A215" s="110">
        <v>2.42168128E8</v>
      </c>
      <c r="B215" s="131">
        <v>40300.0</v>
      </c>
      <c r="C215" s="131">
        <v>40301.0</v>
      </c>
      <c r="D215" s="110" t="s">
        <v>89</v>
      </c>
      <c r="E215" s="110" t="s">
        <v>114</v>
      </c>
      <c r="F215" s="110">
        <v>1270.0</v>
      </c>
      <c r="G215" s="38" t="s">
        <v>43</v>
      </c>
      <c r="H215" s="110">
        <v>1785.0</v>
      </c>
      <c r="I215" s="132">
        <v>47.45</v>
      </c>
      <c r="J215" s="132">
        <v>31.79</v>
      </c>
      <c r="K215" s="39">
        <f t="shared" si="1"/>
        <v>84698.25</v>
      </c>
      <c r="L215" s="39">
        <f t="shared" si="2"/>
        <v>56745.15</v>
      </c>
      <c r="M215" s="39">
        <f t="shared" si="3"/>
        <v>27953.1</v>
      </c>
      <c r="N215" s="38" t="str">
        <f>VLOOKUP(F215,products!$A$2:$B$13,2,FALSE)</f>
        <v>Beverages</v>
      </c>
      <c r="O215" s="133">
        <f t="shared" si="4"/>
        <v>0.6699683878</v>
      </c>
      <c r="P215" s="38" t="str">
        <f>VLOOKUP(E215,countries!A$2:E$250,3,false)</f>
        <v>Czech Republic</v>
      </c>
      <c r="Q215" s="38" t="str">
        <f>VLOOKUP($E215,countries!$A$2:$E$250,4,false)</f>
        <v>Europe</v>
      </c>
      <c r="R215" s="38" t="str">
        <f>VLOOKUP($E215,countries!$A$2:$E$250,5,false)</f>
        <v>Eastern Europe</v>
      </c>
      <c r="S215" s="38">
        <f t="shared" si="5"/>
        <v>1</v>
      </c>
      <c r="T215" s="38" t="s">
        <v>152</v>
      </c>
      <c r="U215" s="38">
        <v>2010.0</v>
      </c>
      <c r="V215" s="38">
        <v>5.0</v>
      </c>
      <c r="W215" s="38" t="s">
        <v>114</v>
      </c>
      <c r="X215" s="38" t="s">
        <v>184</v>
      </c>
      <c r="Y215" s="38" t="s">
        <v>146</v>
      </c>
      <c r="Z215" s="38" t="s">
        <v>155</v>
      </c>
      <c r="AA215" s="113" t="str">
        <f t="array" ref="AA215">PROPER(G215)</f>
        <v>Online</v>
      </c>
    </row>
    <row r="216">
      <c r="A216" s="110">
        <v>2.42265546E8</v>
      </c>
      <c r="B216" s="131">
        <v>40883.0</v>
      </c>
      <c r="C216" s="131">
        <v>40915.0</v>
      </c>
      <c r="D216" s="110" t="s">
        <v>93</v>
      </c>
      <c r="E216" s="110" t="s">
        <v>107</v>
      </c>
      <c r="F216" s="110">
        <v>4594.0</v>
      </c>
      <c r="G216" s="38" t="s">
        <v>42</v>
      </c>
      <c r="H216" s="110">
        <v>614.0</v>
      </c>
      <c r="I216" s="132">
        <v>9.33</v>
      </c>
      <c r="J216" s="132">
        <v>6.92</v>
      </c>
      <c r="K216" s="39">
        <f t="shared" si="1"/>
        <v>5728.62</v>
      </c>
      <c r="L216" s="39">
        <f t="shared" si="2"/>
        <v>4248.88</v>
      </c>
      <c r="M216" s="39">
        <f t="shared" si="3"/>
        <v>1479.74</v>
      </c>
      <c r="N216" s="38" t="str">
        <f>VLOOKUP(F216,products!$A$2:$B$13,2,FALSE)</f>
        <v>Fruits</v>
      </c>
      <c r="O216" s="133">
        <f t="shared" si="4"/>
        <v>0.741693462</v>
      </c>
      <c r="P216" s="38" t="str">
        <f>VLOOKUP(E216,countries!A$2:E$250,3,false)</f>
        <v>Luxembourg</v>
      </c>
      <c r="Q216" s="38" t="str">
        <f>VLOOKUP($E216,countries!$A$2:$E$250,4,false)</f>
        <v>Europe</v>
      </c>
      <c r="R216" s="38" t="str">
        <f>VLOOKUP($E216,countries!$A$2:$E$250,5,false)</f>
        <v>Western Europe</v>
      </c>
      <c r="S216" s="38">
        <f t="shared" si="5"/>
        <v>32</v>
      </c>
      <c r="T216" s="38" t="s">
        <v>156</v>
      </c>
      <c r="U216" s="38">
        <v>2011.0</v>
      </c>
      <c r="V216" s="38">
        <v>12.0</v>
      </c>
      <c r="W216" s="38" t="s">
        <v>107</v>
      </c>
      <c r="X216" s="38" t="s">
        <v>174</v>
      </c>
      <c r="Y216" s="38" t="s">
        <v>146</v>
      </c>
      <c r="Z216" s="38" t="s">
        <v>158</v>
      </c>
      <c r="AA216" s="113" t="str">
        <f t="array" ref="AA216">PROPER(G216)</f>
        <v>Offline</v>
      </c>
    </row>
    <row r="217">
      <c r="A217" s="110">
        <v>2.43070638E8</v>
      </c>
      <c r="B217" s="131">
        <v>40668.0</v>
      </c>
      <c r="C217" s="131">
        <v>40685.0</v>
      </c>
      <c r="D217" s="110" t="s">
        <v>89</v>
      </c>
      <c r="E217" s="110" t="s">
        <v>112</v>
      </c>
      <c r="F217" s="110">
        <v>8681.0</v>
      </c>
      <c r="G217" s="38" t="s">
        <v>42</v>
      </c>
      <c r="H217" s="110">
        <v>8858.0</v>
      </c>
      <c r="I217" s="132">
        <v>651.21</v>
      </c>
      <c r="J217" s="132">
        <v>524.96</v>
      </c>
      <c r="K217" s="39">
        <f t="shared" si="1"/>
        <v>5768418.18</v>
      </c>
      <c r="L217" s="39">
        <f t="shared" si="2"/>
        <v>4650095.68</v>
      </c>
      <c r="M217" s="39">
        <f t="shared" si="3"/>
        <v>1118322.5</v>
      </c>
      <c r="N217" s="38" t="str">
        <f>VLOOKUP(F217,products!$A$2:$B$13,2,FALSE)</f>
        <v>Office Supplies</v>
      </c>
      <c r="O217" s="133">
        <f t="shared" si="4"/>
        <v>0.806130127</v>
      </c>
      <c r="P217" s="38" t="str">
        <f>VLOOKUP(E217,countries!A$2:E$250,3,false)</f>
        <v>Malta</v>
      </c>
      <c r="Q217" s="38" t="str">
        <f>VLOOKUP($E217,countries!$A$2:$E$250,4,false)</f>
        <v>Europe</v>
      </c>
      <c r="R217" s="38" t="str">
        <f>VLOOKUP($E217,countries!$A$2:$E$250,5,false)</f>
        <v>Southern Europe</v>
      </c>
      <c r="S217" s="38">
        <f t="shared" si="5"/>
        <v>17</v>
      </c>
      <c r="T217" s="38" t="s">
        <v>153</v>
      </c>
      <c r="U217" s="38">
        <v>2011.0</v>
      </c>
      <c r="V217" s="38">
        <v>5.0</v>
      </c>
      <c r="W217" s="38" t="s">
        <v>112</v>
      </c>
      <c r="X217" s="38" t="s">
        <v>180</v>
      </c>
      <c r="Y217" s="38" t="s">
        <v>146</v>
      </c>
      <c r="Z217" s="38" t="s">
        <v>147</v>
      </c>
      <c r="AA217" s="113" t="str">
        <f t="array" ref="AA217">PROPER(G217)</f>
        <v>Offline</v>
      </c>
    </row>
    <row r="218">
      <c r="A218" s="110">
        <v>2.43144452E8</v>
      </c>
      <c r="B218" s="131">
        <v>41804.0</v>
      </c>
      <c r="C218" s="131">
        <v>41836.0</v>
      </c>
      <c r="D218" s="110" t="s">
        <v>95</v>
      </c>
      <c r="E218" s="110" t="s">
        <v>102</v>
      </c>
      <c r="F218" s="110">
        <v>2103.0</v>
      </c>
      <c r="G218" s="38" t="s">
        <v>43</v>
      </c>
      <c r="H218" s="110">
        <v>701.0</v>
      </c>
      <c r="I218" s="132">
        <v>205.7</v>
      </c>
      <c r="J218" s="132">
        <v>117.11</v>
      </c>
      <c r="K218" s="39">
        <f t="shared" si="1"/>
        <v>144195.7</v>
      </c>
      <c r="L218" s="39">
        <f t="shared" si="2"/>
        <v>82094.11</v>
      </c>
      <c r="M218" s="39">
        <f t="shared" si="3"/>
        <v>62101.59</v>
      </c>
      <c r="N218" s="38" t="str">
        <f>VLOOKUP(F218,products!$A$2:$B$13,2,FALSE)</f>
        <v>Cereal</v>
      </c>
      <c r="O218" s="133">
        <f t="shared" si="4"/>
        <v>0.5693242586</v>
      </c>
      <c r="P218" s="38" t="str">
        <f>VLOOKUP(E218,countries!A$2:E$250,3,false)</f>
        <v>Georgia</v>
      </c>
      <c r="Q218" s="38" t="str">
        <f>VLOOKUP($E218,countries!$A$2:$E$250,4,false)</f>
        <v>Asia</v>
      </c>
      <c r="R218" s="38" t="str">
        <f>VLOOKUP($E218,countries!$A$2:$E$250,5,false)</f>
        <v>Western Asia</v>
      </c>
      <c r="S218" s="38">
        <f t="shared" si="5"/>
        <v>32</v>
      </c>
      <c r="T218" s="38" t="s">
        <v>144</v>
      </c>
      <c r="U218" s="38">
        <v>2014.0</v>
      </c>
      <c r="V218" s="38">
        <v>6.0</v>
      </c>
      <c r="W218" s="38" t="s">
        <v>102</v>
      </c>
      <c r="X218" s="38" t="s">
        <v>168</v>
      </c>
      <c r="Y218" s="38" t="s">
        <v>165</v>
      </c>
      <c r="Z218" s="38" t="s">
        <v>166</v>
      </c>
      <c r="AA218" s="113" t="str">
        <f t="array" ref="AA218">PROPER(G218)</f>
        <v>Online</v>
      </c>
    </row>
    <row r="219">
      <c r="A219" s="110">
        <v>2.4322642E8</v>
      </c>
      <c r="B219" s="131">
        <v>41442.0</v>
      </c>
      <c r="C219" s="131">
        <v>41458.0</v>
      </c>
      <c r="D219" s="110" t="s">
        <v>95</v>
      </c>
      <c r="E219" s="110" t="e">
        <v>#N/A</v>
      </c>
      <c r="F219" s="110">
        <v>1270.0</v>
      </c>
      <c r="G219" s="38" t="s">
        <v>42</v>
      </c>
      <c r="H219" s="110">
        <v>4958.0</v>
      </c>
      <c r="I219" s="132">
        <v>47.45</v>
      </c>
      <c r="J219" s="132">
        <v>31.79</v>
      </c>
      <c r="K219" s="39">
        <f t="shared" si="1"/>
        <v>235257.1</v>
      </c>
      <c r="L219" s="39">
        <f t="shared" si="2"/>
        <v>157614.82</v>
      </c>
      <c r="M219" s="39">
        <f t="shared" si="3"/>
        <v>77642.28</v>
      </c>
      <c r="N219" s="38" t="str">
        <f>VLOOKUP(F219,products!$A$2:$B$13,2,FALSE)</f>
        <v>Beverages</v>
      </c>
      <c r="O219" s="133">
        <f t="shared" si="4"/>
        <v>0.6699683878</v>
      </c>
      <c r="P219" s="38" t="str">
        <f>VLOOKUP(E219,countries!A$2:E$250,3,false)</f>
        <v>#N/A</v>
      </c>
      <c r="Q219" s="38" t="str">
        <f>VLOOKUP($E219,countries!$A$2:$E$250,4,false)</f>
        <v>#N/A</v>
      </c>
      <c r="R219" s="38" t="str">
        <f>VLOOKUP($E219,countries!$A$2:$E$250,5,false)</f>
        <v>#N/A</v>
      </c>
      <c r="S219" s="38">
        <f t="shared" si="5"/>
        <v>16</v>
      </c>
      <c r="T219" s="38" t="s">
        <v>152</v>
      </c>
      <c r="U219" s="38">
        <v>2013.0</v>
      </c>
      <c r="V219" s="38">
        <v>6.0</v>
      </c>
      <c r="W219" s="38" t="s">
        <v>92</v>
      </c>
      <c r="X219" s="38" t="s">
        <v>149</v>
      </c>
      <c r="Y219" s="38" t="s">
        <v>149</v>
      </c>
      <c r="Z219" s="38" t="s">
        <v>149</v>
      </c>
      <c r="AA219" s="113" t="str">
        <f t="array" ref="AA219">PROPER(G219)</f>
        <v>Offline</v>
      </c>
    </row>
    <row r="220">
      <c r="A220" s="110">
        <v>2.43340575E8</v>
      </c>
      <c r="B220" s="131">
        <v>42588.0</v>
      </c>
      <c r="C220" s="131">
        <v>42617.0</v>
      </c>
      <c r="D220" s="110" t="s">
        <v>10</v>
      </c>
      <c r="E220" s="110" t="s">
        <v>94</v>
      </c>
      <c r="F220" s="110">
        <v>1270.0</v>
      </c>
      <c r="G220" s="38" t="s">
        <v>42</v>
      </c>
      <c r="H220" s="110">
        <v>8739.0</v>
      </c>
      <c r="I220" s="132">
        <v>47.45</v>
      </c>
      <c r="J220" s="132">
        <v>31.79</v>
      </c>
      <c r="K220" s="39">
        <f t="shared" si="1"/>
        <v>414665.55</v>
      </c>
      <c r="L220" s="39">
        <f t="shared" si="2"/>
        <v>277812.81</v>
      </c>
      <c r="M220" s="39">
        <f t="shared" si="3"/>
        <v>136852.74</v>
      </c>
      <c r="N220" s="38" t="str">
        <f>VLOOKUP(F220,products!$A$2:$B$13,2,FALSE)</f>
        <v>Beverages</v>
      </c>
      <c r="O220" s="133">
        <f t="shared" si="4"/>
        <v>0.6699683878</v>
      </c>
      <c r="P220" s="38" t="str">
        <f>VLOOKUP(E220,countries!A$2:E$250,3,false)</f>
        <v>Montenegro</v>
      </c>
      <c r="Q220" s="38" t="str">
        <f>VLOOKUP($E220,countries!$A$2:$E$250,4,false)</f>
        <v>Europe</v>
      </c>
      <c r="R220" s="38" t="str">
        <f>VLOOKUP($E220,countries!$A$2:$E$250,5,false)</f>
        <v>Southern Europe</v>
      </c>
      <c r="S220" s="38">
        <f t="shared" si="5"/>
        <v>29</v>
      </c>
      <c r="T220" s="38" t="s">
        <v>152</v>
      </c>
      <c r="U220" s="38">
        <v>2016.0</v>
      </c>
      <c r="V220" s="38">
        <v>8.0</v>
      </c>
      <c r="W220" s="38" t="s">
        <v>94</v>
      </c>
      <c r="X220" s="38" t="s">
        <v>151</v>
      </c>
      <c r="Y220" s="38" t="s">
        <v>146</v>
      </c>
      <c r="Z220" s="38" t="s">
        <v>147</v>
      </c>
      <c r="AA220" s="113" t="str">
        <f t="array" ref="AA220">PROPER(G220)</f>
        <v>Offline</v>
      </c>
    </row>
    <row r="221">
      <c r="A221" s="110">
        <v>2.43391644E8</v>
      </c>
      <c r="B221" s="131">
        <v>40335.0</v>
      </c>
      <c r="C221" s="131">
        <v>40356.0</v>
      </c>
      <c r="D221" s="110" t="s">
        <v>10</v>
      </c>
      <c r="E221" s="110" t="s">
        <v>104</v>
      </c>
      <c r="F221" s="110">
        <v>3127.0</v>
      </c>
      <c r="G221" s="38" t="s">
        <v>43</v>
      </c>
      <c r="H221" s="110">
        <v>3851.0</v>
      </c>
      <c r="I221" s="132">
        <v>81.73</v>
      </c>
      <c r="J221" s="132">
        <v>56.67</v>
      </c>
      <c r="K221" s="39">
        <f t="shared" si="1"/>
        <v>314742.23</v>
      </c>
      <c r="L221" s="39">
        <f t="shared" si="2"/>
        <v>218236.17</v>
      </c>
      <c r="M221" s="39">
        <f t="shared" si="3"/>
        <v>96506.06</v>
      </c>
      <c r="N221" s="38" t="str">
        <f>VLOOKUP(F221,products!$A$2:$B$13,2,FALSE)</f>
        <v>Personal Care</v>
      </c>
      <c r="O221" s="133">
        <f t="shared" si="4"/>
        <v>0.6933806436</v>
      </c>
      <c r="P221" s="38" t="str">
        <f>VLOOKUP(E221,countries!A$2:E$250,3,false)</f>
        <v>Slovenia</v>
      </c>
      <c r="Q221" s="38" t="str">
        <f>VLOOKUP($E221,countries!$A$2:$E$250,4,false)</f>
        <v>Europe</v>
      </c>
      <c r="R221" s="38" t="str">
        <f>VLOOKUP($E221,countries!$A$2:$E$250,5,false)</f>
        <v>Southern Europe</v>
      </c>
      <c r="S221" s="38">
        <f t="shared" si="5"/>
        <v>21</v>
      </c>
      <c r="T221" s="38" t="s">
        <v>185</v>
      </c>
      <c r="U221" s="38">
        <v>2010.0</v>
      </c>
      <c r="V221" s="38">
        <v>6.0</v>
      </c>
      <c r="W221" s="38" t="s">
        <v>104</v>
      </c>
      <c r="X221" s="38" t="s">
        <v>171</v>
      </c>
      <c r="Y221" s="38" t="s">
        <v>146</v>
      </c>
      <c r="Z221" s="38" t="s">
        <v>147</v>
      </c>
      <c r="AA221" s="113" t="str">
        <f t="array" ref="AA221">PROPER(G221)</f>
        <v>Online</v>
      </c>
    </row>
    <row r="222">
      <c r="A222" s="110">
        <v>2.43521249E8</v>
      </c>
      <c r="B222" s="131">
        <v>42426.0</v>
      </c>
      <c r="C222" s="131">
        <v>42457.0</v>
      </c>
      <c r="D222" s="110" t="s">
        <v>93</v>
      </c>
      <c r="E222" s="110" t="s">
        <v>122</v>
      </c>
      <c r="F222" s="110">
        <v>8293.0</v>
      </c>
      <c r="G222" s="38" t="s">
        <v>43</v>
      </c>
      <c r="H222" s="110">
        <v>2204.0</v>
      </c>
      <c r="I222" s="132">
        <v>437.2</v>
      </c>
      <c r="J222" s="132">
        <v>263.33</v>
      </c>
      <c r="K222" s="39">
        <f t="shared" si="1"/>
        <v>963588.8</v>
      </c>
      <c r="L222" s="39">
        <f t="shared" si="2"/>
        <v>580379.32</v>
      </c>
      <c r="M222" s="39">
        <f t="shared" si="3"/>
        <v>383209.48</v>
      </c>
      <c r="N222" s="38" t="str">
        <f>VLOOKUP(F222,products!$A$2:$B$13,2,FALSE)</f>
        <v>Cosmetics</v>
      </c>
      <c r="O222" s="133">
        <f t="shared" si="4"/>
        <v>0.6023101555</v>
      </c>
      <c r="P222" s="38" t="str">
        <f>VLOOKUP(E222,countries!A$2:E$250,3,false)</f>
        <v>Switzerland</v>
      </c>
      <c r="Q222" s="38" t="str">
        <f>VLOOKUP($E222,countries!$A$2:$E$250,4,false)</f>
        <v>Europe</v>
      </c>
      <c r="R222" s="38" t="str">
        <f>VLOOKUP($E222,countries!$A$2:$E$250,5,false)</f>
        <v>Western Europe</v>
      </c>
      <c r="S222" s="38">
        <f t="shared" si="5"/>
        <v>31</v>
      </c>
      <c r="T222" s="38" t="s">
        <v>178</v>
      </c>
      <c r="U222" s="38">
        <v>2016.0</v>
      </c>
      <c r="V222" s="38">
        <v>2.0</v>
      </c>
      <c r="W222" s="38" t="s">
        <v>122</v>
      </c>
      <c r="X222" s="38" t="s">
        <v>193</v>
      </c>
      <c r="Y222" s="38" t="s">
        <v>146</v>
      </c>
      <c r="Z222" s="38" t="s">
        <v>158</v>
      </c>
      <c r="AA222" s="113" t="str">
        <f t="array" ref="AA222">PROPER(G222)</f>
        <v>Online</v>
      </c>
    </row>
    <row r="223">
      <c r="A223" s="110">
        <v>2.43684327E8</v>
      </c>
      <c r="B223" s="131">
        <v>42878.0</v>
      </c>
      <c r="C223" s="131">
        <v>42885.0</v>
      </c>
      <c r="D223" s="110" t="s">
        <v>95</v>
      </c>
      <c r="E223" s="110" t="s">
        <v>127</v>
      </c>
      <c r="F223" s="110">
        <v>7331.0</v>
      </c>
      <c r="G223" s="38" t="s">
        <v>43</v>
      </c>
      <c r="H223" s="110">
        <v>462.0</v>
      </c>
      <c r="I223" s="132">
        <v>255.28</v>
      </c>
      <c r="J223" s="132">
        <v>159.42</v>
      </c>
      <c r="K223" s="39">
        <f t="shared" si="1"/>
        <v>117939.36</v>
      </c>
      <c r="L223" s="39">
        <f t="shared" si="2"/>
        <v>73652.04</v>
      </c>
      <c r="M223" s="39">
        <f t="shared" si="3"/>
        <v>44287.32</v>
      </c>
      <c r="N223" s="38" t="str">
        <f>VLOOKUP(F223,products!$A$2:$B$13,2,FALSE)</f>
        <v>Baby Food</v>
      </c>
      <c r="O223" s="133">
        <f t="shared" si="4"/>
        <v>0.6244907552</v>
      </c>
      <c r="P223" s="38" t="str">
        <f>VLOOKUP(E223,countries!A$2:E$250,3,false)</f>
        <v>Ireland</v>
      </c>
      <c r="Q223" s="38" t="str">
        <f>VLOOKUP($E223,countries!$A$2:$E$250,4,false)</f>
        <v>Europe</v>
      </c>
      <c r="R223" s="38" t="str">
        <f>VLOOKUP($E223,countries!$A$2:$E$250,5,false)</f>
        <v>Northern Europe</v>
      </c>
      <c r="S223" s="38">
        <f t="shared" si="5"/>
        <v>7</v>
      </c>
      <c r="T223" s="38" t="s">
        <v>161</v>
      </c>
      <c r="U223" s="38">
        <v>2017.0</v>
      </c>
      <c r="V223" s="38">
        <v>5.0</v>
      </c>
      <c r="W223" s="38" t="s">
        <v>127</v>
      </c>
      <c r="X223" s="38" t="s">
        <v>198</v>
      </c>
      <c r="Y223" s="38" t="s">
        <v>146</v>
      </c>
      <c r="Z223" s="38" t="s">
        <v>170</v>
      </c>
      <c r="AA223" s="113" t="str">
        <f t="array" ref="AA223">PROPER(G223)</f>
        <v>Online</v>
      </c>
    </row>
    <row r="224">
      <c r="A224" s="110">
        <v>2.44023358E8</v>
      </c>
      <c r="B224" s="131">
        <v>42725.0</v>
      </c>
      <c r="C224" s="131">
        <v>42757.0</v>
      </c>
      <c r="D224" s="110" t="s">
        <v>93</v>
      </c>
      <c r="E224" s="110" t="s">
        <v>109</v>
      </c>
      <c r="F224" s="110">
        <v>1270.0</v>
      </c>
      <c r="G224" s="38" t="s">
        <v>42</v>
      </c>
      <c r="H224" s="110">
        <v>789.0</v>
      </c>
      <c r="I224" s="132">
        <v>47.45</v>
      </c>
      <c r="J224" s="132">
        <v>31.79</v>
      </c>
      <c r="K224" s="39">
        <f t="shared" si="1"/>
        <v>37438.05</v>
      </c>
      <c r="L224" s="39">
        <f t="shared" si="2"/>
        <v>25082.31</v>
      </c>
      <c r="M224" s="39">
        <f t="shared" si="3"/>
        <v>12355.74</v>
      </c>
      <c r="N224" s="38" t="str">
        <f>VLOOKUP(F224,products!$A$2:$B$13,2,FALSE)</f>
        <v>Beverages</v>
      </c>
      <c r="O224" s="133">
        <f t="shared" si="4"/>
        <v>0.6699683878</v>
      </c>
      <c r="P224" s="38" t="str">
        <f>VLOOKUP(E224,countries!A$2:E$250,3,false)</f>
        <v>Belgium</v>
      </c>
      <c r="Q224" s="38" t="str">
        <f>VLOOKUP($E224,countries!$A$2:$E$250,4,false)</f>
        <v>Europe</v>
      </c>
      <c r="R224" s="38" t="str">
        <f>VLOOKUP($E224,countries!$A$2:$E$250,5,false)</f>
        <v>Western Europe</v>
      </c>
      <c r="S224" s="38">
        <f t="shared" si="5"/>
        <v>32</v>
      </c>
      <c r="T224" s="38" t="s">
        <v>152</v>
      </c>
      <c r="U224" s="38">
        <v>2016.0</v>
      </c>
      <c r="V224" s="38">
        <v>12.0</v>
      </c>
      <c r="W224" s="38" t="s">
        <v>109</v>
      </c>
      <c r="X224" s="38" t="s">
        <v>176</v>
      </c>
      <c r="Y224" s="38" t="s">
        <v>146</v>
      </c>
      <c r="Z224" s="38" t="s">
        <v>158</v>
      </c>
      <c r="AA224" s="113" t="str">
        <f t="array" ref="AA224">PROPER(G224)</f>
        <v>Offline</v>
      </c>
    </row>
    <row r="225">
      <c r="A225" s="110">
        <v>2.45440852E8</v>
      </c>
      <c r="B225" s="131">
        <v>42336.0</v>
      </c>
      <c r="C225" s="131">
        <v>42355.0</v>
      </c>
      <c r="D225" s="110" t="s">
        <v>93</v>
      </c>
      <c r="E225" s="110" t="s">
        <v>97</v>
      </c>
      <c r="F225" s="110">
        <v>8875.0</v>
      </c>
      <c r="G225" s="38" t="s">
        <v>43</v>
      </c>
      <c r="H225" s="110">
        <v>257.0</v>
      </c>
      <c r="I225" s="132">
        <v>421.89</v>
      </c>
      <c r="J225" s="132">
        <v>364.69</v>
      </c>
      <c r="K225" s="39">
        <f t="shared" si="1"/>
        <v>108425.73</v>
      </c>
      <c r="L225" s="39">
        <f t="shared" si="2"/>
        <v>93725.33</v>
      </c>
      <c r="M225" s="39">
        <f t="shared" si="3"/>
        <v>14700.4</v>
      </c>
      <c r="N225" s="38" t="str">
        <f>VLOOKUP(F225,products!$A$2:$B$13,2,FALSE)</f>
        <v>Meat</v>
      </c>
      <c r="O225" s="133">
        <f t="shared" si="4"/>
        <v>0.8644196354</v>
      </c>
      <c r="P225" s="38" t="str">
        <f>VLOOKUP(E225,countries!A$2:E$250,3,false)</f>
        <v>France</v>
      </c>
      <c r="Q225" s="38" t="str">
        <f>VLOOKUP($E225,countries!$A$2:$E$250,4,false)</f>
        <v>Europe</v>
      </c>
      <c r="R225" s="38" t="str">
        <f>VLOOKUP($E225,countries!$A$2:$E$250,5,false)</f>
        <v>Western Europe</v>
      </c>
      <c r="S225" s="38">
        <f t="shared" si="5"/>
        <v>19</v>
      </c>
      <c r="T225" s="38" t="s">
        <v>167</v>
      </c>
      <c r="U225" s="38">
        <v>2015.0</v>
      </c>
      <c r="V225" s="38">
        <v>11.0</v>
      </c>
      <c r="W225" s="38" t="s">
        <v>97</v>
      </c>
      <c r="X225" s="38" t="s">
        <v>157</v>
      </c>
      <c r="Y225" s="38" t="s">
        <v>146</v>
      </c>
      <c r="Z225" s="38" t="s">
        <v>158</v>
      </c>
      <c r="AA225" s="113" t="str">
        <f t="array" ref="AA225">PROPER(G225)</f>
        <v>Online</v>
      </c>
    </row>
    <row r="226">
      <c r="A226" s="110">
        <v>2.45556294E8</v>
      </c>
      <c r="B226" s="131">
        <v>40334.0</v>
      </c>
      <c r="C226" s="131">
        <v>40354.0</v>
      </c>
      <c r="D226" s="110" t="s">
        <v>10</v>
      </c>
      <c r="E226" s="110" t="s">
        <v>128</v>
      </c>
      <c r="F226" s="110">
        <v>3127.0</v>
      </c>
      <c r="G226" s="38" t="s">
        <v>43</v>
      </c>
      <c r="H226" s="110">
        <v>4419.0</v>
      </c>
      <c r="I226" s="132">
        <v>81.73</v>
      </c>
      <c r="J226" s="132">
        <v>56.67</v>
      </c>
      <c r="K226" s="39">
        <f t="shared" si="1"/>
        <v>361164.87</v>
      </c>
      <c r="L226" s="39">
        <f t="shared" si="2"/>
        <v>250424.73</v>
      </c>
      <c r="M226" s="39">
        <f t="shared" si="3"/>
        <v>110740.14</v>
      </c>
      <c r="N226" s="38" t="str">
        <f>VLOOKUP(F226,products!$A$2:$B$13,2,FALSE)</f>
        <v>Personal Care</v>
      </c>
      <c r="O226" s="133">
        <f t="shared" si="4"/>
        <v>0.6933806436</v>
      </c>
      <c r="P226" s="38" t="str">
        <f>VLOOKUP(E226,countries!A$2:E$250,3,false)</f>
        <v>Andorra</v>
      </c>
      <c r="Q226" s="38" t="str">
        <f>VLOOKUP($E226,countries!$A$2:$E$250,4,false)</f>
        <v>Europe</v>
      </c>
      <c r="R226" s="38" t="str">
        <f>VLOOKUP($E226,countries!$A$2:$E$250,5,false)</f>
        <v>Southern Europe</v>
      </c>
      <c r="S226" s="38">
        <f t="shared" si="5"/>
        <v>20</v>
      </c>
      <c r="T226" s="38" t="s">
        <v>185</v>
      </c>
      <c r="U226" s="38">
        <v>2010.0</v>
      </c>
      <c r="V226" s="38">
        <v>6.0</v>
      </c>
      <c r="W226" s="38" t="s">
        <v>128</v>
      </c>
      <c r="X226" s="38" t="s">
        <v>199</v>
      </c>
      <c r="Y226" s="38" t="s">
        <v>146</v>
      </c>
      <c r="Z226" s="38" t="s">
        <v>147</v>
      </c>
      <c r="AA226" s="113" t="str">
        <f t="array" ref="AA226">PROPER(G226)</f>
        <v>Online</v>
      </c>
    </row>
    <row r="227">
      <c r="A227" s="110">
        <v>2.46603858E8</v>
      </c>
      <c r="B227" s="131">
        <v>40973.0</v>
      </c>
      <c r="C227" s="131">
        <v>41014.0</v>
      </c>
      <c r="D227" s="110" t="s">
        <v>95</v>
      </c>
      <c r="E227" s="110" t="s">
        <v>124</v>
      </c>
      <c r="F227" s="110">
        <v>8293.0</v>
      </c>
      <c r="G227" s="38" t="s">
        <v>42</v>
      </c>
      <c r="H227" s="110">
        <v>4417.0</v>
      </c>
      <c r="I227" s="132">
        <v>437.2</v>
      </c>
      <c r="J227" s="132">
        <v>263.33</v>
      </c>
      <c r="K227" s="39">
        <f t="shared" si="1"/>
        <v>1931112.4</v>
      </c>
      <c r="L227" s="39">
        <f t="shared" si="2"/>
        <v>1163128.61</v>
      </c>
      <c r="M227" s="39">
        <f t="shared" si="3"/>
        <v>767983.79</v>
      </c>
      <c r="N227" s="38" t="str">
        <f>VLOOKUP(F227,products!$A$2:$B$13,2,FALSE)</f>
        <v>Cosmetics</v>
      </c>
      <c r="O227" s="133">
        <f t="shared" si="4"/>
        <v>0.6023101555</v>
      </c>
      <c r="P227" s="38" t="str">
        <f>VLOOKUP(E227,countries!A$2:E$250,3,false)</f>
        <v>Latvia</v>
      </c>
      <c r="Q227" s="38" t="str">
        <f>VLOOKUP($E227,countries!$A$2:$E$250,4,false)</f>
        <v>Europe</v>
      </c>
      <c r="R227" s="38" t="str">
        <f>VLOOKUP($E227,countries!$A$2:$E$250,5,false)</f>
        <v>Northern Europe</v>
      </c>
      <c r="S227" s="38">
        <f t="shared" si="5"/>
        <v>41</v>
      </c>
      <c r="T227" s="38" t="s">
        <v>178</v>
      </c>
      <c r="U227" s="38">
        <v>2012.0</v>
      </c>
      <c r="V227" s="38">
        <v>3.0</v>
      </c>
      <c r="W227" s="38" t="s">
        <v>124</v>
      </c>
      <c r="X227" s="38" t="s">
        <v>195</v>
      </c>
      <c r="Y227" s="38" t="s">
        <v>146</v>
      </c>
      <c r="Z227" s="38" t="s">
        <v>170</v>
      </c>
      <c r="AA227" s="113" t="str">
        <f t="array" ref="AA227">PROPER(G227)</f>
        <v>Offline</v>
      </c>
    </row>
    <row r="228">
      <c r="A228" s="110">
        <v>2.46922719E8</v>
      </c>
      <c r="B228" s="131">
        <v>42198.0</v>
      </c>
      <c r="C228" s="131">
        <v>42214.0</v>
      </c>
      <c r="D228" s="110" t="s">
        <v>95</v>
      </c>
      <c r="E228" s="110" t="s">
        <v>131</v>
      </c>
      <c r="F228" s="110">
        <v>8681.0</v>
      </c>
      <c r="G228" s="38" t="s">
        <v>43</v>
      </c>
      <c r="H228" s="110">
        <v>8775.0</v>
      </c>
      <c r="I228" s="132">
        <v>651.21</v>
      </c>
      <c r="J228" s="132">
        <v>524.96</v>
      </c>
      <c r="K228" s="39">
        <f t="shared" si="1"/>
        <v>5714367.75</v>
      </c>
      <c r="L228" s="39">
        <f t="shared" si="2"/>
        <v>4606524</v>
      </c>
      <c r="M228" s="39">
        <f t="shared" si="3"/>
        <v>1107843.75</v>
      </c>
      <c r="N228" s="38" t="str">
        <f>VLOOKUP(F228,products!$A$2:$B$13,2,FALSE)</f>
        <v>Office Supplies</v>
      </c>
      <c r="O228" s="133">
        <f t="shared" si="4"/>
        <v>0.806130127</v>
      </c>
      <c r="P228" s="38" t="str">
        <f>VLOOKUP(E228,countries!A$2:E$250,3,false)</f>
        <v>Albania</v>
      </c>
      <c r="Q228" s="38" t="str">
        <f>VLOOKUP($E228,countries!$A$2:$E$250,4,false)</f>
        <v>Europe</v>
      </c>
      <c r="R228" s="38" t="str">
        <f>VLOOKUP($E228,countries!$A$2:$E$250,5,false)</f>
        <v>Southern Europe</v>
      </c>
      <c r="S228" s="38">
        <f t="shared" si="5"/>
        <v>16</v>
      </c>
      <c r="T228" s="38" t="s">
        <v>153</v>
      </c>
      <c r="U228" s="38">
        <v>2015.0</v>
      </c>
      <c r="V228" s="38">
        <v>7.0</v>
      </c>
      <c r="W228" s="38" t="s">
        <v>131</v>
      </c>
      <c r="X228" s="38" t="s">
        <v>202</v>
      </c>
      <c r="Y228" s="38" t="s">
        <v>146</v>
      </c>
      <c r="Z228" s="38" t="s">
        <v>147</v>
      </c>
      <c r="AA228" s="113" t="str">
        <f t="array" ref="AA228">PROPER(G228)</f>
        <v>Online</v>
      </c>
    </row>
    <row r="229">
      <c r="A229" s="110">
        <v>2.49039304E8</v>
      </c>
      <c r="B229" s="131">
        <v>41715.0</v>
      </c>
      <c r="C229" s="131">
        <v>41760.0</v>
      </c>
      <c r="D229" s="110" t="s">
        <v>93</v>
      </c>
      <c r="E229" s="110" t="s">
        <v>111</v>
      </c>
      <c r="F229" s="110">
        <v>5988.0</v>
      </c>
      <c r="G229" s="38" t="s">
        <v>42</v>
      </c>
      <c r="H229" s="110">
        <v>5119.0</v>
      </c>
      <c r="I229" s="132">
        <v>154.06</v>
      </c>
      <c r="J229" s="132">
        <v>90.93</v>
      </c>
      <c r="K229" s="39">
        <f t="shared" si="1"/>
        <v>788633.14</v>
      </c>
      <c r="L229" s="39">
        <f t="shared" si="2"/>
        <v>465470.67</v>
      </c>
      <c r="M229" s="39">
        <f t="shared" si="3"/>
        <v>323162.47</v>
      </c>
      <c r="N229" s="38" t="str">
        <f>VLOOKUP(F229,products!$A$2:$B$13,2,FALSE)</f>
        <v>Vegetables</v>
      </c>
      <c r="O229" s="133">
        <f t="shared" si="4"/>
        <v>0.5902245878</v>
      </c>
      <c r="P229" s="38" t="str">
        <f>VLOOKUP(E229,countries!A$2:E$250,3,false)</f>
        <v>Russia</v>
      </c>
      <c r="Q229" s="38" t="str">
        <f>VLOOKUP($E229,countries!$A$2:$E$250,4,false)</f>
        <v>Europe</v>
      </c>
      <c r="R229" s="38" t="str">
        <f>VLOOKUP($E229,countries!$A$2:$E$250,5,false)</f>
        <v>Eastern Europe</v>
      </c>
      <c r="S229" s="38">
        <f t="shared" si="5"/>
        <v>45</v>
      </c>
      <c r="T229" s="38" t="s">
        <v>159</v>
      </c>
      <c r="U229" s="38">
        <v>2014.0</v>
      </c>
      <c r="V229" s="38">
        <v>3.0</v>
      </c>
      <c r="W229" s="38" t="s">
        <v>111</v>
      </c>
      <c r="X229" s="38" t="s">
        <v>179</v>
      </c>
      <c r="Y229" s="38" t="s">
        <v>146</v>
      </c>
      <c r="Z229" s="38" t="s">
        <v>155</v>
      </c>
      <c r="AA229" s="113" t="str">
        <f t="array" ref="AA229">PROPER(G229)</f>
        <v>Offline</v>
      </c>
    </row>
    <row r="230">
      <c r="A230" s="110">
        <v>2.49606645E8</v>
      </c>
      <c r="B230" s="131">
        <v>41089.0</v>
      </c>
      <c r="C230" s="131">
        <v>41135.0</v>
      </c>
      <c r="D230" s="110" t="s">
        <v>10</v>
      </c>
      <c r="E230" s="110" t="s">
        <v>129</v>
      </c>
      <c r="F230" s="110">
        <v>4594.0</v>
      </c>
      <c r="G230" s="38" t="s">
        <v>42</v>
      </c>
      <c r="H230" s="110">
        <v>3008.0</v>
      </c>
      <c r="I230" s="132">
        <v>9.33</v>
      </c>
      <c r="J230" s="132">
        <v>6.92</v>
      </c>
      <c r="K230" s="39">
        <f t="shared" si="1"/>
        <v>28064.64</v>
      </c>
      <c r="L230" s="39">
        <f t="shared" si="2"/>
        <v>20815.36</v>
      </c>
      <c r="M230" s="39">
        <f t="shared" si="3"/>
        <v>7249.28</v>
      </c>
      <c r="N230" s="38" t="str">
        <f>VLOOKUP(F230,products!$A$2:$B$13,2,FALSE)</f>
        <v>Fruits</v>
      </c>
      <c r="O230" s="133">
        <f t="shared" si="4"/>
        <v>0.741693462</v>
      </c>
      <c r="P230" s="38" t="str">
        <f>VLOOKUP(E230,countries!A$2:E$250,3,false)</f>
        <v>Liechtenstein</v>
      </c>
      <c r="Q230" s="38" t="str">
        <f>VLOOKUP($E230,countries!$A$2:$E$250,4,false)</f>
        <v>Europe</v>
      </c>
      <c r="R230" s="38" t="str">
        <f>VLOOKUP($E230,countries!$A$2:$E$250,5,false)</f>
        <v>Western Europe</v>
      </c>
      <c r="S230" s="38">
        <f t="shared" si="5"/>
        <v>46</v>
      </c>
      <c r="T230" s="38" t="s">
        <v>156</v>
      </c>
      <c r="U230" s="38">
        <v>2012.0</v>
      </c>
      <c r="V230" s="38">
        <v>6.0</v>
      </c>
      <c r="W230" s="38" t="s">
        <v>129</v>
      </c>
      <c r="X230" s="38" t="s">
        <v>200</v>
      </c>
      <c r="Y230" s="38" t="s">
        <v>146</v>
      </c>
      <c r="Z230" s="38" t="s">
        <v>158</v>
      </c>
      <c r="AA230" s="113" t="str">
        <f t="array" ref="AA230">PROPER(G230)</f>
        <v>Offline</v>
      </c>
    </row>
    <row r="231">
      <c r="A231" s="110">
        <v>2.49765861E8</v>
      </c>
      <c r="B231" s="131">
        <v>42687.0</v>
      </c>
      <c r="C231" s="131">
        <v>42698.0</v>
      </c>
      <c r="D231" s="110" t="s">
        <v>89</v>
      </c>
      <c r="E231" s="110" t="s">
        <v>103</v>
      </c>
      <c r="F231" s="110">
        <v>2455.0</v>
      </c>
      <c r="G231" s="38" t="s">
        <v>43</v>
      </c>
      <c r="H231" s="110">
        <v>123.0</v>
      </c>
      <c r="I231" s="132">
        <v>109.28</v>
      </c>
      <c r="J231" s="132">
        <v>35.84</v>
      </c>
      <c r="K231" s="39">
        <f t="shared" si="1"/>
        <v>13441.44</v>
      </c>
      <c r="L231" s="39">
        <f t="shared" si="2"/>
        <v>4408.32</v>
      </c>
      <c r="M231" s="39">
        <f t="shared" si="3"/>
        <v>9033.12</v>
      </c>
      <c r="N231" s="38" t="str">
        <f>VLOOKUP(F231,products!$A$2:$B$13,2,FALSE)</f>
        <v>Clothes</v>
      </c>
      <c r="O231" s="133">
        <f t="shared" si="4"/>
        <v>0.3279648609</v>
      </c>
      <c r="P231" s="38" t="str">
        <f>VLOOKUP(E231,countries!A$2:E$250,3,false)</f>
        <v>United Kingdom</v>
      </c>
      <c r="Q231" s="38" t="str">
        <f>VLOOKUP($E231,countries!$A$2:$E$250,4,false)</f>
        <v>Europe</v>
      </c>
      <c r="R231" s="38" t="str">
        <f>VLOOKUP($E231,countries!$A$2:$E$250,5,false)</f>
        <v>Northern Europe</v>
      </c>
      <c r="S231" s="38">
        <f t="shared" si="5"/>
        <v>11</v>
      </c>
      <c r="T231" s="38" t="s">
        <v>150</v>
      </c>
      <c r="U231" s="38">
        <v>2016.0</v>
      </c>
      <c r="V231" s="38">
        <v>11.0</v>
      </c>
      <c r="W231" s="38" t="s">
        <v>103</v>
      </c>
      <c r="X231" s="38" t="s">
        <v>169</v>
      </c>
      <c r="Y231" s="38" t="s">
        <v>146</v>
      </c>
      <c r="Z231" s="38" t="s">
        <v>170</v>
      </c>
      <c r="AA231" s="113" t="str">
        <f t="array" ref="AA231">PROPER(G231)</f>
        <v>Online</v>
      </c>
    </row>
    <row r="232">
      <c r="A232" s="110">
        <v>2.50848186E8</v>
      </c>
      <c r="B232" s="131">
        <v>41304.0</v>
      </c>
      <c r="C232" s="131">
        <v>41340.0</v>
      </c>
      <c r="D232" s="110" t="s">
        <v>89</v>
      </c>
      <c r="E232" s="110" t="s">
        <v>107</v>
      </c>
      <c r="F232" s="110">
        <v>2455.0</v>
      </c>
      <c r="G232" s="38" t="s">
        <v>43</v>
      </c>
      <c r="H232" s="110">
        <v>407.0</v>
      </c>
      <c r="I232" s="132">
        <v>109.28</v>
      </c>
      <c r="J232" s="132">
        <v>35.84</v>
      </c>
      <c r="K232" s="39">
        <f t="shared" si="1"/>
        <v>44476.96</v>
      </c>
      <c r="L232" s="39">
        <f t="shared" si="2"/>
        <v>14586.88</v>
      </c>
      <c r="M232" s="39">
        <f t="shared" si="3"/>
        <v>29890.08</v>
      </c>
      <c r="N232" s="38" t="str">
        <f>VLOOKUP(F232,products!$A$2:$B$13,2,FALSE)</f>
        <v>Clothes</v>
      </c>
      <c r="O232" s="133">
        <f t="shared" si="4"/>
        <v>0.3279648609</v>
      </c>
      <c r="P232" s="38" t="str">
        <f>VLOOKUP(E232,countries!A$2:E$250,3,false)</f>
        <v>Luxembourg</v>
      </c>
      <c r="Q232" s="38" t="str">
        <f>VLOOKUP($E232,countries!$A$2:$E$250,4,false)</f>
        <v>Europe</v>
      </c>
      <c r="R232" s="38" t="str">
        <f>VLOOKUP($E232,countries!$A$2:$E$250,5,false)</f>
        <v>Western Europe</v>
      </c>
      <c r="S232" s="38">
        <f t="shared" si="5"/>
        <v>36</v>
      </c>
      <c r="T232" s="38" t="s">
        <v>150</v>
      </c>
      <c r="U232" s="38">
        <v>2013.0</v>
      </c>
      <c r="V232" s="38">
        <v>1.0</v>
      </c>
      <c r="W232" s="38" t="s">
        <v>107</v>
      </c>
      <c r="X232" s="38" t="s">
        <v>174</v>
      </c>
      <c r="Y232" s="38" t="s">
        <v>146</v>
      </c>
      <c r="Z232" s="38" t="s">
        <v>158</v>
      </c>
      <c r="AA232" s="113" t="str">
        <f t="array" ref="AA232">PROPER(G232)</f>
        <v>Online</v>
      </c>
    </row>
    <row r="233">
      <c r="A233" s="110">
        <v>2.51208674E8</v>
      </c>
      <c r="B233" s="131">
        <v>42157.0</v>
      </c>
      <c r="C233" s="131">
        <v>42204.0</v>
      </c>
      <c r="D233" s="110" t="s">
        <v>89</v>
      </c>
      <c r="E233" s="110" t="s">
        <v>101</v>
      </c>
      <c r="F233" s="110">
        <v>8875.0</v>
      </c>
      <c r="G233" s="38" t="s">
        <v>42</v>
      </c>
      <c r="H233" s="110">
        <v>7084.0</v>
      </c>
      <c r="I233" s="132">
        <v>421.89</v>
      </c>
      <c r="J233" s="132">
        <v>364.69</v>
      </c>
      <c r="K233" s="39">
        <f t="shared" si="1"/>
        <v>2988668.76</v>
      </c>
      <c r="L233" s="39">
        <f t="shared" si="2"/>
        <v>2583463.96</v>
      </c>
      <c r="M233" s="39">
        <f t="shared" si="3"/>
        <v>405204.8</v>
      </c>
      <c r="N233" s="38" t="str">
        <f>VLOOKUP(F233,products!$A$2:$B$13,2,FALSE)</f>
        <v>Meat</v>
      </c>
      <c r="O233" s="133">
        <f t="shared" si="4"/>
        <v>0.8644196354</v>
      </c>
      <c r="P233" s="38" t="str">
        <f>VLOOKUP(E233,countries!A$2:E$250,3,false)</f>
        <v>Armenia</v>
      </c>
      <c r="Q233" s="38" t="str">
        <f>VLOOKUP($E233,countries!$A$2:$E$250,4,false)</f>
        <v>Asia</v>
      </c>
      <c r="R233" s="38" t="str">
        <f>VLOOKUP($E233,countries!$A$2:$E$250,5,false)</f>
        <v>Western Asia</v>
      </c>
      <c r="S233" s="38">
        <f t="shared" si="5"/>
        <v>47</v>
      </c>
      <c r="T233" s="38" t="s">
        <v>167</v>
      </c>
      <c r="U233" s="38">
        <v>2015.0</v>
      </c>
      <c r="V233" s="38">
        <v>6.0</v>
      </c>
      <c r="W233" s="38" t="s">
        <v>101</v>
      </c>
      <c r="X233" s="38" t="s">
        <v>164</v>
      </c>
      <c r="Y233" s="38" t="s">
        <v>165</v>
      </c>
      <c r="Z233" s="38" t="s">
        <v>166</v>
      </c>
      <c r="AA233" s="113" t="str">
        <f t="array" ref="AA233">PROPER(G233)</f>
        <v>Offline</v>
      </c>
    </row>
    <row r="234">
      <c r="A234" s="110">
        <v>2.51823222E8</v>
      </c>
      <c r="B234" s="131">
        <v>40424.0</v>
      </c>
      <c r="C234" s="131">
        <v>40452.0</v>
      </c>
      <c r="D234" s="110" t="s">
        <v>93</v>
      </c>
      <c r="E234" s="110" t="s">
        <v>103</v>
      </c>
      <c r="F234" s="110">
        <v>2455.0</v>
      </c>
      <c r="G234" s="38" t="s">
        <v>43</v>
      </c>
      <c r="H234" s="110">
        <v>8942.0</v>
      </c>
      <c r="I234" s="132">
        <v>109.28</v>
      </c>
      <c r="J234" s="132">
        <v>35.84</v>
      </c>
      <c r="K234" s="39">
        <f t="shared" si="1"/>
        <v>977181.76</v>
      </c>
      <c r="L234" s="39">
        <f t="shared" si="2"/>
        <v>320481.28</v>
      </c>
      <c r="M234" s="39">
        <f t="shared" si="3"/>
        <v>656700.48</v>
      </c>
      <c r="N234" s="38" t="str">
        <f>VLOOKUP(F234,products!$A$2:$B$13,2,FALSE)</f>
        <v>Clothes</v>
      </c>
      <c r="O234" s="133">
        <f t="shared" si="4"/>
        <v>0.3279648609</v>
      </c>
      <c r="P234" s="38" t="str">
        <f>VLOOKUP(E234,countries!A$2:E$250,3,false)</f>
        <v>United Kingdom</v>
      </c>
      <c r="Q234" s="38" t="str">
        <f>VLOOKUP($E234,countries!$A$2:$E$250,4,false)</f>
        <v>Europe</v>
      </c>
      <c r="R234" s="38" t="str">
        <f>VLOOKUP($E234,countries!$A$2:$E$250,5,false)</f>
        <v>Northern Europe</v>
      </c>
      <c r="S234" s="38">
        <f t="shared" si="5"/>
        <v>28</v>
      </c>
      <c r="T234" s="38" t="s">
        <v>150</v>
      </c>
      <c r="U234" s="38">
        <v>2010.0</v>
      </c>
      <c r="V234" s="38">
        <v>9.0</v>
      </c>
      <c r="W234" s="38" t="s">
        <v>103</v>
      </c>
      <c r="X234" s="38" t="s">
        <v>169</v>
      </c>
      <c r="Y234" s="38" t="s">
        <v>146</v>
      </c>
      <c r="Z234" s="38" t="s">
        <v>170</v>
      </c>
      <c r="AA234" s="113" t="str">
        <f t="array" ref="AA234">PROPER(G234)</f>
        <v>Online</v>
      </c>
    </row>
    <row r="235">
      <c r="A235" s="110">
        <v>2.51907765E8</v>
      </c>
      <c r="B235" s="131">
        <v>42064.0</v>
      </c>
      <c r="C235" s="131">
        <v>42101.0</v>
      </c>
      <c r="D235" s="110" t="s">
        <v>10</v>
      </c>
      <c r="E235" s="110" t="e">
        <v>#N/A</v>
      </c>
      <c r="F235" s="110">
        <v>8969.0</v>
      </c>
      <c r="G235" s="38" t="s">
        <v>42</v>
      </c>
      <c r="H235" s="110">
        <v>3961.0</v>
      </c>
      <c r="I235" s="132">
        <v>152.58</v>
      </c>
      <c r="J235" s="132">
        <v>97.44</v>
      </c>
      <c r="K235" s="39">
        <f t="shared" si="1"/>
        <v>604369.38</v>
      </c>
      <c r="L235" s="39">
        <f t="shared" si="2"/>
        <v>385959.84</v>
      </c>
      <c r="M235" s="39">
        <f t="shared" si="3"/>
        <v>218409.54</v>
      </c>
      <c r="N235" s="38" t="str">
        <f>VLOOKUP(F235,products!$A$2:$B$13,2,FALSE)</f>
        <v>Snacks</v>
      </c>
      <c r="O235" s="133">
        <f t="shared" si="4"/>
        <v>0.6386158081</v>
      </c>
      <c r="P235" s="38" t="str">
        <f>VLOOKUP(E235,countries!A$2:E$250,3,false)</f>
        <v>#N/A</v>
      </c>
      <c r="Q235" s="38" t="str">
        <f>VLOOKUP($E235,countries!$A$2:$E$250,4,false)</f>
        <v>#N/A</v>
      </c>
      <c r="R235" s="38" t="str">
        <f>VLOOKUP($E235,countries!$A$2:$E$250,5,false)</f>
        <v>#N/A</v>
      </c>
      <c r="S235" s="38">
        <f t="shared" si="5"/>
        <v>37</v>
      </c>
      <c r="T235" s="38" t="s">
        <v>182</v>
      </c>
      <c r="U235" s="38">
        <v>2015.0</v>
      </c>
      <c r="V235" s="38">
        <v>3.0</v>
      </c>
      <c r="W235" s="38" t="s">
        <v>92</v>
      </c>
      <c r="X235" s="38" t="s">
        <v>149</v>
      </c>
      <c r="Y235" s="38" t="s">
        <v>149</v>
      </c>
      <c r="Z235" s="38" t="s">
        <v>149</v>
      </c>
      <c r="AA235" s="113" t="str">
        <f t="array" ref="AA235">PROPER(G235)</f>
        <v>Offline</v>
      </c>
    </row>
    <row r="236">
      <c r="A236" s="110">
        <v>2.52541625E8</v>
      </c>
      <c r="B236" s="131">
        <v>42895.0</v>
      </c>
      <c r="C236" s="131">
        <v>42921.0</v>
      </c>
      <c r="D236" s="110" t="s">
        <v>10</v>
      </c>
      <c r="E236" s="110" t="e">
        <v>#N/A</v>
      </c>
      <c r="F236" s="110">
        <v>7331.0</v>
      </c>
      <c r="G236" s="38" t="s">
        <v>42</v>
      </c>
      <c r="H236" s="110">
        <v>1534.0</v>
      </c>
      <c r="I236" s="132">
        <v>255.28</v>
      </c>
      <c r="J236" s="132">
        <v>159.42</v>
      </c>
      <c r="K236" s="39">
        <f t="shared" si="1"/>
        <v>391599.52</v>
      </c>
      <c r="L236" s="39">
        <f t="shared" si="2"/>
        <v>244550.28</v>
      </c>
      <c r="M236" s="39">
        <f t="shared" si="3"/>
        <v>147049.24</v>
      </c>
      <c r="N236" s="38" t="str">
        <f>VLOOKUP(F236,products!$A$2:$B$13,2,FALSE)</f>
        <v>Baby Food</v>
      </c>
      <c r="O236" s="133">
        <f t="shared" si="4"/>
        <v>0.6244907552</v>
      </c>
      <c r="P236" s="38" t="str">
        <f>VLOOKUP(E236,countries!A$2:E$250,3,false)</f>
        <v>#N/A</v>
      </c>
      <c r="Q236" s="38" t="str">
        <f>VLOOKUP($E236,countries!$A$2:$E$250,4,false)</f>
        <v>#N/A</v>
      </c>
      <c r="R236" s="38" t="str">
        <f>VLOOKUP($E236,countries!$A$2:$E$250,5,false)</f>
        <v>#N/A</v>
      </c>
      <c r="S236" s="38">
        <f t="shared" si="5"/>
        <v>26</v>
      </c>
      <c r="T236" s="38" t="s">
        <v>161</v>
      </c>
      <c r="U236" s="38">
        <v>2017.0</v>
      </c>
      <c r="V236" s="38">
        <v>6.0</v>
      </c>
      <c r="W236" s="38" t="s">
        <v>92</v>
      </c>
      <c r="X236" s="38" t="s">
        <v>149</v>
      </c>
      <c r="Y236" s="38" t="s">
        <v>149</v>
      </c>
      <c r="Z236" s="38" t="s">
        <v>149</v>
      </c>
      <c r="AA236" s="113" t="str">
        <f t="array" ref="AA236">PROPER(G236)</f>
        <v>Offline</v>
      </c>
    </row>
    <row r="237">
      <c r="A237" s="110">
        <v>2.53055322E8</v>
      </c>
      <c r="B237" s="131">
        <v>42521.0</v>
      </c>
      <c r="C237" s="131">
        <v>42533.0</v>
      </c>
      <c r="D237" s="110" t="s">
        <v>95</v>
      </c>
      <c r="E237" s="110" t="s">
        <v>105</v>
      </c>
      <c r="F237" s="110">
        <v>1270.0</v>
      </c>
      <c r="G237" s="38" t="s">
        <v>43</v>
      </c>
      <c r="H237" s="110">
        <v>3548.0</v>
      </c>
      <c r="I237" s="132">
        <v>47.45</v>
      </c>
      <c r="J237" s="132">
        <v>31.79</v>
      </c>
      <c r="K237" s="39">
        <f t="shared" si="1"/>
        <v>168352.6</v>
      </c>
      <c r="L237" s="39">
        <f t="shared" si="2"/>
        <v>112790.92</v>
      </c>
      <c r="M237" s="39">
        <f t="shared" si="3"/>
        <v>55561.68</v>
      </c>
      <c r="N237" s="38" t="str">
        <f>VLOOKUP(F237,products!$A$2:$B$13,2,FALSE)</f>
        <v>Beverages</v>
      </c>
      <c r="O237" s="133">
        <f t="shared" si="4"/>
        <v>0.6699683878</v>
      </c>
      <c r="P237" s="38" t="str">
        <f>VLOOKUP(E237,countries!A$2:E$250,3,false)</f>
        <v>Romania</v>
      </c>
      <c r="Q237" s="38" t="str">
        <f>VLOOKUP($E237,countries!$A$2:$E$250,4,false)</f>
        <v>Europe</v>
      </c>
      <c r="R237" s="38" t="str">
        <f>VLOOKUP($E237,countries!$A$2:$E$250,5,false)</f>
        <v>Eastern Europe</v>
      </c>
      <c r="S237" s="38">
        <f t="shared" si="5"/>
        <v>12</v>
      </c>
      <c r="T237" s="38" t="s">
        <v>152</v>
      </c>
      <c r="U237" s="38">
        <v>2016.0</v>
      </c>
      <c r="V237" s="38">
        <v>5.0</v>
      </c>
      <c r="W237" s="38" t="s">
        <v>105</v>
      </c>
      <c r="X237" s="38" t="s">
        <v>172</v>
      </c>
      <c r="Y237" s="38" t="s">
        <v>146</v>
      </c>
      <c r="Z237" s="38" t="s">
        <v>155</v>
      </c>
      <c r="AA237" s="113" t="str">
        <f t="array" ref="AA237">PROPER(G237)</f>
        <v>Online</v>
      </c>
    </row>
    <row r="238">
      <c r="A238" s="110">
        <v>2.53211104E8</v>
      </c>
      <c r="B238" s="131">
        <v>40528.0</v>
      </c>
      <c r="C238" s="131">
        <v>40539.0</v>
      </c>
      <c r="D238" s="110" t="s">
        <v>10</v>
      </c>
      <c r="E238" s="110" t="s">
        <v>111</v>
      </c>
      <c r="F238" s="110">
        <v>8681.0</v>
      </c>
      <c r="G238" s="38" t="s">
        <v>43</v>
      </c>
      <c r="H238" s="110">
        <v>9648.0</v>
      </c>
      <c r="I238" s="132">
        <v>651.21</v>
      </c>
      <c r="J238" s="132">
        <v>524.96</v>
      </c>
      <c r="K238" s="39">
        <f t="shared" si="1"/>
        <v>6282874.08</v>
      </c>
      <c r="L238" s="39">
        <f t="shared" si="2"/>
        <v>5064814.08</v>
      </c>
      <c r="M238" s="39">
        <f t="shared" si="3"/>
        <v>1218060</v>
      </c>
      <c r="N238" s="38" t="str">
        <f>VLOOKUP(F238,products!$A$2:$B$13,2,FALSE)</f>
        <v>Office Supplies</v>
      </c>
      <c r="O238" s="133">
        <f t="shared" si="4"/>
        <v>0.806130127</v>
      </c>
      <c r="P238" s="38" t="str">
        <f>VLOOKUP(E238,countries!A$2:E$250,3,false)</f>
        <v>Russia</v>
      </c>
      <c r="Q238" s="38" t="str">
        <f>VLOOKUP($E238,countries!$A$2:$E$250,4,false)</f>
        <v>Europe</v>
      </c>
      <c r="R238" s="38" t="str">
        <f>VLOOKUP($E238,countries!$A$2:$E$250,5,false)</f>
        <v>Eastern Europe</v>
      </c>
      <c r="S238" s="38">
        <f t="shared" si="5"/>
        <v>11</v>
      </c>
      <c r="T238" s="38" t="s">
        <v>153</v>
      </c>
      <c r="U238" s="38">
        <v>2010.0</v>
      </c>
      <c r="V238" s="38">
        <v>12.0</v>
      </c>
      <c r="W238" s="38" t="s">
        <v>111</v>
      </c>
      <c r="X238" s="38" t="s">
        <v>179</v>
      </c>
      <c r="Y238" s="38" t="s">
        <v>146</v>
      </c>
      <c r="Z238" s="38" t="s">
        <v>155</v>
      </c>
      <c r="AA238" s="113" t="str">
        <f t="array" ref="AA238">PROPER(G238)</f>
        <v>Online</v>
      </c>
    </row>
    <row r="239">
      <c r="A239" s="110">
        <v>2.55047452E8</v>
      </c>
      <c r="B239" s="131">
        <v>41183.0</v>
      </c>
      <c r="C239" s="131">
        <v>41212.0</v>
      </c>
      <c r="D239" s="110" t="s">
        <v>95</v>
      </c>
      <c r="E239" s="110" t="s">
        <v>108</v>
      </c>
      <c r="F239" s="110">
        <v>8969.0</v>
      </c>
      <c r="G239" s="38" t="s">
        <v>43</v>
      </c>
      <c r="H239" s="110">
        <v>3064.0</v>
      </c>
      <c r="I239" s="132">
        <v>152.58</v>
      </c>
      <c r="J239" s="132">
        <v>97.44</v>
      </c>
      <c r="K239" s="39">
        <f t="shared" si="1"/>
        <v>467505.12</v>
      </c>
      <c r="L239" s="39">
        <f t="shared" si="2"/>
        <v>298556.16</v>
      </c>
      <c r="M239" s="39">
        <f t="shared" si="3"/>
        <v>168948.96</v>
      </c>
      <c r="N239" s="38" t="str">
        <f>VLOOKUP(F239,products!$A$2:$B$13,2,FALSE)</f>
        <v>Snacks</v>
      </c>
      <c r="O239" s="133">
        <f t="shared" si="4"/>
        <v>0.6386158081</v>
      </c>
      <c r="P239" s="38" t="str">
        <f>VLOOKUP(E239,countries!A$2:E$250,3,false)</f>
        <v>Cyprus</v>
      </c>
      <c r="Q239" s="38" t="str">
        <f>VLOOKUP($E239,countries!$A$2:$E$250,4,false)</f>
        <v>Asia</v>
      </c>
      <c r="R239" s="38" t="str">
        <f>VLOOKUP($E239,countries!$A$2:$E$250,5,false)</f>
        <v>Western Asia</v>
      </c>
      <c r="S239" s="38">
        <f t="shared" si="5"/>
        <v>29</v>
      </c>
      <c r="T239" s="38" t="s">
        <v>182</v>
      </c>
      <c r="U239" s="38">
        <v>2012.0</v>
      </c>
      <c r="V239" s="38">
        <v>10.0</v>
      </c>
      <c r="W239" s="38" t="s">
        <v>108</v>
      </c>
      <c r="X239" s="38" t="s">
        <v>175</v>
      </c>
      <c r="Y239" s="38" t="s">
        <v>165</v>
      </c>
      <c r="Z239" s="38" t="s">
        <v>166</v>
      </c>
      <c r="AA239" s="113" t="str">
        <f t="array" ref="AA239">PROPER(G239)</f>
        <v>Online</v>
      </c>
    </row>
    <row r="240">
      <c r="A240" s="110">
        <v>2.56095016E8</v>
      </c>
      <c r="B240" s="131">
        <v>41822.0</v>
      </c>
      <c r="C240" s="131">
        <v>41872.0</v>
      </c>
      <c r="D240" s="110" t="s">
        <v>95</v>
      </c>
      <c r="E240" s="110" t="s">
        <v>94</v>
      </c>
      <c r="F240" s="110">
        <v>8681.0</v>
      </c>
      <c r="G240" s="38" t="s">
        <v>42</v>
      </c>
      <c r="H240" s="110">
        <v>3061.0</v>
      </c>
      <c r="I240" s="132">
        <v>651.21</v>
      </c>
      <c r="J240" s="132">
        <v>524.96</v>
      </c>
      <c r="K240" s="39">
        <f t="shared" si="1"/>
        <v>1993353.81</v>
      </c>
      <c r="L240" s="39">
        <f t="shared" si="2"/>
        <v>1606902.56</v>
      </c>
      <c r="M240" s="39">
        <f t="shared" si="3"/>
        <v>386451.25</v>
      </c>
      <c r="N240" s="38" t="str">
        <f>VLOOKUP(F240,products!$A$2:$B$13,2,FALSE)</f>
        <v>Office Supplies</v>
      </c>
      <c r="O240" s="133">
        <f t="shared" si="4"/>
        <v>0.806130127</v>
      </c>
      <c r="P240" s="38" t="str">
        <f>VLOOKUP(E240,countries!A$2:E$250,3,false)</f>
        <v>Montenegro</v>
      </c>
      <c r="Q240" s="38" t="str">
        <f>VLOOKUP($E240,countries!$A$2:$E$250,4,false)</f>
        <v>Europe</v>
      </c>
      <c r="R240" s="38" t="str">
        <f>VLOOKUP($E240,countries!$A$2:$E$250,5,false)</f>
        <v>Southern Europe</v>
      </c>
      <c r="S240" s="38">
        <f t="shared" si="5"/>
        <v>50</v>
      </c>
      <c r="T240" s="38" t="s">
        <v>153</v>
      </c>
      <c r="U240" s="38">
        <v>2014.0</v>
      </c>
      <c r="V240" s="38">
        <v>7.0</v>
      </c>
      <c r="W240" s="38" t="s">
        <v>94</v>
      </c>
      <c r="X240" s="38" t="s">
        <v>151</v>
      </c>
      <c r="Y240" s="38" t="s">
        <v>146</v>
      </c>
      <c r="Z240" s="38" t="s">
        <v>147</v>
      </c>
      <c r="AA240" s="113" t="str">
        <f t="array" ref="AA240">PROPER(G240)</f>
        <v>Offline</v>
      </c>
    </row>
    <row r="241">
      <c r="A241" s="110">
        <v>2.59006392E8</v>
      </c>
      <c r="B241" s="131">
        <v>41416.0</v>
      </c>
      <c r="C241" s="131">
        <v>41431.0</v>
      </c>
      <c r="D241" s="110" t="s">
        <v>10</v>
      </c>
      <c r="E241" s="110" t="s">
        <v>99</v>
      </c>
      <c r="F241" s="110">
        <v>8681.0</v>
      </c>
      <c r="G241" s="38" t="s">
        <v>43</v>
      </c>
      <c r="H241" s="110">
        <v>4602.0</v>
      </c>
      <c r="I241" s="132">
        <v>651.21</v>
      </c>
      <c r="J241" s="132">
        <v>524.96</v>
      </c>
      <c r="K241" s="39">
        <f t="shared" si="1"/>
        <v>2996868.42</v>
      </c>
      <c r="L241" s="39">
        <f t="shared" si="2"/>
        <v>2415865.92</v>
      </c>
      <c r="M241" s="39">
        <f t="shared" si="3"/>
        <v>581002.5</v>
      </c>
      <c r="N241" s="38" t="str">
        <f>VLOOKUP(F241,products!$A$2:$B$13,2,FALSE)</f>
        <v>Office Supplies</v>
      </c>
      <c r="O241" s="133">
        <f t="shared" si="4"/>
        <v>0.806130127</v>
      </c>
      <c r="P241" s="38" t="str">
        <f>VLOOKUP(E241,countries!A$2:E$250,3,false)</f>
        <v>Croatia</v>
      </c>
      <c r="Q241" s="38" t="str">
        <f>VLOOKUP($E241,countries!$A$2:$E$250,4,false)</f>
        <v>Europe</v>
      </c>
      <c r="R241" s="38" t="str">
        <f>VLOOKUP($E241,countries!$A$2:$E$250,5,false)</f>
        <v>Southern Europe</v>
      </c>
      <c r="S241" s="38">
        <f t="shared" si="5"/>
        <v>15</v>
      </c>
      <c r="T241" s="38" t="s">
        <v>153</v>
      </c>
      <c r="U241" s="38">
        <v>2013.0</v>
      </c>
      <c r="V241" s="38">
        <v>5.0</v>
      </c>
      <c r="W241" s="38" t="s">
        <v>99</v>
      </c>
      <c r="X241" s="38" t="s">
        <v>162</v>
      </c>
      <c r="Y241" s="38" t="s">
        <v>146</v>
      </c>
      <c r="Z241" s="38" t="s">
        <v>147</v>
      </c>
      <c r="AA241" s="113" t="str">
        <f t="array" ref="AA241">PROPER(G241)</f>
        <v>Online</v>
      </c>
    </row>
    <row r="242">
      <c r="A242" s="110">
        <v>2.59032571E8</v>
      </c>
      <c r="B242" s="131">
        <v>42864.0</v>
      </c>
      <c r="C242" s="131">
        <v>42868.0</v>
      </c>
      <c r="D242" s="110" t="s">
        <v>93</v>
      </c>
      <c r="E242" s="110" t="s">
        <v>109</v>
      </c>
      <c r="F242" s="110">
        <v>5988.0</v>
      </c>
      <c r="G242" s="38" t="s">
        <v>43</v>
      </c>
      <c r="H242" s="110">
        <v>2349.0</v>
      </c>
      <c r="I242" s="132">
        <v>154.06</v>
      </c>
      <c r="J242" s="132">
        <v>90.93</v>
      </c>
      <c r="K242" s="39">
        <f t="shared" si="1"/>
        <v>361886.94</v>
      </c>
      <c r="L242" s="39">
        <f t="shared" si="2"/>
        <v>213594.57</v>
      </c>
      <c r="M242" s="39">
        <f t="shared" si="3"/>
        <v>148292.37</v>
      </c>
      <c r="N242" s="38" t="str">
        <f>VLOOKUP(F242,products!$A$2:$B$13,2,FALSE)</f>
        <v>Vegetables</v>
      </c>
      <c r="O242" s="133">
        <f t="shared" si="4"/>
        <v>0.5902245878</v>
      </c>
      <c r="P242" s="38" t="str">
        <f>VLOOKUP(E242,countries!A$2:E$250,3,false)</f>
        <v>Belgium</v>
      </c>
      <c r="Q242" s="38" t="str">
        <f>VLOOKUP($E242,countries!$A$2:$E$250,4,false)</f>
        <v>Europe</v>
      </c>
      <c r="R242" s="38" t="str">
        <f>VLOOKUP($E242,countries!$A$2:$E$250,5,false)</f>
        <v>Western Europe</v>
      </c>
      <c r="S242" s="38">
        <f t="shared" si="5"/>
        <v>4</v>
      </c>
      <c r="T242" s="38" t="s">
        <v>159</v>
      </c>
      <c r="U242" s="38">
        <v>2017.0</v>
      </c>
      <c r="V242" s="38">
        <v>5.0</v>
      </c>
      <c r="W242" s="38" t="s">
        <v>109</v>
      </c>
      <c r="X242" s="38" t="s">
        <v>176</v>
      </c>
      <c r="Y242" s="38" t="s">
        <v>146</v>
      </c>
      <c r="Z242" s="38" t="s">
        <v>158</v>
      </c>
      <c r="AA242" s="113" t="str">
        <f t="array" ref="AA242">PROPER(G242)</f>
        <v>Online</v>
      </c>
    </row>
    <row r="243">
      <c r="A243" s="110">
        <v>2.60630738E8</v>
      </c>
      <c r="B243" s="131">
        <v>42313.0</v>
      </c>
      <c r="C243" s="131">
        <v>42357.0</v>
      </c>
      <c r="D243" s="110" t="s">
        <v>89</v>
      </c>
      <c r="E243" s="110" t="e">
        <v>#N/A</v>
      </c>
      <c r="F243" s="110">
        <v>8293.0</v>
      </c>
      <c r="G243" s="38" t="s">
        <v>43</v>
      </c>
      <c r="H243" s="110">
        <v>5282.0</v>
      </c>
      <c r="I243" s="132">
        <v>437.2</v>
      </c>
      <c r="J243" s="132">
        <v>263.33</v>
      </c>
      <c r="K243" s="39">
        <f t="shared" si="1"/>
        <v>2309290.4</v>
      </c>
      <c r="L243" s="39">
        <f t="shared" si="2"/>
        <v>1390909.06</v>
      </c>
      <c r="M243" s="39">
        <f t="shared" si="3"/>
        <v>918381.34</v>
      </c>
      <c r="N243" s="38" t="str">
        <f>VLOOKUP(F243,products!$A$2:$B$13,2,FALSE)</f>
        <v>Cosmetics</v>
      </c>
      <c r="O243" s="133">
        <f t="shared" si="4"/>
        <v>0.6023101555</v>
      </c>
      <c r="P243" s="38" t="str">
        <f>VLOOKUP(E243,countries!A$2:E$250,3,false)</f>
        <v>#N/A</v>
      </c>
      <c r="Q243" s="38" t="str">
        <f>VLOOKUP($E243,countries!$A$2:$E$250,4,false)</f>
        <v>#N/A</v>
      </c>
      <c r="R243" s="38" t="str">
        <f>VLOOKUP($E243,countries!$A$2:$E$250,5,false)</f>
        <v>#N/A</v>
      </c>
      <c r="S243" s="38">
        <f t="shared" si="5"/>
        <v>44</v>
      </c>
      <c r="T243" s="38" t="s">
        <v>178</v>
      </c>
      <c r="U243" s="38">
        <v>2015.0</v>
      </c>
      <c r="V243" s="38">
        <v>11.0</v>
      </c>
      <c r="W243" s="38" t="s">
        <v>92</v>
      </c>
      <c r="X243" s="38" t="s">
        <v>149</v>
      </c>
      <c r="Y243" s="38" t="s">
        <v>149</v>
      </c>
      <c r="Z243" s="38" t="s">
        <v>149</v>
      </c>
      <c r="AA243" s="113" t="str">
        <f t="array" ref="AA243">PROPER(G243)</f>
        <v>Online</v>
      </c>
    </row>
    <row r="244">
      <c r="A244" s="110">
        <v>2.6118735E8</v>
      </c>
      <c r="B244" s="131">
        <v>41184.0</v>
      </c>
      <c r="C244" s="131">
        <v>41185.0</v>
      </c>
      <c r="D244" s="110" t="s">
        <v>10</v>
      </c>
      <c r="E244" s="110" t="s">
        <v>127</v>
      </c>
      <c r="F244" s="110">
        <v>2455.0</v>
      </c>
      <c r="G244" s="38" t="s">
        <v>43</v>
      </c>
      <c r="H244" s="110">
        <v>9996.0</v>
      </c>
      <c r="I244" s="132">
        <v>109.28</v>
      </c>
      <c r="J244" s="132">
        <v>35.84</v>
      </c>
      <c r="K244" s="39">
        <f t="shared" si="1"/>
        <v>1092362.88</v>
      </c>
      <c r="L244" s="39">
        <f t="shared" si="2"/>
        <v>358256.64</v>
      </c>
      <c r="M244" s="39">
        <f t="shared" si="3"/>
        <v>734106.24</v>
      </c>
      <c r="N244" s="38" t="str">
        <f>VLOOKUP(F244,products!$A$2:$B$13,2,FALSE)</f>
        <v>Clothes</v>
      </c>
      <c r="O244" s="133">
        <f t="shared" si="4"/>
        <v>0.3279648609</v>
      </c>
      <c r="P244" s="38" t="str">
        <f>VLOOKUP(E244,countries!A$2:E$250,3,false)</f>
        <v>Ireland</v>
      </c>
      <c r="Q244" s="38" t="str">
        <f>VLOOKUP($E244,countries!$A$2:$E$250,4,false)</f>
        <v>Europe</v>
      </c>
      <c r="R244" s="38" t="str">
        <f>VLOOKUP($E244,countries!$A$2:$E$250,5,false)</f>
        <v>Northern Europe</v>
      </c>
      <c r="S244" s="38">
        <f t="shared" si="5"/>
        <v>1</v>
      </c>
      <c r="T244" s="38" t="s">
        <v>150</v>
      </c>
      <c r="U244" s="38">
        <v>2012.0</v>
      </c>
      <c r="V244" s="38">
        <v>10.0</v>
      </c>
      <c r="W244" s="38" t="s">
        <v>127</v>
      </c>
      <c r="X244" s="38" t="s">
        <v>198</v>
      </c>
      <c r="Y244" s="38" t="s">
        <v>146</v>
      </c>
      <c r="Z244" s="38" t="s">
        <v>170</v>
      </c>
      <c r="AA244" s="113" t="str">
        <f t="array" ref="AA244">PROPER(G244)</f>
        <v>Online</v>
      </c>
    </row>
    <row r="245">
      <c r="A245" s="110">
        <v>2.61640536E8</v>
      </c>
      <c r="B245" s="131">
        <v>42177.0</v>
      </c>
      <c r="C245" s="131">
        <v>42217.0</v>
      </c>
      <c r="D245" s="110" t="s">
        <v>89</v>
      </c>
      <c r="E245" s="110" t="s">
        <v>133</v>
      </c>
      <c r="F245" s="110">
        <v>7940.0</v>
      </c>
      <c r="G245" s="38" t="s">
        <v>42</v>
      </c>
      <c r="H245" s="110">
        <v>4104.0</v>
      </c>
      <c r="I245" s="132">
        <v>668.27</v>
      </c>
      <c r="J245" s="132">
        <v>502.54</v>
      </c>
      <c r="K245" s="39">
        <f t="shared" si="1"/>
        <v>2742580.08</v>
      </c>
      <c r="L245" s="39">
        <f t="shared" si="2"/>
        <v>2062424.16</v>
      </c>
      <c r="M245" s="39">
        <f t="shared" si="3"/>
        <v>680155.92</v>
      </c>
      <c r="N245" s="38" t="str">
        <f>VLOOKUP(F245,products!$A$2:$B$13,2,FALSE)</f>
        <v>Household</v>
      </c>
      <c r="O245" s="133">
        <f t="shared" si="4"/>
        <v>0.7520014365</v>
      </c>
      <c r="P245" s="38" t="str">
        <f>VLOOKUP(E245,countries!A$2:E$250,3,false)</f>
        <v>Bosnia and Herzegovina</v>
      </c>
      <c r="Q245" s="38" t="str">
        <f>VLOOKUP($E245,countries!$A$2:$E$250,4,false)</f>
        <v>Europe</v>
      </c>
      <c r="R245" s="38" t="str">
        <f>VLOOKUP($E245,countries!$A$2:$E$250,5,false)</f>
        <v>Southern Europe</v>
      </c>
      <c r="S245" s="38">
        <f t="shared" si="5"/>
        <v>40</v>
      </c>
      <c r="T245" s="38" t="s">
        <v>148</v>
      </c>
      <c r="U245" s="38">
        <v>2015.0</v>
      </c>
      <c r="V245" s="38">
        <v>6.0</v>
      </c>
      <c r="W245" s="38" t="s">
        <v>133</v>
      </c>
      <c r="X245" s="38" t="s">
        <v>204</v>
      </c>
      <c r="Y245" s="38" t="s">
        <v>146</v>
      </c>
      <c r="Z245" s="38" t="s">
        <v>147</v>
      </c>
      <c r="AA245" s="113" t="str">
        <f t="array" ref="AA245">PROPER(G245)</f>
        <v>Offline</v>
      </c>
    </row>
    <row r="246">
      <c r="A246" s="110">
        <v>2.62177836E8</v>
      </c>
      <c r="B246" s="131">
        <v>41249.0</v>
      </c>
      <c r="C246" s="131">
        <v>41290.0</v>
      </c>
      <c r="D246" s="110" t="s">
        <v>95</v>
      </c>
      <c r="E246" s="110" t="s">
        <v>98</v>
      </c>
      <c r="F246" s="110">
        <v>4594.0</v>
      </c>
      <c r="G246" s="38" t="s">
        <v>42</v>
      </c>
      <c r="H246" s="110">
        <v>3103.0</v>
      </c>
      <c r="I246" s="132">
        <v>9.33</v>
      </c>
      <c r="J246" s="132">
        <v>6.92</v>
      </c>
      <c r="K246" s="39">
        <f t="shared" si="1"/>
        <v>28950.99</v>
      </c>
      <c r="L246" s="39">
        <f t="shared" si="2"/>
        <v>21472.76</v>
      </c>
      <c r="M246" s="39">
        <f t="shared" si="3"/>
        <v>7478.23</v>
      </c>
      <c r="N246" s="38" t="str">
        <f>VLOOKUP(F246,products!$A$2:$B$13,2,FALSE)</f>
        <v>Fruits</v>
      </c>
      <c r="O246" s="133">
        <f t="shared" si="4"/>
        <v>0.741693462</v>
      </c>
      <c r="P246" s="38" t="str">
        <f>VLOOKUP(E246,countries!A$2:E$250,3,false)</f>
        <v>Spain</v>
      </c>
      <c r="Q246" s="38" t="str">
        <f>VLOOKUP($E246,countries!$A$2:$E$250,4,false)</f>
        <v>Europe</v>
      </c>
      <c r="R246" s="38" t="str">
        <f>VLOOKUP($E246,countries!$A$2:$E$250,5,false)</f>
        <v>Southern Europe</v>
      </c>
      <c r="S246" s="38">
        <f t="shared" si="5"/>
        <v>41</v>
      </c>
      <c r="T246" s="38" t="s">
        <v>156</v>
      </c>
      <c r="U246" s="38">
        <v>2012.0</v>
      </c>
      <c r="V246" s="38">
        <v>12.0</v>
      </c>
      <c r="W246" s="38" t="s">
        <v>98</v>
      </c>
      <c r="X246" s="38" t="s">
        <v>160</v>
      </c>
      <c r="Y246" s="38" t="s">
        <v>146</v>
      </c>
      <c r="Z246" s="38" t="s">
        <v>147</v>
      </c>
      <c r="AA246" s="113" t="str">
        <f t="array" ref="AA246">PROPER(G246)</f>
        <v>Offline</v>
      </c>
    </row>
    <row r="247">
      <c r="A247" s="110">
        <v>2.63098371E8</v>
      </c>
      <c r="B247" s="131">
        <v>41798.0</v>
      </c>
      <c r="C247" s="131">
        <v>41824.0</v>
      </c>
      <c r="D247" s="110" t="s">
        <v>93</v>
      </c>
      <c r="E247" s="110" t="s">
        <v>136</v>
      </c>
      <c r="F247" s="110">
        <v>3127.0</v>
      </c>
      <c r="G247" s="38" t="s">
        <v>43</v>
      </c>
      <c r="H247" s="110">
        <v>5509.0</v>
      </c>
      <c r="I247" s="132">
        <v>81.73</v>
      </c>
      <c r="J247" s="132">
        <v>56.67</v>
      </c>
      <c r="K247" s="39">
        <f t="shared" si="1"/>
        <v>450250.57</v>
      </c>
      <c r="L247" s="39">
        <f t="shared" si="2"/>
        <v>312195.03</v>
      </c>
      <c r="M247" s="39">
        <f t="shared" si="3"/>
        <v>138055.54</v>
      </c>
      <c r="N247" s="38" t="str">
        <f>VLOOKUP(F247,products!$A$2:$B$13,2,FALSE)</f>
        <v>Personal Care</v>
      </c>
      <c r="O247" s="133">
        <f t="shared" si="4"/>
        <v>0.6933806436</v>
      </c>
      <c r="P247" s="38" t="str">
        <f>VLOOKUP(E247,countries!A$2:E$250,3,false)</f>
        <v>Monaco</v>
      </c>
      <c r="Q247" s="38" t="str">
        <f>VLOOKUP($E247,countries!$A$2:$E$250,4,false)</f>
        <v>Europe</v>
      </c>
      <c r="R247" s="38" t="str">
        <f>VLOOKUP($E247,countries!$A$2:$E$250,5,false)</f>
        <v>Western Europe</v>
      </c>
      <c r="S247" s="38">
        <f t="shared" si="5"/>
        <v>26</v>
      </c>
      <c r="T247" s="38" t="s">
        <v>185</v>
      </c>
      <c r="U247" s="38">
        <v>2014.0</v>
      </c>
      <c r="V247" s="38">
        <v>6.0</v>
      </c>
      <c r="W247" s="38" t="s">
        <v>136</v>
      </c>
      <c r="X247" s="38" t="s">
        <v>206</v>
      </c>
      <c r="Y247" s="38" t="s">
        <v>146</v>
      </c>
      <c r="Z247" s="38" t="s">
        <v>158</v>
      </c>
      <c r="AA247" s="113" t="str">
        <f t="array" ref="AA247">PROPER(G247)</f>
        <v>Online</v>
      </c>
    </row>
    <row r="248">
      <c r="A248" s="110">
        <v>2.6342796E8</v>
      </c>
      <c r="B248" s="131">
        <v>40761.0</v>
      </c>
      <c r="C248" s="131">
        <v>40806.0</v>
      </c>
      <c r="D248" s="110" t="s">
        <v>95</v>
      </c>
      <c r="E248" s="110" t="s">
        <v>118</v>
      </c>
      <c r="F248" s="110">
        <v>4594.0</v>
      </c>
      <c r="G248" s="38" t="s">
        <v>42</v>
      </c>
      <c r="H248" s="110">
        <v>3042.0</v>
      </c>
      <c r="I248" s="132">
        <v>9.33</v>
      </c>
      <c r="J248" s="132">
        <v>6.92</v>
      </c>
      <c r="K248" s="39">
        <f t="shared" si="1"/>
        <v>28381.86</v>
      </c>
      <c r="L248" s="39">
        <f t="shared" si="2"/>
        <v>21050.64</v>
      </c>
      <c r="M248" s="39">
        <f t="shared" si="3"/>
        <v>7331.22</v>
      </c>
      <c r="N248" s="38" t="str">
        <f>VLOOKUP(F248,products!$A$2:$B$13,2,FALSE)</f>
        <v>Fruits</v>
      </c>
      <c r="O248" s="133">
        <f t="shared" si="4"/>
        <v>0.741693462</v>
      </c>
      <c r="P248" s="38" t="str">
        <f>VLOOKUP(E248,countries!A$2:E$250,3,false)</f>
        <v>Austria</v>
      </c>
      <c r="Q248" s="38" t="str">
        <f>VLOOKUP($E248,countries!$A$2:$E$250,4,false)</f>
        <v>Europe</v>
      </c>
      <c r="R248" s="38" t="str">
        <f>VLOOKUP($E248,countries!$A$2:$E$250,5,false)</f>
        <v>Western Europe</v>
      </c>
      <c r="S248" s="38">
        <f t="shared" si="5"/>
        <v>45</v>
      </c>
      <c r="T248" s="38" t="s">
        <v>156</v>
      </c>
      <c r="U248" s="38">
        <v>2011.0</v>
      </c>
      <c r="V248" s="38">
        <v>8.0</v>
      </c>
      <c r="W248" s="38" t="s">
        <v>118</v>
      </c>
      <c r="X248" s="38" t="s">
        <v>189</v>
      </c>
      <c r="Y248" s="38" t="s">
        <v>146</v>
      </c>
      <c r="Z248" s="38" t="s">
        <v>158</v>
      </c>
      <c r="AA248" s="113" t="str">
        <f t="array" ref="AA248">PROPER(G248)</f>
        <v>Offline</v>
      </c>
    </row>
    <row r="249">
      <c r="A249" s="110">
        <v>2.63647687E8</v>
      </c>
      <c r="B249" s="131">
        <v>40991.0</v>
      </c>
      <c r="C249" s="131">
        <v>40998.0</v>
      </c>
      <c r="D249" s="110" t="s">
        <v>89</v>
      </c>
      <c r="E249" s="110" t="e">
        <v>#N/A</v>
      </c>
      <c r="F249" s="110">
        <v>2455.0</v>
      </c>
      <c r="G249" s="38" t="s">
        <v>43</v>
      </c>
      <c r="H249" s="110">
        <v>8064.0</v>
      </c>
      <c r="I249" s="132">
        <v>109.28</v>
      </c>
      <c r="J249" s="132">
        <v>35.84</v>
      </c>
      <c r="K249" s="39">
        <f t="shared" si="1"/>
        <v>881233.92</v>
      </c>
      <c r="L249" s="39">
        <f t="shared" si="2"/>
        <v>289013.76</v>
      </c>
      <c r="M249" s="39">
        <f t="shared" si="3"/>
        <v>592220.16</v>
      </c>
      <c r="N249" s="38" t="str">
        <f>VLOOKUP(F249,products!$A$2:$B$13,2,FALSE)</f>
        <v>Clothes</v>
      </c>
      <c r="O249" s="133">
        <f t="shared" si="4"/>
        <v>0.3279648609</v>
      </c>
      <c r="P249" s="38" t="str">
        <f>VLOOKUP(E249,countries!A$2:E$250,3,false)</f>
        <v>#N/A</v>
      </c>
      <c r="Q249" s="38" t="str">
        <f>VLOOKUP($E249,countries!$A$2:$E$250,4,false)</f>
        <v>#N/A</v>
      </c>
      <c r="R249" s="38" t="str">
        <f>VLOOKUP($E249,countries!$A$2:$E$250,5,false)</f>
        <v>#N/A</v>
      </c>
      <c r="S249" s="38">
        <f t="shared" si="5"/>
        <v>7</v>
      </c>
      <c r="T249" s="38" t="s">
        <v>150</v>
      </c>
      <c r="U249" s="38">
        <v>2012.0</v>
      </c>
      <c r="V249" s="38">
        <v>3.0</v>
      </c>
      <c r="W249" s="38" t="s">
        <v>92</v>
      </c>
      <c r="X249" s="38" t="s">
        <v>149</v>
      </c>
      <c r="Y249" s="38" t="s">
        <v>149</v>
      </c>
      <c r="Z249" s="38" t="s">
        <v>149</v>
      </c>
      <c r="AA249" s="113" t="str">
        <f t="array" ref="AA249">PROPER(G249)</f>
        <v>Online</v>
      </c>
    </row>
    <row r="250">
      <c r="A250" s="110">
        <v>2.63852393E8</v>
      </c>
      <c r="B250" s="131">
        <v>41070.0</v>
      </c>
      <c r="C250" s="131">
        <v>41089.0</v>
      </c>
      <c r="D250" s="110" t="s">
        <v>93</v>
      </c>
      <c r="E250" s="110" t="e">
        <v>#N/A</v>
      </c>
      <c r="F250" s="110">
        <v>7331.0</v>
      </c>
      <c r="G250" s="38" t="s">
        <v>42</v>
      </c>
      <c r="H250" s="110">
        <v>8641.0</v>
      </c>
      <c r="I250" s="132">
        <v>255.28</v>
      </c>
      <c r="J250" s="132">
        <v>159.42</v>
      </c>
      <c r="K250" s="39">
        <f t="shared" si="1"/>
        <v>2205874.48</v>
      </c>
      <c r="L250" s="39">
        <f t="shared" si="2"/>
        <v>1377548.22</v>
      </c>
      <c r="M250" s="39">
        <f t="shared" si="3"/>
        <v>828326.26</v>
      </c>
      <c r="N250" s="38" t="str">
        <f>VLOOKUP(F250,products!$A$2:$B$13,2,FALSE)</f>
        <v>Baby Food</v>
      </c>
      <c r="O250" s="133">
        <f t="shared" si="4"/>
        <v>0.6244907552</v>
      </c>
      <c r="P250" s="38" t="str">
        <f>VLOOKUP(E250,countries!A$2:E$250,3,false)</f>
        <v>#N/A</v>
      </c>
      <c r="Q250" s="38" t="str">
        <f>VLOOKUP($E250,countries!$A$2:$E$250,4,false)</f>
        <v>#N/A</v>
      </c>
      <c r="R250" s="38" t="str">
        <f>VLOOKUP($E250,countries!$A$2:$E$250,5,false)</f>
        <v>#N/A</v>
      </c>
      <c r="S250" s="38">
        <f t="shared" si="5"/>
        <v>19</v>
      </c>
      <c r="T250" s="38" t="s">
        <v>161</v>
      </c>
      <c r="U250" s="38">
        <v>2012.0</v>
      </c>
      <c r="V250" s="38">
        <v>6.0</v>
      </c>
      <c r="W250" s="38" t="s">
        <v>92</v>
      </c>
      <c r="X250" s="38" t="s">
        <v>149</v>
      </c>
      <c r="Y250" s="38" t="s">
        <v>149</v>
      </c>
      <c r="Z250" s="38" t="s">
        <v>149</v>
      </c>
      <c r="AA250" s="113" t="str">
        <f t="array" ref="AA250">PROPER(G250)</f>
        <v>Offline</v>
      </c>
    </row>
    <row r="251">
      <c r="A251" s="110">
        <v>2.63882005E8</v>
      </c>
      <c r="B251" s="131">
        <v>40577.0</v>
      </c>
      <c r="C251" s="131">
        <v>40601.0</v>
      </c>
      <c r="D251" s="110" t="s">
        <v>89</v>
      </c>
      <c r="E251" s="110" t="s">
        <v>104</v>
      </c>
      <c r="F251" s="110">
        <v>1270.0</v>
      </c>
      <c r="G251" s="38" t="s">
        <v>43</v>
      </c>
      <c r="H251" s="110">
        <v>7404.0</v>
      </c>
      <c r="I251" s="132">
        <v>47.45</v>
      </c>
      <c r="J251" s="132">
        <v>31.79</v>
      </c>
      <c r="K251" s="39">
        <f t="shared" si="1"/>
        <v>351319.8</v>
      </c>
      <c r="L251" s="39">
        <f t="shared" si="2"/>
        <v>235373.16</v>
      </c>
      <c r="M251" s="39">
        <f t="shared" si="3"/>
        <v>115946.64</v>
      </c>
      <c r="N251" s="38" t="str">
        <f>VLOOKUP(F251,products!$A$2:$B$13,2,FALSE)</f>
        <v>Beverages</v>
      </c>
      <c r="O251" s="133">
        <f t="shared" si="4"/>
        <v>0.6699683878</v>
      </c>
      <c r="P251" s="38" t="str">
        <f>VLOOKUP(E251,countries!A$2:E$250,3,false)</f>
        <v>Slovenia</v>
      </c>
      <c r="Q251" s="38" t="str">
        <f>VLOOKUP($E251,countries!$A$2:$E$250,4,false)</f>
        <v>Europe</v>
      </c>
      <c r="R251" s="38" t="str">
        <f>VLOOKUP($E251,countries!$A$2:$E$250,5,false)</f>
        <v>Southern Europe</v>
      </c>
      <c r="S251" s="38">
        <f t="shared" si="5"/>
        <v>24</v>
      </c>
      <c r="T251" s="38" t="s">
        <v>152</v>
      </c>
      <c r="U251" s="38">
        <v>2011.0</v>
      </c>
      <c r="V251" s="38">
        <v>2.0</v>
      </c>
      <c r="W251" s="38" t="s">
        <v>104</v>
      </c>
      <c r="X251" s="38" t="s">
        <v>171</v>
      </c>
      <c r="Y251" s="38" t="s">
        <v>146</v>
      </c>
      <c r="Z251" s="38" t="s">
        <v>147</v>
      </c>
      <c r="AA251" s="113" t="str">
        <f t="array" ref="AA251">PROPER(G251)</f>
        <v>Online</v>
      </c>
    </row>
    <row r="252">
      <c r="A252" s="110">
        <v>2.63977277E8</v>
      </c>
      <c r="B252" s="131">
        <v>42719.0</v>
      </c>
      <c r="C252" s="131">
        <v>42745.0</v>
      </c>
      <c r="D252" s="110" t="s">
        <v>95</v>
      </c>
      <c r="E252" s="110" t="s">
        <v>127</v>
      </c>
      <c r="F252" s="110">
        <v>8681.0</v>
      </c>
      <c r="G252" s="38" t="s">
        <v>42</v>
      </c>
      <c r="H252" s="110">
        <v>5597.0</v>
      </c>
      <c r="I252" s="132">
        <v>651.21</v>
      </c>
      <c r="J252" s="132">
        <v>524.96</v>
      </c>
      <c r="K252" s="39">
        <f t="shared" si="1"/>
        <v>3644822.37</v>
      </c>
      <c r="L252" s="39">
        <f t="shared" si="2"/>
        <v>2938201.12</v>
      </c>
      <c r="M252" s="39">
        <f t="shared" si="3"/>
        <v>706621.25</v>
      </c>
      <c r="N252" s="38" t="str">
        <f>VLOOKUP(F252,products!$A$2:$B$13,2,FALSE)</f>
        <v>Office Supplies</v>
      </c>
      <c r="O252" s="133">
        <f t="shared" si="4"/>
        <v>0.806130127</v>
      </c>
      <c r="P252" s="38" t="str">
        <f>VLOOKUP(E252,countries!A$2:E$250,3,false)</f>
        <v>Ireland</v>
      </c>
      <c r="Q252" s="38" t="str">
        <f>VLOOKUP($E252,countries!$A$2:$E$250,4,false)</f>
        <v>Europe</v>
      </c>
      <c r="R252" s="38" t="str">
        <f>VLOOKUP($E252,countries!$A$2:$E$250,5,false)</f>
        <v>Northern Europe</v>
      </c>
      <c r="S252" s="38">
        <f t="shared" si="5"/>
        <v>26</v>
      </c>
      <c r="T252" s="38" t="s">
        <v>153</v>
      </c>
      <c r="U252" s="38">
        <v>2016.0</v>
      </c>
      <c r="V252" s="38">
        <v>12.0</v>
      </c>
      <c r="W252" s="38" t="s">
        <v>127</v>
      </c>
      <c r="X252" s="38" t="s">
        <v>198</v>
      </c>
      <c r="Y252" s="38" t="s">
        <v>146</v>
      </c>
      <c r="Z252" s="38" t="s">
        <v>170</v>
      </c>
      <c r="AA252" s="113" t="str">
        <f t="array" ref="AA252">PROPER(G252)</f>
        <v>Offline</v>
      </c>
    </row>
    <row r="253">
      <c r="A253" s="110">
        <v>2.64163959E8</v>
      </c>
      <c r="B253" s="131">
        <v>42618.0</v>
      </c>
      <c r="C253" s="131">
        <v>42635.0</v>
      </c>
      <c r="D253" s="110" t="s">
        <v>10</v>
      </c>
      <c r="E253" s="110" t="s">
        <v>129</v>
      </c>
      <c r="F253" s="110">
        <v>1270.0</v>
      </c>
      <c r="G253" s="38" t="s">
        <v>43</v>
      </c>
      <c r="H253" s="110">
        <v>840.0</v>
      </c>
      <c r="I253" s="132">
        <v>47.45</v>
      </c>
      <c r="J253" s="132">
        <v>31.79</v>
      </c>
      <c r="K253" s="39">
        <f t="shared" si="1"/>
        <v>39858</v>
      </c>
      <c r="L253" s="39">
        <f t="shared" si="2"/>
        <v>26703.6</v>
      </c>
      <c r="M253" s="39">
        <f t="shared" si="3"/>
        <v>13154.4</v>
      </c>
      <c r="N253" s="38" t="str">
        <f>VLOOKUP(F253,products!$A$2:$B$13,2,FALSE)</f>
        <v>Beverages</v>
      </c>
      <c r="O253" s="133">
        <f t="shared" si="4"/>
        <v>0.6699683878</v>
      </c>
      <c r="P253" s="38" t="str">
        <f>VLOOKUP(E253,countries!A$2:E$250,3,false)</f>
        <v>Liechtenstein</v>
      </c>
      <c r="Q253" s="38" t="str">
        <f>VLOOKUP($E253,countries!$A$2:$E$250,4,false)</f>
        <v>Europe</v>
      </c>
      <c r="R253" s="38" t="str">
        <f>VLOOKUP($E253,countries!$A$2:$E$250,5,false)</f>
        <v>Western Europe</v>
      </c>
      <c r="S253" s="38">
        <f t="shared" si="5"/>
        <v>17</v>
      </c>
      <c r="T253" s="38" t="s">
        <v>152</v>
      </c>
      <c r="U253" s="38">
        <v>2016.0</v>
      </c>
      <c r="V253" s="38">
        <v>9.0</v>
      </c>
      <c r="W253" s="38" t="s">
        <v>129</v>
      </c>
      <c r="X253" s="38" t="s">
        <v>200</v>
      </c>
      <c r="Y253" s="38" t="s">
        <v>146</v>
      </c>
      <c r="Z253" s="38" t="s">
        <v>158</v>
      </c>
      <c r="AA253" s="113" t="str">
        <f t="array" ref="AA253">PROPER(G253)</f>
        <v>Online</v>
      </c>
    </row>
    <row r="254">
      <c r="A254" s="110">
        <v>2.64526593E8</v>
      </c>
      <c r="B254" s="131">
        <v>41912.0</v>
      </c>
      <c r="C254" s="131">
        <v>41919.0</v>
      </c>
      <c r="D254" s="110" t="s">
        <v>95</v>
      </c>
      <c r="E254" s="110" t="s">
        <v>105</v>
      </c>
      <c r="F254" s="110">
        <v>3127.0</v>
      </c>
      <c r="G254" s="38" t="s">
        <v>42</v>
      </c>
      <c r="H254" s="110">
        <v>8152.0</v>
      </c>
      <c r="I254" s="132">
        <v>81.73</v>
      </c>
      <c r="J254" s="132">
        <v>56.67</v>
      </c>
      <c r="K254" s="39">
        <f t="shared" si="1"/>
        <v>666262.96</v>
      </c>
      <c r="L254" s="39">
        <f t="shared" si="2"/>
        <v>461973.84</v>
      </c>
      <c r="M254" s="39">
        <f t="shared" si="3"/>
        <v>204289.12</v>
      </c>
      <c r="N254" s="38" t="str">
        <f>VLOOKUP(F254,products!$A$2:$B$13,2,FALSE)</f>
        <v>Personal Care</v>
      </c>
      <c r="O254" s="133">
        <f t="shared" si="4"/>
        <v>0.6933806436</v>
      </c>
      <c r="P254" s="38" t="str">
        <f>VLOOKUP(E254,countries!A$2:E$250,3,false)</f>
        <v>Romania</v>
      </c>
      <c r="Q254" s="38" t="str">
        <f>VLOOKUP($E254,countries!$A$2:$E$250,4,false)</f>
        <v>Europe</v>
      </c>
      <c r="R254" s="38" t="str">
        <f>VLOOKUP($E254,countries!$A$2:$E$250,5,false)</f>
        <v>Eastern Europe</v>
      </c>
      <c r="S254" s="38">
        <f t="shared" si="5"/>
        <v>7</v>
      </c>
      <c r="T254" s="38" t="s">
        <v>185</v>
      </c>
      <c r="U254" s="38">
        <v>2014.0</v>
      </c>
      <c r="V254" s="38">
        <v>9.0</v>
      </c>
      <c r="W254" s="38" t="s">
        <v>105</v>
      </c>
      <c r="X254" s="38" t="s">
        <v>172</v>
      </c>
      <c r="Y254" s="38" t="s">
        <v>146</v>
      </c>
      <c r="Z254" s="38" t="s">
        <v>155</v>
      </c>
      <c r="AA254" s="113" t="str">
        <f t="array" ref="AA254">PROPER(G254)</f>
        <v>Offline</v>
      </c>
    </row>
    <row r="255">
      <c r="A255" s="110">
        <v>2.64856183E8</v>
      </c>
      <c r="B255" s="131">
        <v>40874.0</v>
      </c>
      <c r="C255" s="131">
        <v>40900.0</v>
      </c>
      <c r="D255" s="110" t="s">
        <v>93</v>
      </c>
      <c r="E255" s="110" t="s">
        <v>108</v>
      </c>
      <c r="F255" s="110">
        <v>4594.0</v>
      </c>
      <c r="G255" s="38" t="s">
        <v>43</v>
      </c>
      <c r="H255" s="110">
        <v>5685.0</v>
      </c>
      <c r="I255" s="132">
        <v>9.33</v>
      </c>
      <c r="J255" s="132">
        <v>6.92</v>
      </c>
      <c r="K255" s="39">
        <f t="shared" si="1"/>
        <v>53041.05</v>
      </c>
      <c r="L255" s="39">
        <f t="shared" si="2"/>
        <v>39340.2</v>
      </c>
      <c r="M255" s="39">
        <f t="shared" si="3"/>
        <v>13700.85</v>
      </c>
      <c r="N255" s="38" t="str">
        <f>VLOOKUP(F255,products!$A$2:$B$13,2,FALSE)</f>
        <v>Fruits</v>
      </c>
      <c r="O255" s="133">
        <f t="shared" si="4"/>
        <v>0.741693462</v>
      </c>
      <c r="P255" s="38" t="str">
        <f>VLOOKUP(E255,countries!A$2:E$250,3,false)</f>
        <v>Cyprus</v>
      </c>
      <c r="Q255" s="38" t="str">
        <f>VLOOKUP($E255,countries!$A$2:$E$250,4,false)</f>
        <v>Asia</v>
      </c>
      <c r="R255" s="38" t="str">
        <f>VLOOKUP($E255,countries!$A$2:$E$250,5,false)</f>
        <v>Western Asia</v>
      </c>
      <c r="S255" s="38">
        <f t="shared" si="5"/>
        <v>26</v>
      </c>
      <c r="T255" s="38" t="s">
        <v>156</v>
      </c>
      <c r="U255" s="38">
        <v>2011.0</v>
      </c>
      <c r="V255" s="38">
        <v>11.0</v>
      </c>
      <c r="W255" s="38" t="s">
        <v>108</v>
      </c>
      <c r="X255" s="38" t="s">
        <v>175</v>
      </c>
      <c r="Y255" s="38" t="s">
        <v>165</v>
      </c>
      <c r="Z255" s="38" t="s">
        <v>166</v>
      </c>
      <c r="AA255" s="113" t="str">
        <f t="array" ref="AA255">PROPER(G255)</f>
        <v>Online</v>
      </c>
    </row>
    <row r="256">
      <c r="A256" s="110">
        <v>2.6492871E8</v>
      </c>
      <c r="B256" s="131">
        <v>42393.0</v>
      </c>
      <c r="C256" s="131">
        <v>42396.0</v>
      </c>
      <c r="D256" s="110" t="s">
        <v>93</v>
      </c>
      <c r="E256" s="110" t="s">
        <v>117</v>
      </c>
      <c r="F256" s="110">
        <v>2455.0</v>
      </c>
      <c r="G256" s="38" t="s">
        <v>42</v>
      </c>
      <c r="H256" s="110">
        <v>7147.0</v>
      </c>
      <c r="I256" s="132">
        <v>109.28</v>
      </c>
      <c r="J256" s="132">
        <v>35.84</v>
      </c>
      <c r="K256" s="39">
        <f t="shared" si="1"/>
        <v>781024.16</v>
      </c>
      <c r="L256" s="39">
        <f t="shared" si="2"/>
        <v>256148.48</v>
      </c>
      <c r="M256" s="39">
        <f t="shared" si="3"/>
        <v>524875.68</v>
      </c>
      <c r="N256" s="38" t="str">
        <f>VLOOKUP(F256,products!$A$2:$B$13,2,FALSE)</f>
        <v>Clothes</v>
      </c>
      <c r="O256" s="133">
        <f t="shared" si="4"/>
        <v>0.3279648609</v>
      </c>
      <c r="P256" s="38" t="str">
        <f>VLOOKUP(E256,countries!A$2:E$250,3,false)</f>
        <v>Estonia</v>
      </c>
      <c r="Q256" s="38" t="str">
        <f>VLOOKUP($E256,countries!$A$2:$E$250,4,false)</f>
        <v>Europe</v>
      </c>
      <c r="R256" s="38" t="str">
        <f>VLOOKUP($E256,countries!$A$2:$E$250,5,false)</f>
        <v>Northern Europe</v>
      </c>
      <c r="S256" s="38">
        <f t="shared" si="5"/>
        <v>3</v>
      </c>
      <c r="T256" s="38" t="s">
        <v>150</v>
      </c>
      <c r="U256" s="38">
        <v>2016.0</v>
      </c>
      <c r="V256" s="38">
        <v>1.0</v>
      </c>
      <c r="W256" s="38" t="s">
        <v>117</v>
      </c>
      <c r="X256" s="38" t="s">
        <v>188</v>
      </c>
      <c r="Y256" s="38" t="s">
        <v>146</v>
      </c>
      <c r="Z256" s="38" t="s">
        <v>170</v>
      </c>
      <c r="AA256" s="113" t="str">
        <f t="array" ref="AA256">PROPER(G256)</f>
        <v>Offline</v>
      </c>
    </row>
    <row r="257">
      <c r="A257" s="110">
        <v>2.64959609E8</v>
      </c>
      <c r="B257" s="131">
        <v>41518.0</v>
      </c>
      <c r="C257" s="131">
        <v>41565.0</v>
      </c>
      <c r="D257" s="110" t="s">
        <v>10</v>
      </c>
      <c r="E257" s="110" t="s">
        <v>102</v>
      </c>
      <c r="F257" s="110">
        <v>8969.0</v>
      </c>
      <c r="G257" s="38" t="s">
        <v>43</v>
      </c>
      <c r="H257" s="110">
        <v>6291.0</v>
      </c>
      <c r="I257" s="132">
        <v>152.58</v>
      </c>
      <c r="J257" s="132">
        <v>97.44</v>
      </c>
      <c r="K257" s="39">
        <f t="shared" si="1"/>
        <v>959880.78</v>
      </c>
      <c r="L257" s="39">
        <f t="shared" si="2"/>
        <v>612995.04</v>
      </c>
      <c r="M257" s="39">
        <f t="shared" si="3"/>
        <v>346885.74</v>
      </c>
      <c r="N257" s="38" t="str">
        <f>VLOOKUP(F257,products!$A$2:$B$13,2,FALSE)</f>
        <v>Snacks</v>
      </c>
      <c r="O257" s="133">
        <f t="shared" si="4"/>
        <v>0.6386158081</v>
      </c>
      <c r="P257" s="38" t="str">
        <f>VLOOKUP(E257,countries!A$2:E$250,3,false)</f>
        <v>Georgia</v>
      </c>
      <c r="Q257" s="38" t="str">
        <f>VLOOKUP($E257,countries!$A$2:$E$250,4,false)</f>
        <v>Asia</v>
      </c>
      <c r="R257" s="38" t="str">
        <f>VLOOKUP($E257,countries!$A$2:$E$250,5,false)</f>
        <v>Western Asia</v>
      </c>
      <c r="S257" s="38">
        <f t="shared" si="5"/>
        <v>47</v>
      </c>
      <c r="T257" s="38" t="s">
        <v>182</v>
      </c>
      <c r="U257" s="38">
        <v>2013.0</v>
      </c>
      <c r="V257" s="38">
        <v>9.0</v>
      </c>
      <c r="W257" s="38" t="s">
        <v>102</v>
      </c>
      <c r="X257" s="38" t="s">
        <v>168</v>
      </c>
      <c r="Y257" s="38" t="s">
        <v>165</v>
      </c>
      <c r="Z257" s="38" t="s">
        <v>166</v>
      </c>
      <c r="AA257" s="113" t="str">
        <f t="array" ref="AA257">PROPER(G257)</f>
        <v>Online</v>
      </c>
    </row>
    <row r="258">
      <c r="A258" s="110">
        <v>2.65191352E8</v>
      </c>
      <c r="B258" s="131">
        <v>41869.0</v>
      </c>
      <c r="C258" s="131">
        <v>41908.0</v>
      </c>
      <c r="D258" s="110" t="s">
        <v>89</v>
      </c>
      <c r="E258" s="110" t="s">
        <v>91</v>
      </c>
      <c r="F258" s="110">
        <v>8969.0</v>
      </c>
      <c r="G258" s="38" t="s">
        <v>42</v>
      </c>
      <c r="H258" s="110">
        <v>4869.0</v>
      </c>
      <c r="I258" s="132">
        <v>152.58</v>
      </c>
      <c r="J258" s="132">
        <v>97.44</v>
      </c>
      <c r="K258" s="39">
        <f t="shared" si="1"/>
        <v>742912.02</v>
      </c>
      <c r="L258" s="39">
        <f t="shared" si="2"/>
        <v>474435.36</v>
      </c>
      <c r="M258" s="39">
        <f t="shared" si="3"/>
        <v>268476.66</v>
      </c>
      <c r="N258" s="38" t="str">
        <f>VLOOKUP(F258,products!$A$2:$B$13,2,FALSE)</f>
        <v>Snacks</v>
      </c>
      <c r="O258" s="133">
        <f t="shared" si="4"/>
        <v>0.6386158081</v>
      </c>
      <c r="P258" s="38" t="str">
        <f>VLOOKUP(E258,countries!A$2:E$250,3,false)</f>
        <v>Serbia</v>
      </c>
      <c r="Q258" s="38" t="str">
        <f>VLOOKUP($E258,countries!$A$2:$E$250,4,false)</f>
        <v>Europe</v>
      </c>
      <c r="R258" s="38" t="str">
        <f>VLOOKUP($E258,countries!$A$2:$E$250,5,false)</f>
        <v>Southern Europe</v>
      </c>
      <c r="S258" s="38">
        <f t="shared" si="5"/>
        <v>39</v>
      </c>
      <c r="T258" s="38" t="s">
        <v>182</v>
      </c>
      <c r="U258" s="38">
        <v>2014.0</v>
      </c>
      <c r="V258" s="38">
        <v>8.0</v>
      </c>
      <c r="W258" s="38" t="s">
        <v>91</v>
      </c>
      <c r="X258" s="38" t="s">
        <v>145</v>
      </c>
      <c r="Y258" s="38" t="s">
        <v>146</v>
      </c>
      <c r="Z258" s="38" t="s">
        <v>147</v>
      </c>
      <c r="AA258" s="113" t="str">
        <f t="array" ref="AA258">PROPER(G258)</f>
        <v>Offline</v>
      </c>
    </row>
    <row r="259">
      <c r="A259" s="110">
        <v>2.65914475E8</v>
      </c>
      <c r="B259" s="131">
        <v>42016.0</v>
      </c>
      <c r="C259" s="131">
        <v>42056.0</v>
      </c>
      <c r="D259" s="110" t="s">
        <v>89</v>
      </c>
      <c r="E259" s="110" t="s">
        <v>112</v>
      </c>
      <c r="F259" s="110">
        <v>8293.0</v>
      </c>
      <c r="G259" s="38" t="s">
        <v>43</v>
      </c>
      <c r="H259" s="110">
        <v>8857.0</v>
      </c>
      <c r="I259" s="132">
        <v>437.2</v>
      </c>
      <c r="J259" s="132">
        <v>263.33</v>
      </c>
      <c r="K259" s="39">
        <f t="shared" si="1"/>
        <v>3872280.4</v>
      </c>
      <c r="L259" s="39">
        <f t="shared" si="2"/>
        <v>2332313.81</v>
      </c>
      <c r="M259" s="39">
        <f t="shared" si="3"/>
        <v>1539966.59</v>
      </c>
      <c r="N259" s="38" t="str">
        <f>VLOOKUP(F259,products!$A$2:$B$13,2,FALSE)</f>
        <v>Cosmetics</v>
      </c>
      <c r="O259" s="133">
        <f t="shared" si="4"/>
        <v>0.6023101555</v>
      </c>
      <c r="P259" s="38" t="str">
        <f>VLOOKUP(E259,countries!A$2:E$250,3,false)</f>
        <v>Malta</v>
      </c>
      <c r="Q259" s="38" t="str">
        <f>VLOOKUP($E259,countries!$A$2:$E$250,4,false)</f>
        <v>Europe</v>
      </c>
      <c r="R259" s="38" t="str">
        <f>VLOOKUP($E259,countries!$A$2:$E$250,5,false)</f>
        <v>Southern Europe</v>
      </c>
      <c r="S259" s="38">
        <f t="shared" si="5"/>
        <v>40</v>
      </c>
      <c r="T259" s="38" t="s">
        <v>178</v>
      </c>
      <c r="U259" s="38">
        <v>2015.0</v>
      </c>
      <c r="V259" s="38">
        <v>1.0</v>
      </c>
      <c r="W259" s="38" t="s">
        <v>112</v>
      </c>
      <c r="X259" s="38" t="s">
        <v>180</v>
      </c>
      <c r="Y259" s="38" t="s">
        <v>146</v>
      </c>
      <c r="Z259" s="38" t="s">
        <v>147</v>
      </c>
      <c r="AA259" s="113" t="str">
        <f t="array" ref="AA259">PROPER(G259)</f>
        <v>Online</v>
      </c>
    </row>
    <row r="260">
      <c r="A260" s="110">
        <v>2.66614854E8</v>
      </c>
      <c r="B260" s="131">
        <v>41540.0</v>
      </c>
      <c r="C260" s="131">
        <v>41557.0</v>
      </c>
      <c r="D260" s="110" t="s">
        <v>89</v>
      </c>
      <c r="E260" s="110" t="s">
        <v>91</v>
      </c>
      <c r="F260" s="110">
        <v>7940.0</v>
      </c>
      <c r="G260" s="38" t="s">
        <v>43</v>
      </c>
      <c r="H260" s="110">
        <v>6115.0</v>
      </c>
      <c r="I260" s="132">
        <v>668.27</v>
      </c>
      <c r="J260" s="132">
        <v>502.54</v>
      </c>
      <c r="K260" s="39">
        <f t="shared" si="1"/>
        <v>4086471.05</v>
      </c>
      <c r="L260" s="39">
        <f t="shared" si="2"/>
        <v>3073032.1</v>
      </c>
      <c r="M260" s="39">
        <f t="shared" si="3"/>
        <v>1013438.95</v>
      </c>
      <c r="N260" s="38" t="str">
        <f>VLOOKUP(F260,products!$A$2:$B$13,2,FALSE)</f>
        <v>Household</v>
      </c>
      <c r="O260" s="133">
        <f t="shared" si="4"/>
        <v>0.7520014365</v>
      </c>
      <c r="P260" s="38" t="str">
        <f>VLOOKUP(E260,countries!A$2:E$250,3,false)</f>
        <v>Serbia</v>
      </c>
      <c r="Q260" s="38" t="str">
        <f>VLOOKUP($E260,countries!$A$2:$E$250,4,false)</f>
        <v>Europe</v>
      </c>
      <c r="R260" s="38" t="str">
        <f>VLOOKUP($E260,countries!$A$2:$E$250,5,false)</f>
        <v>Southern Europe</v>
      </c>
      <c r="S260" s="38">
        <f t="shared" si="5"/>
        <v>17</v>
      </c>
      <c r="T260" s="38" t="s">
        <v>148</v>
      </c>
      <c r="U260" s="38">
        <v>2013.0</v>
      </c>
      <c r="V260" s="38">
        <v>9.0</v>
      </c>
      <c r="W260" s="38" t="s">
        <v>91</v>
      </c>
      <c r="X260" s="38" t="s">
        <v>145</v>
      </c>
      <c r="Y260" s="38" t="s">
        <v>146</v>
      </c>
      <c r="Z260" s="38" t="s">
        <v>147</v>
      </c>
      <c r="AA260" s="113" t="str">
        <f t="array" ref="AA260">PROPER(G260)</f>
        <v>Online</v>
      </c>
    </row>
    <row r="261">
      <c r="A261" s="110">
        <v>2.66638886E8</v>
      </c>
      <c r="B261" s="131">
        <v>41781.0</v>
      </c>
      <c r="C261" s="131">
        <v>41809.0</v>
      </c>
      <c r="D261" s="110" t="s">
        <v>10</v>
      </c>
      <c r="E261" s="110" t="s">
        <v>128</v>
      </c>
      <c r="F261" s="110">
        <v>7940.0</v>
      </c>
      <c r="G261" s="38" t="s">
        <v>43</v>
      </c>
      <c r="H261" s="110">
        <v>3227.0</v>
      </c>
      <c r="I261" s="132">
        <v>668.27</v>
      </c>
      <c r="J261" s="132">
        <v>502.54</v>
      </c>
      <c r="K261" s="39">
        <f t="shared" si="1"/>
        <v>2156507.29</v>
      </c>
      <c r="L261" s="39">
        <f t="shared" si="2"/>
        <v>1621696.58</v>
      </c>
      <c r="M261" s="39">
        <f t="shared" si="3"/>
        <v>534810.71</v>
      </c>
      <c r="N261" s="38" t="str">
        <f>VLOOKUP(F261,products!$A$2:$B$13,2,FALSE)</f>
        <v>Household</v>
      </c>
      <c r="O261" s="133">
        <f t="shared" si="4"/>
        <v>0.7520014365</v>
      </c>
      <c r="P261" s="38" t="str">
        <f>VLOOKUP(E261,countries!A$2:E$250,3,false)</f>
        <v>Andorra</v>
      </c>
      <c r="Q261" s="38" t="str">
        <f>VLOOKUP($E261,countries!$A$2:$E$250,4,false)</f>
        <v>Europe</v>
      </c>
      <c r="R261" s="38" t="str">
        <f>VLOOKUP($E261,countries!$A$2:$E$250,5,false)</f>
        <v>Southern Europe</v>
      </c>
      <c r="S261" s="38">
        <f t="shared" si="5"/>
        <v>28</v>
      </c>
      <c r="T261" s="38" t="s">
        <v>148</v>
      </c>
      <c r="U261" s="38">
        <v>2014.0</v>
      </c>
      <c r="V261" s="38">
        <v>5.0</v>
      </c>
      <c r="W261" s="38" t="s">
        <v>128</v>
      </c>
      <c r="X261" s="38" t="s">
        <v>199</v>
      </c>
      <c r="Y261" s="38" t="s">
        <v>146</v>
      </c>
      <c r="Z261" s="38" t="s">
        <v>147</v>
      </c>
      <c r="AA261" s="113" t="str">
        <f t="array" ref="AA261">PROPER(G261)</f>
        <v>Online</v>
      </c>
    </row>
    <row r="262">
      <c r="A262" s="110">
        <v>2.68373954E8</v>
      </c>
      <c r="B262" s="131">
        <v>40234.0</v>
      </c>
      <c r="C262" s="131">
        <v>40237.0</v>
      </c>
      <c r="D262" s="110" t="s">
        <v>95</v>
      </c>
      <c r="E262" s="110" t="s">
        <v>118</v>
      </c>
      <c r="F262" s="110">
        <v>8681.0</v>
      </c>
      <c r="G262" s="38" t="s">
        <v>43</v>
      </c>
      <c r="H262" s="110">
        <v>6672.0</v>
      </c>
      <c r="I262" s="132">
        <v>651.21</v>
      </c>
      <c r="J262" s="132">
        <v>524.96</v>
      </c>
      <c r="K262" s="39">
        <f t="shared" si="1"/>
        <v>4344873.12</v>
      </c>
      <c r="L262" s="39">
        <f t="shared" si="2"/>
        <v>3502533.12</v>
      </c>
      <c r="M262" s="39">
        <f t="shared" si="3"/>
        <v>842340</v>
      </c>
      <c r="N262" s="38" t="str">
        <f>VLOOKUP(F262,products!$A$2:$B$13,2,FALSE)</f>
        <v>Office Supplies</v>
      </c>
      <c r="O262" s="133">
        <f t="shared" si="4"/>
        <v>0.806130127</v>
      </c>
      <c r="P262" s="38" t="str">
        <f>VLOOKUP(E262,countries!A$2:E$250,3,false)</f>
        <v>Austria</v>
      </c>
      <c r="Q262" s="38" t="str">
        <f>VLOOKUP($E262,countries!$A$2:$E$250,4,false)</f>
        <v>Europe</v>
      </c>
      <c r="R262" s="38" t="str">
        <f>VLOOKUP($E262,countries!$A$2:$E$250,5,false)</f>
        <v>Western Europe</v>
      </c>
      <c r="S262" s="38">
        <f t="shared" si="5"/>
        <v>3</v>
      </c>
      <c r="T262" s="38" t="s">
        <v>153</v>
      </c>
      <c r="U262" s="38">
        <v>2010.0</v>
      </c>
      <c r="V262" s="38">
        <v>2.0</v>
      </c>
      <c r="W262" s="38" t="s">
        <v>118</v>
      </c>
      <c r="X262" s="38" t="s">
        <v>189</v>
      </c>
      <c r="Y262" s="38" t="s">
        <v>146</v>
      </c>
      <c r="Z262" s="38" t="s">
        <v>158</v>
      </c>
      <c r="AA262" s="113" t="str">
        <f t="array" ref="AA262">PROPER(G262)</f>
        <v>Online</v>
      </c>
    </row>
    <row r="263">
      <c r="A263" s="110">
        <v>2.70358788E8</v>
      </c>
      <c r="B263" s="131">
        <v>41984.0</v>
      </c>
      <c r="C263" s="131">
        <v>42028.0</v>
      </c>
      <c r="D263" s="110" t="s">
        <v>89</v>
      </c>
      <c r="E263" s="110" t="s">
        <v>131</v>
      </c>
      <c r="F263" s="110">
        <v>1270.0</v>
      </c>
      <c r="G263" s="38" t="s">
        <v>42</v>
      </c>
      <c r="H263" s="110">
        <v>4028.0</v>
      </c>
      <c r="I263" s="132">
        <v>47.45</v>
      </c>
      <c r="J263" s="132">
        <v>31.79</v>
      </c>
      <c r="K263" s="39">
        <f t="shared" si="1"/>
        <v>191128.6</v>
      </c>
      <c r="L263" s="39">
        <f t="shared" si="2"/>
        <v>128050.12</v>
      </c>
      <c r="M263" s="39">
        <f t="shared" si="3"/>
        <v>63078.48</v>
      </c>
      <c r="N263" s="38" t="str">
        <f>VLOOKUP(F263,products!$A$2:$B$13,2,FALSE)</f>
        <v>Beverages</v>
      </c>
      <c r="O263" s="133">
        <f t="shared" si="4"/>
        <v>0.6699683878</v>
      </c>
      <c r="P263" s="38" t="str">
        <f>VLOOKUP(E263,countries!A$2:E$250,3,false)</f>
        <v>Albania</v>
      </c>
      <c r="Q263" s="38" t="str">
        <f>VLOOKUP($E263,countries!$A$2:$E$250,4,false)</f>
        <v>Europe</v>
      </c>
      <c r="R263" s="38" t="str">
        <f>VLOOKUP($E263,countries!$A$2:$E$250,5,false)</f>
        <v>Southern Europe</v>
      </c>
      <c r="S263" s="38">
        <f t="shared" si="5"/>
        <v>44</v>
      </c>
      <c r="T263" s="38" t="s">
        <v>152</v>
      </c>
      <c r="U263" s="38">
        <v>2014.0</v>
      </c>
      <c r="V263" s="38">
        <v>12.0</v>
      </c>
      <c r="W263" s="38" t="s">
        <v>131</v>
      </c>
      <c r="X263" s="38" t="s">
        <v>202</v>
      </c>
      <c r="Y263" s="38" t="s">
        <v>146</v>
      </c>
      <c r="Z263" s="38" t="s">
        <v>147</v>
      </c>
      <c r="AA263" s="113" t="str">
        <f t="array" ref="AA263">PROPER(G263)</f>
        <v>Offline</v>
      </c>
    </row>
    <row r="264">
      <c r="A264" s="110">
        <v>2.72361218E8</v>
      </c>
      <c r="B264" s="131">
        <v>40355.0</v>
      </c>
      <c r="C264" s="131">
        <v>40362.0</v>
      </c>
      <c r="D264" s="110" t="s">
        <v>10</v>
      </c>
      <c r="E264" s="110" t="s">
        <v>115</v>
      </c>
      <c r="F264" s="110">
        <v>8969.0</v>
      </c>
      <c r="G264" s="38" t="s">
        <v>42</v>
      </c>
      <c r="H264" s="110">
        <v>6592.0</v>
      </c>
      <c r="I264" s="132">
        <v>152.58</v>
      </c>
      <c r="J264" s="132">
        <v>97.44</v>
      </c>
      <c r="K264" s="39">
        <f t="shared" si="1"/>
        <v>1005807.36</v>
      </c>
      <c r="L264" s="39">
        <f t="shared" si="2"/>
        <v>642324.48</v>
      </c>
      <c r="M264" s="39">
        <f t="shared" si="3"/>
        <v>363482.88</v>
      </c>
      <c r="N264" s="38" t="str">
        <f>VLOOKUP(F264,products!$A$2:$B$13,2,FALSE)</f>
        <v>Snacks</v>
      </c>
      <c r="O264" s="133">
        <f t="shared" si="4"/>
        <v>0.6386158081</v>
      </c>
      <c r="P264" s="38" t="str">
        <f>VLOOKUP(E264,countries!A$2:E$250,3,false)</f>
        <v>Portugal</v>
      </c>
      <c r="Q264" s="38" t="str">
        <f>VLOOKUP($E264,countries!$A$2:$E$250,4,false)</f>
        <v>Europe</v>
      </c>
      <c r="R264" s="38" t="str">
        <f>VLOOKUP($E264,countries!$A$2:$E$250,5,false)</f>
        <v>Southern Europe</v>
      </c>
      <c r="S264" s="38">
        <f t="shared" si="5"/>
        <v>7</v>
      </c>
      <c r="T264" s="38" t="s">
        <v>182</v>
      </c>
      <c r="U264" s="38">
        <v>2010.0</v>
      </c>
      <c r="V264" s="38">
        <v>6.0</v>
      </c>
      <c r="W264" s="38" t="s">
        <v>115</v>
      </c>
      <c r="X264" s="38" t="s">
        <v>186</v>
      </c>
      <c r="Y264" s="38" t="s">
        <v>146</v>
      </c>
      <c r="Z264" s="38" t="s">
        <v>147</v>
      </c>
      <c r="AA264" s="113" t="str">
        <f t="array" ref="AA264">PROPER(G264)</f>
        <v>Offline</v>
      </c>
    </row>
    <row r="265">
      <c r="A265" s="110">
        <v>2.72425591E8</v>
      </c>
      <c r="B265" s="131">
        <v>40606.0</v>
      </c>
      <c r="C265" s="131">
        <v>40623.0</v>
      </c>
      <c r="D265" s="110" t="s">
        <v>93</v>
      </c>
      <c r="E265" s="110" t="s">
        <v>135</v>
      </c>
      <c r="F265" s="110">
        <v>4594.0</v>
      </c>
      <c r="G265" s="38" t="s">
        <v>43</v>
      </c>
      <c r="H265" s="110">
        <v>5641.0</v>
      </c>
      <c r="I265" s="132">
        <v>9.33</v>
      </c>
      <c r="J265" s="132">
        <v>6.92</v>
      </c>
      <c r="K265" s="39">
        <f t="shared" si="1"/>
        <v>52630.53</v>
      </c>
      <c r="L265" s="39">
        <f t="shared" si="2"/>
        <v>39035.72</v>
      </c>
      <c r="M265" s="39">
        <f t="shared" si="3"/>
        <v>13594.81</v>
      </c>
      <c r="N265" s="38" t="str">
        <f>VLOOKUP(F265,products!$A$2:$B$13,2,FALSE)</f>
        <v>Fruits</v>
      </c>
      <c r="O265" s="133">
        <f t="shared" si="4"/>
        <v>0.741693462</v>
      </c>
      <c r="P265" s="38" t="str">
        <f>VLOOKUP(E265,countries!A$2:E$250,3,false)</f>
        <v>Denmark</v>
      </c>
      <c r="Q265" s="38" t="str">
        <f>VLOOKUP($E265,countries!$A$2:$E$250,4,false)</f>
        <v>Europe</v>
      </c>
      <c r="R265" s="38" t="str">
        <f>VLOOKUP($E265,countries!$A$2:$E$250,5,false)</f>
        <v>Northern Europe</v>
      </c>
      <c r="S265" s="38">
        <f t="shared" si="5"/>
        <v>17</v>
      </c>
      <c r="T265" s="38" t="s">
        <v>156</v>
      </c>
      <c r="U265" s="38">
        <v>2011.0</v>
      </c>
      <c r="V265" s="38">
        <v>3.0</v>
      </c>
      <c r="W265" s="38" t="s">
        <v>135</v>
      </c>
      <c r="X265" s="38" t="s">
        <v>205</v>
      </c>
      <c r="Y265" s="38" t="s">
        <v>146</v>
      </c>
      <c r="Z265" s="38" t="s">
        <v>170</v>
      </c>
      <c r="AA265" s="113" t="str">
        <f t="array" ref="AA265">PROPER(G265)</f>
        <v>Online</v>
      </c>
    </row>
    <row r="266">
      <c r="A266" s="110">
        <v>2.73662412E8</v>
      </c>
      <c r="B266" s="131">
        <v>40379.0</v>
      </c>
      <c r="C266" s="131">
        <v>40382.0</v>
      </c>
      <c r="D266" s="110" t="s">
        <v>10</v>
      </c>
      <c r="E266" s="110" t="s">
        <v>125</v>
      </c>
      <c r="F266" s="110">
        <v>8875.0</v>
      </c>
      <c r="G266" s="38" t="s">
        <v>43</v>
      </c>
      <c r="H266" s="110">
        <v>1644.0</v>
      </c>
      <c r="I266" s="132">
        <v>421.89</v>
      </c>
      <c r="J266" s="132">
        <v>364.69</v>
      </c>
      <c r="K266" s="39">
        <f t="shared" si="1"/>
        <v>693587.16</v>
      </c>
      <c r="L266" s="39">
        <f t="shared" si="2"/>
        <v>599550.36</v>
      </c>
      <c r="M266" s="39">
        <f t="shared" si="3"/>
        <v>94036.8</v>
      </c>
      <c r="N266" s="38" t="str">
        <f>VLOOKUP(F266,products!$A$2:$B$13,2,FALSE)</f>
        <v>Meat</v>
      </c>
      <c r="O266" s="133">
        <f t="shared" si="4"/>
        <v>0.8644196354</v>
      </c>
      <c r="P266" s="38" t="str">
        <f>VLOOKUP(E266,countries!A$2:E$250,3,false)</f>
        <v>Bulgaria</v>
      </c>
      <c r="Q266" s="38" t="str">
        <f>VLOOKUP($E266,countries!$A$2:$E$250,4,false)</f>
        <v>Europe</v>
      </c>
      <c r="R266" s="38" t="str">
        <f>VLOOKUP($E266,countries!$A$2:$E$250,5,false)</f>
        <v>Eastern Europe</v>
      </c>
      <c r="S266" s="38">
        <f t="shared" si="5"/>
        <v>3</v>
      </c>
      <c r="T266" s="38" t="s">
        <v>167</v>
      </c>
      <c r="U266" s="38">
        <v>2010.0</v>
      </c>
      <c r="V266" s="38">
        <v>7.0</v>
      </c>
      <c r="W266" s="38" t="s">
        <v>125</v>
      </c>
      <c r="X266" s="38" t="s">
        <v>196</v>
      </c>
      <c r="Y266" s="38" t="s">
        <v>146</v>
      </c>
      <c r="Z266" s="38" t="s">
        <v>155</v>
      </c>
      <c r="AA266" s="113" t="str">
        <f t="array" ref="AA266">PROPER(G266)</f>
        <v>Online</v>
      </c>
    </row>
    <row r="267">
      <c r="A267" s="110">
        <v>2.73940503E8</v>
      </c>
      <c r="B267" s="131">
        <v>40800.0</v>
      </c>
      <c r="C267" s="131">
        <v>40835.0</v>
      </c>
      <c r="D267" s="110" t="s">
        <v>93</v>
      </c>
      <c r="E267" s="110" t="s">
        <v>105</v>
      </c>
      <c r="F267" s="110">
        <v>2103.0</v>
      </c>
      <c r="G267" s="38" t="s">
        <v>43</v>
      </c>
      <c r="H267" s="110">
        <v>3937.0</v>
      </c>
      <c r="I267" s="132">
        <v>205.7</v>
      </c>
      <c r="J267" s="132">
        <v>117.11</v>
      </c>
      <c r="K267" s="39">
        <f t="shared" si="1"/>
        <v>809840.9</v>
      </c>
      <c r="L267" s="39">
        <f t="shared" si="2"/>
        <v>461062.07</v>
      </c>
      <c r="M267" s="39">
        <f t="shared" si="3"/>
        <v>348778.83</v>
      </c>
      <c r="N267" s="38" t="str">
        <f>VLOOKUP(F267,products!$A$2:$B$13,2,FALSE)</f>
        <v>Cereal</v>
      </c>
      <c r="O267" s="133">
        <f t="shared" si="4"/>
        <v>0.5693242586</v>
      </c>
      <c r="P267" s="38" t="str">
        <f>VLOOKUP(E267,countries!A$2:E$250,3,false)</f>
        <v>Romania</v>
      </c>
      <c r="Q267" s="38" t="str">
        <f>VLOOKUP($E267,countries!$A$2:$E$250,4,false)</f>
        <v>Europe</v>
      </c>
      <c r="R267" s="38" t="str">
        <f>VLOOKUP($E267,countries!$A$2:$E$250,5,false)</f>
        <v>Eastern Europe</v>
      </c>
      <c r="S267" s="38">
        <f t="shared" si="5"/>
        <v>35</v>
      </c>
      <c r="T267" s="38" t="s">
        <v>144</v>
      </c>
      <c r="U267" s="38">
        <v>2011.0</v>
      </c>
      <c r="V267" s="38">
        <v>9.0</v>
      </c>
      <c r="W267" s="38" t="s">
        <v>105</v>
      </c>
      <c r="X267" s="38" t="s">
        <v>172</v>
      </c>
      <c r="Y267" s="38" t="s">
        <v>146</v>
      </c>
      <c r="Z267" s="38" t="s">
        <v>155</v>
      </c>
      <c r="AA267" s="113" t="str">
        <f t="array" ref="AA267">PROPER(G267)</f>
        <v>Online</v>
      </c>
    </row>
    <row r="268">
      <c r="A268" s="110">
        <v>2.74694526E8</v>
      </c>
      <c r="B268" s="131">
        <v>42838.0</v>
      </c>
      <c r="C268" s="131">
        <v>42866.0</v>
      </c>
      <c r="D268" s="110" t="s">
        <v>10</v>
      </c>
      <c r="E268" s="110" t="s">
        <v>112</v>
      </c>
      <c r="F268" s="110">
        <v>3127.0</v>
      </c>
      <c r="G268" s="38" t="s">
        <v>42</v>
      </c>
      <c r="H268" s="110">
        <v>7069.0</v>
      </c>
      <c r="I268" s="132">
        <v>81.73</v>
      </c>
      <c r="J268" s="132">
        <v>56.67</v>
      </c>
      <c r="K268" s="39">
        <f t="shared" si="1"/>
        <v>577749.37</v>
      </c>
      <c r="L268" s="39">
        <f t="shared" si="2"/>
        <v>400600.23</v>
      </c>
      <c r="M268" s="39">
        <f t="shared" si="3"/>
        <v>177149.14</v>
      </c>
      <c r="N268" s="38" t="str">
        <f>VLOOKUP(F268,products!$A$2:$B$13,2,FALSE)</f>
        <v>Personal Care</v>
      </c>
      <c r="O268" s="133">
        <f t="shared" si="4"/>
        <v>0.6933806436</v>
      </c>
      <c r="P268" s="38" t="str">
        <f>VLOOKUP(E268,countries!A$2:E$250,3,false)</f>
        <v>Malta</v>
      </c>
      <c r="Q268" s="38" t="str">
        <f>VLOOKUP($E268,countries!$A$2:$E$250,4,false)</f>
        <v>Europe</v>
      </c>
      <c r="R268" s="38" t="str">
        <f>VLOOKUP($E268,countries!$A$2:$E$250,5,false)</f>
        <v>Southern Europe</v>
      </c>
      <c r="S268" s="38">
        <f t="shared" si="5"/>
        <v>28</v>
      </c>
      <c r="T268" s="38" t="s">
        <v>185</v>
      </c>
      <c r="U268" s="38">
        <v>2017.0</v>
      </c>
      <c r="V268" s="38">
        <v>4.0</v>
      </c>
      <c r="W268" s="38" t="s">
        <v>112</v>
      </c>
      <c r="X268" s="38" t="s">
        <v>180</v>
      </c>
      <c r="Y268" s="38" t="s">
        <v>146</v>
      </c>
      <c r="Z268" s="38" t="s">
        <v>147</v>
      </c>
      <c r="AA268" s="113" t="str">
        <f t="array" ref="AA268">PROPER(G268)</f>
        <v>Offline</v>
      </c>
    </row>
    <row r="269">
      <c r="A269" s="110">
        <v>2.74989354E8</v>
      </c>
      <c r="B269" s="131">
        <v>41057.0</v>
      </c>
      <c r="C269" s="131">
        <v>41100.0</v>
      </c>
      <c r="D269" s="110" t="s">
        <v>89</v>
      </c>
      <c r="E269" s="110" t="s">
        <v>132</v>
      </c>
      <c r="F269" s="110">
        <v>8969.0</v>
      </c>
      <c r="G269" s="38" t="s">
        <v>43</v>
      </c>
      <c r="H269" s="110">
        <v>4316.0</v>
      </c>
      <c r="I269" s="132">
        <v>152.58</v>
      </c>
      <c r="J269" s="132">
        <v>97.44</v>
      </c>
      <c r="K269" s="39">
        <f t="shared" si="1"/>
        <v>658535.28</v>
      </c>
      <c r="L269" s="39">
        <f t="shared" si="2"/>
        <v>420551.04</v>
      </c>
      <c r="M269" s="39">
        <f t="shared" si="3"/>
        <v>237984.24</v>
      </c>
      <c r="N269" s="38" t="str">
        <f>VLOOKUP(F269,products!$A$2:$B$13,2,FALSE)</f>
        <v>Snacks</v>
      </c>
      <c r="O269" s="133">
        <f t="shared" si="4"/>
        <v>0.6386158081</v>
      </c>
      <c r="P269" s="38" t="str">
        <f>VLOOKUP(E269,countries!A$2:E$250,3,false)</f>
        <v>Sweden</v>
      </c>
      <c r="Q269" s="38" t="str">
        <f>VLOOKUP($E269,countries!$A$2:$E$250,4,false)</f>
        <v>Europe</v>
      </c>
      <c r="R269" s="38" t="str">
        <f>VLOOKUP($E269,countries!$A$2:$E$250,5,false)</f>
        <v>Northern Europe</v>
      </c>
      <c r="S269" s="38">
        <f t="shared" si="5"/>
        <v>43</v>
      </c>
      <c r="T269" s="38" t="s">
        <v>182</v>
      </c>
      <c r="U269" s="38">
        <v>2012.0</v>
      </c>
      <c r="V269" s="38">
        <v>5.0</v>
      </c>
      <c r="W269" s="38" t="s">
        <v>132</v>
      </c>
      <c r="X269" s="38" t="s">
        <v>203</v>
      </c>
      <c r="Y269" s="38" t="s">
        <v>146</v>
      </c>
      <c r="Z269" s="38" t="s">
        <v>170</v>
      </c>
      <c r="AA269" s="113" t="str">
        <f t="array" ref="AA269">PROPER(G269)</f>
        <v>Online</v>
      </c>
    </row>
    <row r="270">
      <c r="A270" s="110">
        <v>2.76784074E8</v>
      </c>
      <c r="B270" s="131">
        <v>42084.0</v>
      </c>
      <c r="C270" s="131">
        <v>42109.0</v>
      </c>
      <c r="D270" s="110" t="s">
        <v>10</v>
      </c>
      <c r="E270" s="110" t="s">
        <v>100</v>
      </c>
      <c r="F270" s="110">
        <v>2455.0</v>
      </c>
      <c r="G270" s="38" t="s">
        <v>43</v>
      </c>
      <c r="H270" s="110">
        <v>5413.0</v>
      </c>
      <c r="I270" s="132">
        <v>109.28</v>
      </c>
      <c r="J270" s="132">
        <v>35.84</v>
      </c>
      <c r="K270" s="39">
        <f t="shared" si="1"/>
        <v>591532.64</v>
      </c>
      <c r="L270" s="39">
        <f t="shared" si="2"/>
        <v>194001.92</v>
      </c>
      <c r="M270" s="39">
        <f t="shared" si="3"/>
        <v>397530.72</v>
      </c>
      <c r="N270" s="38" t="str">
        <f>VLOOKUP(F270,products!$A$2:$B$13,2,FALSE)</f>
        <v>Clothes</v>
      </c>
      <c r="O270" s="133">
        <f t="shared" si="4"/>
        <v>0.3279648609</v>
      </c>
      <c r="P270" s="38" t="str">
        <f>VLOOKUP(E270,countries!A$2:E$250,3,false)</f>
        <v>Germany</v>
      </c>
      <c r="Q270" s="38" t="str">
        <f>VLOOKUP($E270,countries!$A$2:$E$250,4,false)</f>
        <v>Europe</v>
      </c>
      <c r="R270" s="38" t="str">
        <f>VLOOKUP($E270,countries!$A$2:$E$250,5,false)</f>
        <v>Western Europe</v>
      </c>
      <c r="S270" s="38">
        <f t="shared" si="5"/>
        <v>25</v>
      </c>
      <c r="T270" s="38" t="s">
        <v>150</v>
      </c>
      <c r="U270" s="38">
        <v>2015.0</v>
      </c>
      <c r="V270" s="38">
        <v>3.0</v>
      </c>
      <c r="W270" s="38" t="s">
        <v>100</v>
      </c>
      <c r="X270" s="38" t="s">
        <v>163</v>
      </c>
      <c r="Y270" s="38" t="s">
        <v>146</v>
      </c>
      <c r="Z270" s="38" t="s">
        <v>158</v>
      </c>
      <c r="AA270" s="113" t="str">
        <f t="array" ref="AA270">PROPER(G270)</f>
        <v>Online</v>
      </c>
    </row>
    <row r="271">
      <c r="A271" s="110">
        <v>2.76850593E8</v>
      </c>
      <c r="B271" s="131">
        <v>40776.0</v>
      </c>
      <c r="C271" s="131">
        <v>40789.0</v>
      </c>
      <c r="D271" s="110" t="s">
        <v>93</v>
      </c>
      <c r="E271" s="110" t="s">
        <v>112</v>
      </c>
      <c r="F271" s="110">
        <v>7331.0</v>
      </c>
      <c r="G271" s="38" t="s">
        <v>42</v>
      </c>
      <c r="H271" s="110">
        <v>5097.0</v>
      </c>
      <c r="I271" s="132">
        <v>255.28</v>
      </c>
      <c r="J271" s="132">
        <v>159.42</v>
      </c>
      <c r="K271" s="39">
        <f t="shared" si="1"/>
        <v>1301162.16</v>
      </c>
      <c r="L271" s="39">
        <f t="shared" si="2"/>
        <v>812563.74</v>
      </c>
      <c r="M271" s="39">
        <f t="shared" si="3"/>
        <v>488598.42</v>
      </c>
      <c r="N271" s="38" t="str">
        <f>VLOOKUP(F271,products!$A$2:$B$13,2,FALSE)</f>
        <v>Baby Food</v>
      </c>
      <c r="O271" s="133">
        <f t="shared" si="4"/>
        <v>0.6244907552</v>
      </c>
      <c r="P271" s="38" t="str">
        <f>VLOOKUP(E271,countries!A$2:E$250,3,false)</f>
        <v>Malta</v>
      </c>
      <c r="Q271" s="38" t="str">
        <f>VLOOKUP($E271,countries!$A$2:$E$250,4,false)</f>
        <v>Europe</v>
      </c>
      <c r="R271" s="38" t="str">
        <f>VLOOKUP($E271,countries!$A$2:$E$250,5,false)</f>
        <v>Southern Europe</v>
      </c>
      <c r="S271" s="38">
        <f t="shared" si="5"/>
        <v>13</v>
      </c>
      <c r="T271" s="38" t="s">
        <v>161</v>
      </c>
      <c r="U271" s="38">
        <v>2011.0</v>
      </c>
      <c r="V271" s="38">
        <v>8.0</v>
      </c>
      <c r="W271" s="38" t="s">
        <v>112</v>
      </c>
      <c r="X271" s="38" t="s">
        <v>180</v>
      </c>
      <c r="Y271" s="38" t="s">
        <v>146</v>
      </c>
      <c r="Z271" s="38" t="s">
        <v>147</v>
      </c>
      <c r="AA271" s="113" t="str">
        <f t="array" ref="AA271">PROPER(G271)</f>
        <v>Offline</v>
      </c>
    </row>
    <row r="272">
      <c r="A272" s="110">
        <v>2.78513133E8</v>
      </c>
      <c r="B272" s="131">
        <v>40476.0</v>
      </c>
      <c r="C272" s="131">
        <v>40487.0</v>
      </c>
      <c r="D272" s="110" t="s">
        <v>95</v>
      </c>
      <c r="E272" s="110" t="s">
        <v>119</v>
      </c>
      <c r="F272" s="110">
        <v>4594.0</v>
      </c>
      <c r="G272" s="38" t="s">
        <v>43</v>
      </c>
      <c r="H272" s="110">
        <v>7080.0</v>
      </c>
      <c r="I272" s="132">
        <v>9.33</v>
      </c>
      <c r="J272" s="132">
        <v>6.92</v>
      </c>
      <c r="K272" s="39">
        <f t="shared" si="1"/>
        <v>66056.4</v>
      </c>
      <c r="L272" s="39">
        <f t="shared" si="2"/>
        <v>48993.6</v>
      </c>
      <c r="M272" s="39">
        <f t="shared" si="3"/>
        <v>17062.8</v>
      </c>
      <c r="N272" s="38" t="str">
        <f>VLOOKUP(F272,products!$A$2:$B$13,2,FALSE)</f>
        <v>Fruits</v>
      </c>
      <c r="O272" s="133">
        <f t="shared" si="4"/>
        <v>0.741693462</v>
      </c>
      <c r="P272" s="38" t="str">
        <f>VLOOKUP(E272,countries!A$2:E$250,3,false)</f>
        <v>Macedonia</v>
      </c>
      <c r="Q272" s="38" t="str">
        <f>VLOOKUP($E272,countries!$A$2:$E$250,4,false)</f>
        <v>Europe</v>
      </c>
      <c r="R272" s="38" t="str">
        <f>VLOOKUP($E272,countries!$A$2:$E$250,5,false)</f>
        <v>Southern Europe</v>
      </c>
      <c r="S272" s="38">
        <f t="shared" si="5"/>
        <v>11</v>
      </c>
      <c r="T272" s="38" t="s">
        <v>156</v>
      </c>
      <c r="U272" s="38">
        <v>2010.0</v>
      </c>
      <c r="V272" s="38">
        <v>10.0</v>
      </c>
      <c r="W272" s="38" t="s">
        <v>119</v>
      </c>
      <c r="X272" s="38" t="s">
        <v>190</v>
      </c>
      <c r="Y272" s="38" t="s">
        <v>146</v>
      </c>
      <c r="Z272" s="38" t="s">
        <v>147</v>
      </c>
      <c r="AA272" s="113" t="str">
        <f t="array" ref="AA272">PROPER(G272)</f>
        <v>Online</v>
      </c>
    </row>
    <row r="273">
      <c r="A273" s="110">
        <v>2.79338395E8</v>
      </c>
      <c r="B273" s="131">
        <v>41649.0</v>
      </c>
      <c r="C273" s="131">
        <v>41694.0</v>
      </c>
      <c r="D273" s="110" t="s">
        <v>93</v>
      </c>
      <c r="E273" s="110" t="s">
        <v>111</v>
      </c>
      <c r="F273" s="110">
        <v>2103.0</v>
      </c>
      <c r="G273" s="38" t="s">
        <v>43</v>
      </c>
      <c r="H273" s="110">
        <v>1293.0</v>
      </c>
      <c r="I273" s="132">
        <v>205.7</v>
      </c>
      <c r="J273" s="132">
        <v>117.11</v>
      </c>
      <c r="K273" s="39">
        <f t="shared" si="1"/>
        <v>265970.1</v>
      </c>
      <c r="L273" s="39">
        <f t="shared" si="2"/>
        <v>151423.23</v>
      </c>
      <c r="M273" s="39">
        <f t="shared" si="3"/>
        <v>114546.87</v>
      </c>
      <c r="N273" s="38" t="str">
        <f>VLOOKUP(F273,products!$A$2:$B$13,2,FALSE)</f>
        <v>Cereal</v>
      </c>
      <c r="O273" s="133">
        <f t="shared" si="4"/>
        <v>0.5693242586</v>
      </c>
      <c r="P273" s="38" t="str">
        <f>VLOOKUP(E273,countries!A$2:E$250,3,false)</f>
        <v>Russia</v>
      </c>
      <c r="Q273" s="38" t="str">
        <f>VLOOKUP($E273,countries!$A$2:$E$250,4,false)</f>
        <v>Europe</v>
      </c>
      <c r="R273" s="38" t="str">
        <f>VLOOKUP($E273,countries!$A$2:$E$250,5,false)</f>
        <v>Eastern Europe</v>
      </c>
      <c r="S273" s="38">
        <f t="shared" si="5"/>
        <v>45</v>
      </c>
      <c r="T273" s="38" t="s">
        <v>144</v>
      </c>
      <c r="U273" s="38">
        <v>2014.0</v>
      </c>
      <c r="V273" s="38">
        <v>1.0</v>
      </c>
      <c r="W273" s="38" t="s">
        <v>111</v>
      </c>
      <c r="X273" s="38" t="s">
        <v>179</v>
      </c>
      <c r="Y273" s="38" t="s">
        <v>146</v>
      </c>
      <c r="Z273" s="38" t="s">
        <v>155</v>
      </c>
      <c r="AA273" s="113" t="str">
        <f t="array" ref="AA273">PROPER(G273)</f>
        <v>Online</v>
      </c>
    </row>
    <row r="274">
      <c r="A274" s="110">
        <v>2.79703605E8</v>
      </c>
      <c r="B274" s="131">
        <v>40179.0</v>
      </c>
      <c r="C274" s="131">
        <v>40188.0</v>
      </c>
      <c r="D274" s="110" t="s">
        <v>10</v>
      </c>
      <c r="E274" s="110" t="s">
        <v>123</v>
      </c>
      <c r="F274" s="110">
        <v>7331.0</v>
      </c>
      <c r="G274" s="38" t="s">
        <v>42</v>
      </c>
      <c r="H274" s="110">
        <v>9367.0</v>
      </c>
      <c r="I274" s="132">
        <v>255.28</v>
      </c>
      <c r="J274" s="132">
        <v>159.42</v>
      </c>
      <c r="K274" s="39">
        <f t="shared" si="1"/>
        <v>2391207.76</v>
      </c>
      <c r="L274" s="39">
        <f t="shared" si="2"/>
        <v>1493287.14</v>
      </c>
      <c r="M274" s="39">
        <f t="shared" si="3"/>
        <v>897920.62</v>
      </c>
      <c r="N274" s="38" t="str">
        <f>VLOOKUP(F274,products!$A$2:$B$13,2,FALSE)</f>
        <v>Baby Food</v>
      </c>
      <c r="O274" s="133">
        <f t="shared" si="4"/>
        <v>0.6244907552</v>
      </c>
      <c r="P274" s="38" t="str">
        <f>VLOOKUP(E274,countries!A$2:E$250,3,false)</f>
        <v>Hungary</v>
      </c>
      <c r="Q274" s="38" t="str">
        <f>VLOOKUP($E274,countries!$A$2:$E$250,4,false)</f>
        <v>Europe</v>
      </c>
      <c r="R274" s="38" t="str">
        <f>VLOOKUP($E274,countries!$A$2:$E$250,5,false)</f>
        <v>Eastern Europe</v>
      </c>
      <c r="S274" s="38">
        <f t="shared" si="5"/>
        <v>9</v>
      </c>
      <c r="T274" s="38" t="s">
        <v>161</v>
      </c>
      <c r="U274" s="38">
        <v>2010.0</v>
      </c>
      <c r="V274" s="38">
        <v>1.0</v>
      </c>
      <c r="W274" s="38" t="s">
        <v>123</v>
      </c>
      <c r="X274" s="38" t="s">
        <v>194</v>
      </c>
      <c r="Y274" s="38" t="s">
        <v>146</v>
      </c>
      <c r="Z274" s="38" t="s">
        <v>155</v>
      </c>
      <c r="AA274" s="113" t="str">
        <f t="array" ref="AA274">PROPER(G274)</f>
        <v>Offline</v>
      </c>
    </row>
    <row r="275">
      <c r="A275" s="110">
        <v>2.79816472E8</v>
      </c>
      <c r="B275" s="131">
        <v>41707.0</v>
      </c>
      <c r="C275" s="131">
        <v>41743.0</v>
      </c>
      <c r="D275" s="110" t="s">
        <v>95</v>
      </c>
      <c r="E275" s="110" t="s">
        <v>115</v>
      </c>
      <c r="F275" s="110">
        <v>8969.0</v>
      </c>
      <c r="G275" s="38" t="s">
        <v>42</v>
      </c>
      <c r="H275" s="110">
        <v>2767.0</v>
      </c>
      <c r="I275" s="132">
        <v>152.58</v>
      </c>
      <c r="J275" s="132">
        <v>97.44</v>
      </c>
      <c r="K275" s="39">
        <f t="shared" si="1"/>
        <v>422188.86</v>
      </c>
      <c r="L275" s="39">
        <f t="shared" si="2"/>
        <v>269616.48</v>
      </c>
      <c r="M275" s="39">
        <f t="shared" si="3"/>
        <v>152572.38</v>
      </c>
      <c r="N275" s="38" t="str">
        <f>VLOOKUP(F275,products!$A$2:$B$13,2,FALSE)</f>
        <v>Snacks</v>
      </c>
      <c r="O275" s="133">
        <f t="shared" si="4"/>
        <v>0.6386158081</v>
      </c>
      <c r="P275" s="38" t="str">
        <f>VLOOKUP(E275,countries!A$2:E$250,3,false)</f>
        <v>Portugal</v>
      </c>
      <c r="Q275" s="38" t="str">
        <f>VLOOKUP($E275,countries!$A$2:$E$250,4,false)</f>
        <v>Europe</v>
      </c>
      <c r="R275" s="38" t="str">
        <f>VLOOKUP($E275,countries!$A$2:$E$250,5,false)</f>
        <v>Southern Europe</v>
      </c>
      <c r="S275" s="38">
        <f t="shared" si="5"/>
        <v>36</v>
      </c>
      <c r="T275" s="38" t="s">
        <v>182</v>
      </c>
      <c r="U275" s="38">
        <v>2014.0</v>
      </c>
      <c r="V275" s="38">
        <v>3.0</v>
      </c>
      <c r="W275" s="38" t="s">
        <v>115</v>
      </c>
      <c r="X275" s="38" t="s">
        <v>186</v>
      </c>
      <c r="Y275" s="38" t="s">
        <v>146</v>
      </c>
      <c r="Z275" s="38" t="s">
        <v>147</v>
      </c>
      <c r="AA275" s="113" t="str">
        <f t="array" ref="AA275">PROPER(G275)</f>
        <v>Offline</v>
      </c>
    </row>
    <row r="276">
      <c r="A276" s="110">
        <v>2.8019241E8</v>
      </c>
      <c r="B276" s="131">
        <v>40740.0</v>
      </c>
      <c r="C276" s="131">
        <v>40783.0</v>
      </c>
      <c r="D276" s="110" t="s">
        <v>95</v>
      </c>
      <c r="E276" s="110" t="s">
        <v>130</v>
      </c>
      <c r="F276" s="110">
        <v>2103.0</v>
      </c>
      <c r="G276" s="38" t="s">
        <v>43</v>
      </c>
      <c r="H276" s="110">
        <v>4016.0</v>
      </c>
      <c r="I276" s="132">
        <v>205.7</v>
      </c>
      <c r="J276" s="132">
        <v>117.11</v>
      </c>
      <c r="K276" s="39">
        <f t="shared" si="1"/>
        <v>826091.2</v>
      </c>
      <c r="L276" s="39">
        <f t="shared" si="2"/>
        <v>470313.76</v>
      </c>
      <c r="M276" s="39">
        <f t="shared" si="3"/>
        <v>355777.44</v>
      </c>
      <c r="N276" s="38" t="str">
        <f>VLOOKUP(F276,products!$A$2:$B$13,2,FALSE)</f>
        <v>Cereal</v>
      </c>
      <c r="O276" s="133">
        <f t="shared" si="4"/>
        <v>0.5693242586</v>
      </c>
      <c r="P276" s="38" t="str">
        <f>VLOOKUP(E276,countries!A$2:E$250,3,false)</f>
        <v>Finland</v>
      </c>
      <c r="Q276" s="38" t="str">
        <f>VLOOKUP($E276,countries!$A$2:$E$250,4,false)</f>
        <v>Europe</v>
      </c>
      <c r="R276" s="38" t="str">
        <f>VLOOKUP($E276,countries!$A$2:$E$250,5,false)</f>
        <v>Northern Europe</v>
      </c>
      <c r="S276" s="38">
        <f t="shared" si="5"/>
        <v>43</v>
      </c>
      <c r="T276" s="38" t="s">
        <v>144</v>
      </c>
      <c r="U276" s="38">
        <v>2011.0</v>
      </c>
      <c r="V276" s="38">
        <v>7.0</v>
      </c>
      <c r="W276" s="38" t="s">
        <v>130</v>
      </c>
      <c r="X276" s="38" t="s">
        <v>201</v>
      </c>
      <c r="Y276" s="38" t="s">
        <v>146</v>
      </c>
      <c r="Z276" s="38" t="s">
        <v>170</v>
      </c>
      <c r="AA276" s="113" t="str">
        <f t="array" ref="AA276">PROPER(G276)</f>
        <v>Online</v>
      </c>
    </row>
    <row r="277">
      <c r="A277" s="110">
        <v>2.80477797E8</v>
      </c>
      <c r="B277" s="131">
        <v>40839.0</v>
      </c>
      <c r="C277" s="131">
        <v>40840.0</v>
      </c>
      <c r="D277" s="110" t="s">
        <v>93</v>
      </c>
      <c r="E277" s="110" t="s">
        <v>138</v>
      </c>
      <c r="F277" s="110">
        <v>2103.0</v>
      </c>
      <c r="G277" s="38" t="s">
        <v>42</v>
      </c>
      <c r="H277" s="110">
        <v>8468.0</v>
      </c>
      <c r="I277" s="132">
        <v>205.7</v>
      </c>
      <c r="J277" s="132">
        <v>117.11</v>
      </c>
      <c r="K277" s="39">
        <f t="shared" si="1"/>
        <v>1741867.6</v>
      </c>
      <c r="L277" s="39">
        <f t="shared" si="2"/>
        <v>991687.48</v>
      </c>
      <c r="M277" s="39">
        <f t="shared" si="3"/>
        <v>750180.12</v>
      </c>
      <c r="N277" s="38" t="str">
        <f>VLOOKUP(F277,products!$A$2:$B$13,2,FALSE)</f>
        <v>Cereal</v>
      </c>
      <c r="O277" s="133">
        <f t="shared" si="4"/>
        <v>0.5693242586</v>
      </c>
      <c r="P277" s="38" t="str">
        <f>VLOOKUP(E277,countries!A$2:E$250,3,false)</f>
        <v>Greece</v>
      </c>
      <c r="Q277" s="38" t="str">
        <f>VLOOKUP($E277,countries!$A$2:$E$250,4,false)</f>
        <v>Europe</v>
      </c>
      <c r="R277" s="38" t="str">
        <f>VLOOKUP($E277,countries!$A$2:$E$250,5,false)</f>
        <v>Southern Europe</v>
      </c>
      <c r="S277" s="38">
        <f t="shared" si="5"/>
        <v>1</v>
      </c>
      <c r="T277" s="38" t="s">
        <v>144</v>
      </c>
      <c r="U277" s="38">
        <v>2011.0</v>
      </c>
      <c r="V277" s="38">
        <v>10.0</v>
      </c>
      <c r="W277" s="38" t="s">
        <v>138</v>
      </c>
      <c r="X277" s="38" t="s">
        <v>208</v>
      </c>
      <c r="Y277" s="38" t="s">
        <v>146</v>
      </c>
      <c r="Z277" s="38" t="s">
        <v>147</v>
      </c>
      <c r="AA277" s="113" t="str">
        <f t="array" ref="AA277">PROPER(G277)</f>
        <v>Offline</v>
      </c>
    </row>
    <row r="278">
      <c r="A278" s="110">
        <v>2.81100928E8</v>
      </c>
      <c r="B278" s="131">
        <v>41168.0</v>
      </c>
      <c r="C278" s="131">
        <v>41216.0</v>
      </c>
      <c r="D278" s="110" t="s">
        <v>95</v>
      </c>
      <c r="E278" s="110" t="s">
        <v>126</v>
      </c>
      <c r="F278" s="110">
        <v>8969.0</v>
      </c>
      <c r="G278" s="38" t="s">
        <v>43</v>
      </c>
      <c r="H278" s="110">
        <v>2866.0</v>
      </c>
      <c r="I278" s="132">
        <v>152.58</v>
      </c>
      <c r="J278" s="132">
        <v>97.44</v>
      </c>
      <c r="K278" s="39">
        <f t="shared" si="1"/>
        <v>437294.28</v>
      </c>
      <c r="L278" s="39">
        <f t="shared" si="2"/>
        <v>279263.04</v>
      </c>
      <c r="M278" s="39">
        <f t="shared" si="3"/>
        <v>158031.24</v>
      </c>
      <c r="N278" s="38" t="str">
        <f>VLOOKUP(F278,products!$A$2:$B$13,2,FALSE)</f>
        <v>Snacks</v>
      </c>
      <c r="O278" s="133">
        <f t="shared" si="4"/>
        <v>0.6386158081</v>
      </c>
      <c r="P278" s="38" t="str">
        <f>VLOOKUP(E278,countries!A$2:E$250,3,false)</f>
        <v>Italy</v>
      </c>
      <c r="Q278" s="38" t="str">
        <f>VLOOKUP($E278,countries!$A$2:$E$250,4,false)</f>
        <v>Europe</v>
      </c>
      <c r="R278" s="38" t="str">
        <f>VLOOKUP($E278,countries!$A$2:$E$250,5,false)</f>
        <v>Southern Europe</v>
      </c>
      <c r="S278" s="38">
        <f t="shared" si="5"/>
        <v>48</v>
      </c>
      <c r="T278" s="38" t="s">
        <v>182</v>
      </c>
      <c r="U278" s="38">
        <v>2012.0</v>
      </c>
      <c r="V278" s="38">
        <v>9.0</v>
      </c>
      <c r="W278" s="38" t="s">
        <v>126</v>
      </c>
      <c r="X278" s="38" t="s">
        <v>197</v>
      </c>
      <c r="Y278" s="38" t="s">
        <v>146</v>
      </c>
      <c r="Z278" s="38" t="s">
        <v>147</v>
      </c>
      <c r="AA278" s="113" t="str">
        <f t="array" ref="AA278">PROPER(G278)</f>
        <v>Online</v>
      </c>
    </row>
    <row r="279">
      <c r="A279" s="110">
        <v>2.82917964E8</v>
      </c>
      <c r="B279" s="131">
        <v>42024.0</v>
      </c>
      <c r="C279" s="131">
        <v>42031.0</v>
      </c>
      <c r="D279" s="110" t="s">
        <v>93</v>
      </c>
      <c r="E279" s="110" t="s">
        <v>111</v>
      </c>
      <c r="F279" s="110">
        <v>8681.0</v>
      </c>
      <c r="G279" s="38" t="s">
        <v>42</v>
      </c>
      <c r="H279" s="110">
        <v>567.0</v>
      </c>
      <c r="I279" s="132">
        <v>651.21</v>
      </c>
      <c r="J279" s="132">
        <v>524.96</v>
      </c>
      <c r="K279" s="39">
        <f t="shared" si="1"/>
        <v>369236.07</v>
      </c>
      <c r="L279" s="39">
        <f t="shared" si="2"/>
        <v>297652.32</v>
      </c>
      <c r="M279" s="39">
        <f t="shared" si="3"/>
        <v>71583.75</v>
      </c>
      <c r="N279" s="38" t="str">
        <f>VLOOKUP(F279,products!$A$2:$B$13,2,FALSE)</f>
        <v>Office Supplies</v>
      </c>
      <c r="O279" s="133">
        <f t="shared" si="4"/>
        <v>0.806130127</v>
      </c>
      <c r="P279" s="38" t="str">
        <f>VLOOKUP(E279,countries!A$2:E$250,3,false)</f>
        <v>Russia</v>
      </c>
      <c r="Q279" s="38" t="str">
        <f>VLOOKUP($E279,countries!$A$2:$E$250,4,false)</f>
        <v>Europe</v>
      </c>
      <c r="R279" s="38" t="str">
        <f>VLOOKUP($E279,countries!$A$2:$E$250,5,false)</f>
        <v>Eastern Europe</v>
      </c>
      <c r="S279" s="38">
        <f t="shared" si="5"/>
        <v>7</v>
      </c>
      <c r="T279" s="38" t="s">
        <v>153</v>
      </c>
      <c r="U279" s="38">
        <v>2015.0</v>
      </c>
      <c r="V279" s="38">
        <v>1.0</v>
      </c>
      <c r="W279" s="38" t="s">
        <v>111</v>
      </c>
      <c r="X279" s="38" t="s">
        <v>179</v>
      </c>
      <c r="Y279" s="38" t="s">
        <v>146</v>
      </c>
      <c r="Z279" s="38" t="s">
        <v>155</v>
      </c>
      <c r="AA279" s="113" t="str">
        <f t="array" ref="AA279">PROPER(G279)</f>
        <v>Offline</v>
      </c>
    </row>
    <row r="280">
      <c r="A280" s="110">
        <v>2.84108436E8</v>
      </c>
      <c r="B280" s="131">
        <v>41727.0</v>
      </c>
      <c r="C280" s="131">
        <v>41732.0</v>
      </c>
      <c r="D280" s="110" t="s">
        <v>89</v>
      </c>
      <c r="E280" s="110" t="s">
        <v>112</v>
      </c>
      <c r="F280" s="110">
        <v>8293.0</v>
      </c>
      <c r="G280" s="38" t="s">
        <v>43</v>
      </c>
      <c r="H280" s="110">
        <v>2854.0</v>
      </c>
      <c r="I280" s="132">
        <v>437.2</v>
      </c>
      <c r="J280" s="132">
        <v>263.33</v>
      </c>
      <c r="K280" s="39">
        <f t="shared" si="1"/>
        <v>1247768.8</v>
      </c>
      <c r="L280" s="39">
        <f t="shared" si="2"/>
        <v>751543.82</v>
      </c>
      <c r="M280" s="39">
        <f t="shared" si="3"/>
        <v>496224.98</v>
      </c>
      <c r="N280" s="38" t="str">
        <f>VLOOKUP(F280,products!$A$2:$B$13,2,FALSE)</f>
        <v>Cosmetics</v>
      </c>
      <c r="O280" s="133">
        <f t="shared" si="4"/>
        <v>0.6023101555</v>
      </c>
      <c r="P280" s="38" t="str">
        <f>VLOOKUP(E280,countries!A$2:E$250,3,false)</f>
        <v>Malta</v>
      </c>
      <c r="Q280" s="38" t="str">
        <f>VLOOKUP($E280,countries!$A$2:$E$250,4,false)</f>
        <v>Europe</v>
      </c>
      <c r="R280" s="38" t="str">
        <f>VLOOKUP($E280,countries!$A$2:$E$250,5,false)</f>
        <v>Southern Europe</v>
      </c>
      <c r="S280" s="38">
        <f t="shared" si="5"/>
        <v>5</v>
      </c>
      <c r="T280" s="38" t="s">
        <v>178</v>
      </c>
      <c r="U280" s="38">
        <v>2014.0</v>
      </c>
      <c r="V280" s="38">
        <v>3.0</v>
      </c>
      <c r="W280" s="38" t="s">
        <v>112</v>
      </c>
      <c r="X280" s="38" t="s">
        <v>180</v>
      </c>
      <c r="Y280" s="38" t="s">
        <v>146</v>
      </c>
      <c r="Z280" s="38" t="s">
        <v>147</v>
      </c>
      <c r="AA280" s="113" t="str">
        <f t="array" ref="AA280">PROPER(G280)</f>
        <v>Online</v>
      </c>
    </row>
    <row r="281">
      <c r="A281" s="110">
        <v>2.84310567E8</v>
      </c>
      <c r="B281" s="131">
        <v>42571.0</v>
      </c>
      <c r="C281" s="131">
        <v>42615.0</v>
      </c>
      <c r="D281" s="110" t="s">
        <v>89</v>
      </c>
      <c r="E281" s="110" t="s">
        <v>106</v>
      </c>
      <c r="F281" s="110">
        <v>8293.0</v>
      </c>
      <c r="G281" s="38" t="s">
        <v>42</v>
      </c>
      <c r="H281" s="110">
        <v>2670.0</v>
      </c>
      <c r="I281" s="132">
        <v>437.2</v>
      </c>
      <c r="J281" s="132">
        <v>263.33</v>
      </c>
      <c r="K281" s="39">
        <f t="shared" si="1"/>
        <v>1167324</v>
      </c>
      <c r="L281" s="39">
        <f t="shared" si="2"/>
        <v>703091.1</v>
      </c>
      <c r="M281" s="39">
        <f t="shared" si="3"/>
        <v>464232.9</v>
      </c>
      <c r="N281" s="38" t="str">
        <f>VLOOKUP(F281,products!$A$2:$B$13,2,FALSE)</f>
        <v>Cosmetics</v>
      </c>
      <c r="O281" s="133">
        <f t="shared" si="4"/>
        <v>0.6023101555</v>
      </c>
      <c r="P281" s="38" t="str">
        <f>VLOOKUP(E281,countries!A$2:E$250,3,false)</f>
        <v>Poland</v>
      </c>
      <c r="Q281" s="38" t="str">
        <f>VLOOKUP($E281,countries!$A$2:$E$250,4,false)</f>
        <v>Europe</v>
      </c>
      <c r="R281" s="38" t="str">
        <f>VLOOKUP($E281,countries!$A$2:$E$250,5,false)</f>
        <v>Eastern Europe</v>
      </c>
      <c r="S281" s="38">
        <f t="shared" si="5"/>
        <v>44</v>
      </c>
      <c r="T281" s="38" t="s">
        <v>178</v>
      </c>
      <c r="U281" s="38">
        <v>2016.0</v>
      </c>
      <c r="V281" s="38">
        <v>7.0</v>
      </c>
      <c r="W281" s="38" t="s">
        <v>106</v>
      </c>
      <c r="X281" s="38" t="s">
        <v>173</v>
      </c>
      <c r="Y281" s="38" t="s">
        <v>146</v>
      </c>
      <c r="Z281" s="38" t="s">
        <v>155</v>
      </c>
      <c r="AA281" s="113" t="str">
        <f t="array" ref="AA281">PROPER(G281)</f>
        <v>Offline</v>
      </c>
    </row>
    <row r="282">
      <c r="A282" s="110">
        <v>2.84403264E8</v>
      </c>
      <c r="B282" s="131">
        <v>42711.0</v>
      </c>
      <c r="C282" s="131">
        <v>42731.0</v>
      </c>
      <c r="D282" s="110" t="s">
        <v>10</v>
      </c>
      <c r="E282" s="110" t="s">
        <v>132</v>
      </c>
      <c r="F282" s="110">
        <v>5988.0</v>
      </c>
      <c r="G282" s="38" t="s">
        <v>42</v>
      </c>
      <c r="H282" s="110">
        <v>101.0</v>
      </c>
      <c r="I282" s="132">
        <v>154.06</v>
      </c>
      <c r="J282" s="132">
        <v>90.93</v>
      </c>
      <c r="K282" s="39">
        <f t="shared" si="1"/>
        <v>15560.06</v>
      </c>
      <c r="L282" s="39">
        <f t="shared" si="2"/>
        <v>9183.93</v>
      </c>
      <c r="M282" s="39">
        <f t="shared" si="3"/>
        <v>6376.13</v>
      </c>
      <c r="N282" s="38" t="str">
        <f>VLOOKUP(F282,products!$A$2:$B$13,2,FALSE)</f>
        <v>Vegetables</v>
      </c>
      <c r="O282" s="133">
        <f t="shared" si="4"/>
        <v>0.5902245878</v>
      </c>
      <c r="P282" s="38" t="str">
        <f>VLOOKUP(E282,countries!A$2:E$250,3,false)</f>
        <v>Sweden</v>
      </c>
      <c r="Q282" s="38" t="str">
        <f>VLOOKUP($E282,countries!$A$2:$E$250,4,false)</f>
        <v>Europe</v>
      </c>
      <c r="R282" s="38" t="str">
        <f>VLOOKUP($E282,countries!$A$2:$E$250,5,false)</f>
        <v>Northern Europe</v>
      </c>
      <c r="S282" s="38">
        <f t="shared" si="5"/>
        <v>20</v>
      </c>
      <c r="T282" s="38" t="s">
        <v>159</v>
      </c>
      <c r="U282" s="38">
        <v>2016.0</v>
      </c>
      <c r="V282" s="38">
        <v>12.0</v>
      </c>
      <c r="W282" s="38" t="s">
        <v>132</v>
      </c>
      <c r="X282" s="38" t="s">
        <v>203</v>
      </c>
      <c r="Y282" s="38" t="s">
        <v>146</v>
      </c>
      <c r="Z282" s="38" t="s">
        <v>170</v>
      </c>
      <c r="AA282" s="113" t="str">
        <f t="array" ref="AA282">PROPER(G282)</f>
        <v>Offline</v>
      </c>
    </row>
    <row r="283">
      <c r="A283" s="110">
        <v>2.84435451E8</v>
      </c>
      <c r="B283" s="131">
        <v>41454.0</v>
      </c>
      <c r="C283" s="131">
        <v>41454.0</v>
      </c>
      <c r="D283" s="110" t="s">
        <v>10</v>
      </c>
      <c r="E283" s="110" t="s">
        <v>94</v>
      </c>
      <c r="F283" s="110">
        <v>3127.0</v>
      </c>
      <c r="G283" s="38" t="s">
        <v>42</v>
      </c>
      <c r="H283" s="110">
        <v>9625.0</v>
      </c>
      <c r="I283" s="132">
        <v>81.73</v>
      </c>
      <c r="J283" s="132">
        <v>56.67</v>
      </c>
      <c r="K283" s="39">
        <f t="shared" si="1"/>
        <v>786651.25</v>
      </c>
      <c r="L283" s="39">
        <f t="shared" si="2"/>
        <v>545448.75</v>
      </c>
      <c r="M283" s="39">
        <f t="shared" si="3"/>
        <v>241202.5</v>
      </c>
      <c r="N283" s="38" t="str">
        <f>VLOOKUP(F283,products!$A$2:$B$13,2,FALSE)</f>
        <v>Personal Care</v>
      </c>
      <c r="O283" s="133">
        <f t="shared" si="4"/>
        <v>0.6933806436</v>
      </c>
      <c r="P283" s="38" t="str">
        <f>VLOOKUP(E283,countries!A$2:E$250,3,false)</f>
        <v>Montenegro</v>
      </c>
      <c r="Q283" s="38" t="str">
        <f>VLOOKUP($E283,countries!$A$2:$E$250,4,false)</f>
        <v>Europe</v>
      </c>
      <c r="R283" s="38" t="str">
        <f>VLOOKUP($E283,countries!$A$2:$E$250,5,false)</f>
        <v>Southern Europe</v>
      </c>
      <c r="S283" s="38">
        <f t="shared" si="5"/>
        <v>0</v>
      </c>
      <c r="T283" s="38" t="s">
        <v>185</v>
      </c>
      <c r="U283" s="38">
        <v>2013.0</v>
      </c>
      <c r="V283" s="38">
        <v>6.0</v>
      </c>
      <c r="W283" s="38" t="s">
        <v>94</v>
      </c>
      <c r="X283" s="38" t="s">
        <v>151</v>
      </c>
      <c r="Y283" s="38" t="s">
        <v>146</v>
      </c>
      <c r="Z283" s="38" t="s">
        <v>147</v>
      </c>
      <c r="AA283" s="113" t="str">
        <f t="array" ref="AA283">PROPER(G283)</f>
        <v>Offline</v>
      </c>
    </row>
    <row r="284">
      <c r="A284" s="110">
        <v>2.84595954E8</v>
      </c>
      <c r="B284" s="131">
        <v>42670.0</v>
      </c>
      <c r="C284" s="131">
        <v>42672.0</v>
      </c>
      <c r="D284" s="110" t="s">
        <v>10</v>
      </c>
      <c r="E284" s="110" t="s">
        <v>120</v>
      </c>
      <c r="F284" s="110">
        <v>8293.0</v>
      </c>
      <c r="G284" s="38" t="s">
        <v>42</v>
      </c>
      <c r="H284" s="110">
        <v>7122.0</v>
      </c>
      <c r="I284" s="132">
        <v>437.2</v>
      </c>
      <c r="J284" s="132">
        <v>263.33</v>
      </c>
      <c r="K284" s="39">
        <f t="shared" si="1"/>
        <v>3113738.4</v>
      </c>
      <c r="L284" s="39">
        <f t="shared" si="2"/>
        <v>1875436.26</v>
      </c>
      <c r="M284" s="39">
        <f t="shared" si="3"/>
        <v>1238302.14</v>
      </c>
      <c r="N284" s="38" t="str">
        <f>VLOOKUP(F284,products!$A$2:$B$13,2,FALSE)</f>
        <v>Cosmetics</v>
      </c>
      <c r="O284" s="133">
        <f t="shared" si="4"/>
        <v>0.6023101555</v>
      </c>
      <c r="P284" s="38" t="str">
        <f>VLOOKUP(E284,countries!A$2:E$250,3,false)</f>
        <v>San Marino</v>
      </c>
      <c r="Q284" s="38" t="str">
        <f>VLOOKUP($E284,countries!$A$2:$E$250,4,false)</f>
        <v>Europe</v>
      </c>
      <c r="R284" s="38" t="str">
        <f>VLOOKUP($E284,countries!$A$2:$E$250,5,false)</f>
        <v>Southern Europe</v>
      </c>
      <c r="S284" s="38">
        <f t="shared" si="5"/>
        <v>2</v>
      </c>
      <c r="T284" s="38" t="s">
        <v>178</v>
      </c>
      <c r="U284" s="38">
        <v>2016.0</v>
      </c>
      <c r="V284" s="38">
        <v>10.0</v>
      </c>
      <c r="W284" s="38" t="s">
        <v>120</v>
      </c>
      <c r="X284" s="38" t="s">
        <v>191</v>
      </c>
      <c r="Y284" s="38" t="s">
        <v>146</v>
      </c>
      <c r="Z284" s="38" t="s">
        <v>147</v>
      </c>
      <c r="AA284" s="113" t="str">
        <f t="array" ref="AA284">PROPER(G284)</f>
        <v>Offline</v>
      </c>
    </row>
    <row r="285">
      <c r="A285" s="110">
        <v>2.85343968E8</v>
      </c>
      <c r="B285" s="131">
        <v>41882.0</v>
      </c>
      <c r="C285" s="131">
        <v>41887.0</v>
      </c>
      <c r="D285" s="110" t="s">
        <v>10</v>
      </c>
      <c r="E285" s="110" t="s">
        <v>91</v>
      </c>
      <c r="F285" s="110">
        <v>5988.0</v>
      </c>
      <c r="G285" s="38" t="s">
        <v>43</v>
      </c>
      <c r="H285" s="110">
        <v>8476.0</v>
      </c>
      <c r="I285" s="132">
        <v>154.06</v>
      </c>
      <c r="J285" s="132">
        <v>90.93</v>
      </c>
      <c r="K285" s="39">
        <f t="shared" si="1"/>
        <v>1305812.56</v>
      </c>
      <c r="L285" s="39">
        <f t="shared" si="2"/>
        <v>770722.68</v>
      </c>
      <c r="M285" s="39">
        <f t="shared" si="3"/>
        <v>535089.88</v>
      </c>
      <c r="N285" s="38" t="str">
        <f>VLOOKUP(F285,products!$A$2:$B$13,2,FALSE)</f>
        <v>Vegetables</v>
      </c>
      <c r="O285" s="133">
        <f t="shared" si="4"/>
        <v>0.5902245878</v>
      </c>
      <c r="P285" s="38" t="str">
        <f>VLOOKUP(E285,countries!A$2:E$250,3,false)</f>
        <v>Serbia</v>
      </c>
      <c r="Q285" s="38" t="str">
        <f>VLOOKUP($E285,countries!$A$2:$E$250,4,false)</f>
        <v>Europe</v>
      </c>
      <c r="R285" s="38" t="str">
        <f>VLOOKUP($E285,countries!$A$2:$E$250,5,false)</f>
        <v>Southern Europe</v>
      </c>
      <c r="S285" s="38">
        <f t="shared" si="5"/>
        <v>5</v>
      </c>
      <c r="T285" s="38" t="s">
        <v>159</v>
      </c>
      <c r="U285" s="38">
        <v>2014.0</v>
      </c>
      <c r="V285" s="38">
        <v>8.0</v>
      </c>
      <c r="W285" s="38" t="s">
        <v>91</v>
      </c>
      <c r="X285" s="38" t="s">
        <v>145</v>
      </c>
      <c r="Y285" s="38" t="s">
        <v>146</v>
      </c>
      <c r="Z285" s="38" t="s">
        <v>147</v>
      </c>
      <c r="AA285" s="113" t="str">
        <f t="array" ref="AA285">PROPER(G285)</f>
        <v>Online</v>
      </c>
    </row>
    <row r="286">
      <c r="A286" s="110">
        <v>2.87151563E8</v>
      </c>
      <c r="B286" s="131">
        <v>41853.0</v>
      </c>
      <c r="C286" s="131">
        <v>41862.0</v>
      </c>
      <c r="D286" s="110" t="s">
        <v>89</v>
      </c>
      <c r="E286" s="110" t="s">
        <v>122</v>
      </c>
      <c r="F286" s="110">
        <v>3127.0</v>
      </c>
      <c r="G286" s="38" t="s">
        <v>42</v>
      </c>
      <c r="H286" s="110">
        <v>3383.0</v>
      </c>
      <c r="I286" s="132">
        <v>81.73</v>
      </c>
      <c r="J286" s="132">
        <v>56.67</v>
      </c>
      <c r="K286" s="39">
        <f t="shared" si="1"/>
        <v>276492.59</v>
      </c>
      <c r="L286" s="39">
        <f t="shared" si="2"/>
        <v>191714.61</v>
      </c>
      <c r="M286" s="39">
        <f t="shared" si="3"/>
        <v>84777.98</v>
      </c>
      <c r="N286" s="38" t="str">
        <f>VLOOKUP(F286,products!$A$2:$B$13,2,FALSE)</f>
        <v>Personal Care</v>
      </c>
      <c r="O286" s="133">
        <f t="shared" si="4"/>
        <v>0.6933806436</v>
      </c>
      <c r="P286" s="38" t="str">
        <f>VLOOKUP(E286,countries!A$2:E$250,3,false)</f>
        <v>Switzerland</v>
      </c>
      <c r="Q286" s="38" t="str">
        <f>VLOOKUP($E286,countries!$A$2:$E$250,4,false)</f>
        <v>Europe</v>
      </c>
      <c r="R286" s="38" t="str">
        <f>VLOOKUP($E286,countries!$A$2:$E$250,5,false)</f>
        <v>Western Europe</v>
      </c>
      <c r="S286" s="38">
        <f t="shared" si="5"/>
        <v>9</v>
      </c>
      <c r="T286" s="38" t="s">
        <v>185</v>
      </c>
      <c r="U286" s="38">
        <v>2014.0</v>
      </c>
      <c r="V286" s="38">
        <v>8.0</v>
      </c>
      <c r="W286" s="38" t="s">
        <v>122</v>
      </c>
      <c r="X286" s="38" t="s">
        <v>193</v>
      </c>
      <c r="Y286" s="38" t="s">
        <v>146</v>
      </c>
      <c r="Z286" s="38" t="s">
        <v>158</v>
      </c>
      <c r="AA286" s="113" t="str">
        <f t="array" ref="AA286">PROPER(G286)</f>
        <v>Offline</v>
      </c>
    </row>
    <row r="287">
      <c r="A287" s="110">
        <v>2.87917602E8</v>
      </c>
      <c r="B287" s="131">
        <v>41246.0</v>
      </c>
      <c r="C287" s="131">
        <v>41279.0</v>
      </c>
      <c r="D287" s="110" t="s">
        <v>93</v>
      </c>
      <c r="E287" s="110" t="s">
        <v>100</v>
      </c>
      <c r="F287" s="110">
        <v>3127.0</v>
      </c>
      <c r="G287" s="38" t="s">
        <v>43</v>
      </c>
      <c r="H287" s="110">
        <v>71.0</v>
      </c>
      <c r="I287" s="132">
        <v>81.73</v>
      </c>
      <c r="J287" s="132">
        <v>56.67</v>
      </c>
      <c r="K287" s="39">
        <f t="shared" si="1"/>
        <v>5802.83</v>
      </c>
      <c r="L287" s="39">
        <f t="shared" si="2"/>
        <v>4023.57</v>
      </c>
      <c r="M287" s="39">
        <f t="shared" si="3"/>
        <v>1779.26</v>
      </c>
      <c r="N287" s="38" t="str">
        <f>VLOOKUP(F287,products!$A$2:$B$13,2,FALSE)</f>
        <v>Personal Care</v>
      </c>
      <c r="O287" s="133">
        <f t="shared" si="4"/>
        <v>0.6933806436</v>
      </c>
      <c r="P287" s="38" t="str">
        <f>VLOOKUP(E287,countries!A$2:E$250,3,false)</f>
        <v>Germany</v>
      </c>
      <c r="Q287" s="38" t="str">
        <f>VLOOKUP($E287,countries!$A$2:$E$250,4,false)</f>
        <v>Europe</v>
      </c>
      <c r="R287" s="38" t="str">
        <f>VLOOKUP($E287,countries!$A$2:$E$250,5,false)</f>
        <v>Western Europe</v>
      </c>
      <c r="S287" s="38">
        <f t="shared" si="5"/>
        <v>33</v>
      </c>
      <c r="T287" s="38" t="s">
        <v>185</v>
      </c>
      <c r="U287" s="38">
        <v>2012.0</v>
      </c>
      <c r="V287" s="38">
        <v>12.0</v>
      </c>
      <c r="W287" s="38" t="s">
        <v>100</v>
      </c>
      <c r="X287" s="38" t="s">
        <v>163</v>
      </c>
      <c r="Y287" s="38" t="s">
        <v>146</v>
      </c>
      <c r="Z287" s="38" t="s">
        <v>158</v>
      </c>
      <c r="AA287" s="113" t="str">
        <f t="array" ref="AA287">PROPER(G287)</f>
        <v>Online</v>
      </c>
    </row>
    <row r="288">
      <c r="A288" s="110">
        <v>2.88073384E8</v>
      </c>
      <c r="B288" s="131">
        <v>42019.0</v>
      </c>
      <c r="C288" s="131">
        <v>42051.0</v>
      </c>
      <c r="D288" s="110" t="s">
        <v>95</v>
      </c>
      <c r="E288" s="110" t="s">
        <v>138</v>
      </c>
      <c r="F288" s="110">
        <v>7331.0</v>
      </c>
      <c r="G288" s="38" t="s">
        <v>42</v>
      </c>
      <c r="H288" s="110">
        <v>6171.0</v>
      </c>
      <c r="I288" s="132">
        <v>255.28</v>
      </c>
      <c r="J288" s="132">
        <v>159.42</v>
      </c>
      <c r="K288" s="39">
        <f t="shared" si="1"/>
        <v>1575332.88</v>
      </c>
      <c r="L288" s="39">
        <f t="shared" si="2"/>
        <v>983780.82</v>
      </c>
      <c r="M288" s="39">
        <f t="shared" si="3"/>
        <v>591552.06</v>
      </c>
      <c r="N288" s="38" t="str">
        <f>VLOOKUP(F288,products!$A$2:$B$13,2,FALSE)</f>
        <v>Baby Food</v>
      </c>
      <c r="O288" s="133">
        <f t="shared" si="4"/>
        <v>0.6244907552</v>
      </c>
      <c r="P288" s="38" t="str">
        <f>VLOOKUP(E288,countries!A$2:E$250,3,false)</f>
        <v>Greece</v>
      </c>
      <c r="Q288" s="38" t="str">
        <f>VLOOKUP($E288,countries!$A$2:$E$250,4,false)</f>
        <v>Europe</v>
      </c>
      <c r="R288" s="38" t="str">
        <f>VLOOKUP($E288,countries!$A$2:$E$250,5,false)</f>
        <v>Southern Europe</v>
      </c>
      <c r="S288" s="38">
        <f t="shared" si="5"/>
        <v>32</v>
      </c>
      <c r="T288" s="38" t="s">
        <v>161</v>
      </c>
      <c r="U288" s="38">
        <v>2015.0</v>
      </c>
      <c r="V288" s="38">
        <v>1.0</v>
      </c>
      <c r="W288" s="38" t="s">
        <v>138</v>
      </c>
      <c r="X288" s="38" t="s">
        <v>208</v>
      </c>
      <c r="Y288" s="38" t="s">
        <v>146</v>
      </c>
      <c r="Z288" s="38" t="s">
        <v>147</v>
      </c>
      <c r="AA288" s="113" t="str">
        <f t="array" ref="AA288">PROPER(G288)</f>
        <v>Offline</v>
      </c>
    </row>
    <row r="289">
      <c r="A289" s="110">
        <v>2.88656175E8</v>
      </c>
      <c r="B289" s="131">
        <v>42338.0</v>
      </c>
      <c r="C289" s="131">
        <v>42368.0</v>
      </c>
      <c r="D289" s="110" t="s">
        <v>93</v>
      </c>
      <c r="E289" s="110" t="s">
        <v>133</v>
      </c>
      <c r="F289" s="110">
        <v>8681.0</v>
      </c>
      <c r="G289" s="38" t="s">
        <v>42</v>
      </c>
      <c r="H289" s="110">
        <v>8632.0</v>
      </c>
      <c r="I289" s="132">
        <v>651.21</v>
      </c>
      <c r="J289" s="132">
        <v>524.96</v>
      </c>
      <c r="K289" s="39">
        <f t="shared" si="1"/>
        <v>5621244.72</v>
      </c>
      <c r="L289" s="39">
        <f t="shared" si="2"/>
        <v>4531454.72</v>
      </c>
      <c r="M289" s="39">
        <f t="shared" si="3"/>
        <v>1089790</v>
      </c>
      <c r="N289" s="38" t="str">
        <f>VLOOKUP(F289,products!$A$2:$B$13,2,FALSE)</f>
        <v>Office Supplies</v>
      </c>
      <c r="O289" s="133">
        <f t="shared" si="4"/>
        <v>0.806130127</v>
      </c>
      <c r="P289" s="38" t="str">
        <f>VLOOKUP(E289,countries!A$2:E$250,3,false)</f>
        <v>Bosnia and Herzegovina</v>
      </c>
      <c r="Q289" s="38" t="str">
        <f>VLOOKUP($E289,countries!$A$2:$E$250,4,false)</f>
        <v>Europe</v>
      </c>
      <c r="R289" s="38" t="str">
        <f>VLOOKUP($E289,countries!$A$2:$E$250,5,false)</f>
        <v>Southern Europe</v>
      </c>
      <c r="S289" s="38">
        <f t="shared" si="5"/>
        <v>30</v>
      </c>
      <c r="T289" s="38" t="s">
        <v>153</v>
      </c>
      <c r="U289" s="38">
        <v>2015.0</v>
      </c>
      <c r="V289" s="38">
        <v>11.0</v>
      </c>
      <c r="W289" s="38" t="s">
        <v>133</v>
      </c>
      <c r="X289" s="38" t="s">
        <v>204</v>
      </c>
      <c r="Y289" s="38" t="s">
        <v>146</v>
      </c>
      <c r="Z289" s="38" t="s">
        <v>147</v>
      </c>
      <c r="AA289" s="113" t="str">
        <f t="array" ref="AA289">PROPER(G289)</f>
        <v>Offline</v>
      </c>
    </row>
    <row r="290">
      <c r="A290" s="110">
        <v>2.90317428E8</v>
      </c>
      <c r="B290" s="131">
        <v>42421.0</v>
      </c>
      <c r="C290" s="131">
        <v>42462.0</v>
      </c>
      <c r="D290" s="110" t="s">
        <v>89</v>
      </c>
      <c r="E290" s="110" t="s">
        <v>126</v>
      </c>
      <c r="F290" s="110">
        <v>8875.0</v>
      </c>
      <c r="G290" s="38" t="s">
        <v>43</v>
      </c>
      <c r="H290" s="110">
        <v>233.0</v>
      </c>
      <c r="I290" s="132">
        <v>421.89</v>
      </c>
      <c r="J290" s="132">
        <v>364.69</v>
      </c>
      <c r="K290" s="39">
        <f t="shared" si="1"/>
        <v>98300.37</v>
      </c>
      <c r="L290" s="39">
        <f t="shared" si="2"/>
        <v>84972.77</v>
      </c>
      <c r="M290" s="39">
        <f t="shared" si="3"/>
        <v>13327.6</v>
      </c>
      <c r="N290" s="38" t="str">
        <f>VLOOKUP(F290,products!$A$2:$B$13,2,FALSE)</f>
        <v>Meat</v>
      </c>
      <c r="O290" s="133">
        <f t="shared" si="4"/>
        <v>0.8644196354</v>
      </c>
      <c r="P290" s="38" t="str">
        <f>VLOOKUP(E290,countries!A$2:E$250,3,false)</f>
        <v>Italy</v>
      </c>
      <c r="Q290" s="38" t="str">
        <f>VLOOKUP($E290,countries!$A$2:$E$250,4,false)</f>
        <v>Europe</v>
      </c>
      <c r="R290" s="38" t="str">
        <f>VLOOKUP($E290,countries!$A$2:$E$250,5,false)</f>
        <v>Southern Europe</v>
      </c>
      <c r="S290" s="38">
        <f t="shared" si="5"/>
        <v>41</v>
      </c>
      <c r="T290" s="38" t="s">
        <v>167</v>
      </c>
      <c r="U290" s="38">
        <v>2016.0</v>
      </c>
      <c r="V290" s="38">
        <v>2.0</v>
      </c>
      <c r="W290" s="38" t="s">
        <v>126</v>
      </c>
      <c r="X290" s="38" t="s">
        <v>197</v>
      </c>
      <c r="Y290" s="38" t="s">
        <v>146</v>
      </c>
      <c r="Z290" s="38" t="s">
        <v>147</v>
      </c>
      <c r="AA290" s="113" t="str">
        <f t="array" ref="AA290">PROPER(G290)</f>
        <v>Online</v>
      </c>
    </row>
    <row r="291">
      <c r="A291" s="110">
        <v>2.91160714E8</v>
      </c>
      <c r="B291" s="131">
        <v>41009.0</v>
      </c>
      <c r="C291" s="131">
        <v>41055.0</v>
      </c>
      <c r="D291" s="110" t="s">
        <v>95</v>
      </c>
      <c r="E291" s="110" t="s">
        <v>128</v>
      </c>
      <c r="F291" s="110">
        <v>8293.0</v>
      </c>
      <c r="G291" s="38" t="s">
        <v>43</v>
      </c>
      <c r="H291" s="110">
        <v>9780.0</v>
      </c>
      <c r="I291" s="132">
        <v>437.2</v>
      </c>
      <c r="J291" s="132">
        <v>263.33</v>
      </c>
      <c r="K291" s="39">
        <f t="shared" si="1"/>
        <v>4275816</v>
      </c>
      <c r="L291" s="39">
        <f t="shared" si="2"/>
        <v>2575367.4</v>
      </c>
      <c r="M291" s="39">
        <f t="shared" si="3"/>
        <v>1700448.6</v>
      </c>
      <c r="N291" s="38" t="str">
        <f>VLOOKUP(F291,products!$A$2:$B$13,2,FALSE)</f>
        <v>Cosmetics</v>
      </c>
      <c r="O291" s="133">
        <f t="shared" si="4"/>
        <v>0.6023101555</v>
      </c>
      <c r="P291" s="38" t="str">
        <f>VLOOKUP(E291,countries!A$2:E$250,3,false)</f>
        <v>Andorra</v>
      </c>
      <c r="Q291" s="38" t="str">
        <f>VLOOKUP($E291,countries!$A$2:$E$250,4,false)</f>
        <v>Europe</v>
      </c>
      <c r="R291" s="38" t="str">
        <f>VLOOKUP($E291,countries!$A$2:$E$250,5,false)</f>
        <v>Southern Europe</v>
      </c>
      <c r="S291" s="38">
        <f t="shared" si="5"/>
        <v>46</v>
      </c>
      <c r="T291" s="38" t="s">
        <v>178</v>
      </c>
      <c r="U291" s="38">
        <v>2012.0</v>
      </c>
      <c r="V291" s="38">
        <v>4.0</v>
      </c>
      <c r="W291" s="38" t="s">
        <v>128</v>
      </c>
      <c r="X291" s="38" t="s">
        <v>199</v>
      </c>
      <c r="Y291" s="38" t="s">
        <v>146</v>
      </c>
      <c r="Z291" s="38" t="s">
        <v>147</v>
      </c>
      <c r="AA291" s="113" t="str">
        <f t="array" ref="AA291">PROPER(G291)</f>
        <v>Online</v>
      </c>
    </row>
    <row r="292">
      <c r="A292" s="110">
        <v>2.91179597E8</v>
      </c>
      <c r="B292" s="131">
        <v>42779.0</v>
      </c>
      <c r="C292" s="131">
        <v>42786.0</v>
      </c>
      <c r="D292" s="110" t="s">
        <v>95</v>
      </c>
      <c r="E292" s="110" t="s">
        <v>129</v>
      </c>
      <c r="F292" s="110">
        <v>7940.0</v>
      </c>
      <c r="G292" s="38" t="s">
        <v>43</v>
      </c>
      <c r="H292" s="110">
        <v>5368.0</v>
      </c>
      <c r="I292" s="132">
        <v>668.27</v>
      </c>
      <c r="J292" s="132">
        <v>502.54</v>
      </c>
      <c r="K292" s="39">
        <f t="shared" si="1"/>
        <v>3587273.36</v>
      </c>
      <c r="L292" s="39">
        <f t="shared" si="2"/>
        <v>2697634.72</v>
      </c>
      <c r="M292" s="39">
        <f t="shared" si="3"/>
        <v>889638.64</v>
      </c>
      <c r="N292" s="38" t="str">
        <f>VLOOKUP(F292,products!$A$2:$B$13,2,FALSE)</f>
        <v>Household</v>
      </c>
      <c r="O292" s="133">
        <f t="shared" si="4"/>
        <v>0.7520014365</v>
      </c>
      <c r="P292" s="38" t="str">
        <f>VLOOKUP(E292,countries!A$2:E$250,3,false)</f>
        <v>Liechtenstein</v>
      </c>
      <c r="Q292" s="38" t="str">
        <f>VLOOKUP($E292,countries!$A$2:$E$250,4,false)</f>
        <v>Europe</v>
      </c>
      <c r="R292" s="38" t="str">
        <f>VLOOKUP($E292,countries!$A$2:$E$250,5,false)</f>
        <v>Western Europe</v>
      </c>
      <c r="S292" s="38">
        <f t="shared" si="5"/>
        <v>7</v>
      </c>
      <c r="T292" s="38" t="s">
        <v>148</v>
      </c>
      <c r="U292" s="38">
        <v>2017.0</v>
      </c>
      <c r="V292" s="38">
        <v>2.0</v>
      </c>
      <c r="W292" s="38" t="s">
        <v>129</v>
      </c>
      <c r="X292" s="38" t="s">
        <v>200</v>
      </c>
      <c r="Y292" s="38" t="s">
        <v>146</v>
      </c>
      <c r="Z292" s="38" t="s">
        <v>158</v>
      </c>
      <c r="AA292" s="113" t="str">
        <f t="array" ref="AA292">PROPER(G292)</f>
        <v>Online</v>
      </c>
    </row>
    <row r="293">
      <c r="A293" s="110">
        <v>2.91305768E8</v>
      </c>
      <c r="B293" s="131">
        <v>41279.0</v>
      </c>
      <c r="C293" s="131">
        <v>41280.0</v>
      </c>
      <c r="D293" s="110" t="s">
        <v>95</v>
      </c>
      <c r="E293" s="110" t="s">
        <v>133</v>
      </c>
      <c r="F293" s="110">
        <v>4594.0</v>
      </c>
      <c r="G293" s="38" t="s">
        <v>43</v>
      </c>
      <c r="H293" s="110">
        <v>2705.0</v>
      </c>
      <c r="I293" s="132">
        <v>9.33</v>
      </c>
      <c r="J293" s="132">
        <v>6.92</v>
      </c>
      <c r="K293" s="39">
        <f t="shared" si="1"/>
        <v>25237.65</v>
      </c>
      <c r="L293" s="39">
        <f t="shared" si="2"/>
        <v>18718.6</v>
      </c>
      <c r="M293" s="39">
        <f t="shared" si="3"/>
        <v>6519.05</v>
      </c>
      <c r="N293" s="38" t="str">
        <f>VLOOKUP(F293,products!$A$2:$B$13,2,FALSE)</f>
        <v>Fruits</v>
      </c>
      <c r="O293" s="133">
        <f t="shared" si="4"/>
        <v>0.741693462</v>
      </c>
      <c r="P293" s="38" t="str">
        <f>VLOOKUP(E293,countries!A$2:E$250,3,false)</f>
        <v>Bosnia and Herzegovina</v>
      </c>
      <c r="Q293" s="38" t="str">
        <f>VLOOKUP($E293,countries!$A$2:$E$250,4,false)</f>
        <v>Europe</v>
      </c>
      <c r="R293" s="38" t="str">
        <f>VLOOKUP($E293,countries!$A$2:$E$250,5,false)</f>
        <v>Southern Europe</v>
      </c>
      <c r="S293" s="38">
        <f t="shared" si="5"/>
        <v>1</v>
      </c>
      <c r="T293" s="38" t="s">
        <v>156</v>
      </c>
      <c r="U293" s="38">
        <v>2013.0</v>
      </c>
      <c r="V293" s="38">
        <v>1.0</v>
      </c>
      <c r="W293" s="38" t="s">
        <v>133</v>
      </c>
      <c r="X293" s="38" t="s">
        <v>204</v>
      </c>
      <c r="Y293" s="38" t="s">
        <v>146</v>
      </c>
      <c r="Z293" s="38" t="s">
        <v>147</v>
      </c>
      <c r="AA293" s="113" t="str">
        <f t="array" ref="AA293">PROPER(G293)</f>
        <v>Online</v>
      </c>
    </row>
    <row r="294">
      <c r="A294" s="110">
        <v>2.91531503E8</v>
      </c>
      <c r="B294" s="131">
        <v>41570.0</v>
      </c>
      <c r="C294" s="131">
        <v>41573.0</v>
      </c>
      <c r="D294" s="110" t="s">
        <v>93</v>
      </c>
      <c r="E294" s="110" t="s">
        <v>96</v>
      </c>
      <c r="F294" s="110">
        <v>1270.0</v>
      </c>
      <c r="G294" s="38" t="s">
        <v>43</v>
      </c>
      <c r="H294" s="110">
        <v>9505.0</v>
      </c>
      <c r="I294" s="132">
        <v>47.45</v>
      </c>
      <c r="J294" s="132">
        <v>31.79</v>
      </c>
      <c r="K294" s="39">
        <f t="shared" si="1"/>
        <v>451012.25</v>
      </c>
      <c r="L294" s="39">
        <f t="shared" si="2"/>
        <v>302163.95</v>
      </c>
      <c r="M294" s="39">
        <f t="shared" si="3"/>
        <v>148848.3</v>
      </c>
      <c r="N294" s="38" t="str">
        <f>VLOOKUP(F294,products!$A$2:$B$13,2,FALSE)</f>
        <v>Beverages</v>
      </c>
      <c r="O294" s="133">
        <f t="shared" si="4"/>
        <v>0.6699683878</v>
      </c>
      <c r="P294" s="38" t="str">
        <f>VLOOKUP(E294,countries!A$2:E$250,3,false)</f>
        <v>Slovakia</v>
      </c>
      <c r="Q294" s="38" t="str">
        <f>VLOOKUP($E294,countries!$A$2:$E$250,4,false)</f>
        <v>Europe</v>
      </c>
      <c r="R294" s="38" t="str">
        <f>VLOOKUP($E294,countries!$A$2:$E$250,5,false)</f>
        <v>Eastern Europe</v>
      </c>
      <c r="S294" s="38">
        <f t="shared" si="5"/>
        <v>3</v>
      </c>
      <c r="T294" s="38" t="s">
        <v>152</v>
      </c>
      <c r="U294" s="38">
        <v>2013.0</v>
      </c>
      <c r="V294" s="38">
        <v>10.0</v>
      </c>
      <c r="W294" s="38" t="s">
        <v>96</v>
      </c>
      <c r="X294" s="38" t="s">
        <v>154</v>
      </c>
      <c r="Y294" s="38" t="s">
        <v>146</v>
      </c>
      <c r="Z294" s="38" t="s">
        <v>155</v>
      </c>
      <c r="AA294" s="113" t="str">
        <f t="array" ref="AA294">PROPER(G294)</f>
        <v>Online</v>
      </c>
    </row>
    <row r="295">
      <c r="A295" s="110">
        <v>2.91611325E8</v>
      </c>
      <c r="B295" s="131">
        <v>42767.0</v>
      </c>
      <c r="C295" s="131">
        <v>42776.0</v>
      </c>
      <c r="D295" s="110" t="s">
        <v>89</v>
      </c>
      <c r="E295" s="110" t="s">
        <v>123</v>
      </c>
      <c r="F295" s="110">
        <v>8969.0</v>
      </c>
      <c r="G295" s="38" t="s">
        <v>42</v>
      </c>
      <c r="H295" s="110">
        <v>3126.0</v>
      </c>
      <c r="I295" s="132">
        <v>152.58</v>
      </c>
      <c r="J295" s="132">
        <v>97.44</v>
      </c>
      <c r="K295" s="39">
        <f t="shared" si="1"/>
        <v>476965.08</v>
      </c>
      <c r="L295" s="39">
        <f t="shared" si="2"/>
        <v>304597.44</v>
      </c>
      <c r="M295" s="39">
        <f t="shared" si="3"/>
        <v>172367.64</v>
      </c>
      <c r="N295" s="38" t="str">
        <f>VLOOKUP(F295,products!$A$2:$B$13,2,FALSE)</f>
        <v>Snacks</v>
      </c>
      <c r="O295" s="133">
        <f t="shared" si="4"/>
        <v>0.6386158081</v>
      </c>
      <c r="P295" s="38" t="str">
        <f>VLOOKUP(E295,countries!A$2:E$250,3,false)</f>
        <v>Hungary</v>
      </c>
      <c r="Q295" s="38" t="str">
        <f>VLOOKUP($E295,countries!$A$2:$E$250,4,false)</f>
        <v>Europe</v>
      </c>
      <c r="R295" s="38" t="str">
        <f>VLOOKUP($E295,countries!$A$2:$E$250,5,false)</f>
        <v>Eastern Europe</v>
      </c>
      <c r="S295" s="38">
        <f t="shared" si="5"/>
        <v>9</v>
      </c>
      <c r="T295" s="38" t="s">
        <v>182</v>
      </c>
      <c r="U295" s="38">
        <v>2017.0</v>
      </c>
      <c r="V295" s="38">
        <v>2.0</v>
      </c>
      <c r="W295" s="38" t="s">
        <v>123</v>
      </c>
      <c r="X295" s="38" t="s">
        <v>194</v>
      </c>
      <c r="Y295" s="38" t="s">
        <v>146</v>
      </c>
      <c r="Z295" s="38" t="s">
        <v>155</v>
      </c>
      <c r="AA295" s="113" t="str">
        <f t="array" ref="AA295">PROPER(G295)</f>
        <v>Offline</v>
      </c>
    </row>
    <row r="296">
      <c r="A296" s="110">
        <v>2.91995418E8</v>
      </c>
      <c r="B296" s="131">
        <v>40300.0</v>
      </c>
      <c r="C296" s="131">
        <v>40335.0</v>
      </c>
      <c r="D296" s="110" t="s">
        <v>93</v>
      </c>
      <c r="E296" s="110" t="e">
        <v>#N/A</v>
      </c>
      <c r="F296" s="110">
        <v>4594.0</v>
      </c>
      <c r="G296" s="38" t="s">
        <v>43</v>
      </c>
      <c r="H296" s="110">
        <v>6788.0</v>
      </c>
      <c r="I296" s="132">
        <v>9.33</v>
      </c>
      <c r="J296" s="132">
        <v>6.92</v>
      </c>
      <c r="K296" s="39">
        <f t="shared" si="1"/>
        <v>63332.04</v>
      </c>
      <c r="L296" s="39">
        <f t="shared" si="2"/>
        <v>46972.96</v>
      </c>
      <c r="M296" s="39">
        <f t="shared" si="3"/>
        <v>16359.08</v>
      </c>
      <c r="N296" s="38" t="str">
        <f>VLOOKUP(F296,products!$A$2:$B$13,2,FALSE)</f>
        <v>Fruits</v>
      </c>
      <c r="O296" s="133">
        <f t="shared" si="4"/>
        <v>0.741693462</v>
      </c>
      <c r="P296" s="38" t="str">
        <f>VLOOKUP(E296,countries!A$2:E$250,3,false)</f>
        <v>#N/A</v>
      </c>
      <c r="Q296" s="38" t="str">
        <f>VLOOKUP($E296,countries!$A$2:$E$250,4,false)</f>
        <v>#N/A</v>
      </c>
      <c r="R296" s="38" t="str">
        <f>VLOOKUP($E296,countries!$A$2:$E$250,5,false)</f>
        <v>#N/A</v>
      </c>
      <c r="S296" s="38">
        <f t="shared" si="5"/>
        <v>35</v>
      </c>
      <c r="T296" s="38" t="s">
        <v>156</v>
      </c>
      <c r="U296" s="38">
        <v>2010.0</v>
      </c>
      <c r="V296" s="38">
        <v>5.0</v>
      </c>
      <c r="W296" s="38" t="s">
        <v>92</v>
      </c>
      <c r="X296" s="38" t="s">
        <v>149</v>
      </c>
      <c r="Y296" s="38" t="s">
        <v>149</v>
      </c>
      <c r="Z296" s="38" t="s">
        <v>149</v>
      </c>
      <c r="AA296" s="113" t="str">
        <f t="array" ref="AA296">PROPER(G296)</f>
        <v>Online</v>
      </c>
    </row>
    <row r="297">
      <c r="A297" s="110">
        <v>2.92424571E8</v>
      </c>
      <c r="B297" s="131">
        <v>41053.0</v>
      </c>
      <c r="C297" s="131">
        <v>41065.0</v>
      </c>
      <c r="D297" s="110" t="s">
        <v>10</v>
      </c>
      <c r="E297" s="110" t="e">
        <v>#N/A</v>
      </c>
      <c r="F297" s="110">
        <v>8293.0</v>
      </c>
      <c r="G297" s="38" t="s">
        <v>42</v>
      </c>
      <c r="H297" s="110">
        <v>3784.0</v>
      </c>
      <c r="I297" s="132">
        <v>437.2</v>
      </c>
      <c r="J297" s="132">
        <v>263.33</v>
      </c>
      <c r="K297" s="39">
        <f t="shared" si="1"/>
        <v>1654364.8</v>
      </c>
      <c r="L297" s="39">
        <f t="shared" si="2"/>
        <v>996440.72</v>
      </c>
      <c r="M297" s="39">
        <f t="shared" si="3"/>
        <v>657924.08</v>
      </c>
      <c r="N297" s="38" t="str">
        <f>VLOOKUP(F297,products!$A$2:$B$13,2,FALSE)</f>
        <v>Cosmetics</v>
      </c>
      <c r="O297" s="133">
        <f t="shared" si="4"/>
        <v>0.6023101555</v>
      </c>
      <c r="P297" s="38" t="str">
        <f>VLOOKUP(E297,countries!A$2:E$250,3,false)</f>
        <v>#N/A</v>
      </c>
      <c r="Q297" s="38" t="str">
        <f>VLOOKUP($E297,countries!$A$2:$E$250,4,false)</f>
        <v>#N/A</v>
      </c>
      <c r="R297" s="38" t="str">
        <f>VLOOKUP($E297,countries!$A$2:$E$250,5,false)</f>
        <v>#N/A</v>
      </c>
      <c r="S297" s="38">
        <f t="shared" si="5"/>
        <v>12</v>
      </c>
      <c r="T297" s="38" t="s">
        <v>178</v>
      </c>
      <c r="U297" s="38">
        <v>2012.0</v>
      </c>
      <c r="V297" s="38">
        <v>5.0</v>
      </c>
      <c r="W297" s="38" t="s">
        <v>92</v>
      </c>
      <c r="X297" s="38" t="s">
        <v>149</v>
      </c>
      <c r="Y297" s="38" t="s">
        <v>149</v>
      </c>
      <c r="Z297" s="38" t="s">
        <v>149</v>
      </c>
      <c r="AA297" s="113" t="str">
        <f t="array" ref="AA297">PROPER(G297)</f>
        <v>Offline</v>
      </c>
    </row>
    <row r="298">
      <c r="A298" s="110">
        <v>2.93178594E8</v>
      </c>
      <c r="B298" s="131">
        <v>40325.0</v>
      </c>
      <c r="C298" s="131">
        <v>40330.0</v>
      </c>
      <c r="D298" s="110" t="s">
        <v>10</v>
      </c>
      <c r="E298" s="110" t="s">
        <v>120</v>
      </c>
      <c r="F298" s="110">
        <v>3127.0</v>
      </c>
      <c r="G298" s="38" t="s">
        <v>43</v>
      </c>
      <c r="H298" s="110">
        <v>6916.0</v>
      </c>
      <c r="I298" s="132">
        <v>81.73</v>
      </c>
      <c r="J298" s="132">
        <v>56.67</v>
      </c>
      <c r="K298" s="39">
        <f t="shared" si="1"/>
        <v>565244.68</v>
      </c>
      <c r="L298" s="39">
        <f t="shared" si="2"/>
        <v>391929.72</v>
      </c>
      <c r="M298" s="39">
        <f t="shared" si="3"/>
        <v>173314.96</v>
      </c>
      <c r="N298" s="38" t="str">
        <f>VLOOKUP(F298,products!$A$2:$B$13,2,FALSE)</f>
        <v>Personal Care</v>
      </c>
      <c r="O298" s="133">
        <f t="shared" si="4"/>
        <v>0.6933806436</v>
      </c>
      <c r="P298" s="38" t="str">
        <f>VLOOKUP(E298,countries!A$2:E$250,3,false)</f>
        <v>San Marino</v>
      </c>
      <c r="Q298" s="38" t="str">
        <f>VLOOKUP($E298,countries!$A$2:$E$250,4,false)</f>
        <v>Europe</v>
      </c>
      <c r="R298" s="38" t="str">
        <f>VLOOKUP($E298,countries!$A$2:$E$250,5,false)</f>
        <v>Southern Europe</v>
      </c>
      <c r="S298" s="38">
        <f t="shared" si="5"/>
        <v>5</v>
      </c>
      <c r="T298" s="38" t="s">
        <v>185</v>
      </c>
      <c r="U298" s="38">
        <v>2010.0</v>
      </c>
      <c r="V298" s="38">
        <v>5.0</v>
      </c>
      <c r="W298" s="38" t="s">
        <v>120</v>
      </c>
      <c r="X298" s="38" t="s">
        <v>191</v>
      </c>
      <c r="Y298" s="38" t="s">
        <v>146</v>
      </c>
      <c r="Z298" s="38" t="s">
        <v>147</v>
      </c>
      <c r="AA298" s="113" t="str">
        <f t="array" ref="AA298">PROPER(G298)</f>
        <v>Online</v>
      </c>
    </row>
    <row r="299">
      <c r="A299" s="110">
        <v>2.95168149E8</v>
      </c>
      <c r="B299" s="131">
        <v>42518.0</v>
      </c>
      <c r="C299" s="131">
        <v>42567.0</v>
      </c>
      <c r="D299" s="110" t="s">
        <v>93</v>
      </c>
      <c r="E299" s="110" t="s">
        <v>104</v>
      </c>
      <c r="F299" s="110">
        <v>4594.0</v>
      </c>
      <c r="G299" s="38" t="s">
        <v>42</v>
      </c>
      <c r="H299" s="110">
        <v>5669.0</v>
      </c>
      <c r="I299" s="132">
        <v>9.33</v>
      </c>
      <c r="J299" s="132">
        <v>6.92</v>
      </c>
      <c r="K299" s="39">
        <f t="shared" si="1"/>
        <v>52891.77</v>
      </c>
      <c r="L299" s="39">
        <f t="shared" si="2"/>
        <v>39229.48</v>
      </c>
      <c r="M299" s="39">
        <f t="shared" si="3"/>
        <v>13662.29</v>
      </c>
      <c r="N299" s="38" t="str">
        <f>VLOOKUP(F299,products!$A$2:$B$13,2,FALSE)</f>
        <v>Fruits</v>
      </c>
      <c r="O299" s="133">
        <f t="shared" si="4"/>
        <v>0.741693462</v>
      </c>
      <c r="P299" s="38" t="str">
        <f>VLOOKUP(E299,countries!A$2:E$250,3,false)</f>
        <v>Slovenia</v>
      </c>
      <c r="Q299" s="38" t="str">
        <f>VLOOKUP($E299,countries!$A$2:$E$250,4,false)</f>
        <v>Europe</v>
      </c>
      <c r="R299" s="38" t="str">
        <f>VLOOKUP($E299,countries!$A$2:$E$250,5,false)</f>
        <v>Southern Europe</v>
      </c>
      <c r="S299" s="38">
        <f t="shared" si="5"/>
        <v>49</v>
      </c>
      <c r="T299" s="38" t="s">
        <v>156</v>
      </c>
      <c r="U299" s="38">
        <v>2016.0</v>
      </c>
      <c r="V299" s="38">
        <v>5.0</v>
      </c>
      <c r="W299" s="38" t="s">
        <v>104</v>
      </c>
      <c r="X299" s="38" t="s">
        <v>171</v>
      </c>
      <c r="Y299" s="38" t="s">
        <v>146</v>
      </c>
      <c r="Z299" s="38" t="s">
        <v>147</v>
      </c>
      <c r="AA299" s="113" t="str">
        <f t="array" ref="AA299">PROPER(G299)</f>
        <v>Offline</v>
      </c>
    </row>
    <row r="300">
      <c r="A300" s="110">
        <v>2.95787847E8</v>
      </c>
      <c r="B300" s="131">
        <v>42022.0</v>
      </c>
      <c r="C300" s="131">
        <v>42051.0</v>
      </c>
      <c r="D300" s="110" t="s">
        <v>95</v>
      </c>
      <c r="E300" s="110" t="s">
        <v>129</v>
      </c>
      <c r="F300" s="110">
        <v>7331.0</v>
      </c>
      <c r="G300" s="38" t="s">
        <v>43</v>
      </c>
      <c r="H300" s="110">
        <v>9052.0</v>
      </c>
      <c r="I300" s="132">
        <v>255.28</v>
      </c>
      <c r="J300" s="132">
        <v>159.42</v>
      </c>
      <c r="K300" s="39">
        <f t="shared" si="1"/>
        <v>2310794.56</v>
      </c>
      <c r="L300" s="39">
        <f t="shared" si="2"/>
        <v>1443069.84</v>
      </c>
      <c r="M300" s="39">
        <f t="shared" si="3"/>
        <v>867724.72</v>
      </c>
      <c r="N300" s="38" t="str">
        <f>VLOOKUP(F300,products!$A$2:$B$13,2,FALSE)</f>
        <v>Baby Food</v>
      </c>
      <c r="O300" s="133">
        <f t="shared" si="4"/>
        <v>0.6244907552</v>
      </c>
      <c r="P300" s="38" t="str">
        <f>VLOOKUP(E300,countries!A$2:E$250,3,false)</f>
        <v>Liechtenstein</v>
      </c>
      <c r="Q300" s="38" t="str">
        <f>VLOOKUP($E300,countries!$A$2:$E$250,4,false)</f>
        <v>Europe</v>
      </c>
      <c r="R300" s="38" t="str">
        <f>VLOOKUP($E300,countries!$A$2:$E$250,5,false)</f>
        <v>Western Europe</v>
      </c>
      <c r="S300" s="38">
        <f t="shared" si="5"/>
        <v>29</v>
      </c>
      <c r="T300" s="38" t="s">
        <v>161</v>
      </c>
      <c r="U300" s="38">
        <v>2015.0</v>
      </c>
      <c r="V300" s="38">
        <v>1.0</v>
      </c>
      <c r="W300" s="38" t="s">
        <v>129</v>
      </c>
      <c r="X300" s="38" t="s">
        <v>200</v>
      </c>
      <c r="Y300" s="38" t="s">
        <v>146</v>
      </c>
      <c r="Z300" s="38" t="s">
        <v>158</v>
      </c>
      <c r="AA300" s="113" t="str">
        <f t="array" ref="AA300">PROPER(G300)</f>
        <v>Online</v>
      </c>
    </row>
    <row r="301">
      <c r="A301" s="110">
        <v>2.96073234E8</v>
      </c>
      <c r="B301" s="131">
        <v>42121.0</v>
      </c>
      <c r="C301" s="131">
        <v>42159.0</v>
      </c>
      <c r="D301" s="110" t="s">
        <v>10</v>
      </c>
      <c r="E301" s="110" t="s">
        <v>112</v>
      </c>
      <c r="F301" s="110">
        <v>7331.0</v>
      </c>
      <c r="G301" s="38" t="s">
        <v>42</v>
      </c>
      <c r="H301" s="110">
        <v>3504.0</v>
      </c>
      <c r="I301" s="132">
        <v>255.28</v>
      </c>
      <c r="J301" s="132">
        <v>159.42</v>
      </c>
      <c r="K301" s="39">
        <f t="shared" si="1"/>
        <v>894501.12</v>
      </c>
      <c r="L301" s="39">
        <f t="shared" si="2"/>
        <v>558607.68</v>
      </c>
      <c r="M301" s="39">
        <f t="shared" si="3"/>
        <v>335893.44</v>
      </c>
      <c r="N301" s="38" t="str">
        <f>VLOOKUP(F301,products!$A$2:$B$13,2,FALSE)</f>
        <v>Baby Food</v>
      </c>
      <c r="O301" s="133">
        <f t="shared" si="4"/>
        <v>0.6244907552</v>
      </c>
      <c r="P301" s="38" t="str">
        <f>VLOOKUP(E301,countries!A$2:E$250,3,false)</f>
        <v>Malta</v>
      </c>
      <c r="Q301" s="38" t="str">
        <f>VLOOKUP($E301,countries!$A$2:$E$250,4,false)</f>
        <v>Europe</v>
      </c>
      <c r="R301" s="38" t="str">
        <f>VLOOKUP($E301,countries!$A$2:$E$250,5,false)</f>
        <v>Southern Europe</v>
      </c>
      <c r="S301" s="38">
        <f t="shared" si="5"/>
        <v>38</v>
      </c>
      <c r="T301" s="38" t="s">
        <v>161</v>
      </c>
      <c r="U301" s="38">
        <v>2015.0</v>
      </c>
      <c r="V301" s="38">
        <v>4.0</v>
      </c>
      <c r="W301" s="38" t="s">
        <v>112</v>
      </c>
      <c r="X301" s="38" t="s">
        <v>180</v>
      </c>
      <c r="Y301" s="38" t="s">
        <v>146</v>
      </c>
      <c r="Z301" s="38" t="s">
        <v>147</v>
      </c>
      <c r="AA301" s="113" t="str">
        <f t="array" ref="AA301">PROPER(G301)</f>
        <v>Offline</v>
      </c>
    </row>
    <row r="302">
      <c r="A302" s="110">
        <v>2.98228013E8</v>
      </c>
      <c r="B302" s="131">
        <v>40441.0</v>
      </c>
      <c r="C302" s="131">
        <v>40476.0</v>
      </c>
      <c r="D302" s="110" t="s">
        <v>95</v>
      </c>
      <c r="E302" s="110" t="s">
        <v>132</v>
      </c>
      <c r="F302" s="110">
        <v>5988.0</v>
      </c>
      <c r="G302" s="38" t="s">
        <v>43</v>
      </c>
      <c r="H302" s="110">
        <v>1151.0</v>
      </c>
      <c r="I302" s="132">
        <v>154.06</v>
      </c>
      <c r="J302" s="132">
        <v>90.93</v>
      </c>
      <c r="K302" s="39">
        <f t="shared" si="1"/>
        <v>177323.06</v>
      </c>
      <c r="L302" s="39">
        <f t="shared" si="2"/>
        <v>104660.43</v>
      </c>
      <c r="M302" s="39">
        <f t="shared" si="3"/>
        <v>72662.63</v>
      </c>
      <c r="N302" s="38" t="str">
        <f>VLOOKUP(F302,products!$A$2:$B$13,2,FALSE)</f>
        <v>Vegetables</v>
      </c>
      <c r="O302" s="133">
        <f t="shared" si="4"/>
        <v>0.5902245878</v>
      </c>
      <c r="P302" s="38" t="str">
        <f>VLOOKUP(E302,countries!A$2:E$250,3,false)</f>
        <v>Sweden</v>
      </c>
      <c r="Q302" s="38" t="str">
        <f>VLOOKUP($E302,countries!$A$2:$E$250,4,false)</f>
        <v>Europe</v>
      </c>
      <c r="R302" s="38" t="str">
        <f>VLOOKUP($E302,countries!$A$2:$E$250,5,false)</f>
        <v>Northern Europe</v>
      </c>
      <c r="S302" s="38">
        <f t="shared" si="5"/>
        <v>35</v>
      </c>
      <c r="T302" s="38" t="s">
        <v>159</v>
      </c>
      <c r="U302" s="38">
        <v>2010.0</v>
      </c>
      <c r="V302" s="38">
        <v>9.0</v>
      </c>
      <c r="W302" s="38" t="s">
        <v>132</v>
      </c>
      <c r="X302" s="38" t="s">
        <v>203</v>
      </c>
      <c r="Y302" s="38" t="s">
        <v>146</v>
      </c>
      <c r="Z302" s="38" t="s">
        <v>170</v>
      </c>
      <c r="AA302" s="113" t="str">
        <f t="array" ref="AA302">PROPER(G302)</f>
        <v>Online</v>
      </c>
    </row>
    <row r="303">
      <c r="A303" s="110">
        <v>2.98978602E8</v>
      </c>
      <c r="B303" s="131">
        <v>41655.0</v>
      </c>
      <c r="C303" s="131">
        <v>41667.0</v>
      </c>
      <c r="D303" s="110" t="s">
        <v>89</v>
      </c>
      <c r="E303" s="110" t="s">
        <v>97</v>
      </c>
      <c r="F303" s="110">
        <v>2455.0</v>
      </c>
      <c r="G303" s="38" t="s">
        <v>42</v>
      </c>
      <c r="H303" s="110">
        <v>3267.0</v>
      </c>
      <c r="I303" s="132">
        <v>109.28</v>
      </c>
      <c r="J303" s="132">
        <v>35.84</v>
      </c>
      <c r="K303" s="39">
        <f t="shared" si="1"/>
        <v>357017.76</v>
      </c>
      <c r="L303" s="39">
        <f t="shared" si="2"/>
        <v>117089.28</v>
      </c>
      <c r="M303" s="39">
        <f t="shared" si="3"/>
        <v>239928.48</v>
      </c>
      <c r="N303" s="38" t="str">
        <f>VLOOKUP(F303,products!$A$2:$B$13,2,FALSE)</f>
        <v>Clothes</v>
      </c>
      <c r="O303" s="133">
        <f t="shared" si="4"/>
        <v>0.3279648609</v>
      </c>
      <c r="P303" s="38" t="str">
        <f>VLOOKUP(E303,countries!A$2:E$250,3,false)</f>
        <v>France</v>
      </c>
      <c r="Q303" s="38" t="str">
        <f>VLOOKUP($E303,countries!$A$2:$E$250,4,false)</f>
        <v>Europe</v>
      </c>
      <c r="R303" s="38" t="str">
        <f>VLOOKUP($E303,countries!$A$2:$E$250,5,false)</f>
        <v>Western Europe</v>
      </c>
      <c r="S303" s="38">
        <f t="shared" si="5"/>
        <v>12</v>
      </c>
      <c r="T303" s="38" t="s">
        <v>150</v>
      </c>
      <c r="U303" s="38">
        <v>2014.0</v>
      </c>
      <c r="V303" s="38">
        <v>1.0</v>
      </c>
      <c r="W303" s="38" t="s">
        <v>97</v>
      </c>
      <c r="X303" s="38" t="s">
        <v>157</v>
      </c>
      <c r="Y303" s="38" t="s">
        <v>146</v>
      </c>
      <c r="Z303" s="38" t="s">
        <v>158</v>
      </c>
      <c r="AA303" s="113" t="str">
        <f t="array" ref="AA303">PROPER(G303)</f>
        <v>Offline</v>
      </c>
    </row>
    <row r="304">
      <c r="A304" s="110">
        <v>2.99335229E8</v>
      </c>
      <c r="B304" s="131">
        <v>40889.0</v>
      </c>
      <c r="C304" s="131">
        <v>40901.0</v>
      </c>
      <c r="D304" s="110" t="s">
        <v>89</v>
      </c>
      <c r="E304" s="110" t="s">
        <v>105</v>
      </c>
      <c r="F304" s="110">
        <v>8293.0</v>
      </c>
      <c r="G304" s="38" t="s">
        <v>42</v>
      </c>
      <c r="H304" s="110">
        <v>8801.0</v>
      </c>
      <c r="I304" s="132">
        <v>437.2</v>
      </c>
      <c r="J304" s="132">
        <v>263.33</v>
      </c>
      <c r="K304" s="39">
        <f t="shared" si="1"/>
        <v>3847797.2</v>
      </c>
      <c r="L304" s="39">
        <f t="shared" si="2"/>
        <v>2317567.33</v>
      </c>
      <c r="M304" s="39">
        <f t="shared" si="3"/>
        <v>1530229.87</v>
      </c>
      <c r="N304" s="38" t="str">
        <f>VLOOKUP(F304,products!$A$2:$B$13,2,FALSE)</f>
        <v>Cosmetics</v>
      </c>
      <c r="O304" s="133">
        <f t="shared" si="4"/>
        <v>0.6023101555</v>
      </c>
      <c r="P304" s="38" t="str">
        <f>VLOOKUP(E304,countries!A$2:E$250,3,false)</f>
        <v>Romania</v>
      </c>
      <c r="Q304" s="38" t="str">
        <f>VLOOKUP($E304,countries!$A$2:$E$250,4,false)</f>
        <v>Europe</v>
      </c>
      <c r="R304" s="38" t="str">
        <f>VLOOKUP($E304,countries!$A$2:$E$250,5,false)</f>
        <v>Eastern Europe</v>
      </c>
      <c r="S304" s="38">
        <f t="shared" si="5"/>
        <v>12</v>
      </c>
      <c r="T304" s="38" t="s">
        <v>178</v>
      </c>
      <c r="U304" s="38">
        <v>2011.0</v>
      </c>
      <c r="V304" s="38">
        <v>12.0</v>
      </c>
      <c r="W304" s="38" t="s">
        <v>105</v>
      </c>
      <c r="X304" s="38" t="s">
        <v>172</v>
      </c>
      <c r="Y304" s="38" t="s">
        <v>146</v>
      </c>
      <c r="Z304" s="38" t="s">
        <v>155</v>
      </c>
      <c r="AA304" s="113" t="str">
        <f t="array" ref="AA304">PROPER(G304)</f>
        <v>Offline</v>
      </c>
    </row>
    <row r="305">
      <c r="A305" s="110">
        <v>2.99739491E8</v>
      </c>
      <c r="B305" s="131">
        <v>42576.0</v>
      </c>
      <c r="C305" s="131">
        <v>42614.0</v>
      </c>
      <c r="D305" s="110" t="s">
        <v>89</v>
      </c>
      <c r="E305" s="110" t="e">
        <v>#N/A</v>
      </c>
      <c r="F305" s="110">
        <v>4594.0</v>
      </c>
      <c r="G305" s="38" t="s">
        <v>42</v>
      </c>
      <c r="H305" s="110">
        <v>8431.0</v>
      </c>
      <c r="I305" s="132">
        <v>9.33</v>
      </c>
      <c r="J305" s="132">
        <v>6.92</v>
      </c>
      <c r="K305" s="39">
        <f t="shared" si="1"/>
        <v>78661.23</v>
      </c>
      <c r="L305" s="39">
        <f t="shared" si="2"/>
        <v>58342.52</v>
      </c>
      <c r="M305" s="39">
        <f t="shared" si="3"/>
        <v>20318.71</v>
      </c>
      <c r="N305" s="38" t="str">
        <f>VLOOKUP(F305,products!$A$2:$B$13,2,FALSE)</f>
        <v>Fruits</v>
      </c>
      <c r="O305" s="133">
        <f t="shared" si="4"/>
        <v>0.741693462</v>
      </c>
      <c r="P305" s="38" t="str">
        <f>VLOOKUP(E305,countries!A$2:E$250,3,false)</f>
        <v>#N/A</v>
      </c>
      <c r="Q305" s="38" t="str">
        <f>VLOOKUP($E305,countries!$A$2:$E$250,4,false)</f>
        <v>#N/A</v>
      </c>
      <c r="R305" s="38" t="str">
        <f>VLOOKUP($E305,countries!$A$2:$E$250,5,false)</f>
        <v>#N/A</v>
      </c>
      <c r="S305" s="38">
        <f t="shared" si="5"/>
        <v>38</v>
      </c>
      <c r="T305" s="38" t="s">
        <v>156</v>
      </c>
      <c r="U305" s="38">
        <v>2016.0</v>
      </c>
      <c r="V305" s="38">
        <v>7.0</v>
      </c>
      <c r="W305" s="38" t="s">
        <v>92</v>
      </c>
      <c r="X305" s="38" t="s">
        <v>149</v>
      </c>
      <c r="Y305" s="38" t="s">
        <v>149</v>
      </c>
      <c r="Z305" s="38" t="s">
        <v>149</v>
      </c>
      <c r="AA305" s="113" t="str">
        <f t="array" ref="AA305">PROPER(G305)</f>
        <v>Offline</v>
      </c>
    </row>
    <row r="306">
      <c r="A306" s="110">
        <v>3.02015721E8</v>
      </c>
      <c r="B306" s="131">
        <v>41720.0</v>
      </c>
      <c r="C306" s="131">
        <v>41746.0</v>
      </c>
      <c r="D306" s="110" t="s">
        <v>95</v>
      </c>
      <c r="E306" s="110" t="s">
        <v>91</v>
      </c>
      <c r="F306" s="110">
        <v>7331.0</v>
      </c>
      <c r="G306" s="38" t="s">
        <v>43</v>
      </c>
      <c r="H306" s="110">
        <v>2018.0</v>
      </c>
      <c r="I306" s="132">
        <v>255.28</v>
      </c>
      <c r="J306" s="132">
        <v>159.42</v>
      </c>
      <c r="K306" s="39">
        <f t="shared" si="1"/>
        <v>515155.04</v>
      </c>
      <c r="L306" s="39">
        <f t="shared" si="2"/>
        <v>321709.56</v>
      </c>
      <c r="M306" s="39">
        <f t="shared" si="3"/>
        <v>193445.48</v>
      </c>
      <c r="N306" s="38" t="str">
        <f>VLOOKUP(F306,products!$A$2:$B$13,2,FALSE)</f>
        <v>Baby Food</v>
      </c>
      <c r="O306" s="133">
        <f t="shared" si="4"/>
        <v>0.6244907552</v>
      </c>
      <c r="P306" s="38" t="str">
        <f>VLOOKUP(E306,countries!A$2:E$250,3,false)</f>
        <v>Serbia</v>
      </c>
      <c r="Q306" s="38" t="str">
        <f>VLOOKUP($E306,countries!$A$2:$E$250,4,false)</f>
        <v>Europe</v>
      </c>
      <c r="R306" s="38" t="str">
        <f>VLOOKUP($E306,countries!$A$2:$E$250,5,false)</f>
        <v>Southern Europe</v>
      </c>
      <c r="S306" s="38">
        <f t="shared" si="5"/>
        <v>26</v>
      </c>
      <c r="T306" s="38" t="s">
        <v>161</v>
      </c>
      <c r="U306" s="38">
        <v>2014.0</v>
      </c>
      <c r="V306" s="38">
        <v>3.0</v>
      </c>
      <c r="W306" s="38" t="s">
        <v>91</v>
      </c>
      <c r="X306" s="38" t="s">
        <v>145</v>
      </c>
      <c r="Y306" s="38" t="s">
        <v>146</v>
      </c>
      <c r="Z306" s="38" t="s">
        <v>147</v>
      </c>
      <c r="AA306" s="113" t="str">
        <f t="array" ref="AA306">PROPER(G306)</f>
        <v>Online</v>
      </c>
    </row>
    <row r="307">
      <c r="A307" s="110">
        <v>3.02442729E8</v>
      </c>
      <c r="B307" s="131">
        <v>41266.0</v>
      </c>
      <c r="C307" s="131">
        <v>41291.0</v>
      </c>
      <c r="D307" s="110" t="s">
        <v>10</v>
      </c>
      <c r="E307" s="110" t="s">
        <v>112</v>
      </c>
      <c r="F307" s="110">
        <v>7331.0</v>
      </c>
      <c r="G307" s="38" t="s">
        <v>42</v>
      </c>
      <c r="H307" s="110">
        <v>8379.0</v>
      </c>
      <c r="I307" s="132">
        <v>255.28</v>
      </c>
      <c r="J307" s="132">
        <v>159.42</v>
      </c>
      <c r="K307" s="39">
        <f t="shared" si="1"/>
        <v>2138991.12</v>
      </c>
      <c r="L307" s="39">
        <f t="shared" si="2"/>
        <v>1335780.18</v>
      </c>
      <c r="M307" s="39">
        <f t="shared" si="3"/>
        <v>803210.94</v>
      </c>
      <c r="N307" s="38" t="str">
        <f>VLOOKUP(F307,products!$A$2:$B$13,2,FALSE)</f>
        <v>Baby Food</v>
      </c>
      <c r="O307" s="133">
        <f t="shared" si="4"/>
        <v>0.6244907552</v>
      </c>
      <c r="P307" s="38" t="str">
        <f>VLOOKUP(E307,countries!A$2:E$250,3,false)</f>
        <v>Malta</v>
      </c>
      <c r="Q307" s="38" t="str">
        <f>VLOOKUP($E307,countries!$A$2:$E$250,4,false)</f>
        <v>Europe</v>
      </c>
      <c r="R307" s="38" t="str">
        <f>VLOOKUP($E307,countries!$A$2:$E$250,5,false)</f>
        <v>Southern Europe</v>
      </c>
      <c r="S307" s="38">
        <f t="shared" si="5"/>
        <v>25</v>
      </c>
      <c r="T307" s="38" t="s">
        <v>161</v>
      </c>
      <c r="U307" s="38">
        <v>2012.0</v>
      </c>
      <c r="V307" s="38">
        <v>12.0</v>
      </c>
      <c r="W307" s="38" t="s">
        <v>112</v>
      </c>
      <c r="X307" s="38" t="s">
        <v>180</v>
      </c>
      <c r="Y307" s="38" t="s">
        <v>146</v>
      </c>
      <c r="Z307" s="38" t="s">
        <v>147</v>
      </c>
      <c r="AA307" s="113" t="str">
        <f t="array" ref="AA307">PROPER(G307)</f>
        <v>Offline</v>
      </c>
    </row>
    <row r="308">
      <c r="A308" s="110">
        <v>3.02744853E8</v>
      </c>
      <c r="B308" s="131">
        <v>41928.0</v>
      </c>
      <c r="C308" s="131">
        <v>41945.0</v>
      </c>
      <c r="D308" s="110" t="s">
        <v>95</v>
      </c>
      <c r="E308" s="110" t="s">
        <v>123</v>
      </c>
      <c r="F308" s="110">
        <v>3127.0</v>
      </c>
      <c r="G308" s="38" t="s">
        <v>42</v>
      </c>
      <c r="H308" s="110">
        <v>7785.0</v>
      </c>
      <c r="I308" s="132">
        <v>81.73</v>
      </c>
      <c r="J308" s="132">
        <v>56.67</v>
      </c>
      <c r="K308" s="39">
        <f t="shared" si="1"/>
        <v>636268.05</v>
      </c>
      <c r="L308" s="39">
        <f t="shared" si="2"/>
        <v>441175.95</v>
      </c>
      <c r="M308" s="39">
        <f t="shared" si="3"/>
        <v>195092.1</v>
      </c>
      <c r="N308" s="38" t="str">
        <f>VLOOKUP(F308,products!$A$2:$B$13,2,FALSE)</f>
        <v>Personal Care</v>
      </c>
      <c r="O308" s="133">
        <f t="shared" si="4"/>
        <v>0.6933806436</v>
      </c>
      <c r="P308" s="38" t="str">
        <f>VLOOKUP(E308,countries!A$2:E$250,3,false)</f>
        <v>Hungary</v>
      </c>
      <c r="Q308" s="38" t="str">
        <f>VLOOKUP($E308,countries!$A$2:$E$250,4,false)</f>
        <v>Europe</v>
      </c>
      <c r="R308" s="38" t="str">
        <f>VLOOKUP($E308,countries!$A$2:$E$250,5,false)</f>
        <v>Eastern Europe</v>
      </c>
      <c r="S308" s="38">
        <f t="shared" si="5"/>
        <v>17</v>
      </c>
      <c r="T308" s="38" t="s">
        <v>185</v>
      </c>
      <c r="U308" s="38">
        <v>2014.0</v>
      </c>
      <c r="V308" s="38">
        <v>10.0</v>
      </c>
      <c r="W308" s="38" t="s">
        <v>123</v>
      </c>
      <c r="X308" s="38" t="s">
        <v>194</v>
      </c>
      <c r="Y308" s="38" t="s">
        <v>146</v>
      </c>
      <c r="Z308" s="38" t="s">
        <v>155</v>
      </c>
      <c r="AA308" s="113" t="str">
        <f t="array" ref="AA308">PROPER(G308)</f>
        <v>Offline</v>
      </c>
    </row>
    <row r="309">
      <c r="A309" s="110">
        <v>3.03534495E8</v>
      </c>
      <c r="B309" s="131">
        <v>40768.0</v>
      </c>
      <c r="C309" s="131">
        <v>40773.0</v>
      </c>
      <c r="D309" s="110" t="s">
        <v>95</v>
      </c>
      <c r="E309" s="110" t="s">
        <v>137</v>
      </c>
      <c r="F309" s="110">
        <v>4594.0</v>
      </c>
      <c r="G309" s="38" t="s">
        <v>42</v>
      </c>
      <c r="H309" s="110">
        <v>1457.0</v>
      </c>
      <c r="I309" s="132">
        <v>9.33</v>
      </c>
      <c r="J309" s="132">
        <v>6.92</v>
      </c>
      <c r="K309" s="39">
        <f t="shared" si="1"/>
        <v>13593.81</v>
      </c>
      <c r="L309" s="39">
        <f t="shared" si="2"/>
        <v>10082.44</v>
      </c>
      <c r="M309" s="39">
        <f t="shared" si="3"/>
        <v>3511.37</v>
      </c>
      <c r="N309" s="38" t="str">
        <f>VLOOKUP(F309,products!$A$2:$B$13,2,FALSE)</f>
        <v>Fruits</v>
      </c>
      <c r="O309" s="133">
        <f t="shared" si="4"/>
        <v>0.741693462</v>
      </c>
      <c r="P309" s="38" t="str">
        <f>VLOOKUP(E309,countries!A$2:E$250,3,false)</f>
        <v>Iceland</v>
      </c>
      <c r="Q309" s="38" t="str">
        <f>VLOOKUP($E309,countries!$A$2:$E$250,4,false)</f>
        <v>Europe</v>
      </c>
      <c r="R309" s="38" t="str">
        <f>VLOOKUP($E309,countries!$A$2:$E$250,5,false)</f>
        <v>Northern Europe</v>
      </c>
      <c r="S309" s="38">
        <f t="shared" si="5"/>
        <v>5</v>
      </c>
      <c r="T309" s="38" t="s">
        <v>156</v>
      </c>
      <c r="U309" s="38">
        <v>2011.0</v>
      </c>
      <c r="V309" s="38">
        <v>8.0</v>
      </c>
      <c r="W309" s="38" t="s">
        <v>137</v>
      </c>
      <c r="X309" s="38" t="s">
        <v>207</v>
      </c>
      <c r="Y309" s="38" t="s">
        <v>146</v>
      </c>
      <c r="Z309" s="38" t="s">
        <v>170</v>
      </c>
      <c r="AA309" s="113" t="str">
        <f t="array" ref="AA309">PROPER(G309)</f>
        <v>Offline</v>
      </c>
    </row>
    <row r="310">
      <c r="A310" s="110">
        <v>3.05569112E8</v>
      </c>
      <c r="B310" s="131">
        <v>40647.0</v>
      </c>
      <c r="C310" s="131">
        <v>40697.0</v>
      </c>
      <c r="D310" s="110" t="s">
        <v>89</v>
      </c>
      <c r="E310" s="110" t="s">
        <v>98</v>
      </c>
      <c r="F310" s="110">
        <v>5988.0</v>
      </c>
      <c r="G310" s="38" t="s">
        <v>42</v>
      </c>
      <c r="H310" s="110">
        <v>3545.0</v>
      </c>
      <c r="I310" s="132">
        <v>154.06</v>
      </c>
      <c r="J310" s="132">
        <v>90.93</v>
      </c>
      <c r="K310" s="39">
        <f t="shared" si="1"/>
        <v>546142.7</v>
      </c>
      <c r="L310" s="39">
        <f t="shared" si="2"/>
        <v>322346.85</v>
      </c>
      <c r="M310" s="39">
        <f t="shared" si="3"/>
        <v>223795.85</v>
      </c>
      <c r="N310" s="38" t="str">
        <f>VLOOKUP(F310,products!$A$2:$B$13,2,FALSE)</f>
        <v>Vegetables</v>
      </c>
      <c r="O310" s="133">
        <f t="shared" si="4"/>
        <v>0.5902245878</v>
      </c>
      <c r="P310" s="38" t="str">
        <f>VLOOKUP(E310,countries!A$2:E$250,3,false)</f>
        <v>Spain</v>
      </c>
      <c r="Q310" s="38" t="str">
        <f>VLOOKUP($E310,countries!$A$2:$E$250,4,false)</f>
        <v>Europe</v>
      </c>
      <c r="R310" s="38" t="str">
        <f>VLOOKUP($E310,countries!$A$2:$E$250,5,false)</f>
        <v>Southern Europe</v>
      </c>
      <c r="S310" s="38">
        <f t="shared" si="5"/>
        <v>50</v>
      </c>
      <c r="T310" s="38" t="s">
        <v>159</v>
      </c>
      <c r="U310" s="38">
        <v>2011.0</v>
      </c>
      <c r="V310" s="38">
        <v>4.0</v>
      </c>
      <c r="W310" s="38" t="s">
        <v>98</v>
      </c>
      <c r="X310" s="38" t="s">
        <v>160</v>
      </c>
      <c r="Y310" s="38" t="s">
        <v>146</v>
      </c>
      <c r="Z310" s="38" t="s">
        <v>147</v>
      </c>
      <c r="AA310" s="113" t="str">
        <f t="array" ref="AA310">PROPER(G310)</f>
        <v>Offline</v>
      </c>
    </row>
    <row r="311">
      <c r="A311" s="110">
        <v>3.05616748E8</v>
      </c>
      <c r="B311" s="131">
        <v>40335.0</v>
      </c>
      <c r="C311" s="131">
        <v>40360.0</v>
      </c>
      <c r="D311" s="110" t="s">
        <v>89</v>
      </c>
      <c r="E311" s="110" t="s">
        <v>94</v>
      </c>
      <c r="F311" s="110">
        <v>2103.0</v>
      </c>
      <c r="G311" s="38" t="s">
        <v>42</v>
      </c>
      <c r="H311" s="110">
        <v>7642.0</v>
      </c>
      <c r="I311" s="132">
        <v>205.7</v>
      </c>
      <c r="J311" s="132">
        <v>117.11</v>
      </c>
      <c r="K311" s="39">
        <f t="shared" si="1"/>
        <v>1571959.4</v>
      </c>
      <c r="L311" s="39">
        <f t="shared" si="2"/>
        <v>894954.62</v>
      </c>
      <c r="M311" s="39">
        <f t="shared" si="3"/>
        <v>677004.78</v>
      </c>
      <c r="N311" s="38" t="str">
        <f>VLOOKUP(F311,products!$A$2:$B$13,2,FALSE)</f>
        <v>Cereal</v>
      </c>
      <c r="O311" s="133">
        <f t="shared" si="4"/>
        <v>0.5693242586</v>
      </c>
      <c r="P311" s="38" t="str">
        <f>VLOOKUP(E311,countries!A$2:E$250,3,false)</f>
        <v>Montenegro</v>
      </c>
      <c r="Q311" s="38" t="str">
        <f>VLOOKUP($E311,countries!$A$2:$E$250,4,false)</f>
        <v>Europe</v>
      </c>
      <c r="R311" s="38" t="str">
        <f>VLOOKUP($E311,countries!$A$2:$E$250,5,false)</f>
        <v>Southern Europe</v>
      </c>
      <c r="S311" s="38">
        <f t="shared" si="5"/>
        <v>25</v>
      </c>
      <c r="T311" s="38" t="s">
        <v>144</v>
      </c>
      <c r="U311" s="38">
        <v>2010.0</v>
      </c>
      <c r="V311" s="38">
        <v>6.0</v>
      </c>
      <c r="W311" s="38" t="s">
        <v>94</v>
      </c>
      <c r="X311" s="38" t="s">
        <v>151</v>
      </c>
      <c r="Y311" s="38" t="s">
        <v>146</v>
      </c>
      <c r="Z311" s="38" t="s">
        <v>147</v>
      </c>
      <c r="AA311" s="113" t="str">
        <f t="array" ref="AA311">PROPER(G311)</f>
        <v>Offline</v>
      </c>
    </row>
    <row r="312">
      <c r="A312" s="110">
        <v>3.06256616E8</v>
      </c>
      <c r="B312" s="131">
        <v>41227.0</v>
      </c>
      <c r="C312" s="131">
        <v>41231.0</v>
      </c>
      <c r="D312" s="110" t="s">
        <v>93</v>
      </c>
      <c r="E312" s="110" t="s">
        <v>126</v>
      </c>
      <c r="F312" s="110">
        <v>3127.0</v>
      </c>
      <c r="G312" s="38" t="s">
        <v>42</v>
      </c>
      <c r="H312" s="110">
        <v>6993.0</v>
      </c>
      <c r="I312" s="132">
        <v>81.73</v>
      </c>
      <c r="J312" s="132">
        <v>56.67</v>
      </c>
      <c r="K312" s="39">
        <f t="shared" si="1"/>
        <v>571537.89</v>
      </c>
      <c r="L312" s="39">
        <f t="shared" si="2"/>
        <v>396293.31</v>
      </c>
      <c r="M312" s="39">
        <f t="shared" si="3"/>
        <v>175244.58</v>
      </c>
      <c r="N312" s="38" t="str">
        <f>VLOOKUP(F312,products!$A$2:$B$13,2,FALSE)</f>
        <v>Personal Care</v>
      </c>
      <c r="O312" s="133">
        <f t="shared" si="4"/>
        <v>0.6933806436</v>
      </c>
      <c r="P312" s="38" t="str">
        <f>VLOOKUP(E312,countries!A$2:E$250,3,false)</f>
        <v>Italy</v>
      </c>
      <c r="Q312" s="38" t="str">
        <f>VLOOKUP($E312,countries!$A$2:$E$250,4,false)</f>
        <v>Europe</v>
      </c>
      <c r="R312" s="38" t="str">
        <f>VLOOKUP($E312,countries!$A$2:$E$250,5,false)</f>
        <v>Southern Europe</v>
      </c>
      <c r="S312" s="38">
        <f t="shared" si="5"/>
        <v>4</v>
      </c>
      <c r="T312" s="38" t="s">
        <v>185</v>
      </c>
      <c r="U312" s="38">
        <v>2012.0</v>
      </c>
      <c r="V312" s="38">
        <v>11.0</v>
      </c>
      <c r="W312" s="38" t="s">
        <v>126</v>
      </c>
      <c r="X312" s="38" t="s">
        <v>197</v>
      </c>
      <c r="Y312" s="38" t="s">
        <v>146</v>
      </c>
      <c r="Z312" s="38" t="s">
        <v>147</v>
      </c>
      <c r="AA312" s="113" t="str">
        <f t="array" ref="AA312">PROPER(G312)</f>
        <v>Offline</v>
      </c>
    </row>
    <row r="313">
      <c r="A313" s="110">
        <v>3.06839406E8</v>
      </c>
      <c r="B313" s="131">
        <v>41546.0</v>
      </c>
      <c r="C313" s="131">
        <v>41548.0</v>
      </c>
      <c r="D313" s="110" t="s">
        <v>95</v>
      </c>
      <c r="E313" s="110" t="s">
        <v>135</v>
      </c>
      <c r="F313" s="110">
        <v>7331.0</v>
      </c>
      <c r="G313" s="38" t="s">
        <v>42</v>
      </c>
      <c r="H313" s="110">
        <v>9454.0</v>
      </c>
      <c r="I313" s="132">
        <v>255.28</v>
      </c>
      <c r="J313" s="132">
        <v>159.42</v>
      </c>
      <c r="K313" s="39">
        <f t="shared" si="1"/>
        <v>2413417.12</v>
      </c>
      <c r="L313" s="39">
        <f t="shared" si="2"/>
        <v>1507156.68</v>
      </c>
      <c r="M313" s="39">
        <f t="shared" si="3"/>
        <v>906260.44</v>
      </c>
      <c r="N313" s="38" t="str">
        <f>VLOOKUP(F313,products!$A$2:$B$13,2,FALSE)</f>
        <v>Baby Food</v>
      </c>
      <c r="O313" s="133">
        <f t="shared" si="4"/>
        <v>0.6244907552</v>
      </c>
      <c r="P313" s="38" t="str">
        <f>VLOOKUP(E313,countries!A$2:E$250,3,false)</f>
        <v>Denmark</v>
      </c>
      <c r="Q313" s="38" t="str">
        <f>VLOOKUP($E313,countries!$A$2:$E$250,4,false)</f>
        <v>Europe</v>
      </c>
      <c r="R313" s="38" t="str">
        <f>VLOOKUP($E313,countries!$A$2:$E$250,5,false)</f>
        <v>Northern Europe</v>
      </c>
      <c r="S313" s="38">
        <f t="shared" si="5"/>
        <v>2</v>
      </c>
      <c r="T313" s="38" t="s">
        <v>161</v>
      </c>
      <c r="U313" s="38">
        <v>2013.0</v>
      </c>
      <c r="V313" s="38">
        <v>9.0</v>
      </c>
      <c r="W313" s="38" t="s">
        <v>135</v>
      </c>
      <c r="X313" s="38" t="s">
        <v>205</v>
      </c>
      <c r="Y313" s="38" t="s">
        <v>146</v>
      </c>
      <c r="Z313" s="38" t="s">
        <v>170</v>
      </c>
      <c r="AA313" s="113" t="str">
        <f t="array" ref="AA313">PROPER(G313)</f>
        <v>Offline</v>
      </c>
    </row>
    <row r="314">
      <c r="A314" s="110">
        <v>3.07305467E8</v>
      </c>
      <c r="B314" s="131">
        <v>41484.0</v>
      </c>
      <c r="C314" s="131">
        <v>41496.0</v>
      </c>
      <c r="D314" s="110" t="s">
        <v>89</v>
      </c>
      <c r="E314" s="110" t="e">
        <v>#N/A</v>
      </c>
      <c r="F314" s="110">
        <v>4594.0</v>
      </c>
      <c r="G314" s="38" t="s">
        <v>43</v>
      </c>
      <c r="H314" s="110">
        <v>7371.0</v>
      </c>
      <c r="I314" s="132">
        <v>9.33</v>
      </c>
      <c r="J314" s="132">
        <v>6.92</v>
      </c>
      <c r="K314" s="39">
        <f t="shared" si="1"/>
        <v>68771.43</v>
      </c>
      <c r="L314" s="39">
        <f t="shared" si="2"/>
        <v>51007.32</v>
      </c>
      <c r="M314" s="39">
        <f t="shared" si="3"/>
        <v>17764.11</v>
      </c>
      <c r="N314" s="38" t="str">
        <f>VLOOKUP(F314,products!$A$2:$B$13,2,FALSE)</f>
        <v>Fruits</v>
      </c>
      <c r="O314" s="133">
        <f t="shared" si="4"/>
        <v>0.741693462</v>
      </c>
      <c r="P314" s="38" t="str">
        <f>VLOOKUP(E314,countries!A$2:E$250,3,false)</f>
        <v>#N/A</v>
      </c>
      <c r="Q314" s="38" t="str">
        <f>VLOOKUP($E314,countries!$A$2:$E$250,4,false)</f>
        <v>#N/A</v>
      </c>
      <c r="R314" s="38" t="str">
        <f>VLOOKUP($E314,countries!$A$2:$E$250,5,false)</f>
        <v>#N/A</v>
      </c>
      <c r="S314" s="38">
        <f t="shared" si="5"/>
        <v>12</v>
      </c>
      <c r="T314" s="38" t="s">
        <v>156</v>
      </c>
      <c r="U314" s="38">
        <v>2013.0</v>
      </c>
      <c r="V314" s="38">
        <v>7.0</v>
      </c>
      <c r="W314" s="38" t="s">
        <v>92</v>
      </c>
      <c r="X314" s="38" t="s">
        <v>149</v>
      </c>
      <c r="Y314" s="38" t="s">
        <v>149</v>
      </c>
      <c r="Z314" s="38" t="s">
        <v>149</v>
      </c>
      <c r="AA314" s="113" t="str">
        <f t="array" ref="AA314">PROPER(G314)</f>
        <v>Online</v>
      </c>
    </row>
    <row r="315">
      <c r="A315" s="110">
        <v>3.07721745E8</v>
      </c>
      <c r="B315" s="131">
        <v>40526.0</v>
      </c>
      <c r="C315" s="131">
        <v>40544.0</v>
      </c>
      <c r="D315" s="110" t="s">
        <v>89</v>
      </c>
      <c r="E315" s="110" t="s">
        <v>126</v>
      </c>
      <c r="F315" s="110">
        <v>8969.0</v>
      </c>
      <c r="G315" s="38" t="s">
        <v>43</v>
      </c>
      <c r="H315" s="110">
        <v>558.0</v>
      </c>
      <c r="I315" s="132">
        <v>152.58</v>
      </c>
      <c r="J315" s="132">
        <v>97.44</v>
      </c>
      <c r="K315" s="39">
        <f t="shared" si="1"/>
        <v>85139.64</v>
      </c>
      <c r="L315" s="39">
        <f t="shared" si="2"/>
        <v>54371.52</v>
      </c>
      <c r="M315" s="39">
        <f t="shared" si="3"/>
        <v>30768.12</v>
      </c>
      <c r="N315" s="38" t="str">
        <f>VLOOKUP(F315,products!$A$2:$B$13,2,FALSE)</f>
        <v>Snacks</v>
      </c>
      <c r="O315" s="133">
        <f t="shared" si="4"/>
        <v>0.6386158081</v>
      </c>
      <c r="P315" s="38" t="str">
        <f>VLOOKUP(E315,countries!A$2:E$250,3,false)</f>
        <v>Italy</v>
      </c>
      <c r="Q315" s="38" t="str">
        <f>VLOOKUP($E315,countries!$A$2:$E$250,4,false)</f>
        <v>Europe</v>
      </c>
      <c r="R315" s="38" t="str">
        <f>VLOOKUP($E315,countries!$A$2:$E$250,5,false)</f>
        <v>Southern Europe</v>
      </c>
      <c r="S315" s="38">
        <f t="shared" si="5"/>
        <v>18</v>
      </c>
      <c r="T315" s="38" t="s">
        <v>182</v>
      </c>
      <c r="U315" s="38">
        <v>2010.0</v>
      </c>
      <c r="V315" s="38">
        <v>12.0</v>
      </c>
      <c r="W315" s="38" t="s">
        <v>126</v>
      </c>
      <c r="X315" s="38" t="s">
        <v>197</v>
      </c>
      <c r="Y315" s="38" t="s">
        <v>146</v>
      </c>
      <c r="Z315" s="38" t="s">
        <v>147</v>
      </c>
      <c r="AA315" s="113" t="str">
        <f t="array" ref="AA315">PROPER(G315)</f>
        <v>Online</v>
      </c>
    </row>
    <row r="316">
      <c r="A316" s="110">
        <v>3.08582627E8</v>
      </c>
      <c r="B316" s="131">
        <v>41266.0</v>
      </c>
      <c r="C316" s="131">
        <v>41314.0</v>
      </c>
      <c r="D316" s="110" t="s">
        <v>10</v>
      </c>
      <c r="E316" s="110" t="s">
        <v>91</v>
      </c>
      <c r="F316" s="110">
        <v>1270.0</v>
      </c>
      <c r="G316" s="38" t="s">
        <v>42</v>
      </c>
      <c r="H316" s="110">
        <v>5312.0</v>
      </c>
      <c r="I316" s="132">
        <v>47.45</v>
      </c>
      <c r="J316" s="132">
        <v>31.79</v>
      </c>
      <c r="K316" s="39">
        <f t="shared" si="1"/>
        <v>252054.4</v>
      </c>
      <c r="L316" s="39">
        <f t="shared" si="2"/>
        <v>168868.48</v>
      </c>
      <c r="M316" s="39">
        <f t="shared" si="3"/>
        <v>83185.92</v>
      </c>
      <c r="N316" s="38" t="str">
        <f>VLOOKUP(F316,products!$A$2:$B$13,2,FALSE)</f>
        <v>Beverages</v>
      </c>
      <c r="O316" s="133">
        <f t="shared" si="4"/>
        <v>0.6699683878</v>
      </c>
      <c r="P316" s="38" t="str">
        <f>VLOOKUP(E316,countries!A$2:E$250,3,false)</f>
        <v>Serbia</v>
      </c>
      <c r="Q316" s="38" t="str">
        <f>VLOOKUP($E316,countries!$A$2:$E$250,4,false)</f>
        <v>Europe</v>
      </c>
      <c r="R316" s="38" t="str">
        <f>VLOOKUP($E316,countries!$A$2:$E$250,5,false)</f>
        <v>Southern Europe</v>
      </c>
      <c r="S316" s="38">
        <f t="shared" si="5"/>
        <v>48</v>
      </c>
      <c r="T316" s="38" t="s">
        <v>152</v>
      </c>
      <c r="U316" s="38">
        <v>2012.0</v>
      </c>
      <c r="V316" s="38">
        <v>12.0</v>
      </c>
      <c r="W316" s="38" t="s">
        <v>91</v>
      </c>
      <c r="X316" s="38" t="s">
        <v>145</v>
      </c>
      <c r="Y316" s="38" t="s">
        <v>146</v>
      </c>
      <c r="Z316" s="38" t="s">
        <v>147</v>
      </c>
      <c r="AA316" s="113" t="str">
        <f t="array" ref="AA316">PROPER(G316)</f>
        <v>Offline</v>
      </c>
    </row>
    <row r="317">
      <c r="A317" s="110">
        <v>3.09148681E8</v>
      </c>
      <c r="B317" s="131">
        <v>41022.0</v>
      </c>
      <c r="C317" s="131">
        <v>41034.0</v>
      </c>
      <c r="D317" s="110" t="s">
        <v>89</v>
      </c>
      <c r="E317" s="110" t="s">
        <v>98</v>
      </c>
      <c r="F317" s="110">
        <v>7940.0</v>
      </c>
      <c r="G317" s="38" t="s">
        <v>42</v>
      </c>
      <c r="H317" s="110">
        <v>2819.0</v>
      </c>
      <c r="I317" s="132">
        <v>668.27</v>
      </c>
      <c r="J317" s="132">
        <v>502.54</v>
      </c>
      <c r="K317" s="39">
        <f t="shared" si="1"/>
        <v>1883853.13</v>
      </c>
      <c r="L317" s="39">
        <f t="shared" si="2"/>
        <v>1416660.26</v>
      </c>
      <c r="M317" s="39">
        <f t="shared" si="3"/>
        <v>467192.87</v>
      </c>
      <c r="N317" s="38" t="str">
        <f>VLOOKUP(F317,products!$A$2:$B$13,2,FALSE)</f>
        <v>Household</v>
      </c>
      <c r="O317" s="133">
        <f t="shared" si="4"/>
        <v>0.7520014365</v>
      </c>
      <c r="P317" s="38" t="str">
        <f>VLOOKUP(E317,countries!A$2:E$250,3,false)</f>
        <v>Spain</v>
      </c>
      <c r="Q317" s="38" t="str">
        <f>VLOOKUP($E317,countries!$A$2:$E$250,4,false)</f>
        <v>Europe</v>
      </c>
      <c r="R317" s="38" t="str">
        <f>VLOOKUP($E317,countries!$A$2:$E$250,5,false)</f>
        <v>Southern Europe</v>
      </c>
      <c r="S317" s="38">
        <f t="shared" si="5"/>
        <v>12</v>
      </c>
      <c r="T317" s="38" t="s">
        <v>148</v>
      </c>
      <c r="U317" s="38">
        <v>2012.0</v>
      </c>
      <c r="V317" s="38">
        <v>4.0</v>
      </c>
      <c r="W317" s="38" t="s">
        <v>98</v>
      </c>
      <c r="X317" s="38" t="s">
        <v>160</v>
      </c>
      <c r="Y317" s="38" t="s">
        <v>146</v>
      </c>
      <c r="Z317" s="38" t="s">
        <v>147</v>
      </c>
      <c r="AA317" s="113" t="str">
        <f t="array" ref="AA317">PROPER(G317)</f>
        <v>Offline</v>
      </c>
    </row>
    <row r="318">
      <c r="A318" s="110">
        <v>3.09188163E8</v>
      </c>
      <c r="B318" s="131">
        <v>42209.0</v>
      </c>
      <c r="C318" s="131">
        <v>42228.0</v>
      </c>
      <c r="D318" s="110" t="s">
        <v>10</v>
      </c>
      <c r="E318" s="110" t="s">
        <v>109</v>
      </c>
      <c r="F318" s="110">
        <v>4594.0</v>
      </c>
      <c r="G318" s="38" t="s">
        <v>43</v>
      </c>
      <c r="H318" s="110">
        <v>4503.0</v>
      </c>
      <c r="I318" s="132">
        <v>9.33</v>
      </c>
      <c r="J318" s="132">
        <v>6.92</v>
      </c>
      <c r="K318" s="39">
        <f t="shared" si="1"/>
        <v>42012.99</v>
      </c>
      <c r="L318" s="39">
        <f t="shared" si="2"/>
        <v>31160.76</v>
      </c>
      <c r="M318" s="39">
        <f t="shared" si="3"/>
        <v>10852.23</v>
      </c>
      <c r="N318" s="38" t="str">
        <f>VLOOKUP(F318,products!$A$2:$B$13,2,FALSE)</f>
        <v>Fruits</v>
      </c>
      <c r="O318" s="133">
        <f t="shared" si="4"/>
        <v>0.741693462</v>
      </c>
      <c r="P318" s="38" t="str">
        <f>VLOOKUP(E318,countries!A$2:E$250,3,false)</f>
        <v>Belgium</v>
      </c>
      <c r="Q318" s="38" t="str">
        <f>VLOOKUP($E318,countries!$A$2:$E$250,4,false)</f>
        <v>Europe</v>
      </c>
      <c r="R318" s="38" t="str">
        <f>VLOOKUP($E318,countries!$A$2:$E$250,5,false)</f>
        <v>Western Europe</v>
      </c>
      <c r="S318" s="38">
        <f t="shared" si="5"/>
        <v>19</v>
      </c>
      <c r="T318" s="38" t="s">
        <v>156</v>
      </c>
      <c r="U318" s="38">
        <v>2015.0</v>
      </c>
      <c r="V318" s="38">
        <v>7.0</v>
      </c>
      <c r="W318" s="38" t="s">
        <v>109</v>
      </c>
      <c r="X318" s="38" t="s">
        <v>176</v>
      </c>
      <c r="Y318" s="38" t="s">
        <v>146</v>
      </c>
      <c r="Z318" s="38" t="s">
        <v>158</v>
      </c>
      <c r="AA318" s="113" t="str">
        <f t="array" ref="AA318">PROPER(G318)</f>
        <v>Online</v>
      </c>
    </row>
    <row r="319">
      <c r="A319" s="110">
        <v>3.09285581E8</v>
      </c>
      <c r="B319" s="131">
        <v>42792.0</v>
      </c>
      <c r="C319" s="131">
        <v>42842.0</v>
      </c>
      <c r="D319" s="110" t="s">
        <v>95</v>
      </c>
      <c r="E319" s="110" t="s">
        <v>127</v>
      </c>
      <c r="F319" s="110">
        <v>3127.0</v>
      </c>
      <c r="G319" s="38" t="s">
        <v>42</v>
      </c>
      <c r="H319" s="110">
        <v>3331.0</v>
      </c>
      <c r="I319" s="132">
        <v>81.73</v>
      </c>
      <c r="J319" s="132">
        <v>56.67</v>
      </c>
      <c r="K319" s="39">
        <f t="shared" si="1"/>
        <v>272242.63</v>
      </c>
      <c r="L319" s="39">
        <f t="shared" si="2"/>
        <v>188767.77</v>
      </c>
      <c r="M319" s="39">
        <f t="shared" si="3"/>
        <v>83474.86</v>
      </c>
      <c r="N319" s="38" t="str">
        <f>VLOOKUP(F319,products!$A$2:$B$13,2,FALSE)</f>
        <v>Personal Care</v>
      </c>
      <c r="O319" s="133">
        <f t="shared" si="4"/>
        <v>0.6933806436</v>
      </c>
      <c r="P319" s="38" t="str">
        <f>VLOOKUP(E319,countries!A$2:E$250,3,false)</f>
        <v>Ireland</v>
      </c>
      <c r="Q319" s="38" t="str">
        <f>VLOOKUP($E319,countries!$A$2:$E$250,4,false)</f>
        <v>Europe</v>
      </c>
      <c r="R319" s="38" t="str">
        <f>VLOOKUP($E319,countries!$A$2:$E$250,5,false)</f>
        <v>Northern Europe</v>
      </c>
      <c r="S319" s="38">
        <f t="shared" si="5"/>
        <v>50</v>
      </c>
      <c r="T319" s="38" t="s">
        <v>185</v>
      </c>
      <c r="U319" s="38">
        <v>2017.0</v>
      </c>
      <c r="V319" s="38">
        <v>2.0</v>
      </c>
      <c r="W319" s="38" t="s">
        <v>127</v>
      </c>
      <c r="X319" s="38" t="s">
        <v>198</v>
      </c>
      <c r="Y319" s="38" t="s">
        <v>146</v>
      </c>
      <c r="Z319" s="38" t="s">
        <v>170</v>
      </c>
      <c r="AA319" s="113" t="str">
        <f t="array" ref="AA319">PROPER(G319)</f>
        <v>Offline</v>
      </c>
    </row>
    <row r="320">
      <c r="A320" s="110">
        <v>3.09342658E8</v>
      </c>
      <c r="B320" s="131">
        <v>40599.0</v>
      </c>
      <c r="C320" s="131">
        <v>40630.0</v>
      </c>
      <c r="D320" s="110" t="s">
        <v>10</v>
      </c>
      <c r="E320" s="110" t="s">
        <v>126</v>
      </c>
      <c r="F320" s="110">
        <v>3127.0</v>
      </c>
      <c r="G320" s="38" t="s">
        <v>43</v>
      </c>
      <c r="H320" s="110">
        <v>222.0</v>
      </c>
      <c r="I320" s="132">
        <v>81.73</v>
      </c>
      <c r="J320" s="132">
        <v>56.67</v>
      </c>
      <c r="K320" s="39">
        <f t="shared" si="1"/>
        <v>18144.06</v>
      </c>
      <c r="L320" s="39">
        <f t="shared" si="2"/>
        <v>12580.74</v>
      </c>
      <c r="M320" s="39">
        <f t="shared" si="3"/>
        <v>5563.32</v>
      </c>
      <c r="N320" s="38" t="str">
        <f>VLOOKUP(F320,products!$A$2:$B$13,2,FALSE)</f>
        <v>Personal Care</v>
      </c>
      <c r="O320" s="133">
        <f t="shared" si="4"/>
        <v>0.6933806436</v>
      </c>
      <c r="P320" s="38" t="str">
        <f>VLOOKUP(E320,countries!A$2:E$250,3,false)</f>
        <v>Italy</v>
      </c>
      <c r="Q320" s="38" t="str">
        <f>VLOOKUP($E320,countries!$A$2:$E$250,4,false)</f>
        <v>Europe</v>
      </c>
      <c r="R320" s="38" t="str">
        <f>VLOOKUP($E320,countries!$A$2:$E$250,5,false)</f>
        <v>Southern Europe</v>
      </c>
      <c r="S320" s="38">
        <f t="shared" si="5"/>
        <v>31</v>
      </c>
      <c r="T320" s="38" t="s">
        <v>185</v>
      </c>
      <c r="U320" s="38">
        <v>2011.0</v>
      </c>
      <c r="V320" s="38">
        <v>2.0</v>
      </c>
      <c r="W320" s="38" t="s">
        <v>126</v>
      </c>
      <c r="X320" s="38" t="s">
        <v>197</v>
      </c>
      <c r="Y320" s="38" t="s">
        <v>146</v>
      </c>
      <c r="Z320" s="38" t="s">
        <v>147</v>
      </c>
      <c r="AA320" s="113" t="str">
        <f t="array" ref="AA320">PROPER(G320)</f>
        <v>Online</v>
      </c>
    </row>
    <row r="321">
      <c r="A321" s="110">
        <v>3.09655511E8</v>
      </c>
      <c r="B321" s="131">
        <v>41764.0</v>
      </c>
      <c r="C321" s="131">
        <v>41780.0</v>
      </c>
      <c r="D321" s="110" t="s">
        <v>10</v>
      </c>
      <c r="E321" s="110" t="s">
        <v>99</v>
      </c>
      <c r="F321" s="110">
        <v>3127.0</v>
      </c>
      <c r="G321" s="38" t="s">
        <v>42</v>
      </c>
      <c r="H321" s="134">
        <f>MEDIAN(H2:H1331)</f>
        <v>4958</v>
      </c>
      <c r="I321" s="132">
        <v>81.73</v>
      </c>
      <c r="J321" s="132">
        <v>56.67</v>
      </c>
      <c r="K321" s="39">
        <f t="shared" si="1"/>
        <v>405217.34</v>
      </c>
      <c r="L321" s="39">
        <f t="shared" si="2"/>
        <v>280969.86</v>
      </c>
      <c r="M321" s="39">
        <f t="shared" si="3"/>
        <v>124247.48</v>
      </c>
      <c r="N321" s="38" t="str">
        <f>VLOOKUP(F321,products!$A$2:$B$13,2,FALSE)</f>
        <v>Personal Care</v>
      </c>
      <c r="O321" s="133">
        <f t="shared" si="4"/>
        <v>0.6933806436</v>
      </c>
      <c r="P321" s="38" t="str">
        <f>VLOOKUP(E321,countries!A$2:E$250,3,false)</f>
        <v>Croatia</v>
      </c>
      <c r="Q321" s="38" t="str">
        <f>VLOOKUP($E321,countries!$A$2:$E$250,4,false)</f>
        <v>Europe</v>
      </c>
      <c r="R321" s="38" t="str">
        <f>VLOOKUP($E321,countries!$A$2:$E$250,5,false)</f>
        <v>Southern Europe</v>
      </c>
      <c r="S321" s="38">
        <f t="shared" si="5"/>
        <v>16</v>
      </c>
      <c r="T321" s="38" t="s">
        <v>185</v>
      </c>
      <c r="U321" s="38">
        <v>2014.0</v>
      </c>
      <c r="V321" s="38">
        <v>5.0</v>
      </c>
      <c r="W321" s="38" t="s">
        <v>99</v>
      </c>
      <c r="X321" s="38" t="s">
        <v>162</v>
      </c>
      <c r="Y321" s="38" t="s">
        <v>146</v>
      </c>
      <c r="Z321" s="38" t="s">
        <v>147</v>
      </c>
      <c r="AA321" s="113" t="str">
        <f t="array" ref="AA321">PROPER(G321)</f>
        <v>Offline</v>
      </c>
    </row>
    <row r="322">
      <c r="A322" s="110">
        <v>3.1058892E8</v>
      </c>
      <c r="B322" s="131">
        <v>41257.0</v>
      </c>
      <c r="C322" s="131">
        <v>41280.0</v>
      </c>
      <c r="D322" s="110" t="s">
        <v>95</v>
      </c>
      <c r="E322" s="110" t="s">
        <v>112</v>
      </c>
      <c r="F322" s="110">
        <v>8293.0</v>
      </c>
      <c r="G322" s="38" t="s">
        <v>42</v>
      </c>
      <c r="H322" s="110">
        <v>9018.0</v>
      </c>
      <c r="I322" s="132">
        <v>437.2</v>
      </c>
      <c r="J322" s="132">
        <v>263.33</v>
      </c>
      <c r="K322" s="39">
        <f t="shared" si="1"/>
        <v>3942669.6</v>
      </c>
      <c r="L322" s="39">
        <f t="shared" si="2"/>
        <v>2374709.94</v>
      </c>
      <c r="M322" s="39">
        <f t="shared" si="3"/>
        <v>1567959.66</v>
      </c>
      <c r="N322" s="38" t="str">
        <f>VLOOKUP(F322,products!$A$2:$B$13,2,FALSE)</f>
        <v>Cosmetics</v>
      </c>
      <c r="O322" s="133">
        <f t="shared" si="4"/>
        <v>0.6023101555</v>
      </c>
      <c r="P322" s="38" t="str">
        <f>VLOOKUP(E322,countries!A$2:E$250,3,false)</f>
        <v>Malta</v>
      </c>
      <c r="Q322" s="38" t="str">
        <f>VLOOKUP($E322,countries!$A$2:$E$250,4,false)</f>
        <v>Europe</v>
      </c>
      <c r="R322" s="38" t="str">
        <f>VLOOKUP($E322,countries!$A$2:$E$250,5,false)</f>
        <v>Southern Europe</v>
      </c>
      <c r="S322" s="38">
        <f t="shared" si="5"/>
        <v>23</v>
      </c>
      <c r="T322" s="38" t="s">
        <v>178</v>
      </c>
      <c r="U322" s="38">
        <v>2012.0</v>
      </c>
      <c r="V322" s="38">
        <v>12.0</v>
      </c>
      <c r="W322" s="38" t="s">
        <v>112</v>
      </c>
      <c r="X322" s="38" t="s">
        <v>180</v>
      </c>
      <c r="Y322" s="38" t="s">
        <v>146</v>
      </c>
      <c r="Z322" s="38" t="s">
        <v>147</v>
      </c>
      <c r="AA322" s="113" t="str">
        <f t="array" ref="AA322">PROPER(G322)</f>
        <v>Offline</v>
      </c>
    </row>
    <row r="323">
      <c r="A323" s="110">
        <v>3.11221492E8</v>
      </c>
      <c r="B323" s="131">
        <v>42471.0</v>
      </c>
      <c r="C323" s="131">
        <v>42497.0</v>
      </c>
      <c r="D323" s="110" t="s">
        <v>93</v>
      </c>
      <c r="E323" s="110" t="s">
        <v>132</v>
      </c>
      <c r="F323" s="110">
        <v>4594.0</v>
      </c>
      <c r="G323" s="38" t="s">
        <v>43</v>
      </c>
      <c r="H323" s="110">
        <v>6210.0</v>
      </c>
      <c r="I323" s="132">
        <v>9.33</v>
      </c>
      <c r="J323" s="132">
        <v>6.92</v>
      </c>
      <c r="K323" s="39">
        <f t="shared" si="1"/>
        <v>57939.3</v>
      </c>
      <c r="L323" s="39">
        <f t="shared" si="2"/>
        <v>42973.2</v>
      </c>
      <c r="M323" s="39">
        <f t="shared" si="3"/>
        <v>14966.1</v>
      </c>
      <c r="N323" s="38" t="str">
        <f>VLOOKUP(F323,products!$A$2:$B$13,2,FALSE)</f>
        <v>Fruits</v>
      </c>
      <c r="O323" s="133">
        <f t="shared" si="4"/>
        <v>0.741693462</v>
      </c>
      <c r="P323" s="38" t="str">
        <f>VLOOKUP(E323,countries!A$2:E$250,3,false)</f>
        <v>Sweden</v>
      </c>
      <c r="Q323" s="38" t="str">
        <f>VLOOKUP($E323,countries!$A$2:$E$250,4,false)</f>
        <v>Europe</v>
      </c>
      <c r="R323" s="38" t="str">
        <f>VLOOKUP($E323,countries!$A$2:$E$250,5,false)</f>
        <v>Northern Europe</v>
      </c>
      <c r="S323" s="38">
        <f t="shared" si="5"/>
        <v>26</v>
      </c>
      <c r="T323" s="38" t="s">
        <v>156</v>
      </c>
      <c r="U323" s="38">
        <v>2016.0</v>
      </c>
      <c r="V323" s="38">
        <v>4.0</v>
      </c>
      <c r="W323" s="38" t="s">
        <v>132</v>
      </c>
      <c r="X323" s="38" t="s">
        <v>203</v>
      </c>
      <c r="Y323" s="38" t="s">
        <v>146</v>
      </c>
      <c r="Z323" s="38" t="s">
        <v>170</v>
      </c>
      <c r="AA323" s="113" t="str">
        <f t="array" ref="AA323">PROPER(G323)</f>
        <v>Online</v>
      </c>
    </row>
    <row r="324">
      <c r="A324" s="110">
        <v>3.1168884E8</v>
      </c>
      <c r="B324" s="131">
        <v>42026.0</v>
      </c>
      <c r="C324" s="131">
        <v>42049.0</v>
      </c>
      <c r="D324" s="110" t="s">
        <v>93</v>
      </c>
      <c r="E324" s="110" t="s">
        <v>103</v>
      </c>
      <c r="F324" s="110">
        <v>3127.0</v>
      </c>
      <c r="G324" s="38" t="s">
        <v>42</v>
      </c>
      <c r="H324" s="110">
        <v>4509.0</v>
      </c>
      <c r="I324" s="132">
        <v>81.73</v>
      </c>
      <c r="J324" s="132">
        <v>56.67</v>
      </c>
      <c r="K324" s="39">
        <f t="shared" si="1"/>
        <v>368520.57</v>
      </c>
      <c r="L324" s="39">
        <f t="shared" si="2"/>
        <v>255525.03</v>
      </c>
      <c r="M324" s="39">
        <f t="shared" si="3"/>
        <v>112995.54</v>
      </c>
      <c r="N324" s="38" t="str">
        <f>VLOOKUP(F324,products!$A$2:$B$13,2,FALSE)</f>
        <v>Personal Care</v>
      </c>
      <c r="O324" s="133">
        <f t="shared" si="4"/>
        <v>0.6933806436</v>
      </c>
      <c r="P324" s="38" t="str">
        <f>VLOOKUP(E324,countries!A$2:E$250,3,false)</f>
        <v>United Kingdom</v>
      </c>
      <c r="Q324" s="38" t="str">
        <f>VLOOKUP($E324,countries!$A$2:$E$250,4,false)</f>
        <v>Europe</v>
      </c>
      <c r="R324" s="38" t="str">
        <f>VLOOKUP($E324,countries!$A$2:$E$250,5,false)</f>
        <v>Northern Europe</v>
      </c>
      <c r="S324" s="38">
        <f t="shared" si="5"/>
        <v>23</v>
      </c>
      <c r="T324" s="38" t="s">
        <v>185</v>
      </c>
      <c r="U324" s="38">
        <v>2015.0</v>
      </c>
      <c r="V324" s="38">
        <v>1.0</v>
      </c>
      <c r="W324" s="38" t="s">
        <v>103</v>
      </c>
      <c r="X324" s="38" t="s">
        <v>169</v>
      </c>
      <c r="Y324" s="38" t="s">
        <v>146</v>
      </c>
      <c r="Z324" s="38" t="s">
        <v>170</v>
      </c>
      <c r="AA324" s="113" t="str">
        <f t="array" ref="AA324">PROPER(G324)</f>
        <v>Offline</v>
      </c>
    </row>
    <row r="325">
      <c r="A325" s="110">
        <v>3.11921012E8</v>
      </c>
      <c r="B325" s="131">
        <v>40405.0</v>
      </c>
      <c r="C325" s="131">
        <v>40416.0</v>
      </c>
      <c r="D325" s="110" t="s">
        <v>95</v>
      </c>
      <c r="E325" s="110" t="s">
        <v>116</v>
      </c>
      <c r="F325" s="110">
        <v>1270.0</v>
      </c>
      <c r="G325" s="38" t="s">
        <v>43</v>
      </c>
      <c r="H325" s="110">
        <v>3214.0</v>
      </c>
      <c r="I325" s="132">
        <v>47.45</v>
      </c>
      <c r="J325" s="132">
        <v>31.79</v>
      </c>
      <c r="K325" s="39">
        <f t="shared" si="1"/>
        <v>152504.3</v>
      </c>
      <c r="L325" s="39">
        <f t="shared" si="2"/>
        <v>102173.06</v>
      </c>
      <c r="M325" s="39">
        <f t="shared" si="3"/>
        <v>50331.24</v>
      </c>
      <c r="N325" s="38" t="str">
        <f>VLOOKUP(F325,products!$A$2:$B$13,2,FALSE)</f>
        <v>Beverages</v>
      </c>
      <c r="O325" s="133">
        <f t="shared" si="4"/>
        <v>0.6699683878</v>
      </c>
      <c r="P325" s="38" t="str">
        <f>VLOOKUP(E325,countries!A$2:E$250,3,false)</f>
        <v>Belarus</v>
      </c>
      <c r="Q325" s="38" t="str">
        <f>VLOOKUP($E325,countries!$A$2:$E$250,4,false)</f>
        <v>Europe</v>
      </c>
      <c r="R325" s="38" t="str">
        <f>VLOOKUP($E325,countries!$A$2:$E$250,5,false)</f>
        <v>Eastern Europe</v>
      </c>
      <c r="S325" s="38">
        <f t="shared" si="5"/>
        <v>11</v>
      </c>
      <c r="T325" s="38" t="s">
        <v>152</v>
      </c>
      <c r="U325" s="38">
        <v>2010.0</v>
      </c>
      <c r="V325" s="38">
        <v>8.0</v>
      </c>
      <c r="W325" s="38" t="s">
        <v>116</v>
      </c>
      <c r="X325" s="38" t="s">
        <v>187</v>
      </c>
      <c r="Y325" s="38" t="s">
        <v>146</v>
      </c>
      <c r="Z325" s="38" t="s">
        <v>155</v>
      </c>
      <c r="AA325" s="113" t="str">
        <f t="array" ref="AA325">PROPER(G325)</f>
        <v>Online</v>
      </c>
    </row>
    <row r="326">
      <c r="A326" s="110">
        <v>3.11956632E8</v>
      </c>
      <c r="B326" s="131">
        <v>42739.0</v>
      </c>
      <c r="C326" s="131">
        <v>42745.0</v>
      </c>
      <c r="D326" s="110" t="s">
        <v>10</v>
      </c>
      <c r="E326" s="110" t="s">
        <v>117</v>
      </c>
      <c r="F326" s="110">
        <v>8293.0</v>
      </c>
      <c r="G326" s="38" t="s">
        <v>42</v>
      </c>
      <c r="H326" s="110">
        <v>3755.0</v>
      </c>
      <c r="I326" s="132">
        <v>437.2</v>
      </c>
      <c r="J326" s="132">
        <v>263.33</v>
      </c>
      <c r="K326" s="39">
        <f t="shared" si="1"/>
        <v>1641686</v>
      </c>
      <c r="L326" s="39">
        <f t="shared" si="2"/>
        <v>988804.15</v>
      </c>
      <c r="M326" s="39">
        <f t="shared" si="3"/>
        <v>652881.85</v>
      </c>
      <c r="N326" s="38" t="str">
        <f>VLOOKUP(F326,products!$A$2:$B$13,2,FALSE)</f>
        <v>Cosmetics</v>
      </c>
      <c r="O326" s="133">
        <f t="shared" si="4"/>
        <v>0.6023101555</v>
      </c>
      <c r="P326" s="38" t="str">
        <f>VLOOKUP(E326,countries!A$2:E$250,3,false)</f>
        <v>Estonia</v>
      </c>
      <c r="Q326" s="38" t="str">
        <f>VLOOKUP($E326,countries!$A$2:$E$250,4,false)</f>
        <v>Europe</v>
      </c>
      <c r="R326" s="38" t="str">
        <f>VLOOKUP($E326,countries!$A$2:$E$250,5,false)</f>
        <v>Northern Europe</v>
      </c>
      <c r="S326" s="38">
        <f t="shared" si="5"/>
        <v>6</v>
      </c>
      <c r="T326" s="38" t="s">
        <v>178</v>
      </c>
      <c r="U326" s="38">
        <v>2017.0</v>
      </c>
      <c r="V326" s="38">
        <v>1.0</v>
      </c>
      <c r="W326" s="38" t="s">
        <v>117</v>
      </c>
      <c r="X326" s="38" t="s">
        <v>188</v>
      </c>
      <c r="Y326" s="38" t="s">
        <v>146</v>
      </c>
      <c r="Z326" s="38" t="s">
        <v>170</v>
      </c>
      <c r="AA326" s="113" t="str">
        <f t="array" ref="AA326">PROPER(G326)</f>
        <v>Offline</v>
      </c>
    </row>
    <row r="327">
      <c r="A327" s="110">
        <v>3.13178002E8</v>
      </c>
      <c r="B327" s="131">
        <v>41566.0</v>
      </c>
      <c r="C327" s="131">
        <v>41614.0</v>
      </c>
      <c r="D327" s="110" t="s">
        <v>10</v>
      </c>
      <c r="E327" s="110" t="s">
        <v>125</v>
      </c>
      <c r="F327" s="110">
        <v>1270.0</v>
      </c>
      <c r="G327" s="38" t="s">
        <v>42</v>
      </c>
      <c r="H327" s="110">
        <v>5185.0</v>
      </c>
      <c r="I327" s="132">
        <v>47.45</v>
      </c>
      <c r="J327" s="132">
        <v>31.79</v>
      </c>
      <c r="K327" s="39">
        <f t="shared" si="1"/>
        <v>246028.25</v>
      </c>
      <c r="L327" s="39">
        <f t="shared" si="2"/>
        <v>164831.15</v>
      </c>
      <c r="M327" s="39">
        <f t="shared" si="3"/>
        <v>81197.1</v>
      </c>
      <c r="N327" s="38" t="str">
        <f>VLOOKUP(F327,products!$A$2:$B$13,2,FALSE)</f>
        <v>Beverages</v>
      </c>
      <c r="O327" s="133">
        <f t="shared" si="4"/>
        <v>0.6699683878</v>
      </c>
      <c r="P327" s="38" t="str">
        <f>VLOOKUP(E327,countries!A$2:E$250,3,false)</f>
        <v>Bulgaria</v>
      </c>
      <c r="Q327" s="38" t="str">
        <f>VLOOKUP($E327,countries!$A$2:$E$250,4,false)</f>
        <v>Europe</v>
      </c>
      <c r="R327" s="38" t="str">
        <f>VLOOKUP($E327,countries!$A$2:$E$250,5,false)</f>
        <v>Eastern Europe</v>
      </c>
      <c r="S327" s="38">
        <f t="shared" si="5"/>
        <v>48</v>
      </c>
      <c r="T327" s="38" t="s">
        <v>152</v>
      </c>
      <c r="U327" s="38">
        <v>2013.0</v>
      </c>
      <c r="V327" s="38">
        <v>10.0</v>
      </c>
      <c r="W327" s="38" t="s">
        <v>125</v>
      </c>
      <c r="X327" s="38" t="s">
        <v>196</v>
      </c>
      <c r="Y327" s="38" t="s">
        <v>146</v>
      </c>
      <c r="Z327" s="38" t="s">
        <v>155</v>
      </c>
      <c r="AA327" s="113" t="str">
        <f t="array" ref="AA327">PROPER(G327)</f>
        <v>Offline</v>
      </c>
    </row>
    <row r="328">
      <c r="A328" s="110">
        <v>3.13705861E8</v>
      </c>
      <c r="B328" s="131">
        <v>42519.0</v>
      </c>
      <c r="C328" s="131">
        <v>42561.0</v>
      </c>
      <c r="D328" s="110" t="s">
        <v>93</v>
      </c>
      <c r="E328" s="110" t="s">
        <v>94</v>
      </c>
      <c r="F328" s="110">
        <v>4594.0</v>
      </c>
      <c r="G328" s="38" t="s">
        <v>42</v>
      </c>
      <c r="H328" s="110">
        <v>1390.0</v>
      </c>
      <c r="I328" s="132">
        <v>9.33</v>
      </c>
      <c r="J328" s="132">
        <v>6.92</v>
      </c>
      <c r="K328" s="39">
        <f t="shared" si="1"/>
        <v>12968.7</v>
      </c>
      <c r="L328" s="39">
        <f t="shared" si="2"/>
        <v>9618.8</v>
      </c>
      <c r="M328" s="39">
        <f t="shared" si="3"/>
        <v>3349.9</v>
      </c>
      <c r="N328" s="38" t="str">
        <f>VLOOKUP(F328,products!$A$2:$B$13,2,FALSE)</f>
        <v>Fruits</v>
      </c>
      <c r="O328" s="133">
        <f t="shared" si="4"/>
        <v>0.741693462</v>
      </c>
      <c r="P328" s="38" t="str">
        <f>VLOOKUP(E328,countries!A$2:E$250,3,false)</f>
        <v>Montenegro</v>
      </c>
      <c r="Q328" s="38" t="str">
        <f>VLOOKUP($E328,countries!$A$2:$E$250,4,false)</f>
        <v>Europe</v>
      </c>
      <c r="R328" s="38" t="str">
        <f>VLOOKUP($E328,countries!$A$2:$E$250,5,false)</f>
        <v>Southern Europe</v>
      </c>
      <c r="S328" s="38">
        <f t="shared" si="5"/>
        <v>42</v>
      </c>
      <c r="T328" s="38" t="s">
        <v>156</v>
      </c>
      <c r="U328" s="38">
        <v>2016.0</v>
      </c>
      <c r="V328" s="38">
        <v>5.0</v>
      </c>
      <c r="W328" s="38" t="s">
        <v>94</v>
      </c>
      <c r="X328" s="38" t="s">
        <v>151</v>
      </c>
      <c r="Y328" s="38" t="s">
        <v>146</v>
      </c>
      <c r="Z328" s="38" t="s">
        <v>147</v>
      </c>
      <c r="AA328" s="113" t="str">
        <f t="array" ref="AA328">PROPER(G328)</f>
        <v>Offline</v>
      </c>
    </row>
    <row r="329">
      <c r="A329" s="110">
        <v>3.13821303E8</v>
      </c>
      <c r="B329" s="131">
        <v>40517.0</v>
      </c>
      <c r="C329" s="131">
        <v>40560.0</v>
      </c>
      <c r="D329" s="110" t="s">
        <v>95</v>
      </c>
      <c r="E329" s="110" t="s">
        <v>123</v>
      </c>
      <c r="F329" s="110">
        <v>8681.0</v>
      </c>
      <c r="G329" s="38" t="s">
        <v>43</v>
      </c>
      <c r="H329" s="110">
        <v>5552.0</v>
      </c>
      <c r="I329" s="132">
        <v>651.21</v>
      </c>
      <c r="J329" s="132">
        <v>524.96</v>
      </c>
      <c r="K329" s="39">
        <f t="shared" si="1"/>
        <v>3615517.92</v>
      </c>
      <c r="L329" s="39">
        <f t="shared" si="2"/>
        <v>2914577.92</v>
      </c>
      <c r="M329" s="39">
        <f t="shared" si="3"/>
        <v>700940</v>
      </c>
      <c r="N329" s="38" t="str">
        <f>VLOOKUP(F329,products!$A$2:$B$13,2,FALSE)</f>
        <v>Office Supplies</v>
      </c>
      <c r="O329" s="133">
        <f t="shared" si="4"/>
        <v>0.806130127</v>
      </c>
      <c r="P329" s="38" t="str">
        <f>VLOOKUP(E329,countries!A$2:E$250,3,false)</f>
        <v>Hungary</v>
      </c>
      <c r="Q329" s="38" t="str">
        <f>VLOOKUP($E329,countries!$A$2:$E$250,4,false)</f>
        <v>Europe</v>
      </c>
      <c r="R329" s="38" t="str">
        <f>VLOOKUP($E329,countries!$A$2:$E$250,5,false)</f>
        <v>Eastern Europe</v>
      </c>
      <c r="S329" s="38">
        <f t="shared" si="5"/>
        <v>43</v>
      </c>
      <c r="T329" s="38" t="s">
        <v>153</v>
      </c>
      <c r="U329" s="38">
        <v>2010.0</v>
      </c>
      <c r="V329" s="38">
        <v>12.0</v>
      </c>
      <c r="W329" s="38" t="s">
        <v>123</v>
      </c>
      <c r="X329" s="38" t="s">
        <v>194</v>
      </c>
      <c r="Y329" s="38" t="s">
        <v>146</v>
      </c>
      <c r="Z329" s="38" t="s">
        <v>155</v>
      </c>
      <c r="AA329" s="113" t="str">
        <f t="array" ref="AA329">PROPER(G329)</f>
        <v>Online</v>
      </c>
    </row>
    <row r="330">
      <c r="A330" s="110">
        <v>3.14782178E8</v>
      </c>
      <c r="B330" s="131">
        <v>41075.0</v>
      </c>
      <c r="C330" s="131">
        <v>41102.0</v>
      </c>
      <c r="D330" s="110" t="s">
        <v>93</v>
      </c>
      <c r="E330" s="110" t="s">
        <v>126</v>
      </c>
      <c r="F330" s="110">
        <v>7331.0</v>
      </c>
      <c r="G330" s="38" t="s">
        <v>42</v>
      </c>
      <c r="H330" s="110">
        <v>9896.0</v>
      </c>
      <c r="I330" s="132">
        <v>255.28</v>
      </c>
      <c r="J330" s="132">
        <v>159.42</v>
      </c>
      <c r="K330" s="39">
        <f t="shared" si="1"/>
        <v>2526250.88</v>
      </c>
      <c r="L330" s="39">
        <f t="shared" si="2"/>
        <v>1577620.32</v>
      </c>
      <c r="M330" s="39">
        <f t="shared" si="3"/>
        <v>948630.56</v>
      </c>
      <c r="N330" s="38" t="str">
        <f>VLOOKUP(F330,products!$A$2:$B$13,2,FALSE)</f>
        <v>Baby Food</v>
      </c>
      <c r="O330" s="133">
        <f t="shared" si="4"/>
        <v>0.6244907552</v>
      </c>
      <c r="P330" s="38" t="str">
        <f>VLOOKUP(E330,countries!A$2:E$250,3,false)</f>
        <v>Italy</v>
      </c>
      <c r="Q330" s="38" t="str">
        <f>VLOOKUP($E330,countries!$A$2:$E$250,4,false)</f>
        <v>Europe</v>
      </c>
      <c r="R330" s="38" t="str">
        <f>VLOOKUP($E330,countries!$A$2:$E$250,5,false)</f>
        <v>Southern Europe</v>
      </c>
      <c r="S330" s="38">
        <f t="shared" si="5"/>
        <v>27</v>
      </c>
      <c r="T330" s="38" t="s">
        <v>161</v>
      </c>
      <c r="U330" s="38">
        <v>2012.0</v>
      </c>
      <c r="V330" s="38">
        <v>6.0</v>
      </c>
      <c r="W330" s="38" t="s">
        <v>126</v>
      </c>
      <c r="X330" s="38" t="s">
        <v>197</v>
      </c>
      <c r="Y330" s="38" t="s">
        <v>146</v>
      </c>
      <c r="Z330" s="38" t="s">
        <v>147</v>
      </c>
      <c r="AA330" s="113" t="str">
        <f t="array" ref="AA330">PROPER(G330)</f>
        <v>Offline</v>
      </c>
    </row>
    <row r="331">
      <c r="A331" s="110">
        <v>3.15066277E8</v>
      </c>
      <c r="B331" s="131">
        <v>41557.0</v>
      </c>
      <c r="C331" s="131">
        <v>41606.0</v>
      </c>
      <c r="D331" s="110" t="s">
        <v>93</v>
      </c>
      <c r="E331" s="110" t="s">
        <v>96</v>
      </c>
      <c r="F331" s="110">
        <v>8969.0</v>
      </c>
      <c r="G331" s="38" t="s">
        <v>42</v>
      </c>
      <c r="H331" s="110">
        <v>3968.0</v>
      </c>
      <c r="I331" s="132">
        <v>152.58</v>
      </c>
      <c r="J331" s="132">
        <v>97.44</v>
      </c>
      <c r="K331" s="39">
        <f t="shared" si="1"/>
        <v>605437.44</v>
      </c>
      <c r="L331" s="39">
        <f t="shared" si="2"/>
        <v>386641.92</v>
      </c>
      <c r="M331" s="39">
        <f t="shared" si="3"/>
        <v>218795.52</v>
      </c>
      <c r="N331" s="38" t="str">
        <f>VLOOKUP(F331,products!$A$2:$B$13,2,FALSE)</f>
        <v>Snacks</v>
      </c>
      <c r="O331" s="133">
        <f t="shared" si="4"/>
        <v>0.6386158081</v>
      </c>
      <c r="P331" s="38" t="str">
        <f>VLOOKUP(E331,countries!A$2:E$250,3,false)</f>
        <v>Slovakia</v>
      </c>
      <c r="Q331" s="38" t="str">
        <f>VLOOKUP($E331,countries!$A$2:$E$250,4,false)</f>
        <v>Europe</v>
      </c>
      <c r="R331" s="38" t="str">
        <f>VLOOKUP($E331,countries!$A$2:$E$250,5,false)</f>
        <v>Eastern Europe</v>
      </c>
      <c r="S331" s="38">
        <f t="shared" si="5"/>
        <v>49</v>
      </c>
      <c r="T331" s="38" t="s">
        <v>182</v>
      </c>
      <c r="U331" s="38">
        <v>2013.0</v>
      </c>
      <c r="V331" s="38">
        <v>10.0</v>
      </c>
      <c r="W331" s="38" t="s">
        <v>96</v>
      </c>
      <c r="X331" s="38" t="s">
        <v>154</v>
      </c>
      <c r="Y331" s="38" t="s">
        <v>146</v>
      </c>
      <c r="Z331" s="38" t="s">
        <v>155</v>
      </c>
      <c r="AA331" s="113" t="str">
        <f t="array" ref="AA331">PROPER(G331)</f>
        <v>Offline</v>
      </c>
    </row>
    <row r="332">
      <c r="A332" s="110">
        <v>3.16466176E8</v>
      </c>
      <c r="B332" s="131">
        <v>41781.0</v>
      </c>
      <c r="C332" s="131">
        <v>41792.0</v>
      </c>
      <c r="D332" s="110" t="s">
        <v>95</v>
      </c>
      <c r="E332" s="110" t="s">
        <v>117</v>
      </c>
      <c r="F332" s="110">
        <v>7331.0</v>
      </c>
      <c r="G332" s="38" t="s">
        <v>42</v>
      </c>
      <c r="H332" s="110">
        <v>8229.0</v>
      </c>
      <c r="I332" s="132">
        <v>255.28</v>
      </c>
      <c r="J332" s="132">
        <v>159.42</v>
      </c>
      <c r="K332" s="39">
        <f t="shared" si="1"/>
        <v>2100699.12</v>
      </c>
      <c r="L332" s="39">
        <f t="shared" si="2"/>
        <v>1311867.18</v>
      </c>
      <c r="M332" s="39">
        <f t="shared" si="3"/>
        <v>788831.94</v>
      </c>
      <c r="N332" s="38" t="str">
        <f>VLOOKUP(F332,products!$A$2:$B$13,2,FALSE)</f>
        <v>Baby Food</v>
      </c>
      <c r="O332" s="133">
        <f t="shared" si="4"/>
        <v>0.6244907552</v>
      </c>
      <c r="P332" s="38" t="str">
        <f>VLOOKUP(E332,countries!A$2:E$250,3,false)</f>
        <v>Estonia</v>
      </c>
      <c r="Q332" s="38" t="str">
        <f>VLOOKUP($E332,countries!$A$2:$E$250,4,false)</f>
        <v>Europe</v>
      </c>
      <c r="R332" s="38" t="str">
        <f>VLOOKUP($E332,countries!$A$2:$E$250,5,false)</f>
        <v>Northern Europe</v>
      </c>
      <c r="S332" s="38">
        <f t="shared" si="5"/>
        <v>11</v>
      </c>
      <c r="T332" s="38" t="s">
        <v>161</v>
      </c>
      <c r="U332" s="38">
        <v>2014.0</v>
      </c>
      <c r="V332" s="38">
        <v>5.0</v>
      </c>
      <c r="W332" s="38" t="s">
        <v>117</v>
      </c>
      <c r="X332" s="38" t="s">
        <v>188</v>
      </c>
      <c r="Y332" s="38" t="s">
        <v>146</v>
      </c>
      <c r="Z332" s="38" t="s">
        <v>170</v>
      </c>
      <c r="AA332" s="113" t="str">
        <f t="array" ref="AA332">PROPER(G332)</f>
        <v>Offline</v>
      </c>
    </row>
    <row r="333">
      <c r="A333" s="110">
        <v>3.17006051E8</v>
      </c>
      <c r="B333" s="131">
        <v>42855.0</v>
      </c>
      <c r="C333" s="131">
        <v>42891.0</v>
      </c>
      <c r="D333" s="110" t="s">
        <v>95</v>
      </c>
      <c r="E333" s="110" t="s">
        <v>138</v>
      </c>
      <c r="F333" s="110">
        <v>1270.0</v>
      </c>
      <c r="G333" s="38" t="s">
        <v>42</v>
      </c>
      <c r="H333" s="110">
        <v>7990.0</v>
      </c>
      <c r="I333" s="132">
        <v>47.45</v>
      </c>
      <c r="J333" s="132">
        <v>31.79</v>
      </c>
      <c r="K333" s="39">
        <f t="shared" si="1"/>
        <v>379125.5</v>
      </c>
      <c r="L333" s="39">
        <f t="shared" si="2"/>
        <v>254002.1</v>
      </c>
      <c r="M333" s="39">
        <f t="shared" si="3"/>
        <v>125123.4</v>
      </c>
      <c r="N333" s="38" t="str">
        <f>VLOOKUP(F333,products!$A$2:$B$13,2,FALSE)</f>
        <v>Beverages</v>
      </c>
      <c r="O333" s="133">
        <f t="shared" si="4"/>
        <v>0.6699683878</v>
      </c>
      <c r="P333" s="38" t="str">
        <f>VLOOKUP(E333,countries!A$2:E$250,3,false)</f>
        <v>Greece</v>
      </c>
      <c r="Q333" s="38" t="str">
        <f>VLOOKUP($E333,countries!$A$2:$E$250,4,false)</f>
        <v>Europe</v>
      </c>
      <c r="R333" s="38" t="str">
        <f>VLOOKUP($E333,countries!$A$2:$E$250,5,false)</f>
        <v>Southern Europe</v>
      </c>
      <c r="S333" s="38">
        <f t="shared" si="5"/>
        <v>36</v>
      </c>
      <c r="T333" s="38" t="s">
        <v>152</v>
      </c>
      <c r="U333" s="38">
        <v>2017.0</v>
      </c>
      <c r="V333" s="38">
        <v>4.0</v>
      </c>
      <c r="W333" s="38" t="s">
        <v>138</v>
      </c>
      <c r="X333" s="38" t="s">
        <v>208</v>
      </c>
      <c r="Y333" s="38" t="s">
        <v>146</v>
      </c>
      <c r="Z333" s="38" t="s">
        <v>147</v>
      </c>
      <c r="AA333" s="113" t="str">
        <f t="array" ref="AA333">PROPER(G333)</f>
        <v>Offline</v>
      </c>
    </row>
    <row r="334">
      <c r="A334" s="110">
        <v>3.18523538E8</v>
      </c>
      <c r="B334" s="131">
        <v>42284.0</v>
      </c>
      <c r="C334" s="131">
        <v>42313.0</v>
      </c>
      <c r="D334" s="110" t="s">
        <v>89</v>
      </c>
      <c r="E334" s="110" t="s">
        <v>117</v>
      </c>
      <c r="F334" s="110">
        <v>2103.0</v>
      </c>
      <c r="G334" s="38" t="s">
        <v>43</v>
      </c>
      <c r="H334" s="110">
        <v>7048.0</v>
      </c>
      <c r="I334" s="132">
        <v>205.7</v>
      </c>
      <c r="J334" s="132">
        <v>117.11</v>
      </c>
      <c r="K334" s="39">
        <f t="shared" si="1"/>
        <v>1449773.6</v>
      </c>
      <c r="L334" s="39">
        <f t="shared" si="2"/>
        <v>825391.28</v>
      </c>
      <c r="M334" s="39">
        <f t="shared" si="3"/>
        <v>624382.32</v>
      </c>
      <c r="N334" s="38" t="str">
        <f>VLOOKUP(F334,products!$A$2:$B$13,2,FALSE)</f>
        <v>Cereal</v>
      </c>
      <c r="O334" s="133">
        <f t="shared" si="4"/>
        <v>0.5693242586</v>
      </c>
      <c r="P334" s="38" t="str">
        <f>VLOOKUP(E334,countries!A$2:E$250,3,false)</f>
        <v>Estonia</v>
      </c>
      <c r="Q334" s="38" t="str">
        <f>VLOOKUP($E334,countries!$A$2:$E$250,4,false)</f>
        <v>Europe</v>
      </c>
      <c r="R334" s="38" t="str">
        <f>VLOOKUP($E334,countries!$A$2:$E$250,5,false)</f>
        <v>Northern Europe</v>
      </c>
      <c r="S334" s="38">
        <f t="shared" si="5"/>
        <v>29</v>
      </c>
      <c r="T334" s="38" t="s">
        <v>144</v>
      </c>
      <c r="U334" s="38">
        <v>2015.0</v>
      </c>
      <c r="V334" s="38">
        <v>10.0</v>
      </c>
      <c r="W334" s="38" t="s">
        <v>117</v>
      </c>
      <c r="X334" s="38" t="s">
        <v>188</v>
      </c>
      <c r="Y334" s="38" t="s">
        <v>146</v>
      </c>
      <c r="Z334" s="38" t="s">
        <v>170</v>
      </c>
      <c r="AA334" s="113" t="str">
        <f t="array" ref="AA334">PROPER(G334)</f>
        <v>Online</v>
      </c>
    </row>
    <row r="335">
      <c r="A335" s="110">
        <v>3.20431125E8</v>
      </c>
      <c r="B335" s="131">
        <v>42074.0</v>
      </c>
      <c r="C335" s="131">
        <v>42111.0</v>
      </c>
      <c r="D335" s="110" t="s">
        <v>95</v>
      </c>
      <c r="E335" s="110" t="s">
        <v>128</v>
      </c>
      <c r="F335" s="110">
        <v>1270.0</v>
      </c>
      <c r="G335" s="38" t="s">
        <v>43</v>
      </c>
      <c r="H335" s="110">
        <v>1545.0</v>
      </c>
      <c r="I335" s="132">
        <v>47.45</v>
      </c>
      <c r="J335" s="132">
        <v>31.79</v>
      </c>
      <c r="K335" s="39">
        <f t="shared" si="1"/>
        <v>73310.25</v>
      </c>
      <c r="L335" s="39">
        <f t="shared" si="2"/>
        <v>49115.55</v>
      </c>
      <c r="M335" s="39">
        <f t="shared" si="3"/>
        <v>24194.7</v>
      </c>
      <c r="N335" s="38" t="str">
        <f>VLOOKUP(F335,products!$A$2:$B$13,2,FALSE)</f>
        <v>Beverages</v>
      </c>
      <c r="O335" s="133">
        <f t="shared" si="4"/>
        <v>0.6699683878</v>
      </c>
      <c r="P335" s="38" t="str">
        <f>VLOOKUP(E335,countries!A$2:E$250,3,false)</f>
        <v>Andorra</v>
      </c>
      <c r="Q335" s="38" t="str">
        <f>VLOOKUP($E335,countries!$A$2:$E$250,4,false)</f>
        <v>Europe</v>
      </c>
      <c r="R335" s="38" t="str">
        <f>VLOOKUP($E335,countries!$A$2:$E$250,5,false)</f>
        <v>Southern Europe</v>
      </c>
      <c r="S335" s="38">
        <f t="shared" si="5"/>
        <v>37</v>
      </c>
      <c r="T335" s="38" t="s">
        <v>152</v>
      </c>
      <c r="U335" s="38">
        <v>2015.0</v>
      </c>
      <c r="V335" s="38">
        <v>3.0</v>
      </c>
      <c r="W335" s="38" t="s">
        <v>128</v>
      </c>
      <c r="X335" s="38" t="s">
        <v>199</v>
      </c>
      <c r="Y335" s="38" t="s">
        <v>146</v>
      </c>
      <c r="Z335" s="38" t="s">
        <v>147</v>
      </c>
      <c r="AA335" s="113" t="str">
        <f t="array" ref="AA335">PROPER(G335)</f>
        <v>Online</v>
      </c>
    </row>
    <row r="336">
      <c r="A336" s="110">
        <v>3.21628463E8</v>
      </c>
      <c r="B336" s="131">
        <v>40660.0</v>
      </c>
      <c r="C336" s="131">
        <v>40677.0</v>
      </c>
      <c r="D336" s="110" t="s">
        <v>93</v>
      </c>
      <c r="E336" s="110" t="s">
        <v>106</v>
      </c>
      <c r="F336" s="110">
        <v>7940.0</v>
      </c>
      <c r="G336" s="38" t="s">
        <v>43</v>
      </c>
      <c r="H336" s="110">
        <v>5864.0</v>
      </c>
      <c r="I336" s="132">
        <v>668.27</v>
      </c>
      <c r="J336" s="132">
        <v>502.54</v>
      </c>
      <c r="K336" s="39">
        <f t="shared" si="1"/>
        <v>3918735.28</v>
      </c>
      <c r="L336" s="39">
        <f t="shared" si="2"/>
        <v>2946894.56</v>
      </c>
      <c r="M336" s="39">
        <f t="shared" si="3"/>
        <v>971840.72</v>
      </c>
      <c r="N336" s="38" t="str">
        <f>VLOOKUP(F336,products!$A$2:$B$13,2,FALSE)</f>
        <v>Household</v>
      </c>
      <c r="O336" s="133">
        <f t="shared" si="4"/>
        <v>0.7520014365</v>
      </c>
      <c r="P336" s="38" t="str">
        <f>VLOOKUP(E336,countries!A$2:E$250,3,false)</f>
        <v>Poland</v>
      </c>
      <c r="Q336" s="38" t="str">
        <f>VLOOKUP($E336,countries!$A$2:$E$250,4,false)</f>
        <v>Europe</v>
      </c>
      <c r="R336" s="38" t="str">
        <f>VLOOKUP($E336,countries!$A$2:$E$250,5,false)</f>
        <v>Eastern Europe</v>
      </c>
      <c r="S336" s="38">
        <f t="shared" si="5"/>
        <v>17</v>
      </c>
      <c r="T336" s="38" t="s">
        <v>148</v>
      </c>
      <c r="U336" s="38">
        <v>2011.0</v>
      </c>
      <c r="V336" s="38">
        <v>4.0</v>
      </c>
      <c r="W336" s="38" t="s">
        <v>106</v>
      </c>
      <c r="X336" s="38" t="s">
        <v>173</v>
      </c>
      <c r="Y336" s="38" t="s">
        <v>146</v>
      </c>
      <c r="Z336" s="38" t="s">
        <v>155</v>
      </c>
      <c r="AA336" s="113" t="str">
        <f t="array" ref="AA336">PROPER(G336)</f>
        <v>Online</v>
      </c>
    </row>
    <row r="337">
      <c r="A337" s="110">
        <v>3.22524106E8</v>
      </c>
      <c r="B337" s="131">
        <v>42144.0</v>
      </c>
      <c r="C337" s="131">
        <v>42144.0</v>
      </c>
      <c r="D337" s="110" t="s">
        <v>10</v>
      </c>
      <c r="E337" s="110" t="s">
        <v>114</v>
      </c>
      <c r="F337" s="110">
        <v>2103.0</v>
      </c>
      <c r="G337" s="38" t="s">
        <v>42</v>
      </c>
      <c r="H337" s="110">
        <v>905.0</v>
      </c>
      <c r="I337" s="132">
        <v>205.7</v>
      </c>
      <c r="J337" s="132">
        <v>117.11</v>
      </c>
      <c r="K337" s="39">
        <f t="shared" si="1"/>
        <v>186158.5</v>
      </c>
      <c r="L337" s="39">
        <f t="shared" si="2"/>
        <v>105984.55</v>
      </c>
      <c r="M337" s="39">
        <f t="shared" si="3"/>
        <v>80173.95</v>
      </c>
      <c r="N337" s="38" t="str">
        <f>VLOOKUP(F337,products!$A$2:$B$13,2,FALSE)</f>
        <v>Cereal</v>
      </c>
      <c r="O337" s="133">
        <f t="shared" si="4"/>
        <v>0.5693242586</v>
      </c>
      <c r="P337" s="38" t="str">
        <f>VLOOKUP(E337,countries!A$2:E$250,3,false)</f>
        <v>Czech Republic</v>
      </c>
      <c r="Q337" s="38" t="str">
        <f>VLOOKUP($E337,countries!$A$2:$E$250,4,false)</f>
        <v>Europe</v>
      </c>
      <c r="R337" s="38" t="str">
        <f>VLOOKUP($E337,countries!$A$2:$E$250,5,false)</f>
        <v>Eastern Europe</v>
      </c>
      <c r="S337" s="38">
        <f t="shared" si="5"/>
        <v>0</v>
      </c>
      <c r="T337" s="38" t="s">
        <v>144</v>
      </c>
      <c r="U337" s="38">
        <v>2015.0</v>
      </c>
      <c r="V337" s="38">
        <v>5.0</v>
      </c>
      <c r="W337" s="38" t="s">
        <v>114</v>
      </c>
      <c r="X337" s="38" t="s">
        <v>184</v>
      </c>
      <c r="Y337" s="38" t="s">
        <v>146</v>
      </c>
      <c r="Z337" s="38" t="s">
        <v>155</v>
      </c>
      <c r="AA337" s="113" t="str">
        <f t="array" ref="AA337">PROPER(G337)</f>
        <v>Offline</v>
      </c>
    </row>
    <row r="338">
      <c r="A338" s="110">
        <v>3.23293578E8</v>
      </c>
      <c r="B338" s="131">
        <v>42362.0</v>
      </c>
      <c r="C338" s="131">
        <v>42402.0</v>
      </c>
      <c r="D338" s="110" t="s">
        <v>95</v>
      </c>
      <c r="E338" s="110" t="s">
        <v>118</v>
      </c>
      <c r="F338" s="110">
        <v>2103.0</v>
      </c>
      <c r="G338" s="38" t="s">
        <v>43</v>
      </c>
      <c r="H338" s="110">
        <v>8609.0</v>
      </c>
      <c r="I338" s="132">
        <v>205.7</v>
      </c>
      <c r="J338" s="132">
        <v>117.11</v>
      </c>
      <c r="K338" s="39">
        <f t="shared" si="1"/>
        <v>1770871.3</v>
      </c>
      <c r="L338" s="39">
        <f t="shared" si="2"/>
        <v>1008199.99</v>
      </c>
      <c r="M338" s="39">
        <f t="shared" si="3"/>
        <v>762671.31</v>
      </c>
      <c r="N338" s="38" t="str">
        <f>VLOOKUP(F338,products!$A$2:$B$13,2,FALSE)</f>
        <v>Cereal</v>
      </c>
      <c r="O338" s="133">
        <f t="shared" si="4"/>
        <v>0.5693242586</v>
      </c>
      <c r="P338" s="38" t="str">
        <f>VLOOKUP(E338,countries!A$2:E$250,3,false)</f>
        <v>Austria</v>
      </c>
      <c r="Q338" s="38" t="str">
        <f>VLOOKUP($E338,countries!$A$2:$E$250,4,false)</f>
        <v>Europe</v>
      </c>
      <c r="R338" s="38" t="str">
        <f>VLOOKUP($E338,countries!$A$2:$E$250,5,false)</f>
        <v>Western Europe</v>
      </c>
      <c r="S338" s="38">
        <f t="shared" si="5"/>
        <v>40</v>
      </c>
      <c r="T338" s="38" t="s">
        <v>144</v>
      </c>
      <c r="U338" s="38">
        <v>2015.0</v>
      </c>
      <c r="V338" s="38">
        <v>12.0</v>
      </c>
      <c r="W338" s="38" t="s">
        <v>118</v>
      </c>
      <c r="X338" s="38" t="s">
        <v>189</v>
      </c>
      <c r="Y338" s="38" t="s">
        <v>146</v>
      </c>
      <c r="Z338" s="38" t="s">
        <v>158</v>
      </c>
      <c r="AA338" s="113" t="str">
        <f t="array" ref="AA338">PROPER(G338)</f>
        <v>Online</v>
      </c>
    </row>
    <row r="339">
      <c r="A339" s="110">
        <v>3.25314033E8</v>
      </c>
      <c r="B339" s="131">
        <v>40914.0</v>
      </c>
      <c r="C339" s="131">
        <v>40938.0</v>
      </c>
      <c r="D339" s="110" t="s">
        <v>95</v>
      </c>
      <c r="E339" s="110" t="s">
        <v>108</v>
      </c>
      <c r="F339" s="110">
        <v>2455.0</v>
      </c>
      <c r="G339" s="38" t="s">
        <v>43</v>
      </c>
      <c r="H339" s="110">
        <v>6506.0</v>
      </c>
      <c r="I339" s="132">
        <v>109.28</v>
      </c>
      <c r="J339" s="132">
        <v>35.84</v>
      </c>
      <c r="K339" s="39">
        <f t="shared" si="1"/>
        <v>710975.68</v>
      </c>
      <c r="L339" s="39">
        <f t="shared" si="2"/>
        <v>233175.04</v>
      </c>
      <c r="M339" s="39">
        <f t="shared" si="3"/>
        <v>477800.64</v>
      </c>
      <c r="N339" s="38" t="str">
        <f>VLOOKUP(F339,products!$A$2:$B$13,2,FALSE)</f>
        <v>Clothes</v>
      </c>
      <c r="O339" s="133">
        <f t="shared" si="4"/>
        <v>0.3279648609</v>
      </c>
      <c r="P339" s="38" t="str">
        <f>VLOOKUP(E339,countries!A$2:E$250,3,false)</f>
        <v>Cyprus</v>
      </c>
      <c r="Q339" s="38" t="str">
        <f>VLOOKUP($E339,countries!$A$2:$E$250,4,false)</f>
        <v>Asia</v>
      </c>
      <c r="R339" s="38" t="str">
        <f>VLOOKUP($E339,countries!$A$2:$E$250,5,false)</f>
        <v>Western Asia</v>
      </c>
      <c r="S339" s="38">
        <f t="shared" si="5"/>
        <v>24</v>
      </c>
      <c r="T339" s="38" t="s">
        <v>150</v>
      </c>
      <c r="U339" s="38">
        <v>2012.0</v>
      </c>
      <c r="V339" s="38">
        <v>1.0</v>
      </c>
      <c r="W339" s="38" t="s">
        <v>108</v>
      </c>
      <c r="X339" s="38" t="s">
        <v>175</v>
      </c>
      <c r="Y339" s="38" t="s">
        <v>165</v>
      </c>
      <c r="Z339" s="38" t="s">
        <v>166</v>
      </c>
      <c r="AA339" s="113" t="str">
        <f t="array" ref="AA339">PROPER(G339)</f>
        <v>Online</v>
      </c>
    </row>
    <row r="340">
      <c r="A340" s="110">
        <v>3.27072703E8</v>
      </c>
      <c r="B340" s="131">
        <v>41579.0</v>
      </c>
      <c r="C340" s="131">
        <v>41594.0</v>
      </c>
      <c r="D340" s="110" t="s">
        <v>10</v>
      </c>
      <c r="E340" s="110" t="s">
        <v>96</v>
      </c>
      <c r="F340" s="110">
        <v>8293.0</v>
      </c>
      <c r="G340" s="38" t="s">
        <v>43</v>
      </c>
      <c r="H340" s="110">
        <v>6936.0</v>
      </c>
      <c r="I340" s="132">
        <v>437.2</v>
      </c>
      <c r="J340" s="132">
        <v>263.33</v>
      </c>
      <c r="K340" s="39">
        <f t="shared" si="1"/>
        <v>3032419.2</v>
      </c>
      <c r="L340" s="39">
        <f t="shared" si="2"/>
        <v>1826456.88</v>
      </c>
      <c r="M340" s="39">
        <f t="shared" si="3"/>
        <v>1205962.32</v>
      </c>
      <c r="N340" s="38" t="str">
        <f>VLOOKUP(F340,products!$A$2:$B$13,2,FALSE)</f>
        <v>Cosmetics</v>
      </c>
      <c r="O340" s="133">
        <f t="shared" si="4"/>
        <v>0.6023101555</v>
      </c>
      <c r="P340" s="38" t="str">
        <f>VLOOKUP(E340,countries!A$2:E$250,3,false)</f>
        <v>Slovakia</v>
      </c>
      <c r="Q340" s="38" t="str">
        <f>VLOOKUP($E340,countries!$A$2:$E$250,4,false)</f>
        <v>Europe</v>
      </c>
      <c r="R340" s="38" t="str">
        <f>VLOOKUP($E340,countries!$A$2:$E$250,5,false)</f>
        <v>Eastern Europe</v>
      </c>
      <c r="S340" s="38">
        <f t="shared" si="5"/>
        <v>15</v>
      </c>
      <c r="T340" s="38" t="s">
        <v>178</v>
      </c>
      <c r="U340" s="38">
        <v>2013.0</v>
      </c>
      <c r="V340" s="38">
        <v>11.0</v>
      </c>
      <c r="W340" s="38" t="s">
        <v>96</v>
      </c>
      <c r="X340" s="38" t="s">
        <v>154</v>
      </c>
      <c r="Y340" s="38" t="s">
        <v>146</v>
      </c>
      <c r="Z340" s="38" t="s">
        <v>155</v>
      </c>
      <c r="AA340" s="113" t="str">
        <f t="array" ref="AA340">PROPER(G340)</f>
        <v>Online</v>
      </c>
    </row>
    <row r="341">
      <c r="A341" s="110">
        <v>3.27604424E8</v>
      </c>
      <c r="B341" s="131">
        <v>41385.0</v>
      </c>
      <c r="C341" s="131">
        <v>41407.0</v>
      </c>
      <c r="D341" s="110" t="s">
        <v>93</v>
      </c>
      <c r="E341" s="110" t="s">
        <v>123</v>
      </c>
      <c r="F341" s="110">
        <v>1270.0</v>
      </c>
      <c r="G341" s="38" t="s">
        <v>43</v>
      </c>
      <c r="H341" s="110">
        <v>4284.0</v>
      </c>
      <c r="I341" s="132">
        <v>47.45</v>
      </c>
      <c r="J341" s="132">
        <v>31.79</v>
      </c>
      <c r="K341" s="39">
        <f t="shared" si="1"/>
        <v>203275.8</v>
      </c>
      <c r="L341" s="39">
        <f t="shared" si="2"/>
        <v>136188.36</v>
      </c>
      <c r="M341" s="39">
        <f t="shared" si="3"/>
        <v>67087.44</v>
      </c>
      <c r="N341" s="38" t="str">
        <f>VLOOKUP(F341,products!$A$2:$B$13,2,FALSE)</f>
        <v>Beverages</v>
      </c>
      <c r="O341" s="133">
        <f t="shared" si="4"/>
        <v>0.6699683878</v>
      </c>
      <c r="P341" s="38" t="str">
        <f>VLOOKUP(E341,countries!A$2:E$250,3,false)</f>
        <v>Hungary</v>
      </c>
      <c r="Q341" s="38" t="str">
        <f>VLOOKUP($E341,countries!$A$2:$E$250,4,false)</f>
        <v>Europe</v>
      </c>
      <c r="R341" s="38" t="str">
        <f>VLOOKUP($E341,countries!$A$2:$E$250,5,false)</f>
        <v>Eastern Europe</v>
      </c>
      <c r="S341" s="38">
        <f t="shared" si="5"/>
        <v>22</v>
      </c>
      <c r="T341" s="38" t="s">
        <v>152</v>
      </c>
      <c r="U341" s="38">
        <v>2013.0</v>
      </c>
      <c r="V341" s="38">
        <v>4.0</v>
      </c>
      <c r="W341" s="38" t="s">
        <v>123</v>
      </c>
      <c r="X341" s="38" t="s">
        <v>194</v>
      </c>
      <c r="Y341" s="38" t="s">
        <v>146</v>
      </c>
      <c r="Z341" s="38" t="s">
        <v>155</v>
      </c>
      <c r="AA341" s="113" t="str">
        <f t="array" ref="AA341">PROPER(G341)</f>
        <v>Online</v>
      </c>
    </row>
    <row r="342">
      <c r="A342" s="110">
        <v>3.28322827E8</v>
      </c>
      <c r="B342" s="131">
        <v>41090.0</v>
      </c>
      <c r="C342" s="131">
        <v>41109.0</v>
      </c>
      <c r="D342" s="110" t="s">
        <v>10</v>
      </c>
      <c r="E342" s="110" t="s">
        <v>128</v>
      </c>
      <c r="F342" s="110">
        <v>8293.0</v>
      </c>
      <c r="G342" s="38" t="s">
        <v>43</v>
      </c>
      <c r="H342" s="110">
        <v>6876.0</v>
      </c>
      <c r="I342" s="132">
        <v>437.2</v>
      </c>
      <c r="J342" s="132">
        <v>263.33</v>
      </c>
      <c r="K342" s="39">
        <f t="shared" si="1"/>
        <v>3006187.2</v>
      </c>
      <c r="L342" s="39">
        <f t="shared" si="2"/>
        <v>1810657.08</v>
      </c>
      <c r="M342" s="39">
        <f t="shared" si="3"/>
        <v>1195530.12</v>
      </c>
      <c r="N342" s="38" t="str">
        <f>VLOOKUP(F342,products!$A$2:$B$13,2,FALSE)</f>
        <v>Cosmetics</v>
      </c>
      <c r="O342" s="133">
        <f t="shared" si="4"/>
        <v>0.6023101555</v>
      </c>
      <c r="P342" s="38" t="str">
        <f>VLOOKUP(E342,countries!A$2:E$250,3,false)</f>
        <v>Andorra</v>
      </c>
      <c r="Q342" s="38" t="str">
        <f>VLOOKUP($E342,countries!$A$2:$E$250,4,false)</f>
        <v>Europe</v>
      </c>
      <c r="R342" s="38" t="str">
        <f>VLOOKUP($E342,countries!$A$2:$E$250,5,false)</f>
        <v>Southern Europe</v>
      </c>
      <c r="S342" s="38">
        <f t="shared" si="5"/>
        <v>19</v>
      </c>
      <c r="T342" s="38" t="s">
        <v>178</v>
      </c>
      <c r="U342" s="38">
        <v>2012.0</v>
      </c>
      <c r="V342" s="38">
        <v>6.0</v>
      </c>
      <c r="W342" s="38" t="s">
        <v>128</v>
      </c>
      <c r="X342" s="38" t="s">
        <v>199</v>
      </c>
      <c r="Y342" s="38" t="s">
        <v>146</v>
      </c>
      <c r="Z342" s="38" t="s">
        <v>147</v>
      </c>
      <c r="AA342" s="113" t="str">
        <f t="array" ref="AA342">PROPER(G342)</f>
        <v>Online</v>
      </c>
    </row>
    <row r="343">
      <c r="A343" s="110">
        <v>3.28721082E8</v>
      </c>
      <c r="B343" s="131">
        <v>42718.0</v>
      </c>
      <c r="C343" s="131">
        <v>42722.0</v>
      </c>
      <c r="D343" s="110" t="s">
        <v>93</v>
      </c>
      <c r="E343" s="110" t="e">
        <v>#N/A</v>
      </c>
      <c r="F343" s="110">
        <v>7331.0</v>
      </c>
      <c r="G343" s="38" t="s">
        <v>43</v>
      </c>
      <c r="H343" s="110">
        <v>4728.0</v>
      </c>
      <c r="I343" s="132">
        <v>255.28</v>
      </c>
      <c r="J343" s="132">
        <v>159.42</v>
      </c>
      <c r="K343" s="39">
        <f t="shared" si="1"/>
        <v>1206963.84</v>
      </c>
      <c r="L343" s="39">
        <f t="shared" si="2"/>
        <v>753737.76</v>
      </c>
      <c r="M343" s="39">
        <f t="shared" si="3"/>
        <v>453226.08</v>
      </c>
      <c r="N343" s="38" t="str">
        <f>VLOOKUP(F343,products!$A$2:$B$13,2,FALSE)</f>
        <v>Baby Food</v>
      </c>
      <c r="O343" s="133">
        <f t="shared" si="4"/>
        <v>0.6244907552</v>
      </c>
      <c r="P343" s="38" t="str">
        <f>VLOOKUP(E343,countries!A$2:E$250,3,false)</f>
        <v>#N/A</v>
      </c>
      <c r="Q343" s="38" t="str">
        <f>VLOOKUP($E343,countries!$A$2:$E$250,4,false)</f>
        <v>#N/A</v>
      </c>
      <c r="R343" s="38" t="str">
        <f>VLOOKUP($E343,countries!$A$2:$E$250,5,false)</f>
        <v>#N/A</v>
      </c>
      <c r="S343" s="38">
        <f t="shared" si="5"/>
        <v>4</v>
      </c>
      <c r="T343" s="38" t="s">
        <v>161</v>
      </c>
      <c r="U343" s="38">
        <v>2016.0</v>
      </c>
      <c r="V343" s="38">
        <v>12.0</v>
      </c>
      <c r="W343" s="38" t="s">
        <v>92</v>
      </c>
      <c r="X343" s="38" t="s">
        <v>149</v>
      </c>
      <c r="Y343" s="38" t="s">
        <v>149</v>
      </c>
      <c r="Z343" s="38" t="s">
        <v>149</v>
      </c>
      <c r="AA343" s="113" t="str">
        <f t="array" ref="AA343">PROPER(G343)</f>
        <v>Online</v>
      </c>
    </row>
    <row r="344">
      <c r="A344" s="110">
        <v>3.29529607E8</v>
      </c>
      <c r="B344" s="131">
        <v>40561.0</v>
      </c>
      <c r="C344" s="131">
        <v>40566.0</v>
      </c>
      <c r="D344" s="110" t="s">
        <v>93</v>
      </c>
      <c r="E344" s="110" t="s">
        <v>113</v>
      </c>
      <c r="F344" s="110">
        <v>8293.0</v>
      </c>
      <c r="G344" s="38" t="s">
        <v>43</v>
      </c>
      <c r="H344" s="110">
        <v>3988.0</v>
      </c>
      <c r="I344" s="132">
        <v>437.2</v>
      </c>
      <c r="J344" s="132">
        <v>263.33</v>
      </c>
      <c r="K344" s="39">
        <f t="shared" si="1"/>
        <v>1743553.6</v>
      </c>
      <c r="L344" s="39">
        <f t="shared" si="2"/>
        <v>1050160.04</v>
      </c>
      <c r="M344" s="39">
        <f t="shared" si="3"/>
        <v>693393.56</v>
      </c>
      <c r="N344" s="38" t="str">
        <f>VLOOKUP(F344,products!$A$2:$B$13,2,FALSE)</f>
        <v>Cosmetics</v>
      </c>
      <c r="O344" s="133">
        <f t="shared" si="4"/>
        <v>0.6023101555</v>
      </c>
      <c r="P344" s="38" t="str">
        <f>VLOOKUP(E344,countries!A$2:E$250,3,false)</f>
        <v>Ukraine</v>
      </c>
      <c r="Q344" s="38" t="str">
        <f>VLOOKUP($E344,countries!$A$2:$E$250,4,false)</f>
        <v>Europe</v>
      </c>
      <c r="R344" s="38" t="str">
        <f>VLOOKUP($E344,countries!$A$2:$E$250,5,false)</f>
        <v>Eastern Europe</v>
      </c>
      <c r="S344" s="38">
        <f t="shared" si="5"/>
        <v>5</v>
      </c>
      <c r="T344" s="38" t="s">
        <v>178</v>
      </c>
      <c r="U344" s="38">
        <v>2011.0</v>
      </c>
      <c r="V344" s="38">
        <v>1.0</v>
      </c>
      <c r="W344" s="38" t="s">
        <v>113</v>
      </c>
      <c r="X344" s="38" t="s">
        <v>181</v>
      </c>
      <c r="Y344" s="38" t="s">
        <v>146</v>
      </c>
      <c r="Z344" s="38" t="s">
        <v>155</v>
      </c>
      <c r="AA344" s="113" t="str">
        <f t="array" ref="AA344">PROPER(G344)</f>
        <v>Online</v>
      </c>
    </row>
    <row r="345">
      <c r="A345" s="110">
        <v>3.30590474E8</v>
      </c>
      <c r="B345" s="131">
        <v>40938.0</v>
      </c>
      <c r="C345" s="131">
        <v>40982.0</v>
      </c>
      <c r="D345" s="110" t="s">
        <v>93</v>
      </c>
      <c r="E345" s="110" t="s">
        <v>90</v>
      </c>
      <c r="F345" s="110">
        <v>8681.0</v>
      </c>
      <c r="G345" s="38" t="s">
        <v>43</v>
      </c>
      <c r="H345" s="110">
        <v>7923.0</v>
      </c>
      <c r="I345" s="132">
        <v>651.21</v>
      </c>
      <c r="J345" s="132">
        <v>524.96</v>
      </c>
      <c r="K345" s="39">
        <f t="shared" si="1"/>
        <v>5159536.83</v>
      </c>
      <c r="L345" s="39">
        <f t="shared" si="2"/>
        <v>4159258.08</v>
      </c>
      <c r="M345" s="39">
        <f t="shared" si="3"/>
        <v>1000278.75</v>
      </c>
      <c r="N345" s="38" t="str">
        <f>VLOOKUP(F345,products!$A$2:$B$13,2,FALSE)</f>
        <v>Office Supplies</v>
      </c>
      <c r="O345" s="133">
        <f t="shared" si="4"/>
        <v>0.806130127</v>
      </c>
      <c r="P345" s="38" t="str">
        <f>VLOOKUP(E345,countries!A$2:E$250,3,false)</f>
        <v>Norway</v>
      </c>
      <c r="Q345" s="38" t="str">
        <f>VLOOKUP($E345,countries!$A$2:$E$250,4,false)</f>
        <v>Europe</v>
      </c>
      <c r="R345" s="38" t="str">
        <f>VLOOKUP($E345,countries!$A$2:$E$250,5,false)</f>
        <v>Northern Europe</v>
      </c>
      <c r="S345" s="38">
        <f t="shared" si="5"/>
        <v>44</v>
      </c>
      <c r="T345" s="38" t="s">
        <v>153</v>
      </c>
      <c r="U345" s="38">
        <v>2012.0</v>
      </c>
      <c r="V345" s="38">
        <v>1.0</v>
      </c>
      <c r="W345" s="38" t="s">
        <v>90</v>
      </c>
      <c r="X345" s="38" t="s">
        <v>183</v>
      </c>
      <c r="Y345" s="38" t="s">
        <v>146</v>
      </c>
      <c r="Z345" s="38" t="s">
        <v>170</v>
      </c>
      <c r="AA345" s="113" t="str">
        <f t="array" ref="AA345">PROPER(G345)</f>
        <v>Online</v>
      </c>
    </row>
    <row r="346">
      <c r="A346" s="110">
        <v>3.32268464E8</v>
      </c>
      <c r="B346" s="131">
        <v>41584.0</v>
      </c>
      <c r="C346" s="131">
        <v>41622.0</v>
      </c>
      <c r="D346" s="110" t="s">
        <v>10</v>
      </c>
      <c r="E346" s="110" t="s">
        <v>106</v>
      </c>
      <c r="F346" s="110">
        <v>2103.0</v>
      </c>
      <c r="G346" s="38" t="s">
        <v>43</v>
      </c>
      <c r="H346" s="110">
        <v>4477.0</v>
      </c>
      <c r="I346" s="132">
        <v>205.7</v>
      </c>
      <c r="J346" s="132">
        <v>117.11</v>
      </c>
      <c r="K346" s="39">
        <f t="shared" si="1"/>
        <v>920918.9</v>
      </c>
      <c r="L346" s="39">
        <f t="shared" si="2"/>
        <v>524301.47</v>
      </c>
      <c r="M346" s="39">
        <f t="shared" si="3"/>
        <v>396617.43</v>
      </c>
      <c r="N346" s="38" t="str">
        <f>VLOOKUP(F346,products!$A$2:$B$13,2,FALSE)</f>
        <v>Cereal</v>
      </c>
      <c r="O346" s="133">
        <f t="shared" si="4"/>
        <v>0.5693242586</v>
      </c>
      <c r="P346" s="38" t="str">
        <f>VLOOKUP(E346,countries!A$2:E$250,3,false)</f>
        <v>Poland</v>
      </c>
      <c r="Q346" s="38" t="str">
        <f>VLOOKUP($E346,countries!$A$2:$E$250,4,false)</f>
        <v>Europe</v>
      </c>
      <c r="R346" s="38" t="str">
        <f>VLOOKUP($E346,countries!$A$2:$E$250,5,false)</f>
        <v>Eastern Europe</v>
      </c>
      <c r="S346" s="38">
        <f t="shared" si="5"/>
        <v>38</v>
      </c>
      <c r="T346" s="38" t="s">
        <v>144</v>
      </c>
      <c r="U346" s="38">
        <v>2013.0</v>
      </c>
      <c r="V346" s="38">
        <v>11.0</v>
      </c>
      <c r="W346" s="38" t="s">
        <v>106</v>
      </c>
      <c r="X346" s="38" t="s">
        <v>173</v>
      </c>
      <c r="Y346" s="38" t="s">
        <v>146</v>
      </c>
      <c r="Z346" s="38" t="s">
        <v>155</v>
      </c>
      <c r="AA346" s="113" t="str">
        <f t="array" ref="AA346">PROPER(G346)</f>
        <v>Online</v>
      </c>
    </row>
    <row r="347">
      <c r="A347" s="110">
        <v>3.32353007E8</v>
      </c>
      <c r="B347" s="131">
        <v>40457.0</v>
      </c>
      <c r="C347" s="131">
        <v>40504.0</v>
      </c>
      <c r="D347" s="110" t="s">
        <v>95</v>
      </c>
      <c r="E347" s="110" t="s">
        <v>123</v>
      </c>
      <c r="F347" s="110">
        <v>8293.0</v>
      </c>
      <c r="G347" s="38" t="s">
        <v>43</v>
      </c>
      <c r="H347" s="110">
        <v>9495.0</v>
      </c>
      <c r="I347" s="132">
        <v>437.2</v>
      </c>
      <c r="J347" s="132">
        <v>263.33</v>
      </c>
      <c r="K347" s="39">
        <f t="shared" si="1"/>
        <v>4151214</v>
      </c>
      <c r="L347" s="39">
        <f t="shared" si="2"/>
        <v>2500318.35</v>
      </c>
      <c r="M347" s="39">
        <f t="shared" si="3"/>
        <v>1650895.65</v>
      </c>
      <c r="N347" s="38" t="str">
        <f>VLOOKUP(F347,products!$A$2:$B$13,2,FALSE)</f>
        <v>Cosmetics</v>
      </c>
      <c r="O347" s="133">
        <f t="shared" si="4"/>
        <v>0.6023101555</v>
      </c>
      <c r="P347" s="38" t="str">
        <f>VLOOKUP(E347,countries!A$2:E$250,3,false)</f>
        <v>Hungary</v>
      </c>
      <c r="Q347" s="38" t="str">
        <f>VLOOKUP($E347,countries!$A$2:$E$250,4,false)</f>
        <v>Europe</v>
      </c>
      <c r="R347" s="38" t="str">
        <f>VLOOKUP($E347,countries!$A$2:$E$250,5,false)</f>
        <v>Eastern Europe</v>
      </c>
      <c r="S347" s="38">
        <f t="shared" si="5"/>
        <v>47</v>
      </c>
      <c r="T347" s="38" t="s">
        <v>178</v>
      </c>
      <c r="U347" s="38">
        <v>2010.0</v>
      </c>
      <c r="V347" s="38">
        <v>10.0</v>
      </c>
      <c r="W347" s="38" t="s">
        <v>123</v>
      </c>
      <c r="X347" s="38" t="s">
        <v>194</v>
      </c>
      <c r="Y347" s="38" t="s">
        <v>146</v>
      </c>
      <c r="Z347" s="38" t="s">
        <v>155</v>
      </c>
      <c r="AA347" s="113" t="str">
        <f t="array" ref="AA347">PROPER(G347)</f>
        <v>Online</v>
      </c>
    </row>
    <row r="348">
      <c r="A348" s="110">
        <v>3.3330444E8</v>
      </c>
      <c r="B348" s="131">
        <v>42897.0</v>
      </c>
      <c r="C348" s="131">
        <v>42921.0</v>
      </c>
      <c r="D348" s="110" t="s">
        <v>93</v>
      </c>
      <c r="E348" s="110" t="s">
        <v>108</v>
      </c>
      <c r="F348" s="110">
        <v>8875.0</v>
      </c>
      <c r="G348" s="38" t="s">
        <v>43</v>
      </c>
      <c r="H348" s="110">
        <v>1046.0</v>
      </c>
      <c r="I348" s="132">
        <v>421.89</v>
      </c>
      <c r="J348" s="132">
        <v>364.69</v>
      </c>
      <c r="K348" s="39">
        <f t="shared" si="1"/>
        <v>441296.94</v>
      </c>
      <c r="L348" s="39">
        <f t="shared" si="2"/>
        <v>381465.74</v>
      </c>
      <c r="M348" s="39">
        <f t="shared" si="3"/>
        <v>59831.2</v>
      </c>
      <c r="N348" s="38" t="str">
        <f>VLOOKUP(F348,products!$A$2:$B$13,2,FALSE)</f>
        <v>Meat</v>
      </c>
      <c r="O348" s="133">
        <f t="shared" si="4"/>
        <v>0.8644196354</v>
      </c>
      <c r="P348" s="38" t="str">
        <f>VLOOKUP(E348,countries!A$2:E$250,3,false)</f>
        <v>Cyprus</v>
      </c>
      <c r="Q348" s="38" t="str">
        <f>VLOOKUP($E348,countries!$A$2:$E$250,4,false)</f>
        <v>Asia</v>
      </c>
      <c r="R348" s="38" t="str">
        <f>VLOOKUP($E348,countries!$A$2:$E$250,5,false)</f>
        <v>Western Asia</v>
      </c>
      <c r="S348" s="38">
        <f t="shared" si="5"/>
        <v>24</v>
      </c>
      <c r="T348" s="38" t="s">
        <v>167</v>
      </c>
      <c r="U348" s="38">
        <v>2017.0</v>
      </c>
      <c r="V348" s="38">
        <v>6.0</v>
      </c>
      <c r="W348" s="38" t="s">
        <v>108</v>
      </c>
      <c r="X348" s="38" t="s">
        <v>175</v>
      </c>
      <c r="Y348" s="38" t="s">
        <v>165</v>
      </c>
      <c r="Z348" s="38" t="s">
        <v>166</v>
      </c>
      <c r="AA348" s="113" t="str">
        <f t="array" ref="AA348">PROPER(G348)</f>
        <v>Online</v>
      </c>
    </row>
    <row r="349">
      <c r="A349" s="110">
        <v>3.34539973E8</v>
      </c>
      <c r="B349" s="131">
        <v>40286.0</v>
      </c>
      <c r="C349" s="131">
        <v>40309.0</v>
      </c>
      <c r="D349" s="110" t="s">
        <v>89</v>
      </c>
      <c r="E349" s="110" t="s">
        <v>126</v>
      </c>
      <c r="F349" s="110">
        <v>2455.0</v>
      </c>
      <c r="G349" s="38" t="s">
        <v>43</v>
      </c>
      <c r="H349" s="110">
        <v>6667.0</v>
      </c>
      <c r="I349" s="132">
        <v>109.28</v>
      </c>
      <c r="J349" s="132">
        <v>35.84</v>
      </c>
      <c r="K349" s="39">
        <f t="shared" si="1"/>
        <v>728569.76</v>
      </c>
      <c r="L349" s="39">
        <f t="shared" si="2"/>
        <v>238945.28</v>
      </c>
      <c r="M349" s="39">
        <f t="shared" si="3"/>
        <v>489624.48</v>
      </c>
      <c r="N349" s="38" t="str">
        <f>VLOOKUP(F349,products!$A$2:$B$13,2,FALSE)</f>
        <v>Clothes</v>
      </c>
      <c r="O349" s="133">
        <f t="shared" si="4"/>
        <v>0.3279648609</v>
      </c>
      <c r="P349" s="38" t="str">
        <f>VLOOKUP(E349,countries!A$2:E$250,3,false)</f>
        <v>Italy</v>
      </c>
      <c r="Q349" s="38" t="str">
        <f>VLOOKUP($E349,countries!$A$2:$E$250,4,false)</f>
        <v>Europe</v>
      </c>
      <c r="R349" s="38" t="str">
        <f>VLOOKUP($E349,countries!$A$2:$E$250,5,false)</f>
        <v>Southern Europe</v>
      </c>
      <c r="S349" s="38">
        <f t="shared" si="5"/>
        <v>23</v>
      </c>
      <c r="T349" s="38" t="s">
        <v>150</v>
      </c>
      <c r="U349" s="38">
        <v>2010.0</v>
      </c>
      <c r="V349" s="38">
        <v>4.0</v>
      </c>
      <c r="W349" s="38" t="s">
        <v>126</v>
      </c>
      <c r="X349" s="38" t="s">
        <v>197</v>
      </c>
      <c r="Y349" s="38" t="s">
        <v>146</v>
      </c>
      <c r="Z349" s="38" t="s">
        <v>147</v>
      </c>
      <c r="AA349" s="113" t="str">
        <f t="array" ref="AA349">PROPER(G349)</f>
        <v>Online</v>
      </c>
    </row>
    <row r="350">
      <c r="A350" s="110">
        <v>3.36111962E8</v>
      </c>
      <c r="B350" s="131">
        <v>41053.0</v>
      </c>
      <c r="C350" s="131">
        <v>41076.0</v>
      </c>
      <c r="D350" s="110" t="s">
        <v>89</v>
      </c>
      <c r="E350" s="110" t="e">
        <v>#N/A</v>
      </c>
      <c r="F350" s="110">
        <v>3127.0</v>
      </c>
      <c r="G350" s="38" t="s">
        <v>42</v>
      </c>
      <c r="H350" s="110">
        <v>1854.0</v>
      </c>
      <c r="I350" s="132">
        <v>81.73</v>
      </c>
      <c r="J350" s="132">
        <v>56.67</v>
      </c>
      <c r="K350" s="39">
        <f t="shared" si="1"/>
        <v>151527.42</v>
      </c>
      <c r="L350" s="39">
        <f t="shared" si="2"/>
        <v>105066.18</v>
      </c>
      <c r="M350" s="39">
        <f t="shared" si="3"/>
        <v>46461.24</v>
      </c>
      <c r="N350" s="38" t="str">
        <f>VLOOKUP(F350,products!$A$2:$B$13,2,FALSE)</f>
        <v>Personal Care</v>
      </c>
      <c r="O350" s="133">
        <f t="shared" si="4"/>
        <v>0.6933806436</v>
      </c>
      <c r="P350" s="38" t="str">
        <f>VLOOKUP(E350,countries!A$2:E$250,3,false)</f>
        <v>#N/A</v>
      </c>
      <c r="Q350" s="38" t="str">
        <f>VLOOKUP($E350,countries!$A$2:$E$250,4,false)</f>
        <v>#N/A</v>
      </c>
      <c r="R350" s="38" t="str">
        <f>VLOOKUP($E350,countries!$A$2:$E$250,5,false)</f>
        <v>#N/A</v>
      </c>
      <c r="S350" s="38">
        <f t="shared" si="5"/>
        <v>23</v>
      </c>
      <c r="T350" s="38" t="s">
        <v>185</v>
      </c>
      <c r="U350" s="38">
        <v>2012.0</v>
      </c>
      <c r="V350" s="38">
        <v>5.0</v>
      </c>
      <c r="W350" s="38" t="s">
        <v>92</v>
      </c>
      <c r="X350" s="38" t="s">
        <v>149</v>
      </c>
      <c r="Y350" s="38" t="s">
        <v>149</v>
      </c>
      <c r="Z350" s="38" t="s">
        <v>149</v>
      </c>
      <c r="AA350" s="113" t="str">
        <f t="array" ref="AA350">PROPER(G350)</f>
        <v>Offline</v>
      </c>
    </row>
    <row r="351">
      <c r="A351" s="110">
        <v>3.36813628E8</v>
      </c>
      <c r="B351" s="131">
        <v>40194.0</v>
      </c>
      <c r="C351" s="131">
        <v>40232.0</v>
      </c>
      <c r="D351" s="110" t="s">
        <v>10</v>
      </c>
      <c r="E351" s="110" t="s">
        <v>132</v>
      </c>
      <c r="F351" s="110">
        <v>8293.0</v>
      </c>
      <c r="G351" s="38" t="s">
        <v>42</v>
      </c>
      <c r="H351" s="110">
        <v>9492.0</v>
      </c>
      <c r="I351" s="132">
        <v>437.2</v>
      </c>
      <c r="J351" s="132">
        <v>263.33</v>
      </c>
      <c r="K351" s="39">
        <f t="shared" si="1"/>
        <v>4149902.4</v>
      </c>
      <c r="L351" s="39">
        <f t="shared" si="2"/>
        <v>2499528.36</v>
      </c>
      <c r="M351" s="39">
        <f t="shared" si="3"/>
        <v>1650374.04</v>
      </c>
      <c r="N351" s="38" t="str">
        <f>VLOOKUP(F351,products!$A$2:$B$13,2,FALSE)</f>
        <v>Cosmetics</v>
      </c>
      <c r="O351" s="133">
        <f t="shared" si="4"/>
        <v>0.6023101555</v>
      </c>
      <c r="P351" s="38" t="str">
        <f>VLOOKUP(E351,countries!A$2:E$250,3,false)</f>
        <v>Sweden</v>
      </c>
      <c r="Q351" s="38" t="str">
        <f>VLOOKUP($E351,countries!$A$2:$E$250,4,false)</f>
        <v>Europe</v>
      </c>
      <c r="R351" s="38" t="str">
        <f>VLOOKUP($E351,countries!$A$2:$E$250,5,false)</f>
        <v>Northern Europe</v>
      </c>
      <c r="S351" s="38">
        <f t="shared" si="5"/>
        <v>38</v>
      </c>
      <c r="T351" s="38" t="s">
        <v>178</v>
      </c>
      <c r="U351" s="38">
        <v>2010.0</v>
      </c>
      <c r="V351" s="38">
        <v>1.0</v>
      </c>
      <c r="W351" s="38" t="s">
        <v>132</v>
      </c>
      <c r="X351" s="38" t="s">
        <v>203</v>
      </c>
      <c r="Y351" s="38" t="s">
        <v>146</v>
      </c>
      <c r="Z351" s="38" t="s">
        <v>170</v>
      </c>
      <c r="AA351" s="113" t="str">
        <f t="array" ref="AA351">PROPER(G351)</f>
        <v>Offline</v>
      </c>
    </row>
    <row r="352">
      <c r="A352" s="110">
        <v>3.37354791E8</v>
      </c>
      <c r="B352" s="131">
        <v>40886.0</v>
      </c>
      <c r="C352" s="131">
        <v>40936.0</v>
      </c>
      <c r="D352" s="110" t="s">
        <v>93</v>
      </c>
      <c r="E352" s="110" t="s">
        <v>90</v>
      </c>
      <c r="F352" s="110">
        <v>8293.0</v>
      </c>
      <c r="G352" s="38" t="s">
        <v>42</v>
      </c>
      <c r="H352" s="110">
        <v>9634.0</v>
      </c>
      <c r="I352" s="132">
        <v>437.2</v>
      </c>
      <c r="J352" s="132">
        <v>263.33</v>
      </c>
      <c r="K352" s="39">
        <f t="shared" si="1"/>
        <v>4211984.8</v>
      </c>
      <c r="L352" s="39">
        <f t="shared" si="2"/>
        <v>2536921.22</v>
      </c>
      <c r="M352" s="39">
        <f t="shared" si="3"/>
        <v>1675063.58</v>
      </c>
      <c r="N352" s="38" t="str">
        <f>VLOOKUP(F352,products!$A$2:$B$13,2,FALSE)</f>
        <v>Cosmetics</v>
      </c>
      <c r="O352" s="133">
        <f t="shared" si="4"/>
        <v>0.6023101555</v>
      </c>
      <c r="P352" s="38" t="str">
        <f>VLOOKUP(E352,countries!A$2:E$250,3,false)</f>
        <v>Norway</v>
      </c>
      <c r="Q352" s="38" t="str">
        <f>VLOOKUP($E352,countries!$A$2:$E$250,4,false)</f>
        <v>Europe</v>
      </c>
      <c r="R352" s="38" t="str">
        <f>VLOOKUP($E352,countries!$A$2:$E$250,5,false)</f>
        <v>Northern Europe</v>
      </c>
      <c r="S352" s="38">
        <f t="shared" si="5"/>
        <v>50</v>
      </c>
      <c r="T352" s="38" t="s">
        <v>178</v>
      </c>
      <c r="U352" s="38">
        <v>2011.0</v>
      </c>
      <c r="V352" s="38">
        <v>12.0</v>
      </c>
      <c r="W352" s="38" t="s">
        <v>90</v>
      </c>
      <c r="X352" s="38" t="s">
        <v>183</v>
      </c>
      <c r="Y352" s="38" t="s">
        <v>146</v>
      </c>
      <c r="Z352" s="38" t="s">
        <v>170</v>
      </c>
      <c r="AA352" s="113" t="str">
        <f t="array" ref="AA352">PROPER(G352)</f>
        <v>Offline</v>
      </c>
    </row>
    <row r="353">
      <c r="A353" s="110">
        <v>3.39786803E8</v>
      </c>
      <c r="B353" s="131">
        <v>40803.0</v>
      </c>
      <c r="C353" s="131">
        <v>40841.0</v>
      </c>
      <c r="D353" s="110" t="s">
        <v>95</v>
      </c>
      <c r="E353" s="110" t="s">
        <v>107</v>
      </c>
      <c r="F353" s="110">
        <v>8681.0</v>
      </c>
      <c r="G353" s="38" t="s">
        <v>42</v>
      </c>
      <c r="H353" s="110">
        <v>9321.0</v>
      </c>
      <c r="I353" s="132">
        <v>651.21</v>
      </c>
      <c r="J353" s="132">
        <v>524.96</v>
      </c>
      <c r="K353" s="39">
        <f t="shared" si="1"/>
        <v>6069928.41</v>
      </c>
      <c r="L353" s="39">
        <f t="shared" si="2"/>
        <v>4893152.16</v>
      </c>
      <c r="M353" s="39">
        <f t="shared" si="3"/>
        <v>1176776.25</v>
      </c>
      <c r="N353" s="38" t="str">
        <f>VLOOKUP(F353,products!$A$2:$B$13,2,FALSE)</f>
        <v>Office Supplies</v>
      </c>
      <c r="O353" s="133">
        <f t="shared" si="4"/>
        <v>0.806130127</v>
      </c>
      <c r="P353" s="38" t="str">
        <f>VLOOKUP(E353,countries!A$2:E$250,3,false)</f>
        <v>Luxembourg</v>
      </c>
      <c r="Q353" s="38" t="str">
        <f>VLOOKUP($E353,countries!$A$2:$E$250,4,false)</f>
        <v>Europe</v>
      </c>
      <c r="R353" s="38" t="str">
        <f>VLOOKUP($E353,countries!$A$2:$E$250,5,false)</f>
        <v>Western Europe</v>
      </c>
      <c r="S353" s="38">
        <f t="shared" si="5"/>
        <v>38</v>
      </c>
      <c r="T353" s="38" t="s">
        <v>153</v>
      </c>
      <c r="U353" s="38">
        <v>2011.0</v>
      </c>
      <c r="V353" s="38">
        <v>9.0</v>
      </c>
      <c r="W353" s="38" t="s">
        <v>107</v>
      </c>
      <c r="X353" s="38" t="s">
        <v>174</v>
      </c>
      <c r="Y353" s="38" t="s">
        <v>146</v>
      </c>
      <c r="Z353" s="38" t="s">
        <v>158</v>
      </c>
      <c r="AA353" s="113" t="str">
        <f t="array" ref="AA353">PROPER(G353)</f>
        <v>Offline</v>
      </c>
    </row>
    <row r="354">
      <c r="A354" s="110">
        <v>3.39999663E8</v>
      </c>
      <c r="B354" s="131">
        <v>42150.0</v>
      </c>
      <c r="C354" s="131">
        <v>42168.0</v>
      </c>
      <c r="D354" s="110" t="s">
        <v>93</v>
      </c>
      <c r="E354" s="110" t="s">
        <v>112</v>
      </c>
      <c r="F354" s="110">
        <v>8969.0</v>
      </c>
      <c r="G354" s="38" t="s">
        <v>43</v>
      </c>
      <c r="H354" s="110">
        <v>2311.0</v>
      </c>
      <c r="I354" s="132">
        <v>152.58</v>
      </c>
      <c r="J354" s="132">
        <v>97.44</v>
      </c>
      <c r="K354" s="39">
        <f t="shared" si="1"/>
        <v>352612.38</v>
      </c>
      <c r="L354" s="39">
        <f t="shared" si="2"/>
        <v>225183.84</v>
      </c>
      <c r="M354" s="39">
        <f t="shared" si="3"/>
        <v>127428.54</v>
      </c>
      <c r="N354" s="38" t="str">
        <f>VLOOKUP(F354,products!$A$2:$B$13,2,FALSE)</f>
        <v>Snacks</v>
      </c>
      <c r="O354" s="133">
        <f t="shared" si="4"/>
        <v>0.6386158081</v>
      </c>
      <c r="P354" s="38" t="str">
        <f>VLOOKUP(E354,countries!A$2:E$250,3,false)</f>
        <v>Malta</v>
      </c>
      <c r="Q354" s="38" t="str">
        <f>VLOOKUP($E354,countries!$A$2:$E$250,4,false)</f>
        <v>Europe</v>
      </c>
      <c r="R354" s="38" t="str">
        <f>VLOOKUP($E354,countries!$A$2:$E$250,5,false)</f>
        <v>Southern Europe</v>
      </c>
      <c r="S354" s="38">
        <f t="shared" si="5"/>
        <v>18</v>
      </c>
      <c r="T354" s="38" t="s">
        <v>182</v>
      </c>
      <c r="U354" s="38">
        <v>2015.0</v>
      </c>
      <c r="V354" s="38">
        <v>5.0</v>
      </c>
      <c r="W354" s="38" t="s">
        <v>112</v>
      </c>
      <c r="X354" s="38" t="s">
        <v>180</v>
      </c>
      <c r="Y354" s="38" t="s">
        <v>146</v>
      </c>
      <c r="Z354" s="38" t="s">
        <v>147</v>
      </c>
      <c r="AA354" s="113" t="str">
        <f t="array" ref="AA354">PROPER(G354)</f>
        <v>Online</v>
      </c>
    </row>
    <row r="355">
      <c r="A355" s="110">
        <v>3.40213811E8</v>
      </c>
      <c r="B355" s="131">
        <v>40349.0</v>
      </c>
      <c r="C355" s="131">
        <v>40385.0</v>
      </c>
      <c r="D355" s="110" t="s">
        <v>10</v>
      </c>
      <c r="E355" s="110" t="s">
        <v>97</v>
      </c>
      <c r="F355" s="110">
        <v>8681.0</v>
      </c>
      <c r="G355" s="38" t="s">
        <v>43</v>
      </c>
      <c r="H355" s="110">
        <v>5682.0</v>
      </c>
      <c r="I355" s="132">
        <v>651.21</v>
      </c>
      <c r="J355" s="132">
        <v>524.96</v>
      </c>
      <c r="K355" s="39">
        <f t="shared" si="1"/>
        <v>3700175.22</v>
      </c>
      <c r="L355" s="39">
        <f t="shared" si="2"/>
        <v>2982822.72</v>
      </c>
      <c r="M355" s="39">
        <f t="shared" si="3"/>
        <v>717352.5</v>
      </c>
      <c r="N355" s="38" t="str">
        <f>VLOOKUP(F355,products!$A$2:$B$13,2,FALSE)</f>
        <v>Office Supplies</v>
      </c>
      <c r="O355" s="133">
        <f t="shared" si="4"/>
        <v>0.806130127</v>
      </c>
      <c r="P355" s="38" t="str">
        <f>VLOOKUP(E355,countries!A$2:E$250,3,false)</f>
        <v>France</v>
      </c>
      <c r="Q355" s="38" t="str">
        <f>VLOOKUP($E355,countries!$A$2:$E$250,4,false)</f>
        <v>Europe</v>
      </c>
      <c r="R355" s="38" t="str">
        <f>VLOOKUP($E355,countries!$A$2:$E$250,5,false)</f>
        <v>Western Europe</v>
      </c>
      <c r="S355" s="38">
        <f t="shared" si="5"/>
        <v>36</v>
      </c>
      <c r="T355" s="38" t="s">
        <v>153</v>
      </c>
      <c r="U355" s="38">
        <v>2010.0</v>
      </c>
      <c r="V355" s="38">
        <v>6.0</v>
      </c>
      <c r="W355" s="38" t="s">
        <v>97</v>
      </c>
      <c r="X355" s="38" t="s">
        <v>157</v>
      </c>
      <c r="Y355" s="38" t="s">
        <v>146</v>
      </c>
      <c r="Z355" s="38" t="s">
        <v>158</v>
      </c>
      <c r="AA355" s="113" t="str">
        <f t="array" ref="AA355">PROPER(G355)</f>
        <v>Online</v>
      </c>
    </row>
    <row r="356">
      <c r="A356" s="110">
        <v>3.41398274E8</v>
      </c>
      <c r="B356" s="131">
        <v>42757.0</v>
      </c>
      <c r="C356" s="131">
        <v>42801.0</v>
      </c>
      <c r="D356" s="110" t="s">
        <v>93</v>
      </c>
      <c r="E356" s="110" t="s">
        <v>102</v>
      </c>
      <c r="F356" s="110">
        <v>8969.0</v>
      </c>
      <c r="G356" s="38" t="s">
        <v>42</v>
      </c>
      <c r="H356" s="110">
        <v>6191.0</v>
      </c>
      <c r="I356" s="132">
        <v>152.58</v>
      </c>
      <c r="J356" s="132">
        <v>97.44</v>
      </c>
      <c r="K356" s="39">
        <f t="shared" si="1"/>
        <v>944622.78</v>
      </c>
      <c r="L356" s="39">
        <f t="shared" si="2"/>
        <v>603251.04</v>
      </c>
      <c r="M356" s="39">
        <f t="shared" si="3"/>
        <v>341371.74</v>
      </c>
      <c r="N356" s="38" t="str">
        <f>VLOOKUP(F356,products!$A$2:$B$13,2,FALSE)</f>
        <v>Snacks</v>
      </c>
      <c r="O356" s="133">
        <f t="shared" si="4"/>
        <v>0.6386158081</v>
      </c>
      <c r="P356" s="38" t="str">
        <f>VLOOKUP(E356,countries!A$2:E$250,3,false)</f>
        <v>Georgia</v>
      </c>
      <c r="Q356" s="38" t="str">
        <f>VLOOKUP($E356,countries!$A$2:$E$250,4,false)</f>
        <v>Asia</v>
      </c>
      <c r="R356" s="38" t="str">
        <f>VLOOKUP($E356,countries!$A$2:$E$250,5,false)</f>
        <v>Western Asia</v>
      </c>
      <c r="S356" s="38">
        <f t="shared" si="5"/>
        <v>44</v>
      </c>
      <c r="T356" s="38" t="s">
        <v>182</v>
      </c>
      <c r="U356" s="38">
        <v>2017.0</v>
      </c>
      <c r="V356" s="38">
        <v>1.0</v>
      </c>
      <c r="W356" s="38" t="s">
        <v>102</v>
      </c>
      <c r="X356" s="38" t="s">
        <v>168</v>
      </c>
      <c r="Y356" s="38" t="s">
        <v>165</v>
      </c>
      <c r="Z356" s="38" t="s">
        <v>166</v>
      </c>
      <c r="AA356" s="113" t="str">
        <f t="array" ref="AA356">PROPER(G356)</f>
        <v>Offline</v>
      </c>
    </row>
    <row r="357">
      <c r="A357" s="110">
        <v>3.43185698E8</v>
      </c>
      <c r="B357" s="131">
        <v>41340.0</v>
      </c>
      <c r="C357" s="131">
        <v>41389.0</v>
      </c>
      <c r="D357" s="110" t="s">
        <v>95</v>
      </c>
      <c r="E357" s="110" t="s">
        <v>117</v>
      </c>
      <c r="F357" s="110">
        <v>8681.0</v>
      </c>
      <c r="G357" s="38" t="s">
        <v>42</v>
      </c>
      <c r="H357" s="110">
        <v>5129.0</v>
      </c>
      <c r="I357" s="132">
        <v>651.21</v>
      </c>
      <c r="J357" s="132">
        <v>524.96</v>
      </c>
      <c r="K357" s="39">
        <f t="shared" si="1"/>
        <v>3340056.09</v>
      </c>
      <c r="L357" s="39">
        <f t="shared" si="2"/>
        <v>2692519.84</v>
      </c>
      <c r="M357" s="39">
        <f t="shared" si="3"/>
        <v>647536.25</v>
      </c>
      <c r="N357" s="38" t="str">
        <f>VLOOKUP(F357,products!$A$2:$B$13,2,FALSE)</f>
        <v>Office Supplies</v>
      </c>
      <c r="O357" s="133">
        <f t="shared" si="4"/>
        <v>0.806130127</v>
      </c>
      <c r="P357" s="38" t="str">
        <f>VLOOKUP(E357,countries!A$2:E$250,3,false)</f>
        <v>Estonia</v>
      </c>
      <c r="Q357" s="38" t="str">
        <f>VLOOKUP($E357,countries!$A$2:$E$250,4,false)</f>
        <v>Europe</v>
      </c>
      <c r="R357" s="38" t="str">
        <f>VLOOKUP($E357,countries!$A$2:$E$250,5,false)</f>
        <v>Northern Europe</v>
      </c>
      <c r="S357" s="38">
        <f t="shared" si="5"/>
        <v>49</v>
      </c>
      <c r="T357" s="38" t="s">
        <v>153</v>
      </c>
      <c r="U357" s="38">
        <v>2013.0</v>
      </c>
      <c r="V357" s="38">
        <v>3.0</v>
      </c>
      <c r="W357" s="38" t="s">
        <v>117</v>
      </c>
      <c r="X357" s="38" t="s">
        <v>188</v>
      </c>
      <c r="Y357" s="38" t="s">
        <v>146</v>
      </c>
      <c r="Z357" s="38" t="s">
        <v>170</v>
      </c>
      <c r="AA357" s="113" t="str">
        <f t="array" ref="AA357">PROPER(G357)</f>
        <v>Offline</v>
      </c>
    </row>
    <row r="358">
      <c r="A358" s="110">
        <v>3.43730294E8</v>
      </c>
      <c r="B358" s="131">
        <v>42856.0</v>
      </c>
      <c r="C358" s="131">
        <v>42883.0</v>
      </c>
      <c r="D358" s="110" t="s">
        <v>93</v>
      </c>
      <c r="E358" s="110" t="s">
        <v>124</v>
      </c>
      <c r="F358" s="110">
        <v>8681.0</v>
      </c>
      <c r="G358" s="38" t="s">
        <v>43</v>
      </c>
      <c r="H358" s="110">
        <v>6287.0</v>
      </c>
      <c r="I358" s="132">
        <v>651.21</v>
      </c>
      <c r="J358" s="132">
        <v>524.96</v>
      </c>
      <c r="K358" s="39">
        <f t="shared" si="1"/>
        <v>4094157.27</v>
      </c>
      <c r="L358" s="39">
        <f t="shared" si="2"/>
        <v>3300423.52</v>
      </c>
      <c r="M358" s="39">
        <f t="shared" si="3"/>
        <v>793733.75</v>
      </c>
      <c r="N358" s="38" t="str">
        <f>VLOOKUP(F358,products!$A$2:$B$13,2,FALSE)</f>
        <v>Office Supplies</v>
      </c>
      <c r="O358" s="133">
        <f t="shared" si="4"/>
        <v>0.806130127</v>
      </c>
      <c r="P358" s="38" t="str">
        <f>VLOOKUP(E358,countries!A$2:E$250,3,false)</f>
        <v>Latvia</v>
      </c>
      <c r="Q358" s="38" t="str">
        <f>VLOOKUP($E358,countries!$A$2:$E$250,4,false)</f>
        <v>Europe</v>
      </c>
      <c r="R358" s="38" t="str">
        <f>VLOOKUP($E358,countries!$A$2:$E$250,5,false)</f>
        <v>Northern Europe</v>
      </c>
      <c r="S358" s="38">
        <f t="shared" si="5"/>
        <v>27</v>
      </c>
      <c r="T358" s="38" t="s">
        <v>153</v>
      </c>
      <c r="U358" s="38">
        <v>2017.0</v>
      </c>
      <c r="V358" s="38">
        <v>5.0</v>
      </c>
      <c r="W358" s="38" t="s">
        <v>124</v>
      </c>
      <c r="X358" s="38" t="s">
        <v>195</v>
      </c>
      <c r="Y358" s="38" t="s">
        <v>146</v>
      </c>
      <c r="Z358" s="38" t="s">
        <v>170</v>
      </c>
      <c r="AA358" s="113" t="str">
        <f t="array" ref="AA358">PROPER(G358)</f>
        <v>Online</v>
      </c>
    </row>
    <row r="359">
      <c r="A359" s="110">
        <v>3.4388951E8</v>
      </c>
      <c r="B359" s="131">
        <v>41689.0</v>
      </c>
      <c r="C359" s="131">
        <v>41731.0</v>
      </c>
      <c r="D359" s="110" t="s">
        <v>89</v>
      </c>
      <c r="E359" s="110" t="s">
        <v>113</v>
      </c>
      <c r="F359" s="110">
        <v>1270.0</v>
      </c>
      <c r="G359" s="38" t="s">
        <v>43</v>
      </c>
      <c r="H359" s="110">
        <v>3403.0</v>
      </c>
      <c r="I359" s="132">
        <v>47.45</v>
      </c>
      <c r="J359" s="132">
        <v>31.79</v>
      </c>
      <c r="K359" s="39">
        <f t="shared" si="1"/>
        <v>161472.35</v>
      </c>
      <c r="L359" s="39">
        <f t="shared" si="2"/>
        <v>108181.37</v>
      </c>
      <c r="M359" s="39">
        <f t="shared" si="3"/>
        <v>53290.98</v>
      </c>
      <c r="N359" s="38" t="str">
        <f>VLOOKUP(F359,products!$A$2:$B$13,2,FALSE)</f>
        <v>Beverages</v>
      </c>
      <c r="O359" s="133">
        <f t="shared" si="4"/>
        <v>0.6699683878</v>
      </c>
      <c r="P359" s="38" t="str">
        <f>VLOOKUP(E359,countries!A$2:E$250,3,false)</f>
        <v>Ukraine</v>
      </c>
      <c r="Q359" s="38" t="str">
        <f>VLOOKUP($E359,countries!$A$2:$E$250,4,false)</f>
        <v>Europe</v>
      </c>
      <c r="R359" s="38" t="str">
        <f>VLOOKUP($E359,countries!$A$2:$E$250,5,false)</f>
        <v>Eastern Europe</v>
      </c>
      <c r="S359" s="38">
        <f t="shared" si="5"/>
        <v>42</v>
      </c>
      <c r="T359" s="38" t="s">
        <v>152</v>
      </c>
      <c r="U359" s="38">
        <v>2014.0</v>
      </c>
      <c r="V359" s="38">
        <v>2.0</v>
      </c>
      <c r="W359" s="38" t="s">
        <v>113</v>
      </c>
      <c r="X359" s="38" t="s">
        <v>181</v>
      </c>
      <c r="Y359" s="38" t="s">
        <v>146</v>
      </c>
      <c r="Z359" s="38" t="s">
        <v>155</v>
      </c>
      <c r="AA359" s="113" t="str">
        <f t="array" ref="AA359">PROPER(G359)</f>
        <v>Online</v>
      </c>
    </row>
    <row r="360">
      <c r="A360" s="110">
        <v>3.44160735E8</v>
      </c>
      <c r="B360" s="131">
        <v>40460.0</v>
      </c>
      <c r="C360" s="131">
        <v>40502.0</v>
      </c>
      <c r="D360" s="110" t="s">
        <v>89</v>
      </c>
      <c r="E360" s="110" t="s">
        <v>121</v>
      </c>
      <c r="F360" s="110">
        <v>8875.0</v>
      </c>
      <c r="G360" s="38" t="s">
        <v>43</v>
      </c>
      <c r="H360" s="110">
        <v>3664.0</v>
      </c>
      <c r="I360" s="132">
        <v>421.89</v>
      </c>
      <c r="J360" s="132">
        <v>364.69</v>
      </c>
      <c r="K360" s="39">
        <f t="shared" si="1"/>
        <v>1545804.96</v>
      </c>
      <c r="L360" s="39">
        <f t="shared" si="2"/>
        <v>1336224.16</v>
      </c>
      <c r="M360" s="39">
        <f t="shared" si="3"/>
        <v>209580.8</v>
      </c>
      <c r="N360" s="38" t="str">
        <f>VLOOKUP(F360,products!$A$2:$B$13,2,FALSE)</f>
        <v>Meat</v>
      </c>
      <c r="O360" s="133">
        <f t="shared" si="4"/>
        <v>0.8644196354</v>
      </c>
      <c r="P360" s="38" t="str">
        <f>VLOOKUP(E360,countries!A$2:E$250,3,false)</f>
        <v>Netherlands</v>
      </c>
      <c r="Q360" s="38" t="str">
        <f>VLOOKUP($E360,countries!$A$2:$E$250,4,false)</f>
        <v>Europe</v>
      </c>
      <c r="R360" s="38" t="str">
        <f>VLOOKUP($E360,countries!$A$2:$E$250,5,false)</f>
        <v>Western Europe</v>
      </c>
      <c r="S360" s="38">
        <f t="shared" si="5"/>
        <v>42</v>
      </c>
      <c r="T360" s="38" t="s">
        <v>167</v>
      </c>
      <c r="U360" s="38">
        <v>2010.0</v>
      </c>
      <c r="V360" s="38">
        <v>10.0</v>
      </c>
      <c r="W360" s="38" t="s">
        <v>121</v>
      </c>
      <c r="X360" s="38" t="s">
        <v>192</v>
      </c>
      <c r="Y360" s="38" t="s">
        <v>146</v>
      </c>
      <c r="Z360" s="38" t="s">
        <v>158</v>
      </c>
      <c r="AA360" s="113" t="str">
        <f t="array" ref="AA360">PROPER(G360)</f>
        <v>Online</v>
      </c>
    </row>
    <row r="361">
      <c r="A361" s="110">
        <v>3.46498763E8</v>
      </c>
      <c r="B361" s="131">
        <v>40620.0</v>
      </c>
      <c r="C361" s="131">
        <v>40635.0</v>
      </c>
      <c r="D361" s="110" t="s">
        <v>93</v>
      </c>
      <c r="E361" s="110" t="s">
        <v>136</v>
      </c>
      <c r="F361" s="110">
        <v>5988.0</v>
      </c>
      <c r="G361" s="38" t="s">
        <v>43</v>
      </c>
      <c r="H361" s="110">
        <v>5539.0</v>
      </c>
      <c r="I361" s="132">
        <v>154.06</v>
      </c>
      <c r="J361" s="132">
        <v>90.93</v>
      </c>
      <c r="K361" s="39">
        <f t="shared" si="1"/>
        <v>853338.34</v>
      </c>
      <c r="L361" s="39">
        <f t="shared" si="2"/>
        <v>503661.27</v>
      </c>
      <c r="M361" s="39">
        <f t="shared" si="3"/>
        <v>349677.07</v>
      </c>
      <c r="N361" s="38" t="str">
        <f>VLOOKUP(F361,products!$A$2:$B$13,2,FALSE)</f>
        <v>Vegetables</v>
      </c>
      <c r="O361" s="133">
        <f t="shared" si="4"/>
        <v>0.5902245878</v>
      </c>
      <c r="P361" s="38" t="str">
        <f>VLOOKUP(E361,countries!A$2:E$250,3,false)</f>
        <v>Monaco</v>
      </c>
      <c r="Q361" s="38" t="str">
        <f>VLOOKUP($E361,countries!$A$2:$E$250,4,false)</f>
        <v>Europe</v>
      </c>
      <c r="R361" s="38" t="str">
        <f>VLOOKUP($E361,countries!$A$2:$E$250,5,false)</f>
        <v>Western Europe</v>
      </c>
      <c r="S361" s="38">
        <f t="shared" si="5"/>
        <v>15</v>
      </c>
      <c r="T361" s="38" t="s">
        <v>159</v>
      </c>
      <c r="U361" s="38">
        <v>2011.0</v>
      </c>
      <c r="V361" s="38">
        <v>3.0</v>
      </c>
      <c r="W361" s="38" t="s">
        <v>136</v>
      </c>
      <c r="X361" s="38" t="s">
        <v>206</v>
      </c>
      <c r="Y361" s="38" t="s">
        <v>146</v>
      </c>
      <c r="Z361" s="38" t="s">
        <v>158</v>
      </c>
      <c r="AA361" s="113" t="str">
        <f t="array" ref="AA361">PROPER(G361)</f>
        <v>Online</v>
      </c>
    </row>
    <row r="362">
      <c r="A362" s="110">
        <v>3.47609412E8</v>
      </c>
      <c r="B362" s="131">
        <v>41892.0</v>
      </c>
      <c r="C362" s="131">
        <v>41899.0</v>
      </c>
      <c r="D362" s="110" t="s">
        <v>10</v>
      </c>
      <c r="E362" s="110" t="s">
        <v>122</v>
      </c>
      <c r="F362" s="110">
        <v>8293.0</v>
      </c>
      <c r="G362" s="38" t="s">
        <v>42</v>
      </c>
      <c r="H362" s="110">
        <v>4205.0</v>
      </c>
      <c r="I362" s="132">
        <v>437.2</v>
      </c>
      <c r="J362" s="132">
        <v>263.33</v>
      </c>
      <c r="K362" s="39">
        <f t="shared" si="1"/>
        <v>1838426</v>
      </c>
      <c r="L362" s="39">
        <f t="shared" si="2"/>
        <v>1107302.65</v>
      </c>
      <c r="M362" s="39">
        <f t="shared" si="3"/>
        <v>731123.35</v>
      </c>
      <c r="N362" s="38" t="str">
        <f>VLOOKUP(F362,products!$A$2:$B$13,2,FALSE)</f>
        <v>Cosmetics</v>
      </c>
      <c r="O362" s="133">
        <f t="shared" si="4"/>
        <v>0.6023101555</v>
      </c>
      <c r="P362" s="38" t="str">
        <f>VLOOKUP(E362,countries!A$2:E$250,3,false)</f>
        <v>Switzerland</v>
      </c>
      <c r="Q362" s="38" t="str">
        <f>VLOOKUP($E362,countries!$A$2:$E$250,4,false)</f>
        <v>Europe</v>
      </c>
      <c r="R362" s="38" t="str">
        <f>VLOOKUP($E362,countries!$A$2:$E$250,5,false)</f>
        <v>Western Europe</v>
      </c>
      <c r="S362" s="38">
        <f t="shared" si="5"/>
        <v>7</v>
      </c>
      <c r="T362" s="38" t="s">
        <v>178</v>
      </c>
      <c r="U362" s="38">
        <v>2014.0</v>
      </c>
      <c r="V362" s="38">
        <v>9.0</v>
      </c>
      <c r="W362" s="38" t="s">
        <v>122</v>
      </c>
      <c r="X362" s="38" t="s">
        <v>193</v>
      </c>
      <c r="Y362" s="38" t="s">
        <v>146</v>
      </c>
      <c r="Z362" s="38" t="s">
        <v>158</v>
      </c>
      <c r="AA362" s="113" t="str">
        <f t="array" ref="AA362">PROPER(G362)</f>
        <v>Offline</v>
      </c>
    </row>
    <row r="363">
      <c r="A363" s="110">
        <v>3.48080623E8</v>
      </c>
      <c r="B363" s="131">
        <v>40301.0</v>
      </c>
      <c r="C363" s="131">
        <v>40317.0</v>
      </c>
      <c r="D363" s="110" t="s">
        <v>89</v>
      </c>
      <c r="E363" s="110" t="s">
        <v>128</v>
      </c>
      <c r="F363" s="110">
        <v>8969.0</v>
      </c>
      <c r="G363" s="38" t="s">
        <v>43</v>
      </c>
      <c r="H363" s="110">
        <v>3646.0</v>
      </c>
      <c r="I363" s="132">
        <v>152.58</v>
      </c>
      <c r="J363" s="132">
        <v>97.44</v>
      </c>
      <c r="K363" s="39">
        <f t="shared" si="1"/>
        <v>556306.68</v>
      </c>
      <c r="L363" s="39">
        <f t="shared" si="2"/>
        <v>355266.24</v>
      </c>
      <c r="M363" s="39">
        <f t="shared" si="3"/>
        <v>201040.44</v>
      </c>
      <c r="N363" s="38" t="str">
        <f>VLOOKUP(F363,products!$A$2:$B$13,2,FALSE)</f>
        <v>Snacks</v>
      </c>
      <c r="O363" s="133">
        <f t="shared" si="4"/>
        <v>0.6386158081</v>
      </c>
      <c r="P363" s="38" t="str">
        <f>VLOOKUP(E363,countries!A$2:E$250,3,false)</f>
        <v>Andorra</v>
      </c>
      <c r="Q363" s="38" t="str">
        <f>VLOOKUP($E363,countries!$A$2:$E$250,4,false)</f>
        <v>Europe</v>
      </c>
      <c r="R363" s="38" t="str">
        <f>VLOOKUP($E363,countries!$A$2:$E$250,5,false)</f>
        <v>Southern Europe</v>
      </c>
      <c r="S363" s="38">
        <f t="shared" si="5"/>
        <v>16</v>
      </c>
      <c r="T363" s="38" t="s">
        <v>182</v>
      </c>
      <c r="U363" s="38">
        <v>2010.0</v>
      </c>
      <c r="V363" s="38">
        <v>5.0</v>
      </c>
      <c r="W363" s="38" t="s">
        <v>128</v>
      </c>
      <c r="X363" s="38" t="s">
        <v>199</v>
      </c>
      <c r="Y363" s="38" t="s">
        <v>146</v>
      </c>
      <c r="Z363" s="38" t="s">
        <v>147</v>
      </c>
      <c r="AA363" s="113" t="str">
        <f t="array" ref="AA363">PROPER(G363)</f>
        <v>Online</v>
      </c>
    </row>
    <row r="364">
      <c r="A364" s="110">
        <v>3.4906038E8</v>
      </c>
      <c r="B364" s="131">
        <v>42629.0</v>
      </c>
      <c r="C364" s="131">
        <v>42641.0</v>
      </c>
      <c r="D364" s="110" t="s">
        <v>95</v>
      </c>
      <c r="E364" s="110" t="s">
        <v>119</v>
      </c>
      <c r="F364" s="110">
        <v>7331.0</v>
      </c>
      <c r="G364" s="38" t="s">
        <v>43</v>
      </c>
      <c r="H364" s="110">
        <v>3578.0</v>
      </c>
      <c r="I364" s="132">
        <v>255.28</v>
      </c>
      <c r="J364" s="132">
        <v>159.42</v>
      </c>
      <c r="K364" s="39">
        <f t="shared" si="1"/>
        <v>913391.84</v>
      </c>
      <c r="L364" s="39">
        <f t="shared" si="2"/>
        <v>570404.76</v>
      </c>
      <c r="M364" s="39">
        <f t="shared" si="3"/>
        <v>342987.08</v>
      </c>
      <c r="N364" s="38" t="str">
        <f>VLOOKUP(F364,products!$A$2:$B$13,2,FALSE)</f>
        <v>Baby Food</v>
      </c>
      <c r="O364" s="133">
        <f t="shared" si="4"/>
        <v>0.6244907552</v>
      </c>
      <c r="P364" s="38" t="str">
        <f>VLOOKUP(E364,countries!A$2:E$250,3,false)</f>
        <v>Macedonia</v>
      </c>
      <c r="Q364" s="38" t="str">
        <f>VLOOKUP($E364,countries!$A$2:$E$250,4,false)</f>
        <v>Europe</v>
      </c>
      <c r="R364" s="38" t="str">
        <f>VLOOKUP($E364,countries!$A$2:$E$250,5,false)</f>
        <v>Southern Europe</v>
      </c>
      <c r="S364" s="38">
        <f t="shared" si="5"/>
        <v>12</v>
      </c>
      <c r="T364" s="38" t="s">
        <v>161</v>
      </c>
      <c r="U364" s="38">
        <v>2016.0</v>
      </c>
      <c r="V364" s="38">
        <v>9.0</v>
      </c>
      <c r="W364" s="38" t="s">
        <v>119</v>
      </c>
      <c r="X364" s="38" t="s">
        <v>190</v>
      </c>
      <c r="Y364" s="38" t="s">
        <v>146</v>
      </c>
      <c r="Z364" s="38" t="s">
        <v>147</v>
      </c>
      <c r="AA364" s="113" t="str">
        <f t="array" ref="AA364">PROPER(G364)</f>
        <v>Online</v>
      </c>
    </row>
    <row r="365">
      <c r="A365" s="110">
        <v>3.49212729E8</v>
      </c>
      <c r="B365" s="131">
        <v>42578.0</v>
      </c>
      <c r="C365" s="131">
        <v>42624.0</v>
      </c>
      <c r="D365" s="110" t="s">
        <v>10</v>
      </c>
      <c r="E365" s="110" t="s">
        <v>125</v>
      </c>
      <c r="F365" s="110">
        <v>8875.0</v>
      </c>
      <c r="G365" s="38" t="s">
        <v>43</v>
      </c>
      <c r="H365" s="110">
        <v>8662.0</v>
      </c>
      <c r="I365" s="132">
        <v>421.89</v>
      </c>
      <c r="J365" s="132">
        <v>364.69</v>
      </c>
      <c r="K365" s="39">
        <f t="shared" si="1"/>
        <v>3654411.18</v>
      </c>
      <c r="L365" s="39">
        <f t="shared" si="2"/>
        <v>3158944.78</v>
      </c>
      <c r="M365" s="39">
        <f t="shared" si="3"/>
        <v>495466.4</v>
      </c>
      <c r="N365" s="38" t="str">
        <f>VLOOKUP(F365,products!$A$2:$B$13,2,FALSE)</f>
        <v>Meat</v>
      </c>
      <c r="O365" s="133">
        <f t="shared" si="4"/>
        <v>0.8644196354</v>
      </c>
      <c r="P365" s="38" t="str">
        <f>VLOOKUP(E365,countries!A$2:E$250,3,false)</f>
        <v>Bulgaria</v>
      </c>
      <c r="Q365" s="38" t="str">
        <f>VLOOKUP($E365,countries!$A$2:$E$250,4,false)</f>
        <v>Europe</v>
      </c>
      <c r="R365" s="38" t="str">
        <f>VLOOKUP($E365,countries!$A$2:$E$250,5,false)</f>
        <v>Eastern Europe</v>
      </c>
      <c r="S365" s="38">
        <f t="shared" si="5"/>
        <v>46</v>
      </c>
      <c r="T365" s="38" t="s">
        <v>167</v>
      </c>
      <c r="U365" s="38">
        <v>2016.0</v>
      </c>
      <c r="V365" s="38">
        <v>7.0</v>
      </c>
      <c r="W365" s="38" t="s">
        <v>125</v>
      </c>
      <c r="X365" s="38" t="s">
        <v>196</v>
      </c>
      <c r="Y365" s="38" t="s">
        <v>146</v>
      </c>
      <c r="Z365" s="38" t="s">
        <v>155</v>
      </c>
      <c r="AA365" s="113" t="str">
        <f t="array" ref="AA365">PROPER(G365)</f>
        <v>Online</v>
      </c>
    </row>
    <row r="366">
      <c r="A366" s="110">
        <v>3.50550401E8</v>
      </c>
      <c r="B366" s="131">
        <v>40993.0</v>
      </c>
      <c r="C366" s="131">
        <v>41021.0</v>
      </c>
      <c r="D366" s="110" t="s">
        <v>95</v>
      </c>
      <c r="E366" s="110" t="s">
        <v>91</v>
      </c>
      <c r="F366" s="110">
        <v>8293.0</v>
      </c>
      <c r="G366" s="38" t="s">
        <v>43</v>
      </c>
      <c r="H366" s="110">
        <v>4508.0</v>
      </c>
      <c r="I366" s="132">
        <v>437.2</v>
      </c>
      <c r="J366" s="132">
        <v>263.33</v>
      </c>
      <c r="K366" s="39">
        <f t="shared" si="1"/>
        <v>1970897.6</v>
      </c>
      <c r="L366" s="39">
        <f t="shared" si="2"/>
        <v>1187091.64</v>
      </c>
      <c r="M366" s="39">
        <f t="shared" si="3"/>
        <v>783805.96</v>
      </c>
      <c r="N366" s="38" t="str">
        <f>VLOOKUP(F366,products!$A$2:$B$13,2,FALSE)</f>
        <v>Cosmetics</v>
      </c>
      <c r="O366" s="133">
        <f t="shared" si="4"/>
        <v>0.6023101555</v>
      </c>
      <c r="P366" s="38" t="str">
        <f>VLOOKUP(E366,countries!A$2:E$250,3,false)</f>
        <v>Serbia</v>
      </c>
      <c r="Q366" s="38" t="str">
        <f>VLOOKUP($E366,countries!$A$2:$E$250,4,false)</f>
        <v>Europe</v>
      </c>
      <c r="R366" s="38" t="str">
        <f>VLOOKUP($E366,countries!$A$2:$E$250,5,false)</f>
        <v>Southern Europe</v>
      </c>
      <c r="S366" s="38">
        <f t="shared" si="5"/>
        <v>28</v>
      </c>
      <c r="T366" s="38" t="s">
        <v>178</v>
      </c>
      <c r="U366" s="38">
        <v>2012.0</v>
      </c>
      <c r="V366" s="38">
        <v>3.0</v>
      </c>
      <c r="W366" s="38" t="s">
        <v>91</v>
      </c>
      <c r="X366" s="38" t="s">
        <v>145</v>
      </c>
      <c r="Y366" s="38" t="s">
        <v>146</v>
      </c>
      <c r="Z366" s="38" t="s">
        <v>147</v>
      </c>
      <c r="AA366" s="113" t="str">
        <f t="array" ref="AA366">PROPER(G366)</f>
        <v>Online</v>
      </c>
    </row>
    <row r="367">
      <c r="A367" s="110">
        <v>3.50977408E8</v>
      </c>
      <c r="B367" s="131">
        <v>40538.0</v>
      </c>
      <c r="C367" s="131">
        <v>40565.0</v>
      </c>
      <c r="D367" s="110" t="s">
        <v>10</v>
      </c>
      <c r="E367" s="110" t="s">
        <v>119</v>
      </c>
      <c r="F367" s="110">
        <v>8293.0</v>
      </c>
      <c r="G367" s="38" t="s">
        <v>43</v>
      </c>
      <c r="H367" s="110">
        <v>869.0</v>
      </c>
      <c r="I367" s="132">
        <v>437.2</v>
      </c>
      <c r="J367" s="132">
        <v>263.33</v>
      </c>
      <c r="K367" s="39">
        <f t="shared" si="1"/>
        <v>379926.8</v>
      </c>
      <c r="L367" s="39">
        <f t="shared" si="2"/>
        <v>228833.77</v>
      </c>
      <c r="M367" s="39">
        <f t="shared" si="3"/>
        <v>151093.03</v>
      </c>
      <c r="N367" s="38" t="str">
        <f>VLOOKUP(F367,products!$A$2:$B$13,2,FALSE)</f>
        <v>Cosmetics</v>
      </c>
      <c r="O367" s="133">
        <f t="shared" si="4"/>
        <v>0.6023101555</v>
      </c>
      <c r="P367" s="38" t="str">
        <f>VLOOKUP(E367,countries!A$2:E$250,3,false)</f>
        <v>Macedonia</v>
      </c>
      <c r="Q367" s="38" t="str">
        <f>VLOOKUP($E367,countries!$A$2:$E$250,4,false)</f>
        <v>Europe</v>
      </c>
      <c r="R367" s="38" t="str">
        <f>VLOOKUP($E367,countries!$A$2:$E$250,5,false)</f>
        <v>Southern Europe</v>
      </c>
      <c r="S367" s="38">
        <f t="shared" si="5"/>
        <v>27</v>
      </c>
      <c r="T367" s="38" t="s">
        <v>178</v>
      </c>
      <c r="U367" s="38">
        <v>2010.0</v>
      </c>
      <c r="V367" s="38">
        <v>12.0</v>
      </c>
      <c r="W367" s="38" t="s">
        <v>119</v>
      </c>
      <c r="X367" s="38" t="s">
        <v>190</v>
      </c>
      <c r="Y367" s="38" t="s">
        <v>146</v>
      </c>
      <c r="Z367" s="38" t="s">
        <v>147</v>
      </c>
      <c r="AA367" s="113" t="str">
        <f t="array" ref="AA367">PROPER(G367)</f>
        <v>Online</v>
      </c>
    </row>
    <row r="368">
      <c r="A368" s="110">
        <v>3.51247346E8</v>
      </c>
      <c r="B368" s="131">
        <v>42458.0</v>
      </c>
      <c r="C368" s="131">
        <v>42498.0</v>
      </c>
      <c r="D368" s="110" t="s">
        <v>95</v>
      </c>
      <c r="E368" s="110" t="s">
        <v>136</v>
      </c>
      <c r="F368" s="110">
        <v>3127.0</v>
      </c>
      <c r="G368" s="38" t="s">
        <v>43</v>
      </c>
      <c r="H368" s="110">
        <v>750.0</v>
      </c>
      <c r="I368" s="132">
        <v>81.73</v>
      </c>
      <c r="J368" s="132">
        <v>56.67</v>
      </c>
      <c r="K368" s="39">
        <f t="shared" si="1"/>
        <v>61297.5</v>
      </c>
      <c r="L368" s="39">
        <f t="shared" si="2"/>
        <v>42502.5</v>
      </c>
      <c r="M368" s="39">
        <f t="shared" si="3"/>
        <v>18795</v>
      </c>
      <c r="N368" s="38" t="str">
        <f>VLOOKUP(F368,products!$A$2:$B$13,2,FALSE)</f>
        <v>Personal Care</v>
      </c>
      <c r="O368" s="133">
        <f t="shared" si="4"/>
        <v>0.6933806436</v>
      </c>
      <c r="P368" s="38" t="str">
        <f>VLOOKUP(E368,countries!A$2:E$250,3,false)</f>
        <v>Monaco</v>
      </c>
      <c r="Q368" s="38" t="str">
        <f>VLOOKUP($E368,countries!$A$2:$E$250,4,false)</f>
        <v>Europe</v>
      </c>
      <c r="R368" s="38" t="str">
        <f>VLOOKUP($E368,countries!$A$2:$E$250,5,false)</f>
        <v>Western Europe</v>
      </c>
      <c r="S368" s="38">
        <f t="shared" si="5"/>
        <v>40</v>
      </c>
      <c r="T368" s="38" t="s">
        <v>185</v>
      </c>
      <c r="U368" s="38">
        <v>2016.0</v>
      </c>
      <c r="V368" s="38">
        <v>3.0</v>
      </c>
      <c r="W368" s="38" t="s">
        <v>136</v>
      </c>
      <c r="X368" s="38" t="s">
        <v>206</v>
      </c>
      <c r="Y368" s="38" t="s">
        <v>146</v>
      </c>
      <c r="Z368" s="38" t="s">
        <v>158</v>
      </c>
      <c r="AA368" s="113" t="str">
        <f t="array" ref="AA368">PROPER(G368)</f>
        <v>Online</v>
      </c>
    </row>
    <row r="369">
      <c r="A369" s="110">
        <v>3.52342545E8</v>
      </c>
      <c r="B369" s="131">
        <v>42785.0</v>
      </c>
      <c r="C369" s="131">
        <v>42821.0</v>
      </c>
      <c r="D369" s="110" t="s">
        <v>89</v>
      </c>
      <c r="E369" s="110" t="s">
        <v>98</v>
      </c>
      <c r="F369" s="110">
        <v>8969.0</v>
      </c>
      <c r="G369" s="38" t="s">
        <v>42</v>
      </c>
      <c r="H369" s="110">
        <v>4844.0</v>
      </c>
      <c r="I369" s="132">
        <v>152.58</v>
      </c>
      <c r="J369" s="132">
        <v>97.44</v>
      </c>
      <c r="K369" s="39">
        <f t="shared" si="1"/>
        <v>739097.52</v>
      </c>
      <c r="L369" s="39">
        <f t="shared" si="2"/>
        <v>471999.36</v>
      </c>
      <c r="M369" s="39">
        <f t="shared" si="3"/>
        <v>267098.16</v>
      </c>
      <c r="N369" s="38" t="str">
        <f>VLOOKUP(F369,products!$A$2:$B$13,2,FALSE)</f>
        <v>Snacks</v>
      </c>
      <c r="O369" s="133">
        <f t="shared" si="4"/>
        <v>0.6386158081</v>
      </c>
      <c r="P369" s="38" t="str">
        <f>VLOOKUP(E369,countries!A$2:E$250,3,false)</f>
        <v>Spain</v>
      </c>
      <c r="Q369" s="38" t="str">
        <f>VLOOKUP($E369,countries!$A$2:$E$250,4,false)</f>
        <v>Europe</v>
      </c>
      <c r="R369" s="38" t="str">
        <f>VLOOKUP($E369,countries!$A$2:$E$250,5,false)</f>
        <v>Southern Europe</v>
      </c>
      <c r="S369" s="38">
        <f t="shared" si="5"/>
        <v>36</v>
      </c>
      <c r="T369" s="38" t="s">
        <v>182</v>
      </c>
      <c r="U369" s="38">
        <v>2017.0</v>
      </c>
      <c r="V369" s="38">
        <v>2.0</v>
      </c>
      <c r="W369" s="38" t="s">
        <v>98</v>
      </c>
      <c r="X369" s="38" t="s">
        <v>160</v>
      </c>
      <c r="Y369" s="38" t="s">
        <v>146</v>
      </c>
      <c r="Z369" s="38" t="s">
        <v>147</v>
      </c>
      <c r="AA369" s="113" t="str">
        <f t="array" ref="AA369">PROPER(G369)</f>
        <v>Offline</v>
      </c>
    </row>
    <row r="370">
      <c r="A370" s="110">
        <v>3.5319184E8</v>
      </c>
      <c r="B370" s="131">
        <v>41433.0</v>
      </c>
      <c r="C370" s="131">
        <v>41464.0</v>
      </c>
      <c r="D370" s="110" t="s">
        <v>95</v>
      </c>
      <c r="E370" s="110" t="s">
        <v>117</v>
      </c>
      <c r="F370" s="110">
        <v>2455.0</v>
      </c>
      <c r="G370" s="38" t="s">
        <v>42</v>
      </c>
      <c r="H370" s="110">
        <v>6169.0</v>
      </c>
      <c r="I370" s="132">
        <v>109.28</v>
      </c>
      <c r="J370" s="132">
        <v>35.84</v>
      </c>
      <c r="K370" s="39">
        <f t="shared" si="1"/>
        <v>674148.32</v>
      </c>
      <c r="L370" s="39">
        <f t="shared" si="2"/>
        <v>221096.96</v>
      </c>
      <c r="M370" s="39">
        <f t="shared" si="3"/>
        <v>453051.36</v>
      </c>
      <c r="N370" s="38" t="str">
        <f>VLOOKUP(F370,products!$A$2:$B$13,2,FALSE)</f>
        <v>Clothes</v>
      </c>
      <c r="O370" s="133">
        <f t="shared" si="4"/>
        <v>0.3279648609</v>
      </c>
      <c r="P370" s="38" t="str">
        <f>VLOOKUP(E370,countries!A$2:E$250,3,false)</f>
        <v>Estonia</v>
      </c>
      <c r="Q370" s="38" t="str">
        <f>VLOOKUP($E370,countries!$A$2:$E$250,4,false)</f>
        <v>Europe</v>
      </c>
      <c r="R370" s="38" t="str">
        <f>VLOOKUP($E370,countries!$A$2:$E$250,5,false)</f>
        <v>Northern Europe</v>
      </c>
      <c r="S370" s="38">
        <f t="shared" si="5"/>
        <v>31</v>
      </c>
      <c r="T370" s="38" t="s">
        <v>150</v>
      </c>
      <c r="U370" s="38">
        <v>2013.0</v>
      </c>
      <c r="V370" s="38">
        <v>6.0</v>
      </c>
      <c r="W370" s="38" t="s">
        <v>117</v>
      </c>
      <c r="X370" s="38" t="s">
        <v>188</v>
      </c>
      <c r="Y370" s="38" t="s">
        <v>146</v>
      </c>
      <c r="Z370" s="38" t="s">
        <v>170</v>
      </c>
      <c r="AA370" s="113" t="str">
        <f t="array" ref="AA370">PROPER(G370)</f>
        <v>Offline</v>
      </c>
    </row>
    <row r="371">
      <c r="A371" s="110">
        <v>3.53320157E8</v>
      </c>
      <c r="B371" s="131">
        <v>41140.0</v>
      </c>
      <c r="C371" s="131">
        <v>41143.0</v>
      </c>
      <c r="D371" s="110" t="s">
        <v>93</v>
      </c>
      <c r="E371" s="110" t="s">
        <v>94</v>
      </c>
      <c r="F371" s="110">
        <v>8293.0</v>
      </c>
      <c r="G371" s="38" t="s">
        <v>42</v>
      </c>
      <c r="H371" s="110">
        <v>4141.0</v>
      </c>
      <c r="I371" s="132">
        <v>437.2</v>
      </c>
      <c r="J371" s="132">
        <v>263.33</v>
      </c>
      <c r="K371" s="39">
        <f t="shared" si="1"/>
        <v>1810445.2</v>
      </c>
      <c r="L371" s="39">
        <f t="shared" si="2"/>
        <v>1090449.53</v>
      </c>
      <c r="M371" s="39">
        <f t="shared" si="3"/>
        <v>719995.67</v>
      </c>
      <c r="N371" s="38" t="str">
        <f>VLOOKUP(F371,products!$A$2:$B$13,2,FALSE)</f>
        <v>Cosmetics</v>
      </c>
      <c r="O371" s="133">
        <f t="shared" si="4"/>
        <v>0.6023101555</v>
      </c>
      <c r="P371" s="38" t="str">
        <f>VLOOKUP(E371,countries!A$2:E$250,3,false)</f>
        <v>Montenegro</v>
      </c>
      <c r="Q371" s="38" t="str">
        <f>VLOOKUP($E371,countries!$A$2:$E$250,4,false)</f>
        <v>Europe</v>
      </c>
      <c r="R371" s="38" t="str">
        <f>VLOOKUP($E371,countries!$A$2:$E$250,5,false)</f>
        <v>Southern Europe</v>
      </c>
      <c r="S371" s="38">
        <f t="shared" si="5"/>
        <v>3</v>
      </c>
      <c r="T371" s="38" t="s">
        <v>178</v>
      </c>
      <c r="U371" s="38">
        <v>2012.0</v>
      </c>
      <c r="V371" s="38">
        <v>8.0</v>
      </c>
      <c r="W371" s="38" t="s">
        <v>94</v>
      </c>
      <c r="X371" s="38" t="s">
        <v>151</v>
      </c>
      <c r="Y371" s="38" t="s">
        <v>146</v>
      </c>
      <c r="Z371" s="38" t="s">
        <v>147</v>
      </c>
      <c r="AA371" s="113" t="str">
        <f t="array" ref="AA371">PROPER(G371)</f>
        <v>Offline</v>
      </c>
    </row>
    <row r="372">
      <c r="A372" s="110">
        <v>3.53383243E8</v>
      </c>
      <c r="B372" s="131">
        <v>41774.0</v>
      </c>
      <c r="C372" s="131">
        <v>41799.0</v>
      </c>
      <c r="D372" s="110" t="s">
        <v>93</v>
      </c>
      <c r="E372" s="110" t="e">
        <v>#N/A</v>
      </c>
      <c r="F372" s="110">
        <v>8681.0</v>
      </c>
      <c r="G372" s="38" t="s">
        <v>43</v>
      </c>
      <c r="H372" s="110">
        <v>2809.0</v>
      </c>
      <c r="I372" s="132">
        <v>651.21</v>
      </c>
      <c r="J372" s="132">
        <v>524.96</v>
      </c>
      <c r="K372" s="39">
        <f t="shared" si="1"/>
        <v>1829248.89</v>
      </c>
      <c r="L372" s="39">
        <f t="shared" si="2"/>
        <v>1474612.64</v>
      </c>
      <c r="M372" s="39">
        <f t="shared" si="3"/>
        <v>354636.25</v>
      </c>
      <c r="N372" s="38" t="str">
        <f>VLOOKUP(F372,products!$A$2:$B$13,2,FALSE)</f>
        <v>Office Supplies</v>
      </c>
      <c r="O372" s="133">
        <f t="shared" si="4"/>
        <v>0.806130127</v>
      </c>
      <c r="P372" s="38" t="str">
        <f>VLOOKUP(E372,countries!A$2:E$250,3,false)</f>
        <v>#N/A</v>
      </c>
      <c r="Q372" s="38" t="str">
        <f>VLOOKUP($E372,countries!$A$2:$E$250,4,false)</f>
        <v>#N/A</v>
      </c>
      <c r="R372" s="38" t="str">
        <f>VLOOKUP($E372,countries!$A$2:$E$250,5,false)</f>
        <v>#N/A</v>
      </c>
      <c r="S372" s="38">
        <f t="shared" si="5"/>
        <v>25</v>
      </c>
      <c r="T372" s="38" t="s">
        <v>153</v>
      </c>
      <c r="U372" s="38">
        <v>2014.0</v>
      </c>
      <c r="V372" s="38">
        <v>5.0</v>
      </c>
      <c r="W372" s="38" t="s">
        <v>92</v>
      </c>
      <c r="X372" s="38" t="s">
        <v>149</v>
      </c>
      <c r="Y372" s="38" t="s">
        <v>149</v>
      </c>
      <c r="Z372" s="38" t="s">
        <v>149</v>
      </c>
      <c r="AA372" s="113" t="str">
        <f t="array" ref="AA372">PROPER(G372)</f>
        <v>Online</v>
      </c>
    </row>
    <row r="373">
      <c r="A373" s="110">
        <v>3.53415429E8</v>
      </c>
      <c r="B373" s="131">
        <v>40516.0</v>
      </c>
      <c r="C373" s="131">
        <v>40520.0</v>
      </c>
      <c r="D373" s="110" t="s">
        <v>89</v>
      </c>
      <c r="E373" s="110" t="s">
        <v>114</v>
      </c>
      <c r="F373" s="110">
        <v>3127.0</v>
      </c>
      <c r="G373" s="38" t="s">
        <v>43</v>
      </c>
      <c r="H373" s="110">
        <v>2334.0</v>
      </c>
      <c r="I373" s="132">
        <v>81.73</v>
      </c>
      <c r="J373" s="132">
        <v>56.67</v>
      </c>
      <c r="K373" s="39">
        <f t="shared" si="1"/>
        <v>190757.82</v>
      </c>
      <c r="L373" s="39">
        <f t="shared" si="2"/>
        <v>132267.78</v>
      </c>
      <c r="M373" s="39">
        <f t="shared" si="3"/>
        <v>58490.04</v>
      </c>
      <c r="N373" s="38" t="str">
        <f>VLOOKUP(F373,products!$A$2:$B$13,2,FALSE)</f>
        <v>Personal Care</v>
      </c>
      <c r="O373" s="133">
        <f t="shared" si="4"/>
        <v>0.6933806436</v>
      </c>
      <c r="P373" s="38" t="str">
        <f>VLOOKUP(E373,countries!A$2:E$250,3,false)</f>
        <v>Czech Republic</v>
      </c>
      <c r="Q373" s="38" t="str">
        <f>VLOOKUP($E373,countries!$A$2:$E$250,4,false)</f>
        <v>Europe</v>
      </c>
      <c r="R373" s="38" t="str">
        <f>VLOOKUP($E373,countries!$A$2:$E$250,5,false)</f>
        <v>Eastern Europe</v>
      </c>
      <c r="S373" s="38">
        <f t="shared" si="5"/>
        <v>4</v>
      </c>
      <c r="T373" s="38" t="s">
        <v>185</v>
      </c>
      <c r="U373" s="38">
        <v>2010.0</v>
      </c>
      <c r="V373" s="38">
        <v>12.0</v>
      </c>
      <c r="W373" s="38" t="s">
        <v>114</v>
      </c>
      <c r="X373" s="38" t="s">
        <v>184</v>
      </c>
      <c r="Y373" s="38" t="s">
        <v>146</v>
      </c>
      <c r="Z373" s="38" t="s">
        <v>155</v>
      </c>
      <c r="AA373" s="113" t="str">
        <f t="array" ref="AA373">PROPER(G373)</f>
        <v>Online</v>
      </c>
    </row>
    <row r="374">
      <c r="A374" s="110">
        <v>3.5347594E8</v>
      </c>
      <c r="B374" s="131">
        <v>41914.0</v>
      </c>
      <c r="C374" s="131">
        <v>41916.0</v>
      </c>
      <c r="D374" s="110" t="s">
        <v>95</v>
      </c>
      <c r="E374" s="110" t="s">
        <v>121</v>
      </c>
      <c r="F374" s="110">
        <v>3127.0</v>
      </c>
      <c r="G374" s="38" t="s">
        <v>42</v>
      </c>
      <c r="H374" s="110">
        <v>240.0</v>
      </c>
      <c r="I374" s="132">
        <v>81.73</v>
      </c>
      <c r="J374" s="132">
        <v>56.67</v>
      </c>
      <c r="K374" s="39">
        <f t="shared" si="1"/>
        <v>19615.2</v>
      </c>
      <c r="L374" s="39">
        <f t="shared" si="2"/>
        <v>13600.8</v>
      </c>
      <c r="M374" s="39">
        <f t="shared" si="3"/>
        <v>6014.4</v>
      </c>
      <c r="N374" s="38" t="str">
        <f>VLOOKUP(F374,products!$A$2:$B$13,2,FALSE)</f>
        <v>Personal Care</v>
      </c>
      <c r="O374" s="133">
        <f t="shared" si="4"/>
        <v>0.6933806436</v>
      </c>
      <c r="P374" s="38" t="str">
        <f>VLOOKUP(E374,countries!A$2:E$250,3,false)</f>
        <v>Netherlands</v>
      </c>
      <c r="Q374" s="38" t="str">
        <f>VLOOKUP($E374,countries!$A$2:$E$250,4,false)</f>
        <v>Europe</v>
      </c>
      <c r="R374" s="38" t="str">
        <f>VLOOKUP($E374,countries!$A$2:$E$250,5,false)</f>
        <v>Western Europe</v>
      </c>
      <c r="S374" s="38">
        <f t="shared" si="5"/>
        <v>2</v>
      </c>
      <c r="T374" s="38" t="s">
        <v>185</v>
      </c>
      <c r="U374" s="38">
        <v>2014.0</v>
      </c>
      <c r="V374" s="38">
        <v>10.0</v>
      </c>
      <c r="W374" s="38" t="s">
        <v>121</v>
      </c>
      <c r="X374" s="38" t="s">
        <v>192</v>
      </c>
      <c r="Y374" s="38" t="s">
        <v>146</v>
      </c>
      <c r="Z374" s="38" t="s">
        <v>158</v>
      </c>
      <c r="AA374" s="113" t="str">
        <f t="array" ref="AA374">PROPER(G374)</f>
        <v>Offline</v>
      </c>
    </row>
    <row r="375">
      <c r="A375" s="110">
        <v>3.53492677E8</v>
      </c>
      <c r="B375" s="131">
        <v>42477.0</v>
      </c>
      <c r="C375" s="131">
        <v>42513.0</v>
      </c>
      <c r="D375" s="110" t="s">
        <v>10</v>
      </c>
      <c r="E375" s="110" t="s">
        <v>123</v>
      </c>
      <c r="F375" s="110">
        <v>4594.0</v>
      </c>
      <c r="G375" s="38" t="s">
        <v>42</v>
      </c>
      <c r="H375" s="110">
        <v>5193.0</v>
      </c>
      <c r="I375" s="132">
        <v>9.33</v>
      </c>
      <c r="J375" s="132">
        <v>6.92</v>
      </c>
      <c r="K375" s="39">
        <f t="shared" si="1"/>
        <v>48450.69</v>
      </c>
      <c r="L375" s="39">
        <f t="shared" si="2"/>
        <v>35935.56</v>
      </c>
      <c r="M375" s="39">
        <f t="shared" si="3"/>
        <v>12515.13</v>
      </c>
      <c r="N375" s="38" t="str">
        <f>VLOOKUP(F375,products!$A$2:$B$13,2,FALSE)</f>
        <v>Fruits</v>
      </c>
      <c r="O375" s="133">
        <f t="shared" si="4"/>
        <v>0.741693462</v>
      </c>
      <c r="P375" s="38" t="str">
        <f>VLOOKUP(E375,countries!A$2:E$250,3,false)</f>
        <v>Hungary</v>
      </c>
      <c r="Q375" s="38" t="str">
        <f>VLOOKUP($E375,countries!$A$2:$E$250,4,false)</f>
        <v>Europe</v>
      </c>
      <c r="R375" s="38" t="str">
        <f>VLOOKUP($E375,countries!$A$2:$E$250,5,false)</f>
        <v>Eastern Europe</v>
      </c>
      <c r="S375" s="38">
        <f t="shared" si="5"/>
        <v>36</v>
      </c>
      <c r="T375" s="38" t="s">
        <v>156</v>
      </c>
      <c r="U375" s="38">
        <v>2016.0</v>
      </c>
      <c r="V375" s="38">
        <v>4.0</v>
      </c>
      <c r="W375" s="38" t="s">
        <v>123</v>
      </c>
      <c r="X375" s="38" t="s">
        <v>194</v>
      </c>
      <c r="Y375" s="38" t="s">
        <v>146</v>
      </c>
      <c r="Z375" s="38" t="s">
        <v>155</v>
      </c>
      <c r="AA375" s="113" t="str">
        <f t="array" ref="AA375">PROPER(G375)</f>
        <v>Offline</v>
      </c>
    </row>
    <row r="376">
      <c r="A376" s="110">
        <v>3.54270303E8</v>
      </c>
      <c r="B376" s="131">
        <v>41196.0</v>
      </c>
      <c r="C376" s="131">
        <v>41240.0</v>
      </c>
      <c r="D376" s="110" t="s">
        <v>93</v>
      </c>
      <c r="E376" s="110" t="s">
        <v>120</v>
      </c>
      <c r="F376" s="110">
        <v>5988.0</v>
      </c>
      <c r="G376" s="38" t="s">
        <v>42</v>
      </c>
      <c r="H376" s="110">
        <v>5310.0</v>
      </c>
      <c r="I376" s="132">
        <v>154.06</v>
      </c>
      <c r="J376" s="132">
        <v>90.93</v>
      </c>
      <c r="K376" s="39">
        <f t="shared" si="1"/>
        <v>818058.6</v>
      </c>
      <c r="L376" s="39">
        <f t="shared" si="2"/>
        <v>482838.3</v>
      </c>
      <c r="M376" s="39">
        <f t="shared" si="3"/>
        <v>335220.3</v>
      </c>
      <c r="N376" s="38" t="str">
        <f>VLOOKUP(F376,products!$A$2:$B$13,2,FALSE)</f>
        <v>Vegetables</v>
      </c>
      <c r="O376" s="133">
        <f t="shared" si="4"/>
        <v>0.5902245878</v>
      </c>
      <c r="P376" s="38" t="str">
        <f>VLOOKUP(E376,countries!A$2:E$250,3,false)</f>
        <v>San Marino</v>
      </c>
      <c r="Q376" s="38" t="str">
        <f>VLOOKUP($E376,countries!$A$2:$E$250,4,false)</f>
        <v>Europe</v>
      </c>
      <c r="R376" s="38" t="str">
        <f>VLOOKUP($E376,countries!$A$2:$E$250,5,false)</f>
        <v>Southern Europe</v>
      </c>
      <c r="S376" s="38">
        <f t="shared" si="5"/>
        <v>44</v>
      </c>
      <c r="T376" s="38" t="s">
        <v>159</v>
      </c>
      <c r="U376" s="38">
        <v>2012.0</v>
      </c>
      <c r="V376" s="38">
        <v>10.0</v>
      </c>
      <c r="W376" s="38" t="s">
        <v>120</v>
      </c>
      <c r="X376" s="38" t="s">
        <v>191</v>
      </c>
      <c r="Y376" s="38" t="s">
        <v>146</v>
      </c>
      <c r="Z376" s="38" t="s">
        <v>147</v>
      </c>
      <c r="AA376" s="113" t="str">
        <f t="array" ref="AA376">PROPER(G376)</f>
        <v>Offline</v>
      </c>
    </row>
    <row r="377">
      <c r="A377" s="110">
        <v>3.54655683E8</v>
      </c>
      <c r="B377" s="131">
        <v>41114.0</v>
      </c>
      <c r="C377" s="131">
        <v>41121.0</v>
      </c>
      <c r="D377" s="110" t="s">
        <v>89</v>
      </c>
      <c r="E377" s="110" t="s">
        <v>119</v>
      </c>
      <c r="F377" s="110">
        <v>1270.0</v>
      </c>
      <c r="G377" s="38" t="s">
        <v>42</v>
      </c>
      <c r="H377" s="110">
        <v>9353.0</v>
      </c>
      <c r="I377" s="132">
        <v>47.45</v>
      </c>
      <c r="J377" s="132">
        <v>31.79</v>
      </c>
      <c r="K377" s="39">
        <f t="shared" si="1"/>
        <v>443799.85</v>
      </c>
      <c r="L377" s="39">
        <f t="shared" si="2"/>
        <v>297331.87</v>
      </c>
      <c r="M377" s="39">
        <f t="shared" si="3"/>
        <v>146467.98</v>
      </c>
      <c r="N377" s="38" t="str">
        <f>VLOOKUP(F377,products!$A$2:$B$13,2,FALSE)</f>
        <v>Beverages</v>
      </c>
      <c r="O377" s="133">
        <f t="shared" si="4"/>
        <v>0.6699683878</v>
      </c>
      <c r="P377" s="38" t="str">
        <f>VLOOKUP(E377,countries!A$2:E$250,3,false)</f>
        <v>Macedonia</v>
      </c>
      <c r="Q377" s="38" t="str">
        <f>VLOOKUP($E377,countries!$A$2:$E$250,4,false)</f>
        <v>Europe</v>
      </c>
      <c r="R377" s="38" t="str">
        <f>VLOOKUP($E377,countries!$A$2:$E$250,5,false)</f>
        <v>Southern Europe</v>
      </c>
      <c r="S377" s="38">
        <f t="shared" si="5"/>
        <v>7</v>
      </c>
      <c r="T377" s="38" t="s">
        <v>152</v>
      </c>
      <c r="U377" s="38">
        <v>2012.0</v>
      </c>
      <c r="V377" s="38">
        <v>7.0</v>
      </c>
      <c r="W377" s="38" t="s">
        <v>119</v>
      </c>
      <c r="X377" s="38" t="s">
        <v>190</v>
      </c>
      <c r="Y377" s="38" t="s">
        <v>146</v>
      </c>
      <c r="Z377" s="38" t="s">
        <v>147</v>
      </c>
      <c r="AA377" s="113" t="str">
        <f t="array" ref="AA377">PROPER(G377)</f>
        <v>Offline</v>
      </c>
    </row>
    <row r="378">
      <c r="A378" s="110">
        <v>3.54667699E8</v>
      </c>
      <c r="B378" s="131">
        <v>41234.0</v>
      </c>
      <c r="C378" s="131">
        <v>41272.0</v>
      </c>
      <c r="D378" s="110" t="s">
        <v>93</v>
      </c>
      <c r="E378" s="110" t="s">
        <v>99</v>
      </c>
      <c r="F378" s="110">
        <v>8681.0</v>
      </c>
      <c r="G378" s="38" t="s">
        <v>42</v>
      </c>
      <c r="H378" s="110">
        <v>2908.0</v>
      </c>
      <c r="I378" s="132">
        <v>651.21</v>
      </c>
      <c r="J378" s="132">
        <v>524.96</v>
      </c>
      <c r="K378" s="39">
        <f t="shared" si="1"/>
        <v>1893718.68</v>
      </c>
      <c r="L378" s="39">
        <f t="shared" si="2"/>
        <v>1526583.68</v>
      </c>
      <c r="M378" s="39">
        <f t="shared" si="3"/>
        <v>367135</v>
      </c>
      <c r="N378" s="38" t="str">
        <f>VLOOKUP(F378,products!$A$2:$B$13,2,FALSE)</f>
        <v>Office Supplies</v>
      </c>
      <c r="O378" s="133">
        <f t="shared" si="4"/>
        <v>0.806130127</v>
      </c>
      <c r="P378" s="38" t="str">
        <f>VLOOKUP(E378,countries!A$2:E$250,3,false)</f>
        <v>Croatia</v>
      </c>
      <c r="Q378" s="38" t="str">
        <f>VLOOKUP($E378,countries!$A$2:$E$250,4,false)</f>
        <v>Europe</v>
      </c>
      <c r="R378" s="38" t="str">
        <f>VLOOKUP($E378,countries!$A$2:$E$250,5,false)</f>
        <v>Southern Europe</v>
      </c>
      <c r="S378" s="38">
        <f t="shared" si="5"/>
        <v>38</v>
      </c>
      <c r="T378" s="38" t="s">
        <v>153</v>
      </c>
      <c r="U378" s="38">
        <v>2012.0</v>
      </c>
      <c r="V378" s="38">
        <v>11.0</v>
      </c>
      <c r="W378" s="38" t="s">
        <v>99</v>
      </c>
      <c r="X378" s="38" t="s">
        <v>162</v>
      </c>
      <c r="Y378" s="38" t="s">
        <v>146</v>
      </c>
      <c r="Z378" s="38" t="s">
        <v>147</v>
      </c>
      <c r="AA378" s="113" t="str">
        <f t="array" ref="AA378">PROPER(G378)</f>
        <v>Offline</v>
      </c>
    </row>
    <row r="379">
      <c r="A379" s="110">
        <v>3.54931628E8</v>
      </c>
      <c r="B379" s="131">
        <v>40328.0</v>
      </c>
      <c r="C379" s="131">
        <v>40337.0</v>
      </c>
      <c r="D379" s="110" t="s">
        <v>95</v>
      </c>
      <c r="E379" s="110" t="s">
        <v>127</v>
      </c>
      <c r="F379" s="110">
        <v>3127.0</v>
      </c>
      <c r="G379" s="38" t="s">
        <v>42</v>
      </c>
      <c r="H379" s="110">
        <v>1011.0</v>
      </c>
      <c r="I379" s="132">
        <v>81.73</v>
      </c>
      <c r="J379" s="132">
        <v>56.67</v>
      </c>
      <c r="K379" s="39">
        <f t="shared" si="1"/>
        <v>82629.03</v>
      </c>
      <c r="L379" s="39">
        <f t="shared" si="2"/>
        <v>57293.37</v>
      </c>
      <c r="M379" s="39">
        <f t="shared" si="3"/>
        <v>25335.66</v>
      </c>
      <c r="N379" s="38" t="str">
        <f>VLOOKUP(F379,products!$A$2:$B$13,2,FALSE)</f>
        <v>Personal Care</v>
      </c>
      <c r="O379" s="133">
        <f t="shared" si="4"/>
        <v>0.6933806436</v>
      </c>
      <c r="P379" s="38" t="str">
        <f>VLOOKUP(E379,countries!A$2:E$250,3,false)</f>
        <v>Ireland</v>
      </c>
      <c r="Q379" s="38" t="str">
        <f>VLOOKUP($E379,countries!$A$2:$E$250,4,false)</f>
        <v>Europe</v>
      </c>
      <c r="R379" s="38" t="str">
        <f>VLOOKUP($E379,countries!$A$2:$E$250,5,false)</f>
        <v>Northern Europe</v>
      </c>
      <c r="S379" s="38">
        <f t="shared" si="5"/>
        <v>9</v>
      </c>
      <c r="T379" s="38" t="s">
        <v>185</v>
      </c>
      <c r="U379" s="38">
        <v>2010.0</v>
      </c>
      <c r="V379" s="38">
        <v>5.0</v>
      </c>
      <c r="W379" s="38" t="s">
        <v>127</v>
      </c>
      <c r="X379" s="38" t="s">
        <v>198</v>
      </c>
      <c r="Y379" s="38" t="s">
        <v>146</v>
      </c>
      <c r="Z379" s="38" t="s">
        <v>170</v>
      </c>
      <c r="AA379" s="113" t="str">
        <f t="array" ref="AA379">PROPER(G379)</f>
        <v>Offline</v>
      </c>
    </row>
    <row r="380">
      <c r="A380" s="110">
        <v>3.55534589E8</v>
      </c>
      <c r="B380" s="131">
        <v>42035.0</v>
      </c>
      <c r="C380" s="131">
        <v>42041.0</v>
      </c>
      <c r="D380" s="110" t="s">
        <v>95</v>
      </c>
      <c r="E380" s="110" t="s">
        <v>138</v>
      </c>
      <c r="F380" s="110">
        <v>2455.0</v>
      </c>
      <c r="G380" s="38" t="s">
        <v>43</v>
      </c>
      <c r="H380" s="110">
        <v>9440.0</v>
      </c>
      <c r="I380" s="132">
        <v>109.28</v>
      </c>
      <c r="J380" s="132">
        <v>35.84</v>
      </c>
      <c r="K380" s="39">
        <f t="shared" si="1"/>
        <v>1031603.2</v>
      </c>
      <c r="L380" s="39">
        <f t="shared" si="2"/>
        <v>338329.6</v>
      </c>
      <c r="M380" s="39">
        <f t="shared" si="3"/>
        <v>693273.6</v>
      </c>
      <c r="N380" s="38" t="str">
        <f>VLOOKUP(F380,products!$A$2:$B$13,2,FALSE)</f>
        <v>Clothes</v>
      </c>
      <c r="O380" s="133">
        <f t="shared" si="4"/>
        <v>0.3279648609</v>
      </c>
      <c r="P380" s="38" t="str">
        <f>VLOOKUP(E380,countries!A$2:E$250,3,false)</f>
        <v>Greece</v>
      </c>
      <c r="Q380" s="38" t="str">
        <f>VLOOKUP($E380,countries!$A$2:$E$250,4,false)</f>
        <v>Europe</v>
      </c>
      <c r="R380" s="38" t="str">
        <f>VLOOKUP($E380,countries!$A$2:$E$250,5,false)</f>
        <v>Southern Europe</v>
      </c>
      <c r="S380" s="38">
        <f t="shared" si="5"/>
        <v>6</v>
      </c>
      <c r="T380" s="38" t="s">
        <v>150</v>
      </c>
      <c r="U380" s="38">
        <v>2015.0</v>
      </c>
      <c r="V380" s="38">
        <v>1.0</v>
      </c>
      <c r="W380" s="38" t="s">
        <v>138</v>
      </c>
      <c r="X380" s="38" t="s">
        <v>208</v>
      </c>
      <c r="Y380" s="38" t="s">
        <v>146</v>
      </c>
      <c r="Z380" s="38" t="s">
        <v>147</v>
      </c>
      <c r="AA380" s="113" t="str">
        <f t="array" ref="AA380">PROPER(G380)</f>
        <v>Online</v>
      </c>
    </row>
    <row r="381">
      <c r="A381" s="110">
        <v>3.56413495E8</v>
      </c>
      <c r="B381" s="131">
        <v>40190.0</v>
      </c>
      <c r="C381" s="131">
        <v>40196.0</v>
      </c>
      <c r="D381" s="110" t="s">
        <v>93</v>
      </c>
      <c r="E381" s="110" t="s">
        <v>133</v>
      </c>
      <c r="F381" s="110">
        <v>3127.0</v>
      </c>
      <c r="G381" s="38" t="s">
        <v>42</v>
      </c>
      <c r="H381" s="110">
        <v>9528.0</v>
      </c>
      <c r="I381" s="132">
        <v>81.73</v>
      </c>
      <c r="J381" s="132">
        <v>56.67</v>
      </c>
      <c r="K381" s="39">
        <f t="shared" si="1"/>
        <v>778723.44</v>
      </c>
      <c r="L381" s="39">
        <f t="shared" si="2"/>
        <v>539951.76</v>
      </c>
      <c r="M381" s="39">
        <f t="shared" si="3"/>
        <v>238771.68</v>
      </c>
      <c r="N381" s="38" t="str">
        <f>VLOOKUP(F381,products!$A$2:$B$13,2,FALSE)</f>
        <v>Personal Care</v>
      </c>
      <c r="O381" s="133">
        <f t="shared" si="4"/>
        <v>0.6933806436</v>
      </c>
      <c r="P381" s="38" t="str">
        <f>VLOOKUP(E381,countries!A$2:E$250,3,false)</f>
        <v>Bosnia and Herzegovina</v>
      </c>
      <c r="Q381" s="38" t="str">
        <f>VLOOKUP($E381,countries!$A$2:$E$250,4,false)</f>
        <v>Europe</v>
      </c>
      <c r="R381" s="38" t="str">
        <f>VLOOKUP($E381,countries!$A$2:$E$250,5,false)</f>
        <v>Southern Europe</v>
      </c>
      <c r="S381" s="38">
        <f t="shared" si="5"/>
        <v>6</v>
      </c>
      <c r="T381" s="38" t="s">
        <v>185</v>
      </c>
      <c r="U381" s="38">
        <v>2010.0</v>
      </c>
      <c r="V381" s="38">
        <v>1.0</v>
      </c>
      <c r="W381" s="38" t="s">
        <v>133</v>
      </c>
      <c r="X381" s="38" t="s">
        <v>204</v>
      </c>
      <c r="Y381" s="38" t="s">
        <v>146</v>
      </c>
      <c r="Z381" s="38" t="s">
        <v>147</v>
      </c>
      <c r="AA381" s="113" t="str">
        <f t="array" ref="AA381">PROPER(G381)</f>
        <v>Offline</v>
      </c>
    </row>
    <row r="382">
      <c r="A382" s="110">
        <v>3.5743488E8</v>
      </c>
      <c r="B382" s="131">
        <v>42146.0</v>
      </c>
      <c r="C382" s="131">
        <v>42184.0</v>
      </c>
      <c r="D382" s="110" t="s">
        <v>10</v>
      </c>
      <c r="E382" s="110" t="s">
        <v>94</v>
      </c>
      <c r="F382" s="110">
        <v>8293.0</v>
      </c>
      <c r="G382" s="38" t="s">
        <v>43</v>
      </c>
      <c r="H382" s="110">
        <v>1779.0</v>
      </c>
      <c r="I382" s="132">
        <v>437.2</v>
      </c>
      <c r="J382" s="132">
        <v>263.33</v>
      </c>
      <c r="K382" s="39">
        <f t="shared" si="1"/>
        <v>777778.8</v>
      </c>
      <c r="L382" s="39">
        <f t="shared" si="2"/>
        <v>468464.07</v>
      </c>
      <c r="M382" s="39">
        <f t="shared" si="3"/>
        <v>309314.73</v>
      </c>
      <c r="N382" s="38" t="str">
        <f>VLOOKUP(F382,products!$A$2:$B$13,2,FALSE)</f>
        <v>Cosmetics</v>
      </c>
      <c r="O382" s="133">
        <f t="shared" si="4"/>
        <v>0.6023101555</v>
      </c>
      <c r="P382" s="38" t="str">
        <f>VLOOKUP(E382,countries!A$2:E$250,3,false)</f>
        <v>Montenegro</v>
      </c>
      <c r="Q382" s="38" t="str">
        <f>VLOOKUP($E382,countries!$A$2:$E$250,4,false)</f>
        <v>Europe</v>
      </c>
      <c r="R382" s="38" t="str">
        <f>VLOOKUP($E382,countries!$A$2:$E$250,5,false)</f>
        <v>Southern Europe</v>
      </c>
      <c r="S382" s="38">
        <f t="shared" si="5"/>
        <v>38</v>
      </c>
      <c r="T382" s="38" t="s">
        <v>178</v>
      </c>
      <c r="U382" s="38">
        <v>2015.0</v>
      </c>
      <c r="V382" s="38">
        <v>5.0</v>
      </c>
      <c r="W382" s="38" t="s">
        <v>94</v>
      </c>
      <c r="X382" s="38" t="s">
        <v>151</v>
      </c>
      <c r="Y382" s="38" t="s">
        <v>146</v>
      </c>
      <c r="Z382" s="38" t="s">
        <v>147</v>
      </c>
      <c r="AA382" s="113" t="str">
        <f t="array" ref="AA382">PROPER(G382)</f>
        <v>Online</v>
      </c>
    </row>
    <row r="383">
      <c r="A383" s="110">
        <v>3.57482516E8</v>
      </c>
      <c r="B383" s="131">
        <v>41834.0</v>
      </c>
      <c r="C383" s="131">
        <v>41848.0</v>
      </c>
      <c r="D383" s="110" t="s">
        <v>10</v>
      </c>
      <c r="E383" s="110" t="s">
        <v>127</v>
      </c>
      <c r="F383" s="110">
        <v>1270.0</v>
      </c>
      <c r="G383" s="38" t="s">
        <v>43</v>
      </c>
      <c r="H383" s="110">
        <v>5875.0</v>
      </c>
      <c r="I383" s="132">
        <v>47.45</v>
      </c>
      <c r="J383" s="132">
        <v>31.79</v>
      </c>
      <c r="K383" s="39">
        <f t="shared" si="1"/>
        <v>278768.75</v>
      </c>
      <c r="L383" s="39">
        <f t="shared" si="2"/>
        <v>186766.25</v>
      </c>
      <c r="M383" s="39">
        <f t="shared" si="3"/>
        <v>92002.5</v>
      </c>
      <c r="N383" s="38" t="str">
        <f>VLOOKUP(F383,products!$A$2:$B$13,2,FALSE)</f>
        <v>Beverages</v>
      </c>
      <c r="O383" s="133">
        <f t="shared" si="4"/>
        <v>0.6699683878</v>
      </c>
      <c r="P383" s="38" t="str">
        <f>VLOOKUP(E383,countries!A$2:E$250,3,false)</f>
        <v>Ireland</v>
      </c>
      <c r="Q383" s="38" t="str">
        <f>VLOOKUP($E383,countries!$A$2:$E$250,4,false)</f>
        <v>Europe</v>
      </c>
      <c r="R383" s="38" t="str">
        <f>VLOOKUP($E383,countries!$A$2:$E$250,5,false)</f>
        <v>Northern Europe</v>
      </c>
      <c r="S383" s="38">
        <f t="shared" si="5"/>
        <v>14</v>
      </c>
      <c r="T383" s="38" t="s">
        <v>152</v>
      </c>
      <c r="U383" s="38">
        <v>2014.0</v>
      </c>
      <c r="V383" s="38">
        <v>7.0</v>
      </c>
      <c r="W383" s="38" t="s">
        <v>127</v>
      </c>
      <c r="X383" s="38" t="s">
        <v>198</v>
      </c>
      <c r="Y383" s="38" t="s">
        <v>146</v>
      </c>
      <c r="Z383" s="38" t="s">
        <v>170</v>
      </c>
      <c r="AA383" s="113" t="str">
        <f t="array" ref="AA383">PROPER(G383)</f>
        <v>Online</v>
      </c>
    </row>
    <row r="384">
      <c r="A384" s="110">
        <v>3.57930982E8</v>
      </c>
      <c r="B384" s="131">
        <v>42385.0</v>
      </c>
      <c r="C384" s="131">
        <v>42434.0</v>
      </c>
      <c r="D384" s="110" t="s">
        <v>10</v>
      </c>
      <c r="E384" s="110" t="s">
        <v>131</v>
      </c>
      <c r="F384" s="110">
        <v>2455.0</v>
      </c>
      <c r="G384" s="38" t="s">
        <v>42</v>
      </c>
      <c r="H384" s="110">
        <v>8586.0</v>
      </c>
      <c r="I384" s="132">
        <v>109.28</v>
      </c>
      <c r="J384" s="132">
        <v>35.84</v>
      </c>
      <c r="K384" s="39">
        <f t="shared" si="1"/>
        <v>938278.08</v>
      </c>
      <c r="L384" s="39">
        <f t="shared" si="2"/>
        <v>307722.24</v>
      </c>
      <c r="M384" s="39">
        <f t="shared" si="3"/>
        <v>630555.84</v>
      </c>
      <c r="N384" s="38" t="str">
        <f>VLOOKUP(F384,products!$A$2:$B$13,2,FALSE)</f>
        <v>Clothes</v>
      </c>
      <c r="O384" s="133">
        <f t="shared" si="4"/>
        <v>0.3279648609</v>
      </c>
      <c r="P384" s="38" t="str">
        <f>VLOOKUP(E384,countries!A$2:E$250,3,false)</f>
        <v>Albania</v>
      </c>
      <c r="Q384" s="38" t="str">
        <f>VLOOKUP($E384,countries!$A$2:$E$250,4,false)</f>
        <v>Europe</v>
      </c>
      <c r="R384" s="38" t="str">
        <f>VLOOKUP($E384,countries!$A$2:$E$250,5,false)</f>
        <v>Southern Europe</v>
      </c>
      <c r="S384" s="38">
        <f t="shared" si="5"/>
        <v>49</v>
      </c>
      <c r="T384" s="38" t="s">
        <v>150</v>
      </c>
      <c r="U384" s="38">
        <v>2016.0</v>
      </c>
      <c r="V384" s="38">
        <v>1.0</v>
      </c>
      <c r="W384" s="38" t="s">
        <v>131</v>
      </c>
      <c r="X384" s="38" t="s">
        <v>202</v>
      </c>
      <c r="Y384" s="38" t="s">
        <v>146</v>
      </c>
      <c r="Z384" s="38" t="s">
        <v>147</v>
      </c>
      <c r="AA384" s="113" t="str">
        <f t="array" ref="AA384">PROPER(G384)</f>
        <v>Offline</v>
      </c>
    </row>
    <row r="385">
      <c r="A385" s="110">
        <v>3.57943856E8</v>
      </c>
      <c r="B385" s="131">
        <v>41329.0</v>
      </c>
      <c r="C385" s="131">
        <v>41350.0</v>
      </c>
      <c r="D385" s="110" t="s">
        <v>93</v>
      </c>
      <c r="E385" s="110" t="s">
        <v>90</v>
      </c>
      <c r="F385" s="110">
        <v>7331.0</v>
      </c>
      <c r="G385" s="38" t="s">
        <v>42</v>
      </c>
      <c r="H385" s="110">
        <v>2396.0</v>
      </c>
      <c r="I385" s="132">
        <v>255.28</v>
      </c>
      <c r="J385" s="132">
        <v>159.42</v>
      </c>
      <c r="K385" s="39">
        <f t="shared" si="1"/>
        <v>611650.88</v>
      </c>
      <c r="L385" s="39">
        <f t="shared" si="2"/>
        <v>381970.32</v>
      </c>
      <c r="M385" s="39">
        <f t="shared" si="3"/>
        <v>229680.56</v>
      </c>
      <c r="N385" s="38" t="str">
        <f>VLOOKUP(F385,products!$A$2:$B$13,2,FALSE)</f>
        <v>Baby Food</v>
      </c>
      <c r="O385" s="133">
        <f t="shared" si="4"/>
        <v>0.6244907552</v>
      </c>
      <c r="P385" s="38" t="str">
        <f>VLOOKUP(E385,countries!A$2:E$250,3,false)</f>
        <v>Norway</v>
      </c>
      <c r="Q385" s="38" t="str">
        <f>VLOOKUP($E385,countries!$A$2:$E$250,4,false)</f>
        <v>Europe</v>
      </c>
      <c r="R385" s="38" t="str">
        <f>VLOOKUP($E385,countries!$A$2:$E$250,5,false)</f>
        <v>Northern Europe</v>
      </c>
      <c r="S385" s="38">
        <f t="shared" si="5"/>
        <v>21</v>
      </c>
      <c r="T385" s="38" t="s">
        <v>161</v>
      </c>
      <c r="U385" s="38">
        <v>2013.0</v>
      </c>
      <c r="V385" s="38">
        <v>2.0</v>
      </c>
      <c r="W385" s="38" t="s">
        <v>90</v>
      </c>
      <c r="X385" s="38" t="s">
        <v>183</v>
      </c>
      <c r="Y385" s="38" t="s">
        <v>146</v>
      </c>
      <c r="Z385" s="38" t="s">
        <v>170</v>
      </c>
      <c r="AA385" s="113" t="str">
        <f t="array" ref="AA385">PROPER(G385)</f>
        <v>Offline</v>
      </c>
    </row>
    <row r="386">
      <c r="A386" s="110">
        <v>3.58594453E8</v>
      </c>
      <c r="B386" s="131">
        <v>42724.0</v>
      </c>
      <c r="C386" s="131">
        <v>42768.0</v>
      </c>
      <c r="D386" s="110" t="s">
        <v>93</v>
      </c>
      <c r="E386" s="110" t="s">
        <v>137</v>
      </c>
      <c r="F386" s="110">
        <v>8969.0</v>
      </c>
      <c r="G386" s="38" t="s">
        <v>42</v>
      </c>
      <c r="H386" s="110">
        <v>4922.0</v>
      </c>
      <c r="I386" s="132">
        <v>152.58</v>
      </c>
      <c r="J386" s="132">
        <v>97.44</v>
      </c>
      <c r="K386" s="39">
        <f t="shared" si="1"/>
        <v>750998.76</v>
      </c>
      <c r="L386" s="39">
        <f t="shared" si="2"/>
        <v>479599.68</v>
      </c>
      <c r="M386" s="39">
        <f t="shared" si="3"/>
        <v>271399.08</v>
      </c>
      <c r="N386" s="38" t="str">
        <f>VLOOKUP(F386,products!$A$2:$B$13,2,FALSE)</f>
        <v>Snacks</v>
      </c>
      <c r="O386" s="133">
        <f t="shared" si="4"/>
        <v>0.6386158081</v>
      </c>
      <c r="P386" s="38" t="str">
        <f>VLOOKUP(E386,countries!A$2:E$250,3,false)</f>
        <v>Iceland</v>
      </c>
      <c r="Q386" s="38" t="str">
        <f>VLOOKUP($E386,countries!$A$2:$E$250,4,false)</f>
        <v>Europe</v>
      </c>
      <c r="R386" s="38" t="str">
        <f>VLOOKUP($E386,countries!$A$2:$E$250,5,false)</f>
        <v>Northern Europe</v>
      </c>
      <c r="S386" s="38">
        <f t="shared" si="5"/>
        <v>44</v>
      </c>
      <c r="T386" s="38" t="s">
        <v>182</v>
      </c>
      <c r="U386" s="38">
        <v>2016.0</v>
      </c>
      <c r="V386" s="38">
        <v>12.0</v>
      </c>
      <c r="W386" s="38" t="s">
        <v>137</v>
      </c>
      <c r="X386" s="38" t="s">
        <v>207</v>
      </c>
      <c r="Y386" s="38" t="s">
        <v>146</v>
      </c>
      <c r="Z386" s="38" t="s">
        <v>170</v>
      </c>
      <c r="AA386" s="113" t="str">
        <f t="array" ref="AA386">PROPER(G386)</f>
        <v>Offline</v>
      </c>
    </row>
    <row r="387">
      <c r="A387" s="110">
        <v>3.58624064E8</v>
      </c>
      <c r="B387" s="131">
        <v>42231.0</v>
      </c>
      <c r="C387" s="131">
        <v>42280.0</v>
      </c>
      <c r="D387" s="110" t="s">
        <v>95</v>
      </c>
      <c r="E387" s="110" t="s">
        <v>111</v>
      </c>
      <c r="F387" s="110">
        <v>2455.0</v>
      </c>
      <c r="G387" s="38" t="s">
        <v>42</v>
      </c>
      <c r="H387" s="110">
        <v>3685.0</v>
      </c>
      <c r="I387" s="132">
        <v>109.28</v>
      </c>
      <c r="J387" s="132">
        <v>35.84</v>
      </c>
      <c r="K387" s="39">
        <f t="shared" si="1"/>
        <v>402696.8</v>
      </c>
      <c r="L387" s="39">
        <f t="shared" si="2"/>
        <v>132070.4</v>
      </c>
      <c r="M387" s="39">
        <f t="shared" si="3"/>
        <v>270626.4</v>
      </c>
      <c r="N387" s="38" t="str">
        <f>VLOOKUP(F387,products!$A$2:$B$13,2,FALSE)</f>
        <v>Clothes</v>
      </c>
      <c r="O387" s="133">
        <f t="shared" si="4"/>
        <v>0.3279648609</v>
      </c>
      <c r="P387" s="38" t="str">
        <f>VLOOKUP(E387,countries!A$2:E$250,3,false)</f>
        <v>Russia</v>
      </c>
      <c r="Q387" s="38" t="str">
        <f>VLOOKUP($E387,countries!$A$2:$E$250,4,false)</f>
        <v>Europe</v>
      </c>
      <c r="R387" s="38" t="str">
        <f>VLOOKUP($E387,countries!$A$2:$E$250,5,false)</f>
        <v>Eastern Europe</v>
      </c>
      <c r="S387" s="38">
        <f t="shared" si="5"/>
        <v>49</v>
      </c>
      <c r="T387" s="38" t="s">
        <v>150</v>
      </c>
      <c r="U387" s="38">
        <v>2015.0</v>
      </c>
      <c r="V387" s="38">
        <v>8.0</v>
      </c>
      <c r="W387" s="38" t="s">
        <v>111</v>
      </c>
      <c r="X387" s="38" t="s">
        <v>179</v>
      </c>
      <c r="Y387" s="38" t="s">
        <v>146</v>
      </c>
      <c r="Z387" s="38" t="s">
        <v>155</v>
      </c>
      <c r="AA387" s="113" t="str">
        <f t="array" ref="AA387">PROPER(G387)</f>
        <v>Offline</v>
      </c>
    </row>
    <row r="388">
      <c r="A388" s="110">
        <v>3.59197413E8</v>
      </c>
      <c r="B388" s="131">
        <v>41665.0</v>
      </c>
      <c r="C388" s="131">
        <v>41706.0</v>
      </c>
      <c r="D388" s="110" t="s">
        <v>93</v>
      </c>
      <c r="E388" s="110" t="s">
        <v>102</v>
      </c>
      <c r="F388" s="110">
        <v>7331.0</v>
      </c>
      <c r="G388" s="38" t="s">
        <v>43</v>
      </c>
      <c r="H388" s="110">
        <v>3352.0</v>
      </c>
      <c r="I388" s="132">
        <v>255.28</v>
      </c>
      <c r="J388" s="132">
        <v>159.42</v>
      </c>
      <c r="K388" s="39">
        <f t="shared" si="1"/>
        <v>855698.56</v>
      </c>
      <c r="L388" s="39">
        <f t="shared" si="2"/>
        <v>534375.84</v>
      </c>
      <c r="M388" s="39">
        <f t="shared" si="3"/>
        <v>321322.72</v>
      </c>
      <c r="N388" s="38" t="str">
        <f>VLOOKUP(F388,products!$A$2:$B$13,2,FALSE)</f>
        <v>Baby Food</v>
      </c>
      <c r="O388" s="133">
        <f t="shared" si="4"/>
        <v>0.6244907552</v>
      </c>
      <c r="P388" s="38" t="str">
        <f>VLOOKUP(E388,countries!A$2:E$250,3,false)</f>
        <v>Georgia</v>
      </c>
      <c r="Q388" s="38" t="str">
        <f>VLOOKUP($E388,countries!$A$2:$E$250,4,false)</f>
        <v>Asia</v>
      </c>
      <c r="R388" s="38" t="str">
        <f>VLOOKUP($E388,countries!$A$2:$E$250,5,false)</f>
        <v>Western Asia</v>
      </c>
      <c r="S388" s="38">
        <f t="shared" si="5"/>
        <v>41</v>
      </c>
      <c r="T388" s="38" t="s">
        <v>161</v>
      </c>
      <c r="U388" s="38">
        <v>2014.0</v>
      </c>
      <c r="V388" s="38">
        <v>1.0</v>
      </c>
      <c r="W388" s="38" t="s">
        <v>102</v>
      </c>
      <c r="X388" s="38" t="s">
        <v>168</v>
      </c>
      <c r="Y388" s="38" t="s">
        <v>165</v>
      </c>
      <c r="Z388" s="38" t="s">
        <v>166</v>
      </c>
      <c r="AA388" s="113" t="str">
        <f t="array" ref="AA388">PROPER(G388)</f>
        <v>Online</v>
      </c>
    </row>
    <row r="389">
      <c r="A389" s="110">
        <v>3.59893071E8</v>
      </c>
      <c r="B389" s="131">
        <v>40746.0</v>
      </c>
      <c r="C389" s="131">
        <v>40761.0</v>
      </c>
      <c r="D389" s="110" t="s">
        <v>95</v>
      </c>
      <c r="E389" s="110" t="s">
        <v>126</v>
      </c>
      <c r="F389" s="110">
        <v>5988.0</v>
      </c>
      <c r="G389" s="38" t="s">
        <v>43</v>
      </c>
      <c r="H389" s="110">
        <v>9212.0</v>
      </c>
      <c r="I389" s="132">
        <v>154.06</v>
      </c>
      <c r="J389" s="132">
        <v>90.93</v>
      </c>
      <c r="K389" s="39">
        <f t="shared" si="1"/>
        <v>1419200.72</v>
      </c>
      <c r="L389" s="39">
        <f t="shared" si="2"/>
        <v>837647.16</v>
      </c>
      <c r="M389" s="39">
        <f t="shared" si="3"/>
        <v>581553.56</v>
      </c>
      <c r="N389" s="38" t="str">
        <f>VLOOKUP(F389,products!$A$2:$B$13,2,FALSE)</f>
        <v>Vegetables</v>
      </c>
      <c r="O389" s="133">
        <f t="shared" si="4"/>
        <v>0.5902245878</v>
      </c>
      <c r="P389" s="38" t="str">
        <f>VLOOKUP(E389,countries!A$2:E$250,3,false)</f>
        <v>Italy</v>
      </c>
      <c r="Q389" s="38" t="str">
        <f>VLOOKUP($E389,countries!$A$2:$E$250,4,false)</f>
        <v>Europe</v>
      </c>
      <c r="R389" s="38" t="str">
        <f>VLOOKUP($E389,countries!$A$2:$E$250,5,false)</f>
        <v>Southern Europe</v>
      </c>
      <c r="S389" s="38">
        <f t="shared" si="5"/>
        <v>15</v>
      </c>
      <c r="T389" s="38" t="s">
        <v>159</v>
      </c>
      <c r="U389" s="38">
        <v>2011.0</v>
      </c>
      <c r="V389" s="38">
        <v>7.0</v>
      </c>
      <c r="W389" s="38" t="s">
        <v>126</v>
      </c>
      <c r="X389" s="38" t="s">
        <v>197</v>
      </c>
      <c r="Y389" s="38" t="s">
        <v>146</v>
      </c>
      <c r="Z389" s="38" t="s">
        <v>147</v>
      </c>
      <c r="AA389" s="113" t="str">
        <f t="array" ref="AA389">PROPER(G389)</f>
        <v>Online</v>
      </c>
    </row>
    <row r="390">
      <c r="A390" s="110">
        <v>3.61311852E8</v>
      </c>
      <c r="B390" s="131">
        <v>42741.0</v>
      </c>
      <c r="C390" s="131">
        <v>42781.0</v>
      </c>
      <c r="D390" s="110" t="s">
        <v>93</v>
      </c>
      <c r="E390" s="110" t="s">
        <v>100</v>
      </c>
      <c r="F390" s="110">
        <v>7331.0</v>
      </c>
      <c r="G390" s="38" t="s">
        <v>42</v>
      </c>
      <c r="H390" s="110">
        <v>9061.0</v>
      </c>
      <c r="I390" s="132">
        <v>255.28</v>
      </c>
      <c r="J390" s="132">
        <v>159.42</v>
      </c>
      <c r="K390" s="39">
        <f t="shared" si="1"/>
        <v>2313092.08</v>
      </c>
      <c r="L390" s="39">
        <f t="shared" si="2"/>
        <v>1444504.62</v>
      </c>
      <c r="M390" s="39">
        <f t="shared" si="3"/>
        <v>868587.46</v>
      </c>
      <c r="N390" s="38" t="str">
        <f>VLOOKUP(F390,products!$A$2:$B$13,2,FALSE)</f>
        <v>Baby Food</v>
      </c>
      <c r="O390" s="133">
        <f t="shared" si="4"/>
        <v>0.6244907552</v>
      </c>
      <c r="P390" s="38" t="str">
        <f>VLOOKUP(E390,countries!A$2:E$250,3,false)</f>
        <v>Germany</v>
      </c>
      <c r="Q390" s="38" t="str">
        <f>VLOOKUP($E390,countries!$A$2:$E$250,4,false)</f>
        <v>Europe</v>
      </c>
      <c r="R390" s="38" t="str">
        <f>VLOOKUP($E390,countries!$A$2:$E$250,5,false)</f>
        <v>Western Europe</v>
      </c>
      <c r="S390" s="38">
        <f t="shared" si="5"/>
        <v>40</v>
      </c>
      <c r="T390" s="38" t="s">
        <v>161</v>
      </c>
      <c r="U390" s="38">
        <v>2017.0</v>
      </c>
      <c r="V390" s="38">
        <v>1.0</v>
      </c>
      <c r="W390" s="38" t="s">
        <v>100</v>
      </c>
      <c r="X390" s="38" t="s">
        <v>163</v>
      </c>
      <c r="Y390" s="38" t="s">
        <v>146</v>
      </c>
      <c r="Z390" s="38" t="s">
        <v>158</v>
      </c>
      <c r="AA390" s="113" t="str">
        <f t="array" ref="AA390">PROPER(G390)</f>
        <v>Offline</v>
      </c>
    </row>
    <row r="391">
      <c r="A391" s="110">
        <v>3.61659038E8</v>
      </c>
      <c r="B391" s="131">
        <v>41090.0</v>
      </c>
      <c r="C391" s="131">
        <v>41124.0</v>
      </c>
      <c r="D391" s="110" t="s">
        <v>93</v>
      </c>
      <c r="E391" s="110" t="s">
        <v>107</v>
      </c>
      <c r="F391" s="110">
        <v>2103.0</v>
      </c>
      <c r="G391" s="38" t="s">
        <v>43</v>
      </c>
      <c r="H391" s="110">
        <v>1801.0</v>
      </c>
      <c r="I391" s="132">
        <v>205.7</v>
      </c>
      <c r="J391" s="132">
        <v>117.11</v>
      </c>
      <c r="K391" s="39">
        <f t="shared" si="1"/>
        <v>370465.7</v>
      </c>
      <c r="L391" s="39">
        <f t="shared" si="2"/>
        <v>210915.11</v>
      </c>
      <c r="M391" s="39">
        <f t="shared" si="3"/>
        <v>159550.59</v>
      </c>
      <c r="N391" s="38" t="str">
        <f>VLOOKUP(F391,products!$A$2:$B$13,2,FALSE)</f>
        <v>Cereal</v>
      </c>
      <c r="O391" s="133">
        <f t="shared" si="4"/>
        <v>0.5693242586</v>
      </c>
      <c r="P391" s="38" t="str">
        <f>VLOOKUP(E391,countries!A$2:E$250,3,false)</f>
        <v>Luxembourg</v>
      </c>
      <c r="Q391" s="38" t="str">
        <f>VLOOKUP($E391,countries!$A$2:$E$250,4,false)</f>
        <v>Europe</v>
      </c>
      <c r="R391" s="38" t="str">
        <f>VLOOKUP($E391,countries!$A$2:$E$250,5,false)</f>
        <v>Western Europe</v>
      </c>
      <c r="S391" s="38">
        <f t="shared" si="5"/>
        <v>34</v>
      </c>
      <c r="T391" s="38" t="s">
        <v>144</v>
      </c>
      <c r="U391" s="38">
        <v>2012.0</v>
      </c>
      <c r="V391" s="38">
        <v>6.0</v>
      </c>
      <c r="W391" s="38" t="s">
        <v>107</v>
      </c>
      <c r="X391" s="38" t="s">
        <v>174</v>
      </c>
      <c r="Y391" s="38" t="s">
        <v>146</v>
      </c>
      <c r="Z391" s="38" t="s">
        <v>158</v>
      </c>
      <c r="AA391" s="113" t="str">
        <f t="array" ref="AA391">PROPER(G391)</f>
        <v>Online</v>
      </c>
    </row>
    <row r="392">
      <c r="A392" s="110">
        <v>3.61725556E8</v>
      </c>
      <c r="B392" s="131">
        <v>42548.0</v>
      </c>
      <c r="C392" s="131">
        <v>42569.0</v>
      </c>
      <c r="D392" s="110" t="s">
        <v>93</v>
      </c>
      <c r="E392" s="110" t="s">
        <v>120</v>
      </c>
      <c r="F392" s="110">
        <v>5988.0</v>
      </c>
      <c r="G392" s="38" t="s">
        <v>42</v>
      </c>
      <c r="H392" s="110">
        <v>1485.0</v>
      </c>
      <c r="I392" s="132">
        <v>154.06</v>
      </c>
      <c r="J392" s="132">
        <v>90.93</v>
      </c>
      <c r="K392" s="39">
        <f t="shared" si="1"/>
        <v>228779.1</v>
      </c>
      <c r="L392" s="39">
        <f t="shared" si="2"/>
        <v>135031.05</v>
      </c>
      <c r="M392" s="39">
        <f t="shared" si="3"/>
        <v>93748.05</v>
      </c>
      <c r="N392" s="38" t="str">
        <f>VLOOKUP(F392,products!$A$2:$B$13,2,FALSE)</f>
        <v>Vegetables</v>
      </c>
      <c r="O392" s="133">
        <f t="shared" si="4"/>
        <v>0.5902245878</v>
      </c>
      <c r="P392" s="38" t="str">
        <f>VLOOKUP(E392,countries!A$2:E$250,3,false)</f>
        <v>San Marino</v>
      </c>
      <c r="Q392" s="38" t="str">
        <f>VLOOKUP($E392,countries!$A$2:$E$250,4,false)</f>
        <v>Europe</v>
      </c>
      <c r="R392" s="38" t="str">
        <f>VLOOKUP($E392,countries!$A$2:$E$250,5,false)</f>
        <v>Southern Europe</v>
      </c>
      <c r="S392" s="38">
        <f t="shared" si="5"/>
        <v>21</v>
      </c>
      <c r="T392" s="38" t="s">
        <v>159</v>
      </c>
      <c r="U392" s="38">
        <v>2016.0</v>
      </c>
      <c r="V392" s="38">
        <v>6.0</v>
      </c>
      <c r="W392" s="38" t="s">
        <v>120</v>
      </c>
      <c r="X392" s="38" t="s">
        <v>191</v>
      </c>
      <c r="Y392" s="38" t="s">
        <v>146</v>
      </c>
      <c r="Z392" s="38" t="s">
        <v>147</v>
      </c>
      <c r="AA392" s="113" t="str">
        <f t="array" ref="AA392">PROPER(G392)</f>
        <v>Offline</v>
      </c>
    </row>
    <row r="393">
      <c r="A393" s="110">
        <v>3.62258565E8</v>
      </c>
      <c r="B393" s="131">
        <v>41972.0</v>
      </c>
      <c r="C393" s="131">
        <v>41987.0</v>
      </c>
      <c r="D393" s="110" t="s">
        <v>10</v>
      </c>
      <c r="E393" s="110" t="s">
        <v>101</v>
      </c>
      <c r="F393" s="110">
        <v>4594.0</v>
      </c>
      <c r="G393" s="38" t="s">
        <v>42</v>
      </c>
      <c r="H393" s="110">
        <v>9214.0</v>
      </c>
      <c r="I393" s="132">
        <v>9.33</v>
      </c>
      <c r="J393" s="132">
        <v>6.92</v>
      </c>
      <c r="K393" s="39">
        <f t="shared" si="1"/>
        <v>85966.62</v>
      </c>
      <c r="L393" s="39">
        <f t="shared" si="2"/>
        <v>63760.88</v>
      </c>
      <c r="M393" s="39">
        <f t="shared" si="3"/>
        <v>22205.74</v>
      </c>
      <c r="N393" s="38" t="str">
        <f>VLOOKUP(F393,products!$A$2:$B$13,2,FALSE)</f>
        <v>Fruits</v>
      </c>
      <c r="O393" s="133">
        <f t="shared" si="4"/>
        <v>0.741693462</v>
      </c>
      <c r="P393" s="38" t="str">
        <f>VLOOKUP(E393,countries!A$2:E$250,3,false)</f>
        <v>Armenia</v>
      </c>
      <c r="Q393" s="38" t="str">
        <f>VLOOKUP($E393,countries!$A$2:$E$250,4,false)</f>
        <v>Asia</v>
      </c>
      <c r="R393" s="38" t="str">
        <f>VLOOKUP($E393,countries!$A$2:$E$250,5,false)</f>
        <v>Western Asia</v>
      </c>
      <c r="S393" s="38">
        <f t="shared" si="5"/>
        <v>15</v>
      </c>
      <c r="T393" s="38" t="s">
        <v>156</v>
      </c>
      <c r="U393" s="38">
        <v>2014.0</v>
      </c>
      <c r="V393" s="38">
        <v>11.0</v>
      </c>
      <c r="W393" s="38" t="s">
        <v>101</v>
      </c>
      <c r="X393" s="38" t="s">
        <v>164</v>
      </c>
      <c r="Y393" s="38" t="s">
        <v>165</v>
      </c>
      <c r="Z393" s="38" t="s">
        <v>166</v>
      </c>
      <c r="AA393" s="113" t="str">
        <f t="array" ref="AA393">PROPER(G393)</f>
        <v>Offline</v>
      </c>
    </row>
    <row r="394">
      <c r="A394" s="110">
        <v>3.64715468E8</v>
      </c>
      <c r="B394" s="131">
        <v>40954.0</v>
      </c>
      <c r="C394" s="131">
        <v>40958.0</v>
      </c>
      <c r="D394" s="110" t="s">
        <v>89</v>
      </c>
      <c r="E394" s="110" t="s">
        <v>99</v>
      </c>
      <c r="F394" s="110">
        <v>8293.0</v>
      </c>
      <c r="G394" s="38" t="s">
        <v>42</v>
      </c>
      <c r="H394" s="110">
        <v>6267.0</v>
      </c>
      <c r="I394" s="132">
        <v>437.2</v>
      </c>
      <c r="J394" s="132">
        <v>263.33</v>
      </c>
      <c r="K394" s="39">
        <f t="shared" si="1"/>
        <v>2739932.4</v>
      </c>
      <c r="L394" s="39">
        <f t="shared" si="2"/>
        <v>1650289.11</v>
      </c>
      <c r="M394" s="39">
        <f t="shared" si="3"/>
        <v>1089643.29</v>
      </c>
      <c r="N394" s="38" t="str">
        <f>VLOOKUP(F394,products!$A$2:$B$13,2,FALSE)</f>
        <v>Cosmetics</v>
      </c>
      <c r="O394" s="133">
        <f t="shared" si="4"/>
        <v>0.6023101555</v>
      </c>
      <c r="P394" s="38" t="str">
        <f>VLOOKUP(E394,countries!A$2:E$250,3,false)</f>
        <v>Croatia</v>
      </c>
      <c r="Q394" s="38" t="str">
        <f>VLOOKUP($E394,countries!$A$2:$E$250,4,false)</f>
        <v>Europe</v>
      </c>
      <c r="R394" s="38" t="str">
        <f>VLOOKUP($E394,countries!$A$2:$E$250,5,false)</f>
        <v>Southern Europe</v>
      </c>
      <c r="S394" s="38">
        <f t="shared" si="5"/>
        <v>4</v>
      </c>
      <c r="T394" s="38" t="s">
        <v>178</v>
      </c>
      <c r="U394" s="38">
        <v>2012.0</v>
      </c>
      <c r="V394" s="38">
        <v>2.0</v>
      </c>
      <c r="W394" s="38" t="s">
        <v>99</v>
      </c>
      <c r="X394" s="38" t="s">
        <v>162</v>
      </c>
      <c r="Y394" s="38" t="s">
        <v>146</v>
      </c>
      <c r="Z394" s="38" t="s">
        <v>147</v>
      </c>
      <c r="AA394" s="113" t="str">
        <f t="array" ref="AA394">PROPER(G394)</f>
        <v>Offline</v>
      </c>
    </row>
    <row r="395">
      <c r="A395" s="110">
        <v>3.64854514E8</v>
      </c>
      <c r="B395" s="131">
        <v>41165.0</v>
      </c>
      <c r="C395" s="131">
        <v>41185.0</v>
      </c>
      <c r="D395" s="110" t="s">
        <v>89</v>
      </c>
      <c r="E395" s="110" t="e">
        <v>#N/A</v>
      </c>
      <c r="F395" s="110">
        <v>7331.0</v>
      </c>
      <c r="G395" s="38" t="s">
        <v>42</v>
      </c>
      <c r="H395" s="110">
        <v>7413.0</v>
      </c>
      <c r="I395" s="132">
        <v>255.28</v>
      </c>
      <c r="J395" s="132">
        <v>159.42</v>
      </c>
      <c r="K395" s="39">
        <f t="shared" si="1"/>
        <v>1892390.64</v>
      </c>
      <c r="L395" s="39">
        <f t="shared" si="2"/>
        <v>1181780.46</v>
      </c>
      <c r="M395" s="39">
        <f t="shared" si="3"/>
        <v>710610.18</v>
      </c>
      <c r="N395" s="38" t="str">
        <f>VLOOKUP(F395,products!$A$2:$B$13,2,FALSE)</f>
        <v>Baby Food</v>
      </c>
      <c r="O395" s="133">
        <f t="shared" si="4"/>
        <v>0.6244907552</v>
      </c>
      <c r="P395" s="38" t="str">
        <f>VLOOKUP(E395,countries!A$2:E$250,3,false)</f>
        <v>#N/A</v>
      </c>
      <c r="Q395" s="38" t="str">
        <f>VLOOKUP($E395,countries!$A$2:$E$250,4,false)</f>
        <v>#N/A</v>
      </c>
      <c r="R395" s="38" t="str">
        <f>VLOOKUP($E395,countries!$A$2:$E$250,5,false)</f>
        <v>#N/A</v>
      </c>
      <c r="S395" s="38">
        <f t="shared" si="5"/>
        <v>20</v>
      </c>
      <c r="T395" s="38" t="s">
        <v>161</v>
      </c>
      <c r="U395" s="38">
        <v>2012.0</v>
      </c>
      <c r="V395" s="38">
        <v>9.0</v>
      </c>
      <c r="W395" s="38" t="s">
        <v>92</v>
      </c>
      <c r="X395" s="38" t="s">
        <v>149</v>
      </c>
      <c r="Y395" s="38" t="s">
        <v>149</v>
      </c>
      <c r="Z395" s="38" t="s">
        <v>149</v>
      </c>
      <c r="AA395" s="113" t="str">
        <f t="array" ref="AA395">PROPER(G395)</f>
        <v>Offline</v>
      </c>
    </row>
    <row r="396">
      <c r="A396" s="110">
        <v>3.67328155E8</v>
      </c>
      <c r="B396" s="131">
        <v>40710.0</v>
      </c>
      <c r="C396" s="131">
        <v>40754.0</v>
      </c>
      <c r="D396" s="110" t="s">
        <v>93</v>
      </c>
      <c r="E396" s="110" t="s">
        <v>97</v>
      </c>
      <c r="F396" s="110">
        <v>7940.0</v>
      </c>
      <c r="G396" s="38" t="s">
        <v>43</v>
      </c>
      <c r="H396" s="110">
        <v>9419.0</v>
      </c>
      <c r="I396" s="132">
        <v>668.27</v>
      </c>
      <c r="J396" s="132">
        <v>502.54</v>
      </c>
      <c r="K396" s="39">
        <f t="shared" si="1"/>
        <v>6294435.13</v>
      </c>
      <c r="L396" s="39">
        <f t="shared" si="2"/>
        <v>4733424.26</v>
      </c>
      <c r="M396" s="39">
        <f t="shared" si="3"/>
        <v>1561010.87</v>
      </c>
      <c r="N396" s="38" t="str">
        <f>VLOOKUP(F396,products!$A$2:$B$13,2,FALSE)</f>
        <v>Household</v>
      </c>
      <c r="O396" s="133">
        <f t="shared" si="4"/>
        <v>0.7520014365</v>
      </c>
      <c r="P396" s="38" t="str">
        <f>VLOOKUP(E396,countries!A$2:E$250,3,false)</f>
        <v>France</v>
      </c>
      <c r="Q396" s="38" t="str">
        <f>VLOOKUP($E396,countries!$A$2:$E$250,4,false)</f>
        <v>Europe</v>
      </c>
      <c r="R396" s="38" t="str">
        <f>VLOOKUP($E396,countries!$A$2:$E$250,5,false)</f>
        <v>Western Europe</v>
      </c>
      <c r="S396" s="38">
        <f t="shared" si="5"/>
        <v>44</v>
      </c>
      <c r="T396" s="38" t="s">
        <v>148</v>
      </c>
      <c r="U396" s="38">
        <v>2011.0</v>
      </c>
      <c r="V396" s="38">
        <v>6.0</v>
      </c>
      <c r="W396" s="38" t="s">
        <v>97</v>
      </c>
      <c r="X396" s="38" t="s">
        <v>157</v>
      </c>
      <c r="Y396" s="38" t="s">
        <v>146</v>
      </c>
      <c r="Z396" s="38" t="s">
        <v>158</v>
      </c>
      <c r="AA396" s="113" t="str">
        <f t="array" ref="AA396">PROPER(G396)</f>
        <v>Online</v>
      </c>
    </row>
    <row r="397">
      <c r="A397" s="110">
        <v>3.68865811E8</v>
      </c>
      <c r="B397" s="131">
        <v>41528.0</v>
      </c>
      <c r="C397" s="131">
        <v>41563.0</v>
      </c>
      <c r="D397" s="110" t="s">
        <v>93</v>
      </c>
      <c r="E397" s="110" t="s">
        <v>100</v>
      </c>
      <c r="F397" s="110">
        <v>8681.0</v>
      </c>
      <c r="G397" s="38" t="s">
        <v>43</v>
      </c>
      <c r="H397" s="110">
        <v>4445.0</v>
      </c>
      <c r="I397" s="132">
        <v>651.21</v>
      </c>
      <c r="J397" s="132">
        <v>524.96</v>
      </c>
      <c r="K397" s="39">
        <f t="shared" si="1"/>
        <v>2894628.45</v>
      </c>
      <c r="L397" s="39">
        <f t="shared" si="2"/>
        <v>2333447.2</v>
      </c>
      <c r="M397" s="39">
        <f t="shared" si="3"/>
        <v>561181.25</v>
      </c>
      <c r="N397" s="38" t="str">
        <f>VLOOKUP(F397,products!$A$2:$B$13,2,FALSE)</f>
        <v>Office Supplies</v>
      </c>
      <c r="O397" s="133">
        <f t="shared" si="4"/>
        <v>0.806130127</v>
      </c>
      <c r="P397" s="38" t="str">
        <f>VLOOKUP(E397,countries!A$2:E$250,3,false)</f>
        <v>Germany</v>
      </c>
      <c r="Q397" s="38" t="str">
        <f>VLOOKUP($E397,countries!$A$2:$E$250,4,false)</f>
        <v>Europe</v>
      </c>
      <c r="R397" s="38" t="str">
        <f>VLOOKUP($E397,countries!$A$2:$E$250,5,false)</f>
        <v>Western Europe</v>
      </c>
      <c r="S397" s="38">
        <f t="shared" si="5"/>
        <v>35</v>
      </c>
      <c r="T397" s="38" t="s">
        <v>153</v>
      </c>
      <c r="U397" s="38">
        <v>2013.0</v>
      </c>
      <c r="V397" s="38">
        <v>9.0</v>
      </c>
      <c r="W397" s="38" t="s">
        <v>100</v>
      </c>
      <c r="X397" s="38" t="s">
        <v>163</v>
      </c>
      <c r="Y397" s="38" t="s">
        <v>146</v>
      </c>
      <c r="Z397" s="38" t="s">
        <v>158</v>
      </c>
      <c r="AA397" s="113" t="str">
        <f t="array" ref="AA397">PROPER(G397)</f>
        <v>Online</v>
      </c>
    </row>
    <row r="398">
      <c r="A398" s="110">
        <v>3.69170081E8</v>
      </c>
      <c r="B398" s="131">
        <v>40631.0</v>
      </c>
      <c r="C398" s="131">
        <v>40636.0</v>
      </c>
      <c r="D398" s="110" t="s">
        <v>95</v>
      </c>
      <c r="E398" s="110" t="s">
        <v>132</v>
      </c>
      <c r="F398" s="110">
        <v>7331.0</v>
      </c>
      <c r="G398" s="38" t="s">
        <v>42</v>
      </c>
      <c r="H398" s="110">
        <v>4486.0</v>
      </c>
      <c r="I398" s="132">
        <v>255.28</v>
      </c>
      <c r="J398" s="132">
        <v>159.42</v>
      </c>
      <c r="K398" s="39">
        <f t="shared" si="1"/>
        <v>1145186.08</v>
      </c>
      <c r="L398" s="39">
        <f t="shared" si="2"/>
        <v>715158.12</v>
      </c>
      <c r="M398" s="39">
        <f t="shared" si="3"/>
        <v>430027.96</v>
      </c>
      <c r="N398" s="38" t="str">
        <f>VLOOKUP(F398,products!$A$2:$B$13,2,FALSE)</f>
        <v>Baby Food</v>
      </c>
      <c r="O398" s="133">
        <f t="shared" si="4"/>
        <v>0.6244907552</v>
      </c>
      <c r="P398" s="38" t="str">
        <f>VLOOKUP(E398,countries!A$2:E$250,3,false)</f>
        <v>Sweden</v>
      </c>
      <c r="Q398" s="38" t="str">
        <f>VLOOKUP($E398,countries!$A$2:$E$250,4,false)</f>
        <v>Europe</v>
      </c>
      <c r="R398" s="38" t="str">
        <f>VLOOKUP($E398,countries!$A$2:$E$250,5,false)</f>
        <v>Northern Europe</v>
      </c>
      <c r="S398" s="38">
        <f t="shared" si="5"/>
        <v>5</v>
      </c>
      <c r="T398" s="38" t="s">
        <v>161</v>
      </c>
      <c r="U398" s="38">
        <v>2011.0</v>
      </c>
      <c r="V398" s="38">
        <v>3.0</v>
      </c>
      <c r="W398" s="38" t="s">
        <v>132</v>
      </c>
      <c r="X398" s="38" t="s">
        <v>203</v>
      </c>
      <c r="Y398" s="38" t="s">
        <v>146</v>
      </c>
      <c r="Z398" s="38" t="s">
        <v>170</v>
      </c>
      <c r="AA398" s="113" t="str">
        <f t="array" ref="AA398">PROPER(G398)</f>
        <v>Offline</v>
      </c>
    </row>
    <row r="399">
      <c r="A399" s="110">
        <v>3.70484149E8</v>
      </c>
      <c r="B399" s="131">
        <v>42365.0</v>
      </c>
      <c r="C399" s="131">
        <v>42388.0</v>
      </c>
      <c r="D399" s="110" t="s">
        <v>10</v>
      </c>
      <c r="E399" s="110" t="e">
        <v>#N/A</v>
      </c>
      <c r="F399" s="110">
        <v>1270.0</v>
      </c>
      <c r="G399" s="38" t="s">
        <v>43</v>
      </c>
      <c r="H399" s="110">
        <v>3348.0</v>
      </c>
      <c r="I399" s="132">
        <v>47.45</v>
      </c>
      <c r="J399" s="132">
        <v>31.79</v>
      </c>
      <c r="K399" s="39">
        <f t="shared" si="1"/>
        <v>158862.6</v>
      </c>
      <c r="L399" s="39">
        <f t="shared" si="2"/>
        <v>106432.92</v>
      </c>
      <c r="M399" s="39">
        <f t="shared" si="3"/>
        <v>52429.68</v>
      </c>
      <c r="N399" s="38" t="str">
        <f>VLOOKUP(F399,products!$A$2:$B$13,2,FALSE)</f>
        <v>Beverages</v>
      </c>
      <c r="O399" s="133">
        <f t="shared" si="4"/>
        <v>0.6699683878</v>
      </c>
      <c r="P399" s="38" t="str">
        <f>VLOOKUP(E399,countries!A$2:E$250,3,false)</f>
        <v>#N/A</v>
      </c>
      <c r="Q399" s="38" t="str">
        <f>VLOOKUP($E399,countries!$A$2:$E$250,4,false)</f>
        <v>#N/A</v>
      </c>
      <c r="R399" s="38" t="str">
        <f>VLOOKUP($E399,countries!$A$2:$E$250,5,false)</f>
        <v>#N/A</v>
      </c>
      <c r="S399" s="38">
        <f t="shared" si="5"/>
        <v>23</v>
      </c>
      <c r="T399" s="38" t="s">
        <v>152</v>
      </c>
      <c r="U399" s="38">
        <v>2015.0</v>
      </c>
      <c r="V399" s="38">
        <v>12.0</v>
      </c>
      <c r="W399" s="38" t="s">
        <v>92</v>
      </c>
      <c r="X399" s="38" t="s">
        <v>149</v>
      </c>
      <c r="Y399" s="38" t="s">
        <v>149</v>
      </c>
      <c r="Z399" s="38" t="s">
        <v>149</v>
      </c>
      <c r="AA399" s="113" t="str">
        <f t="array" ref="AA399">PROPER(G399)</f>
        <v>Online</v>
      </c>
    </row>
    <row r="400">
      <c r="A400" s="110">
        <v>3.71814954E8</v>
      </c>
      <c r="B400" s="131">
        <v>41896.0</v>
      </c>
      <c r="C400" s="131">
        <v>41920.0</v>
      </c>
      <c r="D400" s="110" t="s">
        <v>89</v>
      </c>
      <c r="E400" s="110" t="s">
        <v>111</v>
      </c>
      <c r="F400" s="110">
        <v>3127.0</v>
      </c>
      <c r="G400" s="38" t="s">
        <v>43</v>
      </c>
      <c r="H400" s="110">
        <v>7162.0</v>
      </c>
      <c r="I400" s="132">
        <v>81.73</v>
      </c>
      <c r="J400" s="132">
        <v>56.67</v>
      </c>
      <c r="K400" s="39">
        <f t="shared" si="1"/>
        <v>585350.26</v>
      </c>
      <c r="L400" s="39">
        <f t="shared" si="2"/>
        <v>405870.54</v>
      </c>
      <c r="M400" s="39">
        <f t="shared" si="3"/>
        <v>179479.72</v>
      </c>
      <c r="N400" s="38" t="str">
        <f>VLOOKUP(F400,products!$A$2:$B$13,2,FALSE)</f>
        <v>Personal Care</v>
      </c>
      <c r="O400" s="133">
        <f t="shared" si="4"/>
        <v>0.6933806436</v>
      </c>
      <c r="P400" s="38" t="str">
        <f>VLOOKUP(E400,countries!A$2:E$250,3,false)</f>
        <v>Russia</v>
      </c>
      <c r="Q400" s="38" t="str">
        <f>VLOOKUP($E400,countries!$A$2:$E$250,4,false)</f>
        <v>Europe</v>
      </c>
      <c r="R400" s="38" t="str">
        <f>VLOOKUP($E400,countries!$A$2:$E$250,5,false)</f>
        <v>Eastern Europe</v>
      </c>
      <c r="S400" s="38">
        <f t="shared" si="5"/>
        <v>24</v>
      </c>
      <c r="T400" s="38" t="s">
        <v>185</v>
      </c>
      <c r="U400" s="38">
        <v>2014.0</v>
      </c>
      <c r="V400" s="38">
        <v>9.0</v>
      </c>
      <c r="W400" s="38" t="s">
        <v>111</v>
      </c>
      <c r="X400" s="38" t="s">
        <v>179</v>
      </c>
      <c r="Y400" s="38" t="s">
        <v>146</v>
      </c>
      <c r="Z400" s="38" t="s">
        <v>155</v>
      </c>
      <c r="AA400" s="113" t="str">
        <f t="array" ref="AA400">PROPER(G400)</f>
        <v>Online</v>
      </c>
    </row>
    <row r="401">
      <c r="A401" s="110">
        <v>3.74663245E8</v>
      </c>
      <c r="B401" s="131">
        <v>40856.0</v>
      </c>
      <c r="C401" s="131">
        <v>40873.0</v>
      </c>
      <c r="D401" s="110" t="s">
        <v>10</v>
      </c>
      <c r="E401" s="110" t="e">
        <v>#N/A</v>
      </c>
      <c r="F401" s="110">
        <v>8681.0</v>
      </c>
      <c r="G401" s="38" t="s">
        <v>43</v>
      </c>
      <c r="H401" s="110">
        <v>35.0</v>
      </c>
      <c r="I401" s="132">
        <v>651.21</v>
      </c>
      <c r="J401" s="132">
        <v>524.96</v>
      </c>
      <c r="K401" s="39">
        <f t="shared" si="1"/>
        <v>22792.35</v>
      </c>
      <c r="L401" s="39">
        <f t="shared" si="2"/>
        <v>18373.6</v>
      </c>
      <c r="M401" s="39">
        <f t="shared" si="3"/>
        <v>4418.75</v>
      </c>
      <c r="N401" s="38" t="str">
        <f>VLOOKUP(F401,products!$A$2:$B$13,2,FALSE)</f>
        <v>Office Supplies</v>
      </c>
      <c r="O401" s="133">
        <f t="shared" si="4"/>
        <v>0.806130127</v>
      </c>
      <c r="P401" s="38" t="str">
        <f>VLOOKUP(E401,countries!A$2:E$250,3,false)</f>
        <v>#N/A</v>
      </c>
      <c r="Q401" s="38" t="str">
        <f>VLOOKUP($E401,countries!$A$2:$E$250,4,false)</f>
        <v>#N/A</v>
      </c>
      <c r="R401" s="38" t="str">
        <f>VLOOKUP($E401,countries!$A$2:$E$250,5,false)</f>
        <v>#N/A</v>
      </c>
      <c r="S401" s="38">
        <f t="shared" si="5"/>
        <v>17</v>
      </c>
      <c r="T401" s="38" t="s">
        <v>153</v>
      </c>
      <c r="U401" s="38">
        <v>2011.0</v>
      </c>
      <c r="V401" s="38">
        <v>11.0</v>
      </c>
      <c r="W401" s="38" t="s">
        <v>92</v>
      </c>
      <c r="X401" s="38" t="s">
        <v>149</v>
      </c>
      <c r="Y401" s="38" t="s">
        <v>149</v>
      </c>
      <c r="Z401" s="38" t="s">
        <v>149</v>
      </c>
      <c r="AA401" s="113" t="str">
        <f t="array" ref="AA401">PROPER(G401)</f>
        <v>Online</v>
      </c>
    </row>
    <row r="402">
      <c r="A402" s="110">
        <v>3.74848639E8</v>
      </c>
      <c r="B402" s="131">
        <v>41137.0</v>
      </c>
      <c r="C402" s="131">
        <v>41158.0</v>
      </c>
      <c r="D402" s="110" t="s">
        <v>95</v>
      </c>
      <c r="E402" s="110" t="s">
        <v>98</v>
      </c>
      <c r="F402" s="110">
        <v>2455.0</v>
      </c>
      <c r="G402" s="38" t="s">
        <v>43</v>
      </c>
      <c r="H402" s="110">
        <v>4897.0</v>
      </c>
      <c r="I402" s="132">
        <v>109.28</v>
      </c>
      <c r="J402" s="132">
        <v>35.84</v>
      </c>
      <c r="K402" s="39">
        <f t="shared" si="1"/>
        <v>535144.16</v>
      </c>
      <c r="L402" s="39">
        <f t="shared" si="2"/>
        <v>175508.48</v>
      </c>
      <c r="M402" s="39">
        <f t="shared" si="3"/>
        <v>359635.68</v>
      </c>
      <c r="N402" s="38" t="str">
        <f>VLOOKUP(F402,products!$A$2:$B$13,2,FALSE)</f>
        <v>Clothes</v>
      </c>
      <c r="O402" s="133">
        <f t="shared" si="4"/>
        <v>0.3279648609</v>
      </c>
      <c r="P402" s="38" t="str">
        <f>VLOOKUP(E402,countries!A$2:E$250,3,false)</f>
        <v>Spain</v>
      </c>
      <c r="Q402" s="38" t="str">
        <f>VLOOKUP($E402,countries!$A$2:$E$250,4,false)</f>
        <v>Europe</v>
      </c>
      <c r="R402" s="38" t="str">
        <f>VLOOKUP($E402,countries!$A$2:$E$250,5,false)</f>
        <v>Southern Europe</v>
      </c>
      <c r="S402" s="38">
        <f t="shared" si="5"/>
        <v>21</v>
      </c>
      <c r="T402" s="38" t="s">
        <v>150</v>
      </c>
      <c r="U402" s="38">
        <v>2012.0</v>
      </c>
      <c r="V402" s="38">
        <v>8.0</v>
      </c>
      <c r="W402" s="38" t="s">
        <v>98</v>
      </c>
      <c r="X402" s="38" t="s">
        <v>160</v>
      </c>
      <c r="Y402" s="38" t="s">
        <v>146</v>
      </c>
      <c r="Z402" s="38" t="s">
        <v>147</v>
      </c>
      <c r="AA402" s="113" t="str">
        <f t="array" ref="AA402">PROPER(G402)</f>
        <v>Online</v>
      </c>
    </row>
    <row r="403">
      <c r="A403" s="110">
        <v>3.78216636E8</v>
      </c>
      <c r="B403" s="131">
        <v>42549.0</v>
      </c>
      <c r="C403" s="131">
        <v>42590.0</v>
      </c>
      <c r="D403" s="110" t="s">
        <v>95</v>
      </c>
      <c r="E403" s="110" t="s">
        <v>110</v>
      </c>
      <c r="F403" s="110">
        <v>2455.0</v>
      </c>
      <c r="G403" s="38" t="s">
        <v>43</v>
      </c>
      <c r="H403" s="110">
        <v>1562.0</v>
      </c>
      <c r="I403" s="132">
        <v>109.28</v>
      </c>
      <c r="J403" s="132">
        <v>35.84</v>
      </c>
      <c r="K403" s="39">
        <f t="shared" si="1"/>
        <v>170695.36</v>
      </c>
      <c r="L403" s="39">
        <f t="shared" si="2"/>
        <v>55982.08</v>
      </c>
      <c r="M403" s="39">
        <f t="shared" si="3"/>
        <v>114713.28</v>
      </c>
      <c r="N403" s="38" t="str">
        <f>VLOOKUP(F403,products!$A$2:$B$13,2,FALSE)</f>
        <v>Clothes</v>
      </c>
      <c r="O403" s="133">
        <f t="shared" si="4"/>
        <v>0.3279648609</v>
      </c>
      <c r="P403" s="38" t="str">
        <f>VLOOKUP(E403,countries!A$2:E$250,3,false)</f>
        <v>Lithuania</v>
      </c>
      <c r="Q403" s="38" t="str">
        <f>VLOOKUP($E403,countries!$A$2:$E$250,4,false)</f>
        <v>Europe</v>
      </c>
      <c r="R403" s="38" t="str">
        <f>VLOOKUP($E403,countries!$A$2:$E$250,5,false)</f>
        <v>Northern Europe</v>
      </c>
      <c r="S403" s="38">
        <f t="shared" si="5"/>
        <v>41</v>
      </c>
      <c r="T403" s="38" t="s">
        <v>150</v>
      </c>
      <c r="U403" s="38">
        <v>2016.0</v>
      </c>
      <c r="V403" s="38">
        <v>6.0</v>
      </c>
      <c r="W403" s="38" t="s">
        <v>110</v>
      </c>
      <c r="X403" s="38" t="s">
        <v>177</v>
      </c>
      <c r="Y403" s="38" t="s">
        <v>146</v>
      </c>
      <c r="Z403" s="38" t="s">
        <v>170</v>
      </c>
      <c r="AA403" s="113" t="str">
        <f t="array" ref="AA403">PROPER(G403)</f>
        <v>Online</v>
      </c>
    </row>
    <row r="404">
      <c r="A404" s="110">
        <v>3.78714883E8</v>
      </c>
      <c r="B404" s="131">
        <v>41229.0</v>
      </c>
      <c r="C404" s="131">
        <v>41259.0</v>
      </c>
      <c r="D404" s="110" t="s">
        <v>89</v>
      </c>
      <c r="E404" s="110" t="s">
        <v>94</v>
      </c>
      <c r="F404" s="110">
        <v>8293.0</v>
      </c>
      <c r="G404" s="38" t="s">
        <v>42</v>
      </c>
      <c r="H404" s="110">
        <v>9005.0</v>
      </c>
      <c r="I404" s="132">
        <v>437.2</v>
      </c>
      <c r="J404" s="132">
        <v>263.33</v>
      </c>
      <c r="K404" s="39">
        <f t="shared" si="1"/>
        <v>3936986</v>
      </c>
      <c r="L404" s="39">
        <f t="shared" si="2"/>
        <v>2371286.65</v>
      </c>
      <c r="M404" s="39">
        <f t="shared" si="3"/>
        <v>1565699.35</v>
      </c>
      <c r="N404" s="38" t="str">
        <f>VLOOKUP(F404,products!$A$2:$B$13,2,FALSE)</f>
        <v>Cosmetics</v>
      </c>
      <c r="O404" s="133">
        <f t="shared" si="4"/>
        <v>0.6023101555</v>
      </c>
      <c r="P404" s="38" t="str">
        <f>VLOOKUP(E404,countries!A$2:E$250,3,false)</f>
        <v>Montenegro</v>
      </c>
      <c r="Q404" s="38" t="str">
        <f>VLOOKUP($E404,countries!$A$2:$E$250,4,false)</f>
        <v>Europe</v>
      </c>
      <c r="R404" s="38" t="str">
        <f>VLOOKUP($E404,countries!$A$2:$E$250,5,false)</f>
        <v>Southern Europe</v>
      </c>
      <c r="S404" s="38">
        <f t="shared" si="5"/>
        <v>30</v>
      </c>
      <c r="T404" s="38" t="s">
        <v>178</v>
      </c>
      <c r="U404" s="38">
        <v>2012.0</v>
      </c>
      <c r="V404" s="38">
        <v>11.0</v>
      </c>
      <c r="W404" s="38" t="s">
        <v>94</v>
      </c>
      <c r="X404" s="38" t="s">
        <v>151</v>
      </c>
      <c r="Y404" s="38" t="s">
        <v>146</v>
      </c>
      <c r="Z404" s="38" t="s">
        <v>147</v>
      </c>
      <c r="AA404" s="113" t="str">
        <f t="array" ref="AA404">PROPER(G404)</f>
        <v>Offline</v>
      </c>
    </row>
    <row r="405">
      <c r="A405" s="110">
        <v>3.7887324E8</v>
      </c>
      <c r="B405" s="131">
        <v>41238.0</v>
      </c>
      <c r="C405" s="131">
        <v>41241.0</v>
      </c>
      <c r="D405" s="110" t="s">
        <v>95</v>
      </c>
      <c r="E405" s="110" t="s">
        <v>128</v>
      </c>
      <c r="F405" s="110">
        <v>1270.0</v>
      </c>
      <c r="G405" s="38" t="s">
        <v>43</v>
      </c>
      <c r="H405" s="110">
        <v>5866.0</v>
      </c>
      <c r="I405" s="132">
        <v>47.45</v>
      </c>
      <c r="J405" s="132">
        <v>31.79</v>
      </c>
      <c r="K405" s="39">
        <f t="shared" si="1"/>
        <v>278341.7</v>
      </c>
      <c r="L405" s="39">
        <f t="shared" si="2"/>
        <v>186480.14</v>
      </c>
      <c r="M405" s="39">
        <f t="shared" si="3"/>
        <v>91861.56</v>
      </c>
      <c r="N405" s="38" t="str">
        <f>VLOOKUP(F405,products!$A$2:$B$13,2,FALSE)</f>
        <v>Beverages</v>
      </c>
      <c r="O405" s="133">
        <f t="shared" si="4"/>
        <v>0.6699683878</v>
      </c>
      <c r="P405" s="38" t="str">
        <f>VLOOKUP(E405,countries!A$2:E$250,3,false)</f>
        <v>Andorra</v>
      </c>
      <c r="Q405" s="38" t="str">
        <f>VLOOKUP($E405,countries!$A$2:$E$250,4,false)</f>
        <v>Europe</v>
      </c>
      <c r="R405" s="38" t="str">
        <f>VLOOKUP($E405,countries!$A$2:$E$250,5,false)</f>
        <v>Southern Europe</v>
      </c>
      <c r="S405" s="38">
        <f t="shared" si="5"/>
        <v>3</v>
      </c>
      <c r="T405" s="38" t="s">
        <v>152</v>
      </c>
      <c r="U405" s="38">
        <v>2012.0</v>
      </c>
      <c r="V405" s="38">
        <v>11.0</v>
      </c>
      <c r="W405" s="38" t="s">
        <v>128</v>
      </c>
      <c r="X405" s="38" t="s">
        <v>199</v>
      </c>
      <c r="Y405" s="38" t="s">
        <v>146</v>
      </c>
      <c r="Z405" s="38" t="s">
        <v>147</v>
      </c>
      <c r="AA405" s="113" t="str">
        <f t="array" ref="AA405">PROPER(G405)</f>
        <v>Online</v>
      </c>
    </row>
    <row r="406">
      <c r="A406" s="110">
        <v>3.79900634E8</v>
      </c>
      <c r="B406" s="131">
        <v>40489.0</v>
      </c>
      <c r="C406" s="131">
        <v>40514.0</v>
      </c>
      <c r="D406" s="110" t="s">
        <v>93</v>
      </c>
      <c r="E406" s="110" t="s">
        <v>100</v>
      </c>
      <c r="F406" s="110">
        <v>2455.0</v>
      </c>
      <c r="G406" s="38" t="s">
        <v>42</v>
      </c>
      <c r="H406" s="110">
        <v>9895.0</v>
      </c>
      <c r="I406" s="132">
        <v>109.28</v>
      </c>
      <c r="J406" s="132">
        <v>35.84</v>
      </c>
      <c r="K406" s="39">
        <f t="shared" si="1"/>
        <v>1081325.6</v>
      </c>
      <c r="L406" s="39">
        <f t="shared" si="2"/>
        <v>354636.8</v>
      </c>
      <c r="M406" s="39">
        <f t="shared" si="3"/>
        <v>726688.8</v>
      </c>
      <c r="N406" s="38" t="str">
        <f>VLOOKUP(F406,products!$A$2:$B$13,2,FALSE)</f>
        <v>Clothes</v>
      </c>
      <c r="O406" s="133">
        <f t="shared" si="4"/>
        <v>0.3279648609</v>
      </c>
      <c r="P406" s="38" t="str">
        <f>VLOOKUP(E406,countries!A$2:E$250,3,false)</f>
        <v>Germany</v>
      </c>
      <c r="Q406" s="38" t="str">
        <f>VLOOKUP($E406,countries!$A$2:$E$250,4,false)</f>
        <v>Europe</v>
      </c>
      <c r="R406" s="38" t="str">
        <f>VLOOKUP($E406,countries!$A$2:$E$250,5,false)</f>
        <v>Western Europe</v>
      </c>
      <c r="S406" s="38">
        <f t="shared" si="5"/>
        <v>25</v>
      </c>
      <c r="T406" s="38" t="s">
        <v>150</v>
      </c>
      <c r="U406" s="38">
        <v>2010.0</v>
      </c>
      <c r="V406" s="38">
        <v>11.0</v>
      </c>
      <c r="W406" s="38" t="s">
        <v>100</v>
      </c>
      <c r="X406" s="38" t="s">
        <v>163</v>
      </c>
      <c r="Y406" s="38" t="s">
        <v>146</v>
      </c>
      <c r="Z406" s="38" t="s">
        <v>158</v>
      </c>
      <c r="AA406" s="113" t="str">
        <f t="array" ref="AA406">PROPER(G406)</f>
        <v>Offline</v>
      </c>
    </row>
    <row r="407">
      <c r="A407" s="110">
        <v>3.80379998E8</v>
      </c>
      <c r="B407" s="131">
        <v>42930.0</v>
      </c>
      <c r="C407" s="131">
        <v>42932.0</v>
      </c>
      <c r="D407" s="110" t="s">
        <v>10</v>
      </c>
      <c r="E407" s="110" t="s">
        <v>131</v>
      </c>
      <c r="F407" s="110">
        <v>7940.0</v>
      </c>
      <c r="G407" s="38" t="s">
        <v>43</v>
      </c>
      <c r="H407" s="110">
        <v>1749.0</v>
      </c>
      <c r="I407" s="132">
        <v>668.27</v>
      </c>
      <c r="J407" s="132">
        <v>502.54</v>
      </c>
      <c r="K407" s="39">
        <f t="shared" si="1"/>
        <v>1168804.23</v>
      </c>
      <c r="L407" s="39">
        <f t="shared" si="2"/>
        <v>878942.46</v>
      </c>
      <c r="M407" s="39">
        <f t="shared" si="3"/>
        <v>289861.77</v>
      </c>
      <c r="N407" s="38" t="str">
        <f>VLOOKUP(F407,products!$A$2:$B$13,2,FALSE)</f>
        <v>Household</v>
      </c>
      <c r="O407" s="133">
        <f t="shared" si="4"/>
        <v>0.7520014365</v>
      </c>
      <c r="P407" s="38" t="str">
        <f>VLOOKUP(E407,countries!A$2:E$250,3,false)</f>
        <v>Albania</v>
      </c>
      <c r="Q407" s="38" t="str">
        <f>VLOOKUP($E407,countries!$A$2:$E$250,4,false)</f>
        <v>Europe</v>
      </c>
      <c r="R407" s="38" t="str">
        <f>VLOOKUP($E407,countries!$A$2:$E$250,5,false)</f>
        <v>Southern Europe</v>
      </c>
      <c r="S407" s="38">
        <f t="shared" si="5"/>
        <v>2</v>
      </c>
      <c r="T407" s="38" t="s">
        <v>148</v>
      </c>
      <c r="U407" s="38">
        <v>2017.0</v>
      </c>
      <c r="V407" s="38">
        <v>7.0</v>
      </c>
      <c r="W407" s="38" t="s">
        <v>131</v>
      </c>
      <c r="X407" s="38" t="s">
        <v>202</v>
      </c>
      <c r="Y407" s="38" t="s">
        <v>146</v>
      </c>
      <c r="Z407" s="38" t="s">
        <v>147</v>
      </c>
      <c r="AA407" s="113" t="str">
        <f t="array" ref="AA407">PROPER(G407)</f>
        <v>Online</v>
      </c>
    </row>
    <row r="408">
      <c r="A408" s="110">
        <v>3.80498874E8</v>
      </c>
      <c r="B408" s="131">
        <v>41753.0</v>
      </c>
      <c r="C408" s="131">
        <v>41772.0</v>
      </c>
      <c r="D408" s="110" t="s">
        <v>95</v>
      </c>
      <c r="E408" s="110" t="s">
        <v>125</v>
      </c>
      <c r="F408" s="110">
        <v>2455.0</v>
      </c>
      <c r="G408" s="38" t="s">
        <v>43</v>
      </c>
      <c r="H408" s="110">
        <v>6927.0</v>
      </c>
      <c r="I408" s="132">
        <v>109.28</v>
      </c>
      <c r="J408" s="132">
        <v>35.84</v>
      </c>
      <c r="K408" s="39">
        <f t="shared" si="1"/>
        <v>756982.56</v>
      </c>
      <c r="L408" s="39">
        <f t="shared" si="2"/>
        <v>248263.68</v>
      </c>
      <c r="M408" s="39">
        <f t="shared" si="3"/>
        <v>508718.88</v>
      </c>
      <c r="N408" s="38" t="str">
        <f>VLOOKUP(F408,products!$A$2:$B$13,2,FALSE)</f>
        <v>Clothes</v>
      </c>
      <c r="O408" s="133">
        <f t="shared" si="4"/>
        <v>0.3279648609</v>
      </c>
      <c r="P408" s="38" t="str">
        <f>VLOOKUP(E408,countries!A$2:E$250,3,false)</f>
        <v>Bulgaria</v>
      </c>
      <c r="Q408" s="38" t="str">
        <f>VLOOKUP($E408,countries!$A$2:$E$250,4,false)</f>
        <v>Europe</v>
      </c>
      <c r="R408" s="38" t="str">
        <f>VLOOKUP($E408,countries!$A$2:$E$250,5,false)</f>
        <v>Eastern Europe</v>
      </c>
      <c r="S408" s="38">
        <f t="shared" si="5"/>
        <v>19</v>
      </c>
      <c r="T408" s="38" t="s">
        <v>150</v>
      </c>
      <c r="U408" s="38">
        <v>2014.0</v>
      </c>
      <c r="V408" s="38">
        <v>4.0</v>
      </c>
      <c r="W408" s="38" t="s">
        <v>125</v>
      </c>
      <c r="X408" s="38" t="s">
        <v>196</v>
      </c>
      <c r="Y408" s="38" t="s">
        <v>146</v>
      </c>
      <c r="Z408" s="38" t="s">
        <v>155</v>
      </c>
      <c r="AA408" s="113" t="str">
        <f t="array" ref="AA408">PROPER(G408)</f>
        <v>Online</v>
      </c>
    </row>
    <row r="409">
      <c r="A409" s="110">
        <v>3.80610454E8</v>
      </c>
      <c r="B409" s="131">
        <v>40898.0</v>
      </c>
      <c r="C409" s="131">
        <v>40906.0</v>
      </c>
      <c r="D409" s="110" t="s">
        <v>10</v>
      </c>
      <c r="E409" s="110" t="s">
        <v>91</v>
      </c>
      <c r="F409" s="110">
        <v>8875.0</v>
      </c>
      <c r="G409" s="38" t="s">
        <v>42</v>
      </c>
      <c r="H409" s="110">
        <v>9946.0</v>
      </c>
      <c r="I409" s="132">
        <v>421.89</v>
      </c>
      <c r="J409" s="132">
        <v>364.69</v>
      </c>
      <c r="K409" s="39">
        <f t="shared" si="1"/>
        <v>4196117.94</v>
      </c>
      <c r="L409" s="39">
        <f t="shared" si="2"/>
        <v>3627206.74</v>
      </c>
      <c r="M409" s="39">
        <f t="shared" si="3"/>
        <v>568911.2</v>
      </c>
      <c r="N409" s="38" t="str">
        <f>VLOOKUP(F409,products!$A$2:$B$13,2,FALSE)</f>
        <v>Meat</v>
      </c>
      <c r="O409" s="133">
        <f t="shared" si="4"/>
        <v>0.8644196354</v>
      </c>
      <c r="P409" s="38" t="str">
        <f>VLOOKUP(E409,countries!A$2:E$250,3,false)</f>
        <v>Serbia</v>
      </c>
      <c r="Q409" s="38" t="str">
        <f>VLOOKUP($E409,countries!$A$2:$E$250,4,false)</f>
        <v>Europe</v>
      </c>
      <c r="R409" s="38" t="str">
        <f>VLOOKUP($E409,countries!$A$2:$E$250,5,false)</f>
        <v>Southern Europe</v>
      </c>
      <c r="S409" s="38">
        <f t="shared" si="5"/>
        <v>8</v>
      </c>
      <c r="T409" s="38" t="s">
        <v>167</v>
      </c>
      <c r="U409" s="38">
        <v>2011.0</v>
      </c>
      <c r="V409" s="38">
        <v>12.0</v>
      </c>
      <c r="W409" s="38" t="s">
        <v>91</v>
      </c>
      <c r="X409" s="38" t="s">
        <v>145</v>
      </c>
      <c r="Y409" s="38" t="s">
        <v>146</v>
      </c>
      <c r="Z409" s="38" t="s">
        <v>147</v>
      </c>
      <c r="AA409" s="113" t="str">
        <f t="array" ref="AA409">PROPER(G409)</f>
        <v>Offline</v>
      </c>
    </row>
    <row r="410">
      <c r="A410" s="110">
        <v>3.80684268E8</v>
      </c>
      <c r="B410" s="131">
        <v>42034.0</v>
      </c>
      <c r="C410" s="131">
        <v>42058.0</v>
      </c>
      <c r="D410" s="110" t="s">
        <v>89</v>
      </c>
      <c r="E410" s="110" t="s">
        <v>107</v>
      </c>
      <c r="F410" s="110">
        <v>8293.0</v>
      </c>
      <c r="G410" s="38" t="s">
        <v>42</v>
      </c>
      <c r="H410" s="110">
        <v>1789.0</v>
      </c>
      <c r="I410" s="132">
        <v>437.2</v>
      </c>
      <c r="J410" s="132">
        <v>263.33</v>
      </c>
      <c r="K410" s="39">
        <f t="shared" si="1"/>
        <v>782150.8</v>
      </c>
      <c r="L410" s="39">
        <f t="shared" si="2"/>
        <v>471097.37</v>
      </c>
      <c r="M410" s="39">
        <f t="shared" si="3"/>
        <v>311053.43</v>
      </c>
      <c r="N410" s="38" t="str">
        <f>VLOOKUP(F410,products!$A$2:$B$13,2,FALSE)</f>
        <v>Cosmetics</v>
      </c>
      <c r="O410" s="133">
        <f t="shared" si="4"/>
        <v>0.6023101555</v>
      </c>
      <c r="P410" s="38" t="str">
        <f>VLOOKUP(E410,countries!A$2:E$250,3,false)</f>
        <v>Luxembourg</v>
      </c>
      <c r="Q410" s="38" t="str">
        <f>VLOOKUP($E410,countries!$A$2:$E$250,4,false)</f>
        <v>Europe</v>
      </c>
      <c r="R410" s="38" t="str">
        <f>VLOOKUP($E410,countries!$A$2:$E$250,5,false)</f>
        <v>Western Europe</v>
      </c>
      <c r="S410" s="38">
        <f t="shared" si="5"/>
        <v>24</v>
      </c>
      <c r="T410" s="38" t="s">
        <v>178</v>
      </c>
      <c r="U410" s="38">
        <v>2015.0</v>
      </c>
      <c r="V410" s="38">
        <v>1.0</v>
      </c>
      <c r="W410" s="38" t="s">
        <v>107</v>
      </c>
      <c r="X410" s="38" t="s">
        <v>174</v>
      </c>
      <c r="Y410" s="38" t="s">
        <v>146</v>
      </c>
      <c r="Z410" s="38" t="s">
        <v>158</v>
      </c>
      <c r="AA410" s="113" t="str">
        <f t="array" ref="AA410">PROPER(G410)</f>
        <v>Offline</v>
      </c>
    </row>
    <row r="411">
      <c r="A411" s="110">
        <v>3.80733191E8</v>
      </c>
      <c r="B411" s="131">
        <v>41340.0</v>
      </c>
      <c r="C411" s="131">
        <v>41377.0</v>
      </c>
      <c r="D411" s="110" t="s">
        <v>10</v>
      </c>
      <c r="E411" s="110" t="s">
        <v>128</v>
      </c>
      <c r="F411" s="110">
        <v>7331.0</v>
      </c>
      <c r="G411" s="38" t="s">
        <v>42</v>
      </c>
      <c r="H411" s="110">
        <v>6267.0</v>
      </c>
      <c r="I411" s="132">
        <v>255.28</v>
      </c>
      <c r="J411" s="132">
        <v>159.42</v>
      </c>
      <c r="K411" s="39">
        <f t="shared" si="1"/>
        <v>1599839.76</v>
      </c>
      <c r="L411" s="39">
        <f t="shared" si="2"/>
        <v>999085.14</v>
      </c>
      <c r="M411" s="39">
        <f t="shared" si="3"/>
        <v>600754.62</v>
      </c>
      <c r="N411" s="38" t="str">
        <f>VLOOKUP(F411,products!$A$2:$B$13,2,FALSE)</f>
        <v>Baby Food</v>
      </c>
      <c r="O411" s="133">
        <f t="shared" si="4"/>
        <v>0.6244907552</v>
      </c>
      <c r="P411" s="38" t="str">
        <f>VLOOKUP(E411,countries!A$2:E$250,3,false)</f>
        <v>Andorra</v>
      </c>
      <c r="Q411" s="38" t="str">
        <f>VLOOKUP($E411,countries!$A$2:$E$250,4,false)</f>
        <v>Europe</v>
      </c>
      <c r="R411" s="38" t="str">
        <f>VLOOKUP($E411,countries!$A$2:$E$250,5,false)</f>
        <v>Southern Europe</v>
      </c>
      <c r="S411" s="38">
        <f t="shared" si="5"/>
        <v>37</v>
      </c>
      <c r="T411" s="38" t="s">
        <v>161</v>
      </c>
      <c r="U411" s="38">
        <v>2013.0</v>
      </c>
      <c r="V411" s="38">
        <v>3.0</v>
      </c>
      <c r="W411" s="38" t="s">
        <v>128</v>
      </c>
      <c r="X411" s="38" t="s">
        <v>199</v>
      </c>
      <c r="Y411" s="38" t="s">
        <v>146</v>
      </c>
      <c r="Z411" s="38" t="s">
        <v>147</v>
      </c>
      <c r="AA411" s="113" t="str">
        <f t="array" ref="AA411">PROPER(G411)</f>
        <v>Offline</v>
      </c>
    </row>
    <row r="412">
      <c r="A412" s="110">
        <v>3.81759297E8</v>
      </c>
      <c r="B412" s="131">
        <v>40972.0</v>
      </c>
      <c r="C412" s="131">
        <v>40993.0</v>
      </c>
      <c r="D412" s="110" t="s">
        <v>10</v>
      </c>
      <c r="E412" s="110" t="s">
        <v>94</v>
      </c>
      <c r="F412" s="110">
        <v>2455.0</v>
      </c>
      <c r="G412" s="38" t="s">
        <v>43</v>
      </c>
      <c r="H412" s="110">
        <v>9914.0</v>
      </c>
      <c r="I412" s="132">
        <v>109.28</v>
      </c>
      <c r="J412" s="132">
        <v>35.84</v>
      </c>
      <c r="K412" s="39">
        <f t="shared" si="1"/>
        <v>1083401.92</v>
      </c>
      <c r="L412" s="39">
        <f t="shared" si="2"/>
        <v>355317.76</v>
      </c>
      <c r="M412" s="39">
        <f t="shared" si="3"/>
        <v>728084.16</v>
      </c>
      <c r="N412" s="38" t="str">
        <f>VLOOKUP(F412,products!$A$2:$B$13,2,FALSE)</f>
        <v>Clothes</v>
      </c>
      <c r="O412" s="133">
        <f t="shared" si="4"/>
        <v>0.3279648609</v>
      </c>
      <c r="P412" s="38" t="str">
        <f>VLOOKUP(E412,countries!A$2:E$250,3,false)</f>
        <v>Montenegro</v>
      </c>
      <c r="Q412" s="38" t="str">
        <f>VLOOKUP($E412,countries!$A$2:$E$250,4,false)</f>
        <v>Europe</v>
      </c>
      <c r="R412" s="38" t="str">
        <f>VLOOKUP($E412,countries!$A$2:$E$250,5,false)</f>
        <v>Southern Europe</v>
      </c>
      <c r="S412" s="38">
        <f t="shared" si="5"/>
        <v>21</v>
      </c>
      <c r="T412" s="38" t="s">
        <v>150</v>
      </c>
      <c r="U412" s="38">
        <v>2012.0</v>
      </c>
      <c r="V412" s="38">
        <v>3.0</v>
      </c>
      <c r="W412" s="38" t="s">
        <v>94</v>
      </c>
      <c r="X412" s="38" t="s">
        <v>151</v>
      </c>
      <c r="Y412" s="38" t="s">
        <v>146</v>
      </c>
      <c r="Z412" s="38" t="s">
        <v>147</v>
      </c>
      <c r="AA412" s="113" t="str">
        <f t="array" ref="AA412">PROPER(G412)</f>
        <v>Online</v>
      </c>
    </row>
    <row r="413">
      <c r="A413" s="110">
        <v>3.81774747E8</v>
      </c>
      <c r="B413" s="131">
        <v>41918.0</v>
      </c>
      <c r="C413" s="131">
        <v>41935.0</v>
      </c>
      <c r="D413" s="110" t="s">
        <v>10</v>
      </c>
      <c r="E413" s="110" t="s">
        <v>90</v>
      </c>
      <c r="F413" s="110">
        <v>4594.0</v>
      </c>
      <c r="G413" s="38" t="s">
        <v>42</v>
      </c>
      <c r="H413" s="110">
        <v>4486.0</v>
      </c>
      <c r="I413" s="132">
        <v>9.33</v>
      </c>
      <c r="J413" s="132">
        <v>6.92</v>
      </c>
      <c r="K413" s="39">
        <f t="shared" si="1"/>
        <v>41854.38</v>
      </c>
      <c r="L413" s="39">
        <f t="shared" si="2"/>
        <v>31043.12</v>
      </c>
      <c r="M413" s="39">
        <f t="shared" si="3"/>
        <v>10811.26</v>
      </c>
      <c r="N413" s="38" t="str">
        <f>VLOOKUP(F413,products!$A$2:$B$13,2,FALSE)</f>
        <v>Fruits</v>
      </c>
      <c r="O413" s="133">
        <f t="shared" si="4"/>
        <v>0.741693462</v>
      </c>
      <c r="P413" s="38" t="str">
        <f>VLOOKUP(E413,countries!A$2:E$250,3,false)</f>
        <v>Norway</v>
      </c>
      <c r="Q413" s="38" t="str">
        <f>VLOOKUP($E413,countries!$A$2:$E$250,4,false)</f>
        <v>Europe</v>
      </c>
      <c r="R413" s="38" t="str">
        <f>VLOOKUP($E413,countries!$A$2:$E$250,5,false)</f>
        <v>Northern Europe</v>
      </c>
      <c r="S413" s="38">
        <f t="shared" si="5"/>
        <v>17</v>
      </c>
      <c r="T413" s="38" t="s">
        <v>156</v>
      </c>
      <c r="U413" s="38">
        <v>2014.0</v>
      </c>
      <c r="V413" s="38">
        <v>10.0</v>
      </c>
      <c r="W413" s="38" t="s">
        <v>90</v>
      </c>
      <c r="X413" s="38" t="s">
        <v>183</v>
      </c>
      <c r="Y413" s="38" t="s">
        <v>146</v>
      </c>
      <c r="Z413" s="38" t="s">
        <v>170</v>
      </c>
      <c r="AA413" s="113" t="str">
        <f t="array" ref="AA413">PROPER(G413)</f>
        <v>Offline</v>
      </c>
    </row>
    <row r="414">
      <c r="A414" s="110">
        <v>3.82581126E8</v>
      </c>
      <c r="B414" s="131">
        <v>41321.0</v>
      </c>
      <c r="C414" s="131">
        <v>41360.0</v>
      </c>
      <c r="D414" s="110" t="s">
        <v>89</v>
      </c>
      <c r="E414" s="110" t="s">
        <v>127</v>
      </c>
      <c r="F414" s="110">
        <v>3127.0</v>
      </c>
      <c r="G414" s="38" t="s">
        <v>42</v>
      </c>
      <c r="H414" s="110">
        <v>3112.0</v>
      </c>
      <c r="I414" s="132">
        <v>81.73</v>
      </c>
      <c r="J414" s="132">
        <v>56.67</v>
      </c>
      <c r="K414" s="39">
        <f t="shared" si="1"/>
        <v>254343.76</v>
      </c>
      <c r="L414" s="39">
        <f t="shared" si="2"/>
        <v>176357.04</v>
      </c>
      <c r="M414" s="39">
        <f t="shared" si="3"/>
        <v>77986.72</v>
      </c>
      <c r="N414" s="38" t="str">
        <f>VLOOKUP(F414,products!$A$2:$B$13,2,FALSE)</f>
        <v>Personal Care</v>
      </c>
      <c r="O414" s="133">
        <f t="shared" si="4"/>
        <v>0.6933806436</v>
      </c>
      <c r="P414" s="38" t="str">
        <f>VLOOKUP(E414,countries!A$2:E$250,3,false)</f>
        <v>Ireland</v>
      </c>
      <c r="Q414" s="38" t="str">
        <f>VLOOKUP($E414,countries!$A$2:$E$250,4,false)</f>
        <v>Europe</v>
      </c>
      <c r="R414" s="38" t="str">
        <f>VLOOKUP($E414,countries!$A$2:$E$250,5,false)</f>
        <v>Northern Europe</v>
      </c>
      <c r="S414" s="38">
        <f t="shared" si="5"/>
        <v>39</v>
      </c>
      <c r="T414" s="38" t="s">
        <v>185</v>
      </c>
      <c r="U414" s="38">
        <v>2013.0</v>
      </c>
      <c r="V414" s="38">
        <v>2.0</v>
      </c>
      <c r="W414" s="38" t="s">
        <v>127</v>
      </c>
      <c r="X414" s="38" t="s">
        <v>198</v>
      </c>
      <c r="Y414" s="38" t="s">
        <v>146</v>
      </c>
      <c r="Z414" s="38" t="s">
        <v>170</v>
      </c>
      <c r="AA414" s="113" t="str">
        <f t="array" ref="AA414">PROPER(G414)</f>
        <v>Offline</v>
      </c>
    </row>
    <row r="415">
      <c r="A415" s="110">
        <v>3.83611094E8</v>
      </c>
      <c r="B415" s="131">
        <v>42573.0</v>
      </c>
      <c r="C415" s="131">
        <v>42608.0</v>
      </c>
      <c r="D415" s="110" t="s">
        <v>95</v>
      </c>
      <c r="E415" s="110" t="s">
        <v>116</v>
      </c>
      <c r="F415" s="110">
        <v>2455.0</v>
      </c>
      <c r="G415" s="38" t="s">
        <v>43</v>
      </c>
      <c r="H415" s="110">
        <v>7902.0</v>
      </c>
      <c r="I415" s="132">
        <v>109.28</v>
      </c>
      <c r="J415" s="132">
        <v>35.84</v>
      </c>
      <c r="K415" s="39">
        <f t="shared" si="1"/>
        <v>863530.56</v>
      </c>
      <c r="L415" s="39">
        <f t="shared" si="2"/>
        <v>283207.68</v>
      </c>
      <c r="M415" s="39">
        <f t="shared" si="3"/>
        <v>580322.88</v>
      </c>
      <c r="N415" s="38" t="str">
        <f>VLOOKUP(F415,products!$A$2:$B$13,2,FALSE)</f>
        <v>Clothes</v>
      </c>
      <c r="O415" s="133">
        <f t="shared" si="4"/>
        <v>0.3279648609</v>
      </c>
      <c r="P415" s="38" t="str">
        <f>VLOOKUP(E415,countries!A$2:E$250,3,false)</f>
        <v>Belarus</v>
      </c>
      <c r="Q415" s="38" t="str">
        <f>VLOOKUP($E415,countries!$A$2:$E$250,4,false)</f>
        <v>Europe</v>
      </c>
      <c r="R415" s="38" t="str">
        <f>VLOOKUP($E415,countries!$A$2:$E$250,5,false)</f>
        <v>Eastern Europe</v>
      </c>
      <c r="S415" s="38">
        <f t="shared" si="5"/>
        <v>35</v>
      </c>
      <c r="T415" s="38" t="s">
        <v>150</v>
      </c>
      <c r="U415" s="38">
        <v>2016.0</v>
      </c>
      <c r="V415" s="38">
        <v>7.0</v>
      </c>
      <c r="W415" s="38" t="s">
        <v>116</v>
      </c>
      <c r="X415" s="38" t="s">
        <v>187</v>
      </c>
      <c r="Y415" s="38" t="s">
        <v>146</v>
      </c>
      <c r="Z415" s="38" t="s">
        <v>155</v>
      </c>
      <c r="AA415" s="113" t="str">
        <f t="array" ref="AA415">PROPER(G415)</f>
        <v>Online</v>
      </c>
    </row>
    <row r="416">
      <c r="A416" s="110">
        <v>3.84128224E8</v>
      </c>
      <c r="B416" s="131">
        <v>40257.0</v>
      </c>
      <c r="C416" s="131">
        <v>40294.0</v>
      </c>
      <c r="D416" s="110" t="s">
        <v>89</v>
      </c>
      <c r="E416" s="110" t="s">
        <v>90</v>
      </c>
      <c r="F416" s="110">
        <v>7940.0</v>
      </c>
      <c r="G416" s="38" t="s">
        <v>42</v>
      </c>
      <c r="H416" s="110">
        <v>933.0</v>
      </c>
      <c r="I416" s="132">
        <v>668.27</v>
      </c>
      <c r="J416" s="132">
        <v>502.54</v>
      </c>
      <c r="K416" s="39">
        <f t="shared" si="1"/>
        <v>623495.91</v>
      </c>
      <c r="L416" s="39">
        <f t="shared" si="2"/>
        <v>468869.82</v>
      </c>
      <c r="M416" s="39">
        <f t="shared" si="3"/>
        <v>154626.09</v>
      </c>
      <c r="N416" s="38" t="str">
        <f>VLOOKUP(F416,products!$A$2:$B$13,2,FALSE)</f>
        <v>Household</v>
      </c>
      <c r="O416" s="133">
        <f t="shared" si="4"/>
        <v>0.7520014365</v>
      </c>
      <c r="P416" s="38" t="str">
        <f>VLOOKUP(E416,countries!A$2:E$250,3,false)</f>
        <v>Norway</v>
      </c>
      <c r="Q416" s="38" t="str">
        <f>VLOOKUP($E416,countries!$A$2:$E$250,4,false)</f>
        <v>Europe</v>
      </c>
      <c r="R416" s="38" t="str">
        <f>VLOOKUP($E416,countries!$A$2:$E$250,5,false)</f>
        <v>Northern Europe</v>
      </c>
      <c r="S416" s="38">
        <f t="shared" si="5"/>
        <v>37</v>
      </c>
      <c r="T416" s="38" t="s">
        <v>148</v>
      </c>
      <c r="U416" s="38">
        <v>2010.0</v>
      </c>
      <c r="V416" s="38">
        <v>3.0</v>
      </c>
      <c r="W416" s="38" t="s">
        <v>90</v>
      </c>
      <c r="X416" s="38" t="s">
        <v>183</v>
      </c>
      <c r="Y416" s="38" t="s">
        <v>146</v>
      </c>
      <c r="Z416" s="38" t="s">
        <v>170</v>
      </c>
      <c r="AA416" s="113" t="str">
        <f t="array" ref="AA416">PROPER(G416)</f>
        <v>Offline</v>
      </c>
    </row>
    <row r="417">
      <c r="A417" s="110">
        <v>3.84483993E8</v>
      </c>
      <c r="B417" s="131">
        <v>40668.0</v>
      </c>
      <c r="C417" s="131">
        <v>40713.0</v>
      </c>
      <c r="D417" s="110" t="s">
        <v>93</v>
      </c>
      <c r="E417" s="110" t="s">
        <v>118</v>
      </c>
      <c r="F417" s="110">
        <v>5988.0</v>
      </c>
      <c r="G417" s="38" t="s">
        <v>42</v>
      </c>
      <c r="H417" s="110">
        <v>6212.0</v>
      </c>
      <c r="I417" s="132">
        <v>154.06</v>
      </c>
      <c r="J417" s="132">
        <v>90.93</v>
      </c>
      <c r="K417" s="39">
        <f t="shared" si="1"/>
        <v>957020.72</v>
      </c>
      <c r="L417" s="39">
        <f t="shared" si="2"/>
        <v>564857.16</v>
      </c>
      <c r="M417" s="39">
        <f t="shared" si="3"/>
        <v>392163.56</v>
      </c>
      <c r="N417" s="38" t="str">
        <f>VLOOKUP(F417,products!$A$2:$B$13,2,FALSE)</f>
        <v>Vegetables</v>
      </c>
      <c r="O417" s="133">
        <f t="shared" si="4"/>
        <v>0.5902245878</v>
      </c>
      <c r="P417" s="38" t="str">
        <f>VLOOKUP(E417,countries!A$2:E$250,3,false)</f>
        <v>Austria</v>
      </c>
      <c r="Q417" s="38" t="str">
        <f>VLOOKUP($E417,countries!$A$2:$E$250,4,false)</f>
        <v>Europe</v>
      </c>
      <c r="R417" s="38" t="str">
        <f>VLOOKUP($E417,countries!$A$2:$E$250,5,false)</f>
        <v>Western Europe</v>
      </c>
      <c r="S417" s="38">
        <f t="shared" si="5"/>
        <v>45</v>
      </c>
      <c r="T417" s="38" t="s">
        <v>159</v>
      </c>
      <c r="U417" s="38">
        <v>2011.0</v>
      </c>
      <c r="V417" s="38">
        <v>5.0</v>
      </c>
      <c r="W417" s="38" t="s">
        <v>118</v>
      </c>
      <c r="X417" s="38" t="s">
        <v>189</v>
      </c>
      <c r="Y417" s="38" t="s">
        <v>146</v>
      </c>
      <c r="Z417" s="38" t="s">
        <v>158</v>
      </c>
      <c r="AA417" s="113" t="str">
        <f t="array" ref="AA417">PROPER(G417)</f>
        <v>Offline</v>
      </c>
    </row>
    <row r="418">
      <c r="A418" s="110">
        <v>3.84601581E8</v>
      </c>
      <c r="B418" s="131">
        <v>42638.0</v>
      </c>
      <c r="C418" s="131">
        <v>42662.0</v>
      </c>
      <c r="D418" s="110" t="s">
        <v>89</v>
      </c>
      <c r="E418" s="110" t="s">
        <v>107</v>
      </c>
      <c r="F418" s="110">
        <v>4594.0</v>
      </c>
      <c r="G418" s="38" t="s">
        <v>43</v>
      </c>
      <c r="H418" s="110">
        <v>1009.0</v>
      </c>
      <c r="I418" s="132">
        <v>9.33</v>
      </c>
      <c r="J418" s="132">
        <v>6.92</v>
      </c>
      <c r="K418" s="39">
        <f t="shared" si="1"/>
        <v>9413.97</v>
      </c>
      <c r="L418" s="39">
        <f t="shared" si="2"/>
        <v>6982.28</v>
      </c>
      <c r="M418" s="39">
        <f t="shared" si="3"/>
        <v>2431.69</v>
      </c>
      <c r="N418" s="38" t="str">
        <f>VLOOKUP(F418,products!$A$2:$B$13,2,FALSE)</f>
        <v>Fruits</v>
      </c>
      <c r="O418" s="133">
        <f t="shared" si="4"/>
        <v>0.741693462</v>
      </c>
      <c r="P418" s="38" t="str">
        <f>VLOOKUP(E418,countries!A$2:E$250,3,false)</f>
        <v>Luxembourg</v>
      </c>
      <c r="Q418" s="38" t="str">
        <f>VLOOKUP($E418,countries!$A$2:$E$250,4,false)</f>
        <v>Europe</v>
      </c>
      <c r="R418" s="38" t="str">
        <f>VLOOKUP($E418,countries!$A$2:$E$250,5,false)</f>
        <v>Western Europe</v>
      </c>
      <c r="S418" s="38">
        <f t="shared" si="5"/>
        <v>24</v>
      </c>
      <c r="T418" s="38" t="s">
        <v>156</v>
      </c>
      <c r="U418" s="38">
        <v>2016.0</v>
      </c>
      <c r="V418" s="38">
        <v>9.0</v>
      </c>
      <c r="W418" s="38" t="s">
        <v>107</v>
      </c>
      <c r="X418" s="38" t="s">
        <v>174</v>
      </c>
      <c r="Y418" s="38" t="s">
        <v>146</v>
      </c>
      <c r="Z418" s="38" t="s">
        <v>158</v>
      </c>
      <c r="AA418" s="113" t="str">
        <f t="array" ref="AA418">PROPER(G418)</f>
        <v>Online</v>
      </c>
    </row>
    <row r="419">
      <c r="A419" s="110">
        <v>3.84976232E8</v>
      </c>
      <c r="B419" s="131">
        <v>42053.0</v>
      </c>
      <c r="C419" s="131">
        <v>42097.0</v>
      </c>
      <c r="D419" s="110" t="s">
        <v>93</v>
      </c>
      <c r="E419" s="110" t="s">
        <v>137</v>
      </c>
      <c r="F419" s="110">
        <v>8681.0</v>
      </c>
      <c r="G419" s="38" t="s">
        <v>43</v>
      </c>
      <c r="H419" s="110">
        <v>1877.0</v>
      </c>
      <c r="I419" s="132">
        <v>651.21</v>
      </c>
      <c r="J419" s="132">
        <v>524.96</v>
      </c>
      <c r="K419" s="39">
        <f t="shared" si="1"/>
        <v>1222321.17</v>
      </c>
      <c r="L419" s="39">
        <f t="shared" si="2"/>
        <v>985349.92</v>
      </c>
      <c r="M419" s="39">
        <f t="shared" si="3"/>
        <v>236971.25</v>
      </c>
      <c r="N419" s="38" t="str">
        <f>VLOOKUP(F419,products!$A$2:$B$13,2,FALSE)</f>
        <v>Office Supplies</v>
      </c>
      <c r="O419" s="133">
        <f t="shared" si="4"/>
        <v>0.806130127</v>
      </c>
      <c r="P419" s="38" t="str">
        <f>VLOOKUP(E419,countries!A$2:E$250,3,false)</f>
        <v>Iceland</v>
      </c>
      <c r="Q419" s="38" t="str">
        <f>VLOOKUP($E419,countries!$A$2:$E$250,4,false)</f>
        <v>Europe</v>
      </c>
      <c r="R419" s="38" t="str">
        <f>VLOOKUP($E419,countries!$A$2:$E$250,5,false)</f>
        <v>Northern Europe</v>
      </c>
      <c r="S419" s="38">
        <f t="shared" si="5"/>
        <v>44</v>
      </c>
      <c r="T419" s="38" t="s">
        <v>153</v>
      </c>
      <c r="U419" s="38">
        <v>2015.0</v>
      </c>
      <c r="V419" s="38">
        <v>2.0</v>
      </c>
      <c r="W419" s="38" t="s">
        <v>137</v>
      </c>
      <c r="X419" s="38" t="s">
        <v>207</v>
      </c>
      <c r="Y419" s="38" t="s">
        <v>146</v>
      </c>
      <c r="Z419" s="38" t="s">
        <v>170</v>
      </c>
      <c r="AA419" s="113" t="str">
        <f t="array" ref="AA419">PROPER(G419)</f>
        <v>Online</v>
      </c>
    </row>
    <row r="420">
      <c r="A420" s="110">
        <v>3.85080945E8</v>
      </c>
      <c r="B420" s="131">
        <v>42314.0</v>
      </c>
      <c r="C420" s="131">
        <v>42315.0</v>
      </c>
      <c r="D420" s="110" t="s">
        <v>89</v>
      </c>
      <c r="E420" s="110" t="s">
        <v>108</v>
      </c>
      <c r="F420" s="110">
        <v>8293.0</v>
      </c>
      <c r="G420" s="38" t="s">
        <v>42</v>
      </c>
      <c r="H420" s="110">
        <v>2864.0</v>
      </c>
      <c r="I420" s="132">
        <v>437.2</v>
      </c>
      <c r="J420" s="132">
        <v>263.33</v>
      </c>
      <c r="K420" s="39">
        <f t="shared" si="1"/>
        <v>1252140.8</v>
      </c>
      <c r="L420" s="39">
        <f t="shared" si="2"/>
        <v>754177.12</v>
      </c>
      <c r="M420" s="39">
        <f t="shared" si="3"/>
        <v>497963.68</v>
      </c>
      <c r="N420" s="38" t="str">
        <f>VLOOKUP(F420,products!$A$2:$B$13,2,FALSE)</f>
        <v>Cosmetics</v>
      </c>
      <c r="O420" s="133">
        <f t="shared" si="4"/>
        <v>0.6023101555</v>
      </c>
      <c r="P420" s="38" t="str">
        <f>VLOOKUP(E420,countries!A$2:E$250,3,false)</f>
        <v>Cyprus</v>
      </c>
      <c r="Q420" s="38" t="str">
        <f>VLOOKUP($E420,countries!$A$2:$E$250,4,false)</f>
        <v>Asia</v>
      </c>
      <c r="R420" s="38" t="str">
        <f>VLOOKUP($E420,countries!$A$2:$E$250,5,false)</f>
        <v>Western Asia</v>
      </c>
      <c r="S420" s="38">
        <f t="shared" si="5"/>
        <v>1</v>
      </c>
      <c r="T420" s="38" t="s">
        <v>178</v>
      </c>
      <c r="U420" s="38">
        <v>2015.0</v>
      </c>
      <c r="V420" s="38">
        <v>11.0</v>
      </c>
      <c r="W420" s="38" t="s">
        <v>108</v>
      </c>
      <c r="X420" s="38" t="s">
        <v>175</v>
      </c>
      <c r="Y420" s="38" t="s">
        <v>165</v>
      </c>
      <c r="Z420" s="38" t="s">
        <v>166</v>
      </c>
      <c r="AA420" s="113" t="str">
        <f t="array" ref="AA420">PROPER(G420)</f>
        <v>Offline</v>
      </c>
    </row>
    <row r="421">
      <c r="A421" s="110">
        <v>3.85340154E8</v>
      </c>
      <c r="B421" s="131">
        <v>40965.0</v>
      </c>
      <c r="C421" s="131">
        <v>40986.0</v>
      </c>
      <c r="D421" s="110" t="s">
        <v>89</v>
      </c>
      <c r="E421" s="110" t="s">
        <v>100</v>
      </c>
      <c r="F421" s="110">
        <v>8293.0</v>
      </c>
      <c r="G421" s="38" t="s">
        <v>42</v>
      </c>
      <c r="H421" s="110">
        <v>9569.0</v>
      </c>
      <c r="I421" s="132">
        <v>437.2</v>
      </c>
      <c r="J421" s="132">
        <v>263.33</v>
      </c>
      <c r="K421" s="39">
        <f t="shared" si="1"/>
        <v>4183566.8</v>
      </c>
      <c r="L421" s="39">
        <f t="shared" si="2"/>
        <v>2519804.77</v>
      </c>
      <c r="M421" s="39">
        <f t="shared" si="3"/>
        <v>1663762.03</v>
      </c>
      <c r="N421" s="38" t="str">
        <f>VLOOKUP(F421,products!$A$2:$B$13,2,FALSE)</f>
        <v>Cosmetics</v>
      </c>
      <c r="O421" s="133">
        <f t="shared" si="4"/>
        <v>0.6023101555</v>
      </c>
      <c r="P421" s="38" t="str">
        <f>VLOOKUP(E421,countries!A$2:E$250,3,false)</f>
        <v>Germany</v>
      </c>
      <c r="Q421" s="38" t="str">
        <f>VLOOKUP($E421,countries!$A$2:$E$250,4,false)</f>
        <v>Europe</v>
      </c>
      <c r="R421" s="38" t="str">
        <f>VLOOKUP($E421,countries!$A$2:$E$250,5,false)</f>
        <v>Western Europe</v>
      </c>
      <c r="S421" s="38">
        <f t="shared" si="5"/>
        <v>21</v>
      </c>
      <c r="T421" s="38" t="s">
        <v>178</v>
      </c>
      <c r="U421" s="38">
        <v>2012.0</v>
      </c>
      <c r="V421" s="38">
        <v>2.0</v>
      </c>
      <c r="W421" s="38" t="s">
        <v>100</v>
      </c>
      <c r="X421" s="38" t="s">
        <v>163</v>
      </c>
      <c r="Y421" s="38" t="s">
        <v>146</v>
      </c>
      <c r="Z421" s="38" t="s">
        <v>158</v>
      </c>
      <c r="AA421" s="113" t="str">
        <f t="array" ref="AA421">PROPER(G421)</f>
        <v>Offline</v>
      </c>
    </row>
    <row r="422">
      <c r="A422" s="110">
        <v>3.86009633E8</v>
      </c>
      <c r="B422" s="131">
        <v>41364.0</v>
      </c>
      <c r="C422" s="131">
        <v>41369.0</v>
      </c>
      <c r="D422" s="110" t="s">
        <v>89</v>
      </c>
      <c r="E422" s="110" t="s">
        <v>110</v>
      </c>
      <c r="F422" s="110">
        <v>3127.0</v>
      </c>
      <c r="G422" s="38" t="s">
        <v>42</v>
      </c>
      <c r="H422" s="110">
        <v>7683.0</v>
      </c>
      <c r="I422" s="132">
        <v>81.73</v>
      </c>
      <c r="J422" s="132">
        <v>56.67</v>
      </c>
      <c r="K422" s="39">
        <f t="shared" si="1"/>
        <v>627931.59</v>
      </c>
      <c r="L422" s="39">
        <f t="shared" si="2"/>
        <v>435395.61</v>
      </c>
      <c r="M422" s="39">
        <f t="shared" si="3"/>
        <v>192535.98</v>
      </c>
      <c r="N422" s="38" t="str">
        <f>VLOOKUP(F422,products!$A$2:$B$13,2,FALSE)</f>
        <v>Personal Care</v>
      </c>
      <c r="O422" s="133">
        <f t="shared" si="4"/>
        <v>0.6933806436</v>
      </c>
      <c r="P422" s="38" t="str">
        <f>VLOOKUP(E422,countries!A$2:E$250,3,false)</f>
        <v>Lithuania</v>
      </c>
      <c r="Q422" s="38" t="str">
        <f>VLOOKUP($E422,countries!$A$2:$E$250,4,false)</f>
        <v>Europe</v>
      </c>
      <c r="R422" s="38" t="str">
        <f>VLOOKUP($E422,countries!$A$2:$E$250,5,false)</f>
        <v>Northern Europe</v>
      </c>
      <c r="S422" s="38">
        <f t="shared" si="5"/>
        <v>5</v>
      </c>
      <c r="T422" s="38" t="s">
        <v>185</v>
      </c>
      <c r="U422" s="38">
        <v>2013.0</v>
      </c>
      <c r="V422" s="38">
        <v>3.0</v>
      </c>
      <c r="W422" s="38" t="s">
        <v>110</v>
      </c>
      <c r="X422" s="38" t="s">
        <v>177</v>
      </c>
      <c r="Y422" s="38" t="s">
        <v>146</v>
      </c>
      <c r="Z422" s="38" t="s">
        <v>170</v>
      </c>
      <c r="AA422" s="113" t="str">
        <f t="array" ref="AA422">PROPER(G422)</f>
        <v>Offline</v>
      </c>
    </row>
    <row r="423">
      <c r="A423" s="110">
        <v>3.86319911E8</v>
      </c>
      <c r="B423" s="131">
        <v>40528.0</v>
      </c>
      <c r="C423" s="131">
        <v>40545.0</v>
      </c>
      <c r="D423" s="110" t="s">
        <v>10</v>
      </c>
      <c r="E423" s="110" t="s">
        <v>98</v>
      </c>
      <c r="F423" s="110">
        <v>5988.0</v>
      </c>
      <c r="G423" s="38" t="s">
        <v>43</v>
      </c>
      <c r="H423" s="110">
        <v>9501.0</v>
      </c>
      <c r="I423" s="132">
        <v>154.06</v>
      </c>
      <c r="J423" s="132">
        <v>90.93</v>
      </c>
      <c r="K423" s="39">
        <f t="shared" si="1"/>
        <v>1463724.06</v>
      </c>
      <c r="L423" s="39">
        <f t="shared" si="2"/>
        <v>863925.93</v>
      </c>
      <c r="M423" s="39">
        <f t="shared" si="3"/>
        <v>599798.13</v>
      </c>
      <c r="N423" s="38" t="str">
        <f>VLOOKUP(F423,products!$A$2:$B$13,2,FALSE)</f>
        <v>Vegetables</v>
      </c>
      <c r="O423" s="133">
        <f t="shared" si="4"/>
        <v>0.5902245878</v>
      </c>
      <c r="P423" s="38" t="str">
        <f>VLOOKUP(E423,countries!A$2:E$250,3,false)</f>
        <v>Spain</v>
      </c>
      <c r="Q423" s="38" t="str">
        <f>VLOOKUP($E423,countries!$A$2:$E$250,4,false)</f>
        <v>Europe</v>
      </c>
      <c r="R423" s="38" t="str">
        <f>VLOOKUP($E423,countries!$A$2:$E$250,5,false)</f>
        <v>Southern Europe</v>
      </c>
      <c r="S423" s="38">
        <f t="shared" si="5"/>
        <v>17</v>
      </c>
      <c r="T423" s="38" t="s">
        <v>159</v>
      </c>
      <c r="U423" s="38">
        <v>2010.0</v>
      </c>
      <c r="V423" s="38">
        <v>12.0</v>
      </c>
      <c r="W423" s="38" t="s">
        <v>98</v>
      </c>
      <c r="X423" s="38" t="s">
        <v>160</v>
      </c>
      <c r="Y423" s="38" t="s">
        <v>146</v>
      </c>
      <c r="Z423" s="38" t="s">
        <v>147</v>
      </c>
      <c r="AA423" s="113" t="str">
        <f t="array" ref="AA423">PROPER(G423)</f>
        <v>Online</v>
      </c>
    </row>
    <row r="424">
      <c r="A424" s="110">
        <v>3.86440074E8</v>
      </c>
      <c r="B424" s="131">
        <v>41734.0</v>
      </c>
      <c r="C424" s="131">
        <v>41754.0</v>
      </c>
      <c r="D424" s="110" t="s">
        <v>10</v>
      </c>
      <c r="E424" s="110" t="s">
        <v>106</v>
      </c>
      <c r="F424" s="110">
        <v>3127.0</v>
      </c>
      <c r="G424" s="38" t="s">
        <v>42</v>
      </c>
      <c r="H424" s="110">
        <v>5060.0</v>
      </c>
      <c r="I424" s="132">
        <v>81.73</v>
      </c>
      <c r="J424" s="132">
        <v>56.67</v>
      </c>
      <c r="K424" s="39">
        <f t="shared" si="1"/>
        <v>413553.8</v>
      </c>
      <c r="L424" s="39">
        <f t="shared" si="2"/>
        <v>286750.2</v>
      </c>
      <c r="M424" s="39">
        <f t="shared" si="3"/>
        <v>126803.6</v>
      </c>
      <c r="N424" s="38" t="str">
        <f>VLOOKUP(F424,products!$A$2:$B$13,2,FALSE)</f>
        <v>Personal Care</v>
      </c>
      <c r="O424" s="133">
        <f t="shared" si="4"/>
        <v>0.6933806436</v>
      </c>
      <c r="P424" s="38" t="str">
        <f>VLOOKUP(E424,countries!A$2:E$250,3,false)</f>
        <v>Poland</v>
      </c>
      <c r="Q424" s="38" t="str">
        <f>VLOOKUP($E424,countries!$A$2:$E$250,4,false)</f>
        <v>Europe</v>
      </c>
      <c r="R424" s="38" t="str">
        <f>VLOOKUP($E424,countries!$A$2:$E$250,5,false)</f>
        <v>Eastern Europe</v>
      </c>
      <c r="S424" s="38">
        <f t="shared" si="5"/>
        <v>20</v>
      </c>
      <c r="T424" s="38" t="s">
        <v>185</v>
      </c>
      <c r="U424" s="38">
        <v>2014.0</v>
      </c>
      <c r="V424" s="38">
        <v>4.0</v>
      </c>
      <c r="W424" s="38" t="s">
        <v>106</v>
      </c>
      <c r="X424" s="38" t="s">
        <v>173</v>
      </c>
      <c r="Y424" s="38" t="s">
        <v>146</v>
      </c>
      <c r="Z424" s="38" t="s">
        <v>155</v>
      </c>
      <c r="AA424" s="113" t="str">
        <f t="array" ref="AA424">PROPER(G424)</f>
        <v>Offline</v>
      </c>
    </row>
    <row r="425">
      <c r="A425" s="110">
        <v>3.86601865E8</v>
      </c>
      <c r="B425" s="131">
        <v>42568.0</v>
      </c>
      <c r="C425" s="131">
        <v>42577.0</v>
      </c>
      <c r="D425" s="110" t="s">
        <v>93</v>
      </c>
      <c r="E425" s="110" t="s">
        <v>110</v>
      </c>
      <c r="F425" s="110">
        <v>5988.0</v>
      </c>
      <c r="G425" s="38" t="s">
        <v>43</v>
      </c>
      <c r="H425" s="110">
        <v>2938.0</v>
      </c>
      <c r="I425" s="132">
        <v>154.06</v>
      </c>
      <c r="J425" s="132">
        <v>90.93</v>
      </c>
      <c r="K425" s="39">
        <f t="shared" si="1"/>
        <v>452628.28</v>
      </c>
      <c r="L425" s="39">
        <f t="shared" si="2"/>
        <v>267152.34</v>
      </c>
      <c r="M425" s="39">
        <f t="shared" si="3"/>
        <v>185475.94</v>
      </c>
      <c r="N425" s="38" t="str">
        <f>VLOOKUP(F425,products!$A$2:$B$13,2,FALSE)</f>
        <v>Vegetables</v>
      </c>
      <c r="O425" s="133">
        <f t="shared" si="4"/>
        <v>0.5902245878</v>
      </c>
      <c r="P425" s="38" t="str">
        <f>VLOOKUP(E425,countries!A$2:E$250,3,false)</f>
        <v>Lithuania</v>
      </c>
      <c r="Q425" s="38" t="str">
        <f>VLOOKUP($E425,countries!$A$2:$E$250,4,false)</f>
        <v>Europe</v>
      </c>
      <c r="R425" s="38" t="str">
        <f>VLOOKUP($E425,countries!$A$2:$E$250,5,false)</f>
        <v>Northern Europe</v>
      </c>
      <c r="S425" s="38">
        <f t="shared" si="5"/>
        <v>9</v>
      </c>
      <c r="T425" s="38" t="s">
        <v>159</v>
      </c>
      <c r="U425" s="38">
        <v>2016.0</v>
      </c>
      <c r="V425" s="38">
        <v>7.0</v>
      </c>
      <c r="W425" s="38" t="s">
        <v>110</v>
      </c>
      <c r="X425" s="38" t="s">
        <v>177</v>
      </c>
      <c r="Y425" s="38" t="s">
        <v>146</v>
      </c>
      <c r="Z425" s="38" t="s">
        <v>170</v>
      </c>
      <c r="AA425" s="113" t="str">
        <f t="array" ref="AA425">PROPER(G425)</f>
        <v>Online</v>
      </c>
    </row>
    <row r="426">
      <c r="A426" s="110">
        <v>3.87098824E8</v>
      </c>
      <c r="B426" s="131">
        <v>41631.0</v>
      </c>
      <c r="C426" s="131">
        <v>41643.0</v>
      </c>
      <c r="D426" s="110" t="s">
        <v>95</v>
      </c>
      <c r="E426" s="110" t="s">
        <v>103</v>
      </c>
      <c r="F426" s="110">
        <v>3127.0</v>
      </c>
      <c r="G426" s="38" t="s">
        <v>42</v>
      </c>
      <c r="H426" s="110">
        <v>9999.0</v>
      </c>
      <c r="I426" s="132">
        <v>81.73</v>
      </c>
      <c r="J426" s="132">
        <v>56.67</v>
      </c>
      <c r="K426" s="39">
        <f t="shared" si="1"/>
        <v>817218.27</v>
      </c>
      <c r="L426" s="39">
        <f t="shared" si="2"/>
        <v>566643.33</v>
      </c>
      <c r="M426" s="39">
        <f t="shared" si="3"/>
        <v>250574.94</v>
      </c>
      <c r="N426" s="38" t="str">
        <f>VLOOKUP(F426,products!$A$2:$B$13,2,FALSE)</f>
        <v>Personal Care</v>
      </c>
      <c r="O426" s="133">
        <f t="shared" si="4"/>
        <v>0.6933806436</v>
      </c>
      <c r="P426" s="38" t="str">
        <f>VLOOKUP(E426,countries!A$2:E$250,3,false)</f>
        <v>United Kingdom</v>
      </c>
      <c r="Q426" s="38" t="str">
        <f>VLOOKUP($E426,countries!$A$2:$E$250,4,false)</f>
        <v>Europe</v>
      </c>
      <c r="R426" s="38" t="str">
        <f>VLOOKUP($E426,countries!$A$2:$E$250,5,false)</f>
        <v>Northern Europe</v>
      </c>
      <c r="S426" s="38">
        <f t="shared" si="5"/>
        <v>12</v>
      </c>
      <c r="T426" s="38" t="s">
        <v>185</v>
      </c>
      <c r="U426" s="38">
        <v>2013.0</v>
      </c>
      <c r="V426" s="38">
        <v>12.0</v>
      </c>
      <c r="W426" s="38" t="s">
        <v>103</v>
      </c>
      <c r="X426" s="38" t="s">
        <v>169</v>
      </c>
      <c r="Y426" s="38" t="s">
        <v>146</v>
      </c>
      <c r="Z426" s="38" t="s">
        <v>170</v>
      </c>
      <c r="AA426" s="113" t="str">
        <f t="array" ref="AA426">PROPER(G426)</f>
        <v>Offline</v>
      </c>
    </row>
    <row r="427">
      <c r="A427" s="110">
        <v>3.8872832E8</v>
      </c>
      <c r="B427" s="131">
        <v>40999.0</v>
      </c>
      <c r="C427" s="131">
        <v>41039.0</v>
      </c>
      <c r="D427" s="110" t="s">
        <v>10</v>
      </c>
      <c r="E427" s="110" t="s">
        <v>133</v>
      </c>
      <c r="F427" s="110">
        <v>8969.0</v>
      </c>
      <c r="G427" s="38" t="s">
        <v>42</v>
      </c>
      <c r="H427" s="110">
        <v>2203.0</v>
      </c>
      <c r="I427" s="132">
        <v>152.58</v>
      </c>
      <c r="J427" s="132">
        <v>97.44</v>
      </c>
      <c r="K427" s="39">
        <f t="shared" si="1"/>
        <v>336133.74</v>
      </c>
      <c r="L427" s="39">
        <f t="shared" si="2"/>
        <v>214660.32</v>
      </c>
      <c r="M427" s="39">
        <f t="shared" si="3"/>
        <v>121473.42</v>
      </c>
      <c r="N427" s="38" t="str">
        <f>VLOOKUP(F427,products!$A$2:$B$13,2,FALSE)</f>
        <v>Snacks</v>
      </c>
      <c r="O427" s="133">
        <f t="shared" si="4"/>
        <v>0.6386158081</v>
      </c>
      <c r="P427" s="38" t="str">
        <f>VLOOKUP(E427,countries!A$2:E$250,3,false)</f>
        <v>Bosnia and Herzegovina</v>
      </c>
      <c r="Q427" s="38" t="str">
        <f>VLOOKUP($E427,countries!$A$2:$E$250,4,false)</f>
        <v>Europe</v>
      </c>
      <c r="R427" s="38" t="str">
        <f>VLOOKUP($E427,countries!$A$2:$E$250,5,false)</f>
        <v>Southern Europe</v>
      </c>
      <c r="S427" s="38">
        <f t="shared" si="5"/>
        <v>40</v>
      </c>
      <c r="T427" s="38" t="s">
        <v>182</v>
      </c>
      <c r="U427" s="38">
        <v>2012.0</v>
      </c>
      <c r="V427" s="38">
        <v>3.0</v>
      </c>
      <c r="W427" s="38" t="s">
        <v>133</v>
      </c>
      <c r="X427" s="38" t="s">
        <v>204</v>
      </c>
      <c r="Y427" s="38" t="s">
        <v>146</v>
      </c>
      <c r="Z427" s="38" t="s">
        <v>147</v>
      </c>
      <c r="AA427" s="113" t="str">
        <f t="array" ref="AA427">PROPER(G427)</f>
        <v>Offline</v>
      </c>
    </row>
    <row r="428">
      <c r="A428" s="110">
        <v>3.91026866E8</v>
      </c>
      <c r="B428" s="131">
        <v>42738.0</v>
      </c>
      <c r="C428" s="131">
        <v>42743.0</v>
      </c>
      <c r="D428" s="110" t="s">
        <v>10</v>
      </c>
      <c r="E428" s="110" t="s">
        <v>98</v>
      </c>
      <c r="F428" s="110">
        <v>8293.0</v>
      </c>
      <c r="G428" s="38" t="s">
        <v>42</v>
      </c>
      <c r="H428" s="110">
        <v>2394.0</v>
      </c>
      <c r="I428" s="132">
        <v>437.2</v>
      </c>
      <c r="J428" s="132">
        <v>263.33</v>
      </c>
      <c r="K428" s="39">
        <f t="shared" si="1"/>
        <v>1046656.8</v>
      </c>
      <c r="L428" s="39">
        <f t="shared" si="2"/>
        <v>630412.02</v>
      </c>
      <c r="M428" s="39">
        <f t="shared" si="3"/>
        <v>416244.78</v>
      </c>
      <c r="N428" s="38" t="str">
        <f>VLOOKUP(F428,products!$A$2:$B$13,2,FALSE)</f>
        <v>Cosmetics</v>
      </c>
      <c r="O428" s="133">
        <f t="shared" si="4"/>
        <v>0.6023101555</v>
      </c>
      <c r="P428" s="38" t="str">
        <f>VLOOKUP(E428,countries!A$2:E$250,3,false)</f>
        <v>Spain</v>
      </c>
      <c r="Q428" s="38" t="str">
        <f>VLOOKUP($E428,countries!$A$2:$E$250,4,false)</f>
        <v>Europe</v>
      </c>
      <c r="R428" s="38" t="str">
        <f>VLOOKUP($E428,countries!$A$2:$E$250,5,false)</f>
        <v>Southern Europe</v>
      </c>
      <c r="S428" s="38">
        <f t="shared" si="5"/>
        <v>5</v>
      </c>
      <c r="T428" s="38" t="s">
        <v>178</v>
      </c>
      <c r="U428" s="38">
        <v>2017.0</v>
      </c>
      <c r="V428" s="38">
        <v>1.0</v>
      </c>
      <c r="W428" s="38" t="s">
        <v>98</v>
      </c>
      <c r="X428" s="38" t="s">
        <v>160</v>
      </c>
      <c r="Y428" s="38" t="s">
        <v>146</v>
      </c>
      <c r="Z428" s="38" t="s">
        <v>147</v>
      </c>
      <c r="AA428" s="113" t="str">
        <f t="array" ref="AA428">PROPER(G428)</f>
        <v>Offline</v>
      </c>
    </row>
    <row r="429">
      <c r="A429" s="110">
        <v>3.91200673E8</v>
      </c>
      <c r="B429" s="131">
        <v>40927.0</v>
      </c>
      <c r="C429" s="131">
        <v>40952.0</v>
      </c>
      <c r="D429" s="110" t="s">
        <v>93</v>
      </c>
      <c r="E429" s="110" t="s">
        <v>97</v>
      </c>
      <c r="F429" s="110">
        <v>8681.0</v>
      </c>
      <c r="G429" s="38" t="s">
        <v>43</v>
      </c>
      <c r="H429" s="110">
        <v>3827.0</v>
      </c>
      <c r="I429" s="132">
        <v>651.21</v>
      </c>
      <c r="J429" s="132">
        <v>524.96</v>
      </c>
      <c r="K429" s="39">
        <f t="shared" si="1"/>
        <v>2492180.67</v>
      </c>
      <c r="L429" s="39">
        <f t="shared" si="2"/>
        <v>2009021.92</v>
      </c>
      <c r="M429" s="39">
        <f t="shared" si="3"/>
        <v>483158.75</v>
      </c>
      <c r="N429" s="38" t="str">
        <f>VLOOKUP(F429,products!$A$2:$B$13,2,FALSE)</f>
        <v>Office Supplies</v>
      </c>
      <c r="O429" s="133">
        <f t="shared" si="4"/>
        <v>0.806130127</v>
      </c>
      <c r="P429" s="38" t="str">
        <f>VLOOKUP(E429,countries!A$2:E$250,3,false)</f>
        <v>France</v>
      </c>
      <c r="Q429" s="38" t="str">
        <f>VLOOKUP($E429,countries!$A$2:$E$250,4,false)</f>
        <v>Europe</v>
      </c>
      <c r="R429" s="38" t="str">
        <f>VLOOKUP($E429,countries!$A$2:$E$250,5,false)</f>
        <v>Western Europe</v>
      </c>
      <c r="S429" s="38">
        <f t="shared" si="5"/>
        <v>25</v>
      </c>
      <c r="T429" s="38" t="s">
        <v>153</v>
      </c>
      <c r="U429" s="38">
        <v>2012.0</v>
      </c>
      <c r="V429" s="38">
        <v>1.0</v>
      </c>
      <c r="W429" s="38" t="s">
        <v>97</v>
      </c>
      <c r="X429" s="38" t="s">
        <v>157</v>
      </c>
      <c r="Y429" s="38" t="s">
        <v>146</v>
      </c>
      <c r="Z429" s="38" t="s">
        <v>158</v>
      </c>
      <c r="AA429" s="113" t="str">
        <f t="array" ref="AA429">PROPER(G429)</f>
        <v>Online</v>
      </c>
    </row>
    <row r="430">
      <c r="A430" s="110">
        <v>3.91849982E8</v>
      </c>
      <c r="B430" s="131">
        <v>42704.0</v>
      </c>
      <c r="C430" s="131">
        <v>42715.0</v>
      </c>
      <c r="D430" s="110" t="s">
        <v>95</v>
      </c>
      <c r="E430" s="110" t="s">
        <v>102</v>
      </c>
      <c r="F430" s="110">
        <v>2103.0</v>
      </c>
      <c r="G430" s="38" t="s">
        <v>42</v>
      </c>
      <c r="H430" s="110">
        <v>5972.0</v>
      </c>
      <c r="I430" s="132">
        <v>205.7</v>
      </c>
      <c r="J430" s="132">
        <v>117.11</v>
      </c>
      <c r="K430" s="39">
        <f t="shared" si="1"/>
        <v>1228440.4</v>
      </c>
      <c r="L430" s="39">
        <f t="shared" si="2"/>
        <v>699380.92</v>
      </c>
      <c r="M430" s="39">
        <f t="shared" si="3"/>
        <v>529059.48</v>
      </c>
      <c r="N430" s="38" t="str">
        <f>VLOOKUP(F430,products!$A$2:$B$13,2,FALSE)</f>
        <v>Cereal</v>
      </c>
      <c r="O430" s="133">
        <f t="shared" si="4"/>
        <v>0.5693242586</v>
      </c>
      <c r="P430" s="38" t="str">
        <f>VLOOKUP(E430,countries!A$2:E$250,3,false)</f>
        <v>Georgia</v>
      </c>
      <c r="Q430" s="38" t="str">
        <f>VLOOKUP($E430,countries!$A$2:$E$250,4,false)</f>
        <v>Asia</v>
      </c>
      <c r="R430" s="38" t="str">
        <f>VLOOKUP($E430,countries!$A$2:$E$250,5,false)</f>
        <v>Western Asia</v>
      </c>
      <c r="S430" s="38">
        <f t="shared" si="5"/>
        <v>11</v>
      </c>
      <c r="T430" s="38" t="s">
        <v>144</v>
      </c>
      <c r="U430" s="38">
        <v>2016.0</v>
      </c>
      <c r="V430" s="38">
        <v>11.0</v>
      </c>
      <c r="W430" s="38" t="s">
        <v>102</v>
      </c>
      <c r="X430" s="38" t="s">
        <v>168</v>
      </c>
      <c r="Y430" s="38" t="s">
        <v>165</v>
      </c>
      <c r="Z430" s="38" t="s">
        <v>166</v>
      </c>
      <c r="AA430" s="113" t="str">
        <f t="array" ref="AA430">PROPER(G430)</f>
        <v>Offline</v>
      </c>
    </row>
    <row r="431">
      <c r="A431" s="110">
        <v>3.92217338E8</v>
      </c>
      <c r="B431" s="131">
        <v>42441.0</v>
      </c>
      <c r="C431" s="131">
        <v>42444.0</v>
      </c>
      <c r="D431" s="110" t="s">
        <v>93</v>
      </c>
      <c r="E431" s="110" t="s">
        <v>90</v>
      </c>
      <c r="F431" s="110">
        <v>8969.0</v>
      </c>
      <c r="G431" s="38" t="s">
        <v>42</v>
      </c>
      <c r="H431" s="110">
        <v>4681.0</v>
      </c>
      <c r="I431" s="132">
        <v>152.58</v>
      </c>
      <c r="J431" s="132">
        <v>97.44</v>
      </c>
      <c r="K431" s="39">
        <f t="shared" si="1"/>
        <v>714226.98</v>
      </c>
      <c r="L431" s="39">
        <f t="shared" si="2"/>
        <v>456116.64</v>
      </c>
      <c r="M431" s="39">
        <f t="shared" si="3"/>
        <v>258110.34</v>
      </c>
      <c r="N431" s="38" t="str">
        <f>VLOOKUP(F431,products!$A$2:$B$13,2,FALSE)</f>
        <v>Snacks</v>
      </c>
      <c r="O431" s="133">
        <f t="shared" si="4"/>
        <v>0.6386158081</v>
      </c>
      <c r="P431" s="38" t="str">
        <f>VLOOKUP(E431,countries!A$2:E$250,3,false)</f>
        <v>Norway</v>
      </c>
      <c r="Q431" s="38" t="str">
        <f>VLOOKUP($E431,countries!$A$2:$E$250,4,false)</f>
        <v>Europe</v>
      </c>
      <c r="R431" s="38" t="str">
        <f>VLOOKUP($E431,countries!$A$2:$E$250,5,false)</f>
        <v>Northern Europe</v>
      </c>
      <c r="S431" s="38">
        <f t="shared" si="5"/>
        <v>3</v>
      </c>
      <c r="T431" s="38" t="s">
        <v>182</v>
      </c>
      <c r="U431" s="38">
        <v>2016.0</v>
      </c>
      <c r="V431" s="38">
        <v>3.0</v>
      </c>
      <c r="W431" s="38" t="s">
        <v>90</v>
      </c>
      <c r="X431" s="38" t="s">
        <v>183</v>
      </c>
      <c r="Y431" s="38" t="s">
        <v>146</v>
      </c>
      <c r="Z431" s="38" t="s">
        <v>170</v>
      </c>
      <c r="AA431" s="113" t="str">
        <f t="array" ref="AA431">PROPER(G431)</f>
        <v>Offline</v>
      </c>
    </row>
    <row r="432">
      <c r="A432" s="110">
        <v>3.92252957E8</v>
      </c>
      <c r="B432" s="131">
        <v>42008.0</v>
      </c>
      <c r="C432" s="131">
        <v>42057.0</v>
      </c>
      <c r="D432" s="110" t="s">
        <v>89</v>
      </c>
      <c r="E432" s="110" t="s">
        <v>98</v>
      </c>
      <c r="F432" s="110">
        <v>2103.0</v>
      </c>
      <c r="G432" s="38" t="s">
        <v>42</v>
      </c>
      <c r="H432" s="110">
        <v>5222.0</v>
      </c>
      <c r="I432" s="132">
        <v>205.7</v>
      </c>
      <c r="J432" s="132">
        <v>117.11</v>
      </c>
      <c r="K432" s="39">
        <f t="shared" si="1"/>
        <v>1074165.4</v>
      </c>
      <c r="L432" s="39">
        <f t="shared" si="2"/>
        <v>611548.42</v>
      </c>
      <c r="M432" s="39">
        <f t="shared" si="3"/>
        <v>462616.98</v>
      </c>
      <c r="N432" s="38" t="str">
        <f>VLOOKUP(F432,products!$A$2:$B$13,2,FALSE)</f>
        <v>Cereal</v>
      </c>
      <c r="O432" s="133">
        <f t="shared" si="4"/>
        <v>0.5693242586</v>
      </c>
      <c r="P432" s="38" t="str">
        <f>VLOOKUP(E432,countries!A$2:E$250,3,false)</f>
        <v>Spain</v>
      </c>
      <c r="Q432" s="38" t="str">
        <f>VLOOKUP($E432,countries!$A$2:$E$250,4,false)</f>
        <v>Europe</v>
      </c>
      <c r="R432" s="38" t="str">
        <f>VLOOKUP($E432,countries!$A$2:$E$250,5,false)</f>
        <v>Southern Europe</v>
      </c>
      <c r="S432" s="38">
        <f t="shared" si="5"/>
        <v>49</v>
      </c>
      <c r="T432" s="38" t="s">
        <v>144</v>
      </c>
      <c r="U432" s="38">
        <v>2015.0</v>
      </c>
      <c r="V432" s="38">
        <v>1.0</v>
      </c>
      <c r="W432" s="38" t="s">
        <v>98</v>
      </c>
      <c r="X432" s="38" t="s">
        <v>160</v>
      </c>
      <c r="Y432" s="38" t="s">
        <v>146</v>
      </c>
      <c r="Z432" s="38" t="s">
        <v>147</v>
      </c>
      <c r="AA432" s="113" t="str">
        <f t="array" ref="AA432">PROPER(G432)</f>
        <v>Offline</v>
      </c>
    </row>
    <row r="433">
      <c r="A433" s="110">
        <v>3.92518174E8</v>
      </c>
      <c r="B433" s="131">
        <v>40719.0</v>
      </c>
      <c r="C433" s="131">
        <v>40727.0</v>
      </c>
      <c r="D433" s="110" t="s">
        <v>89</v>
      </c>
      <c r="E433" s="110" t="s">
        <v>91</v>
      </c>
      <c r="F433" s="110">
        <v>5988.0</v>
      </c>
      <c r="G433" s="38" t="s">
        <v>42</v>
      </c>
      <c r="H433" s="110">
        <v>3705.0</v>
      </c>
      <c r="I433" s="132">
        <v>154.06</v>
      </c>
      <c r="J433" s="132">
        <v>90.93</v>
      </c>
      <c r="K433" s="39">
        <f t="shared" si="1"/>
        <v>570792.3</v>
      </c>
      <c r="L433" s="39">
        <f t="shared" si="2"/>
        <v>336895.65</v>
      </c>
      <c r="M433" s="39">
        <f t="shared" si="3"/>
        <v>233896.65</v>
      </c>
      <c r="N433" s="38" t="str">
        <f>VLOOKUP(F433,products!$A$2:$B$13,2,FALSE)</f>
        <v>Vegetables</v>
      </c>
      <c r="O433" s="133">
        <f t="shared" si="4"/>
        <v>0.5902245878</v>
      </c>
      <c r="P433" s="38" t="str">
        <f>VLOOKUP(E433,countries!A$2:E$250,3,false)</f>
        <v>Serbia</v>
      </c>
      <c r="Q433" s="38" t="str">
        <f>VLOOKUP($E433,countries!$A$2:$E$250,4,false)</f>
        <v>Europe</v>
      </c>
      <c r="R433" s="38" t="str">
        <f>VLOOKUP($E433,countries!$A$2:$E$250,5,false)</f>
        <v>Southern Europe</v>
      </c>
      <c r="S433" s="38">
        <f t="shared" si="5"/>
        <v>8</v>
      </c>
      <c r="T433" s="38" t="s">
        <v>159</v>
      </c>
      <c r="U433" s="38">
        <v>2011.0</v>
      </c>
      <c r="V433" s="38">
        <v>6.0</v>
      </c>
      <c r="W433" s="38" t="s">
        <v>91</v>
      </c>
      <c r="X433" s="38" t="s">
        <v>145</v>
      </c>
      <c r="Y433" s="38" t="s">
        <v>146</v>
      </c>
      <c r="Z433" s="38" t="s">
        <v>147</v>
      </c>
      <c r="AA433" s="113" t="str">
        <f t="array" ref="AA433">PROPER(G433)</f>
        <v>Offline</v>
      </c>
    </row>
    <row r="434">
      <c r="A434" s="110">
        <v>3.92676532E8</v>
      </c>
      <c r="B434" s="131">
        <v>40729.0</v>
      </c>
      <c r="C434" s="131">
        <v>40761.0</v>
      </c>
      <c r="D434" s="110" t="s">
        <v>95</v>
      </c>
      <c r="E434" s="110" t="s">
        <v>108</v>
      </c>
      <c r="F434" s="110">
        <v>2103.0</v>
      </c>
      <c r="G434" s="38" t="s">
        <v>42</v>
      </c>
      <c r="H434" s="110">
        <v>567.0</v>
      </c>
      <c r="I434" s="132">
        <v>205.7</v>
      </c>
      <c r="J434" s="132">
        <v>117.11</v>
      </c>
      <c r="K434" s="39">
        <f t="shared" si="1"/>
        <v>116631.9</v>
      </c>
      <c r="L434" s="39">
        <f t="shared" si="2"/>
        <v>66401.37</v>
      </c>
      <c r="M434" s="39">
        <f t="shared" si="3"/>
        <v>50230.53</v>
      </c>
      <c r="N434" s="38" t="str">
        <f>VLOOKUP(F434,products!$A$2:$B$13,2,FALSE)</f>
        <v>Cereal</v>
      </c>
      <c r="O434" s="133">
        <f t="shared" si="4"/>
        <v>0.5693242586</v>
      </c>
      <c r="P434" s="38" t="str">
        <f>VLOOKUP(E434,countries!A$2:E$250,3,false)</f>
        <v>Cyprus</v>
      </c>
      <c r="Q434" s="38" t="str">
        <f>VLOOKUP($E434,countries!$A$2:$E$250,4,false)</f>
        <v>Asia</v>
      </c>
      <c r="R434" s="38" t="str">
        <f>VLOOKUP($E434,countries!$A$2:$E$250,5,false)</f>
        <v>Western Asia</v>
      </c>
      <c r="S434" s="38">
        <f t="shared" si="5"/>
        <v>32</v>
      </c>
      <c r="T434" s="38" t="s">
        <v>144</v>
      </c>
      <c r="U434" s="38">
        <v>2011.0</v>
      </c>
      <c r="V434" s="38">
        <v>7.0</v>
      </c>
      <c r="W434" s="38" t="s">
        <v>108</v>
      </c>
      <c r="X434" s="38" t="s">
        <v>175</v>
      </c>
      <c r="Y434" s="38" t="s">
        <v>165</v>
      </c>
      <c r="Z434" s="38" t="s">
        <v>166</v>
      </c>
      <c r="AA434" s="113" t="str">
        <f t="array" ref="AA434">PROPER(G434)</f>
        <v>Offline</v>
      </c>
    </row>
    <row r="435">
      <c r="A435" s="110">
        <v>3.92752492E8</v>
      </c>
      <c r="B435" s="131">
        <v>40306.0</v>
      </c>
      <c r="C435" s="131">
        <v>40332.0</v>
      </c>
      <c r="D435" s="110" t="s">
        <v>95</v>
      </c>
      <c r="E435" s="110" t="s">
        <v>121</v>
      </c>
      <c r="F435" s="110">
        <v>3127.0</v>
      </c>
      <c r="G435" s="38" t="s">
        <v>42</v>
      </c>
      <c r="H435" s="110">
        <v>3045.0</v>
      </c>
      <c r="I435" s="132">
        <v>81.73</v>
      </c>
      <c r="J435" s="132">
        <v>56.67</v>
      </c>
      <c r="K435" s="39">
        <f t="shared" si="1"/>
        <v>248867.85</v>
      </c>
      <c r="L435" s="39">
        <f t="shared" si="2"/>
        <v>172560.15</v>
      </c>
      <c r="M435" s="39">
        <f t="shared" si="3"/>
        <v>76307.7</v>
      </c>
      <c r="N435" s="38" t="str">
        <f>VLOOKUP(F435,products!$A$2:$B$13,2,FALSE)</f>
        <v>Personal Care</v>
      </c>
      <c r="O435" s="133">
        <f t="shared" si="4"/>
        <v>0.6933806436</v>
      </c>
      <c r="P435" s="38" t="str">
        <f>VLOOKUP(E435,countries!A$2:E$250,3,false)</f>
        <v>Netherlands</v>
      </c>
      <c r="Q435" s="38" t="str">
        <f>VLOOKUP($E435,countries!$A$2:$E$250,4,false)</f>
        <v>Europe</v>
      </c>
      <c r="R435" s="38" t="str">
        <f>VLOOKUP($E435,countries!$A$2:$E$250,5,false)</f>
        <v>Western Europe</v>
      </c>
      <c r="S435" s="38">
        <f t="shared" si="5"/>
        <v>26</v>
      </c>
      <c r="T435" s="38" t="s">
        <v>185</v>
      </c>
      <c r="U435" s="38">
        <v>2010.0</v>
      </c>
      <c r="V435" s="38">
        <v>5.0</v>
      </c>
      <c r="W435" s="38" t="s">
        <v>121</v>
      </c>
      <c r="X435" s="38" t="s">
        <v>192</v>
      </c>
      <c r="Y435" s="38" t="s">
        <v>146</v>
      </c>
      <c r="Z435" s="38" t="s">
        <v>158</v>
      </c>
      <c r="AA435" s="113" t="str">
        <f t="array" ref="AA435">PROPER(G435)</f>
        <v>Offline</v>
      </c>
    </row>
    <row r="436">
      <c r="A436" s="110">
        <v>3.93709933E8</v>
      </c>
      <c r="B436" s="131">
        <v>42806.0</v>
      </c>
      <c r="C436" s="131">
        <v>42850.0</v>
      </c>
      <c r="D436" s="110" t="s">
        <v>10</v>
      </c>
      <c r="E436" s="110" t="s">
        <v>97</v>
      </c>
      <c r="F436" s="110">
        <v>4594.0</v>
      </c>
      <c r="G436" s="38" t="s">
        <v>42</v>
      </c>
      <c r="H436" s="110">
        <v>6373.0</v>
      </c>
      <c r="I436" s="132">
        <v>9.33</v>
      </c>
      <c r="J436" s="132">
        <v>6.92</v>
      </c>
      <c r="K436" s="39">
        <f t="shared" si="1"/>
        <v>59460.09</v>
      </c>
      <c r="L436" s="39">
        <f t="shared" si="2"/>
        <v>44101.16</v>
      </c>
      <c r="M436" s="39">
        <f t="shared" si="3"/>
        <v>15358.93</v>
      </c>
      <c r="N436" s="38" t="str">
        <f>VLOOKUP(F436,products!$A$2:$B$13,2,FALSE)</f>
        <v>Fruits</v>
      </c>
      <c r="O436" s="133">
        <f t="shared" si="4"/>
        <v>0.741693462</v>
      </c>
      <c r="P436" s="38" t="str">
        <f>VLOOKUP(E436,countries!A$2:E$250,3,false)</f>
        <v>France</v>
      </c>
      <c r="Q436" s="38" t="str">
        <f>VLOOKUP($E436,countries!$A$2:$E$250,4,false)</f>
        <v>Europe</v>
      </c>
      <c r="R436" s="38" t="str">
        <f>VLOOKUP($E436,countries!$A$2:$E$250,5,false)</f>
        <v>Western Europe</v>
      </c>
      <c r="S436" s="38">
        <f t="shared" si="5"/>
        <v>44</v>
      </c>
      <c r="T436" s="38" t="s">
        <v>156</v>
      </c>
      <c r="U436" s="38">
        <v>2017.0</v>
      </c>
      <c r="V436" s="38">
        <v>3.0</v>
      </c>
      <c r="W436" s="38" t="s">
        <v>97</v>
      </c>
      <c r="X436" s="38" t="s">
        <v>157</v>
      </c>
      <c r="Y436" s="38" t="s">
        <v>146</v>
      </c>
      <c r="Z436" s="38" t="s">
        <v>158</v>
      </c>
      <c r="AA436" s="113" t="str">
        <f t="array" ref="AA436">PROPER(G436)</f>
        <v>Offline</v>
      </c>
    </row>
    <row r="437">
      <c r="A437" s="110">
        <v>3.93842971E8</v>
      </c>
      <c r="B437" s="131">
        <v>40190.0</v>
      </c>
      <c r="C437" s="131">
        <v>40209.0</v>
      </c>
      <c r="D437" s="110" t="s">
        <v>93</v>
      </c>
      <c r="E437" s="110" t="s">
        <v>91</v>
      </c>
      <c r="F437" s="110">
        <v>2455.0</v>
      </c>
      <c r="G437" s="38" t="s">
        <v>42</v>
      </c>
      <c r="H437" s="110">
        <v>5742.0</v>
      </c>
      <c r="I437" s="132">
        <v>109.28</v>
      </c>
      <c r="J437" s="132">
        <v>35.84</v>
      </c>
      <c r="K437" s="39">
        <f t="shared" si="1"/>
        <v>627485.76</v>
      </c>
      <c r="L437" s="39">
        <f t="shared" si="2"/>
        <v>205793.28</v>
      </c>
      <c r="M437" s="39">
        <f t="shared" si="3"/>
        <v>421692.48</v>
      </c>
      <c r="N437" s="38" t="str">
        <f>VLOOKUP(F437,products!$A$2:$B$13,2,FALSE)</f>
        <v>Clothes</v>
      </c>
      <c r="O437" s="133">
        <f t="shared" si="4"/>
        <v>0.3279648609</v>
      </c>
      <c r="P437" s="38" t="str">
        <f>VLOOKUP(E437,countries!A$2:E$250,3,false)</f>
        <v>Serbia</v>
      </c>
      <c r="Q437" s="38" t="str">
        <f>VLOOKUP($E437,countries!$A$2:$E$250,4,false)</f>
        <v>Europe</v>
      </c>
      <c r="R437" s="38" t="str">
        <f>VLOOKUP($E437,countries!$A$2:$E$250,5,false)</f>
        <v>Southern Europe</v>
      </c>
      <c r="S437" s="38">
        <f t="shared" si="5"/>
        <v>19</v>
      </c>
      <c r="T437" s="38" t="s">
        <v>150</v>
      </c>
      <c r="U437" s="38">
        <v>2010.0</v>
      </c>
      <c r="V437" s="38">
        <v>1.0</v>
      </c>
      <c r="W437" s="38" t="s">
        <v>91</v>
      </c>
      <c r="X437" s="38" t="s">
        <v>145</v>
      </c>
      <c r="Y437" s="38" t="s">
        <v>146</v>
      </c>
      <c r="Z437" s="38" t="s">
        <v>147</v>
      </c>
      <c r="AA437" s="113" t="str">
        <f t="array" ref="AA437">PROPER(G437)</f>
        <v>Offline</v>
      </c>
    </row>
    <row r="438">
      <c r="A438" s="110">
        <v>3.9385842E8</v>
      </c>
      <c r="B438" s="131">
        <v>41135.0</v>
      </c>
      <c r="C438" s="131">
        <v>41150.0</v>
      </c>
      <c r="D438" s="110" t="s">
        <v>93</v>
      </c>
      <c r="E438" s="110" t="s">
        <v>96</v>
      </c>
      <c r="F438" s="110">
        <v>4594.0</v>
      </c>
      <c r="G438" s="38" t="s">
        <v>42</v>
      </c>
      <c r="H438" s="110">
        <v>314.0</v>
      </c>
      <c r="I438" s="132">
        <v>9.33</v>
      </c>
      <c r="J438" s="132">
        <v>6.92</v>
      </c>
      <c r="K438" s="39">
        <f t="shared" si="1"/>
        <v>2929.62</v>
      </c>
      <c r="L438" s="39">
        <f t="shared" si="2"/>
        <v>2172.88</v>
      </c>
      <c r="M438" s="39">
        <f t="shared" si="3"/>
        <v>756.74</v>
      </c>
      <c r="N438" s="38" t="str">
        <f>VLOOKUP(F438,products!$A$2:$B$13,2,FALSE)</f>
        <v>Fruits</v>
      </c>
      <c r="O438" s="133">
        <f t="shared" si="4"/>
        <v>0.741693462</v>
      </c>
      <c r="P438" s="38" t="str">
        <f>VLOOKUP(E438,countries!A$2:E$250,3,false)</f>
        <v>Slovakia</v>
      </c>
      <c r="Q438" s="38" t="str">
        <f>VLOOKUP($E438,countries!$A$2:$E$250,4,false)</f>
        <v>Europe</v>
      </c>
      <c r="R438" s="38" t="str">
        <f>VLOOKUP($E438,countries!$A$2:$E$250,5,false)</f>
        <v>Eastern Europe</v>
      </c>
      <c r="S438" s="38">
        <f t="shared" si="5"/>
        <v>15</v>
      </c>
      <c r="T438" s="38" t="s">
        <v>156</v>
      </c>
      <c r="U438" s="38">
        <v>2012.0</v>
      </c>
      <c r="V438" s="38">
        <v>8.0</v>
      </c>
      <c r="W438" s="38" t="s">
        <v>96</v>
      </c>
      <c r="X438" s="38" t="s">
        <v>154</v>
      </c>
      <c r="Y438" s="38" t="s">
        <v>146</v>
      </c>
      <c r="Z438" s="38" t="s">
        <v>155</v>
      </c>
      <c r="AA438" s="113" t="str">
        <f t="array" ref="AA438">PROPER(G438)</f>
        <v>Offline</v>
      </c>
    </row>
    <row r="439">
      <c r="A439" s="110">
        <v>3.94110763E8</v>
      </c>
      <c r="B439" s="131">
        <v>40903.0</v>
      </c>
      <c r="C439" s="131">
        <v>40906.0</v>
      </c>
      <c r="D439" s="110" t="s">
        <v>10</v>
      </c>
      <c r="E439" s="110" t="s">
        <v>109</v>
      </c>
      <c r="F439" s="110">
        <v>5988.0</v>
      </c>
      <c r="G439" s="38" t="s">
        <v>42</v>
      </c>
      <c r="H439" s="110">
        <v>4988.0</v>
      </c>
      <c r="I439" s="132">
        <v>154.06</v>
      </c>
      <c r="J439" s="132">
        <v>90.93</v>
      </c>
      <c r="K439" s="39">
        <f t="shared" si="1"/>
        <v>768451.28</v>
      </c>
      <c r="L439" s="39">
        <f t="shared" si="2"/>
        <v>453558.84</v>
      </c>
      <c r="M439" s="39">
        <f t="shared" si="3"/>
        <v>314892.44</v>
      </c>
      <c r="N439" s="38" t="str">
        <f>VLOOKUP(F439,products!$A$2:$B$13,2,FALSE)</f>
        <v>Vegetables</v>
      </c>
      <c r="O439" s="133">
        <f t="shared" si="4"/>
        <v>0.5902245878</v>
      </c>
      <c r="P439" s="38" t="str">
        <f>VLOOKUP(E439,countries!A$2:E$250,3,false)</f>
        <v>Belgium</v>
      </c>
      <c r="Q439" s="38" t="str">
        <f>VLOOKUP($E439,countries!$A$2:$E$250,4,false)</f>
        <v>Europe</v>
      </c>
      <c r="R439" s="38" t="str">
        <f>VLOOKUP($E439,countries!$A$2:$E$250,5,false)</f>
        <v>Western Europe</v>
      </c>
      <c r="S439" s="38">
        <f t="shared" si="5"/>
        <v>3</v>
      </c>
      <c r="T439" s="38" t="s">
        <v>159</v>
      </c>
      <c r="U439" s="38">
        <v>2011.0</v>
      </c>
      <c r="V439" s="38">
        <v>12.0</v>
      </c>
      <c r="W439" s="38" t="s">
        <v>109</v>
      </c>
      <c r="X439" s="38" t="s">
        <v>176</v>
      </c>
      <c r="Y439" s="38" t="s">
        <v>146</v>
      </c>
      <c r="Z439" s="38" t="s">
        <v>158</v>
      </c>
      <c r="AA439" s="113" t="str">
        <f t="array" ref="AA439">PROPER(G439)</f>
        <v>Offline</v>
      </c>
    </row>
    <row r="440">
      <c r="A440" s="110">
        <v>3.94356667E8</v>
      </c>
      <c r="B440" s="131">
        <v>42581.0</v>
      </c>
      <c r="C440" s="131">
        <v>42586.0</v>
      </c>
      <c r="D440" s="110" t="s">
        <v>10</v>
      </c>
      <c r="E440" s="110" t="s">
        <v>103</v>
      </c>
      <c r="F440" s="110">
        <v>7940.0</v>
      </c>
      <c r="G440" s="38" t="s">
        <v>43</v>
      </c>
      <c r="H440" s="110">
        <v>7756.0</v>
      </c>
      <c r="I440" s="132">
        <v>668.27</v>
      </c>
      <c r="J440" s="132">
        <v>502.54</v>
      </c>
      <c r="K440" s="39">
        <f t="shared" si="1"/>
        <v>5183102.12</v>
      </c>
      <c r="L440" s="39">
        <f t="shared" si="2"/>
        <v>3897700.24</v>
      </c>
      <c r="M440" s="39">
        <f t="shared" si="3"/>
        <v>1285401.88</v>
      </c>
      <c r="N440" s="38" t="str">
        <f>VLOOKUP(F440,products!$A$2:$B$13,2,FALSE)</f>
        <v>Household</v>
      </c>
      <c r="O440" s="133">
        <f t="shared" si="4"/>
        <v>0.7520014365</v>
      </c>
      <c r="P440" s="38" t="str">
        <f>VLOOKUP(E440,countries!A$2:E$250,3,false)</f>
        <v>United Kingdom</v>
      </c>
      <c r="Q440" s="38" t="str">
        <f>VLOOKUP($E440,countries!$A$2:$E$250,4,false)</f>
        <v>Europe</v>
      </c>
      <c r="R440" s="38" t="str">
        <f>VLOOKUP($E440,countries!$A$2:$E$250,5,false)</f>
        <v>Northern Europe</v>
      </c>
      <c r="S440" s="38">
        <f t="shared" si="5"/>
        <v>5</v>
      </c>
      <c r="T440" s="38" t="s">
        <v>148</v>
      </c>
      <c r="U440" s="38">
        <v>2016.0</v>
      </c>
      <c r="V440" s="38">
        <v>7.0</v>
      </c>
      <c r="W440" s="38" t="s">
        <v>103</v>
      </c>
      <c r="X440" s="38" t="s">
        <v>169</v>
      </c>
      <c r="Y440" s="38" t="s">
        <v>146</v>
      </c>
      <c r="Z440" s="38" t="s">
        <v>170</v>
      </c>
      <c r="AA440" s="113" t="str">
        <f t="array" ref="AA440">PROPER(G440)</f>
        <v>Online</v>
      </c>
    </row>
    <row r="441">
      <c r="A441" s="110">
        <v>3.9445666E8</v>
      </c>
      <c r="B441" s="131">
        <v>42400.0</v>
      </c>
      <c r="C441" s="131">
        <v>42409.0</v>
      </c>
      <c r="D441" s="110" t="s">
        <v>95</v>
      </c>
      <c r="E441" s="110" t="s">
        <v>94</v>
      </c>
      <c r="F441" s="110">
        <v>4594.0</v>
      </c>
      <c r="G441" s="38" t="s">
        <v>43</v>
      </c>
      <c r="H441" s="110">
        <v>7346.0</v>
      </c>
      <c r="I441" s="132">
        <v>9.33</v>
      </c>
      <c r="J441" s="132">
        <v>6.92</v>
      </c>
      <c r="K441" s="39">
        <f t="shared" si="1"/>
        <v>68538.18</v>
      </c>
      <c r="L441" s="39">
        <f t="shared" si="2"/>
        <v>50834.32</v>
      </c>
      <c r="M441" s="39">
        <f t="shared" si="3"/>
        <v>17703.86</v>
      </c>
      <c r="N441" s="38" t="str">
        <f>VLOOKUP(F441,products!$A$2:$B$13,2,FALSE)</f>
        <v>Fruits</v>
      </c>
      <c r="O441" s="133">
        <f t="shared" si="4"/>
        <v>0.741693462</v>
      </c>
      <c r="P441" s="38" t="str">
        <f>VLOOKUP(E441,countries!A$2:E$250,3,false)</f>
        <v>Montenegro</v>
      </c>
      <c r="Q441" s="38" t="str">
        <f>VLOOKUP($E441,countries!$A$2:$E$250,4,false)</f>
        <v>Europe</v>
      </c>
      <c r="R441" s="38" t="str">
        <f>VLOOKUP($E441,countries!$A$2:$E$250,5,false)</f>
        <v>Southern Europe</v>
      </c>
      <c r="S441" s="38">
        <f t="shared" si="5"/>
        <v>9</v>
      </c>
      <c r="T441" s="38" t="s">
        <v>156</v>
      </c>
      <c r="U441" s="38">
        <v>2016.0</v>
      </c>
      <c r="V441" s="38">
        <v>1.0</v>
      </c>
      <c r="W441" s="38" t="s">
        <v>94</v>
      </c>
      <c r="X441" s="38" t="s">
        <v>151</v>
      </c>
      <c r="Y441" s="38" t="s">
        <v>146</v>
      </c>
      <c r="Z441" s="38" t="s">
        <v>147</v>
      </c>
      <c r="AA441" s="113" t="str">
        <f t="array" ref="AA441">PROPER(G441)</f>
        <v>Online</v>
      </c>
    </row>
    <row r="442">
      <c r="A442" s="110">
        <v>3.95562589E8</v>
      </c>
      <c r="B442" s="131">
        <v>40463.0</v>
      </c>
      <c r="C442" s="131">
        <v>40513.0</v>
      </c>
      <c r="D442" s="110" t="s">
        <v>10</v>
      </c>
      <c r="E442" s="110" t="s">
        <v>91</v>
      </c>
      <c r="F442" s="110">
        <v>1270.0</v>
      </c>
      <c r="G442" s="38" t="s">
        <v>43</v>
      </c>
      <c r="H442" s="110">
        <v>4615.0</v>
      </c>
      <c r="I442" s="132">
        <v>47.45</v>
      </c>
      <c r="J442" s="132">
        <v>31.79</v>
      </c>
      <c r="K442" s="39">
        <f t="shared" si="1"/>
        <v>218981.75</v>
      </c>
      <c r="L442" s="39">
        <f t="shared" si="2"/>
        <v>146710.85</v>
      </c>
      <c r="M442" s="39">
        <f t="shared" si="3"/>
        <v>72270.9</v>
      </c>
      <c r="N442" s="38" t="str">
        <f>VLOOKUP(F442,products!$A$2:$B$13,2,FALSE)</f>
        <v>Beverages</v>
      </c>
      <c r="O442" s="133">
        <f t="shared" si="4"/>
        <v>0.6699683878</v>
      </c>
      <c r="P442" s="38" t="str">
        <f>VLOOKUP(E442,countries!A$2:E$250,3,false)</f>
        <v>Serbia</v>
      </c>
      <c r="Q442" s="38" t="str">
        <f>VLOOKUP($E442,countries!$A$2:$E$250,4,false)</f>
        <v>Europe</v>
      </c>
      <c r="R442" s="38" t="str">
        <f>VLOOKUP($E442,countries!$A$2:$E$250,5,false)</f>
        <v>Southern Europe</v>
      </c>
      <c r="S442" s="38">
        <f t="shared" si="5"/>
        <v>50</v>
      </c>
      <c r="T442" s="38" t="s">
        <v>152</v>
      </c>
      <c r="U442" s="38">
        <v>2010.0</v>
      </c>
      <c r="V442" s="38">
        <v>10.0</v>
      </c>
      <c r="W442" s="38" t="s">
        <v>91</v>
      </c>
      <c r="X442" s="38" t="s">
        <v>145</v>
      </c>
      <c r="Y442" s="38" t="s">
        <v>146</v>
      </c>
      <c r="Z442" s="38" t="s">
        <v>147</v>
      </c>
      <c r="AA442" s="113" t="str">
        <f t="array" ref="AA442">PROPER(G442)</f>
        <v>Online</v>
      </c>
    </row>
    <row r="443">
      <c r="A443" s="110">
        <v>3.96462953E8</v>
      </c>
      <c r="B443" s="131">
        <v>42390.0</v>
      </c>
      <c r="C443" s="131">
        <v>42426.0</v>
      </c>
      <c r="D443" s="110" t="s">
        <v>93</v>
      </c>
      <c r="E443" s="110" t="s">
        <v>127</v>
      </c>
      <c r="F443" s="110">
        <v>3127.0</v>
      </c>
      <c r="G443" s="38" t="s">
        <v>42</v>
      </c>
      <c r="H443" s="110">
        <v>1053.0</v>
      </c>
      <c r="I443" s="132">
        <v>81.73</v>
      </c>
      <c r="J443" s="132">
        <v>56.67</v>
      </c>
      <c r="K443" s="39">
        <f t="shared" si="1"/>
        <v>86061.69</v>
      </c>
      <c r="L443" s="39">
        <f t="shared" si="2"/>
        <v>59673.51</v>
      </c>
      <c r="M443" s="39">
        <f t="shared" si="3"/>
        <v>26388.18</v>
      </c>
      <c r="N443" s="38" t="str">
        <f>VLOOKUP(F443,products!$A$2:$B$13,2,FALSE)</f>
        <v>Personal Care</v>
      </c>
      <c r="O443" s="133">
        <f t="shared" si="4"/>
        <v>0.6933806436</v>
      </c>
      <c r="P443" s="38" t="str">
        <f>VLOOKUP(E443,countries!A$2:E$250,3,false)</f>
        <v>Ireland</v>
      </c>
      <c r="Q443" s="38" t="str">
        <f>VLOOKUP($E443,countries!$A$2:$E$250,4,false)</f>
        <v>Europe</v>
      </c>
      <c r="R443" s="38" t="str">
        <f>VLOOKUP($E443,countries!$A$2:$E$250,5,false)</f>
        <v>Northern Europe</v>
      </c>
      <c r="S443" s="38">
        <f t="shared" si="5"/>
        <v>36</v>
      </c>
      <c r="T443" s="38" t="s">
        <v>185</v>
      </c>
      <c r="U443" s="38">
        <v>2016.0</v>
      </c>
      <c r="V443" s="38">
        <v>1.0</v>
      </c>
      <c r="W443" s="38" t="s">
        <v>127</v>
      </c>
      <c r="X443" s="38" t="s">
        <v>198</v>
      </c>
      <c r="Y443" s="38" t="s">
        <v>146</v>
      </c>
      <c r="Z443" s="38" t="s">
        <v>170</v>
      </c>
      <c r="AA443" s="113" t="str">
        <f t="array" ref="AA443">PROPER(G443)</f>
        <v>Offline</v>
      </c>
    </row>
    <row r="444">
      <c r="A444" s="110">
        <v>3.96552217E8</v>
      </c>
      <c r="B444" s="131">
        <v>41706.0</v>
      </c>
      <c r="C444" s="131">
        <v>41753.0</v>
      </c>
      <c r="D444" s="110" t="s">
        <v>89</v>
      </c>
      <c r="E444" s="110" t="s">
        <v>108</v>
      </c>
      <c r="F444" s="110">
        <v>2455.0</v>
      </c>
      <c r="G444" s="38" t="s">
        <v>42</v>
      </c>
      <c r="H444" s="110">
        <v>7468.0</v>
      </c>
      <c r="I444" s="132">
        <v>109.28</v>
      </c>
      <c r="J444" s="132">
        <v>35.84</v>
      </c>
      <c r="K444" s="39">
        <f t="shared" si="1"/>
        <v>816103.04</v>
      </c>
      <c r="L444" s="39">
        <f t="shared" si="2"/>
        <v>267653.12</v>
      </c>
      <c r="M444" s="39">
        <f t="shared" si="3"/>
        <v>548449.92</v>
      </c>
      <c r="N444" s="38" t="str">
        <f>VLOOKUP(F444,products!$A$2:$B$13,2,FALSE)</f>
        <v>Clothes</v>
      </c>
      <c r="O444" s="133">
        <f t="shared" si="4"/>
        <v>0.3279648609</v>
      </c>
      <c r="P444" s="38" t="str">
        <f>VLOOKUP(E444,countries!A$2:E$250,3,false)</f>
        <v>Cyprus</v>
      </c>
      <c r="Q444" s="38" t="str">
        <f>VLOOKUP($E444,countries!$A$2:$E$250,4,false)</f>
        <v>Asia</v>
      </c>
      <c r="R444" s="38" t="str">
        <f>VLOOKUP($E444,countries!$A$2:$E$250,5,false)</f>
        <v>Western Asia</v>
      </c>
      <c r="S444" s="38">
        <f t="shared" si="5"/>
        <v>47</v>
      </c>
      <c r="T444" s="38" t="s">
        <v>150</v>
      </c>
      <c r="U444" s="38">
        <v>2014.0</v>
      </c>
      <c r="V444" s="38">
        <v>3.0</v>
      </c>
      <c r="W444" s="38" t="s">
        <v>108</v>
      </c>
      <c r="X444" s="38" t="s">
        <v>175</v>
      </c>
      <c r="Y444" s="38" t="s">
        <v>165</v>
      </c>
      <c r="Z444" s="38" t="s">
        <v>166</v>
      </c>
      <c r="AA444" s="113" t="str">
        <f t="array" ref="AA444">PROPER(G444)</f>
        <v>Offline</v>
      </c>
    </row>
    <row r="445">
      <c r="A445" s="110">
        <v>3.96718728E8</v>
      </c>
      <c r="B445" s="131">
        <v>40216.0</v>
      </c>
      <c r="C445" s="131">
        <v>40255.0</v>
      </c>
      <c r="D445" s="110" t="s">
        <v>93</v>
      </c>
      <c r="E445" s="110" t="s">
        <v>133</v>
      </c>
      <c r="F445" s="110">
        <v>3127.0</v>
      </c>
      <c r="G445" s="38" t="s">
        <v>42</v>
      </c>
      <c r="H445" s="110">
        <v>6742.0</v>
      </c>
      <c r="I445" s="132">
        <v>81.73</v>
      </c>
      <c r="J445" s="132">
        <v>56.67</v>
      </c>
      <c r="K445" s="39">
        <f t="shared" si="1"/>
        <v>551023.66</v>
      </c>
      <c r="L445" s="39">
        <f t="shared" si="2"/>
        <v>382069.14</v>
      </c>
      <c r="M445" s="39">
        <f t="shared" si="3"/>
        <v>168954.52</v>
      </c>
      <c r="N445" s="38" t="str">
        <f>VLOOKUP(F445,products!$A$2:$B$13,2,FALSE)</f>
        <v>Personal Care</v>
      </c>
      <c r="O445" s="133">
        <f t="shared" si="4"/>
        <v>0.6933806436</v>
      </c>
      <c r="P445" s="38" t="str">
        <f>VLOOKUP(E445,countries!A$2:E$250,3,false)</f>
        <v>Bosnia and Herzegovina</v>
      </c>
      <c r="Q445" s="38" t="str">
        <f>VLOOKUP($E445,countries!$A$2:$E$250,4,false)</f>
        <v>Europe</v>
      </c>
      <c r="R445" s="38" t="str">
        <f>VLOOKUP($E445,countries!$A$2:$E$250,5,false)</f>
        <v>Southern Europe</v>
      </c>
      <c r="S445" s="38">
        <f t="shared" si="5"/>
        <v>39</v>
      </c>
      <c r="T445" s="38" t="s">
        <v>185</v>
      </c>
      <c r="U445" s="38">
        <v>2010.0</v>
      </c>
      <c r="V445" s="38">
        <v>2.0</v>
      </c>
      <c r="W445" s="38" t="s">
        <v>133</v>
      </c>
      <c r="X445" s="38" t="s">
        <v>204</v>
      </c>
      <c r="Y445" s="38" t="s">
        <v>146</v>
      </c>
      <c r="Z445" s="38" t="s">
        <v>147</v>
      </c>
      <c r="AA445" s="113" t="str">
        <f t="array" ref="AA445">PROPER(G445)</f>
        <v>Offline</v>
      </c>
    </row>
    <row r="446">
      <c r="A446" s="110">
        <v>3.96832883E8</v>
      </c>
      <c r="B446" s="131">
        <v>41362.0</v>
      </c>
      <c r="C446" s="131">
        <v>41364.0</v>
      </c>
      <c r="D446" s="110" t="s">
        <v>89</v>
      </c>
      <c r="E446" s="110" t="s">
        <v>99</v>
      </c>
      <c r="F446" s="110">
        <v>3127.0</v>
      </c>
      <c r="G446" s="38" t="s">
        <v>42</v>
      </c>
      <c r="H446" s="110">
        <v>523.0</v>
      </c>
      <c r="I446" s="132">
        <v>81.73</v>
      </c>
      <c r="J446" s="132">
        <v>56.67</v>
      </c>
      <c r="K446" s="39">
        <f t="shared" si="1"/>
        <v>42744.79</v>
      </c>
      <c r="L446" s="39">
        <f t="shared" si="2"/>
        <v>29638.41</v>
      </c>
      <c r="M446" s="39">
        <f t="shared" si="3"/>
        <v>13106.38</v>
      </c>
      <c r="N446" s="38" t="str">
        <f>VLOOKUP(F446,products!$A$2:$B$13,2,FALSE)</f>
        <v>Personal Care</v>
      </c>
      <c r="O446" s="133">
        <f t="shared" si="4"/>
        <v>0.6933806436</v>
      </c>
      <c r="P446" s="38" t="str">
        <f>VLOOKUP(E446,countries!A$2:E$250,3,false)</f>
        <v>Croatia</v>
      </c>
      <c r="Q446" s="38" t="str">
        <f>VLOOKUP($E446,countries!$A$2:$E$250,4,false)</f>
        <v>Europe</v>
      </c>
      <c r="R446" s="38" t="str">
        <f>VLOOKUP($E446,countries!$A$2:$E$250,5,false)</f>
        <v>Southern Europe</v>
      </c>
      <c r="S446" s="38">
        <f t="shared" si="5"/>
        <v>2</v>
      </c>
      <c r="T446" s="38" t="s">
        <v>185</v>
      </c>
      <c r="U446" s="38">
        <v>2013.0</v>
      </c>
      <c r="V446" s="38">
        <v>3.0</v>
      </c>
      <c r="W446" s="38" t="s">
        <v>99</v>
      </c>
      <c r="X446" s="38" t="s">
        <v>162</v>
      </c>
      <c r="Y446" s="38" t="s">
        <v>146</v>
      </c>
      <c r="Z446" s="38" t="s">
        <v>147</v>
      </c>
      <c r="AA446" s="113" t="str">
        <f t="array" ref="AA446">PROPER(G446)</f>
        <v>Offline</v>
      </c>
    </row>
    <row r="447">
      <c r="A447" s="110">
        <v>3.97874438E8</v>
      </c>
      <c r="B447" s="131">
        <v>41941.0</v>
      </c>
      <c r="C447" s="131">
        <v>41974.0</v>
      </c>
      <c r="D447" s="110" t="s">
        <v>89</v>
      </c>
      <c r="E447" s="110" t="s">
        <v>96</v>
      </c>
      <c r="F447" s="110">
        <v>1270.0</v>
      </c>
      <c r="G447" s="38" t="s">
        <v>43</v>
      </c>
      <c r="H447" s="110">
        <v>8743.0</v>
      </c>
      <c r="I447" s="132">
        <v>47.45</v>
      </c>
      <c r="J447" s="132">
        <v>31.79</v>
      </c>
      <c r="K447" s="39">
        <f t="shared" si="1"/>
        <v>414855.35</v>
      </c>
      <c r="L447" s="39">
        <f t="shared" si="2"/>
        <v>277939.97</v>
      </c>
      <c r="M447" s="39">
        <f t="shared" si="3"/>
        <v>136915.38</v>
      </c>
      <c r="N447" s="38" t="str">
        <f>VLOOKUP(F447,products!$A$2:$B$13,2,FALSE)</f>
        <v>Beverages</v>
      </c>
      <c r="O447" s="133">
        <f t="shared" si="4"/>
        <v>0.6699683878</v>
      </c>
      <c r="P447" s="38" t="str">
        <f>VLOOKUP(E447,countries!A$2:E$250,3,false)</f>
        <v>Slovakia</v>
      </c>
      <c r="Q447" s="38" t="str">
        <f>VLOOKUP($E447,countries!$A$2:$E$250,4,false)</f>
        <v>Europe</v>
      </c>
      <c r="R447" s="38" t="str">
        <f>VLOOKUP($E447,countries!$A$2:$E$250,5,false)</f>
        <v>Eastern Europe</v>
      </c>
      <c r="S447" s="38">
        <f t="shared" si="5"/>
        <v>33</v>
      </c>
      <c r="T447" s="38" t="s">
        <v>152</v>
      </c>
      <c r="U447" s="38">
        <v>2014.0</v>
      </c>
      <c r="V447" s="38">
        <v>10.0</v>
      </c>
      <c r="W447" s="38" t="s">
        <v>96</v>
      </c>
      <c r="X447" s="38" t="s">
        <v>154</v>
      </c>
      <c r="Y447" s="38" t="s">
        <v>146</v>
      </c>
      <c r="Z447" s="38" t="s">
        <v>155</v>
      </c>
      <c r="AA447" s="113" t="str">
        <f t="array" ref="AA447">PROPER(G447)</f>
        <v>Online</v>
      </c>
    </row>
    <row r="448">
      <c r="A448" s="110">
        <v>3.98104035E8</v>
      </c>
      <c r="B448" s="131">
        <v>41085.0</v>
      </c>
      <c r="C448" s="131">
        <v>41133.0</v>
      </c>
      <c r="D448" s="110" t="s">
        <v>93</v>
      </c>
      <c r="E448" s="110" t="s">
        <v>112</v>
      </c>
      <c r="F448" s="110">
        <v>7331.0</v>
      </c>
      <c r="G448" s="38" t="s">
        <v>42</v>
      </c>
      <c r="H448" s="110">
        <v>6686.0</v>
      </c>
      <c r="I448" s="132">
        <v>255.28</v>
      </c>
      <c r="J448" s="132">
        <v>159.42</v>
      </c>
      <c r="K448" s="39">
        <f t="shared" si="1"/>
        <v>1706802.08</v>
      </c>
      <c r="L448" s="39">
        <f t="shared" si="2"/>
        <v>1065882.12</v>
      </c>
      <c r="M448" s="39">
        <f t="shared" si="3"/>
        <v>640919.96</v>
      </c>
      <c r="N448" s="38" t="str">
        <f>VLOOKUP(F448,products!$A$2:$B$13,2,FALSE)</f>
        <v>Baby Food</v>
      </c>
      <c r="O448" s="133">
        <f t="shared" si="4"/>
        <v>0.6244907552</v>
      </c>
      <c r="P448" s="38" t="str">
        <f>VLOOKUP(E448,countries!A$2:E$250,3,false)</f>
        <v>Malta</v>
      </c>
      <c r="Q448" s="38" t="str">
        <f>VLOOKUP($E448,countries!$A$2:$E$250,4,false)</f>
        <v>Europe</v>
      </c>
      <c r="R448" s="38" t="str">
        <f>VLOOKUP($E448,countries!$A$2:$E$250,5,false)</f>
        <v>Southern Europe</v>
      </c>
      <c r="S448" s="38">
        <f t="shared" si="5"/>
        <v>48</v>
      </c>
      <c r="T448" s="38" t="s">
        <v>161</v>
      </c>
      <c r="U448" s="38">
        <v>2012.0</v>
      </c>
      <c r="V448" s="38">
        <v>6.0</v>
      </c>
      <c r="W448" s="38" t="s">
        <v>112</v>
      </c>
      <c r="X448" s="38" t="s">
        <v>180</v>
      </c>
      <c r="Y448" s="38" t="s">
        <v>146</v>
      </c>
      <c r="Z448" s="38" t="s">
        <v>147</v>
      </c>
      <c r="AA448" s="113" t="str">
        <f t="array" ref="AA448">PROPER(G448)</f>
        <v>Offline</v>
      </c>
    </row>
    <row r="449">
      <c r="A449" s="110">
        <v>3.98333632E8</v>
      </c>
      <c r="B449" s="131">
        <v>40228.0</v>
      </c>
      <c r="C449" s="131">
        <v>40239.0</v>
      </c>
      <c r="D449" s="110" t="s">
        <v>10</v>
      </c>
      <c r="E449" s="110" t="s">
        <v>100</v>
      </c>
      <c r="F449" s="110">
        <v>2103.0</v>
      </c>
      <c r="G449" s="38" t="s">
        <v>42</v>
      </c>
      <c r="H449" s="110">
        <v>4629.0</v>
      </c>
      <c r="I449" s="132">
        <v>205.7</v>
      </c>
      <c r="J449" s="132">
        <v>117.11</v>
      </c>
      <c r="K449" s="39">
        <f t="shared" si="1"/>
        <v>952185.3</v>
      </c>
      <c r="L449" s="39">
        <f t="shared" si="2"/>
        <v>542102.19</v>
      </c>
      <c r="M449" s="39">
        <f t="shared" si="3"/>
        <v>410083.11</v>
      </c>
      <c r="N449" s="38" t="str">
        <f>VLOOKUP(F449,products!$A$2:$B$13,2,FALSE)</f>
        <v>Cereal</v>
      </c>
      <c r="O449" s="133">
        <f t="shared" si="4"/>
        <v>0.5693242586</v>
      </c>
      <c r="P449" s="38" t="str">
        <f>VLOOKUP(E449,countries!A$2:E$250,3,false)</f>
        <v>Germany</v>
      </c>
      <c r="Q449" s="38" t="str">
        <f>VLOOKUP($E449,countries!$A$2:$E$250,4,false)</f>
        <v>Europe</v>
      </c>
      <c r="R449" s="38" t="str">
        <f>VLOOKUP($E449,countries!$A$2:$E$250,5,false)</f>
        <v>Western Europe</v>
      </c>
      <c r="S449" s="38">
        <f t="shared" si="5"/>
        <v>11</v>
      </c>
      <c r="T449" s="38" t="s">
        <v>144</v>
      </c>
      <c r="U449" s="38">
        <v>2010.0</v>
      </c>
      <c r="V449" s="38">
        <v>2.0</v>
      </c>
      <c r="W449" s="38" t="s">
        <v>100</v>
      </c>
      <c r="X449" s="38" t="s">
        <v>163</v>
      </c>
      <c r="Y449" s="38" t="s">
        <v>146</v>
      </c>
      <c r="Z449" s="38" t="s">
        <v>158</v>
      </c>
      <c r="AA449" s="113" t="str">
        <f t="array" ref="AA449">PROPER(G449)</f>
        <v>Offline</v>
      </c>
    </row>
    <row r="450">
      <c r="A450" s="110">
        <v>3.98645198E8</v>
      </c>
      <c r="B450" s="131">
        <v>41776.0</v>
      </c>
      <c r="C450" s="131">
        <v>41785.0</v>
      </c>
      <c r="D450" s="110" t="s">
        <v>95</v>
      </c>
      <c r="E450" s="110" t="s">
        <v>123</v>
      </c>
      <c r="F450" s="110">
        <v>7331.0</v>
      </c>
      <c r="G450" s="38" t="s">
        <v>42</v>
      </c>
      <c r="H450" s="110">
        <v>6828.0</v>
      </c>
      <c r="I450" s="132">
        <v>255.28</v>
      </c>
      <c r="J450" s="132">
        <v>159.42</v>
      </c>
      <c r="K450" s="39">
        <f t="shared" si="1"/>
        <v>1743051.84</v>
      </c>
      <c r="L450" s="39">
        <f t="shared" si="2"/>
        <v>1088519.76</v>
      </c>
      <c r="M450" s="39">
        <f t="shared" si="3"/>
        <v>654532.08</v>
      </c>
      <c r="N450" s="38" t="str">
        <f>VLOOKUP(F450,products!$A$2:$B$13,2,FALSE)</f>
        <v>Baby Food</v>
      </c>
      <c r="O450" s="133">
        <f t="shared" si="4"/>
        <v>0.6244907552</v>
      </c>
      <c r="P450" s="38" t="str">
        <f>VLOOKUP(E450,countries!A$2:E$250,3,false)</f>
        <v>Hungary</v>
      </c>
      <c r="Q450" s="38" t="str">
        <f>VLOOKUP($E450,countries!$A$2:$E$250,4,false)</f>
        <v>Europe</v>
      </c>
      <c r="R450" s="38" t="str">
        <f>VLOOKUP($E450,countries!$A$2:$E$250,5,false)</f>
        <v>Eastern Europe</v>
      </c>
      <c r="S450" s="38">
        <f t="shared" si="5"/>
        <v>9</v>
      </c>
      <c r="T450" s="38" t="s">
        <v>161</v>
      </c>
      <c r="U450" s="38">
        <v>2014.0</v>
      </c>
      <c r="V450" s="38">
        <v>5.0</v>
      </c>
      <c r="W450" s="38" t="s">
        <v>123</v>
      </c>
      <c r="X450" s="38" t="s">
        <v>194</v>
      </c>
      <c r="Y450" s="38" t="s">
        <v>146</v>
      </c>
      <c r="Z450" s="38" t="s">
        <v>155</v>
      </c>
      <c r="AA450" s="113" t="str">
        <f t="array" ref="AA450">PROPER(G450)</f>
        <v>Offline</v>
      </c>
    </row>
    <row r="451">
      <c r="A451" s="110">
        <v>3.99115979E8</v>
      </c>
      <c r="B451" s="131">
        <v>42156.0</v>
      </c>
      <c r="C451" s="131">
        <v>42179.0</v>
      </c>
      <c r="D451" s="110" t="s">
        <v>95</v>
      </c>
      <c r="E451" s="110" t="s">
        <v>98</v>
      </c>
      <c r="F451" s="110">
        <v>5988.0</v>
      </c>
      <c r="G451" s="38" t="s">
        <v>43</v>
      </c>
      <c r="H451" s="110">
        <v>6142.0</v>
      </c>
      <c r="I451" s="132">
        <v>154.06</v>
      </c>
      <c r="J451" s="132">
        <v>90.93</v>
      </c>
      <c r="K451" s="39">
        <f t="shared" si="1"/>
        <v>946236.52</v>
      </c>
      <c r="L451" s="39">
        <f t="shared" si="2"/>
        <v>558492.06</v>
      </c>
      <c r="M451" s="39">
        <f t="shared" si="3"/>
        <v>387744.46</v>
      </c>
      <c r="N451" s="38" t="str">
        <f>VLOOKUP(F451,products!$A$2:$B$13,2,FALSE)</f>
        <v>Vegetables</v>
      </c>
      <c r="O451" s="133">
        <f t="shared" si="4"/>
        <v>0.5902245878</v>
      </c>
      <c r="P451" s="38" t="str">
        <f>VLOOKUP(E451,countries!A$2:E$250,3,false)</f>
        <v>Spain</v>
      </c>
      <c r="Q451" s="38" t="str">
        <f>VLOOKUP($E451,countries!$A$2:$E$250,4,false)</f>
        <v>Europe</v>
      </c>
      <c r="R451" s="38" t="str">
        <f>VLOOKUP($E451,countries!$A$2:$E$250,5,false)</f>
        <v>Southern Europe</v>
      </c>
      <c r="S451" s="38">
        <f t="shared" si="5"/>
        <v>23</v>
      </c>
      <c r="T451" s="38" t="s">
        <v>159</v>
      </c>
      <c r="U451" s="38">
        <v>2015.0</v>
      </c>
      <c r="V451" s="38">
        <v>6.0</v>
      </c>
      <c r="W451" s="38" t="s">
        <v>98</v>
      </c>
      <c r="X451" s="38" t="s">
        <v>160</v>
      </c>
      <c r="Y451" s="38" t="s">
        <v>146</v>
      </c>
      <c r="Z451" s="38" t="s">
        <v>147</v>
      </c>
      <c r="AA451" s="113" t="str">
        <f t="array" ref="AA451">PROPER(G451)</f>
        <v>Online</v>
      </c>
    </row>
    <row r="452">
      <c r="A452" s="110">
        <v>3.99256312E8</v>
      </c>
      <c r="B452" s="131">
        <v>41984.0</v>
      </c>
      <c r="C452" s="131">
        <v>42009.0</v>
      </c>
      <c r="D452" s="110" t="s">
        <v>93</v>
      </c>
      <c r="E452" s="110" t="s">
        <v>104</v>
      </c>
      <c r="F452" s="110">
        <v>4594.0</v>
      </c>
      <c r="G452" s="38" t="s">
        <v>43</v>
      </c>
      <c r="H452" s="110">
        <v>7670.0</v>
      </c>
      <c r="I452" s="132">
        <v>9.33</v>
      </c>
      <c r="J452" s="132">
        <v>6.92</v>
      </c>
      <c r="K452" s="39">
        <f t="shared" si="1"/>
        <v>71561.1</v>
      </c>
      <c r="L452" s="39">
        <f t="shared" si="2"/>
        <v>53076.4</v>
      </c>
      <c r="M452" s="39">
        <f t="shared" si="3"/>
        <v>18484.7</v>
      </c>
      <c r="N452" s="38" t="str">
        <f>VLOOKUP(F452,products!$A$2:$B$13,2,FALSE)</f>
        <v>Fruits</v>
      </c>
      <c r="O452" s="133">
        <f t="shared" si="4"/>
        <v>0.741693462</v>
      </c>
      <c r="P452" s="38" t="str">
        <f>VLOOKUP(E452,countries!A$2:E$250,3,false)</f>
        <v>Slovenia</v>
      </c>
      <c r="Q452" s="38" t="str">
        <f>VLOOKUP($E452,countries!$A$2:$E$250,4,false)</f>
        <v>Europe</v>
      </c>
      <c r="R452" s="38" t="str">
        <f>VLOOKUP($E452,countries!$A$2:$E$250,5,false)</f>
        <v>Southern Europe</v>
      </c>
      <c r="S452" s="38">
        <f t="shared" si="5"/>
        <v>25</v>
      </c>
      <c r="T452" s="38" t="s">
        <v>156</v>
      </c>
      <c r="U452" s="38">
        <v>2014.0</v>
      </c>
      <c r="V452" s="38">
        <v>12.0</v>
      </c>
      <c r="W452" s="38" t="s">
        <v>104</v>
      </c>
      <c r="X452" s="38" t="s">
        <v>171</v>
      </c>
      <c r="Y452" s="38" t="s">
        <v>146</v>
      </c>
      <c r="Z452" s="38" t="s">
        <v>147</v>
      </c>
      <c r="AA452" s="113" t="str">
        <f t="array" ref="AA452">PROPER(G452)</f>
        <v>Online</v>
      </c>
    </row>
    <row r="453">
      <c r="A453" s="110">
        <v>4.00267398E8</v>
      </c>
      <c r="B453" s="131">
        <v>41466.0</v>
      </c>
      <c r="C453" s="131">
        <v>41475.0</v>
      </c>
      <c r="D453" s="110" t="s">
        <v>89</v>
      </c>
      <c r="E453" s="110" t="s">
        <v>118</v>
      </c>
      <c r="F453" s="110">
        <v>8969.0</v>
      </c>
      <c r="G453" s="38" t="s">
        <v>42</v>
      </c>
      <c r="H453" s="110">
        <v>6873.0</v>
      </c>
      <c r="I453" s="132">
        <v>152.58</v>
      </c>
      <c r="J453" s="132">
        <v>97.44</v>
      </c>
      <c r="K453" s="39">
        <f t="shared" si="1"/>
        <v>1048682.34</v>
      </c>
      <c r="L453" s="39">
        <f t="shared" si="2"/>
        <v>669705.12</v>
      </c>
      <c r="M453" s="39">
        <f t="shared" si="3"/>
        <v>378977.22</v>
      </c>
      <c r="N453" s="38" t="str">
        <f>VLOOKUP(F453,products!$A$2:$B$13,2,FALSE)</f>
        <v>Snacks</v>
      </c>
      <c r="O453" s="133">
        <f t="shared" si="4"/>
        <v>0.6386158081</v>
      </c>
      <c r="P453" s="38" t="str">
        <f>VLOOKUP(E453,countries!A$2:E$250,3,false)</f>
        <v>Austria</v>
      </c>
      <c r="Q453" s="38" t="str">
        <f>VLOOKUP($E453,countries!$A$2:$E$250,4,false)</f>
        <v>Europe</v>
      </c>
      <c r="R453" s="38" t="str">
        <f>VLOOKUP($E453,countries!$A$2:$E$250,5,false)</f>
        <v>Western Europe</v>
      </c>
      <c r="S453" s="38">
        <f t="shared" si="5"/>
        <v>9</v>
      </c>
      <c r="T453" s="38" t="s">
        <v>182</v>
      </c>
      <c r="U453" s="38">
        <v>2013.0</v>
      </c>
      <c r="V453" s="38">
        <v>7.0</v>
      </c>
      <c r="W453" s="38" t="s">
        <v>118</v>
      </c>
      <c r="X453" s="38" t="s">
        <v>189</v>
      </c>
      <c r="Y453" s="38" t="s">
        <v>146</v>
      </c>
      <c r="Z453" s="38" t="s">
        <v>158</v>
      </c>
      <c r="AA453" s="113" t="str">
        <f t="array" ref="AA453">PROPER(G453)</f>
        <v>Offline</v>
      </c>
    </row>
    <row r="454">
      <c r="A454" s="110">
        <v>4.00904691E8</v>
      </c>
      <c r="B454" s="131">
        <v>40357.0</v>
      </c>
      <c r="C454" s="131">
        <v>40371.0</v>
      </c>
      <c r="D454" s="110" t="s">
        <v>89</v>
      </c>
      <c r="E454" s="110" t="s">
        <v>124</v>
      </c>
      <c r="F454" s="110">
        <v>2103.0</v>
      </c>
      <c r="G454" s="38" t="s">
        <v>42</v>
      </c>
      <c r="H454" s="110">
        <v>5462.0</v>
      </c>
      <c r="I454" s="132">
        <v>205.7</v>
      </c>
      <c r="J454" s="132">
        <v>117.11</v>
      </c>
      <c r="K454" s="39">
        <f t="shared" si="1"/>
        <v>1123533.4</v>
      </c>
      <c r="L454" s="39">
        <f t="shared" si="2"/>
        <v>639654.82</v>
      </c>
      <c r="M454" s="39">
        <f t="shared" si="3"/>
        <v>483878.58</v>
      </c>
      <c r="N454" s="38" t="str">
        <f>VLOOKUP(F454,products!$A$2:$B$13,2,FALSE)</f>
        <v>Cereal</v>
      </c>
      <c r="O454" s="133">
        <f t="shared" si="4"/>
        <v>0.5693242586</v>
      </c>
      <c r="P454" s="38" t="str">
        <f>VLOOKUP(E454,countries!A$2:E$250,3,false)</f>
        <v>Latvia</v>
      </c>
      <c r="Q454" s="38" t="str">
        <f>VLOOKUP($E454,countries!$A$2:$E$250,4,false)</f>
        <v>Europe</v>
      </c>
      <c r="R454" s="38" t="str">
        <f>VLOOKUP($E454,countries!$A$2:$E$250,5,false)</f>
        <v>Northern Europe</v>
      </c>
      <c r="S454" s="38">
        <f t="shared" si="5"/>
        <v>14</v>
      </c>
      <c r="T454" s="38" t="s">
        <v>144</v>
      </c>
      <c r="U454" s="38">
        <v>2010.0</v>
      </c>
      <c r="V454" s="38">
        <v>6.0</v>
      </c>
      <c r="W454" s="38" t="s">
        <v>124</v>
      </c>
      <c r="X454" s="38" t="s">
        <v>195</v>
      </c>
      <c r="Y454" s="38" t="s">
        <v>146</v>
      </c>
      <c r="Z454" s="38" t="s">
        <v>170</v>
      </c>
      <c r="AA454" s="113" t="str">
        <f t="array" ref="AA454">PROPER(G454)</f>
        <v>Offline</v>
      </c>
    </row>
    <row r="455">
      <c r="A455" s="110">
        <v>4.01993882E8</v>
      </c>
      <c r="B455" s="131">
        <v>40623.0</v>
      </c>
      <c r="C455" s="131">
        <v>40644.0</v>
      </c>
      <c r="D455" s="110" t="s">
        <v>89</v>
      </c>
      <c r="E455" s="110" t="s">
        <v>113</v>
      </c>
      <c r="F455" s="110">
        <v>2103.0</v>
      </c>
      <c r="G455" s="38" t="s">
        <v>42</v>
      </c>
      <c r="H455" s="110">
        <v>7778.0</v>
      </c>
      <c r="I455" s="132">
        <v>205.7</v>
      </c>
      <c r="J455" s="132">
        <v>117.11</v>
      </c>
      <c r="K455" s="39">
        <f t="shared" si="1"/>
        <v>1599934.6</v>
      </c>
      <c r="L455" s="39">
        <f t="shared" si="2"/>
        <v>910881.58</v>
      </c>
      <c r="M455" s="39">
        <f t="shared" si="3"/>
        <v>689053.02</v>
      </c>
      <c r="N455" s="38" t="str">
        <f>VLOOKUP(F455,products!$A$2:$B$13,2,FALSE)</f>
        <v>Cereal</v>
      </c>
      <c r="O455" s="133">
        <f t="shared" si="4"/>
        <v>0.5693242586</v>
      </c>
      <c r="P455" s="38" t="str">
        <f>VLOOKUP(E455,countries!A$2:E$250,3,false)</f>
        <v>Ukraine</v>
      </c>
      <c r="Q455" s="38" t="str">
        <f>VLOOKUP($E455,countries!$A$2:$E$250,4,false)</f>
        <v>Europe</v>
      </c>
      <c r="R455" s="38" t="str">
        <f>VLOOKUP($E455,countries!$A$2:$E$250,5,false)</f>
        <v>Eastern Europe</v>
      </c>
      <c r="S455" s="38">
        <f t="shared" si="5"/>
        <v>21</v>
      </c>
      <c r="T455" s="38" t="s">
        <v>144</v>
      </c>
      <c r="U455" s="38">
        <v>2011.0</v>
      </c>
      <c r="V455" s="38">
        <v>3.0</v>
      </c>
      <c r="W455" s="38" t="s">
        <v>113</v>
      </c>
      <c r="X455" s="38" t="s">
        <v>181</v>
      </c>
      <c r="Y455" s="38" t="s">
        <v>146</v>
      </c>
      <c r="Z455" s="38" t="s">
        <v>155</v>
      </c>
      <c r="AA455" s="113" t="str">
        <f t="array" ref="AA455">PROPER(G455)</f>
        <v>Offline</v>
      </c>
    </row>
    <row r="456">
      <c r="A456" s="110">
        <v>4.03337991E8</v>
      </c>
      <c r="B456" s="131">
        <v>42658.0</v>
      </c>
      <c r="C456" s="131">
        <v>42698.0</v>
      </c>
      <c r="D456" s="110" t="s">
        <v>93</v>
      </c>
      <c r="E456" s="110" t="s">
        <v>128</v>
      </c>
      <c r="F456" s="110">
        <v>5988.0</v>
      </c>
      <c r="G456" s="38" t="s">
        <v>42</v>
      </c>
      <c r="H456" s="110">
        <v>5529.0</v>
      </c>
      <c r="I456" s="132">
        <v>154.06</v>
      </c>
      <c r="J456" s="132">
        <v>90.93</v>
      </c>
      <c r="K456" s="39">
        <f t="shared" si="1"/>
        <v>851797.74</v>
      </c>
      <c r="L456" s="39">
        <f t="shared" si="2"/>
        <v>502751.97</v>
      </c>
      <c r="M456" s="39">
        <f t="shared" si="3"/>
        <v>349045.77</v>
      </c>
      <c r="N456" s="38" t="str">
        <f>VLOOKUP(F456,products!$A$2:$B$13,2,FALSE)</f>
        <v>Vegetables</v>
      </c>
      <c r="O456" s="133">
        <f t="shared" si="4"/>
        <v>0.5902245878</v>
      </c>
      <c r="P456" s="38" t="str">
        <f>VLOOKUP(E456,countries!A$2:E$250,3,false)</f>
        <v>Andorra</v>
      </c>
      <c r="Q456" s="38" t="str">
        <f>VLOOKUP($E456,countries!$A$2:$E$250,4,false)</f>
        <v>Europe</v>
      </c>
      <c r="R456" s="38" t="str">
        <f>VLOOKUP($E456,countries!$A$2:$E$250,5,false)</f>
        <v>Southern Europe</v>
      </c>
      <c r="S456" s="38">
        <f t="shared" si="5"/>
        <v>40</v>
      </c>
      <c r="T456" s="38" t="s">
        <v>159</v>
      </c>
      <c r="U456" s="38">
        <v>2016.0</v>
      </c>
      <c r="V456" s="38">
        <v>10.0</v>
      </c>
      <c r="W456" s="38" t="s">
        <v>128</v>
      </c>
      <c r="X456" s="38" t="s">
        <v>199</v>
      </c>
      <c r="Y456" s="38" t="s">
        <v>146</v>
      </c>
      <c r="Z456" s="38" t="s">
        <v>147</v>
      </c>
      <c r="AA456" s="113" t="str">
        <f t="array" ref="AA456">PROPER(G456)</f>
        <v>Offline</v>
      </c>
    </row>
    <row r="457">
      <c r="A457" s="110">
        <v>4.03665006E8</v>
      </c>
      <c r="B457" s="131">
        <v>42385.0</v>
      </c>
      <c r="C457" s="131">
        <v>42419.0</v>
      </c>
      <c r="D457" s="110" t="s">
        <v>10</v>
      </c>
      <c r="E457" s="110" t="s">
        <v>116</v>
      </c>
      <c r="F457" s="110">
        <v>8969.0</v>
      </c>
      <c r="G457" s="38" t="s">
        <v>42</v>
      </c>
      <c r="H457" s="110">
        <v>2300.0</v>
      </c>
      <c r="I457" s="132">
        <v>152.58</v>
      </c>
      <c r="J457" s="132">
        <v>97.44</v>
      </c>
      <c r="K457" s="39">
        <f t="shared" si="1"/>
        <v>350934</v>
      </c>
      <c r="L457" s="39">
        <f t="shared" si="2"/>
        <v>224112</v>
      </c>
      <c r="M457" s="39">
        <f t="shared" si="3"/>
        <v>126822</v>
      </c>
      <c r="N457" s="38" t="str">
        <f>VLOOKUP(F457,products!$A$2:$B$13,2,FALSE)</f>
        <v>Snacks</v>
      </c>
      <c r="O457" s="133">
        <f t="shared" si="4"/>
        <v>0.6386158081</v>
      </c>
      <c r="P457" s="38" t="str">
        <f>VLOOKUP(E457,countries!A$2:E$250,3,false)</f>
        <v>Belarus</v>
      </c>
      <c r="Q457" s="38" t="str">
        <f>VLOOKUP($E457,countries!$A$2:$E$250,4,false)</f>
        <v>Europe</v>
      </c>
      <c r="R457" s="38" t="str">
        <f>VLOOKUP($E457,countries!$A$2:$E$250,5,false)</f>
        <v>Eastern Europe</v>
      </c>
      <c r="S457" s="38">
        <f t="shared" si="5"/>
        <v>34</v>
      </c>
      <c r="T457" s="38" t="s">
        <v>182</v>
      </c>
      <c r="U457" s="38">
        <v>2016.0</v>
      </c>
      <c r="V457" s="38">
        <v>1.0</v>
      </c>
      <c r="W457" s="38" t="s">
        <v>116</v>
      </c>
      <c r="X457" s="38" t="s">
        <v>187</v>
      </c>
      <c r="Y457" s="38" t="s">
        <v>146</v>
      </c>
      <c r="Z457" s="38" t="s">
        <v>155</v>
      </c>
      <c r="AA457" s="113" t="str">
        <f t="array" ref="AA457">PROPER(G457)</f>
        <v>Offline</v>
      </c>
    </row>
    <row r="458">
      <c r="A458" s="110">
        <v>4.04789817E8</v>
      </c>
      <c r="B458" s="131">
        <v>42219.0</v>
      </c>
      <c r="C458" s="131">
        <v>42255.0</v>
      </c>
      <c r="D458" s="110" t="s">
        <v>93</v>
      </c>
      <c r="E458" s="110" t="s">
        <v>115</v>
      </c>
      <c r="F458" s="110">
        <v>7331.0</v>
      </c>
      <c r="G458" s="38" t="s">
        <v>43</v>
      </c>
      <c r="H458" s="110">
        <v>5157.0</v>
      </c>
      <c r="I458" s="132">
        <v>255.28</v>
      </c>
      <c r="J458" s="132">
        <v>159.42</v>
      </c>
      <c r="K458" s="39">
        <f t="shared" si="1"/>
        <v>1316478.96</v>
      </c>
      <c r="L458" s="39">
        <f t="shared" si="2"/>
        <v>822128.94</v>
      </c>
      <c r="M458" s="39">
        <f t="shared" si="3"/>
        <v>494350.02</v>
      </c>
      <c r="N458" s="38" t="str">
        <f>VLOOKUP(F458,products!$A$2:$B$13,2,FALSE)</f>
        <v>Baby Food</v>
      </c>
      <c r="O458" s="133">
        <f t="shared" si="4"/>
        <v>0.6244907552</v>
      </c>
      <c r="P458" s="38" t="str">
        <f>VLOOKUP(E458,countries!A$2:E$250,3,false)</f>
        <v>Portugal</v>
      </c>
      <c r="Q458" s="38" t="str">
        <f>VLOOKUP($E458,countries!$A$2:$E$250,4,false)</f>
        <v>Europe</v>
      </c>
      <c r="R458" s="38" t="str">
        <f>VLOOKUP($E458,countries!$A$2:$E$250,5,false)</f>
        <v>Southern Europe</v>
      </c>
      <c r="S458" s="38">
        <f t="shared" si="5"/>
        <v>36</v>
      </c>
      <c r="T458" s="38" t="s">
        <v>161</v>
      </c>
      <c r="U458" s="38">
        <v>2015.0</v>
      </c>
      <c r="V458" s="38">
        <v>8.0</v>
      </c>
      <c r="W458" s="38" t="s">
        <v>115</v>
      </c>
      <c r="X458" s="38" t="s">
        <v>186</v>
      </c>
      <c r="Y458" s="38" t="s">
        <v>146</v>
      </c>
      <c r="Z458" s="38" t="s">
        <v>147</v>
      </c>
      <c r="AA458" s="113" t="str">
        <f t="array" ref="AA458">PROPER(G458)</f>
        <v>Online</v>
      </c>
    </row>
    <row r="459">
      <c r="A459" s="110">
        <v>4.05986297E8</v>
      </c>
      <c r="B459" s="131">
        <v>41982.0</v>
      </c>
      <c r="C459" s="131">
        <v>42006.0</v>
      </c>
      <c r="D459" s="110" t="s">
        <v>93</v>
      </c>
      <c r="E459" s="110" t="s">
        <v>100</v>
      </c>
      <c r="F459" s="110">
        <v>7331.0</v>
      </c>
      <c r="G459" s="38" t="s">
        <v>43</v>
      </c>
      <c r="H459" s="110">
        <v>9222.0</v>
      </c>
      <c r="I459" s="132">
        <v>255.28</v>
      </c>
      <c r="J459" s="132">
        <v>159.42</v>
      </c>
      <c r="K459" s="39">
        <f t="shared" si="1"/>
        <v>2354192.16</v>
      </c>
      <c r="L459" s="39">
        <f t="shared" si="2"/>
        <v>1470171.24</v>
      </c>
      <c r="M459" s="39">
        <f t="shared" si="3"/>
        <v>884020.92</v>
      </c>
      <c r="N459" s="38" t="str">
        <f>VLOOKUP(F459,products!$A$2:$B$13,2,FALSE)</f>
        <v>Baby Food</v>
      </c>
      <c r="O459" s="133">
        <f t="shared" si="4"/>
        <v>0.6244907552</v>
      </c>
      <c r="P459" s="38" t="str">
        <f>VLOOKUP(E459,countries!A$2:E$250,3,false)</f>
        <v>Germany</v>
      </c>
      <c r="Q459" s="38" t="str">
        <f>VLOOKUP($E459,countries!$A$2:$E$250,4,false)</f>
        <v>Europe</v>
      </c>
      <c r="R459" s="38" t="str">
        <f>VLOOKUP($E459,countries!$A$2:$E$250,5,false)</f>
        <v>Western Europe</v>
      </c>
      <c r="S459" s="38">
        <f t="shared" si="5"/>
        <v>24</v>
      </c>
      <c r="T459" s="38" t="s">
        <v>161</v>
      </c>
      <c r="U459" s="38">
        <v>2014.0</v>
      </c>
      <c r="V459" s="38">
        <v>12.0</v>
      </c>
      <c r="W459" s="38" t="s">
        <v>100</v>
      </c>
      <c r="X459" s="38" t="s">
        <v>163</v>
      </c>
      <c r="Y459" s="38" t="s">
        <v>146</v>
      </c>
      <c r="Z459" s="38" t="s">
        <v>158</v>
      </c>
      <c r="AA459" s="113" t="str">
        <f t="array" ref="AA459">PROPER(G459)</f>
        <v>Online</v>
      </c>
    </row>
    <row r="460">
      <c r="A460" s="110">
        <v>4.06270396E8</v>
      </c>
      <c r="B460" s="131">
        <v>42463.0</v>
      </c>
      <c r="C460" s="131">
        <v>42509.0</v>
      </c>
      <c r="D460" s="110" t="s">
        <v>93</v>
      </c>
      <c r="E460" s="110" t="s">
        <v>105</v>
      </c>
      <c r="F460" s="110">
        <v>8969.0</v>
      </c>
      <c r="G460" s="38" t="s">
        <v>43</v>
      </c>
      <c r="H460" s="110">
        <v>3293.0</v>
      </c>
      <c r="I460" s="132">
        <v>152.58</v>
      </c>
      <c r="J460" s="132">
        <v>97.44</v>
      </c>
      <c r="K460" s="39">
        <f t="shared" si="1"/>
        <v>502445.94</v>
      </c>
      <c r="L460" s="39">
        <f t="shared" si="2"/>
        <v>320869.92</v>
      </c>
      <c r="M460" s="39">
        <f t="shared" si="3"/>
        <v>181576.02</v>
      </c>
      <c r="N460" s="38" t="str">
        <f>VLOOKUP(F460,products!$A$2:$B$13,2,FALSE)</f>
        <v>Snacks</v>
      </c>
      <c r="O460" s="133">
        <f t="shared" si="4"/>
        <v>0.6386158081</v>
      </c>
      <c r="P460" s="38" t="str">
        <f>VLOOKUP(E460,countries!A$2:E$250,3,false)</f>
        <v>Romania</v>
      </c>
      <c r="Q460" s="38" t="str">
        <f>VLOOKUP($E460,countries!$A$2:$E$250,4,false)</f>
        <v>Europe</v>
      </c>
      <c r="R460" s="38" t="str">
        <f>VLOOKUP($E460,countries!$A$2:$E$250,5,false)</f>
        <v>Eastern Europe</v>
      </c>
      <c r="S460" s="38">
        <f t="shared" si="5"/>
        <v>46</v>
      </c>
      <c r="T460" s="38" t="s">
        <v>182</v>
      </c>
      <c r="U460" s="38">
        <v>2016.0</v>
      </c>
      <c r="V460" s="38">
        <v>4.0</v>
      </c>
      <c r="W460" s="38" t="s">
        <v>105</v>
      </c>
      <c r="X460" s="38" t="s">
        <v>172</v>
      </c>
      <c r="Y460" s="38" t="s">
        <v>146</v>
      </c>
      <c r="Z460" s="38" t="s">
        <v>155</v>
      </c>
      <c r="AA460" s="113" t="str">
        <f t="array" ref="AA460">PROPER(G460)</f>
        <v>Online</v>
      </c>
    </row>
    <row r="461">
      <c r="A461" s="110">
        <v>4.06564366E8</v>
      </c>
      <c r="B461" s="131">
        <v>41858.0</v>
      </c>
      <c r="C461" s="131">
        <v>41876.0</v>
      </c>
      <c r="D461" s="110" t="s">
        <v>89</v>
      </c>
      <c r="E461" s="110" t="s">
        <v>131</v>
      </c>
      <c r="F461" s="110">
        <v>5988.0</v>
      </c>
      <c r="G461" s="38" t="s">
        <v>43</v>
      </c>
      <c r="H461" s="110">
        <v>286.0</v>
      </c>
      <c r="I461" s="132">
        <v>154.06</v>
      </c>
      <c r="J461" s="132">
        <v>90.93</v>
      </c>
      <c r="K461" s="39">
        <f t="shared" si="1"/>
        <v>44061.16</v>
      </c>
      <c r="L461" s="39">
        <f t="shared" si="2"/>
        <v>26005.98</v>
      </c>
      <c r="M461" s="39">
        <f t="shared" si="3"/>
        <v>18055.18</v>
      </c>
      <c r="N461" s="38" t="str">
        <f>VLOOKUP(F461,products!$A$2:$B$13,2,FALSE)</f>
        <v>Vegetables</v>
      </c>
      <c r="O461" s="133">
        <f t="shared" si="4"/>
        <v>0.5902245878</v>
      </c>
      <c r="P461" s="38" t="str">
        <f>VLOOKUP(E461,countries!A$2:E$250,3,false)</f>
        <v>Albania</v>
      </c>
      <c r="Q461" s="38" t="str">
        <f>VLOOKUP($E461,countries!$A$2:$E$250,4,false)</f>
        <v>Europe</v>
      </c>
      <c r="R461" s="38" t="str">
        <f>VLOOKUP($E461,countries!$A$2:$E$250,5,false)</f>
        <v>Southern Europe</v>
      </c>
      <c r="S461" s="38">
        <f t="shared" si="5"/>
        <v>18</v>
      </c>
      <c r="T461" s="38" t="s">
        <v>159</v>
      </c>
      <c r="U461" s="38">
        <v>2014.0</v>
      </c>
      <c r="V461" s="38">
        <v>8.0</v>
      </c>
      <c r="W461" s="38" t="s">
        <v>131</v>
      </c>
      <c r="X461" s="38" t="s">
        <v>202</v>
      </c>
      <c r="Y461" s="38" t="s">
        <v>146</v>
      </c>
      <c r="Z461" s="38" t="s">
        <v>147</v>
      </c>
      <c r="AA461" s="113" t="str">
        <f t="array" ref="AA461">PROPER(G461)</f>
        <v>Online</v>
      </c>
    </row>
    <row r="462">
      <c r="A462" s="110">
        <v>4.07220542E8</v>
      </c>
      <c r="B462" s="131">
        <v>42519.0</v>
      </c>
      <c r="C462" s="131">
        <v>42555.0</v>
      </c>
      <c r="D462" s="110" t="s">
        <v>93</v>
      </c>
      <c r="E462" s="110" t="s">
        <v>132</v>
      </c>
      <c r="F462" s="110">
        <v>2103.0</v>
      </c>
      <c r="G462" s="38" t="s">
        <v>43</v>
      </c>
      <c r="H462" s="110">
        <v>4463.0</v>
      </c>
      <c r="I462" s="132">
        <v>205.7</v>
      </c>
      <c r="J462" s="132">
        <v>117.11</v>
      </c>
      <c r="K462" s="39">
        <f t="shared" si="1"/>
        <v>918039.1</v>
      </c>
      <c r="L462" s="39">
        <f t="shared" si="2"/>
        <v>522661.93</v>
      </c>
      <c r="M462" s="39">
        <f t="shared" si="3"/>
        <v>395377.17</v>
      </c>
      <c r="N462" s="38" t="str">
        <f>VLOOKUP(F462,products!$A$2:$B$13,2,FALSE)</f>
        <v>Cereal</v>
      </c>
      <c r="O462" s="133">
        <f t="shared" si="4"/>
        <v>0.5693242586</v>
      </c>
      <c r="P462" s="38" t="str">
        <f>VLOOKUP(E462,countries!A$2:E$250,3,false)</f>
        <v>Sweden</v>
      </c>
      <c r="Q462" s="38" t="str">
        <f>VLOOKUP($E462,countries!$A$2:$E$250,4,false)</f>
        <v>Europe</v>
      </c>
      <c r="R462" s="38" t="str">
        <f>VLOOKUP($E462,countries!$A$2:$E$250,5,false)</f>
        <v>Northern Europe</v>
      </c>
      <c r="S462" s="38">
        <f t="shared" si="5"/>
        <v>36</v>
      </c>
      <c r="T462" s="38" t="s">
        <v>144</v>
      </c>
      <c r="U462" s="38">
        <v>2016.0</v>
      </c>
      <c r="V462" s="38">
        <v>5.0</v>
      </c>
      <c r="W462" s="38" t="s">
        <v>132</v>
      </c>
      <c r="X462" s="38" t="s">
        <v>203</v>
      </c>
      <c r="Y462" s="38" t="s">
        <v>146</v>
      </c>
      <c r="Z462" s="38" t="s">
        <v>170</v>
      </c>
      <c r="AA462" s="113" t="str">
        <f t="array" ref="AA462">PROPER(G462)</f>
        <v>Online</v>
      </c>
    </row>
    <row r="463">
      <c r="A463" s="110">
        <v>4.08540618E8</v>
      </c>
      <c r="B463" s="131">
        <v>41547.0</v>
      </c>
      <c r="C463" s="131">
        <v>41591.0</v>
      </c>
      <c r="D463" s="110" t="s">
        <v>89</v>
      </c>
      <c r="E463" s="110" t="s">
        <v>120</v>
      </c>
      <c r="F463" s="110">
        <v>5988.0</v>
      </c>
      <c r="G463" s="38" t="s">
        <v>42</v>
      </c>
      <c r="H463" s="110">
        <v>5102.0</v>
      </c>
      <c r="I463" s="132">
        <v>154.06</v>
      </c>
      <c r="J463" s="132">
        <v>90.93</v>
      </c>
      <c r="K463" s="39">
        <f t="shared" si="1"/>
        <v>786014.12</v>
      </c>
      <c r="L463" s="39">
        <f t="shared" si="2"/>
        <v>463924.86</v>
      </c>
      <c r="M463" s="39">
        <f t="shared" si="3"/>
        <v>322089.26</v>
      </c>
      <c r="N463" s="38" t="str">
        <f>VLOOKUP(F463,products!$A$2:$B$13,2,FALSE)</f>
        <v>Vegetables</v>
      </c>
      <c r="O463" s="133">
        <f t="shared" si="4"/>
        <v>0.5902245878</v>
      </c>
      <c r="P463" s="38" t="str">
        <f>VLOOKUP(E463,countries!A$2:E$250,3,false)</f>
        <v>San Marino</v>
      </c>
      <c r="Q463" s="38" t="str">
        <f>VLOOKUP($E463,countries!$A$2:$E$250,4,false)</f>
        <v>Europe</v>
      </c>
      <c r="R463" s="38" t="str">
        <f>VLOOKUP($E463,countries!$A$2:$E$250,5,false)</f>
        <v>Southern Europe</v>
      </c>
      <c r="S463" s="38">
        <f t="shared" si="5"/>
        <v>44</v>
      </c>
      <c r="T463" s="38" t="s">
        <v>159</v>
      </c>
      <c r="U463" s="38">
        <v>2013.0</v>
      </c>
      <c r="V463" s="38">
        <v>9.0</v>
      </c>
      <c r="W463" s="38" t="s">
        <v>120</v>
      </c>
      <c r="X463" s="38" t="s">
        <v>191</v>
      </c>
      <c r="Y463" s="38" t="s">
        <v>146</v>
      </c>
      <c r="Z463" s="38" t="s">
        <v>147</v>
      </c>
      <c r="AA463" s="113" t="str">
        <f t="array" ref="AA463">PROPER(G463)</f>
        <v>Offline</v>
      </c>
    </row>
    <row r="464">
      <c r="A464" s="110">
        <v>4.09112679E8</v>
      </c>
      <c r="B464" s="131">
        <v>41363.0</v>
      </c>
      <c r="C464" s="131">
        <v>41412.0</v>
      </c>
      <c r="D464" s="110" t="s">
        <v>95</v>
      </c>
      <c r="E464" s="110" t="s">
        <v>94</v>
      </c>
      <c r="F464" s="110">
        <v>5988.0</v>
      </c>
      <c r="G464" s="38" t="s">
        <v>43</v>
      </c>
      <c r="H464" s="110">
        <v>4388.0</v>
      </c>
      <c r="I464" s="132">
        <v>154.06</v>
      </c>
      <c r="J464" s="132">
        <v>90.93</v>
      </c>
      <c r="K464" s="39">
        <f t="shared" si="1"/>
        <v>676015.28</v>
      </c>
      <c r="L464" s="39">
        <f t="shared" si="2"/>
        <v>399000.84</v>
      </c>
      <c r="M464" s="39">
        <f t="shared" si="3"/>
        <v>277014.44</v>
      </c>
      <c r="N464" s="38" t="str">
        <f>VLOOKUP(F464,products!$A$2:$B$13,2,FALSE)</f>
        <v>Vegetables</v>
      </c>
      <c r="O464" s="133">
        <f t="shared" si="4"/>
        <v>0.5902245878</v>
      </c>
      <c r="P464" s="38" t="str">
        <f>VLOOKUP(E464,countries!A$2:E$250,3,false)</f>
        <v>Montenegro</v>
      </c>
      <c r="Q464" s="38" t="str">
        <f>VLOOKUP($E464,countries!$A$2:$E$250,4,false)</f>
        <v>Europe</v>
      </c>
      <c r="R464" s="38" t="str">
        <f>VLOOKUP($E464,countries!$A$2:$E$250,5,false)</f>
        <v>Southern Europe</v>
      </c>
      <c r="S464" s="38">
        <f t="shared" si="5"/>
        <v>49</v>
      </c>
      <c r="T464" s="38" t="s">
        <v>159</v>
      </c>
      <c r="U464" s="38">
        <v>2013.0</v>
      </c>
      <c r="V464" s="38">
        <v>3.0</v>
      </c>
      <c r="W464" s="38" t="s">
        <v>94</v>
      </c>
      <c r="X464" s="38" t="s">
        <v>151</v>
      </c>
      <c r="Y464" s="38" t="s">
        <v>146</v>
      </c>
      <c r="Z464" s="38" t="s">
        <v>147</v>
      </c>
      <c r="AA464" s="113" t="str">
        <f t="array" ref="AA464">PROPER(G464)</f>
        <v>Online</v>
      </c>
    </row>
    <row r="465">
      <c r="A465" s="110">
        <v>4.09514796E8</v>
      </c>
      <c r="B465" s="131">
        <v>41844.0</v>
      </c>
      <c r="C465" s="131">
        <v>41889.0</v>
      </c>
      <c r="D465" s="110" t="s">
        <v>93</v>
      </c>
      <c r="E465" s="110" t="s">
        <v>133</v>
      </c>
      <c r="F465" s="110">
        <v>3127.0</v>
      </c>
      <c r="G465" s="38" t="s">
        <v>43</v>
      </c>
      <c r="H465" s="110">
        <v>3383.0</v>
      </c>
      <c r="I465" s="132">
        <v>81.73</v>
      </c>
      <c r="J465" s="132">
        <v>56.67</v>
      </c>
      <c r="K465" s="39">
        <f t="shared" si="1"/>
        <v>276492.59</v>
      </c>
      <c r="L465" s="39">
        <f t="shared" si="2"/>
        <v>191714.61</v>
      </c>
      <c r="M465" s="39">
        <f t="shared" si="3"/>
        <v>84777.98</v>
      </c>
      <c r="N465" s="38" t="str">
        <f>VLOOKUP(F465,products!$A$2:$B$13,2,FALSE)</f>
        <v>Personal Care</v>
      </c>
      <c r="O465" s="133">
        <f t="shared" si="4"/>
        <v>0.6933806436</v>
      </c>
      <c r="P465" s="38" t="str">
        <f>VLOOKUP(E465,countries!A$2:E$250,3,false)</f>
        <v>Bosnia and Herzegovina</v>
      </c>
      <c r="Q465" s="38" t="str">
        <f>VLOOKUP($E465,countries!$A$2:$E$250,4,false)</f>
        <v>Europe</v>
      </c>
      <c r="R465" s="38" t="str">
        <f>VLOOKUP($E465,countries!$A$2:$E$250,5,false)</f>
        <v>Southern Europe</v>
      </c>
      <c r="S465" s="38">
        <f t="shared" si="5"/>
        <v>45</v>
      </c>
      <c r="T465" s="38" t="s">
        <v>185</v>
      </c>
      <c r="U465" s="38">
        <v>2014.0</v>
      </c>
      <c r="V465" s="38">
        <v>7.0</v>
      </c>
      <c r="W465" s="38" t="s">
        <v>133</v>
      </c>
      <c r="X465" s="38" t="s">
        <v>204</v>
      </c>
      <c r="Y465" s="38" t="s">
        <v>146</v>
      </c>
      <c r="Z465" s="38" t="s">
        <v>147</v>
      </c>
      <c r="AA465" s="113" t="str">
        <f t="array" ref="AA465">PROPER(G465)</f>
        <v>Online</v>
      </c>
    </row>
    <row r="466">
      <c r="A466" s="110">
        <v>4.10229337E8</v>
      </c>
      <c r="B466" s="131">
        <v>42695.0</v>
      </c>
      <c r="C466" s="131">
        <v>42726.0</v>
      </c>
      <c r="D466" s="110" t="s">
        <v>89</v>
      </c>
      <c r="E466" s="110" t="s">
        <v>115</v>
      </c>
      <c r="F466" s="110">
        <v>8681.0</v>
      </c>
      <c r="G466" s="38" t="s">
        <v>43</v>
      </c>
      <c r="H466" s="110">
        <v>4832.0</v>
      </c>
      <c r="I466" s="132">
        <v>651.21</v>
      </c>
      <c r="J466" s="132">
        <v>524.96</v>
      </c>
      <c r="K466" s="39">
        <f t="shared" si="1"/>
        <v>3146646.72</v>
      </c>
      <c r="L466" s="39">
        <f t="shared" si="2"/>
        <v>2536606.72</v>
      </c>
      <c r="M466" s="39">
        <f t="shared" si="3"/>
        <v>610040</v>
      </c>
      <c r="N466" s="38" t="str">
        <f>VLOOKUP(F466,products!$A$2:$B$13,2,FALSE)</f>
        <v>Office Supplies</v>
      </c>
      <c r="O466" s="133">
        <f t="shared" si="4"/>
        <v>0.806130127</v>
      </c>
      <c r="P466" s="38" t="str">
        <f>VLOOKUP(E466,countries!A$2:E$250,3,false)</f>
        <v>Portugal</v>
      </c>
      <c r="Q466" s="38" t="str">
        <f>VLOOKUP($E466,countries!$A$2:$E$250,4,false)</f>
        <v>Europe</v>
      </c>
      <c r="R466" s="38" t="str">
        <f>VLOOKUP($E466,countries!$A$2:$E$250,5,false)</f>
        <v>Southern Europe</v>
      </c>
      <c r="S466" s="38">
        <f t="shared" si="5"/>
        <v>31</v>
      </c>
      <c r="T466" s="38" t="s">
        <v>153</v>
      </c>
      <c r="U466" s="38">
        <v>2016.0</v>
      </c>
      <c r="V466" s="38">
        <v>11.0</v>
      </c>
      <c r="W466" s="38" t="s">
        <v>115</v>
      </c>
      <c r="X466" s="38" t="s">
        <v>186</v>
      </c>
      <c r="Y466" s="38" t="s">
        <v>146</v>
      </c>
      <c r="Z466" s="38" t="s">
        <v>147</v>
      </c>
      <c r="AA466" s="113" t="str">
        <f t="array" ref="AA466">PROPER(G466)</f>
        <v>Online</v>
      </c>
    </row>
    <row r="467">
      <c r="A467" s="110">
        <v>4.10291135E8</v>
      </c>
      <c r="B467" s="131">
        <v>40945.0</v>
      </c>
      <c r="C467" s="131">
        <v>40961.0</v>
      </c>
      <c r="D467" s="110" t="s">
        <v>93</v>
      </c>
      <c r="E467" s="110" t="s">
        <v>104</v>
      </c>
      <c r="F467" s="110">
        <v>3127.0</v>
      </c>
      <c r="G467" s="38" t="s">
        <v>42</v>
      </c>
      <c r="H467" s="110">
        <v>3119.0</v>
      </c>
      <c r="I467" s="132">
        <v>81.73</v>
      </c>
      <c r="J467" s="132">
        <v>56.67</v>
      </c>
      <c r="K467" s="39">
        <f t="shared" si="1"/>
        <v>254915.87</v>
      </c>
      <c r="L467" s="39">
        <f t="shared" si="2"/>
        <v>176753.73</v>
      </c>
      <c r="M467" s="39">
        <f t="shared" si="3"/>
        <v>78162.14</v>
      </c>
      <c r="N467" s="38" t="str">
        <f>VLOOKUP(F467,products!$A$2:$B$13,2,FALSE)</f>
        <v>Personal Care</v>
      </c>
      <c r="O467" s="133">
        <f t="shared" si="4"/>
        <v>0.6933806436</v>
      </c>
      <c r="P467" s="38" t="str">
        <f>VLOOKUP(E467,countries!A$2:E$250,3,false)</f>
        <v>Slovenia</v>
      </c>
      <c r="Q467" s="38" t="str">
        <f>VLOOKUP($E467,countries!$A$2:$E$250,4,false)</f>
        <v>Europe</v>
      </c>
      <c r="R467" s="38" t="str">
        <f>VLOOKUP($E467,countries!$A$2:$E$250,5,false)</f>
        <v>Southern Europe</v>
      </c>
      <c r="S467" s="38">
        <f t="shared" si="5"/>
        <v>16</v>
      </c>
      <c r="T467" s="38" t="s">
        <v>185</v>
      </c>
      <c r="U467" s="38">
        <v>2012.0</v>
      </c>
      <c r="V467" s="38">
        <v>2.0</v>
      </c>
      <c r="W467" s="38" t="s">
        <v>104</v>
      </c>
      <c r="X467" s="38" t="s">
        <v>171</v>
      </c>
      <c r="Y467" s="38" t="s">
        <v>146</v>
      </c>
      <c r="Z467" s="38" t="s">
        <v>147</v>
      </c>
      <c r="AA467" s="113" t="str">
        <f t="array" ref="AA467">PROPER(G467)</f>
        <v>Offline</v>
      </c>
    </row>
    <row r="468">
      <c r="A468" s="110">
        <v>4.10514724E8</v>
      </c>
      <c r="B468" s="131">
        <v>42795.0</v>
      </c>
      <c r="C468" s="131">
        <v>42835.0</v>
      </c>
      <c r="D468" s="110" t="s">
        <v>10</v>
      </c>
      <c r="E468" s="110" t="s">
        <v>91</v>
      </c>
      <c r="F468" s="110">
        <v>8681.0</v>
      </c>
      <c r="G468" s="38" t="s">
        <v>42</v>
      </c>
      <c r="H468" s="110">
        <v>9284.0</v>
      </c>
      <c r="I468" s="132">
        <v>651.21</v>
      </c>
      <c r="J468" s="132">
        <v>524.96</v>
      </c>
      <c r="K468" s="39">
        <f t="shared" si="1"/>
        <v>6045833.64</v>
      </c>
      <c r="L468" s="39">
        <f t="shared" si="2"/>
        <v>4873728.64</v>
      </c>
      <c r="M468" s="39">
        <f t="shared" si="3"/>
        <v>1172105</v>
      </c>
      <c r="N468" s="38" t="str">
        <f>VLOOKUP(F468,products!$A$2:$B$13,2,FALSE)</f>
        <v>Office Supplies</v>
      </c>
      <c r="O468" s="133">
        <f t="shared" si="4"/>
        <v>0.806130127</v>
      </c>
      <c r="P468" s="38" t="str">
        <f>VLOOKUP(E468,countries!A$2:E$250,3,false)</f>
        <v>Serbia</v>
      </c>
      <c r="Q468" s="38" t="str">
        <f>VLOOKUP($E468,countries!$A$2:$E$250,4,false)</f>
        <v>Europe</v>
      </c>
      <c r="R468" s="38" t="str">
        <f>VLOOKUP($E468,countries!$A$2:$E$250,5,false)</f>
        <v>Southern Europe</v>
      </c>
      <c r="S468" s="38">
        <f t="shared" si="5"/>
        <v>40</v>
      </c>
      <c r="T468" s="38" t="s">
        <v>153</v>
      </c>
      <c r="U468" s="38">
        <v>2017.0</v>
      </c>
      <c r="V468" s="38">
        <v>3.0</v>
      </c>
      <c r="W468" s="38" t="s">
        <v>91</v>
      </c>
      <c r="X468" s="38" t="s">
        <v>145</v>
      </c>
      <c r="Y468" s="38" t="s">
        <v>146</v>
      </c>
      <c r="Z468" s="38" t="s">
        <v>147</v>
      </c>
      <c r="AA468" s="113" t="str">
        <f t="array" ref="AA468">PROPER(G468)</f>
        <v>Offline</v>
      </c>
    </row>
    <row r="469">
      <c r="A469" s="110">
        <v>4.10740888E8</v>
      </c>
      <c r="B469" s="131">
        <v>41114.0</v>
      </c>
      <c r="C469" s="131">
        <v>41153.0</v>
      </c>
      <c r="D469" s="110" t="s">
        <v>95</v>
      </c>
      <c r="E469" s="110" t="s">
        <v>133</v>
      </c>
      <c r="F469" s="110">
        <v>8875.0</v>
      </c>
      <c r="G469" s="38" t="s">
        <v>43</v>
      </c>
      <c r="H469" s="110">
        <v>6211.0</v>
      </c>
      <c r="I469" s="132">
        <v>421.89</v>
      </c>
      <c r="J469" s="132">
        <v>364.69</v>
      </c>
      <c r="K469" s="39">
        <f t="shared" si="1"/>
        <v>2620358.79</v>
      </c>
      <c r="L469" s="39">
        <f t="shared" si="2"/>
        <v>2265089.59</v>
      </c>
      <c r="M469" s="39">
        <f t="shared" si="3"/>
        <v>355269.2</v>
      </c>
      <c r="N469" s="38" t="str">
        <f>VLOOKUP(F469,products!$A$2:$B$13,2,FALSE)</f>
        <v>Meat</v>
      </c>
      <c r="O469" s="133">
        <f t="shared" si="4"/>
        <v>0.8644196354</v>
      </c>
      <c r="P469" s="38" t="str">
        <f>VLOOKUP(E469,countries!A$2:E$250,3,false)</f>
        <v>Bosnia and Herzegovina</v>
      </c>
      <c r="Q469" s="38" t="str">
        <f>VLOOKUP($E469,countries!$A$2:$E$250,4,false)</f>
        <v>Europe</v>
      </c>
      <c r="R469" s="38" t="str">
        <f>VLOOKUP($E469,countries!$A$2:$E$250,5,false)</f>
        <v>Southern Europe</v>
      </c>
      <c r="S469" s="38">
        <f t="shared" si="5"/>
        <v>39</v>
      </c>
      <c r="T469" s="38" t="s">
        <v>167</v>
      </c>
      <c r="U469" s="38">
        <v>2012.0</v>
      </c>
      <c r="V469" s="38">
        <v>7.0</v>
      </c>
      <c r="W469" s="38" t="s">
        <v>133</v>
      </c>
      <c r="X469" s="38" t="s">
        <v>204</v>
      </c>
      <c r="Y469" s="38" t="s">
        <v>146</v>
      </c>
      <c r="Z469" s="38" t="s">
        <v>147</v>
      </c>
      <c r="AA469" s="113" t="str">
        <f t="array" ref="AA469">PROPER(G469)</f>
        <v>Online</v>
      </c>
    </row>
    <row r="470">
      <c r="A470" s="110">
        <v>4.12215459E8</v>
      </c>
      <c r="B470" s="131">
        <v>41298.0</v>
      </c>
      <c r="C470" s="131">
        <v>41305.0</v>
      </c>
      <c r="D470" s="110" t="s">
        <v>95</v>
      </c>
      <c r="E470" s="110" t="s">
        <v>138</v>
      </c>
      <c r="F470" s="110">
        <v>2103.0</v>
      </c>
      <c r="G470" s="38" t="s">
        <v>43</v>
      </c>
      <c r="H470" s="110">
        <v>2569.0</v>
      </c>
      <c r="I470" s="132">
        <v>205.7</v>
      </c>
      <c r="J470" s="132">
        <v>117.11</v>
      </c>
      <c r="K470" s="39">
        <f t="shared" si="1"/>
        <v>528443.3</v>
      </c>
      <c r="L470" s="39">
        <f t="shared" si="2"/>
        <v>300855.59</v>
      </c>
      <c r="M470" s="39">
        <f t="shared" si="3"/>
        <v>227587.71</v>
      </c>
      <c r="N470" s="38" t="str">
        <f>VLOOKUP(F470,products!$A$2:$B$13,2,FALSE)</f>
        <v>Cereal</v>
      </c>
      <c r="O470" s="133">
        <f t="shared" si="4"/>
        <v>0.5693242586</v>
      </c>
      <c r="P470" s="38" t="str">
        <f>VLOOKUP(E470,countries!A$2:E$250,3,false)</f>
        <v>Greece</v>
      </c>
      <c r="Q470" s="38" t="str">
        <f>VLOOKUP($E470,countries!$A$2:$E$250,4,false)</f>
        <v>Europe</v>
      </c>
      <c r="R470" s="38" t="str">
        <f>VLOOKUP($E470,countries!$A$2:$E$250,5,false)</f>
        <v>Southern Europe</v>
      </c>
      <c r="S470" s="38">
        <f t="shared" si="5"/>
        <v>7</v>
      </c>
      <c r="T470" s="38" t="s">
        <v>144</v>
      </c>
      <c r="U470" s="38">
        <v>2013.0</v>
      </c>
      <c r="V470" s="38">
        <v>1.0</v>
      </c>
      <c r="W470" s="38" t="s">
        <v>138</v>
      </c>
      <c r="X470" s="38" t="s">
        <v>208</v>
      </c>
      <c r="Y470" s="38" t="s">
        <v>146</v>
      </c>
      <c r="Z470" s="38" t="s">
        <v>147</v>
      </c>
      <c r="AA470" s="113" t="str">
        <f t="array" ref="AA470">PROPER(G470)</f>
        <v>Online</v>
      </c>
    </row>
    <row r="471">
      <c r="A471" s="110">
        <v>4.12416303E8</v>
      </c>
      <c r="B471" s="131">
        <v>42524.0</v>
      </c>
      <c r="C471" s="131">
        <v>42532.0</v>
      </c>
      <c r="D471" s="110" t="s">
        <v>89</v>
      </c>
      <c r="E471" s="110" t="s">
        <v>120</v>
      </c>
      <c r="F471" s="110">
        <v>7331.0</v>
      </c>
      <c r="G471" s="38" t="s">
        <v>42</v>
      </c>
      <c r="H471" s="110">
        <v>2004.0</v>
      </c>
      <c r="I471" s="132">
        <v>255.28</v>
      </c>
      <c r="J471" s="132">
        <v>159.42</v>
      </c>
      <c r="K471" s="39">
        <f t="shared" si="1"/>
        <v>511581.12</v>
      </c>
      <c r="L471" s="39">
        <f t="shared" si="2"/>
        <v>319477.68</v>
      </c>
      <c r="M471" s="39">
        <f t="shared" si="3"/>
        <v>192103.44</v>
      </c>
      <c r="N471" s="38" t="str">
        <f>VLOOKUP(F471,products!$A$2:$B$13,2,FALSE)</f>
        <v>Baby Food</v>
      </c>
      <c r="O471" s="133">
        <f t="shared" si="4"/>
        <v>0.6244907552</v>
      </c>
      <c r="P471" s="38" t="str">
        <f>VLOOKUP(E471,countries!A$2:E$250,3,false)</f>
        <v>San Marino</v>
      </c>
      <c r="Q471" s="38" t="str">
        <f>VLOOKUP($E471,countries!$A$2:$E$250,4,false)</f>
        <v>Europe</v>
      </c>
      <c r="R471" s="38" t="str">
        <f>VLOOKUP($E471,countries!$A$2:$E$250,5,false)</f>
        <v>Southern Europe</v>
      </c>
      <c r="S471" s="38">
        <f t="shared" si="5"/>
        <v>8</v>
      </c>
      <c r="T471" s="38" t="s">
        <v>161</v>
      </c>
      <c r="U471" s="38">
        <v>2016.0</v>
      </c>
      <c r="V471" s="38">
        <v>6.0</v>
      </c>
      <c r="W471" s="38" t="s">
        <v>120</v>
      </c>
      <c r="X471" s="38" t="s">
        <v>191</v>
      </c>
      <c r="Y471" s="38" t="s">
        <v>146</v>
      </c>
      <c r="Z471" s="38" t="s">
        <v>147</v>
      </c>
      <c r="AA471" s="113" t="str">
        <f t="array" ref="AA471">PROPER(G471)</f>
        <v>Offline</v>
      </c>
    </row>
    <row r="472">
      <c r="A472" s="110">
        <v>4.13078916E8</v>
      </c>
      <c r="B472" s="131">
        <v>41274.0</v>
      </c>
      <c r="C472" s="131">
        <v>41285.0</v>
      </c>
      <c r="D472" s="110" t="s">
        <v>93</v>
      </c>
      <c r="E472" s="110" t="s">
        <v>116</v>
      </c>
      <c r="F472" s="110">
        <v>5988.0</v>
      </c>
      <c r="G472" s="38" t="s">
        <v>43</v>
      </c>
      <c r="H472" s="110">
        <v>8086.0</v>
      </c>
      <c r="I472" s="132">
        <v>154.06</v>
      </c>
      <c r="J472" s="132">
        <v>90.93</v>
      </c>
      <c r="K472" s="39">
        <f t="shared" si="1"/>
        <v>1245729.16</v>
      </c>
      <c r="L472" s="39">
        <f t="shared" si="2"/>
        <v>735259.98</v>
      </c>
      <c r="M472" s="39">
        <f t="shared" si="3"/>
        <v>510469.18</v>
      </c>
      <c r="N472" s="38" t="str">
        <f>VLOOKUP(F472,products!$A$2:$B$13,2,FALSE)</f>
        <v>Vegetables</v>
      </c>
      <c r="O472" s="133">
        <f t="shared" si="4"/>
        <v>0.5902245878</v>
      </c>
      <c r="P472" s="38" t="str">
        <f>VLOOKUP(E472,countries!A$2:E$250,3,false)</f>
        <v>Belarus</v>
      </c>
      <c r="Q472" s="38" t="str">
        <f>VLOOKUP($E472,countries!$A$2:$E$250,4,false)</f>
        <v>Europe</v>
      </c>
      <c r="R472" s="38" t="str">
        <f>VLOOKUP($E472,countries!$A$2:$E$250,5,false)</f>
        <v>Eastern Europe</v>
      </c>
      <c r="S472" s="38">
        <f t="shared" si="5"/>
        <v>11</v>
      </c>
      <c r="T472" s="38" t="s">
        <v>159</v>
      </c>
      <c r="U472" s="38">
        <v>2012.0</v>
      </c>
      <c r="V472" s="38">
        <v>12.0</v>
      </c>
      <c r="W472" s="38" t="s">
        <v>116</v>
      </c>
      <c r="X472" s="38" t="s">
        <v>187</v>
      </c>
      <c r="Y472" s="38" t="s">
        <v>146</v>
      </c>
      <c r="Z472" s="38" t="s">
        <v>155</v>
      </c>
      <c r="AA472" s="113" t="str">
        <f t="array" ref="AA472">PROPER(G472)</f>
        <v>Online</v>
      </c>
    </row>
    <row r="473">
      <c r="A473" s="110">
        <v>4.13245427E8</v>
      </c>
      <c r="B473" s="131">
        <v>42550.0</v>
      </c>
      <c r="C473" s="131">
        <v>42553.0</v>
      </c>
      <c r="D473" s="110" t="s">
        <v>10</v>
      </c>
      <c r="E473" s="110" t="s">
        <v>128</v>
      </c>
      <c r="F473" s="110">
        <v>4594.0</v>
      </c>
      <c r="G473" s="38" t="s">
        <v>42</v>
      </c>
      <c r="H473" s="110">
        <v>7360.0</v>
      </c>
      <c r="I473" s="132">
        <v>9.33</v>
      </c>
      <c r="J473" s="132">
        <v>6.92</v>
      </c>
      <c r="K473" s="39">
        <f t="shared" si="1"/>
        <v>68668.8</v>
      </c>
      <c r="L473" s="39">
        <f t="shared" si="2"/>
        <v>50931.2</v>
      </c>
      <c r="M473" s="39">
        <f t="shared" si="3"/>
        <v>17737.6</v>
      </c>
      <c r="N473" s="38" t="str">
        <f>VLOOKUP(F473,products!$A$2:$B$13,2,FALSE)</f>
        <v>Fruits</v>
      </c>
      <c r="O473" s="133">
        <f t="shared" si="4"/>
        <v>0.741693462</v>
      </c>
      <c r="P473" s="38" t="str">
        <f>VLOOKUP(E473,countries!A$2:E$250,3,false)</f>
        <v>Andorra</v>
      </c>
      <c r="Q473" s="38" t="str">
        <f>VLOOKUP($E473,countries!$A$2:$E$250,4,false)</f>
        <v>Europe</v>
      </c>
      <c r="R473" s="38" t="str">
        <f>VLOOKUP($E473,countries!$A$2:$E$250,5,false)</f>
        <v>Southern Europe</v>
      </c>
      <c r="S473" s="38">
        <f t="shared" si="5"/>
        <v>3</v>
      </c>
      <c r="T473" s="38" t="s">
        <v>156</v>
      </c>
      <c r="U473" s="38">
        <v>2016.0</v>
      </c>
      <c r="V473" s="38">
        <v>6.0</v>
      </c>
      <c r="W473" s="38" t="s">
        <v>128</v>
      </c>
      <c r="X473" s="38" t="s">
        <v>199</v>
      </c>
      <c r="Y473" s="38" t="s">
        <v>146</v>
      </c>
      <c r="Z473" s="38" t="s">
        <v>147</v>
      </c>
      <c r="AA473" s="113" t="str">
        <f t="array" ref="AA473">PROPER(G473)</f>
        <v>Offline</v>
      </c>
    </row>
    <row r="474">
      <c r="A474" s="110">
        <v>4.13951814E8</v>
      </c>
      <c r="B474" s="131">
        <v>42134.0</v>
      </c>
      <c r="C474" s="131">
        <v>42155.0</v>
      </c>
      <c r="D474" s="110" t="s">
        <v>10</v>
      </c>
      <c r="E474" s="110" t="s">
        <v>118</v>
      </c>
      <c r="F474" s="110">
        <v>1270.0</v>
      </c>
      <c r="G474" s="38" t="s">
        <v>42</v>
      </c>
      <c r="H474" s="110">
        <v>6395.0</v>
      </c>
      <c r="I474" s="132">
        <v>47.45</v>
      </c>
      <c r="J474" s="132">
        <v>31.79</v>
      </c>
      <c r="K474" s="39">
        <f t="shared" si="1"/>
        <v>303442.75</v>
      </c>
      <c r="L474" s="39">
        <f t="shared" si="2"/>
        <v>203297.05</v>
      </c>
      <c r="M474" s="39">
        <f t="shared" si="3"/>
        <v>100145.7</v>
      </c>
      <c r="N474" s="38" t="str">
        <f>VLOOKUP(F474,products!$A$2:$B$13,2,FALSE)</f>
        <v>Beverages</v>
      </c>
      <c r="O474" s="133">
        <f t="shared" si="4"/>
        <v>0.6699683878</v>
      </c>
      <c r="P474" s="38" t="str">
        <f>VLOOKUP(E474,countries!A$2:E$250,3,false)</f>
        <v>Austria</v>
      </c>
      <c r="Q474" s="38" t="str">
        <f>VLOOKUP($E474,countries!$A$2:$E$250,4,false)</f>
        <v>Europe</v>
      </c>
      <c r="R474" s="38" t="str">
        <f>VLOOKUP($E474,countries!$A$2:$E$250,5,false)</f>
        <v>Western Europe</v>
      </c>
      <c r="S474" s="38">
        <f t="shared" si="5"/>
        <v>21</v>
      </c>
      <c r="T474" s="38" t="s">
        <v>152</v>
      </c>
      <c r="U474" s="38">
        <v>2015.0</v>
      </c>
      <c r="V474" s="38">
        <v>5.0</v>
      </c>
      <c r="W474" s="38" t="s">
        <v>118</v>
      </c>
      <c r="X474" s="38" t="s">
        <v>189</v>
      </c>
      <c r="Y474" s="38" t="s">
        <v>146</v>
      </c>
      <c r="Z474" s="38" t="s">
        <v>158</v>
      </c>
      <c r="AA474" s="113" t="str">
        <f t="array" ref="AA474">PROPER(G474)</f>
        <v>Offline</v>
      </c>
    </row>
    <row r="475">
      <c r="A475" s="110">
        <v>4.14359509E8</v>
      </c>
      <c r="B475" s="131">
        <v>41881.0</v>
      </c>
      <c r="C475" s="131">
        <v>41893.0</v>
      </c>
      <c r="D475" s="110" t="s">
        <v>10</v>
      </c>
      <c r="E475" s="110" t="s">
        <v>105</v>
      </c>
      <c r="F475" s="110">
        <v>7331.0</v>
      </c>
      <c r="G475" s="38" t="s">
        <v>42</v>
      </c>
      <c r="H475" s="110">
        <v>7042.0</v>
      </c>
      <c r="I475" s="132">
        <v>255.28</v>
      </c>
      <c r="J475" s="132">
        <v>159.42</v>
      </c>
      <c r="K475" s="39">
        <f t="shared" si="1"/>
        <v>1797681.76</v>
      </c>
      <c r="L475" s="39">
        <f t="shared" si="2"/>
        <v>1122635.64</v>
      </c>
      <c r="M475" s="39">
        <f t="shared" si="3"/>
        <v>675046.12</v>
      </c>
      <c r="N475" s="38" t="str">
        <f>VLOOKUP(F475,products!$A$2:$B$13,2,FALSE)</f>
        <v>Baby Food</v>
      </c>
      <c r="O475" s="133">
        <f t="shared" si="4"/>
        <v>0.6244907552</v>
      </c>
      <c r="P475" s="38" t="str">
        <f>VLOOKUP(E475,countries!A$2:E$250,3,false)</f>
        <v>Romania</v>
      </c>
      <c r="Q475" s="38" t="str">
        <f>VLOOKUP($E475,countries!$A$2:$E$250,4,false)</f>
        <v>Europe</v>
      </c>
      <c r="R475" s="38" t="str">
        <f>VLOOKUP($E475,countries!$A$2:$E$250,5,false)</f>
        <v>Eastern Europe</v>
      </c>
      <c r="S475" s="38">
        <f t="shared" si="5"/>
        <v>12</v>
      </c>
      <c r="T475" s="38" t="s">
        <v>161</v>
      </c>
      <c r="U475" s="38">
        <v>2014.0</v>
      </c>
      <c r="V475" s="38">
        <v>8.0</v>
      </c>
      <c r="W475" s="38" t="s">
        <v>105</v>
      </c>
      <c r="X475" s="38" t="s">
        <v>172</v>
      </c>
      <c r="Y475" s="38" t="s">
        <v>146</v>
      </c>
      <c r="Z475" s="38" t="s">
        <v>155</v>
      </c>
      <c r="AA475" s="113" t="str">
        <f t="array" ref="AA475">PROPER(G475)</f>
        <v>Offline</v>
      </c>
    </row>
    <row r="476">
      <c r="A476" s="110">
        <v>4.14579665E8</v>
      </c>
      <c r="B476" s="131">
        <v>42906.0</v>
      </c>
      <c r="C476" s="131">
        <v>42926.0</v>
      </c>
      <c r="D476" s="110" t="s">
        <v>95</v>
      </c>
      <c r="E476" s="110" t="s">
        <v>130</v>
      </c>
      <c r="F476" s="110">
        <v>8969.0</v>
      </c>
      <c r="G476" s="38" t="s">
        <v>43</v>
      </c>
      <c r="H476" s="110">
        <v>2191.0</v>
      </c>
      <c r="I476" s="132">
        <v>152.58</v>
      </c>
      <c r="J476" s="132">
        <v>97.44</v>
      </c>
      <c r="K476" s="39">
        <f t="shared" si="1"/>
        <v>334302.78</v>
      </c>
      <c r="L476" s="39">
        <f t="shared" si="2"/>
        <v>213491.04</v>
      </c>
      <c r="M476" s="39">
        <f t="shared" si="3"/>
        <v>120811.74</v>
      </c>
      <c r="N476" s="38" t="str">
        <f>VLOOKUP(F476,products!$A$2:$B$13,2,FALSE)</f>
        <v>Snacks</v>
      </c>
      <c r="O476" s="133">
        <f t="shared" si="4"/>
        <v>0.6386158081</v>
      </c>
      <c r="P476" s="38" t="str">
        <f>VLOOKUP(E476,countries!A$2:E$250,3,false)</f>
        <v>Finland</v>
      </c>
      <c r="Q476" s="38" t="str">
        <f>VLOOKUP($E476,countries!$A$2:$E$250,4,false)</f>
        <v>Europe</v>
      </c>
      <c r="R476" s="38" t="str">
        <f>VLOOKUP($E476,countries!$A$2:$E$250,5,false)</f>
        <v>Northern Europe</v>
      </c>
      <c r="S476" s="38">
        <f t="shared" si="5"/>
        <v>20</v>
      </c>
      <c r="T476" s="38" t="s">
        <v>182</v>
      </c>
      <c r="U476" s="38">
        <v>2017.0</v>
      </c>
      <c r="V476" s="38">
        <v>6.0</v>
      </c>
      <c r="W476" s="38" t="s">
        <v>130</v>
      </c>
      <c r="X476" s="38" t="s">
        <v>201</v>
      </c>
      <c r="Y476" s="38" t="s">
        <v>146</v>
      </c>
      <c r="Z476" s="38" t="s">
        <v>170</v>
      </c>
      <c r="AA476" s="113" t="str">
        <f t="array" ref="AA476">PROPER(G476)</f>
        <v>Online</v>
      </c>
    </row>
    <row r="477">
      <c r="A477" s="110">
        <v>4.15837943E8</v>
      </c>
      <c r="B477" s="131">
        <v>40918.0</v>
      </c>
      <c r="C477" s="131">
        <v>40962.0</v>
      </c>
      <c r="D477" s="110" t="s">
        <v>89</v>
      </c>
      <c r="E477" s="110" t="s">
        <v>128</v>
      </c>
      <c r="F477" s="110">
        <v>7331.0</v>
      </c>
      <c r="G477" s="38" t="s">
        <v>42</v>
      </c>
      <c r="H477" s="110">
        <v>4543.0</v>
      </c>
      <c r="I477" s="132">
        <v>255.28</v>
      </c>
      <c r="J477" s="132">
        <v>159.42</v>
      </c>
      <c r="K477" s="39">
        <f t="shared" si="1"/>
        <v>1159737.04</v>
      </c>
      <c r="L477" s="39">
        <f t="shared" si="2"/>
        <v>724245.06</v>
      </c>
      <c r="M477" s="39">
        <f t="shared" si="3"/>
        <v>435491.98</v>
      </c>
      <c r="N477" s="38" t="str">
        <f>VLOOKUP(F477,products!$A$2:$B$13,2,FALSE)</f>
        <v>Baby Food</v>
      </c>
      <c r="O477" s="133">
        <f t="shared" si="4"/>
        <v>0.6244907552</v>
      </c>
      <c r="P477" s="38" t="str">
        <f>VLOOKUP(E477,countries!A$2:E$250,3,false)</f>
        <v>Andorra</v>
      </c>
      <c r="Q477" s="38" t="str">
        <f>VLOOKUP($E477,countries!$A$2:$E$250,4,false)</f>
        <v>Europe</v>
      </c>
      <c r="R477" s="38" t="str">
        <f>VLOOKUP($E477,countries!$A$2:$E$250,5,false)</f>
        <v>Southern Europe</v>
      </c>
      <c r="S477" s="38">
        <f t="shared" si="5"/>
        <v>44</v>
      </c>
      <c r="T477" s="38" t="s">
        <v>161</v>
      </c>
      <c r="U477" s="38">
        <v>2012.0</v>
      </c>
      <c r="V477" s="38">
        <v>1.0</v>
      </c>
      <c r="W477" s="38" t="s">
        <v>128</v>
      </c>
      <c r="X477" s="38" t="s">
        <v>199</v>
      </c>
      <c r="Y477" s="38" t="s">
        <v>146</v>
      </c>
      <c r="Z477" s="38" t="s">
        <v>147</v>
      </c>
      <c r="AA477" s="113" t="str">
        <f t="array" ref="AA477">PROPER(G477)</f>
        <v>Offline</v>
      </c>
    </row>
    <row r="478">
      <c r="A478" s="110">
        <v>4.16682088E8</v>
      </c>
      <c r="B478" s="131">
        <v>41095.0</v>
      </c>
      <c r="C478" s="131">
        <v>41135.0</v>
      </c>
      <c r="D478" s="110" t="s">
        <v>95</v>
      </c>
      <c r="E478" s="110" t="s">
        <v>90</v>
      </c>
      <c r="F478" s="110">
        <v>5988.0</v>
      </c>
      <c r="G478" s="38" t="s">
        <v>42</v>
      </c>
      <c r="H478" s="110">
        <v>4344.0</v>
      </c>
      <c r="I478" s="132">
        <v>154.06</v>
      </c>
      <c r="J478" s="132">
        <v>90.93</v>
      </c>
      <c r="K478" s="39">
        <f t="shared" si="1"/>
        <v>669236.64</v>
      </c>
      <c r="L478" s="39">
        <f t="shared" si="2"/>
        <v>394999.92</v>
      </c>
      <c r="M478" s="39">
        <f t="shared" si="3"/>
        <v>274236.72</v>
      </c>
      <c r="N478" s="38" t="str">
        <f>VLOOKUP(F478,products!$A$2:$B$13,2,FALSE)</f>
        <v>Vegetables</v>
      </c>
      <c r="O478" s="133">
        <f t="shared" si="4"/>
        <v>0.5902245878</v>
      </c>
      <c r="P478" s="38" t="str">
        <f>VLOOKUP(E478,countries!A$2:E$250,3,false)</f>
        <v>Norway</v>
      </c>
      <c r="Q478" s="38" t="str">
        <f>VLOOKUP($E478,countries!$A$2:$E$250,4,false)</f>
        <v>Europe</v>
      </c>
      <c r="R478" s="38" t="str">
        <f>VLOOKUP($E478,countries!$A$2:$E$250,5,false)</f>
        <v>Northern Europe</v>
      </c>
      <c r="S478" s="38">
        <f t="shared" si="5"/>
        <v>40</v>
      </c>
      <c r="T478" s="38" t="s">
        <v>159</v>
      </c>
      <c r="U478" s="38">
        <v>2012.0</v>
      </c>
      <c r="V478" s="38">
        <v>7.0</v>
      </c>
      <c r="W478" s="38" t="s">
        <v>90</v>
      </c>
      <c r="X478" s="38" t="s">
        <v>183</v>
      </c>
      <c r="Y478" s="38" t="s">
        <v>146</v>
      </c>
      <c r="Z478" s="38" t="s">
        <v>170</v>
      </c>
      <c r="AA478" s="113" t="str">
        <f t="array" ref="AA478">PROPER(G478)</f>
        <v>Offline</v>
      </c>
    </row>
    <row r="479">
      <c r="A479" s="110">
        <v>4.16953313E8</v>
      </c>
      <c r="B479" s="131">
        <v>42633.0</v>
      </c>
      <c r="C479" s="131">
        <v>42672.0</v>
      </c>
      <c r="D479" s="110" t="s">
        <v>95</v>
      </c>
      <c r="E479" s="110" t="s">
        <v>127</v>
      </c>
      <c r="F479" s="110">
        <v>1270.0</v>
      </c>
      <c r="G479" s="38" t="s">
        <v>42</v>
      </c>
      <c r="H479" s="110">
        <v>4606.0</v>
      </c>
      <c r="I479" s="132">
        <v>47.45</v>
      </c>
      <c r="J479" s="132">
        <v>31.79</v>
      </c>
      <c r="K479" s="39">
        <f t="shared" si="1"/>
        <v>218554.7</v>
      </c>
      <c r="L479" s="39">
        <f t="shared" si="2"/>
        <v>146424.74</v>
      </c>
      <c r="M479" s="39">
        <f t="shared" si="3"/>
        <v>72129.96</v>
      </c>
      <c r="N479" s="38" t="str">
        <f>VLOOKUP(F479,products!$A$2:$B$13,2,FALSE)</f>
        <v>Beverages</v>
      </c>
      <c r="O479" s="133">
        <f t="shared" si="4"/>
        <v>0.6699683878</v>
      </c>
      <c r="P479" s="38" t="str">
        <f>VLOOKUP(E479,countries!A$2:E$250,3,false)</f>
        <v>Ireland</v>
      </c>
      <c r="Q479" s="38" t="str">
        <f>VLOOKUP($E479,countries!$A$2:$E$250,4,false)</f>
        <v>Europe</v>
      </c>
      <c r="R479" s="38" t="str">
        <f>VLOOKUP($E479,countries!$A$2:$E$250,5,false)</f>
        <v>Northern Europe</v>
      </c>
      <c r="S479" s="38">
        <f t="shared" si="5"/>
        <v>39</v>
      </c>
      <c r="T479" s="38" t="s">
        <v>152</v>
      </c>
      <c r="U479" s="38">
        <v>2016.0</v>
      </c>
      <c r="V479" s="38">
        <v>9.0</v>
      </c>
      <c r="W479" s="38" t="s">
        <v>127</v>
      </c>
      <c r="X479" s="38" t="s">
        <v>198</v>
      </c>
      <c r="Y479" s="38" t="s">
        <v>146</v>
      </c>
      <c r="Z479" s="38" t="s">
        <v>170</v>
      </c>
      <c r="AA479" s="113" t="str">
        <f t="array" ref="AA479">PROPER(G479)</f>
        <v>Offline</v>
      </c>
    </row>
    <row r="480">
      <c r="A480" s="110">
        <v>4.18404281E8</v>
      </c>
      <c r="B480" s="131">
        <v>40604.0</v>
      </c>
      <c r="C480" s="131">
        <v>40648.0</v>
      </c>
      <c r="D480" s="110" t="s">
        <v>89</v>
      </c>
      <c r="E480" s="110" t="s">
        <v>101</v>
      </c>
      <c r="F480" s="110">
        <v>8969.0</v>
      </c>
      <c r="G480" s="38" t="s">
        <v>42</v>
      </c>
      <c r="H480" s="110">
        <v>3979.0</v>
      </c>
      <c r="I480" s="132">
        <v>152.58</v>
      </c>
      <c r="J480" s="132">
        <v>97.44</v>
      </c>
      <c r="K480" s="39">
        <f t="shared" si="1"/>
        <v>607115.82</v>
      </c>
      <c r="L480" s="39">
        <f t="shared" si="2"/>
        <v>387713.76</v>
      </c>
      <c r="M480" s="39">
        <f t="shared" si="3"/>
        <v>219402.06</v>
      </c>
      <c r="N480" s="38" t="str">
        <f>VLOOKUP(F480,products!$A$2:$B$13,2,FALSE)</f>
        <v>Snacks</v>
      </c>
      <c r="O480" s="133">
        <f t="shared" si="4"/>
        <v>0.6386158081</v>
      </c>
      <c r="P480" s="38" t="str">
        <f>VLOOKUP(E480,countries!A$2:E$250,3,false)</f>
        <v>Armenia</v>
      </c>
      <c r="Q480" s="38" t="str">
        <f>VLOOKUP($E480,countries!$A$2:$E$250,4,false)</f>
        <v>Asia</v>
      </c>
      <c r="R480" s="38" t="str">
        <f>VLOOKUP($E480,countries!$A$2:$E$250,5,false)</f>
        <v>Western Asia</v>
      </c>
      <c r="S480" s="38">
        <f t="shared" si="5"/>
        <v>44</v>
      </c>
      <c r="T480" s="38" t="s">
        <v>182</v>
      </c>
      <c r="U480" s="38">
        <v>2011.0</v>
      </c>
      <c r="V480" s="38">
        <v>3.0</v>
      </c>
      <c r="W480" s="38" t="s">
        <v>101</v>
      </c>
      <c r="X480" s="38" t="s">
        <v>164</v>
      </c>
      <c r="Y480" s="38" t="s">
        <v>165</v>
      </c>
      <c r="Z480" s="38" t="s">
        <v>166</v>
      </c>
      <c r="AA480" s="113" t="str">
        <f t="array" ref="AA480">PROPER(G480)</f>
        <v>Offline</v>
      </c>
    </row>
    <row r="481">
      <c r="A481" s="110">
        <v>4.20875346E8</v>
      </c>
      <c r="B481" s="131">
        <v>40914.0</v>
      </c>
      <c r="C481" s="131">
        <v>40957.0</v>
      </c>
      <c r="D481" s="110" t="s">
        <v>93</v>
      </c>
      <c r="E481" s="110" t="s">
        <v>110</v>
      </c>
      <c r="F481" s="110">
        <v>8293.0</v>
      </c>
      <c r="G481" s="38" t="s">
        <v>42</v>
      </c>
      <c r="H481" s="110">
        <v>5223.0</v>
      </c>
      <c r="I481" s="132">
        <v>437.2</v>
      </c>
      <c r="J481" s="132">
        <v>263.33</v>
      </c>
      <c r="K481" s="39">
        <f t="shared" si="1"/>
        <v>2283495.6</v>
      </c>
      <c r="L481" s="39">
        <f t="shared" si="2"/>
        <v>1375372.59</v>
      </c>
      <c r="M481" s="39">
        <f t="shared" si="3"/>
        <v>908123.01</v>
      </c>
      <c r="N481" s="38" t="str">
        <f>VLOOKUP(F481,products!$A$2:$B$13,2,FALSE)</f>
        <v>Cosmetics</v>
      </c>
      <c r="O481" s="133">
        <f t="shared" si="4"/>
        <v>0.6023101555</v>
      </c>
      <c r="P481" s="38" t="str">
        <f>VLOOKUP(E481,countries!A$2:E$250,3,false)</f>
        <v>Lithuania</v>
      </c>
      <c r="Q481" s="38" t="str">
        <f>VLOOKUP($E481,countries!$A$2:$E$250,4,false)</f>
        <v>Europe</v>
      </c>
      <c r="R481" s="38" t="str">
        <f>VLOOKUP($E481,countries!$A$2:$E$250,5,false)</f>
        <v>Northern Europe</v>
      </c>
      <c r="S481" s="38">
        <f t="shared" si="5"/>
        <v>43</v>
      </c>
      <c r="T481" s="38" t="s">
        <v>178</v>
      </c>
      <c r="U481" s="38">
        <v>2012.0</v>
      </c>
      <c r="V481" s="38">
        <v>1.0</v>
      </c>
      <c r="W481" s="38" t="s">
        <v>110</v>
      </c>
      <c r="X481" s="38" t="s">
        <v>177</v>
      </c>
      <c r="Y481" s="38" t="s">
        <v>146</v>
      </c>
      <c r="Z481" s="38" t="s">
        <v>170</v>
      </c>
      <c r="AA481" s="113" t="str">
        <f t="array" ref="AA481">PROPER(G481)</f>
        <v>Offline</v>
      </c>
    </row>
    <row r="482">
      <c r="A482" s="110">
        <v>4.21456849E8</v>
      </c>
      <c r="B482" s="131">
        <v>41615.0</v>
      </c>
      <c r="C482" s="131">
        <v>41618.0</v>
      </c>
      <c r="D482" s="110" t="s">
        <v>89</v>
      </c>
      <c r="E482" s="110" t="e">
        <v>#N/A</v>
      </c>
      <c r="F482" s="110">
        <v>8875.0</v>
      </c>
      <c r="G482" s="38" t="s">
        <v>43</v>
      </c>
      <c r="H482" s="110">
        <v>7302.0</v>
      </c>
      <c r="I482" s="132">
        <v>421.89</v>
      </c>
      <c r="J482" s="132">
        <v>364.69</v>
      </c>
      <c r="K482" s="39">
        <f t="shared" si="1"/>
        <v>3080640.78</v>
      </c>
      <c r="L482" s="39">
        <f t="shared" si="2"/>
        <v>2662966.38</v>
      </c>
      <c r="M482" s="39">
        <f t="shared" si="3"/>
        <v>417674.4</v>
      </c>
      <c r="N482" s="38" t="str">
        <f>VLOOKUP(F482,products!$A$2:$B$13,2,FALSE)</f>
        <v>Meat</v>
      </c>
      <c r="O482" s="133">
        <f t="shared" si="4"/>
        <v>0.8644196354</v>
      </c>
      <c r="P482" s="38" t="str">
        <f>VLOOKUP(E482,countries!A$2:E$250,3,false)</f>
        <v>#N/A</v>
      </c>
      <c r="Q482" s="38" t="str">
        <f>VLOOKUP($E482,countries!$A$2:$E$250,4,false)</f>
        <v>#N/A</v>
      </c>
      <c r="R482" s="38" t="str">
        <f>VLOOKUP($E482,countries!$A$2:$E$250,5,false)</f>
        <v>#N/A</v>
      </c>
      <c r="S482" s="38">
        <f t="shared" si="5"/>
        <v>3</v>
      </c>
      <c r="T482" s="38" t="s">
        <v>167</v>
      </c>
      <c r="U482" s="38">
        <v>2013.0</v>
      </c>
      <c r="V482" s="38">
        <v>12.0</v>
      </c>
      <c r="W482" s="38" t="s">
        <v>92</v>
      </c>
      <c r="X482" s="38" t="s">
        <v>149</v>
      </c>
      <c r="Y482" s="38" t="s">
        <v>149</v>
      </c>
      <c r="Z482" s="38" t="s">
        <v>149</v>
      </c>
      <c r="AA482" s="113" t="str">
        <f t="array" ref="AA482">PROPER(G482)</f>
        <v>Online</v>
      </c>
    </row>
    <row r="483">
      <c r="A483" s="110">
        <v>4.21660268E8</v>
      </c>
      <c r="B483" s="131">
        <v>42077.0</v>
      </c>
      <c r="C483" s="131">
        <v>42105.0</v>
      </c>
      <c r="D483" s="110" t="s">
        <v>10</v>
      </c>
      <c r="E483" s="110" t="s">
        <v>127</v>
      </c>
      <c r="F483" s="110">
        <v>7940.0</v>
      </c>
      <c r="G483" s="38" t="s">
        <v>42</v>
      </c>
      <c r="H483" s="110">
        <v>7498.0</v>
      </c>
      <c r="I483" s="132">
        <v>668.27</v>
      </c>
      <c r="J483" s="132">
        <v>502.54</v>
      </c>
      <c r="K483" s="39">
        <f t="shared" si="1"/>
        <v>5010688.46</v>
      </c>
      <c r="L483" s="39">
        <f t="shared" si="2"/>
        <v>3768044.92</v>
      </c>
      <c r="M483" s="39">
        <f t="shared" si="3"/>
        <v>1242643.54</v>
      </c>
      <c r="N483" s="38" t="str">
        <f>VLOOKUP(F483,products!$A$2:$B$13,2,FALSE)</f>
        <v>Household</v>
      </c>
      <c r="O483" s="133">
        <f t="shared" si="4"/>
        <v>0.7520014365</v>
      </c>
      <c r="P483" s="38" t="str">
        <f>VLOOKUP(E483,countries!A$2:E$250,3,false)</f>
        <v>Ireland</v>
      </c>
      <c r="Q483" s="38" t="str">
        <f>VLOOKUP($E483,countries!$A$2:$E$250,4,false)</f>
        <v>Europe</v>
      </c>
      <c r="R483" s="38" t="str">
        <f>VLOOKUP($E483,countries!$A$2:$E$250,5,false)</f>
        <v>Northern Europe</v>
      </c>
      <c r="S483" s="38">
        <f t="shared" si="5"/>
        <v>28</v>
      </c>
      <c r="T483" s="38" t="s">
        <v>148</v>
      </c>
      <c r="U483" s="38">
        <v>2015.0</v>
      </c>
      <c r="V483" s="38">
        <v>3.0</v>
      </c>
      <c r="W483" s="38" t="s">
        <v>127</v>
      </c>
      <c r="X483" s="38" t="s">
        <v>198</v>
      </c>
      <c r="Y483" s="38" t="s">
        <v>146</v>
      </c>
      <c r="Z483" s="38" t="s">
        <v>170</v>
      </c>
      <c r="AA483" s="113" t="str">
        <f t="array" ref="AA483">PROPER(G483)</f>
        <v>Offline</v>
      </c>
    </row>
    <row r="484">
      <c r="A484" s="110">
        <v>4.22568786E8</v>
      </c>
      <c r="B484" s="131">
        <v>42505.0</v>
      </c>
      <c r="C484" s="131">
        <v>42538.0</v>
      </c>
      <c r="D484" s="110" t="s">
        <v>95</v>
      </c>
      <c r="E484" s="110" t="s">
        <v>112</v>
      </c>
      <c r="F484" s="110">
        <v>8875.0</v>
      </c>
      <c r="G484" s="38" t="s">
        <v>43</v>
      </c>
      <c r="H484" s="110">
        <v>6349.0</v>
      </c>
      <c r="I484" s="132">
        <v>421.89</v>
      </c>
      <c r="J484" s="132">
        <v>364.69</v>
      </c>
      <c r="K484" s="39">
        <f t="shared" si="1"/>
        <v>2678579.61</v>
      </c>
      <c r="L484" s="39">
        <f t="shared" si="2"/>
        <v>2315416.81</v>
      </c>
      <c r="M484" s="39">
        <f t="shared" si="3"/>
        <v>363162.8</v>
      </c>
      <c r="N484" s="38" t="str">
        <f>VLOOKUP(F484,products!$A$2:$B$13,2,FALSE)</f>
        <v>Meat</v>
      </c>
      <c r="O484" s="133">
        <f t="shared" si="4"/>
        <v>0.8644196354</v>
      </c>
      <c r="P484" s="38" t="str">
        <f>VLOOKUP(E484,countries!A$2:E$250,3,false)</f>
        <v>Malta</v>
      </c>
      <c r="Q484" s="38" t="str">
        <f>VLOOKUP($E484,countries!$A$2:$E$250,4,false)</f>
        <v>Europe</v>
      </c>
      <c r="R484" s="38" t="str">
        <f>VLOOKUP($E484,countries!$A$2:$E$250,5,false)</f>
        <v>Southern Europe</v>
      </c>
      <c r="S484" s="38">
        <f t="shared" si="5"/>
        <v>33</v>
      </c>
      <c r="T484" s="38" t="s">
        <v>167</v>
      </c>
      <c r="U484" s="38">
        <v>2016.0</v>
      </c>
      <c r="V484" s="38">
        <v>5.0</v>
      </c>
      <c r="W484" s="38" t="s">
        <v>112</v>
      </c>
      <c r="X484" s="38" t="s">
        <v>180</v>
      </c>
      <c r="Y484" s="38" t="s">
        <v>146</v>
      </c>
      <c r="Z484" s="38" t="s">
        <v>147</v>
      </c>
      <c r="AA484" s="113" t="str">
        <f t="array" ref="AA484">PROPER(G484)</f>
        <v>Online</v>
      </c>
    </row>
    <row r="485">
      <c r="A485" s="110">
        <v>4.24181544E8</v>
      </c>
      <c r="B485" s="131">
        <v>41310.0</v>
      </c>
      <c r="C485" s="131">
        <v>41337.0</v>
      </c>
      <c r="D485" s="110" t="s">
        <v>95</v>
      </c>
      <c r="E485" s="110" t="s">
        <v>101</v>
      </c>
      <c r="F485" s="110">
        <v>2103.0</v>
      </c>
      <c r="G485" s="38" t="s">
        <v>43</v>
      </c>
      <c r="H485" s="110">
        <v>3600.0</v>
      </c>
      <c r="I485" s="132">
        <v>205.7</v>
      </c>
      <c r="J485" s="132">
        <v>117.11</v>
      </c>
      <c r="K485" s="39">
        <f t="shared" si="1"/>
        <v>740520</v>
      </c>
      <c r="L485" s="39">
        <f t="shared" si="2"/>
        <v>421596</v>
      </c>
      <c r="M485" s="39">
        <f t="shared" si="3"/>
        <v>318924</v>
      </c>
      <c r="N485" s="38" t="str">
        <f>VLOOKUP(F485,products!$A$2:$B$13,2,FALSE)</f>
        <v>Cereal</v>
      </c>
      <c r="O485" s="133">
        <f t="shared" si="4"/>
        <v>0.5693242586</v>
      </c>
      <c r="P485" s="38" t="str">
        <f>VLOOKUP(E485,countries!A$2:E$250,3,false)</f>
        <v>Armenia</v>
      </c>
      <c r="Q485" s="38" t="str">
        <f>VLOOKUP($E485,countries!$A$2:$E$250,4,false)</f>
        <v>Asia</v>
      </c>
      <c r="R485" s="38" t="str">
        <f>VLOOKUP($E485,countries!$A$2:$E$250,5,false)</f>
        <v>Western Asia</v>
      </c>
      <c r="S485" s="38">
        <f t="shared" si="5"/>
        <v>27</v>
      </c>
      <c r="T485" s="38" t="s">
        <v>144</v>
      </c>
      <c r="U485" s="38">
        <v>2013.0</v>
      </c>
      <c r="V485" s="38">
        <v>2.0</v>
      </c>
      <c r="W485" s="38" t="s">
        <v>101</v>
      </c>
      <c r="X485" s="38" t="s">
        <v>164</v>
      </c>
      <c r="Y485" s="38" t="s">
        <v>165</v>
      </c>
      <c r="Z485" s="38" t="s">
        <v>166</v>
      </c>
      <c r="AA485" s="113" t="str">
        <f t="array" ref="AA485">PROPER(G485)</f>
        <v>Online</v>
      </c>
    </row>
    <row r="486">
      <c r="A486" s="110">
        <v>4.24297845E8</v>
      </c>
      <c r="B486" s="131">
        <v>40897.0</v>
      </c>
      <c r="C486" s="131">
        <v>40916.0</v>
      </c>
      <c r="D486" s="110" t="s">
        <v>89</v>
      </c>
      <c r="E486" s="110" t="s">
        <v>91</v>
      </c>
      <c r="F486" s="110">
        <v>1270.0</v>
      </c>
      <c r="G486" s="38" t="s">
        <v>43</v>
      </c>
      <c r="H486" s="110">
        <v>8016.0</v>
      </c>
      <c r="I486" s="132">
        <v>47.45</v>
      </c>
      <c r="J486" s="132">
        <v>31.79</v>
      </c>
      <c r="K486" s="39">
        <f t="shared" si="1"/>
        <v>380359.2</v>
      </c>
      <c r="L486" s="39">
        <f t="shared" si="2"/>
        <v>254828.64</v>
      </c>
      <c r="M486" s="39">
        <f t="shared" si="3"/>
        <v>125530.56</v>
      </c>
      <c r="N486" s="38" t="str">
        <f>VLOOKUP(F486,products!$A$2:$B$13,2,FALSE)</f>
        <v>Beverages</v>
      </c>
      <c r="O486" s="133">
        <f t="shared" si="4"/>
        <v>0.6699683878</v>
      </c>
      <c r="P486" s="38" t="str">
        <f>VLOOKUP(E486,countries!A$2:E$250,3,false)</f>
        <v>Serbia</v>
      </c>
      <c r="Q486" s="38" t="str">
        <f>VLOOKUP($E486,countries!$A$2:$E$250,4,false)</f>
        <v>Europe</v>
      </c>
      <c r="R486" s="38" t="str">
        <f>VLOOKUP($E486,countries!$A$2:$E$250,5,false)</f>
        <v>Southern Europe</v>
      </c>
      <c r="S486" s="38">
        <f t="shared" si="5"/>
        <v>19</v>
      </c>
      <c r="T486" s="38" t="s">
        <v>152</v>
      </c>
      <c r="U486" s="38">
        <v>2011.0</v>
      </c>
      <c r="V486" s="38">
        <v>12.0</v>
      </c>
      <c r="W486" s="38" t="s">
        <v>91</v>
      </c>
      <c r="X486" s="38" t="s">
        <v>145</v>
      </c>
      <c r="Y486" s="38" t="s">
        <v>146</v>
      </c>
      <c r="Z486" s="38" t="s">
        <v>147</v>
      </c>
      <c r="AA486" s="113" t="str">
        <f t="array" ref="AA486">PROPER(G486)</f>
        <v>Online</v>
      </c>
    </row>
    <row r="487">
      <c r="A487" s="110">
        <v>4.24541604E8</v>
      </c>
      <c r="B487" s="131">
        <v>41369.0</v>
      </c>
      <c r="C487" s="131">
        <v>41411.0</v>
      </c>
      <c r="D487" s="110" t="s">
        <v>95</v>
      </c>
      <c r="E487" s="110" t="s">
        <v>122</v>
      </c>
      <c r="F487" s="110">
        <v>8681.0</v>
      </c>
      <c r="G487" s="38" t="s">
        <v>42</v>
      </c>
      <c r="H487" s="110">
        <v>150.0</v>
      </c>
      <c r="I487" s="132">
        <v>651.21</v>
      </c>
      <c r="J487" s="132">
        <v>524.96</v>
      </c>
      <c r="K487" s="39">
        <f t="shared" si="1"/>
        <v>97681.5</v>
      </c>
      <c r="L487" s="39">
        <f t="shared" si="2"/>
        <v>78744</v>
      </c>
      <c r="M487" s="39">
        <f t="shared" si="3"/>
        <v>18937.5</v>
      </c>
      <c r="N487" s="38" t="str">
        <f>VLOOKUP(F487,products!$A$2:$B$13,2,FALSE)</f>
        <v>Office Supplies</v>
      </c>
      <c r="O487" s="133">
        <f t="shared" si="4"/>
        <v>0.806130127</v>
      </c>
      <c r="P487" s="38" t="str">
        <f>VLOOKUP(E487,countries!A$2:E$250,3,false)</f>
        <v>Switzerland</v>
      </c>
      <c r="Q487" s="38" t="str">
        <f>VLOOKUP($E487,countries!$A$2:$E$250,4,false)</f>
        <v>Europe</v>
      </c>
      <c r="R487" s="38" t="str">
        <f>VLOOKUP($E487,countries!$A$2:$E$250,5,false)</f>
        <v>Western Europe</v>
      </c>
      <c r="S487" s="38">
        <f t="shared" si="5"/>
        <v>42</v>
      </c>
      <c r="T487" s="38" t="s">
        <v>153</v>
      </c>
      <c r="U487" s="38">
        <v>2013.0</v>
      </c>
      <c r="V487" s="38">
        <v>4.0</v>
      </c>
      <c r="W487" s="38" t="s">
        <v>122</v>
      </c>
      <c r="X487" s="38" t="s">
        <v>193</v>
      </c>
      <c r="Y487" s="38" t="s">
        <v>146</v>
      </c>
      <c r="Z487" s="38" t="s">
        <v>158</v>
      </c>
      <c r="AA487" s="113" t="str">
        <f t="array" ref="AA487">PROPER(G487)</f>
        <v>Offline</v>
      </c>
    </row>
    <row r="488">
      <c r="A488" s="110">
        <v>4.25547969E8</v>
      </c>
      <c r="B488" s="131">
        <v>40409.0</v>
      </c>
      <c r="C488" s="131">
        <v>40432.0</v>
      </c>
      <c r="D488" s="110" t="s">
        <v>95</v>
      </c>
      <c r="E488" s="110" t="s">
        <v>128</v>
      </c>
      <c r="F488" s="110">
        <v>1270.0</v>
      </c>
      <c r="G488" s="38" t="s">
        <v>43</v>
      </c>
      <c r="H488" s="110">
        <v>7955.0</v>
      </c>
      <c r="I488" s="132">
        <v>47.45</v>
      </c>
      <c r="J488" s="132">
        <v>31.79</v>
      </c>
      <c r="K488" s="39">
        <f t="shared" si="1"/>
        <v>377464.75</v>
      </c>
      <c r="L488" s="39">
        <f t="shared" si="2"/>
        <v>252889.45</v>
      </c>
      <c r="M488" s="39">
        <f t="shared" si="3"/>
        <v>124575.3</v>
      </c>
      <c r="N488" s="38" t="str">
        <f>VLOOKUP(F488,products!$A$2:$B$13,2,FALSE)</f>
        <v>Beverages</v>
      </c>
      <c r="O488" s="133">
        <f t="shared" si="4"/>
        <v>0.6699683878</v>
      </c>
      <c r="P488" s="38" t="str">
        <f>VLOOKUP(E488,countries!A$2:E$250,3,false)</f>
        <v>Andorra</v>
      </c>
      <c r="Q488" s="38" t="str">
        <f>VLOOKUP($E488,countries!$A$2:$E$250,4,false)</f>
        <v>Europe</v>
      </c>
      <c r="R488" s="38" t="str">
        <f>VLOOKUP($E488,countries!$A$2:$E$250,5,false)</f>
        <v>Southern Europe</v>
      </c>
      <c r="S488" s="38">
        <f t="shared" si="5"/>
        <v>23</v>
      </c>
      <c r="T488" s="38" t="s">
        <v>152</v>
      </c>
      <c r="U488" s="38">
        <v>2010.0</v>
      </c>
      <c r="V488" s="38">
        <v>8.0</v>
      </c>
      <c r="W488" s="38" t="s">
        <v>128</v>
      </c>
      <c r="X488" s="38" t="s">
        <v>199</v>
      </c>
      <c r="Y488" s="38" t="s">
        <v>146</v>
      </c>
      <c r="Z488" s="38" t="s">
        <v>147</v>
      </c>
      <c r="AA488" s="113" t="str">
        <f t="array" ref="AA488">PROPER(G488)</f>
        <v>Online</v>
      </c>
    </row>
    <row r="489">
      <c r="A489" s="110">
        <v>4.27432811E8</v>
      </c>
      <c r="B489" s="131">
        <v>42341.0</v>
      </c>
      <c r="C489" s="131">
        <v>42349.0</v>
      </c>
      <c r="D489" s="110" t="s">
        <v>95</v>
      </c>
      <c r="E489" s="110" t="s">
        <v>130</v>
      </c>
      <c r="F489" s="110">
        <v>8969.0</v>
      </c>
      <c r="G489" s="38" t="s">
        <v>43</v>
      </c>
      <c r="H489" s="110">
        <v>5722.0</v>
      </c>
      <c r="I489" s="132">
        <v>152.58</v>
      </c>
      <c r="J489" s="132">
        <v>97.44</v>
      </c>
      <c r="K489" s="39">
        <f t="shared" si="1"/>
        <v>873062.76</v>
      </c>
      <c r="L489" s="39">
        <f t="shared" si="2"/>
        <v>557551.68</v>
      </c>
      <c r="M489" s="39">
        <f t="shared" si="3"/>
        <v>315511.08</v>
      </c>
      <c r="N489" s="38" t="str">
        <f>VLOOKUP(F489,products!$A$2:$B$13,2,FALSE)</f>
        <v>Snacks</v>
      </c>
      <c r="O489" s="133">
        <f t="shared" si="4"/>
        <v>0.6386158081</v>
      </c>
      <c r="P489" s="38" t="str">
        <f>VLOOKUP(E489,countries!A$2:E$250,3,false)</f>
        <v>Finland</v>
      </c>
      <c r="Q489" s="38" t="str">
        <f>VLOOKUP($E489,countries!$A$2:$E$250,4,false)</f>
        <v>Europe</v>
      </c>
      <c r="R489" s="38" t="str">
        <f>VLOOKUP($E489,countries!$A$2:$E$250,5,false)</f>
        <v>Northern Europe</v>
      </c>
      <c r="S489" s="38">
        <f t="shared" si="5"/>
        <v>8</v>
      </c>
      <c r="T489" s="38" t="s">
        <v>182</v>
      </c>
      <c r="U489" s="38">
        <v>2015.0</v>
      </c>
      <c r="V489" s="38">
        <v>12.0</v>
      </c>
      <c r="W489" s="38" t="s">
        <v>130</v>
      </c>
      <c r="X489" s="38" t="s">
        <v>201</v>
      </c>
      <c r="Y489" s="38" t="s">
        <v>146</v>
      </c>
      <c r="Z489" s="38" t="s">
        <v>170</v>
      </c>
      <c r="AA489" s="113" t="str">
        <f t="array" ref="AA489">PROPER(G489)</f>
        <v>Online</v>
      </c>
    </row>
    <row r="490">
      <c r="A490" s="110">
        <v>4.28419864E8</v>
      </c>
      <c r="B490" s="131">
        <v>41582.0</v>
      </c>
      <c r="C490" s="131">
        <v>41613.0</v>
      </c>
      <c r="D490" s="110" t="s">
        <v>89</v>
      </c>
      <c r="E490" s="110" t="s">
        <v>97</v>
      </c>
      <c r="F490" s="110">
        <v>8681.0</v>
      </c>
      <c r="G490" s="38" t="s">
        <v>42</v>
      </c>
      <c r="H490" s="110">
        <v>7813.0</v>
      </c>
      <c r="I490" s="132">
        <v>651.21</v>
      </c>
      <c r="J490" s="132">
        <v>524.96</v>
      </c>
      <c r="K490" s="39">
        <f t="shared" si="1"/>
        <v>5087903.73</v>
      </c>
      <c r="L490" s="39">
        <f t="shared" si="2"/>
        <v>4101512.48</v>
      </c>
      <c r="M490" s="39">
        <f t="shared" si="3"/>
        <v>986391.25</v>
      </c>
      <c r="N490" s="38" t="str">
        <f>VLOOKUP(F490,products!$A$2:$B$13,2,FALSE)</f>
        <v>Office Supplies</v>
      </c>
      <c r="O490" s="133">
        <f t="shared" si="4"/>
        <v>0.806130127</v>
      </c>
      <c r="P490" s="38" t="str">
        <f>VLOOKUP(E490,countries!A$2:E$250,3,false)</f>
        <v>France</v>
      </c>
      <c r="Q490" s="38" t="str">
        <f>VLOOKUP($E490,countries!$A$2:$E$250,4,false)</f>
        <v>Europe</v>
      </c>
      <c r="R490" s="38" t="str">
        <f>VLOOKUP($E490,countries!$A$2:$E$250,5,false)</f>
        <v>Western Europe</v>
      </c>
      <c r="S490" s="38">
        <f t="shared" si="5"/>
        <v>31</v>
      </c>
      <c r="T490" s="38" t="s">
        <v>153</v>
      </c>
      <c r="U490" s="38">
        <v>2013.0</v>
      </c>
      <c r="V490" s="38">
        <v>11.0</v>
      </c>
      <c r="W490" s="38" t="s">
        <v>97</v>
      </c>
      <c r="X490" s="38" t="s">
        <v>157</v>
      </c>
      <c r="Y490" s="38" t="s">
        <v>146</v>
      </c>
      <c r="Z490" s="38" t="s">
        <v>158</v>
      </c>
      <c r="AA490" s="113" t="str">
        <f t="array" ref="AA490">PROPER(G490)</f>
        <v>Offline</v>
      </c>
    </row>
    <row r="491">
      <c r="A491" s="110">
        <v>4.29123675E8</v>
      </c>
      <c r="B491" s="131">
        <v>41930.0</v>
      </c>
      <c r="C491" s="131">
        <v>41954.0</v>
      </c>
      <c r="D491" s="110" t="s">
        <v>89</v>
      </c>
      <c r="E491" s="110" t="e">
        <v>#N/A</v>
      </c>
      <c r="F491" s="110">
        <v>8969.0</v>
      </c>
      <c r="G491" s="38" t="s">
        <v>42</v>
      </c>
      <c r="H491" s="110">
        <v>6086.0</v>
      </c>
      <c r="I491" s="132">
        <v>152.58</v>
      </c>
      <c r="J491" s="132">
        <v>97.44</v>
      </c>
      <c r="K491" s="39">
        <f t="shared" si="1"/>
        <v>928601.88</v>
      </c>
      <c r="L491" s="39">
        <f t="shared" si="2"/>
        <v>593019.84</v>
      </c>
      <c r="M491" s="39">
        <f t="shared" si="3"/>
        <v>335582.04</v>
      </c>
      <c r="N491" s="38" t="str">
        <f>VLOOKUP(F491,products!$A$2:$B$13,2,FALSE)</f>
        <v>Snacks</v>
      </c>
      <c r="O491" s="133">
        <f t="shared" si="4"/>
        <v>0.6386158081</v>
      </c>
      <c r="P491" s="38" t="str">
        <f>VLOOKUP(E491,countries!A$2:E$250,3,false)</f>
        <v>#N/A</v>
      </c>
      <c r="Q491" s="38" t="str">
        <f>VLOOKUP($E491,countries!$A$2:$E$250,4,false)</f>
        <v>#N/A</v>
      </c>
      <c r="R491" s="38" t="str">
        <f>VLOOKUP($E491,countries!$A$2:$E$250,5,false)</f>
        <v>#N/A</v>
      </c>
      <c r="S491" s="38">
        <f t="shared" si="5"/>
        <v>24</v>
      </c>
      <c r="T491" s="38" t="s">
        <v>182</v>
      </c>
      <c r="U491" s="38">
        <v>2014.0</v>
      </c>
      <c r="V491" s="38">
        <v>10.0</v>
      </c>
      <c r="W491" s="38" t="s">
        <v>92</v>
      </c>
      <c r="X491" s="38" t="s">
        <v>149</v>
      </c>
      <c r="Y491" s="38" t="s">
        <v>149</v>
      </c>
      <c r="Z491" s="38" t="s">
        <v>149</v>
      </c>
      <c r="AA491" s="113" t="str">
        <f t="array" ref="AA491">PROPER(G491)</f>
        <v>Offline</v>
      </c>
    </row>
    <row r="492">
      <c r="A492" s="110">
        <v>4.3068751E8</v>
      </c>
      <c r="B492" s="131">
        <v>41430.0</v>
      </c>
      <c r="C492" s="131">
        <v>41435.0</v>
      </c>
      <c r="D492" s="110" t="s">
        <v>10</v>
      </c>
      <c r="E492" s="110" t="s">
        <v>103</v>
      </c>
      <c r="F492" s="110">
        <v>3127.0</v>
      </c>
      <c r="G492" s="38" t="s">
        <v>43</v>
      </c>
      <c r="H492" s="110">
        <v>8860.0</v>
      </c>
      <c r="I492" s="132">
        <v>81.73</v>
      </c>
      <c r="J492" s="132">
        <v>56.67</v>
      </c>
      <c r="K492" s="39">
        <f t="shared" si="1"/>
        <v>724127.8</v>
      </c>
      <c r="L492" s="39">
        <f t="shared" si="2"/>
        <v>502096.2</v>
      </c>
      <c r="M492" s="39">
        <f t="shared" si="3"/>
        <v>222031.6</v>
      </c>
      <c r="N492" s="38" t="str">
        <f>VLOOKUP(F492,products!$A$2:$B$13,2,FALSE)</f>
        <v>Personal Care</v>
      </c>
      <c r="O492" s="133">
        <f t="shared" si="4"/>
        <v>0.6933806436</v>
      </c>
      <c r="P492" s="38" t="str">
        <f>VLOOKUP(E492,countries!A$2:E$250,3,false)</f>
        <v>United Kingdom</v>
      </c>
      <c r="Q492" s="38" t="str">
        <f>VLOOKUP($E492,countries!$A$2:$E$250,4,false)</f>
        <v>Europe</v>
      </c>
      <c r="R492" s="38" t="str">
        <f>VLOOKUP($E492,countries!$A$2:$E$250,5,false)</f>
        <v>Northern Europe</v>
      </c>
      <c r="S492" s="38">
        <f t="shared" si="5"/>
        <v>5</v>
      </c>
      <c r="T492" s="38" t="s">
        <v>185</v>
      </c>
      <c r="U492" s="38">
        <v>2013.0</v>
      </c>
      <c r="V492" s="38">
        <v>6.0</v>
      </c>
      <c r="W492" s="38" t="s">
        <v>103</v>
      </c>
      <c r="X492" s="38" t="s">
        <v>169</v>
      </c>
      <c r="Y492" s="38" t="s">
        <v>146</v>
      </c>
      <c r="Z492" s="38" t="s">
        <v>170</v>
      </c>
      <c r="AA492" s="113" t="str">
        <f t="array" ref="AA492">PROPER(G492)</f>
        <v>Online</v>
      </c>
    </row>
    <row r="493">
      <c r="A493" s="110">
        <v>4.31240689E8</v>
      </c>
      <c r="B493" s="131">
        <v>42242.0</v>
      </c>
      <c r="C493" s="131">
        <v>42290.0</v>
      </c>
      <c r="D493" s="110" t="s">
        <v>93</v>
      </c>
      <c r="E493" s="110" t="s">
        <v>138</v>
      </c>
      <c r="F493" s="110">
        <v>2103.0</v>
      </c>
      <c r="G493" s="38" t="s">
        <v>43</v>
      </c>
      <c r="H493" s="110">
        <v>2558.0</v>
      </c>
      <c r="I493" s="132">
        <v>205.7</v>
      </c>
      <c r="J493" s="132">
        <v>117.11</v>
      </c>
      <c r="K493" s="39">
        <f t="shared" si="1"/>
        <v>526180.6</v>
      </c>
      <c r="L493" s="39">
        <f t="shared" si="2"/>
        <v>299567.38</v>
      </c>
      <c r="M493" s="39">
        <f t="shared" si="3"/>
        <v>226613.22</v>
      </c>
      <c r="N493" s="38" t="str">
        <f>VLOOKUP(F493,products!$A$2:$B$13,2,FALSE)</f>
        <v>Cereal</v>
      </c>
      <c r="O493" s="133">
        <f t="shared" si="4"/>
        <v>0.5693242586</v>
      </c>
      <c r="P493" s="38" t="str">
        <f>VLOOKUP(E493,countries!A$2:E$250,3,false)</f>
        <v>Greece</v>
      </c>
      <c r="Q493" s="38" t="str">
        <f>VLOOKUP($E493,countries!$A$2:$E$250,4,false)</f>
        <v>Europe</v>
      </c>
      <c r="R493" s="38" t="str">
        <f>VLOOKUP($E493,countries!$A$2:$E$250,5,false)</f>
        <v>Southern Europe</v>
      </c>
      <c r="S493" s="38">
        <f t="shared" si="5"/>
        <v>48</v>
      </c>
      <c r="T493" s="38" t="s">
        <v>144</v>
      </c>
      <c r="U493" s="38">
        <v>2015.0</v>
      </c>
      <c r="V493" s="38">
        <v>8.0</v>
      </c>
      <c r="W493" s="38" t="s">
        <v>138</v>
      </c>
      <c r="X493" s="38" t="s">
        <v>208</v>
      </c>
      <c r="Y493" s="38" t="s">
        <v>146</v>
      </c>
      <c r="Z493" s="38" t="s">
        <v>147</v>
      </c>
      <c r="AA493" s="113" t="str">
        <f t="array" ref="AA493">PROPER(G493)</f>
        <v>Online</v>
      </c>
    </row>
    <row r="494">
      <c r="A494" s="110">
        <v>4.31432092E8</v>
      </c>
      <c r="B494" s="131">
        <v>42583.0</v>
      </c>
      <c r="C494" s="131">
        <v>42626.0</v>
      </c>
      <c r="D494" s="110" t="s">
        <v>95</v>
      </c>
      <c r="E494" s="110" t="s">
        <v>119</v>
      </c>
      <c r="F494" s="110">
        <v>2455.0</v>
      </c>
      <c r="G494" s="38" t="s">
        <v>42</v>
      </c>
      <c r="H494" s="110">
        <v>9198.0</v>
      </c>
      <c r="I494" s="132">
        <v>109.28</v>
      </c>
      <c r="J494" s="132">
        <v>35.84</v>
      </c>
      <c r="K494" s="39">
        <f t="shared" si="1"/>
        <v>1005157.44</v>
      </c>
      <c r="L494" s="39">
        <f t="shared" si="2"/>
        <v>329656.32</v>
      </c>
      <c r="M494" s="39">
        <f t="shared" si="3"/>
        <v>675501.12</v>
      </c>
      <c r="N494" s="38" t="str">
        <f>VLOOKUP(F494,products!$A$2:$B$13,2,FALSE)</f>
        <v>Clothes</v>
      </c>
      <c r="O494" s="133">
        <f t="shared" si="4"/>
        <v>0.3279648609</v>
      </c>
      <c r="P494" s="38" t="str">
        <f>VLOOKUP(E494,countries!A$2:E$250,3,false)</f>
        <v>Macedonia</v>
      </c>
      <c r="Q494" s="38" t="str">
        <f>VLOOKUP($E494,countries!$A$2:$E$250,4,false)</f>
        <v>Europe</v>
      </c>
      <c r="R494" s="38" t="str">
        <f>VLOOKUP($E494,countries!$A$2:$E$250,5,false)</f>
        <v>Southern Europe</v>
      </c>
      <c r="S494" s="38">
        <f t="shared" si="5"/>
        <v>43</v>
      </c>
      <c r="T494" s="38" t="s">
        <v>150</v>
      </c>
      <c r="U494" s="38">
        <v>2016.0</v>
      </c>
      <c r="V494" s="38">
        <v>8.0</v>
      </c>
      <c r="W494" s="38" t="s">
        <v>119</v>
      </c>
      <c r="X494" s="38" t="s">
        <v>190</v>
      </c>
      <c r="Y494" s="38" t="s">
        <v>146</v>
      </c>
      <c r="Z494" s="38" t="s">
        <v>147</v>
      </c>
      <c r="AA494" s="113" t="str">
        <f t="array" ref="AA494">PROPER(G494)</f>
        <v>Offline</v>
      </c>
    </row>
    <row r="495">
      <c r="A495" s="110">
        <v>4.31753098E8</v>
      </c>
      <c r="B495" s="131">
        <v>42249.0</v>
      </c>
      <c r="C495" s="131">
        <v>42296.0</v>
      </c>
      <c r="D495" s="110" t="s">
        <v>89</v>
      </c>
      <c r="E495" s="110" t="s">
        <v>96</v>
      </c>
      <c r="F495" s="110">
        <v>1270.0</v>
      </c>
      <c r="G495" s="38" t="s">
        <v>43</v>
      </c>
      <c r="H495" s="110">
        <v>4191.0</v>
      </c>
      <c r="I495" s="132">
        <v>47.45</v>
      </c>
      <c r="J495" s="132">
        <v>31.79</v>
      </c>
      <c r="K495" s="39">
        <f t="shared" si="1"/>
        <v>198862.95</v>
      </c>
      <c r="L495" s="39">
        <f t="shared" si="2"/>
        <v>133231.89</v>
      </c>
      <c r="M495" s="39">
        <f t="shared" si="3"/>
        <v>65631.06</v>
      </c>
      <c r="N495" s="38" t="str">
        <f>VLOOKUP(F495,products!$A$2:$B$13,2,FALSE)</f>
        <v>Beverages</v>
      </c>
      <c r="O495" s="133">
        <f t="shared" si="4"/>
        <v>0.6699683878</v>
      </c>
      <c r="P495" s="38" t="str">
        <f>VLOOKUP(E495,countries!A$2:E$250,3,false)</f>
        <v>Slovakia</v>
      </c>
      <c r="Q495" s="38" t="str">
        <f>VLOOKUP($E495,countries!$A$2:$E$250,4,false)</f>
        <v>Europe</v>
      </c>
      <c r="R495" s="38" t="str">
        <f>VLOOKUP($E495,countries!$A$2:$E$250,5,false)</f>
        <v>Eastern Europe</v>
      </c>
      <c r="S495" s="38">
        <f t="shared" si="5"/>
        <v>47</v>
      </c>
      <c r="T495" s="38" t="s">
        <v>152</v>
      </c>
      <c r="U495" s="38">
        <v>2015.0</v>
      </c>
      <c r="V495" s="38">
        <v>9.0</v>
      </c>
      <c r="W495" s="38" t="s">
        <v>96</v>
      </c>
      <c r="X495" s="38" t="s">
        <v>154</v>
      </c>
      <c r="Y495" s="38" t="s">
        <v>146</v>
      </c>
      <c r="Z495" s="38" t="s">
        <v>155</v>
      </c>
      <c r="AA495" s="113" t="str">
        <f t="array" ref="AA495">PROPER(G495)</f>
        <v>Online</v>
      </c>
    </row>
    <row r="496">
      <c r="A496" s="110">
        <v>4.32031619E8</v>
      </c>
      <c r="B496" s="131">
        <v>40699.0</v>
      </c>
      <c r="C496" s="131">
        <v>40723.0</v>
      </c>
      <c r="D496" s="110" t="s">
        <v>95</v>
      </c>
      <c r="E496" s="110" t="s">
        <v>101</v>
      </c>
      <c r="F496" s="110">
        <v>1270.0</v>
      </c>
      <c r="G496" s="38" t="s">
        <v>43</v>
      </c>
      <c r="H496" s="110">
        <v>6612.0</v>
      </c>
      <c r="I496" s="132">
        <v>47.45</v>
      </c>
      <c r="J496" s="132">
        <v>31.79</v>
      </c>
      <c r="K496" s="39">
        <f t="shared" si="1"/>
        <v>313739.4</v>
      </c>
      <c r="L496" s="39">
        <f t="shared" si="2"/>
        <v>210195.48</v>
      </c>
      <c r="M496" s="39">
        <f t="shared" si="3"/>
        <v>103543.92</v>
      </c>
      <c r="N496" s="38" t="str">
        <f>VLOOKUP(F496,products!$A$2:$B$13,2,FALSE)</f>
        <v>Beverages</v>
      </c>
      <c r="O496" s="133">
        <f t="shared" si="4"/>
        <v>0.6699683878</v>
      </c>
      <c r="P496" s="38" t="str">
        <f>VLOOKUP(E496,countries!A$2:E$250,3,false)</f>
        <v>Armenia</v>
      </c>
      <c r="Q496" s="38" t="str">
        <f>VLOOKUP($E496,countries!$A$2:$E$250,4,false)</f>
        <v>Asia</v>
      </c>
      <c r="R496" s="38" t="str">
        <f>VLOOKUP($E496,countries!$A$2:$E$250,5,false)</f>
        <v>Western Asia</v>
      </c>
      <c r="S496" s="38">
        <f t="shared" si="5"/>
        <v>24</v>
      </c>
      <c r="T496" s="38" t="s">
        <v>152</v>
      </c>
      <c r="U496" s="38">
        <v>2011.0</v>
      </c>
      <c r="V496" s="38">
        <v>6.0</v>
      </c>
      <c r="W496" s="38" t="s">
        <v>101</v>
      </c>
      <c r="X496" s="38" t="s">
        <v>164</v>
      </c>
      <c r="Y496" s="38" t="s">
        <v>165</v>
      </c>
      <c r="Z496" s="38" t="s">
        <v>166</v>
      </c>
      <c r="AA496" s="113" t="str">
        <f t="array" ref="AA496">PROPER(G496)</f>
        <v>Online</v>
      </c>
    </row>
    <row r="497">
      <c r="A497" s="110">
        <v>4.33079183E8</v>
      </c>
      <c r="B497" s="131">
        <v>41338.0</v>
      </c>
      <c r="C497" s="131">
        <v>41383.0</v>
      </c>
      <c r="D497" s="110" t="s">
        <v>89</v>
      </c>
      <c r="E497" s="110" t="s">
        <v>110</v>
      </c>
      <c r="F497" s="110">
        <v>8681.0</v>
      </c>
      <c r="G497" s="38" t="s">
        <v>42</v>
      </c>
      <c r="H497" s="110">
        <v>6609.0</v>
      </c>
      <c r="I497" s="132">
        <v>651.21</v>
      </c>
      <c r="J497" s="132">
        <v>524.96</v>
      </c>
      <c r="K497" s="39">
        <f t="shared" si="1"/>
        <v>4303846.89</v>
      </c>
      <c r="L497" s="39">
        <f t="shared" si="2"/>
        <v>3469460.64</v>
      </c>
      <c r="M497" s="39">
        <f t="shared" si="3"/>
        <v>834386.25</v>
      </c>
      <c r="N497" s="38" t="str">
        <f>VLOOKUP(F497,products!$A$2:$B$13,2,FALSE)</f>
        <v>Office Supplies</v>
      </c>
      <c r="O497" s="133">
        <f t="shared" si="4"/>
        <v>0.806130127</v>
      </c>
      <c r="P497" s="38" t="str">
        <f>VLOOKUP(E497,countries!A$2:E$250,3,false)</f>
        <v>Lithuania</v>
      </c>
      <c r="Q497" s="38" t="str">
        <f>VLOOKUP($E497,countries!$A$2:$E$250,4,false)</f>
        <v>Europe</v>
      </c>
      <c r="R497" s="38" t="str">
        <f>VLOOKUP($E497,countries!$A$2:$E$250,5,false)</f>
        <v>Northern Europe</v>
      </c>
      <c r="S497" s="38">
        <f t="shared" si="5"/>
        <v>45</v>
      </c>
      <c r="T497" s="38" t="s">
        <v>153</v>
      </c>
      <c r="U497" s="38">
        <v>2013.0</v>
      </c>
      <c r="V497" s="38">
        <v>3.0</v>
      </c>
      <c r="W497" s="38" t="s">
        <v>110</v>
      </c>
      <c r="X497" s="38" t="s">
        <v>177</v>
      </c>
      <c r="Y497" s="38" t="s">
        <v>146</v>
      </c>
      <c r="Z497" s="38" t="s">
        <v>170</v>
      </c>
      <c r="AA497" s="113" t="str">
        <f t="array" ref="AA497">PROPER(G497)</f>
        <v>Offline</v>
      </c>
    </row>
    <row r="498">
      <c r="A498" s="110">
        <v>4.337345E8</v>
      </c>
      <c r="B498" s="131">
        <v>40409.0</v>
      </c>
      <c r="C498" s="131">
        <v>40429.0</v>
      </c>
      <c r="D498" s="110" t="s">
        <v>93</v>
      </c>
      <c r="E498" s="110" t="s">
        <v>100</v>
      </c>
      <c r="F498" s="110">
        <v>8681.0</v>
      </c>
      <c r="G498" s="38" t="s">
        <v>42</v>
      </c>
      <c r="H498" s="110">
        <v>532.0</v>
      </c>
      <c r="I498" s="132">
        <v>651.21</v>
      </c>
      <c r="J498" s="132">
        <v>524.96</v>
      </c>
      <c r="K498" s="39">
        <f t="shared" si="1"/>
        <v>346443.72</v>
      </c>
      <c r="L498" s="39">
        <f t="shared" si="2"/>
        <v>279278.72</v>
      </c>
      <c r="M498" s="39">
        <f t="shared" si="3"/>
        <v>67165</v>
      </c>
      <c r="N498" s="38" t="str">
        <f>VLOOKUP(F498,products!$A$2:$B$13,2,FALSE)</f>
        <v>Office Supplies</v>
      </c>
      <c r="O498" s="133">
        <f t="shared" si="4"/>
        <v>0.806130127</v>
      </c>
      <c r="P498" s="38" t="str">
        <f>VLOOKUP(E498,countries!A$2:E$250,3,false)</f>
        <v>Germany</v>
      </c>
      <c r="Q498" s="38" t="str">
        <f>VLOOKUP($E498,countries!$A$2:$E$250,4,false)</f>
        <v>Europe</v>
      </c>
      <c r="R498" s="38" t="str">
        <f>VLOOKUP($E498,countries!$A$2:$E$250,5,false)</f>
        <v>Western Europe</v>
      </c>
      <c r="S498" s="38">
        <f t="shared" si="5"/>
        <v>20</v>
      </c>
      <c r="T498" s="38" t="s">
        <v>153</v>
      </c>
      <c r="U498" s="38">
        <v>2010.0</v>
      </c>
      <c r="V498" s="38">
        <v>8.0</v>
      </c>
      <c r="W498" s="38" t="s">
        <v>100</v>
      </c>
      <c r="X498" s="38" t="s">
        <v>163</v>
      </c>
      <c r="Y498" s="38" t="s">
        <v>146</v>
      </c>
      <c r="Z498" s="38" t="s">
        <v>158</v>
      </c>
      <c r="AA498" s="113" t="str">
        <f t="array" ref="AA498">PROPER(G498)</f>
        <v>Offline</v>
      </c>
    </row>
    <row r="499">
      <c r="A499" s="110">
        <v>4.34013879E8</v>
      </c>
      <c r="B499" s="131">
        <v>40448.0</v>
      </c>
      <c r="C499" s="131">
        <v>40487.0</v>
      </c>
      <c r="D499" s="110" t="s">
        <v>95</v>
      </c>
      <c r="E499" s="110" t="s">
        <v>136</v>
      </c>
      <c r="F499" s="110">
        <v>8293.0</v>
      </c>
      <c r="G499" s="38" t="s">
        <v>42</v>
      </c>
      <c r="H499" s="110">
        <v>3206.0</v>
      </c>
      <c r="I499" s="132">
        <v>437.2</v>
      </c>
      <c r="J499" s="132">
        <v>263.33</v>
      </c>
      <c r="K499" s="39">
        <f t="shared" si="1"/>
        <v>1401663.2</v>
      </c>
      <c r="L499" s="39">
        <f t="shared" si="2"/>
        <v>844235.98</v>
      </c>
      <c r="M499" s="39">
        <f t="shared" si="3"/>
        <v>557427.22</v>
      </c>
      <c r="N499" s="38" t="str">
        <f>VLOOKUP(F499,products!$A$2:$B$13,2,FALSE)</f>
        <v>Cosmetics</v>
      </c>
      <c r="O499" s="133">
        <f t="shared" si="4"/>
        <v>0.6023101555</v>
      </c>
      <c r="P499" s="38" t="str">
        <f>VLOOKUP(E499,countries!A$2:E$250,3,false)</f>
        <v>Monaco</v>
      </c>
      <c r="Q499" s="38" t="str">
        <f>VLOOKUP($E499,countries!$A$2:$E$250,4,false)</f>
        <v>Europe</v>
      </c>
      <c r="R499" s="38" t="str">
        <f>VLOOKUP($E499,countries!$A$2:$E$250,5,false)</f>
        <v>Western Europe</v>
      </c>
      <c r="S499" s="38">
        <f t="shared" si="5"/>
        <v>39</v>
      </c>
      <c r="T499" s="38" t="s">
        <v>178</v>
      </c>
      <c r="U499" s="38">
        <v>2010.0</v>
      </c>
      <c r="V499" s="38">
        <v>9.0</v>
      </c>
      <c r="W499" s="38" t="s">
        <v>136</v>
      </c>
      <c r="X499" s="38" t="s">
        <v>206</v>
      </c>
      <c r="Y499" s="38" t="s">
        <v>146</v>
      </c>
      <c r="Z499" s="38" t="s">
        <v>158</v>
      </c>
      <c r="AA499" s="113" t="str">
        <f t="array" ref="AA499">PROPER(G499)</f>
        <v>Offline</v>
      </c>
    </row>
    <row r="500">
      <c r="A500" s="110">
        <v>4.34275662E8</v>
      </c>
      <c r="B500" s="131">
        <v>41101.0</v>
      </c>
      <c r="C500" s="131">
        <v>41134.0</v>
      </c>
      <c r="D500" s="110" t="s">
        <v>95</v>
      </c>
      <c r="E500" s="110" t="s">
        <v>133</v>
      </c>
      <c r="F500" s="110">
        <v>8681.0</v>
      </c>
      <c r="G500" s="38" t="s">
        <v>42</v>
      </c>
      <c r="H500" s="110">
        <v>674.0</v>
      </c>
      <c r="I500" s="132">
        <v>651.21</v>
      </c>
      <c r="J500" s="132">
        <v>524.96</v>
      </c>
      <c r="K500" s="39">
        <f t="shared" si="1"/>
        <v>438915.54</v>
      </c>
      <c r="L500" s="39">
        <f t="shared" si="2"/>
        <v>353823.04</v>
      </c>
      <c r="M500" s="39">
        <f t="shared" si="3"/>
        <v>85092.5</v>
      </c>
      <c r="N500" s="38" t="str">
        <f>VLOOKUP(F500,products!$A$2:$B$13,2,FALSE)</f>
        <v>Office Supplies</v>
      </c>
      <c r="O500" s="133">
        <f t="shared" si="4"/>
        <v>0.806130127</v>
      </c>
      <c r="P500" s="38" t="str">
        <f>VLOOKUP(E500,countries!A$2:E$250,3,false)</f>
        <v>Bosnia and Herzegovina</v>
      </c>
      <c r="Q500" s="38" t="str">
        <f>VLOOKUP($E500,countries!$A$2:$E$250,4,false)</f>
        <v>Europe</v>
      </c>
      <c r="R500" s="38" t="str">
        <f>VLOOKUP($E500,countries!$A$2:$E$250,5,false)</f>
        <v>Southern Europe</v>
      </c>
      <c r="S500" s="38">
        <f t="shared" si="5"/>
        <v>33</v>
      </c>
      <c r="T500" s="38" t="s">
        <v>153</v>
      </c>
      <c r="U500" s="38">
        <v>2012.0</v>
      </c>
      <c r="V500" s="38">
        <v>7.0</v>
      </c>
      <c r="W500" s="38" t="s">
        <v>133</v>
      </c>
      <c r="X500" s="38" t="s">
        <v>204</v>
      </c>
      <c r="Y500" s="38" t="s">
        <v>146</v>
      </c>
      <c r="Z500" s="38" t="s">
        <v>147</v>
      </c>
      <c r="AA500" s="113" t="str">
        <f t="array" ref="AA500">PROPER(G500)</f>
        <v>Offline</v>
      </c>
    </row>
    <row r="501">
      <c r="A501" s="110">
        <v>4.34485948E8</v>
      </c>
      <c r="B501" s="131">
        <v>40446.0</v>
      </c>
      <c r="C501" s="131">
        <v>40485.0</v>
      </c>
      <c r="D501" s="110" t="s">
        <v>93</v>
      </c>
      <c r="E501" s="110" t="s">
        <v>120</v>
      </c>
      <c r="F501" s="110">
        <v>3127.0</v>
      </c>
      <c r="G501" s="38" t="s">
        <v>43</v>
      </c>
      <c r="H501" s="110">
        <v>2902.0</v>
      </c>
      <c r="I501" s="132">
        <v>81.73</v>
      </c>
      <c r="J501" s="132">
        <v>56.67</v>
      </c>
      <c r="K501" s="39">
        <f t="shared" si="1"/>
        <v>237180.46</v>
      </c>
      <c r="L501" s="39">
        <f t="shared" si="2"/>
        <v>164456.34</v>
      </c>
      <c r="M501" s="39">
        <f t="shared" si="3"/>
        <v>72724.12</v>
      </c>
      <c r="N501" s="38" t="str">
        <f>VLOOKUP(F501,products!$A$2:$B$13,2,FALSE)</f>
        <v>Personal Care</v>
      </c>
      <c r="O501" s="133">
        <f t="shared" si="4"/>
        <v>0.6933806436</v>
      </c>
      <c r="P501" s="38" t="str">
        <f>VLOOKUP(E501,countries!A$2:E$250,3,false)</f>
        <v>San Marino</v>
      </c>
      <c r="Q501" s="38" t="str">
        <f>VLOOKUP($E501,countries!$A$2:$E$250,4,false)</f>
        <v>Europe</v>
      </c>
      <c r="R501" s="38" t="str">
        <f>VLOOKUP($E501,countries!$A$2:$E$250,5,false)</f>
        <v>Southern Europe</v>
      </c>
      <c r="S501" s="38">
        <f t="shared" si="5"/>
        <v>39</v>
      </c>
      <c r="T501" s="38" t="s">
        <v>185</v>
      </c>
      <c r="U501" s="38">
        <v>2010.0</v>
      </c>
      <c r="V501" s="38">
        <v>9.0</v>
      </c>
      <c r="W501" s="38" t="s">
        <v>120</v>
      </c>
      <c r="X501" s="38" t="s">
        <v>191</v>
      </c>
      <c r="Y501" s="38" t="s">
        <v>146</v>
      </c>
      <c r="Z501" s="38" t="s">
        <v>147</v>
      </c>
      <c r="AA501" s="113" t="str">
        <f t="array" ref="AA501">PROPER(G501)</f>
        <v>Online</v>
      </c>
    </row>
    <row r="502">
      <c r="A502" s="110">
        <v>4.35463559E8</v>
      </c>
      <c r="B502" s="131">
        <v>41568.0</v>
      </c>
      <c r="C502" s="131">
        <v>41574.0</v>
      </c>
      <c r="D502" s="110" t="s">
        <v>10</v>
      </c>
      <c r="E502" s="110" t="s">
        <v>112</v>
      </c>
      <c r="F502" s="110">
        <v>1270.0</v>
      </c>
      <c r="G502" s="38" t="s">
        <v>43</v>
      </c>
      <c r="H502" s="110">
        <v>2199.0</v>
      </c>
      <c r="I502" s="132">
        <v>47.45</v>
      </c>
      <c r="J502" s="132">
        <v>31.79</v>
      </c>
      <c r="K502" s="39">
        <f t="shared" si="1"/>
        <v>104342.55</v>
      </c>
      <c r="L502" s="39">
        <f t="shared" si="2"/>
        <v>69906.21</v>
      </c>
      <c r="M502" s="39">
        <f t="shared" si="3"/>
        <v>34436.34</v>
      </c>
      <c r="N502" s="38" t="str">
        <f>VLOOKUP(F502,products!$A$2:$B$13,2,FALSE)</f>
        <v>Beverages</v>
      </c>
      <c r="O502" s="133">
        <f t="shared" si="4"/>
        <v>0.6699683878</v>
      </c>
      <c r="P502" s="38" t="str">
        <f>VLOOKUP(E502,countries!A$2:E$250,3,false)</f>
        <v>Malta</v>
      </c>
      <c r="Q502" s="38" t="str">
        <f>VLOOKUP($E502,countries!$A$2:$E$250,4,false)</f>
        <v>Europe</v>
      </c>
      <c r="R502" s="38" t="str">
        <f>VLOOKUP($E502,countries!$A$2:$E$250,5,false)</f>
        <v>Southern Europe</v>
      </c>
      <c r="S502" s="38">
        <f t="shared" si="5"/>
        <v>6</v>
      </c>
      <c r="T502" s="38" t="s">
        <v>152</v>
      </c>
      <c r="U502" s="38">
        <v>2013.0</v>
      </c>
      <c r="V502" s="38">
        <v>10.0</v>
      </c>
      <c r="W502" s="38" t="s">
        <v>112</v>
      </c>
      <c r="X502" s="38" t="s">
        <v>180</v>
      </c>
      <c r="Y502" s="38" t="s">
        <v>146</v>
      </c>
      <c r="Z502" s="38" t="s">
        <v>147</v>
      </c>
      <c r="AA502" s="113" t="str">
        <f t="array" ref="AA502">PROPER(G502)</f>
        <v>Online</v>
      </c>
    </row>
    <row r="503">
      <c r="A503" s="110">
        <v>4.36606395E8</v>
      </c>
      <c r="B503" s="131">
        <v>41582.0</v>
      </c>
      <c r="C503" s="131">
        <v>41611.0</v>
      </c>
      <c r="D503" s="110" t="s">
        <v>10</v>
      </c>
      <c r="E503" s="110" t="e">
        <v>#N/A</v>
      </c>
      <c r="F503" s="110">
        <v>1270.0</v>
      </c>
      <c r="G503" s="38" t="s">
        <v>42</v>
      </c>
      <c r="H503" s="110">
        <v>389.0</v>
      </c>
      <c r="I503" s="132">
        <v>47.45</v>
      </c>
      <c r="J503" s="132">
        <v>31.79</v>
      </c>
      <c r="K503" s="39">
        <f t="shared" si="1"/>
        <v>18458.05</v>
      </c>
      <c r="L503" s="39">
        <f t="shared" si="2"/>
        <v>12366.31</v>
      </c>
      <c r="M503" s="39">
        <f t="shared" si="3"/>
        <v>6091.74</v>
      </c>
      <c r="N503" s="38" t="str">
        <f>VLOOKUP(F503,products!$A$2:$B$13,2,FALSE)</f>
        <v>Beverages</v>
      </c>
      <c r="O503" s="133">
        <f t="shared" si="4"/>
        <v>0.6699683878</v>
      </c>
      <c r="P503" s="38" t="str">
        <f>VLOOKUP(E503,countries!A$2:E$250,3,false)</f>
        <v>#N/A</v>
      </c>
      <c r="Q503" s="38" t="str">
        <f>VLOOKUP($E503,countries!$A$2:$E$250,4,false)</f>
        <v>#N/A</v>
      </c>
      <c r="R503" s="38" t="str">
        <f>VLOOKUP($E503,countries!$A$2:$E$250,5,false)</f>
        <v>#N/A</v>
      </c>
      <c r="S503" s="38">
        <f t="shared" si="5"/>
        <v>29</v>
      </c>
      <c r="T503" s="38" t="s">
        <v>152</v>
      </c>
      <c r="U503" s="38">
        <v>2013.0</v>
      </c>
      <c r="V503" s="38">
        <v>11.0</v>
      </c>
      <c r="W503" s="38" t="s">
        <v>92</v>
      </c>
      <c r="X503" s="38" t="s">
        <v>149</v>
      </c>
      <c r="Y503" s="38" t="s">
        <v>149</v>
      </c>
      <c r="Z503" s="38" t="s">
        <v>149</v>
      </c>
      <c r="AA503" s="113" t="str">
        <f t="array" ref="AA503">PROPER(G503)</f>
        <v>Offline</v>
      </c>
    </row>
    <row r="504">
      <c r="A504" s="110">
        <v>4.36969029E8</v>
      </c>
      <c r="B504" s="131">
        <v>40876.0</v>
      </c>
      <c r="C504" s="131">
        <v>40894.0</v>
      </c>
      <c r="D504" s="110" t="s">
        <v>10</v>
      </c>
      <c r="E504" s="110" t="s">
        <v>98</v>
      </c>
      <c r="F504" s="110">
        <v>8875.0</v>
      </c>
      <c r="G504" s="38" t="s">
        <v>42</v>
      </c>
      <c r="H504" s="110">
        <v>7701.0</v>
      </c>
      <c r="I504" s="132">
        <v>421.89</v>
      </c>
      <c r="J504" s="132">
        <v>364.69</v>
      </c>
      <c r="K504" s="39">
        <f t="shared" si="1"/>
        <v>3248974.89</v>
      </c>
      <c r="L504" s="39">
        <f t="shared" si="2"/>
        <v>2808477.69</v>
      </c>
      <c r="M504" s="39">
        <f t="shared" si="3"/>
        <v>440497.2</v>
      </c>
      <c r="N504" s="38" t="str">
        <f>VLOOKUP(F504,products!$A$2:$B$13,2,FALSE)</f>
        <v>Meat</v>
      </c>
      <c r="O504" s="133">
        <f t="shared" si="4"/>
        <v>0.8644196354</v>
      </c>
      <c r="P504" s="38" t="str">
        <f>VLOOKUP(E504,countries!A$2:E$250,3,false)</f>
        <v>Spain</v>
      </c>
      <c r="Q504" s="38" t="str">
        <f>VLOOKUP($E504,countries!$A$2:$E$250,4,false)</f>
        <v>Europe</v>
      </c>
      <c r="R504" s="38" t="str">
        <f>VLOOKUP($E504,countries!$A$2:$E$250,5,false)</f>
        <v>Southern Europe</v>
      </c>
      <c r="S504" s="38">
        <f t="shared" si="5"/>
        <v>18</v>
      </c>
      <c r="T504" s="38" t="s">
        <v>167</v>
      </c>
      <c r="U504" s="38">
        <v>2011.0</v>
      </c>
      <c r="V504" s="38">
        <v>11.0</v>
      </c>
      <c r="W504" s="38" t="s">
        <v>98</v>
      </c>
      <c r="X504" s="38" t="s">
        <v>160</v>
      </c>
      <c r="Y504" s="38" t="s">
        <v>146</v>
      </c>
      <c r="Z504" s="38" t="s">
        <v>147</v>
      </c>
      <c r="AA504" s="113" t="str">
        <f t="array" ref="AA504">PROPER(G504)</f>
        <v>Offline</v>
      </c>
    </row>
    <row r="505">
      <c r="A505" s="110">
        <v>4.37083184E8</v>
      </c>
      <c r="B505" s="131">
        <v>42022.0</v>
      </c>
      <c r="C505" s="131">
        <v>42054.0</v>
      </c>
      <c r="D505" s="110" t="s">
        <v>10</v>
      </c>
      <c r="E505" s="110" t="s">
        <v>132</v>
      </c>
      <c r="F505" s="110">
        <v>8875.0</v>
      </c>
      <c r="G505" s="38" t="s">
        <v>43</v>
      </c>
      <c r="H505" s="110">
        <v>1482.0</v>
      </c>
      <c r="I505" s="132">
        <v>421.89</v>
      </c>
      <c r="J505" s="132">
        <v>364.69</v>
      </c>
      <c r="K505" s="39">
        <f t="shared" si="1"/>
        <v>625240.98</v>
      </c>
      <c r="L505" s="39">
        <f t="shared" si="2"/>
        <v>540470.58</v>
      </c>
      <c r="M505" s="39">
        <f t="shared" si="3"/>
        <v>84770.4</v>
      </c>
      <c r="N505" s="38" t="str">
        <f>VLOOKUP(F505,products!$A$2:$B$13,2,FALSE)</f>
        <v>Meat</v>
      </c>
      <c r="O505" s="133">
        <f t="shared" si="4"/>
        <v>0.8644196354</v>
      </c>
      <c r="P505" s="38" t="str">
        <f>VLOOKUP(E505,countries!A$2:E$250,3,false)</f>
        <v>Sweden</v>
      </c>
      <c r="Q505" s="38" t="str">
        <f>VLOOKUP($E505,countries!$A$2:$E$250,4,false)</f>
        <v>Europe</v>
      </c>
      <c r="R505" s="38" t="str">
        <f>VLOOKUP($E505,countries!$A$2:$E$250,5,false)</f>
        <v>Northern Europe</v>
      </c>
      <c r="S505" s="38">
        <f t="shared" si="5"/>
        <v>32</v>
      </c>
      <c r="T505" s="38" t="s">
        <v>167</v>
      </c>
      <c r="U505" s="38">
        <v>2015.0</v>
      </c>
      <c r="V505" s="38">
        <v>1.0</v>
      </c>
      <c r="W505" s="38" t="s">
        <v>132</v>
      </c>
      <c r="X505" s="38" t="s">
        <v>203</v>
      </c>
      <c r="Y505" s="38" t="s">
        <v>146</v>
      </c>
      <c r="Z505" s="38" t="s">
        <v>170</v>
      </c>
      <c r="AA505" s="113" t="str">
        <f t="array" ref="AA505">PROPER(G505)</f>
        <v>Online</v>
      </c>
    </row>
    <row r="506">
      <c r="A506" s="110">
        <v>4.37604176E8</v>
      </c>
      <c r="B506" s="131">
        <v>41326.0</v>
      </c>
      <c r="C506" s="131">
        <v>41371.0</v>
      </c>
      <c r="D506" s="110" t="s">
        <v>93</v>
      </c>
      <c r="E506" s="110" t="s">
        <v>107</v>
      </c>
      <c r="F506" s="110">
        <v>8969.0</v>
      </c>
      <c r="G506" s="38" t="s">
        <v>43</v>
      </c>
      <c r="H506" s="110">
        <v>5655.0</v>
      </c>
      <c r="I506" s="132">
        <v>152.58</v>
      </c>
      <c r="J506" s="132">
        <v>97.44</v>
      </c>
      <c r="K506" s="39">
        <f t="shared" si="1"/>
        <v>862839.9</v>
      </c>
      <c r="L506" s="39">
        <f t="shared" si="2"/>
        <v>551023.2</v>
      </c>
      <c r="M506" s="39">
        <f t="shared" si="3"/>
        <v>311816.7</v>
      </c>
      <c r="N506" s="38" t="str">
        <f>VLOOKUP(F506,products!$A$2:$B$13,2,FALSE)</f>
        <v>Snacks</v>
      </c>
      <c r="O506" s="133">
        <f t="shared" si="4"/>
        <v>0.6386158081</v>
      </c>
      <c r="P506" s="38" t="str">
        <f>VLOOKUP(E506,countries!A$2:E$250,3,false)</f>
        <v>Luxembourg</v>
      </c>
      <c r="Q506" s="38" t="str">
        <f>VLOOKUP($E506,countries!$A$2:$E$250,4,false)</f>
        <v>Europe</v>
      </c>
      <c r="R506" s="38" t="str">
        <f>VLOOKUP($E506,countries!$A$2:$E$250,5,false)</f>
        <v>Western Europe</v>
      </c>
      <c r="S506" s="38">
        <f t="shared" si="5"/>
        <v>45</v>
      </c>
      <c r="T506" s="38" t="s">
        <v>182</v>
      </c>
      <c r="U506" s="38">
        <v>2013.0</v>
      </c>
      <c r="V506" s="38">
        <v>2.0</v>
      </c>
      <c r="W506" s="38" t="s">
        <v>107</v>
      </c>
      <c r="X506" s="38" t="s">
        <v>174</v>
      </c>
      <c r="Y506" s="38" t="s">
        <v>146</v>
      </c>
      <c r="Z506" s="38" t="s">
        <v>158</v>
      </c>
      <c r="AA506" s="113" t="str">
        <f t="array" ref="AA506">PROPER(G506)</f>
        <v>Online</v>
      </c>
    </row>
    <row r="507">
      <c r="A507" s="110">
        <v>4.38683927E8</v>
      </c>
      <c r="B507" s="131">
        <v>40707.0</v>
      </c>
      <c r="C507" s="131">
        <v>40753.0</v>
      </c>
      <c r="D507" s="110" t="s">
        <v>93</v>
      </c>
      <c r="E507" s="110" t="s">
        <v>105</v>
      </c>
      <c r="F507" s="110">
        <v>3127.0</v>
      </c>
      <c r="G507" s="38" t="s">
        <v>43</v>
      </c>
      <c r="H507" s="110">
        <v>5177.0</v>
      </c>
      <c r="I507" s="132">
        <v>81.73</v>
      </c>
      <c r="J507" s="132">
        <v>56.67</v>
      </c>
      <c r="K507" s="39">
        <f t="shared" si="1"/>
        <v>423116.21</v>
      </c>
      <c r="L507" s="39">
        <f t="shared" si="2"/>
        <v>293380.59</v>
      </c>
      <c r="M507" s="39">
        <f t="shared" si="3"/>
        <v>129735.62</v>
      </c>
      <c r="N507" s="38" t="str">
        <f>VLOOKUP(F507,products!$A$2:$B$13,2,FALSE)</f>
        <v>Personal Care</v>
      </c>
      <c r="O507" s="133">
        <f t="shared" si="4"/>
        <v>0.6933806436</v>
      </c>
      <c r="P507" s="38" t="str">
        <f>VLOOKUP(E507,countries!A$2:E$250,3,false)</f>
        <v>Romania</v>
      </c>
      <c r="Q507" s="38" t="str">
        <f>VLOOKUP($E507,countries!$A$2:$E$250,4,false)</f>
        <v>Europe</v>
      </c>
      <c r="R507" s="38" t="str">
        <f>VLOOKUP($E507,countries!$A$2:$E$250,5,false)</f>
        <v>Eastern Europe</v>
      </c>
      <c r="S507" s="38">
        <f t="shared" si="5"/>
        <v>46</v>
      </c>
      <c r="T507" s="38" t="s">
        <v>185</v>
      </c>
      <c r="U507" s="38">
        <v>2011.0</v>
      </c>
      <c r="V507" s="38">
        <v>6.0</v>
      </c>
      <c r="W507" s="38" t="s">
        <v>105</v>
      </c>
      <c r="X507" s="38" t="s">
        <v>172</v>
      </c>
      <c r="Y507" s="38" t="s">
        <v>146</v>
      </c>
      <c r="Z507" s="38" t="s">
        <v>155</v>
      </c>
      <c r="AA507" s="113" t="str">
        <f t="array" ref="AA507">PROPER(G507)</f>
        <v>Online</v>
      </c>
    </row>
    <row r="508">
      <c r="A508" s="110">
        <v>4.39114367E8</v>
      </c>
      <c r="B508" s="131">
        <v>41077.0</v>
      </c>
      <c r="C508" s="131">
        <v>41086.0</v>
      </c>
      <c r="D508" s="110" t="s">
        <v>89</v>
      </c>
      <c r="E508" s="110" t="s">
        <v>103</v>
      </c>
      <c r="F508" s="110">
        <v>3127.0</v>
      </c>
      <c r="G508" s="38" t="s">
        <v>43</v>
      </c>
      <c r="H508" s="110">
        <v>2554.0</v>
      </c>
      <c r="I508" s="132">
        <v>81.73</v>
      </c>
      <c r="J508" s="132">
        <v>56.67</v>
      </c>
      <c r="K508" s="39">
        <f t="shared" si="1"/>
        <v>208738.42</v>
      </c>
      <c r="L508" s="39">
        <f t="shared" si="2"/>
        <v>144735.18</v>
      </c>
      <c r="M508" s="39">
        <f t="shared" si="3"/>
        <v>64003.24</v>
      </c>
      <c r="N508" s="38" t="str">
        <f>VLOOKUP(F508,products!$A$2:$B$13,2,FALSE)</f>
        <v>Personal Care</v>
      </c>
      <c r="O508" s="133">
        <f t="shared" si="4"/>
        <v>0.6933806436</v>
      </c>
      <c r="P508" s="38" t="str">
        <f>VLOOKUP(E508,countries!A$2:E$250,3,false)</f>
        <v>United Kingdom</v>
      </c>
      <c r="Q508" s="38" t="str">
        <f>VLOOKUP($E508,countries!$A$2:$E$250,4,false)</f>
        <v>Europe</v>
      </c>
      <c r="R508" s="38" t="str">
        <f>VLOOKUP($E508,countries!$A$2:$E$250,5,false)</f>
        <v>Northern Europe</v>
      </c>
      <c r="S508" s="38">
        <f t="shared" si="5"/>
        <v>9</v>
      </c>
      <c r="T508" s="38" t="s">
        <v>185</v>
      </c>
      <c r="U508" s="38">
        <v>2012.0</v>
      </c>
      <c r="V508" s="38">
        <v>6.0</v>
      </c>
      <c r="W508" s="38" t="s">
        <v>103</v>
      </c>
      <c r="X508" s="38" t="s">
        <v>169</v>
      </c>
      <c r="Y508" s="38" t="s">
        <v>146</v>
      </c>
      <c r="Z508" s="38" t="s">
        <v>170</v>
      </c>
      <c r="AA508" s="113" t="str">
        <f t="array" ref="AA508">PROPER(G508)</f>
        <v>Online</v>
      </c>
    </row>
    <row r="509">
      <c r="A509" s="110">
        <v>4.39204919E8</v>
      </c>
      <c r="B509" s="131">
        <v>42777.0</v>
      </c>
      <c r="C509" s="131">
        <v>42785.0</v>
      </c>
      <c r="D509" s="110" t="s">
        <v>93</v>
      </c>
      <c r="E509" s="110" t="s">
        <v>137</v>
      </c>
      <c r="F509" s="110">
        <v>1270.0</v>
      </c>
      <c r="G509" s="38" t="s">
        <v>43</v>
      </c>
      <c r="H509" s="110">
        <v>9350.0</v>
      </c>
      <c r="I509" s="132">
        <v>47.45</v>
      </c>
      <c r="J509" s="132">
        <v>31.79</v>
      </c>
      <c r="K509" s="39">
        <f t="shared" si="1"/>
        <v>443657.5</v>
      </c>
      <c r="L509" s="39">
        <f t="shared" si="2"/>
        <v>297236.5</v>
      </c>
      <c r="M509" s="39">
        <f t="shared" si="3"/>
        <v>146421</v>
      </c>
      <c r="N509" s="38" t="str">
        <f>VLOOKUP(F509,products!$A$2:$B$13,2,FALSE)</f>
        <v>Beverages</v>
      </c>
      <c r="O509" s="133">
        <f t="shared" si="4"/>
        <v>0.6699683878</v>
      </c>
      <c r="P509" s="38" t="str">
        <f>VLOOKUP(E509,countries!A$2:E$250,3,false)</f>
        <v>Iceland</v>
      </c>
      <c r="Q509" s="38" t="str">
        <f>VLOOKUP($E509,countries!$A$2:$E$250,4,false)</f>
        <v>Europe</v>
      </c>
      <c r="R509" s="38" t="str">
        <f>VLOOKUP($E509,countries!$A$2:$E$250,5,false)</f>
        <v>Northern Europe</v>
      </c>
      <c r="S509" s="38">
        <f t="shared" si="5"/>
        <v>8</v>
      </c>
      <c r="T509" s="38" t="s">
        <v>152</v>
      </c>
      <c r="U509" s="38">
        <v>2017.0</v>
      </c>
      <c r="V509" s="38">
        <v>2.0</v>
      </c>
      <c r="W509" s="38" t="s">
        <v>137</v>
      </c>
      <c r="X509" s="38" t="s">
        <v>207</v>
      </c>
      <c r="Y509" s="38" t="s">
        <v>146</v>
      </c>
      <c r="Z509" s="38" t="s">
        <v>170</v>
      </c>
      <c r="AA509" s="113" t="str">
        <f t="array" ref="AA509">PROPER(G509)</f>
        <v>Online</v>
      </c>
    </row>
    <row r="510">
      <c r="A510" s="110">
        <v>4.3964008E8</v>
      </c>
      <c r="B510" s="131">
        <v>40823.0</v>
      </c>
      <c r="C510" s="131">
        <v>40849.0</v>
      </c>
      <c r="D510" s="110" t="s">
        <v>93</v>
      </c>
      <c r="E510" s="110" t="s">
        <v>106</v>
      </c>
      <c r="F510" s="110">
        <v>2103.0</v>
      </c>
      <c r="G510" s="38" t="s">
        <v>43</v>
      </c>
      <c r="H510" s="110">
        <v>8124.0</v>
      </c>
      <c r="I510" s="132">
        <v>205.7</v>
      </c>
      <c r="J510" s="132">
        <v>117.11</v>
      </c>
      <c r="K510" s="39">
        <f t="shared" si="1"/>
        <v>1671106.8</v>
      </c>
      <c r="L510" s="39">
        <f t="shared" si="2"/>
        <v>951401.64</v>
      </c>
      <c r="M510" s="39">
        <f t="shared" si="3"/>
        <v>719705.16</v>
      </c>
      <c r="N510" s="38" t="str">
        <f>VLOOKUP(F510,products!$A$2:$B$13,2,FALSE)</f>
        <v>Cereal</v>
      </c>
      <c r="O510" s="133">
        <f t="shared" si="4"/>
        <v>0.5693242586</v>
      </c>
      <c r="P510" s="38" t="str">
        <f>VLOOKUP(E510,countries!A$2:E$250,3,false)</f>
        <v>Poland</v>
      </c>
      <c r="Q510" s="38" t="str">
        <f>VLOOKUP($E510,countries!$A$2:$E$250,4,false)</f>
        <v>Europe</v>
      </c>
      <c r="R510" s="38" t="str">
        <f>VLOOKUP($E510,countries!$A$2:$E$250,5,false)</f>
        <v>Eastern Europe</v>
      </c>
      <c r="S510" s="38">
        <f t="shared" si="5"/>
        <v>26</v>
      </c>
      <c r="T510" s="38" t="s">
        <v>144</v>
      </c>
      <c r="U510" s="38">
        <v>2011.0</v>
      </c>
      <c r="V510" s="38">
        <v>10.0</v>
      </c>
      <c r="W510" s="38" t="s">
        <v>106</v>
      </c>
      <c r="X510" s="38" t="s">
        <v>173</v>
      </c>
      <c r="Y510" s="38" t="s">
        <v>146</v>
      </c>
      <c r="Z510" s="38" t="s">
        <v>155</v>
      </c>
      <c r="AA510" s="113" t="str">
        <f t="array" ref="AA510">PROPER(G510)</f>
        <v>Online</v>
      </c>
    </row>
    <row r="511">
      <c r="A511" s="110">
        <v>4.39725911E8</v>
      </c>
      <c r="B511" s="131">
        <v>42080.0</v>
      </c>
      <c r="C511" s="131">
        <v>42101.0</v>
      </c>
      <c r="D511" s="110" t="s">
        <v>93</v>
      </c>
      <c r="E511" s="110" t="s">
        <v>101</v>
      </c>
      <c r="F511" s="110">
        <v>4594.0</v>
      </c>
      <c r="G511" s="38" t="s">
        <v>42</v>
      </c>
      <c r="H511" s="110">
        <v>3524.0</v>
      </c>
      <c r="I511" s="132">
        <v>9.33</v>
      </c>
      <c r="J511" s="132">
        <v>6.92</v>
      </c>
      <c r="K511" s="39">
        <f t="shared" si="1"/>
        <v>32878.92</v>
      </c>
      <c r="L511" s="39">
        <f t="shared" si="2"/>
        <v>24386.08</v>
      </c>
      <c r="M511" s="39">
        <f t="shared" si="3"/>
        <v>8492.84</v>
      </c>
      <c r="N511" s="38" t="str">
        <f>VLOOKUP(F511,products!$A$2:$B$13,2,FALSE)</f>
        <v>Fruits</v>
      </c>
      <c r="O511" s="133">
        <f t="shared" si="4"/>
        <v>0.741693462</v>
      </c>
      <c r="P511" s="38" t="str">
        <f>VLOOKUP(E511,countries!A$2:E$250,3,false)</f>
        <v>Armenia</v>
      </c>
      <c r="Q511" s="38" t="str">
        <f>VLOOKUP($E511,countries!$A$2:$E$250,4,false)</f>
        <v>Asia</v>
      </c>
      <c r="R511" s="38" t="str">
        <f>VLOOKUP($E511,countries!$A$2:$E$250,5,false)</f>
        <v>Western Asia</v>
      </c>
      <c r="S511" s="38">
        <f t="shared" si="5"/>
        <v>21</v>
      </c>
      <c r="T511" s="38" t="s">
        <v>156</v>
      </c>
      <c r="U511" s="38">
        <v>2015.0</v>
      </c>
      <c r="V511" s="38">
        <v>3.0</v>
      </c>
      <c r="W511" s="38" t="s">
        <v>101</v>
      </c>
      <c r="X511" s="38" t="s">
        <v>164</v>
      </c>
      <c r="Y511" s="38" t="s">
        <v>165</v>
      </c>
      <c r="Z511" s="38" t="s">
        <v>166</v>
      </c>
      <c r="AA511" s="113" t="str">
        <f t="array" ref="AA511">PROPER(G511)</f>
        <v>Offline</v>
      </c>
    </row>
    <row r="512">
      <c r="A512" s="110">
        <v>4.42318427E8</v>
      </c>
      <c r="B512" s="131">
        <v>40448.0</v>
      </c>
      <c r="C512" s="131">
        <v>40459.0</v>
      </c>
      <c r="D512" s="110" t="s">
        <v>95</v>
      </c>
      <c r="E512" s="110" t="s">
        <v>128</v>
      </c>
      <c r="F512" s="110">
        <v>7331.0</v>
      </c>
      <c r="G512" s="38" t="s">
        <v>43</v>
      </c>
      <c r="H512" s="110">
        <v>707.0</v>
      </c>
      <c r="I512" s="132">
        <v>255.28</v>
      </c>
      <c r="J512" s="132">
        <v>159.42</v>
      </c>
      <c r="K512" s="39">
        <f t="shared" si="1"/>
        <v>180482.96</v>
      </c>
      <c r="L512" s="39">
        <f t="shared" si="2"/>
        <v>112709.94</v>
      </c>
      <c r="M512" s="39">
        <f t="shared" si="3"/>
        <v>67773.02</v>
      </c>
      <c r="N512" s="38" t="str">
        <f>VLOOKUP(F512,products!$A$2:$B$13,2,FALSE)</f>
        <v>Baby Food</v>
      </c>
      <c r="O512" s="133">
        <f t="shared" si="4"/>
        <v>0.6244907552</v>
      </c>
      <c r="P512" s="38" t="str">
        <f>VLOOKUP(E512,countries!A$2:E$250,3,false)</f>
        <v>Andorra</v>
      </c>
      <c r="Q512" s="38" t="str">
        <f>VLOOKUP($E512,countries!$A$2:$E$250,4,false)</f>
        <v>Europe</v>
      </c>
      <c r="R512" s="38" t="str">
        <f>VLOOKUP($E512,countries!$A$2:$E$250,5,false)</f>
        <v>Southern Europe</v>
      </c>
      <c r="S512" s="38">
        <f t="shared" si="5"/>
        <v>11</v>
      </c>
      <c r="T512" s="38" t="s">
        <v>161</v>
      </c>
      <c r="U512" s="38">
        <v>2010.0</v>
      </c>
      <c r="V512" s="38">
        <v>9.0</v>
      </c>
      <c r="W512" s="38" t="s">
        <v>128</v>
      </c>
      <c r="X512" s="38" t="s">
        <v>199</v>
      </c>
      <c r="Y512" s="38" t="s">
        <v>146</v>
      </c>
      <c r="Z512" s="38" t="s">
        <v>147</v>
      </c>
      <c r="AA512" s="113" t="str">
        <f t="array" ref="AA512">PROPER(G512)</f>
        <v>Online</v>
      </c>
    </row>
    <row r="513">
      <c r="A513" s="110">
        <v>4.43125665E8</v>
      </c>
      <c r="B513" s="131">
        <v>41440.0</v>
      </c>
      <c r="C513" s="131">
        <v>41464.0</v>
      </c>
      <c r="D513" s="110" t="s">
        <v>89</v>
      </c>
      <c r="E513" s="110" t="s">
        <v>91</v>
      </c>
      <c r="F513" s="110">
        <v>2103.0</v>
      </c>
      <c r="G513" s="38" t="s">
        <v>42</v>
      </c>
      <c r="H513" s="110">
        <v>9586.0</v>
      </c>
      <c r="I513" s="132">
        <v>205.7</v>
      </c>
      <c r="J513" s="132">
        <v>117.11</v>
      </c>
      <c r="K513" s="39">
        <f t="shared" si="1"/>
        <v>1971840.2</v>
      </c>
      <c r="L513" s="39">
        <f t="shared" si="2"/>
        <v>1122616.46</v>
      </c>
      <c r="M513" s="39">
        <f t="shared" si="3"/>
        <v>849223.74</v>
      </c>
      <c r="N513" s="38" t="str">
        <f>VLOOKUP(F513,products!$A$2:$B$13,2,FALSE)</f>
        <v>Cereal</v>
      </c>
      <c r="O513" s="133">
        <f t="shared" si="4"/>
        <v>0.5693242586</v>
      </c>
      <c r="P513" s="38" t="str">
        <f>VLOOKUP(E513,countries!A$2:E$250,3,false)</f>
        <v>Serbia</v>
      </c>
      <c r="Q513" s="38" t="str">
        <f>VLOOKUP($E513,countries!$A$2:$E$250,4,false)</f>
        <v>Europe</v>
      </c>
      <c r="R513" s="38" t="str">
        <f>VLOOKUP($E513,countries!$A$2:$E$250,5,false)</f>
        <v>Southern Europe</v>
      </c>
      <c r="S513" s="38">
        <f t="shared" si="5"/>
        <v>24</v>
      </c>
      <c r="T513" s="38" t="s">
        <v>144</v>
      </c>
      <c r="U513" s="38">
        <v>2013.0</v>
      </c>
      <c r="V513" s="38">
        <v>6.0</v>
      </c>
      <c r="W513" s="38" t="s">
        <v>91</v>
      </c>
      <c r="X513" s="38" t="s">
        <v>145</v>
      </c>
      <c r="Y513" s="38" t="s">
        <v>146</v>
      </c>
      <c r="Z513" s="38" t="s">
        <v>147</v>
      </c>
      <c r="AA513" s="113" t="str">
        <f t="array" ref="AA513">PROPER(G513)</f>
        <v>Offline</v>
      </c>
    </row>
    <row r="514">
      <c r="A514" s="110">
        <v>4.43347108E8</v>
      </c>
      <c r="B514" s="131">
        <v>42083.0</v>
      </c>
      <c r="C514" s="131">
        <v>42103.0</v>
      </c>
      <c r="D514" s="110" t="s">
        <v>89</v>
      </c>
      <c r="E514" s="110" t="s">
        <v>128</v>
      </c>
      <c r="F514" s="110">
        <v>2103.0</v>
      </c>
      <c r="G514" s="38" t="s">
        <v>42</v>
      </c>
      <c r="H514" s="110">
        <v>5116.0</v>
      </c>
      <c r="I514" s="132">
        <v>205.7</v>
      </c>
      <c r="J514" s="132">
        <v>117.11</v>
      </c>
      <c r="K514" s="39">
        <f t="shared" si="1"/>
        <v>1052361.2</v>
      </c>
      <c r="L514" s="39">
        <f t="shared" si="2"/>
        <v>599134.76</v>
      </c>
      <c r="M514" s="39">
        <f t="shared" si="3"/>
        <v>453226.44</v>
      </c>
      <c r="N514" s="38" t="str">
        <f>VLOOKUP(F514,products!$A$2:$B$13,2,FALSE)</f>
        <v>Cereal</v>
      </c>
      <c r="O514" s="133">
        <f t="shared" si="4"/>
        <v>0.5693242586</v>
      </c>
      <c r="P514" s="38" t="str">
        <f>VLOOKUP(E514,countries!A$2:E$250,3,false)</f>
        <v>Andorra</v>
      </c>
      <c r="Q514" s="38" t="str">
        <f>VLOOKUP($E514,countries!$A$2:$E$250,4,false)</f>
        <v>Europe</v>
      </c>
      <c r="R514" s="38" t="str">
        <f>VLOOKUP($E514,countries!$A$2:$E$250,5,false)</f>
        <v>Southern Europe</v>
      </c>
      <c r="S514" s="38">
        <f t="shared" si="5"/>
        <v>20</v>
      </c>
      <c r="T514" s="38" t="s">
        <v>144</v>
      </c>
      <c r="U514" s="38">
        <v>2015.0</v>
      </c>
      <c r="V514" s="38">
        <v>3.0</v>
      </c>
      <c r="W514" s="38" t="s">
        <v>128</v>
      </c>
      <c r="X514" s="38" t="s">
        <v>199</v>
      </c>
      <c r="Y514" s="38" t="s">
        <v>146</v>
      </c>
      <c r="Z514" s="38" t="s">
        <v>147</v>
      </c>
      <c r="AA514" s="113" t="str">
        <f t="array" ref="AA514">PROPER(G514)</f>
        <v>Offline</v>
      </c>
    </row>
    <row r="515">
      <c r="A515" s="110">
        <v>4.43544518E8</v>
      </c>
      <c r="B515" s="131">
        <v>42484.0</v>
      </c>
      <c r="C515" s="131">
        <v>42488.0</v>
      </c>
      <c r="D515" s="110" t="s">
        <v>10</v>
      </c>
      <c r="E515" s="110" t="s">
        <v>128</v>
      </c>
      <c r="F515" s="110">
        <v>1270.0</v>
      </c>
      <c r="G515" s="38" t="s">
        <v>43</v>
      </c>
      <c r="H515" s="110">
        <v>3534.0</v>
      </c>
      <c r="I515" s="132">
        <v>47.45</v>
      </c>
      <c r="J515" s="132">
        <v>31.79</v>
      </c>
      <c r="K515" s="39">
        <f t="shared" si="1"/>
        <v>167688.3</v>
      </c>
      <c r="L515" s="39">
        <f t="shared" si="2"/>
        <v>112345.86</v>
      </c>
      <c r="M515" s="39">
        <f t="shared" si="3"/>
        <v>55342.44</v>
      </c>
      <c r="N515" s="38" t="str">
        <f>VLOOKUP(F515,products!$A$2:$B$13,2,FALSE)</f>
        <v>Beverages</v>
      </c>
      <c r="O515" s="133">
        <f t="shared" si="4"/>
        <v>0.6699683878</v>
      </c>
      <c r="P515" s="38" t="str">
        <f>VLOOKUP(E515,countries!A$2:E$250,3,false)</f>
        <v>Andorra</v>
      </c>
      <c r="Q515" s="38" t="str">
        <f>VLOOKUP($E515,countries!$A$2:$E$250,4,false)</f>
        <v>Europe</v>
      </c>
      <c r="R515" s="38" t="str">
        <f>VLOOKUP($E515,countries!$A$2:$E$250,5,false)</f>
        <v>Southern Europe</v>
      </c>
      <c r="S515" s="38">
        <f t="shared" si="5"/>
        <v>4</v>
      </c>
      <c r="T515" s="38" t="s">
        <v>152</v>
      </c>
      <c r="U515" s="38">
        <v>2016.0</v>
      </c>
      <c r="V515" s="38">
        <v>4.0</v>
      </c>
      <c r="W515" s="38" t="s">
        <v>128</v>
      </c>
      <c r="X515" s="38" t="s">
        <v>199</v>
      </c>
      <c r="Y515" s="38" t="s">
        <v>146</v>
      </c>
      <c r="Z515" s="38" t="s">
        <v>147</v>
      </c>
      <c r="AA515" s="113" t="str">
        <f t="array" ref="AA515">PROPER(G515)</f>
        <v>Online</v>
      </c>
    </row>
    <row r="516">
      <c r="A516" s="110">
        <v>4.43551385E8</v>
      </c>
      <c r="B516" s="131">
        <v>41367.0</v>
      </c>
      <c r="C516" s="131">
        <v>41403.0</v>
      </c>
      <c r="D516" s="110" t="s">
        <v>93</v>
      </c>
      <c r="E516" s="110" t="s">
        <v>132</v>
      </c>
      <c r="F516" s="110">
        <v>7331.0</v>
      </c>
      <c r="G516" s="38" t="s">
        <v>43</v>
      </c>
      <c r="H516" s="110">
        <v>5566.0</v>
      </c>
      <c r="I516" s="132">
        <v>255.28</v>
      </c>
      <c r="J516" s="132">
        <v>159.42</v>
      </c>
      <c r="K516" s="39">
        <f t="shared" si="1"/>
        <v>1420888.48</v>
      </c>
      <c r="L516" s="39">
        <f t="shared" si="2"/>
        <v>887331.72</v>
      </c>
      <c r="M516" s="39">
        <f t="shared" si="3"/>
        <v>533556.76</v>
      </c>
      <c r="N516" s="38" t="str">
        <f>VLOOKUP(F516,products!$A$2:$B$13,2,FALSE)</f>
        <v>Baby Food</v>
      </c>
      <c r="O516" s="133">
        <f t="shared" si="4"/>
        <v>0.6244907552</v>
      </c>
      <c r="P516" s="38" t="str">
        <f>VLOOKUP(E516,countries!A$2:E$250,3,false)</f>
        <v>Sweden</v>
      </c>
      <c r="Q516" s="38" t="str">
        <f>VLOOKUP($E516,countries!$A$2:$E$250,4,false)</f>
        <v>Europe</v>
      </c>
      <c r="R516" s="38" t="str">
        <f>VLOOKUP($E516,countries!$A$2:$E$250,5,false)</f>
        <v>Northern Europe</v>
      </c>
      <c r="S516" s="38">
        <f t="shared" si="5"/>
        <v>36</v>
      </c>
      <c r="T516" s="38" t="s">
        <v>161</v>
      </c>
      <c r="U516" s="38">
        <v>2013.0</v>
      </c>
      <c r="V516" s="38">
        <v>4.0</v>
      </c>
      <c r="W516" s="38" t="s">
        <v>132</v>
      </c>
      <c r="X516" s="38" t="s">
        <v>203</v>
      </c>
      <c r="Y516" s="38" t="s">
        <v>146</v>
      </c>
      <c r="Z516" s="38" t="s">
        <v>170</v>
      </c>
      <c r="AA516" s="113" t="str">
        <f t="array" ref="AA516">PROPER(G516)</f>
        <v>Online</v>
      </c>
    </row>
    <row r="517">
      <c r="A517" s="110">
        <v>4.44234168E8</v>
      </c>
      <c r="B517" s="131">
        <v>41505.0</v>
      </c>
      <c r="C517" s="131">
        <v>41544.0</v>
      </c>
      <c r="D517" s="110" t="s">
        <v>89</v>
      </c>
      <c r="E517" s="110" t="s">
        <v>138</v>
      </c>
      <c r="F517" s="110">
        <v>7331.0</v>
      </c>
      <c r="G517" s="38" t="s">
        <v>43</v>
      </c>
      <c r="H517" s="110">
        <v>7617.0</v>
      </c>
      <c r="I517" s="132">
        <v>255.28</v>
      </c>
      <c r="J517" s="132">
        <v>159.42</v>
      </c>
      <c r="K517" s="39">
        <f t="shared" si="1"/>
        <v>1944467.76</v>
      </c>
      <c r="L517" s="39">
        <f t="shared" si="2"/>
        <v>1214302.14</v>
      </c>
      <c r="M517" s="39">
        <f t="shared" si="3"/>
        <v>730165.62</v>
      </c>
      <c r="N517" s="38" t="str">
        <f>VLOOKUP(F517,products!$A$2:$B$13,2,FALSE)</f>
        <v>Baby Food</v>
      </c>
      <c r="O517" s="133">
        <f t="shared" si="4"/>
        <v>0.6244907552</v>
      </c>
      <c r="P517" s="38" t="str">
        <f>VLOOKUP(E517,countries!A$2:E$250,3,false)</f>
        <v>Greece</v>
      </c>
      <c r="Q517" s="38" t="str">
        <f>VLOOKUP($E517,countries!$A$2:$E$250,4,false)</f>
        <v>Europe</v>
      </c>
      <c r="R517" s="38" t="str">
        <f>VLOOKUP($E517,countries!$A$2:$E$250,5,false)</f>
        <v>Southern Europe</v>
      </c>
      <c r="S517" s="38">
        <f t="shared" si="5"/>
        <v>39</v>
      </c>
      <c r="T517" s="38" t="s">
        <v>161</v>
      </c>
      <c r="U517" s="38">
        <v>2013.0</v>
      </c>
      <c r="V517" s="38">
        <v>8.0</v>
      </c>
      <c r="W517" s="38" t="s">
        <v>138</v>
      </c>
      <c r="X517" s="38" t="s">
        <v>208</v>
      </c>
      <c r="Y517" s="38" t="s">
        <v>146</v>
      </c>
      <c r="Z517" s="38" t="s">
        <v>147</v>
      </c>
      <c r="AA517" s="113" t="str">
        <f t="array" ref="AA517">PROPER(G517)</f>
        <v>Online</v>
      </c>
    </row>
    <row r="518">
      <c r="A518" s="110">
        <v>4.44798934E8</v>
      </c>
      <c r="B518" s="131">
        <v>41643.0</v>
      </c>
      <c r="C518" s="131">
        <v>41659.0</v>
      </c>
      <c r="D518" s="110" t="s">
        <v>89</v>
      </c>
      <c r="E518" s="110" t="s">
        <v>115</v>
      </c>
      <c r="F518" s="110">
        <v>7940.0</v>
      </c>
      <c r="G518" s="38" t="s">
        <v>43</v>
      </c>
      <c r="H518" s="110">
        <v>4744.0</v>
      </c>
      <c r="I518" s="132">
        <v>668.27</v>
      </c>
      <c r="J518" s="132">
        <v>502.54</v>
      </c>
      <c r="K518" s="39">
        <f t="shared" si="1"/>
        <v>3170272.88</v>
      </c>
      <c r="L518" s="39">
        <f t="shared" si="2"/>
        <v>2384049.76</v>
      </c>
      <c r="M518" s="39">
        <f t="shared" si="3"/>
        <v>786223.12</v>
      </c>
      <c r="N518" s="38" t="str">
        <f>VLOOKUP(F518,products!$A$2:$B$13,2,FALSE)</f>
        <v>Household</v>
      </c>
      <c r="O518" s="133">
        <f t="shared" si="4"/>
        <v>0.7520014365</v>
      </c>
      <c r="P518" s="38" t="str">
        <f>VLOOKUP(E518,countries!A$2:E$250,3,false)</f>
        <v>Portugal</v>
      </c>
      <c r="Q518" s="38" t="str">
        <f>VLOOKUP($E518,countries!$A$2:$E$250,4,false)</f>
        <v>Europe</v>
      </c>
      <c r="R518" s="38" t="str">
        <f>VLOOKUP($E518,countries!$A$2:$E$250,5,false)</f>
        <v>Southern Europe</v>
      </c>
      <c r="S518" s="38">
        <f t="shared" si="5"/>
        <v>16</v>
      </c>
      <c r="T518" s="38" t="s">
        <v>148</v>
      </c>
      <c r="U518" s="38">
        <v>2014.0</v>
      </c>
      <c r="V518" s="38">
        <v>1.0</v>
      </c>
      <c r="W518" s="38" t="s">
        <v>115</v>
      </c>
      <c r="X518" s="38" t="s">
        <v>186</v>
      </c>
      <c r="Y518" s="38" t="s">
        <v>146</v>
      </c>
      <c r="Z518" s="38" t="s">
        <v>147</v>
      </c>
      <c r="AA518" s="113" t="str">
        <f t="array" ref="AA518">PROPER(G518)</f>
        <v>Online</v>
      </c>
    </row>
    <row r="519">
      <c r="A519" s="110">
        <v>4.4480623E8</v>
      </c>
      <c r="B519" s="131">
        <v>41321.0</v>
      </c>
      <c r="C519" s="131">
        <v>41365.0</v>
      </c>
      <c r="D519" s="110" t="s">
        <v>95</v>
      </c>
      <c r="E519" s="110" t="s">
        <v>114</v>
      </c>
      <c r="F519" s="110">
        <v>2103.0</v>
      </c>
      <c r="G519" s="38" t="s">
        <v>43</v>
      </c>
      <c r="H519" s="110">
        <v>6903.0</v>
      </c>
      <c r="I519" s="132">
        <v>205.7</v>
      </c>
      <c r="J519" s="132">
        <v>117.11</v>
      </c>
      <c r="K519" s="39">
        <f t="shared" si="1"/>
        <v>1419947.1</v>
      </c>
      <c r="L519" s="39">
        <f t="shared" si="2"/>
        <v>808410.33</v>
      </c>
      <c r="M519" s="39">
        <f t="shared" si="3"/>
        <v>611536.77</v>
      </c>
      <c r="N519" s="38" t="str">
        <f>VLOOKUP(F519,products!$A$2:$B$13,2,FALSE)</f>
        <v>Cereal</v>
      </c>
      <c r="O519" s="133">
        <f t="shared" si="4"/>
        <v>0.5693242586</v>
      </c>
      <c r="P519" s="38" t="str">
        <f>VLOOKUP(E519,countries!A$2:E$250,3,false)</f>
        <v>Czech Republic</v>
      </c>
      <c r="Q519" s="38" t="str">
        <f>VLOOKUP($E519,countries!$A$2:$E$250,4,false)</f>
        <v>Europe</v>
      </c>
      <c r="R519" s="38" t="str">
        <f>VLOOKUP($E519,countries!$A$2:$E$250,5,false)</f>
        <v>Eastern Europe</v>
      </c>
      <c r="S519" s="38">
        <f t="shared" si="5"/>
        <v>44</v>
      </c>
      <c r="T519" s="38" t="s">
        <v>144</v>
      </c>
      <c r="U519" s="38">
        <v>2013.0</v>
      </c>
      <c r="V519" s="38">
        <v>2.0</v>
      </c>
      <c r="W519" s="38" t="s">
        <v>114</v>
      </c>
      <c r="X519" s="38" t="s">
        <v>184</v>
      </c>
      <c r="Y519" s="38" t="s">
        <v>146</v>
      </c>
      <c r="Z519" s="38" t="s">
        <v>155</v>
      </c>
      <c r="AA519" s="113" t="str">
        <f t="array" ref="AA519">PROPER(G519)</f>
        <v>Online</v>
      </c>
    </row>
    <row r="520">
      <c r="A520" s="110">
        <v>4.45273578E8</v>
      </c>
      <c r="B520" s="131">
        <v>40876.0</v>
      </c>
      <c r="C520" s="131">
        <v>40917.0</v>
      </c>
      <c r="D520" s="110" t="s">
        <v>95</v>
      </c>
      <c r="E520" s="110" t="s">
        <v>130</v>
      </c>
      <c r="F520" s="110">
        <v>8681.0</v>
      </c>
      <c r="G520" s="38" t="s">
        <v>42</v>
      </c>
      <c r="H520" s="110">
        <v>5201.0</v>
      </c>
      <c r="I520" s="132">
        <v>651.21</v>
      </c>
      <c r="J520" s="132">
        <v>524.96</v>
      </c>
      <c r="K520" s="39">
        <f t="shared" si="1"/>
        <v>3386943.21</v>
      </c>
      <c r="L520" s="39">
        <f t="shared" si="2"/>
        <v>2730316.96</v>
      </c>
      <c r="M520" s="39">
        <f t="shared" si="3"/>
        <v>656626.25</v>
      </c>
      <c r="N520" s="38" t="str">
        <f>VLOOKUP(F520,products!$A$2:$B$13,2,FALSE)</f>
        <v>Office Supplies</v>
      </c>
      <c r="O520" s="133">
        <f t="shared" si="4"/>
        <v>0.806130127</v>
      </c>
      <c r="P520" s="38" t="str">
        <f>VLOOKUP(E520,countries!A$2:E$250,3,false)</f>
        <v>Finland</v>
      </c>
      <c r="Q520" s="38" t="str">
        <f>VLOOKUP($E520,countries!$A$2:$E$250,4,false)</f>
        <v>Europe</v>
      </c>
      <c r="R520" s="38" t="str">
        <f>VLOOKUP($E520,countries!$A$2:$E$250,5,false)</f>
        <v>Northern Europe</v>
      </c>
      <c r="S520" s="38">
        <f t="shared" si="5"/>
        <v>41</v>
      </c>
      <c r="T520" s="38" t="s">
        <v>153</v>
      </c>
      <c r="U520" s="38">
        <v>2011.0</v>
      </c>
      <c r="V520" s="38">
        <v>11.0</v>
      </c>
      <c r="W520" s="38" t="s">
        <v>130</v>
      </c>
      <c r="X520" s="38" t="s">
        <v>201</v>
      </c>
      <c r="Y520" s="38" t="s">
        <v>146</v>
      </c>
      <c r="Z520" s="38" t="s">
        <v>170</v>
      </c>
      <c r="AA520" s="113" t="str">
        <f t="array" ref="AA520">PROPER(G520)</f>
        <v>Offline</v>
      </c>
    </row>
    <row r="521">
      <c r="A521" s="110">
        <v>4.45708739E8</v>
      </c>
      <c r="B521" s="131">
        <v>41689.0</v>
      </c>
      <c r="C521" s="131">
        <v>41697.0</v>
      </c>
      <c r="D521" s="110" t="s">
        <v>95</v>
      </c>
      <c r="E521" s="110" t="s">
        <v>112</v>
      </c>
      <c r="F521" s="110">
        <v>3127.0</v>
      </c>
      <c r="G521" s="38" t="s">
        <v>43</v>
      </c>
      <c r="H521" s="110">
        <v>3975.0</v>
      </c>
      <c r="I521" s="132">
        <v>81.73</v>
      </c>
      <c r="J521" s="132">
        <v>56.67</v>
      </c>
      <c r="K521" s="39">
        <f t="shared" si="1"/>
        <v>324876.75</v>
      </c>
      <c r="L521" s="39">
        <f t="shared" si="2"/>
        <v>225263.25</v>
      </c>
      <c r="M521" s="39">
        <f t="shared" si="3"/>
        <v>99613.5</v>
      </c>
      <c r="N521" s="38" t="str">
        <f>VLOOKUP(F521,products!$A$2:$B$13,2,FALSE)</f>
        <v>Personal Care</v>
      </c>
      <c r="O521" s="133">
        <f t="shared" si="4"/>
        <v>0.6933806436</v>
      </c>
      <c r="P521" s="38" t="str">
        <f>VLOOKUP(E521,countries!A$2:E$250,3,false)</f>
        <v>Malta</v>
      </c>
      <c r="Q521" s="38" t="str">
        <f>VLOOKUP($E521,countries!$A$2:$E$250,4,false)</f>
        <v>Europe</v>
      </c>
      <c r="R521" s="38" t="str">
        <f>VLOOKUP($E521,countries!$A$2:$E$250,5,false)</f>
        <v>Southern Europe</v>
      </c>
      <c r="S521" s="38">
        <f t="shared" si="5"/>
        <v>8</v>
      </c>
      <c r="T521" s="38" t="s">
        <v>185</v>
      </c>
      <c r="U521" s="38">
        <v>2014.0</v>
      </c>
      <c r="V521" s="38">
        <v>2.0</v>
      </c>
      <c r="W521" s="38" t="s">
        <v>112</v>
      </c>
      <c r="X521" s="38" t="s">
        <v>180</v>
      </c>
      <c r="Y521" s="38" t="s">
        <v>146</v>
      </c>
      <c r="Z521" s="38" t="s">
        <v>147</v>
      </c>
      <c r="AA521" s="113" t="str">
        <f t="array" ref="AA521">PROPER(G521)</f>
        <v>Online</v>
      </c>
    </row>
    <row r="522">
      <c r="A522" s="110">
        <v>4.45952498E8</v>
      </c>
      <c r="B522" s="131">
        <v>42161.0</v>
      </c>
      <c r="C522" s="131">
        <v>42192.0</v>
      </c>
      <c r="D522" s="110" t="s">
        <v>10</v>
      </c>
      <c r="E522" s="110" t="s">
        <v>90</v>
      </c>
      <c r="F522" s="110">
        <v>2103.0</v>
      </c>
      <c r="G522" s="38" t="s">
        <v>42</v>
      </c>
      <c r="H522" s="110">
        <v>6109.0</v>
      </c>
      <c r="I522" s="132">
        <v>205.7</v>
      </c>
      <c r="J522" s="132">
        <v>117.11</v>
      </c>
      <c r="K522" s="39">
        <f t="shared" si="1"/>
        <v>1256621.3</v>
      </c>
      <c r="L522" s="39">
        <f t="shared" si="2"/>
        <v>715424.99</v>
      </c>
      <c r="M522" s="39">
        <f t="shared" si="3"/>
        <v>541196.31</v>
      </c>
      <c r="N522" s="38" t="str">
        <f>VLOOKUP(F522,products!$A$2:$B$13,2,FALSE)</f>
        <v>Cereal</v>
      </c>
      <c r="O522" s="133">
        <f t="shared" si="4"/>
        <v>0.5693242586</v>
      </c>
      <c r="P522" s="38" t="str">
        <f>VLOOKUP(E522,countries!A$2:E$250,3,false)</f>
        <v>Norway</v>
      </c>
      <c r="Q522" s="38" t="str">
        <f>VLOOKUP($E522,countries!$A$2:$E$250,4,false)</f>
        <v>Europe</v>
      </c>
      <c r="R522" s="38" t="str">
        <f>VLOOKUP($E522,countries!$A$2:$E$250,5,false)</f>
        <v>Northern Europe</v>
      </c>
      <c r="S522" s="38">
        <f t="shared" si="5"/>
        <v>31</v>
      </c>
      <c r="T522" s="38" t="s">
        <v>144</v>
      </c>
      <c r="U522" s="38">
        <v>2015.0</v>
      </c>
      <c r="V522" s="38">
        <v>6.0</v>
      </c>
      <c r="W522" s="38" t="s">
        <v>90</v>
      </c>
      <c r="X522" s="38" t="s">
        <v>183</v>
      </c>
      <c r="Y522" s="38" t="s">
        <v>146</v>
      </c>
      <c r="Z522" s="38" t="s">
        <v>170</v>
      </c>
      <c r="AA522" s="113" t="str">
        <f t="array" ref="AA522">PROPER(G522)</f>
        <v>Offline</v>
      </c>
    </row>
    <row r="523">
      <c r="A523" s="110">
        <v>4.46019017E8</v>
      </c>
      <c r="B523" s="131">
        <v>40853.0</v>
      </c>
      <c r="C523" s="131">
        <v>40872.0</v>
      </c>
      <c r="D523" s="110" t="s">
        <v>10</v>
      </c>
      <c r="E523" s="110" t="s">
        <v>113</v>
      </c>
      <c r="F523" s="110">
        <v>5988.0</v>
      </c>
      <c r="G523" s="38" t="s">
        <v>43</v>
      </c>
      <c r="H523" s="110">
        <v>5794.0</v>
      </c>
      <c r="I523" s="132">
        <v>154.06</v>
      </c>
      <c r="J523" s="132">
        <v>90.93</v>
      </c>
      <c r="K523" s="39">
        <f t="shared" si="1"/>
        <v>892623.64</v>
      </c>
      <c r="L523" s="39">
        <f t="shared" si="2"/>
        <v>526848.42</v>
      </c>
      <c r="M523" s="39">
        <f t="shared" si="3"/>
        <v>365775.22</v>
      </c>
      <c r="N523" s="38" t="str">
        <f>VLOOKUP(F523,products!$A$2:$B$13,2,FALSE)</f>
        <v>Vegetables</v>
      </c>
      <c r="O523" s="133">
        <f t="shared" si="4"/>
        <v>0.5902245878</v>
      </c>
      <c r="P523" s="38" t="str">
        <f>VLOOKUP(E523,countries!A$2:E$250,3,false)</f>
        <v>Ukraine</v>
      </c>
      <c r="Q523" s="38" t="str">
        <f>VLOOKUP($E523,countries!$A$2:$E$250,4,false)</f>
        <v>Europe</v>
      </c>
      <c r="R523" s="38" t="str">
        <f>VLOOKUP($E523,countries!$A$2:$E$250,5,false)</f>
        <v>Eastern Europe</v>
      </c>
      <c r="S523" s="38">
        <f t="shared" si="5"/>
        <v>19</v>
      </c>
      <c r="T523" s="38" t="s">
        <v>159</v>
      </c>
      <c r="U523" s="38">
        <v>2011.0</v>
      </c>
      <c r="V523" s="38">
        <v>11.0</v>
      </c>
      <c r="W523" s="38" t="s">
        <v>113</v>
      </c>
      <c r="X523" s="38" t="s">
        <v>181</v>
      </c>
      <c r="Y523" s="38" t="s">
        <v>146</v>
      </c>
      <c r="Z523" s="38" t="s">
        <v>155</v>
      </c>
      <c r="AA523" s="113" t="str">
        <f t="array" ref="AA523">PROPER(G523)</f>
        <v>Online</v>
      </c>
    </row>
    <row r="524">
      <c r="A524" s="110">
        <v>4.46045196E8</v>
      </c>
      <c r="B524" s="131">
        <v>42301.0</v>
      </c>
      <c r="C524" s="131">
        <v>42309.0</v>
      </c>
      <c r="D524" s="110" t="s">
        <v>93</v>
      </c>
      <c r="E524" s="110" t="s">
        <v>98</v>
      </c>
      <c r="F524" s="110">
        <v>4594.0</v>
      </c>
      <c r="G524" s="38" t="s">
        <v>42</v>
      </c>
      <c r="H524" s="110">
        <v>3540.0</v>
      </c>
      <c r="I524" s="132">
        <v>9.33</v>
      </c>
      <c r="J524" s="132">
        <v>6.92</v>
      </c>
      <c r="K524" s="39">
        <f t="shared" si="1"/>
        <v>33028.2</v>
      </c>
      <c r="L524" s="39">
        <f t="shared" si="2"/>
        <v>24496.8</v>
      </c>
      <c r="M524" s="39">
        <f t="shared" si="3"/>
        <v>8531.4</v>
      </c>
      <c r="N524" s="38" t="str">
        <f>VLOOKUP(F524,products!$A$2:$B$13,2,FALSE)</f>
        <v>Fruits</v>
      </c>
      <c r="O524" s="133">
        <f t="shared" si="4"/>
        <v>0.741693462</v>
      </c>
      <c r="P524" s="38" t="str">
        <f>VLOOKUP(E524,countries!A$2:E$250,3,false)</f>
        <v>Spain</v>
      </c>
      <c r="Q524" s="38" t="str">
        <f>VLOOKUP($E524,countries!$A$2:$E$250,4,false)</f>
        <v>Europe</v>
      </c>
      <c r="R524" s="38" t="str">
        <f>VLOOKUP($E524,countries!$A$2:$E$250,5,false)</f>
        <v>Southern Europe</v>
      </c>
      <c r="S524" s="38">
        <f t="shared" si="5"/>
        <v>8</v>
      </c>
      <c r="T524" s="38" t="s">
        <v>156</v>
      </c>
      <c r="U524" s="38">
        <v>2015.0</v>
      </c>
      <c r="V524" s="38">
        <v>10.0</v>
      </c>
      <c r="W524" s="38" t="s">
        <v>98</v>
      </c>
      <c r="X524" s="38" t="s">
        <v>160</v>
      </c>
      <c r="Y524" s="38" t="s">
        <v>146</v>
      </c>
      <c r="Z524" s="38" t="s">
        <v>147</v>
      </c>
      <c r="AA524" s="113" t="str">
        <f t="array" ref="AA524">PROPER(G524)</f>
        <v>Offline</v>
      </c>
    </row>
    <row r="525">
      <c r="A525" s="110">
        <v>4.4718331E8</v>
      </c>
      <c r="B525" s="131">
        <v>41873.0</v>
      </c>
      <c r="C525" s="131">
        <v>41901.0</v>
      </c>
      <c r="D525" s="110" t="s">
        <v>10</v>
      </c>
      <c r="E525" s="110" t="s">
        <v>120</v>
      </c>
      <c r="F525" s="110">
        <v>8293.0</v>
      </c>
      <c r="G525" s="38" t="s">
        <v>42</v>
      </c>
      <c r="H525" s="110">
        <v>334.0</v>
      </c>
      <c r="I525" s="132">
        <v>437.2</v>
      </c>
      <c r="J525" s="132">
        <v>263.33</v>
      </c>
      <c r="K525" s="39">
        <f t="shared" si="1"/>
        <v>146024.8</v>
      </c>
      <c r="L525" s="39">
        <f t="shared" si="2"/>
        <v>87952.22</v>
      </c>
      <c r="M525" s="39">
        <f t="shared" si="3"/>
        <v>58072.58</v>
      </c>
      <c r="N525" s="38" t="str">
        <f>VLOOKUP(F525,products!$A$2:$B$13,2,FALSE)</f>
        <v>Cosmetics</v>
      </c>
      <c r="O525" s="133">
        <f t="shared" si="4"/>
        <v>0.6023101555</v>
      </c>
      <c r="P525" s="38" t="str">
        <f>VLOOKUP(E525,countries!A$2:E$250,3,false)</f>
        <v>San Marino</v>
      </c>
      <c r="Q525" s="38" t="str">
        <f>VLOOKUP($E525,countries!$A$2:$E$250,4,false)</f>
        <v>Europe</v>
      </c>
      <c r="R525" s="38" t="str">
        <f>VLOOKUP($E525,countries!$A$2:$E$250,5,false)</f>
        <v>Southern Europe</v>
      </c>
      <c r="S525" s="38">
        <f t="shared" si="5"/>
        <v>28</v>
      </c>
      <c r="T525" s="38" t="s">
        <v>178</v>
      </c>
      <c r="U525" s="38">
        <v>2014.0</v>
      </c>
      <c r="V525" s="38">
        <v>8.0</v>
      </c>
      <c r="W525" s="38" t="s">
        <v>120</v>
      </c>
      <c r="X525" s="38" t="s">
        <v>191</v>
      </c>
      <c r="Y525" s="38" t="s">
        <v>146</v>
      </c>
      <c r="Z525" s="38" t="s">
        <v>147</v>
      </c>
      <c r="AA525" s="113" t="str">
        <f t="array" ref="AA525">PROPER(G525)</f>
        <v>Offline</v>
      </c>
    </row>
    <row r="526">
      <c r="A526" s="110">
        <v>4.47536504E8</v>
      </c>
      <c r="B526" s="131">
        <v>40282.0</v>
      </c>
      <c r="C526" s="131">
        <v>40293.0</v>
      </c>
      <c r="D526" s="110" t="s">
        <v>95</v>
      </c>
      <c r="E526" s="110" t="s">
        <v>91</v>
      </c>
      <c r="F526" s="110">
        <v>8875.0</v>
      </c>
      <c r="G526" s="38" t="s">
        <v>42</v>
      </c>
      <c r="H526" s="110">
        <v>4852.0</v>
      </c>
      <c r="I526" s="132">
        <v>421.89</v>
      </c>
      <c r="J526" s="132">
        <v>364.69</v>
      </c>
      <c r="K526" s="39">
        <f t="shared" si="1"/>
        <v>2047010.28</v>
      </c>
      <c r="L526" s="39">
        <f t="shared" si="2"/>
        <v>1769475.88</v>
      </c>
      <c r="M526" s="39">
        <f t="shared" si="3"/>
        <v>277534.4</v>
      </c>
      <c r="N526" s="38" t="str">
        <f>VLOOKUP(F526,products!$A$2:$B$13,2,FALSE)</f>
        <v>Meat</v>
      </c>
      <c r="O526" s="133">
        <f t="shared" si="4"/>
        <v>0.8644196354</v>
      </c>
      <c r="P526" s="38" t="str">
        <f>VLOOKUP(E526,countries!A$2:E$250,3,false)</f>
        <v>Serbia</v>
      </c>
      <c r="Q526" s="38" t="str">
        <f>VLOOKUP($E526,countries!$A$2:$E$250,4,false)</f>
        <v>Europe</v>
      </c>
      <c r="R526" s="38" t="str">
        <f>VLOOKUP($E526,countries!$A$2:$E$250,5,false)</f>
        <v>Southern Europe</v>
      </c>
      <c r="S526" s="38">
        <f t="shared" si="5"/>
        <v>11</v>
      </c>
      <c r="T526" s="38" t="s">
        <v>167</v>
      </c>
      <c r="U526" s="38">
        <v>2010.0</v>
      </c>
      <c r="V526" s="38">
        <v>4.0</v>
      </c>
      <c r="W526" s="38" t="s">
        <v>91</v>
      </c>
      <c r="X526" s="38" t="s">
        <v>145</v>
      </c>
      <c r="Y526" s="38" t="s">
        <v>146</v>
      </c>
      <c r="Z526" s="38" t="s">
        <v>147</v>
      </c>
      <c r="AA526" s="113" t="str">
        <f t="array" ref="AA526">PROPER(G526)</f>
        <v>Offline</v>
      </c>
    </row>
    <row r="527">
      <c r="A527" s="110">
        <v>4.47684133E8</v>
      </c>
      <c r="B527" s="131">
        <v>42554.0</v>
      </c>
      <c r="C527" s="131">
        <v>42596.0</v>
      </c>
      <c r="D527" s="110" t="s">
        <v>89</v>
      </c>
      <c r="E527" s="110" t="s">
        <v>97</v>
      </c>
      <c r="F527" s="110">
        <v>8969.0</v>
      </c>
      <c r="G527" s="38" t="s">
        <v>42</v>
      </c>
      <c r="H527" s="110">
        <v>8538.0</v>
      </c>
      <c r="I527" s="132">
        <v>152.58</v>
      </c>
      <c r="J527" s="132">
        <v>97.44</v>
      </c>
      <c r="K527" s="39">
        <f t="shared" si="1"/>
        <v>1302728.04</v>
      </c>
      <c r="L527" s="39">
        <f t="shared" si="2"/>
        <v>831942.72</v>
      </c>
      <c r="M527" s="39">
        <f t="shared" si="3"/>
        <v>470785.32</v>
      </c>
      <c r="N527" s="38" t="str">
        <f>VLOOKUP(F527,products!$A$2:$B$13,2,FALSE)</f>
        <v>Snacks</v>
      </c>
      <c r="O527" s="133">
        <f t="shared" si="4"/>
        <v>0.6386158081</v>
      </c>
      <c r="P527" s="38" t="str">
        <f>VLOOKUP(E527,countries!A$2:E$250,3,false)</f>
        <v>France</v>
      </c>
      <c r="Q527" s="38" t="str">
        <f>VLOOKUP($E527,countries!$A$2:$E$250,4,false)</f>
        <v>Europe</v>
      </c>
      <c r="R527" s="38" t="str">
        <f>VLOOKUP($E527,countries!$A$2:$E$250,5,false)</f>
        <v>Western Europe</v>
      </c>
      <c r="S527" s="38">
        <f t="shared" si="5"/>
        <v>42</v>
      </c>
      <c r="T527" s="38" t="s">
        <v>182</v>
      </c>
      <c r="U527" s="38">
        <v>2016.0</v>
      </c>
      <c r="V527" s="38">
        <v>7.0</v>
      </c>
      <c r="W527" s="38" t="s">
        <v>97</v>
      </c>
      <c r="X527" s="38" t="s">
        <v>157</v>
      </c>
      <c r="Y527" s="38" t="s">
        <v>146</v>
      </c>
      <c r="Z527" s="38" t="s">
        <v>158</v>
      </c>
      <c r="AA527" s="113" t="str">
        <f t="array" ref="AA527">PROPER(G527)</f>
        <v>Offline</v>
      </c>
    </row>
    <row r="528">
      <c r="A528" s="110">
        <v>4.4920634E8</v>
      </c>
      <c r="B528" s="131">
        <v>42426.0</v>
      </c>
      <c r="C528" s="131">
        <v>42463.0</v>
      </c>
      <c r="D528" s="110" t="s">
        <v>95</v>
      </c>
      <c r="E528" s="110" t="s">
        <v>97</v>
      </c>
      <c r="F528" s="110">
        <v>2103.0</v>
      </c>
      <c r="G528" s="38" t="s">
        <v>42</v>
      </c>
      <c r="H528" s="110">
        <v>8993.0</v>
      </c>
      <c r="I528" s="132">
        <v>205.7</v>
      </c>
      <c r="J528" s="132">
        <v>117.11</v>
      </c>
      <c r="K528" s="39">
        <f t="shared" si="1"/>
        <v>1849860.1</v>
      </c>
      <c r="L528" s="39">
        <f t="shared" si="2"/>
        <v>1053170.23</v>
      </c>
      <c r="M528" s="39">
        <f t="shared" si="3"/>
        <v>796689.87</v>
      </c>
      <c r="N528" s="38" t="str">
        <f>VLOOKUP(F528,products!$A$2:$B$13,2,FALSE)</f>
        <v>Cereal</v>
      </c>
      <c r="O528" s="133">
        <f t="shared" si="4"/>
        <v>0.5693242586</v>
      </c>
      <c r="P528" s="38" t="str">
        <f>VLOOKUP(E528,countries!A$2:E$250,3,false)</f>
        <v>France</v>
      </c>
      <c r="Q528" s="38" t="str">
        <f>VLOOKUP($E528,countries!$A$2:$E$250,4,false)</f>
        <v>Europe</v>
      </c>
      <c r="R528" s="38" t="str">
        <f>VLOOKUP($E528,countries!$A$2:$E$250,5,false)</f>
        <v>Western Europe</v>
      </c>
      <c r="S528" s="38">
        <f t="shared" si="5"/>
        <v>37</v>
      </c>
      <c r="T528" s="38" t="s">
        <v>144</v>
      </c>
      <c r="U528" s="38">
        <v>2016.0</v>
      </c>
      <c r="V528" s="38">
        <v>2.0</v>
      </c>
      <c r="W528" s="38" t="s">
        <v>97</v>
      </c>
      <c r="X528" s="38" t="s">
        <v>157</v>
      </c>
      <c r="Y528" s="38" t="s">
        <v>146</v>
      </c>
      <c r="Z528" s="38" t="s">
        <v>158</v>
      </c>
      <c r="AA528" s="113" t="str">
        <f t="array" ref="AA528">PROPER(G528)</f>
        <v>Offline</v>
      </c>
    </row>
    <row r="529">
      <c r="A529" s="110">
        <v>4.50041043E8</v>
      </c>
      <c r="B529" s="131">
        <v>41718.0</v>
      </c>
      <c r="C529" s="131">
        <v>41745.0</v>
      </c>
      <c r="D529" s="110" t="s">
        <v>93</v>
      </c>
      <c r="E529" s="110" t="s">
        <v>115</v>
      </c>
      <c r="F529" s="110">
        <v>8293.0</v>
      </c>
      <c r="G529" s="38" t="s">
        <v>42</v>
      </c>
      <c r="H529" s="110">
        <v>6000.0</v>
      </c>
      <c r="I529" s="132">
        <v>437.2</v>
      </c>
      <c r="J529" s="132">
        <v>263.33</v>
      </c>
      <c r="K529" s="39">
        <f t="shared" si="1"/>
        <v>2623200</v>
      </c>
      <c r="L529" s="39">
        <f t="shared" si="2"/>
        <v>1579980</v>
      </c>
      <c r="M529" s="39">
        <f t="shared" si="3"/>
        <v>1043220</v>
      </c>
      <c r="N529" s="38" t="str">
        <f>VLOOKUP(F529,products!$A$2:$B$13,2,FALSE)</f>
        <v>Cosmetics</v>
      </c>
      <c r="O529" s="133">
        <f t="shared" si="4"/>
        <v>0.6023101555</v>
      </c>
      <c r="P529" s="38" t="str">
        <f>VLOOKUP(E529,countries!A$2:E$250,3,false)</f>
        <v>Portugal</v>
      </c>
      <c r="Q529" s="38" t="str">
        <f>VLOOKUP($E529,countries!$A$2:$E$250,4,false)</f>
        <v>Europe</v>
      </c>
      <c r="R529" s="38" t="str">
        <f>VLOOKUP($E529,countries!$A$2:$E$250,5,false)</f>
        <v>Southern Europe</v>
      </c>
      <c r="S529" s="38">
        <f t="shared" si="5"/>
        <v>27</v>
      </c>
      <c r="T529" s="38" t="s">
        <v>178</v>
      </c>
      <c r="U529" s="38">
        <v>2014.0</v>
      </c>
      <c r="V529" s="38">
        <v>3.0</v>
      </c>
      <c r="W529" s="38" t="s">
        <v>115</v>
      </c>
      <c r="X529" s="38" t="s">
        <v>186</v>
      </c>
      <c r="Y529" s="38" t="s">
        <v>146</v>
      </c>
      <c r="Z529" s="38" t="s">
        <v>147</v>
      </c>
      <c r="AA529" s="113" t="str">
        <f t="array" ref="AA529">PROPER(G529)</f>
        <v>Offline</v>
      </c>
    </row>
    <row r="530">
      <c r="A530" s="110">
        <v>4.50550019E8</v>
      </c>
      <c r="B530" s="131">
        <v>40901.0</v>
      </c>
      <c r="C530" s="131">
        <v>40910.0</v>
      </c>
      <c r="D530" s="110" t="s">
        <v>89</v>
      </c>
      <c r="E530" s="110" t="s">
        <v>111</v>
      </c>
      <c r="F530" s="110">
        <v>7331.0</v>
      </c>
      <c r="G530" s="38" t="s">
        <v>42</v>
      </c>
      <c r="H530" s="110">
        <v>6618.0</v>
      </c>
      <c r="I530" s="132">
        <v>255.28</v>
      </c>
      <c r="J530" s="132">
        <v>159.42</v>
      </c>
      <c r="K530" s="39">
        <f t="shared" si="1"/>
        <v>1689443.04</v>
      </c>
      <c r="L530" s="39">
        <f t="shared" si="2"/>
        <v>1055041.56</v>
      </c>
      <c r="M530" s="39">
        <f t="shared" si="3"/>
        <v>634401.48</v>
      </c>
      <c r="N530" s="38" t="str">
        <f>VLOOKUP(F530,products!$A$2:$B$13,2,FALSE)</f>
        <v>Baby Food</v>
      </c>
      <c r="O530" s="133">
        <f t="shared" si="4"/>
        <v>0.6244907552</v>
      </c>
      <c r="P530" s="38" t="str">
        <f>VLOOKUP(E530,countries!A$2:E$250,3,false)</f>
        <v>Russia</v>
      </c>
      <c r="Q530" s="38" t="str">
        <f>VLOOKUP($E530,countries!$A$2:$E$250,4,false)</f>
        <v>Europe</v>
      </c>
      <c r="R530" s="38" t="str">
        <f>VLOOKUP($E530,countries!$A$2:$E$250,5,false)</f>
        <v>Eastern Europe</v>
      </c>
      <c r="S530" s="38">
        <f t="shared" si="5"/>
        <v>9</v>
      </c>
      <c r="T530" s="38" t="s">
        <v>161</v>
      </c>
      <c r="U530" s="38">
        <v>2011.0</v>
      </c>
      <c r="V530" s="38">
        <v>12.0</v>
      </c>
      <c r="W530" s="38" t="s">
        <v>111</v>
      </c>
      <c r="X530" s="38" t="s">
        <v>179</v>
      </c>
      <c r="Y530" s="38" t="s">
        <v>146</v>
      </c>
      <c r="Z530" s="38" t="s">
        <v>155</v>
      </c>
      <c r="AA530" s="113" t="str">
        <f t="array" ref="AA530">PROPER(G530)</f>
        <v>Offline</v>
      </c>
    </row>
    <row r="531">
      <c r="A531" s="110">
        <v>4.52471768E8</v>
      </c>
      <c r="B531" s="131">
        <v>42018.0</v>
      </c>
      <c r="C531" s="131">
        <v>42045.0</v>
      </c>
      <c r="D531" s="110" t="s">
        <v>93</v>
      </c>
      <c r="E531" s="110" t="s">
        <v>132</v>
      </c>
      <c r="F531" s="110">
        <v>4594.0</v>
      </c>
      <c r="G531" s="38" t="s">
        <v>42</v>
      </c>
      <c r="H531" s="110">
        <v>5306.0</v>
      </c>
      <c r="I531" s="132">
        <v>9.33</v>
      </c>
      <c r="J531" s="132">
        <v>6.92</v>
      </c>
      <c r="K531" s="39">
        <f t="shared" si="1"/>
        <v>49504.98</v>
      </c>
      <c r="L531" s="39">
        <f t="shared" si="2"/>
        <v>36717.52</v>
      </c>
      <c r="M531" s="39">
        <f t="shared" si="3"/>
        <v>12787.46</v>
      </c>
      <c r="N531" s="38" t="str">
        <f>VLOOKUP(F531,products!$A$2:$B$13,2,FALSE)</f>
        <v>Fruits</v>
      </c>
      <c r="O531" s="133">
        <f t="shared" si="4"/>
        <v>0.741693462</v>
      </c>
      <c r="P531" s="38" t="str">
        <f>VLOOKUP(E531,countries!A$2:E$250,3,false)</f>
        <v>Sweden</v>
      </c>
      <c r="Q531" s="38" t="str">
        <f>VLOOKUP($E531,countries!$A$2:$E$250,4,false)</f>
        <v>Europe</v>
      </c>
      <c r="R531" s="38" t="str">
        <f>VLOOKUP($E531,countries!$A$2:$E$250,5,false)</f>
        <v>Northern Europe</v>
      </c>
      <c r="S531" s="38">
        <f t="shared" si="5"/>
        <v>27</v>
      </c>
      <c r="T531" s="38" t="s">
        <v>156</v>
      </c>
      <c r="U531" s="38">
        <v>2015.0</v>
      </c>
      <c r="V531" s="38">
        <v>1.0</v>
      </c>
      <c r="W531" s="38" t="s">
        <v>132</v>
      </c>
      <c r="X531" s="38" t="s">
        <v>203</v>
      </c>
      <c r="Y531" s="38" t="s">
        <v>146</v>
      </c>
      <c r="Z531" s="38" t="s">
        <v>170</v>
      </c>
      <c r="AA531" s="113" t="str">
        <f t="array" ref="AA531">PROPER(G531)</f>
        <v>Offline</v>
      </c>
    </row>
    <row r="532">
      <c r="A532" s="110">
        <v>4.52559745E8</v>
      </c>
      <c r="B532" s="131">
        <v>41716.0</v>
      </c>
      <c r="C532" s="131">
        <v>41717.0</v>
      </c>
      <c r="D532" s="110" t="s">
        <v>93</v>
      </c>
      <c r="E532" s="110" t="e">
        <v>#N/A</v>
      </c>
      <c r="F532" s="110">
        <v>5988.0</v>
      </c>
      <c r="G532" s="38" t="s">
        <v>42</v>
      </c>
      <c r="H532" s="110">
        <v>1340.0</v>
      </c>
      <c r="I532" s="132">
        <v>154.06</v>
      </c>
      <c r="J532" s="132">
        <v>90.93</v>
      </c>
      <c r="K532" s="39">
        <f t="shared" si="1"/>
        <v>206440.4</v>
      </c>
      <c r="L532" s="39">
        <f t="shared" si="2"/>
        <v>121846.2</v>
      </c>
      <c r="M532" s="39">
        <f t="shared" si="3"/>
        <v>84594.2</v>
      </c>
      <c r="N532" s="38" t="str">
        <f>VLOOKUP(F532,products!$A$2:$B$13,2,FALSE)</f>
        <v>Vegetables</v>
      </c>
      <c r="O532" s="133">
        <f t="shared" si="4"/>
        <v>0.5902245878</v>
      </c>
      <c r="P532" s="38" t="str">
        <f>VLOOKUP(E532,countries!A$2:E$250,3,false)</f>
        <v>#N/A</v>
      </c>
      <c r="Q532" s="38" t="str">
        <f>VLOOKUP($E532,countries!$A$2:$E$250,4,false)</f>
        <v>#N/A</v>
      </c>
      <c r="R532" s="38" t="str">
        <f>VLOOKUP($E532,countries!$A$2:$E$250,5,false)</f>
        <v>#N/A</v>
      </c>
      <c r="S532" s="38">
        <f t="shared" si="5"/>
        <v>1</v>
      </c>
      <c r="T532" s="38" t="s">
        <v>159</v>
      </c>
      <c r="U532" s="38">
        <v>2014.0</v>
      </c>
      <c r="V532" s="38">
        <v>3.0</v>
      </c>
      <c r="W532" s="38" t="s">
        <v>92</v>
      </c>
      <c r="X532" s="38" t="s">
        <v>149</v>
      </c>
      <c r="Y532" s="38" t="s">
        <v>149</v>
      </c>
      <c r="Z532" s="38" t="s">
        <v>149</v>
      </c>
      <c r="AA532" s="113" t="str">
        <f t="array" ref="AA532">PROPER(G532)</f>
        <v>Offline</v>
      </c>
    </row>
    <row r="533">
      <c r="A533" s="110">
        <v>4.54550588E8</v>
      </c>
      <c r="B533" s="131">
        <v>40761.0</v>
      </c>
      <c r="C533" s="131">
        <v>40792.0</v>
      </c>
      <c r="D533" s="110" t="s">
        <v>10</v>
      </c>
      <c r="E533" s="110" t="s">
        <v>106</v>
      </c>
      <c r="F533" s="110">
        <v>2103.0</v>
      </c>
      <c r="G533" s="38" t="s">
        <v>43</v>
      </c>
      <c r="H533" s="110">
        <v>475.0</v>
      </c>
      <c r="I533" s="132">
        <v>205.7</v>
      </c>
      <c r="J533" s="132">
        <v>117.11</v>
      </c>
      <c r="K533" s="39">
        <f t="shared" si="1"/>
        <v>97707.5</v>
      </c>
      <c r="L533" s="39">
        <f t="shared" si="2"/>
        <v>55627.25</v>
      </c>
      <c r="M533" s="39">
        <f t="shared" si="3"/>
        <v>42080.25</v>
      </c>
      <c r="N533" s="38" t="str">
        <f>VLOOKUP(F533,products!$A$2:$B$13,2,FALSE)</f>
        <v>Cereal</v>
      </c>
      <c r="O533" s="133">
        <f t="shared" si="4"/>
        <v>0.5693242586</v>
      </c>
      <c r="P533" s="38" t="str">
        <f>VLOOKUP(E533,countries!A$2:E$250,3,false)</f>
        <v>Poland</v>
      </c>
      <c r="Q533" s="38" t="str">
        <f>VLOOKUP($E533,countries!$A$2:$E$250,4,false)</f>
        <v>Europe</v>
      </c>
      <c r="R533" s="38" t="str">
        <f>VLOOKUP($E533,countries!$A$2:$E$250,5,false)</f>
        <v>Eastern Europe</v>
      </c>
      <c r="S533" s="38">
        <f t="shared" si="5"/>
        <v>31</v>
      </c>
      <c r="T533" s="38" t="s">
        <v>144</v>
      </c>
      <c r="U533" s="38">
        <v>2011.0</v>
      </c>
      <c r="V533" s="38">
        <v>8.0</v>
      </c>
      <c r="W533" s="38" t="s">
        <v>106</v>
      </c>
      <c r="X533" s="38" t="s">
        <v>173</v>
      </c>
      <c r="Y533" s="38" t="s">
        <v>146</v>
      </c>
      <c r="Z533" s="38" t="s">
        <v>155</v>
      </c>
      <c r="AA533" s="113" t="str">
        <f t="array" ref="AA533">PROPER(G533)</f>
        <v>Online</v>
      </c>
    </row>
    <row r="534">
      <c r="A534" s="110">
        <v>4.55040681E8</v>
      </c>
      <c r="B534" s="131">
        <v>40940.0</v>
      </c>
      <c r="C534" s="131">
        <v>40941.0</v>
      </c>
      <c r="D534" s="110" t="s">
        <v>93</v>
      </c>
      <c r="E534" s="110" t="s">
        <v>97</v>
      </c>
      <c r="F534" s="110">
        <v>5988.0</v>
      </c>
      <c r="G534" s="38" t="s">
        <v>42</v>
      </c>
      <c r="H534" s="110">
        <v>5504.0</v>
      </c>
      <c r="I534" s="132">
        <v>154.06</v>
      </c>
      <c r="J534" s="132">
        <v>90.93</v>
      </c>
      <c r="K534" s="39">
        <f t="shared" si="1"/>
        <v>847946.24</v>
      </c>
      <c r="L534" s="39">
        <f t="shared" si="2"/>
        <v>500478.72</v>
      </c>
      <c r="M534" s="39">
        <f t="shared" si="3"/>
        <v>347467.52</v>
      </c>
      <c r="N534" s="38" t="str">
        <f>VLOOKUP(F534,products!$A$2:$B$13,2,FALSE)</f>
        <v>Vegetables</v>
      </c>
      <c r="O534" s="133">
        <f t="shared" si="4"/>
        <v>0.5902245878</v>
      </c>
      <c r="P534" s="38" t="str">
        <f>VLOOKUP(E534,countries!A$2:E$250,3,false)</f>
        <v>France</v>
      </c>
      <c r="Q534" s="38" t="str">
        <f>VLOOKUP($E534,countries!$A$2:$E$250,4,false)</f>
        <v>Europe</v>
      </c>
      <c r="R534" s="38" t="str">
        <f>VLOOKUP($E534,countries!$A$2:$E$250,5,false)</f>
        <v>Western Europe</v>
      </c>
      <c r="S534" s="38">
        <f t="shared" si="5"/>
        <v>1</v>
      </c>
      <c r="T534" s="38" t="s">
        <v>159</v>
      </c>
      <c r="U534" s="38">
        <v>2012.0</v>
      </c>
      <c r="V534" s="38">
        <v>2.0</v>
      </c>
      <c r="W534" s="38" t="s">
        <v>97</v>
      </c>
      <c r="X534" s="38" t="s">
        <v>157</v>
      </c>
      <c r="Y534" s="38" t="s">
        <v>146</v>
      </c>
      <c r="Z534" s="38" t="s">
        <v>158</v>
      </c>
      <c r="AA534" s="113" t="str">
        <f t="array" ref="AA534">PROPER(G534)</f>
        <v>Offline</v>
      </c>
    </row>
    <row r="535">
      <c r="A535" s="110">
        <v>4.56192958E8</v>
      </c>
      <c r="B535" s="131">
        <v>41839.0</v>
      </c>
      <c r="C535" s="131">
        <v>41869.0</v>
      </c>
      <c r="D535" s="110" t="s">
        <v>93</v>
      </c>
      <c r="E535" s="110" t="s">
        <v>119</v>
      </c>
      <c r="F535" s="110">
        <v>3127.0</v>
      </c>
      <c r="G535" s="38" t="s">
        <v>43</v>
      </c>
      <c r="H535" s="110">
        <v>6489.0</v>
      </c>
      <c r="I535" s="132">
        <v>81.73</v>
      </c>
      <c r="J535" s="132">
        <v>56.67</v>
      </c>
      <c r="K535" s="39">
        <f t="shared" si="1"/>
        <v>530345.97</v>
      </c>
      <c r="L535" s="39">
        <f t="shared" si="2"/>
        <v>367731.63</v>
      </c>
      <c r="M535" s="39">
        <f t="shared" si="3"/>
        <v>162614.34</v>
      </c>
      <c r="N535" s="38" t="str">
        <f>VLOOKUP(F535,products!$A$2:$B$13,2,FALSE)</f>
        <v>Personal Care</v>
      </c>
      <c r="O535" s="133">
        <f t="shared" si="4"/>
        <v>0.6933806436</v>
      </c>
      <c r="P535" s="38" t="str">
        <f>VLOOKUP(E535,countries!A$2:E$250,3,false)</f>
        <v>Macedonia</v>
      </c>
      <c r="Q535" s="38" t="str">
        <f>VLOOKUP($E535,countries!$A$2:$E$250,4,false)</f>
        <v>Europe</v>
      </c>
      <c r="R535" s="38" t="str">
        <f>VLOOKUP($E535,countries!$A$2:$E$250,5,false)</f>
        <v>Southern Europe</v>
      </c>
      <c r="S535" s="38">
        <f t="shared" si="5"/>
        <v>30</v>
      </c>
      <c r="T535" s="38" t="s">
        <v>185</v>
      </c>
      <c r="U535" s="38">
        <v>2014.0</v>
      </c>
      <c r="V535" s="38">
        <v>7.0</v>
      </c>
      <c r="W535" s="38" t="s">
        <v>119</v>
      </c>
      <c r="X535" s="38" t="s">
        <v>190</v>
      </c>
      <c r="Y535" s="38" t="s">
        <v>146</v>
      </c>
      <c r="Z535" s="38" t="s">
        <v>147</v>
      </c>
      <c r="AA535" s="113" t="str">
        <f t="array" ref="AA535">PROPER(G535)</f>
        <v>Online</v>
      </c>
    </row>
    <row r="536">
      <c r="A536" s="110">
        <v>4.56527268E8</v>
      </c>
      <c r="B536" s="131">
        <v>41244.0</v>
      </c>
      <c r="C536" s="131">
        <v>41245.0</v>
      </c>
      <c r="D536" s="110" t="s">
        <v>93</v>
      </c>
      <c r="E536" s="110" t="s">
        <v>109</v>
      </c>
      <c r="F536" s="110">
        <v>8681.0</v>
      </c>
      <c r="G536" s="38" t="s">
        <v>42</v>
      </c>
      <c r="H536" s="110">
        <v>5419.0</v>
      </c>
      <c r="I536" s="132">
        <v>651.21</v>
      </c>
      <c r="J536" s="132">
        <v>524.96</v>
      </c>
      <c r="K536" s="39">
        <f t="shared" si="1"/>
        <v>3528906.99</v>
      </c>
      <c r="L536" s="39">
        <f t="shared" si="2"/>
        <v>2844758.24</v>
      </c>
      <c r="M536" s="39">
        <f t="shared" si="3"/>
        <v>684148.75</v>
      </c>
      <c r="N536" s="38" t="str">
        <f>VLOOKUP(F536,products!$A$2:$B$13,2,FALSE)</f>
        <v>Office Supplies</v>
      </c>
      <c r="O536" s="133">
        <f t="shared" si="4"/>
        <v>0.806130127</v>
      </c>
      <c r="P536" s="38" t="str">
        <f>VLOOKUP(E536,countries!A$2:E$250,3,false)</f>
        <v>Belgium</v>
      </c>
      <c r="Q536" s="38" t="str">
        <f>VLOOKUP($E536,countries!$A$2:$E$250,4,false)</f>
        <v>Europe</v>
      </c>
      <c r="R536" s="38" t="str">
        <f>VLOOKUP($E536,countries!$A$2:$E$250,5,false)</f>
        <v>Western Europe</v>
      </c>
      <c r="S536" s="38">
        <f t="shared" si="5"/>
        <v>1</v>
      </c>
      <c r="T536" s="38" t="s">
        <v>153</v>
      </c>
      <c r="U536" s="38">
        <v>2012.0</v>
      </c>
      <c r="V536" s="38">
        <v>12.0</v>
      </c>
      <c r="W536" s="38" t="s">
        <v>109</v>
      </c>
      <c r="X536" s="38" t="s">
        <v>176</v>
      </c>
      <c r="Y536" s="38" t="s">
        <v>146</v>
      </c>
      <c r="Z536" s="38" t="s">
        <v>158</v>
      </c>
      <c r="AA536" s="113" t="str">
        <f t="array" ref="AA536">PROPER(G536)</f>
        <v>Offline</v>
      </c>
    </row>
    <row r="537">
      <c r="A537" s="110">
        <v>4.56934964E8</v>
      </c>
      <c r="B537" s="131">
        <v>40991.0</v>
      </c>
      <c r="C537" s="131">
        <v>41034.0</v>
      </c>
      <c r="D537" s="110" t="s">
        <v>93</v>
      </c>
      <c r="E537" s="110" t="s">
        <v>120</v>
      </c>
      <c r="F537" s="110">
        <v>8875.0</v>
      </c>
      <c r="G537" s="38" t="s">
        <v>42</v>
      </c>
      <c r="H537" s="110">
        <v>6065.0</v>
      </c>
      <c r="I537" s="132">
        <v>421.89</v>
      </c>
      <c r="J537" s="132">
        <v>364.69</v>
      </c>
      <c r="K537" s="39">
        <f t="shared" si="1"/>
        <v>2558762.85</v>
      </c>
      <c r="L537" s="39">
        <f t="shared" si="2"/>
        <v>2211844.85</v>
      </c>
      <c r="M537" s="39">
        <f t="shared" si="3"/>
        <v>346918</v>
      </c>
      <c r="N537" s="38" t="str">
        <f>VLOOKUP(F537,products!$A$2:$B$13,2,FALSE)</f>
        <v>Meat</v>
      </c>
      <c r="O537" s="133">
        <f t="shared" si="4"/>
        <v>0.8644196354</v>
      </c>
      <c r="P537" s="38" t="str">
        <f>VLOOKUP(E537,countries!A$2:E$250,3,false)</f>
        <v>San Marino</v>
      </c>
      <c r="Q537" s="38" t="str">
        <f>VLOOKUP($E537,countries!$A$2:$E$250,4,false)</f>
        <v>Europe</v>
      </c>
      <c r="R537" s="38" t="str">
        <f>VLOOKUP($E537,countries!$A$2:$E$250,5,false)</f>
        <v>Southern Europe</v>
      </c>
      <c r="S537" s="38">
        <f t="shared" si="5"/>
        <v>43</v>
      </c>
      <c r="T537" s="38" t="s">
        <v>167</v>
      </c>
      <c r="U537" s="38">
        <v>2012.0</v>
      </c>
      <c r="V537" s="38">
        <v>3.0</v>
      </c>
      <c r="W537" s="38" t="s">
        <v>120</v>
      </c>
      <c r="X537" s="38" t="s">
        <v>191</v>
      </c>
      <c r="Y537" s="38" t="s">
        <v>146</v>
      </c>
      <c r="Z537" s="38" t="s">
        <v>147</v>
      </c>
      <c r="AA537" s="113" t="str">
        <f t="array" ref="AA537">PROPER(G537)</f>
        <v>Offline</v>
      </c>
    </row>
    <row r="538">
      <c r="A538" s="110">
        <v>4.58816373E8</v>
      </c>
      <c r="B538" s="131">
        <v>42098.0</v>
      </c>
      <c r="C538" s="131">
        <v>42110.0</v>
      </c>
      <c r="D538" s="110" t="s">
        <v>93</v>
      </c>
      <c r="E538" s="110" t="e">
        <v>#N/A</v>
      </c>
      <c r="F538" s="110">
        <v>8681.0</v>
      </c>
      <c r="G538" s="38" t="s">
        <v>42</v>
      </c>
      <c r="H538" s="110">
        <v>2815.0</v>
      </c>
      <c r="I538" s="132">
        <v>651.21</v>
      </c>
      <c r="J538" s="132">
        <v>524.96</v>
      </c>
      <c r="K538" s="39">
        <f t="shared" si="1"/>
        <v>1833156.15</v>
      </c>
      <c r="L538" s="39">
        <f t="shared" si="2"/>
        <v>1477762.4</v>
      </c>
      <c r="M538" s="39">
        <f t="shared" si="3"/>
        <v>355393.75</v>
      </c>
      <c r="N538" s="38" t="str">
        <f>VLOOKUP(F538,products!$A$2:$B$13,2,FALSE)</f>
        <v>Office Supplies</v>
      </c>
      <c r="O538" s="133">
        <f t="shared" si="4"/>
        <v>0.806130127</v>
      </c>
      <c r="P538" s="38" t="str">
        <f>VLOOKUP(E538,countries!A$2:E$250,3,false)</f>
        <v>#N/A</v>
      </c>
      <c r="Q538" s="38" t="str">
        <f>VLOOKUP($E538,countries!$A$2:$E$250,4,false)</f>
        <v>#N/A</v>
      </c>
      <c r="R538" s="38" t="str">
        <f>VLOOKUP($E538,countries!$A$2:$E$250,5,false)</f>
        <v>#N/A</v>
      </c>
      <c r="S538" s="38">
        <f t="shared" si="5"/>
        <v>12</v>
      </c>
      <c r="T538" s="38" t="s">
        <v>153</v>
      </c>
      <c r="U538" s="38">
        <v>2015.0</v>
      </c>
      <c r="V538" s="38">
        <v>4.0</v>
      </c>
      <c r="W538" s="38" t="s">
        <v>92</v>
      </c>
      <c r="X538" s="38" t="s">
        <v>149</v>
      </c>
      <c r="Y538" s="38" t="s">
        <v>149</v>
      </c>
      <c r="Z538" s="38" t="s">
        <v>149</v>
      </c>
      <c r="AA538" s="113" t="str">
        <f t="array" ref="AA538">PROPER(G538)</f>
        <v>Offline</v>
      </c>
    </row>
    <row r="539">
      <c r="A539" s="110">
        <v>4.59277713E8</v>
      </c>
      <c r="B539" s="131">
        <v>41593.0</v>
      </c>
      <c r="C539" s="131">
        <v>41612.0</v>
      </c>
      <c r="D539" s="110" t="s">
        <v>89</v>
      </c>
      <c r="E539" s="110" t="s">
        <v>98</v>
      </c>
      <c r="F539" s="110">
        <v>8875.0</v>
      </c>
      <c r="G539" s="38" t="s">
        <v>43</v>
      </c>
      <c r="H539" s="110">
        <v>9336.0</v>
      </c>
      <c r="I539" s="132">
        <v>421.89</v>
      </c>
      <c r="J539" s="132">
        <v>364.69</v>
      </c>
      <c r="K539" s="39">
        <f t="shared" si="1"/>
        <v>3938765.04</v>
      </c>
      <c r="L539" s="39">
        <f t="shared" si="2"/>
        <v>3404745.84</v>
      </c>
      <c r="M539" s="39">
        <f t="shared" si="3"/>
        <v>534019.2</v>
      </c>
      <c r="N539" s="38" t="str">
        <f>VLOOKUP(F539,products!$A$2:$B$13,2,FALSE)</f>
        <v>Meat</v>
      </c>
      <c r="O539" s="133">
        <f t="shared" si="4"/>
        <v>0.8644196354</v>
      </c>
      <c r="P539" s="38" t="str">
        <f>VLOOKUP(E539,countries!A$2:E$250,3,false)</f>
        <v>Spain</v>
      </c>
      <c r="Q539" s="38" t="str">
        <f>VLOOKUP($E539,countries!$A$2:$E$250,4,false)</f>
        <v>Europe</v>
      </c>
      <c r="R539" s="38" t="str">
        <f>VLOOKUP($E539,countries!$A$2:$E$250,5,false)</f>
        <v>Southern Europe</v>
      </c>
      <c r="S539" s="38">
        <f t="shared" si="5"/>
        <v>19</v>
      </c>
      <c r="T539" s="38" t="s">
        <v>167</v>
      </c>
      <c r="U539" s="38">
        <v>2013.0</v>
      </c>
      <c r="V539" s="38">
        <v>11.0</v>
      </c>
      <c r="W539" s="38" t="s">
        <v>98</v>
      </c>
      <c r="X539" s="38" t="s">
        <v>160</v>
      </c>
      <c r="Y539" s="38" t="s">
        <v>146</v>
      </c>
      <c r="Z539" s="38" t="s">
        <v>147</v>
      </c>
      <c r="AA539" s="113" t="str">
        <f t="array" ref="AA539">PROPER(G539)</f>
        <v>Online</v>
      </c>
    </row>
    <row r="540">
      <c r="A540" s="110">
        <v>4.59372985E8</v>
      </c>
      <c r="B540" s="131">
        <v>40969.0</v>
      </c>
      <c r="C540" s="131">
        <v>40990.0</v>
      </c>
      <c r="D540" s="110" t="s">
        <v>95</v>
      </c>
      <c r="E540" s="110" t="s">
        <v>126</v>
      </c>
      <c r="F540" s="110">
        <v>7331.0</v>
      </c>
      <c r="G540" s="38" t="s">
        <v>42</v>
      </c>
      <c r="H540" s="110">
        <v>7529.0</v>
      </c>
      <c r="I540" s="132">
        <v>255.28</v>
      </c>
      <c r="J540" s="132">
        <v>159.42</v>
      </c>
      <c r="K540" s="39">
        <f t="shared" si="1"/>
        <v>1922003.12</v>
      </c>
      <c r="L540" s="39">
        <f t="shared" si="2"/>
        <v>1200273.18</v>
      </c>
      <c r="M540" s="39">
        <f t="shared" si="3"/>
        <v>721729.94</v>
      </c>
      <c r="N540" s="38" t="str">
        <f>VLOOKUP(F540,products!$A$2:$B$13,2,FALSE)</f>
        <v>Baby Food</v>
      </c>
      <c r="O540" s="133">
        <f t="shared" si="4"/>
        <v>0.6244907552</v>
      </c>
      <c r="P540" s="38" t="str">
        <f>VLOOKUP(E540,countries!A$2:E$250,3,false)</f>
        <v>Italy</v>
      </c>
      <c r="Q540" s="38" t="str">
        <f>VLOOKUP($E540,countries!$A$2:$E$250,4,false)</f>
        <v>Europe</v>
      </c>
      <c r="R540" s="38" t="str">
        <f>VLOOKUP($E540,countries!$A$2:$E$250,5,false)</f>
        <v>Southern Europe</v>
      </c>
      <c r="S540" s="38">
        <f t="shared" si="5"/>
        <v>21</v>
      </c>
      <c r="T540" s="38" t="s">
        <v>161</v>
      </c>
      <c r="U540" s="38">
        <v>2012.0</v>
      </c>
      <c r="V540" s="38">
        <v>3.0</v>
      </c>
      <c r="W540" s="38" t="s">
        <v>126</v>
      </c>
      <c r="X540" s="38" t="s">
        <v>197</v>
      </c>
      <c r="Y540" s="38" t="s">
        <v>146</v>
      </c>
      <c r="Z540" s="38" t="s">
        <v>147</v>
      </c>
      <c r="AA540" s="113" t="str">
        <f t="array" ref="AA540">PROPER(G540)</f>
        <v>Offline</v>
      </c>
    </row>
    <row r="541">
      <c r="A541" s="110">
        <v>4.60693061E8</v>
      </c>
      <c r="B541" s="131">
        <v>42763.0</v>
      </c>
      <c r="C541" s="131">
        <v>42791.0</v>
      </c>
      <c r="D541" s="110" t="s">
        <v>10</v>
      </c>
      <c r="E541" s="110" t="s">
        <v>102</v>
      </c>
      <c r="F541" s="110">
        <v>4594.0</v>
      </c>
      <c r="G541" s="38" t="s">
        <v>42</v>
      </c>
      <c r="H541" s="110">
        <v>8169.0</v>
      </c>
      <c r="I541" s="132">
        <v>9.33</v>
      </c>
      <c r="J541" s="132">
        <v>6.92</v>
      </c>
      <c r="K541" s="39">
        <f t="shared" si="1"/>
        <v>76216.77</v>
      </c>
      <c r="L541" s="39">
        <f t="shared" si="2"/>
        <v>56529.48</v>
      </c>
      <c r="M541" s="39">
        <f t="shared" si="3"/>
        <v>19687.29</v>
      </c>
      <c r="N541" s="38" t="str">
        <f>VLOOKUP(F541,products!$A$2:$B$13,2,FALSE)</f>
        <v>Fruits</v>
      </c>
      <c r="O541" s="133">
        <f t="shared" si="4"/>
        <v>0.741693462</v>
      </c>
      <c r="P541" s="38" t="str">
        <f>VLOOKUP(E541,countries!A$2:E$250,3,false)</f>
        <v>Georgia</v>
      </c>
      <c r="Q541" s="38" t="str">
        <f>VLOOKUP($E541,countries!$A$2:$E$250,4,false)</f>
        <v>Asia</v>
      </c>
      <c r="R541" s="38" t="str">
        <f>VLOOKUP($E541,countries!$A$2:$E$250,5,false)</f>
        <v>Western Asia</v>
      </c>
      <c r="S541" s="38">
        <f t="shared" si="5"/>
        <v>28</v>
      </c>
      <c r="T541" s="38" t="s">
        <v>156</v>
      </c>
      <c r="U541" s="38">
        <v>2017.0</v>
      </c>
      <c r="V541" s="38">
        <v>1.0</v>
      </c>
      <c r="W541" s="38" t="s">
        <v>102</v>
      </c>
      <c r="X541" s="38" t="s">
        <v>168</v>
      </c>
      <c r="Y541" s="38" t="s">
        <v>165</v>
      </c>
      <c r="Z541" s="38" t="s">
        <v>166</v>
      </c>
      <c r="AA541" s="113" t="str">
        <f t="array" ref="AA541">PROPER(G541)</f>
        <v>Offline</v>
      </c>
    </row>
    <row r="542">
      <c r="A542" s="110">
        <v>4.61445796E8</v>
      </c>
      <c r="B542" s="131">
        <v>42417.0</v>
      </c>
      <c r="C542" s="131">
        <v>42451.0</v>
      </c>
      <c r="D542" s="110" t="s">
        <v>93</v>
      </c>
      <c r="E542" s="110" t="e">
        <v>#N/A</v>
      </c>
      <c r="F542" s="110">
        <v>3127.0</v>
      </c>
      <c r="G542" s="38" t="s">
        <v>43</v>
      </c>
      <c r="H542" s="110">
        <v>920.0</v>
      </c>
      <c r="I542" s="132">
        <v>81.73</v>
      </c>
      <c r="J542" s="132">
        <v>56.67</v>
      </c>
      <c r="K542" s="39">
        <f t="shared" si="1"/>
        <v>75191.6</v>
      </c>
      <c r="L542" s="39">
        <f t="shared" si="2"/>
        <v>52136.4</v>
      </c>
      <c r="M542" s="39">
        <f t="shared" si="3"/>
        <v>23055.2</v>
      </c>
      <c r="N542" s="38" t="str">
        <f>VLOOKUP(F542,products!$A$2:$B$13,2,FALSE)</f>
        <v>Personal Care</v>
      </c>
      <c r="O542" s="133">
        <f t="shared" si="4"/>
        <v>0.6933806436</v>
      </c>
      <c r="P542" s="38" t="str">
        <f>VLOOKUP(E542,countries!A$2:E$250,3,false)</f>
        <v>#N/A</v>
      </c>
      <c r="Q542" s="38" t="str">
        <f>VLOOKUP($E542,countries!$A$2:$E$250,4,false)</f>
        <v>#N/A</v>
      </c>
      <c r="R542" s="38" t="str">
        <f>VLOOKUP($E542,countries!$A$2:$E$250,5,false)</f>
        <v>#N/A</v>
      </c>
      <c r="S542" s="38">
        <f t="shared" si="5"/>
        <v>34</v>
      </c>
      <c r="T542" s="38" t="s">
        <v>185</v>
      </c>
      <c r="U542" s="38">
        <v>2016.0</v>
      </c>
      <c r="V542" s="38">
        <v>2.0</v>
      </c>
      <c r="W542" s="38" t="s">
        <v>92</v>
      </c>
      <c r="X542" s="38" t="s">
        <v>149</v>
      </c>
      <c r="Y542" s="38" t="s">
        <v>149</v>
      </c>
      <c r="Z542" s="38" t="s">
        <v>149</v>
      </c>
      <c r="AA542" s="113" t="str">
        <f t="array" ref="AA542">PROPER(G542)</f>
        <v>Online</v>
      </c>
    </row>
    <row r="543">
      <c r="A543" s="110">
        <v>4.61917865E8</v>
      </c>
      <c r="B543" s="131">
        <v>42415.0</v>
      </c>
      <c r="C543" s="131">
        <v>42450.0</v>
      </c>
      <c r="D543" s="110" t="s">
        <v>10</v>
      </c>
      <c r="E543" s="110" t="s">
        <v>94</v>
      </c>
      <c r="F543" s="110">
        <v>7331.0</v>
      </c>
      <c r="G543" s="38" t="s">
        <v>42</v>
      </c>
      <c r="H543" s="110">
        <v>616.0</v>
      </c>
      <c r="I543" s="132">
        <v>255.28</v>
      </c>
      <c r="J543" s="132">
        <v>159.42</v>
      </c>
      <c r="K543" s="39">
        <f t="shared" si="1"/>
        <v>157252.48</v>
      </c>
      <c r="L543" s="39">
        <f t="shared" si="2"/>
        <v>98202.72</v>
      </c>
      <c r="M543" s="39">
        <f t="shared" si="3"/>
        <v>59049.76</v>
      </c>
      <c r="N543" s="38" t="str">
        <f>VLOOKUP(F543,products!$A$2:$B$13,2,FALSE)</f>
        <v>Baby Food</v>
      </c>
      <c r="O543" s="133">
        <f t="shared" si="4"/>
        <v>0.6244907552</v>
      </c>
      <c r="P543" s="38" t="str">
        <f>VLOOKUP(E543,countries!A$2:E$250,3,false)</f>
        <v>Montenegro</v>
      </c>
      <c r="Q543" s="38" t="str">
        <f>VLOOKUP($E543,countries!$A$2:$E$250,4,false)</f>
        <v>Europe</v>
      </c>
      <c r="R543" s="38" t="str">
        <f>VLOOKUP($E543,countries!$A$2:$E$250,5,false)</f>
        <v>Southern Europe</v>
      </c>
      <c r="S543" s="38">
        <f t="shared" si="5"/>
        <v>35</v>
      </c>
      <c r="T543" s="38" t="s">
        <v>161</v>
      </c>
      <c r="U543" s="38">
        <v>2016.0</v>
      </c>
      <c r="V543" s="38">
        <v>2.0</v>
      </c>
      <c r="W543" s="38" t="s">
        <v>94</v>
      </c>
      <c r="X543" s="38" t="s">
        <v>151</v>
      </c>
      <c r="Y543" s="38" t="s">
        <v>146</v>
      </c>
      <c r="Z543" s="38" t="s">
        <v>147</v>
      </c>
      <c r="AA543" s="113" t="str">
        <f t="array" ref="AA543">PROPER(G543)</f>
        <v>Offline</v>
      </c>
    </row>
    <row r="544">
      <c r="A544" s="110">
        <v>4.62561166E8</v>
      </c>
      <c r="B544" s="131">
        <v>41366.0</v>
      </c>
      <c r="C544" s="131">
        <v>41396.0</v>
      </c>
      <c r="D544" s="110" t="s">
        <v>95</v>
      </c>
      <c r="E544" s="110" t="s">
        <v>98</v>
      </c>
      <c r="F544" s="110">
        <v>8875.0</v>
      </c>
      <c r="G544" s="38" t="s">
        <v>43</v>
      </c>
      <c r="H544" s="110">
        <v>983.0</v>
      </c>
      <c r="I544" s="132">
        <v>421.89</v>
      </c>
      <c r="J544" s="132">
        <v>364.69</v>
      </c>
      <c r="K544" s="39">
        <f t="shared" si="1"/>
        <v>414717.87</v>
      </c>
      <c r="L544" s="39">
        <f t="shared" si="2"/>
        <v>358490.27</v>
      </c>
      <c r="M544" s="39">
        <f t="shared" si="3"/>
        <v>56227.6</v>
      </c>
      <c r="N544" s="38" t="str">
        <f>VLOOKUP(F544,products!$A$2:$B$13,2,FALSE)</f>
        <v>Meat</v>
      </c>
      <c r="O544" s="133">
        <f t="shared" si="4"/>
        <v>0.8644196354</v>
      </c>
      <c r="P544" s="38" t="str">
        <f>VLOOKUP(E544,countries!A$2:E$250,3,false)</f>
        <v>Spain</v>
      </c>
      <c r="Q544" s="38" t="str">
        <f>VLOOKUP($E544,countries!$A$2:$E$250,4,false)</f>
        <v>Europe</v>
      </c>
      <c r="R544" s="38" t="str">
        <f>VLOOKUP($E544,countries!$A$2:$E$250,5,false)</f>
        <v>Southern Europe</v>
      </c>
      <c r="S544" s="38">
        <f t="shared" si="5"/>
        <v>30</v>
      </c>
      <c r="T544" s="38" t="s">
        <v>167</v>
      </c>
      <c r="U544" s="38">
        <v>2013.0</v>
      </c>
      <c r="V544" s="38">
        <v>4.0</v>
      </c>
      <c r="W544" s="38" t="s">
        <v>98</v>
      </c>
      <c r="X544" s="38" t="s">
        <v>160</v>
      </c>
      <c r="Y544" s="38" t="s">
        <v>146</v>
      </c>
      <c r="Z544" s="38" t="s">
        <v>147</v>
      </c>
      <c r="AA544" s="113" t="str">
        <f t="array" ref="AA544">PROPER(G544)</f>
        <v>Online</v>
      </c>
    </row>
    <row r="545">
      <c r="A545" s="110">
        <v>4.63591134E8</v>
      </c>
      <c r="B545" s="131">
        <v>42618.0</v>
      </c>
      <c r="C545" s="131">
        <v>42644.0</v>
      </c>
      <c r="D545" s="110" t="s">
        <v>10</v>
      </c>
      <c r="E545" s="110" t="s">
        <v>107</v>
      </c>
      <c r="F545" s="110">
        <v>7940.0</v>
      </c>
      <c r="G545" s="38" t="s">
        <v>42</v>
      </c>
      <c r="H545" s="110">
        <v>5773.0</v>
      </c>
      <c r="I545" s="132">
        <v>668.27</v>
      </c>
      <c r="J545" s="132">
        <v>502.54</v>
      </c>
      <c r="K545" s="39">
        <f t="shared" si="1"/>
        <v>3857922.71</v>
      </c>
      <c r="L545" s="39">
        <f t="shared" si="2"/>
        <v>2901163.42</v>
      </c>
      <c r="M545" s="39">
        <f t="shared" si="3"/>
        <v>956759.29</v>
      </c>
      <c r="N545" s="38" t="str">
        <f>VLOOKUP(F545,products!$A$2:$B$13,2,FALSE)</f>
        <v>Household</v>
      </c>
      <c r="O545" s="133">
        <f t="shared" si="4"/>
        <v>0.7520014365</v>
      </c>
      <c r="P545" s="38" t="str">
        <f>VLOOKUP(E545,countries!A$2:E$250,3,false)</f>
        <v>Luxembourg</v>
      </c>
      <c r="Q545" s="38" t="str">
        <f>VLOOKUP($E545,countries!$A$2:$E$250,4,false)</f>
        <v>Europe</v>
      </c>
      <c r="R545" s="38" t="str">
        <f>VLOOKUP($E545,countries!$A$2:$E$250,5,false)</f>
        <v>Western Europe</v>
      </c>
      <c r="S545" s="38">
        <f t="shared" si="5"/>
        <v>26</v>
      </c>
      <c r="T545" s="38" t="s">
        <v>148</v>
      </c>
      <c r="U545" s="38">
        <v>2016.0</v>
      </c>
      <c r="V545" s="38">
        <v>9.0</v>
      </c>
      <c r="W545" s="38" t="s">
        <v>107</v>
      </c>
      <c r="X545" s="38" t="s">
        <v>174</v>
      </c>
      <c r="Y545" s="38" t="s">
        <v>146</v>
      </c>
      <c r="Z545" s="38" t="s">
        <v>158</v>
      </c>
      <c r="AA545" s="113" t="str">
        <f t="array" ref="AA545">PROPER(G545)</f>
        <v>Offline</v>
      </c>
    </row>
    <row r="546">
      <c r="A546" s="110">
        <v>4.6491121E8</v>
      </c>
      <c r="B546" s="131">
        <v>41646.0</v>
      </c>
      <c r="C546" s="131">
        <v>41680.0</v>
      </c>
      <c r="D546" s="110" t="s">
        <v>93</v>
      </c>
      <c r="E546" s="110" t="s">
        <v>126</v>
      </c>
      <c r="F546" s="110">
        <v>8969.0</v>
      </c>
      <c r="G546" s="38" t="s">
        <v>42</v>
      </c>
      <c r="H546" s="110">
        <v>6413.0</v>
      </c>
      <c r="I546" s="132">
        <v>152.58</v>
      </c>
      <c r="J546" s="132">
        <v>97.44</v>
      </c>
      <c r="K546" s="39">
        <f t="shared" si="1"/>
        <v>978495.54</v>
      </c>
      <c r="L546" s="39">
        <f t="shared" si="2"/>
        <v>624882.72</v>
      </c>
      <c r="M546" s="39">
        <f t="shared" si="3"/>
        <v>353612.82</v>
      </c>
      <c r="N546" s="38" t="str">
        <f>VLOOKUP(F546,products!$A$2:$B$13,2,FALSE)</f>
        <v>Snacks</v>
      </c>
      <c r="O546" s="133">
        <f t="shared" si="4"/>
        <v>0.6386158081</v>
      </c>
      <c r="P546" s="38" t="str">
        <f>VLOOKUP(E546,countries!A$2:E$250,3,false)</f>
        <v>Italy</v>
      </c>
      <c r="Q546" s="38" t="str">
        <f>VLOOKUP($E546,countries!$A$2:$E$250,4,false)</f>
        <v>Europe</v>
      </c>
      <c r="R546" s="38" t="str">
        <f>VLOOKUP($E546,countries!$A$2:$E$250,5,false)</f>
        <v>Southern Europe</v>
      </c>
      <c r="S546" s="38">
        <f t="shared" si="5"/>
        <v>34</v>
      </c>
      <c r="T546" s="38" t="s">
        <v>182</v>
      </c>
      <c r="U546" s="38">
        <v>2014.0</v>
      </c>
      <c r="V546" s="38">
        <v>1.0</v>
      </c>
      <c r="W546" s="38" t="s">
        <v>126</v>
      </c>
      <c r="X546" s="38" t="s">
        <v>197</v>
      </c>
      <c r="Y546" s="38" t="s">
        <v>146</v>
      </c>
      <c r="Z546" s="38" t="s">
        <v>147</v>
      </c>
      <c r="AA546" s="113" t="str">
        <f t="array" ref="AA546">PROPER(G546)</f>
        <v>Offline</v>
      </c>
    </row>
    <row r="547">
      <c r="A547" s="110">
        <v>4.65753209E8</v>
      </c>
      <c r="B547" s="131">
        <v>40616.0</v>
      </c>
      <c r="C547" s="131">
        <v>40616.0</v>
      </c>
      <c r="D547" s="110" t="s">
        <v>10</v>
      </c>
      <c r="E547" s="110" t="s">
        <v>100</v>
      </c>
      <c r="F547" s="110">
        <v>5988.0</v>
      </c>
      <c r="G547" s="38" t="s">
        <v>42</v>
      </c>
      <c r="H547" s="110">
        <v>5579.0</v>
      </c>
      <c r="I547" s="132">
        <v>154.06</v>
      </c>
      <c r="J547" s="132">
        <v>90.93</v>
      </c>
      <c r="K547" s="39">
        <f t="shared" si="1"/>
        <v>859500.74</v>
      </c>
      <c r="L547" s="39">
        <f t="shared" si="2"/>
        <v>507298.47</v>
      </c>
      <c r="M547" s="39">
        <f t="shared" si="3"/>
        <v>352202.27</v>
      </c>
      <c r="N547" s="38" t="str">
        <f>VLOOKUP(F547,products!$A$2:$B$13,2,FALSE)</f>
        <v>Vegetables</v>
      </c>
      <c r="O547" s="133">
        <f t="shared" si="4"/>
        <v>0.5902245878</v>
      </c>
      <c r="P547" s="38" t="str">
        <f>VLOOKUP(E547,countries!A$2:E$250,3,false)</f>
        <v>Germany</v>
      </c>
      <c r="Q547" s="38" t="str">
        <f>VLOOKUP($E547,countries!$A$2:$E$250,4,false)</f>
        <v>Europe</v>
      </c>
      <c r="R547" s="38" t="str">
        <f>VLOOKUP($E547,countries!$A$2:$E$250,5,false)</f>
        <v>Western Europe</v>
      </c>
      <c r="S547" s="38">
        <f t="shared" si="5"/>
        <v>0</v>
      </c>
      <c r="T547" s="38" t="s">
        <v>159</v>
      </c>
      <c r="U547" s="38">
        <v>2011.0</v>
      </c>
      <c r="V547" s="38">
        <v>3.0</v>
      </c>
      <c r="W547" s="38" t="s">
        <v>100</v>
      </c>
      <c r="X547" s="38" t="s">
        <v>163</v>
      </c>
      <c r="Y547" s="38" t="s">
        <v>146</v>
      </c>
      <c r="Z547" s="38" t="s">
        <v>158</v>
      </c>
      <c r="AA547" s="113" t="str">
        <f t="array" ref="AA547">PROPER(G547)</f>
        <v>Offline</v>
      </c>
    </row>
    <row r="548">
      <c r="A548" s="110">
        <v>4.66517961E8</v>
      </c>
      <c r="B548" s="131">
        <v>40391.0</v>
      </c>
      <c r="C548" s="131">
        <v>40428.0</v>
      </c>
      <c r="D548" s="110" t="s">
        <v>93</v>
      </c>
      <c r="E548" s="110" t="s">
        <v>116</v>
      </c>
      <c r="F548" s="110">
        <v>4594.0</v>
      </c>
      <c r="G548" s="38" t="s">
        <v>43</v>
      </c>
      <c r="H548" s="110">
        <v>1886.0</v>
      </c>
      <c r="I548" s="132">
        <v>9.33</v>
      </c>
      <c r="J548" s="132">
        <v>6.92</v>
      </c>
      <c r="K548" s="39">
        <f t="shared" si="1"/>
        <v>17596.38</v>
      </c>
      <c r="L548" s="39">
        <f t="shared" si="2"/>
        <v>13051.12</v>
      </c>
      <c r="M548" s="39">
        <f t="shared" si="3"/>
        <v>4545.26</v>
      </c>
      <c r="N548" s="38" t="str">
        <f>VLOOKUP(F548,products!$A$2:$B$13,2,FALSE)</f>
        <v>Fruits</v>
      </c>
      <c r="O548" s="133">
        <f t="shared" si="4"/>
        <v>0.741693462</v>
      </c>
      <c r="P548" s="38" t="str">
        <f>VLOOKUP(E548,countries!A$2:E$250,3,false)</f>
        <v>Belarus</v>
      </c>
      <c r="Q548" s="38" t="str">
        <f>VLOOKUP($E548,countries!$A$2:$E$250,4,false)</f>
        <v>Europe</v>
      </c>
      <c r="R548" s="38" t="str">
        <f>VLOOKUP($E548,countries!$A$2:$E$250,5,false)</f>
        <v>Eastern Europe</v>
      </c>
      <c r="S548" s="38">
        <f t="shared" si="5"/>
        <v>37</v>
      </c>
      <c r="T548" s="38" t="s">
        <v>156</v>
      </c>
      <c r="U548" s="38">
        <v>2010.0</v>
      </c>
      <c r="V548" s="38">
        <v>8.0</v>
      </c>
      <c r="W548" s="38" t="s">
        <v>116</v>
      </c>
      <c r="X548" s="38" t="s">
        <v>187</v>
      </c>
      <c r="Y548" s="38" t="s">
        <v>146</v>
      </c>
      <c r="Z548" s="38" t="s">
        <v>155</v>
      </c>
      <c r="AA548" s="113" t="str">
        <f t="array" ref="AA548">PROPER(G548)</f>
        <v>Online</v>
      </c>
    </row>
    <row r="549">
      <c r="A549" s="110">
        <v>4.66988742E8</v>
      </c>
      <c r="B549" s="131">
        <v>40771.0</v>
      </c>
      <c r="C549" s="131">
        <v>40771.0</v>
      </c>
      <c r="D549" s="110" t="s">
        <v>89</v>
      </c>
      <c r="E549" s="110" t="s">
        <v>112</v>
      </c>
      <c r="F549" s="110">
        <v>3127.0</v>
      </c>
      <c r="G549" s="38" t="s">
        <v>42</v>
      </c>
      <c r="H549" s="110">
        <v>1201.0</v>
      </c>
      <c r="I549" s="132">
        <v>81.73</v>
      </c>
      <c r="J549" s="132">
        <v>56.67</v>
      </c>
      <c r="K549" s="39">
        <f t="shared" si="1"/>
        <v>98157.73</v>
      </c>
      <c r="L549" s="39">
        <f t="shared" si="2"/>
        <v>68060.67</v>
      </c>
      <c r="M549" s="39">
        <f t="shared" si="3"/>
        <v>30097.06</v>
      </c>
      <c r="N549" s="38" t="str">
        <f>VLOOKUP(F549,products!$A$2:$B$13,2,FALSE)</f>
        <v>Personal Care</v>
      </c>
      <c r="O549" s="133">
        <f t="shared" si="4"/>
        <v>0.6933806436</v>
      </c>
      <c r="P549" s="38" t="str">
        <f>VLOOKUP(E549,countries!A$2:E$250,3,false)</f>
        <v>Malta</v>
      </c>
      <c r="Q549" s="38" t="str">
        <f>VLOOKUP($E549,countries!$A$2:$E$250,4,false)</f>
        <v>Europe</v>
      </c>
      <c r="R549" s="38" t="str">
        <f>VLOOKUP($E549,countries!$A$2:$E$250,5,false)</f>
        <v>Southern Europe</v>
      </c>
      <c r="S549" s="38">
        <f t="shared" si="5"/>
        <v>0</v>
      </c>
      <c r="T549" s="38" t="s">
        <v>185</v>
      </c>
      <c r="U549" s="38">
        <v>2011.0</v>
      </c>
      <c r="V549" s="38">
        <v>8.0</v>
      </c>
      <c r="W549" s="38" t="s">
        <v>112</v>
      </c>
      <c r="X549" s="38" t="s">
        <v>180</v>
      </c>
      <c r="Y549" s="38" t="s">
        <v>146</v>
      </c>
      <c r="Z549" s="38" t="s">
        <v>147</v>
      </c>
      <c r="AA549" s="113" t="str">
        <f t="array" ref="AA549">PROPER(G549)</f>
        <v>Offline</v>
      </c>
    </row>
    <row r="550">
      <c r="A550" s="110">
        <v>4.67045819E8</v>
      </c>
      <c r="B550" s="131">
        <v>41344.0</v>
      </c>
      <c r="C550" s="131">
        <v>41376.0</v>
      </c>
      <c r="D550" s="110" t="s">
        <v>89</v>
      </c>
      <c r="E550" s="110" t="e">
        <v>#N/A</v>
      </c>
      <c r="F550" s="110">
        <v>3127.0</v>
      </c>
      <c r="G550" s="38" t="s">
        <v>43</v>
      </c>
      <c r="H550" s="110">
        <v>8092.0</v>
      </c>
      <c r="I550" s="132">
        <v>81.73</v>
      </c>
      <c r="J550" s="132">
        <v>56.67</v>
      </c>
      <c r="K550" s="39">
        <f t="shared" si="1"/>
        <v>661359.16</v>
      </c>
      <c r="L550" s="39">
        <f t="shared" si="2"/>
        <v>458573.64</v>
      </c>
      <c r="M550" s="39">
        <f t="shared" si="3"/>
        <v>202785.52</v>
      </c>
      <c r="N550" s="38" t="str">
        <f>VLOOKUP(F550,products!$A$2:$B$13,2,FALSE)</f>
        <v>Personal Care</v>
      </c>
      <c r="O550" s="133">
        <f t="shared" si="4"/>
        <v>0.6933806436</v>
      </c>
      <c r="P550" s="38" t="str">
        <f>VLOOKUP(E550,countries!A$2:E$250,3,false)</f>
        <v>#N/A</v>
      </c>
      <c r="Q550" s="38" t="str">
        <f>VLOOKUP($E550,countries!$A$2:$E$250,4,false)</f>
        <v>#N/A</v>
      </c>
      <c r="R550" s="38" t="str">
        <f>VLOOKUP($E550,countries!$A$2:$E$250,5,false)</f>
        <v>#N/A</v>
      </c>
      <c r="S550" s="38">
        <f t="shared" si="5"/>
        <v>32</v>
      </c>
      <c r="T550" s="38" t="s">
        <v>185</v>
      </c>
      <c r="U550" s="38">
        <v>2013.0</v>
      </c>
      <c r="V550" s="38">
        <v>3.0</v>
      </c>
      <c r="W550" s="38" t="s">
        <v>92</v>
      </c>
      <c r="X550" s="38" t="s">
        <v>149</v>
      </c>
      <c r="Y550" s="38" t="s">
        <v>149</v>
      </c>
      <c r="Z550" s="38" t="s">
        <v>149</v>
      </c>
      <c r="AA550" s="113" t="str">
        <f t="array" ref="AA550">PROPER(G550)</f>
        <v>Online</v>
      </c>
    </row>
    <row r="551">
      <c r="A551" s="110">
        <v>4.67138516E8</v>
      </c>
      <c r="B551" s="131">
        <v>41485.0</v>
      </c>
      <c r="C551" s="131">
        <v>41494.0</v>
      </c>
      <c r="D551" s="110" t="s">
        <v>95</v>
      </c>
      <c r="E551" s="110" t="s">
        <v>120</v>
      </c>
      <c r="F551" s="110">
        <v>2455.0</v>
      </c>
      <c r="G551" s="38" t="s">
        <v>43</v>
      </c>
      <c r="H551" s="110">
        <v>5523.0</v>
      </c>
      <c r="I551" s="132">
        <v>109.28</v>
      </c>
      <c r="J551" s="132">
        <v>35.84</v>
      </c>
      <c r="K551" s="39">
        <f t="shared" si="1"/>
        <v>603553.44</v>
      </c>
      <c r="L551" s="39">
        <f t="shared" si="2"/>
        <v>197944.32</v>
      </c>
      <c r="M551" s="39">
        <f t="shared" si="3"/>
        <v>405609.12</v>
      </c>
      <c r="N551" s="38" t="str">
        <f>VLOOKUP(F551,products!$A$2:$B$13,2,FALSE)</f>
        <v>Clothes</v>
      </c>
      <c r="O551" s="133">
        <f t="shared" si="4"/>
        <v>0.3279648609</v>
      </c>
      <c r="P551" s="38" t="str">
        <f>VLOOKUP(E551,countries!A$2:E$250,3,false)</f>
        <v>San Marino</v>
      </c>
      <c r="Q551" s="38" t="str">
        <f>VLOOKUP($E551,countries!$A$2:$E$250,4,false)</f>
        <v>Europe</v>
      </c>
      <c r="R551" s="38" t="str">
        <f>VLOOKUP($E551,countries!$A$2:$E$250,5,false)</f>
        <v>Southern Europe</v>
      </c>
      <c r="S551" s="38">
        <f t="shared" si="5"/>
        <v>9</v>
      </c>
      <c r="T551" s="38" t="s">
        <v>150</v>
      </c>
      <c r="U551" s="38">
        <v>2013.0</v>
      </c>
      <c r="V551" s="38">
        <v>7.0</v>
      </c>
      <c r="W551" s="38" t="s">
        <v>120</v>
      </c>
      <c r="X551" s="38" t="s">
        <v>191</v>
      </c>
      <c r="Y551" s="38" t="s">
        <v>146</v>
      </c>
      <c r="Z551" s="38" t="s">
        <v>147</v>
      </c>
      <c r="AA551" s="113" t="str">
        <f t="array" ref="AA551">PROPER(G551)</f>
        <v>Online</v>
      </c>
    </row>
    <row r="552">
      <c r="A552" s="110">
        <v>4.67312324E8</v>
      </c>
      <c r="B552" s="131">
        <v>42439.0</v>
      </c>
      <c r="C552" s="131">
        <v>42468.0</v>
      </c>
      <c r="D552" s="110" t="s">
        <v>10</v>
      </c>
      <c r="E552" s="110" t="s">
        <v>114</v>
      </c>
      <c r="F552" s="110">
        <v>7331.0</v>
      </c>
      <c r="G552" s="38" t="s">
        <v>43</v>
      </c>
      <c r="H552" s="110">
        <v>6956.0</v>
      </c>
      <c r="I552" s="132">
        <v>255.28</v>
      </c>
      <c r="J552" s="132">
        <v>159.42</v>
      </c>
      <c r="K552" s="39">
        <f t="shared" si="1"/>
        <v>1775727.68</v>
      </c>
      <c r="L552" s="39">
        <f t="shared" si="2"/>
        <v>1108925.52</v>
      </c>
      <c r="M552" s="39">
        <f t="shared" si="3"/>
        <v>666802.16</v>
      </c>
      <c r="N552" s="38" t="str">
        <f>VLOOKUP(F552,products!$A$2:$B$13,2,FALSE)</f>
        <v>Baby Food</v>
      </c>
      <c r="O552" s="133">
        <f t="shared" si="4"/>
        <v>0.6244907552</v>
      </c>
      <c r="P552" s="38" t="str">
        <f>VLOOKUP(E552,countries!A$2:E$250,3,false)</f>
        <v>Czech Republic</v>
      </c>
      <c r="Q552" s="38" t="str">
        <f>VLOOKUP($E552,countries!$A$2:$E$250,4,false)</f>
        <v>Europe</v>
      </c>
      <c r="R552" s="38" t="str">
        <f>VLOOKUP($E552,countries!$A$2:$E$250,5,false)</f>
        <v>Eastern Europe</v>
      </c>
      <c r="S552" s="38">
        <f t="shared" si="5"/>
        <v>29</v>
      </c>
      <c r="T552" s="38" t="s">
        <v>161</v>
      </c>
      <c r="U552" s="38">
        <v>2016.0</v>
      </c>
      <c r="V552" s="38">
        <v>3.0</v>
      </c>
      <c r="W552" s="38" t="s">
        <v>114</v>
      </c>
      <c r="X552" s="38" t="s">
        <v>184</v>
      </c>
      <c r="Y552" s="38" t="s">
        <v>146</v>
      </c>
      <c r="Z552" s="38" t="s">
        <v>155</v>
      </c>
      <c r="AA552" s="113" t="str">
        <f t="array" ref="AA552">PROPER(G552)</f>
        <v>Online</v>
      </c>
    </row>
    <row r="553">
      <c r="A553" s="110">
        <v>4.67924726E8</v>
      </c>
      <c r="B553" s="131">
        <v>42265.0</v>
      </c>
      <c r="C553" s="131">
        <v>42297.0</v>
      </c>
      <c r="D553" s="110" t="s">
        <v>10</v>
      </c>
      <c r="E553" s="110" t="s">
        <v>123</v>
      </c>
      <c r="F553" s="110">
        <v>8681.0</v>
      </c>
      <c r="G553" s="38" t="s">
        <v>42</v>
      </c>
      <c r="H553" s="110">
        <v>8179.0</v>
      </c>
      <c r="I553" s="132">
        <v>651.21</v>
      </c>
      <c r="J553" s="132">
        <v>524.96</v>
      </c>
      <c r="K553" s="39">
        <f t="shared" si="1"/>
        <v>5326246.59</v>
      </c>
      <c r="L553" s="39">
        <f t="shared" si="2"/>
        <v>4293647.84</v>
      </c>
      <c r="M553" s="39">
        <f t="shared" si="3"/>
        <v>1032598.75</v>
      </c>
      <c r="N553" s="38" t="str">
        <f>VLOOKUP(F553,products!$A$2:$B$13,2,FALSE)</f>
        <v>Office Supplies</v>
      </c>
      <c r="O553" s="133">
        <f t="shared" si="4"/>
        <v>0.806130127</v>
      </c>
      <c r="P553" s="38" t="str">
        <f>VLOOKUP(E553,countries!A$2:E$250,3,false)</f>
        <v>Hungary</v>
      </c>
      <c r="Q553" s="38" t="str">
        <f>VLOOKUP($E553,countries!$A$2:$E$250,4,false)</f>
        <v>Europe</v>
      </c>
      <c r="R553" s="38" t="str">
        <f>VLOOKUP($E553,countries!$A$2:$E$250,5,false)</f>
        <v>Eastern Europe</v>
      </c>
      <c r="S553" s="38">
        <f t="shared" si="5"/>
        <v>32</v>
      </c>
      <c r="T553" s="38" t="s">
        <v>153</v>
      </c>
      <c r="U553" s="38">
        <v>2015.0</v>
      </c>
      <c r="V553" s="38">
        <v>9.0</v>
      </c>
      <c r="W553" s="38" t="s">
        <v>123</v>
      </c>
      <c r="X553" s="38" t="s">
        <v>194</v>
      </c>
      <c r="Y553" s="38" t="s">
        <v>146</v>
      </c>
      <c r="Z553" s="38" t="s">
        <v>155</v>
      </c>
      <c r="AA553" s="113" t="str">
        <f t="array" ref="AA553">PROPER(G553)</f>
        <v>Offline</v>
      </c>
    </row>
    <row r="554">
      <c r="A554" s="110">
        <v>4.68320834E8</v>
      </c>
      <c r="B554" s="131">
        <v>42686.0</v>
      </c>
      <c r="C554" s="131">
        <v>42725.0</v>
      </c>
      <c r="D554" s="110" t="s">
        <v>89</v>
      </c>
      <c r="E554" s="110" t="s">
        <v>118</v>
      </c>
      <c r="F554" s="110">
        <v>5988.0</v>
      </c>
      <c r="G554" s="38" t="s">
        <v>42</v>
      </c>
      <c r="H554" s="110">
        <v>5397.0</v>
      </c>
      <c r="I554" s="132">
        <v>154.06</v>
      </c>
      <c r="J554" s="132">
        <v>90.93</v>
      </c>
      <c r="K554" s="39">
        <f t="shared" si="1"/>
        <v>831461.82</v>
      </c>
      <c r="L554" s="39">
        <f t="shared" si="2"/>
        <v>490749.21</v>
      </c>
      <c r="M554" s="39">
        <f t="shared" si="3"/>
        <v>340712.61</v>
      </c>
      <c r="N554" s="38" t="str">
        <f>VLOOKUP(F554,products!$A$2:$B$13,2,FALSE)</f>
        <v>Vegetables</v>
      </c>
      <c r="O554" s="133">
        <f t="shared" si="4"/>
        <v>0.5902245878</v>
      </c>
      <c r="P554" s="38" t="str">
        <f>VLOOKUP(E554,countries!A$2:E$250,3,false)</f>
        <v>Austria</v>
      </c>
      <c r="Q554" s="38" t="str">
        <f>VLOOKUP($E554,countries!$A$2:$E$250,4,false)</f>
        <v>Europe</v>
      </c>
      <c r="R554" s="38" t="str">
        <f>VLOOKUP($E554,countries!$A$2:$E$250,5,false)</f>
        <v>Western Europe</v>
      </c>
      <c r="S554" s="38">
        <f t="shared" si="5"/>
        <v>39</v>
      </c>
      <c r="T554" s="38" t="s">
        <v>159</v>
      </c>
      <c r="U554" s="38">
        <v>2016.0</v>
      </c>
      <c r="V554" s="38">
        <v>11.0</v>
      </c>
      <c r="W554" s="38" t="s">
        <v>118</v>
      </c>
      <c r="X554" s="38" t="s">
        <v>189</v>
      </c>
      <c r="Y554" s="38" t="s">
        <v>146</v>
      </c>
      <c r="Z554" s="38" t="s">
        <v>158</v>
      </c>
      <c r="AA554" s="113" t="str">
        <f t="array" ref="AA554">PROPER(G554)</f>
        <v>Offline</v>
      </c>
    </row>
    <row r="555">
      <c r="A555" s="110">
        <v>4.68803632E8</v>
      </c>
      <c r="B555" s="131">
        <v>40421.0</v>
      </c>
      <c r="C555" s="131">
        <v>40453.0</v>
      </c>
      <c r="D555" s="110" t="s">
        <v>93</v>
      </c>
      <c r="E555" s="110" t="s">
        <v>125</v>
      </c>
      <c r="F555" s="110">
        <v>4594.0</v>
      </c>
      <c r="G555" s="38" t="s">
        <v>43</v>
      </c>
      <c r="H555" s="110">
        <v>8267.0</v>
      </c>
      <c r="I555" s="132">
        <v>9.33</v>
      </c>
      <c r="J555" s="132">
        <v>6.92</v>
      </c>
      <c r="K555" s="39">
        <f t="shared" si="1"/>
        <v>77131.11</v>
      </c>
      <c r="L555" s="39">
        <f t="shared" si="2"/>
        <v>57207.64</v>
      </c>
      <c r="M555" s="39">
        <f t="shared" si="3"/>
        <v>19923.47</v>
      </c>
      <c r="N555" s="38" t="str">
        <f>VLOOKUP(F555,products!$A$2:$B$13,2,FALSE)</f>
        <v>Fruits</v>
      </c>
      <c r="O555" s="133">
        <f t="shared" si="4"/>
        <v>0.741693462</v>
      </c>
      <c r="P555" s="38" t="str">
        <f>VLOOKUP(E555,countries!A$2:E$250,3,false)</f>
        <v>Bulgaria</v>
      </c>
      <c r="Q555" s="38" t="str">
        <f>VLOOKUP($E555,countries!$A$2:$E$250,4,false)</f>
        <v>Europe</v>
      </c>
      <c r="R555" s="38" t="str">
        <f>VLOOKUP($E555,countries!$A$2:$E$250,5,false)</f>
        <v>Eastern Europe</v>
      </c>
      <c r="S555" s="38">
        <f t="shared" si="5"/>
        <v>32</v>
      </c>
      <c r="T555" s="38" t="s">
        <v>156</v>
      </c>
      <c r="U555" s="38">
        <v>2010.0</v>
      </c>
      <c r="V555" s="38">
        <v>8.0</v>
      </c>
      <c r="W555" s="38" t="s">
        <v>125</v>
      </c>
      <c r="X555" s="38" t="s">
        <v>196</v>
      </c>
      <c r="Y555" s="38" t="s">
        <v>146</v>
      </c>
      <c r="Z555" s="38" t="s">
        <v>155</v>
      </c>
      <c r="AA555" s="113" t="str">
        <f t="array" ref="AA555">PROPER(G555)</f>
        <v>Online</v>
      </c>
    </row>
    <row r="556">
      <c r="A556" s="110">
        <v>4.69129359E8</v>
      </c>
      <c r="B556" s="131">
        <v>40530.0</v>
      </c>
      <c r="C556" s="131">
        <v>40569.0</v>
      </c>
      <c r="D556" s="110" t="s">
        <v>89</v>
      </c>
      <c r="E556" s="110" t="s">
        <v>107</v>
      </c>
      <c r="F556" s="110">
        <v>8875.0</v>
      </c>
      <c r="G556" s="38" t="s">
        <v>42</v>
      </c>
      <c r="H556" s="110">
        <v>4657.0</v>
      </c>
      <c r="I556" s="132">
        <v>421.89</v>
      </c>
      <c r="J556" s="132">
        <v>364.69</v>
      </c>
      <c r="K556" s="39">
        <f t="shared" si="1"/>
        <v>1964741.73</v>
      </c>
      <c r="L556" s="39">
        <f t="shared" si="2"/>
        <v>1698361.33</v>
      </c>
      <c r="M556" s="39">
        <f t="shared" si="3"/>
        <v>266380.4</v>
      </c>
      <c r="N556" s="38" t="str">
        <f>VLOOKUP(F556,products!$A$2:$B$13,2,FALSE)</f>
        <v>Meat</v>
      </c>
      <c r="O556" s="133">
        <f t="shared" si="4"/>
        <v>0.8644196354</v>
      </c>
      <c r="P556" s="38" t="str">
        <f>VLOOKUP(E556,countries!A$2:E$250,3,false)</f>
        <v>Luxembourg</v>
      </c>
      <c r="Q556" s="38" t="str">
        <f>VLOOKUP($E556,countries!$A$2:$E$250,4,false)</f>
        <v>Europe</v>
      </c>
      <c r="R556" s="38" t="str">
        <f>VLOOKUP($E556,countries!$A$2:$E$250,5,false)</f>
        <v>Western Europe</v>
      </c>
      <c r="S556" s="38">
        <f t="shared" si="5"/>
        <v>39</v>
      </c>
      <c r="T556" s="38" t="s">
        <v>167</v>
      </c>
      <c r="U556" s="38">
        <v>2010.0</v>
      </c>
      <c r="V556" s="38">
        <v>12.0</v>
      </c>
      <c r="W556" s="38" t="s">
        <v>107</v>
      </c>
      <c r="X556" s="38" t="s">
        <v>174</v>
      </c>
      <c r="Y556" s="38" t="s">
        <v>146</v>
      </c>
      <c r="Z556" s="38" t="s">
        <v>158</v>
      </c>
      <c r="AA556" s="113" t="str">
        <f t="array" ref="AA556">PROPER(G556)</f>
        <v>Offline</v>
      </c>
    </row>
    <row r="557">
      <c r="A557" s="110">
        <v>4.69144809E8</v>
      </c>
      <c r="B557" s="131">
        <v>41475.0</v>
      </c>
      <c r="C557" s="131">
        <v>41510.0</v>
      </c>
      <c r="D557" s="110" t="s">
        <v>89</v>
      </c>
      <c r="E557" s="110" t="s">
        <v>112</v>
      </c>
      <c r="F557" s="110">
        <v>2103.0</v>
      </c>
      <c r="G557" s="38" t="s">
        <v>42</v>
      </c>
      <c r="H557" s="110">
        <v>9229.0</v>
      </c>
      <c r="I557" s="132">
        <v>205.7</v>
      </c>
      <c r="J557" s="132">
        <v>117.11</v>
      </c>
      <c r="K557" s="39">
        <f t="shared" si="1"/>
        <v>1898405.3</v>
      </c>
      <c r="L557" s="39">
        <f t="shared" si="2"/>
        <v>1080808.19</v>
      </c>
      <c r="M557" s="39">
        <f t="shared" si="3"/>
        <v>817597.11</v>
      </c>
      <c r="N557" s="38" t="str">
        <f>VLOOKUP(F557,products!$A$2:$B$13,2,FALSE)</f>
        <v>Cereal</v>
      </c>
      <c r="O557" s="133">
        <f t="shared" si="4"/>
        <v>0.5693242586</v>
      </c>
      <c r="P557" s="38" t="str">
        <f>VLOOKUP(E557,countries!A$2:E$250,3,false)</f>
        <v>Malta</v>
      </c>
      <c r="Q557" s="38" t="str">
        <f>VLOOKUP($E557,countries!$A$2:$E$250,4,false)</f>
        <v>Europe</v>
      </c>
      <c r="R557" s="38" t="str">
        <f>VLOOKUP($E557,countries!$A$2:$E$250,5,false)</f>
        <v>Southern Europe</v>
      </c>
      <c r="S557" s="38">
        <f t="shared" si="5"/>
        <v>35</v>
      </c>
      <c r="T557" s="38" t="s">
        <v>144</v>
      </c>
      <c r="U557" s="38">
        <v>2013.0</v>
      </c>
      <c r="V557" s="38">
        <v>7.0</v>
      </c>
      <c r="W557" s="38" t="s">
        <v>112</v>
      </c>
      <c r="X557" s="38" t="s">
        <v>180</v>
      </c>
      <c r="Y557" s="38" t="s">
        <v>146</v>
      </c>
      <c r="Z557" s="38" t="s">
        <v>147</v>
      </c>
      <c r="AA557" s="113" t="str">
        <f t="array" ref="AA557">PROPER(G557)</f>
        <v>Offline</v>
      </c>
    </row>
    <row r="558">
      <c r="A558" s="110">
        <v>4.69197165E8</v>
      </c>
      <c r="B558" s="131">
        <v>41605.0</v>
      </c>
      <c r="C558" s="131">
        <v>41619.0</v>
      </c>
      <c r="D558" s="110" t="s">
        <v>10</v>
      </c>
      <c r="E558" s="110" t="s">
        <v>124</v>
      </c>
      <c r="F558" s="110">
        <v>1270.0</v>
      </c>
      <c r="G558" s="38" t="s">
        <v>43</v>
      </c>
      <c r="H558" s="110">
        <v>4723.0</v>
      </c>
      <c r="I558" s="132">
        <v>47.45</v>
      </c>
      <c r="J558" s="132">
        <v>31.79</v>
      </c>
      <c r="K558" s="39">
        <f t="shared" si="1"/>
        <v>224106.35</v>
      </c>
      <c r="L558" s="39">
        <f t="shared" si="2"/>
        <v>150144.17</v>
      </c>
      <c r="M558" s="39">
        <f t="shared" si="3"/>
        <v>73962.18</v>
      </c>
      <c r="N558" s="38" t="str">
        <f>VLOOKUP(F558,products!$A$2:$B$13,2,FALSE)</f>
        <v>Beverages</v>
      </c>
      <c r="O558" s="133">
        <f t="shared" si="4"/>
        <v>0.6699683878</v>
      </c>
      <c r="P558" s="38" t="str">
        <f>VLOOKUP(E558,countries!A$2:E$250,3,false)</f>
        <v>Latvia</v>
      </c>
      <c r="Q558" s="38" t="str">
        <f>VLOOKUP($E558,countries!$A$2:$E$250,4,false)</f>
        <v>Europe</v>
      </c>
      <c r="R558" s="38" t="str">
        <f>VLOOKUP($E558,countries!$A$2:$E$250,5,false)</f>
        <v>Northern Europe</v>
      </c>
      <c r="S558" s="38">
        <f t="shared" si="5"/>
        <v>14</v>
      </c>
      <c r="T558" s="38" t="s">
        <v>152</v>
      </c>
      <c r="U558" s="38">
        <v>2013.0</v>
      </c>
      <c r="V558" s="38">
        <v>11.0</v>
      </c>
      <c r="W558" s="38" t="s">
        <v>124</v>
      </c>
      <c r="X558" s="38" t="s">
        <v>195</v>
      </c>
      <c r="Y558" s="38" t="s">
        <v>146</v>
      </c>
      <c r="Z558" s="38" t="s">
        <v>170</v>
      </c>
      <c r="AA558" s="113" t="str">
        <f t="array" ref="AA558">PROPER(G558)</f>
        <v>Online</v>
      </c>
    </row>
    <row r="559">
      <c r="A559" s="110">
        <v>4.69840466E8</v>
      </c>
      <c r="B559" s="131">
        <v>40556.0</v>
      </c>
      <c r="C559" s="131">
        <v>40565.0</v>
      </c>
      <c r="D559" s="110" t="s">
        <v>95</v>
      </c>
      <c r="E559" s="110" t="s">
        <v>106</v>
      </c>
      <c r="F559" s="110">
        <v>5988.0</v>
      </c>
      <c r="G559" s="38" t="s">
        <v>42</v>
      </c>
      <c r="H559" s="110">
        <v>5090.0</v>
      </c>
      <c r="I559" s="132">
        <v>154.06</v>
      </c>
      <c r="J559" s="132">
        <v>90.93</v>
      </c>
      <c r="K559" s="39">
        <f t="shared" si="1"/>
        <v>784165.4</v>
      </c>
      <c r="L559" s="39">
        <f t="shared" si="2"/>
        <v>462833.7</v>
      </c>
      <c r="M559" s="39">
        <f t="shared" si="3"/>
        <v>321331.7</v>
      </c>
      <c r="N559" s="38" t="str">
        <f>VLOOKUP(F559,products!$A$2:$B$13,2,FALSE)</f>
        <v>Vegetables</v>
      </c>
      <c r="O559" s="133">
        <f t="shared" si="4"/>
        <v>0.5902245878</v>
      </c>
      <c r="P559" s="38" t="str">
        <f>VLOOKUP(E559,countries!A$2:E$250,3,false)</f>
        <v>Poland</v>
      </c>
      <c r="Q559" s="38" t="str">
        <f>VLOOKUP($E559,countries!$A$2:$E$250,4,false)</f>
        <v>Europe</v>
      </c>
      <c r="R559" s="38" t="str">
        <f>VLOOKUP($E559,countries!$A$2:$E$250,5,false)</f>
        <v>Eastern Europe</v>
      </c>
      <c r="S559" s="38">
        <f t="shared" si="5"/>
        <v>9</v>
      </c>
      <c r="T559" s="38" t="s">
        <v>159</v>
      </c>
      <c r="U559" s="38">
        <v>2011.0</v>
      </c>
      <c r="V559" s="38">
        <v>1.0</v>
      </c>
      <c r="W559" s="38" t="s">
        <v>106</v>
      </c>
      <c r="X559" s="38" t="s">
        <v>173</v>
      </c>
      <c r="Y559" s="38" t="s">
        <v>146</v>
      </c>
      <c r="Z559" s="38" t="s">
        <v>155</v>
      </c>
      <c r="AA559" s="113" t="str">
        <f t="array" ref="AA559">PROPER(G559)</f>
        <v>Offline</v>
      </c>
    </row>
    <row r="560">
      <c r="A560" s="110">
        <v>4.69974792E8</v>
      </c>
      <c r="B560" s="131">
        <v>40324.0</v>
      </c>
      <c r="C560" s="131">
        <v>40346.0</v>
      </c>
      <c r="D560" s="110" t="s">
        <v>89</v>
      </c>
      <c r="E560" s="110" t="s">
        <v>132</v>
      </c>
      <c r="F560" s="110">
        <v>7331.0</v>
      </c>
      <c r="G560" s="38" t="s">
        <v>42</v>
      </c>
      <c r="H560" s="110">
        <v>4840.0</v>
      </c>
      <c r="I560" s="132">
        <v>255.28</v>
      </c>
      <c r="J560" s="132">
        <v>159.42</v>
      </c>
      <c r="K560" s="39">
        <f t="shared" si="1"/>
        <v>1235555.2</v>
      </c>
      <c r="L560" s="39">
        <f t="shared" si="2"/>
        <v>771592.8</v>
      </c>
      <c r="M560" s="39">
        <f t="shared" si="3"/>
        <v>463962.4</v>
      </c>
      <c r="N560" s="38" t="str">
        <f>VLOOKUP(F560,products!$A$2:$B$13,2,FALSE)</f>
        <v>Baby Food</v>
      </c>
      <c r="O560" s="133">
        <f t="shared" si="4"/>
        <v>0.6244907552</v>
      </c>
      <c r="P560" s="38" t="str">
        <f>VLOOKUP(E560,countries!A$2:E$250,3,false)</f>
        <v>Sweden</v>
      </c>
      <c r="Q560" s="38" t="str">
        <f>VLOOKUP($E560,countries!$A$2:$E$250,4,false)</f>
        <v>Europe</v>
      </c>
      <c r="R560" s="38" t="str">
        <f>VLOOKUP($E560,countries!$A$2:$E$250,5,false)</f>
        <v>Northern Europe</v>
      </c>
      <c r="S560" s="38">
        <f t="shared" si="5"/>
        <v>22</v>
      </c>
      <c r="T560" s="38" t="s">
        <v>161</v>
      </c>
      <c r="U560" s="38">
        <v>2010.0</v>
      </c>
      <c r="V560" s="38">
        <v>5.0</v>
      </c>
      <c r="W560" s="38" t="s">
        <v>132</v>
      </c>
      <c r="X560" s="38" t="s">
        <v>203</v>
      </c>
      <c r="Y560" s="38" t="s">
        <v>146</v>
      </c>
      <c r="Z560" s="38" t="s">
        <v>170</v>
      </c>
      <c r="AA560" s="113" t="str">
        <f t="array" ref="AA560">PROPER(G560)</f>
        <v>Offline</v>
      </c>
    </row>
    <row r="561">
      <c r="A561" s="110">
        <v>4.70503079E8</v>
      </c>
      <c r="B561" s="131">
        <v>42072.0</v>
      </c>
      <c r="C561" s="131">
        <v>42084.0</v>
      </c>
      <c r="D561" s="110" t="s">
        <v>95</v>
      </c>
      <c r="E561" s="110" t="s">
        <v>131</v>
      </c>
      <c r="F561" s="110">
        <v>2455.0</v>
      </c>
      <c r="G561" s="38" t="s">
        <v>42</v>
      </c>
      <c r="H561" s="110">
        <v>1172.0</v>
      </c>
      <c r="I561" s="132">
        <v>109.28</v>
      </c>
      <c r="J561" s="132">
        <v>35.84</v>
      </c>
      <c r="K561" s="39">
        <f t="shared" si="1"/>
        <v>128076.16</v>
      </c>
      <c r="L561" s="39">
        <f t="shared" si="2"/>
        <v>42004.48</v>
      </c>
      <c r="M561" s="39">
        <f t="shared" si="3"/>
        <v>86071.68</v>
      </c>
      <c r="N561" s="38" t="str">
        <f>VLOOKUP(F561,products!$A$2:$B$13,2,FALSE)</f>
        <v>Clothes</v>
      </c>
      <c r="O561" s="133">
        <f t="shared" si="4"/>
        <v>0.3279648609</v>
      </c>
      <c r="P561" s="38" t="str">
        <f>VLOOKUP(E561,countries!A$2:E$250,3,false)</f>
        <v>Albania</v>
      </c>
      <c r="Q561" s="38" t="str">
        <f>VLOOKUP($E561,countries!$A$2:$E$250,4,false)</f>
        <v>Europe</v>
      </c>
      <c r="R561" s="38" t="str">
        <f>VLOOKUP($E561,countries!$A$2:$E$250,5,false)</f>
        <v>Southern Europe</v>
      </c>
      <c r="S561" s="38">
        <f t="shared" si="5"/>
        <v>12</v>
      </c>
      <c r="T561" s="38" t="s">
        <v>150</v>
      </c>
      <c r="U561" s="38">
        <v>2015.0</v>
      </c>
      <c r="V561" s="38">
        <v>3.0</v>
      </c>
      <c r="W561" s="38" t="s">
        <v>131</v>
      </c>
      <c r="X561" s="38" t="s">
        <v>202</v>
      </c>
      <c r="Y561" s="38" t="s">
        <v>146</v>
      </c>
      <c r="Z561" s="38" t="s">
        <v>147</v>
      </c>
      <c r="AA561" s="113" t="str">
        <f t="array" ref="AA561">PROPER(G561)</f>
        <v>Offline</v>
      </c>
    </row>
    <row r="562">
      <c r="A562" s="110">
        <v>4.71348512E8</v>
      </c>
      <c r="B562" s="131">
        <v>41867.0</v>
      </c>
      <c r="C562" s="131">
        <v>41913.0</v>
      </c>
      <c r="D562" s="110" t="s">
        <v>89</v>
      </c>
      <c r="E562" s="110" t="s">
        <v>138</v>
      </c>
      <c r="F562" s="110">
        <v>4594.0</v>
      </c>
      <c r="G562" s="38" t="s">
        <v>43</v>
      </c>
      <c r="H562" s="110">
        <v>1354.0</v>
      </c>
      <c r="I562" s="132">
        <v>9.33</v>
      </c>
      <c r="J562" s="132">
        <v>6.92</v>
      </c>
      <c r="K562" s="39">
        <f t="shared" si="1"/>
        <v>12632.82</v>
      </c>
      <c r="L562" s="39">
        <f t="shared" si="2"/>
        <v>9369.68</v>
      </c>
      <c r="M562" s="39">
        <f t="shared" si="3"/>
        <v>3263.14</v>
      </c>
      <c r="N562" s="38" t="str">
        <f>VLOOKUP(F562,products!$A$2:$B$13,2,FALSE)</f>
        <v>Fruits</v>
      </c>
      <c r="O562" s="133">
        <f t="shared" si="4"/>
        <v>0.741693462</v>
      </c>
      <c r="P562" s="38" t="str">
        <f>VLOOKUP(E562,countries!A$2:E$250,3,false)</f>
        <v>Greece</v>
      </c>
      <c r="Q562" s="38" t="str">
        <f>VLOOKUP($E562,countries!$A$2:$E$250,4,false)</f>
        <v>Europe</v>
      </c>
      <c r="R562" s="38" t="str">
        <f>VLOOKUP($E562,countries!$A$2:$E$250,5,false)</f>
        <v>Southern Europe</v>
      </c>
      <c r="S562" s="38">
        <f t="shared" si="5"/>
        <v>46</v>
      </c>
      <c r="T562" s="38" t="s">
        <v>156</v>
      </c>
      <c r="U562" s="38">
        <v>2014.0</v>
      </c>
      <c r="V562" s="38">
        <v>8.0</v>
      </c>
      <c r="W562" s="38" t="s">
        <v>138</v>
      </c>
      <c r="X562" s="38" t="s">
        <v>208</v>
      </c>
      <c r="Y562" s="38" t="s">
        <v>146</v>
      </c>
      <c r="Z562" s="38" t="s">
        <v>147</v>
      </c>
      <c r="AA562" s="113" t="str">
        <f t="array" ref="AA562">PROPER(G562)</f>
        <v>Online</v>
      </c>
    </row>
    <row r="563">
      <c r="A563" s="110">
        <v>4.71484124E8</v>
      </c>
      <c r="B563" s="131">
        <v>41252.0</v>
      </c>
      <c r="C563" s="131">
        <v>41298.0</v>
      </c>
      <c r="D563" s="110" t="s">
        <v>89</v>
      </c>
      <c r="E563" s="110" t="s">
        <v>135</v>
      </c>
      <c r="F563" s="110">
        <v>7331.0</v>
      </c>
      <c r="G563" s="38" t="s">
        <v>43</v>
      </c>
      <c r="H563" s="110">
        <v>1485.0</v>
      </c>
      <c r="I563" s="132">
        <v>255.28</v>
      </c>
      <c r="J563" s="132">
        <v>159.42</v>
      </c>
      <c r="K563" s="39">
        <f t="shared" si="1"/>
        <v>379090.8</v>
      </c>
      <c r="L563" s="39">
        <f t="shared" si="2"/>
        <v>236738.7</v>
      </c>
      <c r="M563" s="39">
        <f t="shared" si="3"/>
        <v>142352.1</v>
      </c>
      <c r="N563" s="38" t="str">
        <f>VLOOKUP(F563,products!$A$2:$B$13,2,FALSE)</f>
        <v>Baby Food</v>
      </c>
      <c r="O563" s="133">
        <f t="shared" si="4"/>
        <v>0.6244907552</v>
      </c>
      <c r="P563" s="38" t="str">
        <f>VLOOKUP(E563,countries!A$2:E$250,3,false)</f>
        <v>Denmark</v>
      </c>
      <c r="Q563" s="38" t="str">
        <f>VLOOKUP($E563,countries!$A$2:$E$250,4,false)</f>
        <v>Europe</v>
      </c>
      <c r="R563" s="38" t="str">
        <f>VLOOKUP($E563,countries!$A$2:$E$250,5,false)</f>
        <v>Northern Europe</v>
      </c>
      <c r="S563" s="38">
        <f t="shared" si="5"/>
        <v>46</v>
      </c>
      <c r="T563" s="38" t="s">
        <v>161</v>
      </c>
      <c r="U563" s="38">
        <v>2012.0</v>
      </c>
      <c r="V563" s="38">
        <v>12.0</v>
      </c>
      <c r="W563" s="38" t="s">
        <v>135</v>
      </c>
      <c r="X563" s="38" t="s">
        <v>205</v>
      </c>
      <c r="Y563" s="38" t="s">
        <v>146</v>
      </c>
      <c r="Z563" s="38" t="s">
        <v>170</v>
      </c>
      <c r="AA563" s="113" t="str">
        <f t="array" ref="AA563">PROPER(G563)</f>
        <v>Online</v>
      </c>
    </row>
    <row r="564">
      <c r="A564" s="110">
        <v>4.73845756E8</v>
      </c>
      <c r="B564" s="131">
        <v>40859.0</v>
      </c>
      <c r="C564" s="131">
        <v>40893.0</v>
      </c>
      <c r="D564" s="110" t="s">
        <v>95</v>
      </c>
      <c r="E564" s="110" t="s">
        <v>111</v>
      </c>
      <c r="F564" s="110">
        <v>3127.0</v>
      </c>
      <c r="G564" s="38" t="s">
        <v>42</v>
      </c>
      <c r="H564" s="110">
        <v>344.0</v>
      </c>
      <c r="I564" s="132">
        <v>81.73</v>
      </c>
      <c r="J564" s="132">
        <v>56.67</v>
      </c>
      <c r="K564" s="39">
        <f t="shared" si="1"/>
        <v>28115.12</v>
      </c>
      <c r="L564" s="39">
        <f t="shared" si="2"/>
        <v>19494.48</v>
      </c>
      <c r="M564" s="39">
        <f t="shared" si="3"/>
        <v>8620.64</v>
      </c>
      <c r="N564" s="38" t="str">
        <f>VLOOKUP(F564,products!$A$2:$B$13,2,FALSE)</f>
        <v>Personal Care</v>
      </c>
      <c r="O564" s="133">
        <f t="shared" si="4"/>
        <v>0.6933806436</v>
      </c>
      <c r="P564" s="38" t="str">
        <f>VLOOKUP(E564,countries!A$2:E$250,3,false)</f>
        <v>Russia</v>
      </c>
      <c r="Q564" s="38" t="str">
        <f>VLOOKUP($E564,countries!$A$2:$E$250,4,false)</f>
        <v>Europe</v>
      </c>
      <c r="R564" s="38" t="str">
        <f>VLOOKUP($E564,countries!$A$2:$E$250,5,false)</f>
        <v>Eastern Europe</v>
      </c>
      <c r="S564" s="38">
        <f t="shared" si="5"/>
        <v>34</v>
      </c>
      <c r="T564" s="38" t="s">
        <v>185</v>
      </c>
      <c r="U564" s="38">
        <v>2011.0</v>
      </c>
      <c r="V564" s="38">
        <v>11.0</v>
      </c>
      <c r="W564" s="38" t="s">
        <v>111</v>
      </c>
      <c r="X564" s="38" t="s">
        <v>179</v>
      </c>
      <c r="Y564" s="38" t="s">
        <v>146</v>
      </c>
      <c r="Z564" s="38" t="s">
        <v>155</v>
      </c>
      <c r="AA564" s="113" t="str">
        <f t="array" ref="AA564">PROPER(G564)</f>
        <v>Offline</v>
      </c>
    </row>
    <row r="565">
      <c r="A565" s="110">
        <v>4.7517656E8</v>
      </c>
      <c r="B565" s="131">
        <v>40390.0</v>
      </c>
      <c r="C565" s="131">
        <v>40425.0</v>
      </c>
      <c r="D565" s="110" t="s">
        <v>93</v>
      </c>
      <c r="E565" s="110" t="s">
        <v>112</v>
      </c>
      <c r="F565" s="110">
        <v>4594.0</v>
      </c>
      <c r="G565" s="38" t="s">
        <v>43</v>
      </c>
      <c r="H565" s="110">
        <v>4159.0</v>
      </c>
      <c r="I565" s="132">
        <v>9.33</v>
      </c>
      <c r="J565" s="132">
        <v>6.92</v>
      </c>
      <c r="K565" s="39">
        <f t="shared" si="1"/>
        <v>38803.47</v>
      </c>
      <c r="L565" s="39">
        <f t="shared" si="2"/>
        <v>28780.28</v>
      </c>
      <c r="M565" s="39">
        <f t="shared" si="3"/>
        <v>10023.19</v>
      </c>
      <c r="N565" s="38" t="str">
        <f>VLOOKUP(F565,products!$A$2:$B$13,2,FALSE)</f>
        <v>Fruits</v>
      </c>
      <c r="O565" s="133">
        <f t="shared" si="4"/>
        <v>0.741693462</v>
      </c>
      <c r="P565" s="38" t="str">
        <f>VLOOKUP(E565,countries!A$2:E$250,3,false)</f>
        <v>Malta</v>
      </c>
      <c r="Q565" s="38" t="str">
        <f>VLOOKUP($E565,countries!$A$2:$E$250,4,false)</f>
        <v>Europe</v>
      </c>
      <c r="R565" s="38" t="str">
        <f>VLOOKUP($E565,countries!$A$2:$E$250,5,false)</f>
        <v>Southern Europe</v>
      </c>
      <c r="S565" s="38">
        <f t="shared" si="5"/>
        <v>35</v>
      </c>
      <c r="T565" s="38" t="s">
        <v>156</v>
      </c>
      <c r="U565" s="38">
        <v>2010.0</v>
      </c>
      <c r="V565" s="38">
        <v>7.0</v>
      </c>
      <c r="W565" s="38" t="s">
        <v>112</v>
      </c>
      <c r="X565" s="38" t="s">
        <v>180</v>
      </c>
      <c r="Y565" s="38" t="s">
        <v>146</v>
      </c>
      <c r="Z565" s="38" t="s">
        <v>147</v>
      </c>
      <c r="AA565" s="113" t="str">
        <f t="array" ref="AA565">PROPER(G565)</f>
        <v>Online</v>
      </c>
    </row>
    <row r="566">
      <c r="A566" s="110">
        <v>4.75992381E8</v>
      </c>
      <c r="B566" s="131">
        <v>40677.0</v>
      </c>
      <c r="C566" s="131">
        <v>40689.0</v>
      </c>
      <c r="D566" s="110" t="s">
        <v>95</v>
      </c>
      <c r="E566" s="110" t="s">
        <v>107</v>
      </c>
      <c r="F566" s="110">
        <v>2455.0</v>
      </c>
      <c r="G566" s="38" t="s">
        <v>43</v>
      </c>
      <c r="H566" s="110">
        <v>5578.0</v>
      </c>
      <c r="I566" s="132">
        <v>109.28</v>
      </c>
      <c r="J566" s="132">
        <v>35.84</v>
      </c>
      <c r="K566" s="39">
        <f t="shared" si="1"/>
        <v>609563.84</v>
      </c>
      <c r="L566" s="39">
        <f t="shared" si="2"/>
        <v>199915.52</v>
      </c>
      <c r="M566" s="39">
        <f t="shared" si="3"/>
        <v>409648.32</v>
      </c>
      <c r="N566" s="38" t="str">
        <f>VLOOKUP(F566,products!$A$2:$B$13,2,FALSE)</f>
        <v>Clothes</v>
      </c>
      <c r="O566" s="133">
        <f t="shared" si="4"/>
        <v>0.3279648609</v>
      </c>
      <c r="P566" s="38" t="str">
        <f>VLOOKUP(E566,countries!A$2:E$250,3,false)</f>
        <v>Luxembourg</v>
      </c>
      <c r="Q566" s="38" t="str">
        <f>VLOOKUP($E566,countries!$A$2:$E$250,4,false)</f>
        <v>Europe</v>
      </c>
      <c r="R566" s="38" t="str">
        <f>VLOOKUP($E566,countries!$A$2:$E$250,5,false)</f>
        <v>Western Europe</v>
      </c>
      <c r="S566" s="38">
        <f t="shared" si="5"/>
        <v>12</v>
      </c>
      <c r="T566" s="38" t="s">
        <v>150</v>
      </c>
      <c r="U566" s="38">
        <v>2011.0</v>
      </c>
      <c r="V566" s="38">
        <v>5.0</v>
      </c>
      <c r="W566" s="38" t="s">
        <v>107</v>
      </c>
      <c r="X566" s="38" t="s">
        <v>174</v>
      </c>
      <c r="Y566" s="38" t="s">
        <v>146</v>
      </c>
      <c r="Z566" s="38" t="s">
        <v>158</v>
      </c>
      <c r="AA566" s="113" t="str">
        <f t="array" ref="AA566">PROPER(G566)</f>
        <v>Online</v>
      </c>
    </row>
    <row r="567">
      <c r="A567" s="110">
        <v>4.76453721E8</v>
      </c>
      <c r="B567" s="131">
        <v>42938.0</v>
      </c>
      <c r="C567" s="131">
        <v>42957.0</v>
      </c>
      <c r="D567" s="110" t="s">
        <v>10</v>
      </c>
      <c r="E567" s="110" t="s">
        <v>120</v>
      </c>
      <c r="F567" s="110">
        <v>8969.0</v>
      </c>
      <c r="G567" s="38" t="s">
        <v>42</v>
      </c>
      <c r="H567" s="110">
        <v>2099.0</v>
      </c>
      <c r="I567" s="132">
        <v>152.58</v>
      </c>
      <c r="J567" s="132">
        <v>97.44</v>
      </c>
      <c r="K567" s="39">
        <f t="shared" si="1"/>
        <v>320265.42</v>
      </c>
      <c r="L567" s="39">
        <f t="shared" si="2"/>
        <v>204526.56</v>
      </c>
      <c r="M567" s="39">
        <f t="shared" si="3"/>
        <v>115738.86</v>
      </c>
      <c r="N567" s="38" t="str">
        <f>VLOOKUP(F567,products!$A$2:$B$13,2,FALSE)</f>
        <v>Snacks</v>
      </c>
      <c r="O567" s="133">
        <f t="shared" si="4"/>
        <v>0.6386158081</v>
      </c>
      <c r="P567" s="38" t="str">
        <f>VLOOKUP(E567,countries!A$2:E$250,3,false)</f>
        <v>San Marino</v>
      </c>
      <c r="Q567" s="38" t="str">
        <f>VLOOKUP($E567,countries!$A$2:$E$250,4,false)</f>
        <v>Europe</v>
      </c>
      <c r="R567" s="38" t="str">
        <f>VLOOKUP($E567,countries!$A$2:$E$250,5,false)</f>
        <v>Southern Europe</v>
      </c>
      <c r="S567" s="38">
        <f t="shared" si="5"/>
        <v>19</v>
      </c>
      <c r="T567" s="38" t="s">
        <v>182</v>
      </c>
      <c r="U567" s="38">
        <v>2017.0</v>
      </c>
      <c r="V567" s="38">
        <v>7.0</v>
      </c>
      <c r="W567" s="38" t="s">
        <v>120</v>
      </c>
      <c r="X567" s="38" t="s">
        <v>191</v>
      </c>
      <c r="Y567" s="38" t="s">
        <v>146</v>
      </c>
      <c r="Z567" s="38" t="s">
        <v>147</v>
      </c>
      <c r="AA567" s="113" t="str">
        <f t="array" ref="AA567">PROPER(G567)</f>
        <v>Offline</v>
      </c>
    </row>
    <row r="568">
      <c r="A568" s="110">
        <v>4.76633536E8</v>
      </c>
      <c r="B568" s="131">
        <v>41187.0</v>
      </c>
      <c r="C568" s="131">
        <v>41216.0</v>
      </c>
      <c r="D568" s="110" t="s">
        <v>10</v>
      </c>
      <c r="E568" s="110" t="s">
        <v>131</v>
      </c>
      <c r="F568" s="110">
        <v>5988.0</v>
      </c>
      <c r="G568" s="38" t="s">
        <v>43</v>
      </c>
      <c r="H568" s="110">
        <v>5310.0</v>
      </c>
      <c r="I568" s="132">
        <v>154.06</v>
      </c>
      <c r="J568" s="132">
        <v>90.93</v>
      </c>
      <c r="K568" s="39">
        <f t="shared" si="1"/>
        <v>818058.6</v>
      </c>
      <c r="L568" s="39">
        <f t="shared" si="2"/>
        <v>482838.3</v>
      </c>
      <c r="M568" s="39">
        <f t="shared" si="3"/>
        <v>335220.3</v>
      </c>
      <c r="N568" s="38" t="str">
        <f>VLOOKUP(F568,products!$A$2:$B$13,2,FALSE)</f>
        <v>Vegetables</v>
      </c>
      <c r="O568" s="133">
        <f t="shared" si="4"/>
        <v>0.5902245878</v>
      </c>
      <c r="P568" s="38" t="str">
        <f>VLOOKUP(E568,countries!A$2:E$250,3,false)</f>
        <v>Albania</v>
      </c>
      <c r="Q568" s="38" t="str">
        <f>VLOOKUP($E568,countries!$A$2:$E$250,4,false)</f>
        <v>Europe</v>
      </c>
      <c r="R568" s="38" t="str">
        <f>VLOOKUP($E568,countries!$A$2:$E$250,5,false)</f>
        <v>Southern Europe</v>
      </c>
      <c r="S568" s="38">
        <f t="shared" si="5"/>
        <v>29</v>
      </c>
      <c r="T568" s="38" t="s">
        <v>159</v>
      </c>
      <c r="U568" s="38">
        <v>2012.0</v>
      </c>
      <c r="V568" s="38">
        <v>10.0</v>
      </c>
      <c r="W568" s="38" t="s">
        <v>131</v>
      </c>
      <c r="X568" s="38" t="s">
        <v>202</v>
      </c>
      <c r="Y568" s="38" t="s">
        <v>146</v>
      </c>
      <c r="Z568" s="38" t="s">
        <v>147</v>
      </c>
      <c r="AA568" s="113" t="str">
        <f t="array" ref="AA568">PROPER(G568)</f>
        <v>Online</v>
      </c>
    </row>
    <row r="569">
      <c r="A569" s="110">
        <v>4.7679404E8</v>
      </c>
      <c r="B569" s="131">
        <v>42404.0</v>
      </c>
      <c r="C569" s="131">
        <v>42436.0</v>
      </c>
      <c r="D569" s="110" t="s">
        <v>95</v>
      </c>
      <c r="E569" s="110" t="s">
        <v>125</v>
      </c>
      <c r="F569" s="110">
        <v>1270.0</v>
      </c>
      <c r="G569" s="38" t="s">
        <v>43</v>
      </c>
      <c r="H569" s="110">
        <v>2807.0</v>
      </c>
      <c r="I569" s="132">
        <v>47.45</v>
      </c>
      <c r="J569" s="132">
        <v>31.79</v>
      </c>
      <c r="K569" s="39">
        <f t="shared" si="1"/>
        <v>133192.15</v>
      </c>
      <c r="L569" s="39">
        <f t="shared" si="2"/>
        <v>89234.53</v>
      </c>
      <c r="M569" s="39">
        <f t="shared" si="3"/>
        <v>43957.62</v>
      </c>
      <c r="N569" s="38" t="str">
        <f>VLOOKUP(F569,products!$A$2:$B$13,2,FALSE)</f>
        <v>Beverages</v>
      </c>
      <c r="O569" s="133">
        <f t="shared" si="4"/>
        <v>0.6699683878</v>
      </c>
      <c r="P569" s="38" t="str">
        <f>VLOOKUP(E569,countries!A$2:E$250,3,false)</f>
        <v>Bulgaria</v>
      </c>
      <c r="Q569" s="38" t="str">
        <f>VLOOKUP($E569,countries!$A$2:$E$250,4,false)</f>
        <v>Europe</v>
      </c>
      <c r="R569" s="38" t="str">
        <f>VLOOKUP($E569,countries!$A$2:$E$250,5,false)</f>
        <v>Eastern Europe</v>
      </c>
      <c r="S569" s="38">
        <f t="shared" si="5"/>
        <v>32</v>
      </c>
      <c r="T569" s="38" t="s">
        <v>152</v>
      </c>
      <c r="U569" s="38">
        <v>2016.0</v>
      </c>
      <c r="V569" s="38">
        <v>2.0</v>
      </c>
      <c r="W569" s="38" t="s">
        <v>125</v>
      </c>
      <c r="X569" s="38" t="s">
        <v>196</v>
      </c>
      <c r="Y569" s="38" t="s">
        <v>146</v>
      </c>
      <c r="Z569" s="38" t="s">
        <v>155</v>
      </c>
      <c r="AA569" s="113" t="str">
        <f t="array" ref="AA569">PROPER(G569)</f>
        <v>Online</v>
      </c>
    </row>
    <row r="570">
      <c r="A570" s="110">
        <v>4.7699145E8</v>
      </c>
      <c r="B570" s="131">
        <v>42805.0</v>
      </c>
      <c r="C570" s="131">
        <v>42821.0</v>
      </c>
      <c r="D570" s="110" t="s">
        <v>93</v>
      </c>
      <c r="E570" s="110" t="s">
        <v>125</v>
      </c>
      <c r="F570" s="110">
        <v>8969.0</v>
      </c>
      <c r="G570" s="38" t="s">
        <v>42</v>
      </c>
      <c r="H570" s="110">
        <v>1225.0</v>
      </c>
      <c r="I570" s="132">
        <v>152.58</v>
      </c>
      <c r="J570" s="132">
        <v>97.44</v>
      </c>
      <c r="K570" s="39">
        <f t="shared" si="1"/>
        <v>186910.5</v>
      </c>
      <c r="L570" s="39">
        <f t="shared" si="2"/>
        <v>119364</v>
      </c>
      <c r="M570" s="39">
        <f t="shared" si="3"/>
        <v>67546.5</v>
      </c>
      <c r="N570" s="38" t="str">
        <f>VLOOKUP(F570,products!$A$2:$B$13,2,FALSE)</f>
        <v>Snacks</v>
      </c>
      <c r="O570" s="133">
        <f t="shared" si="4"/>
        <v>0.6386158081</v>
      </c>
      <c r="P570" s="38" t="str">
        <f>VLOOKUP(E570,countries!A$2:E$250,3,false)</f>
        <v>Bulgaria</v>
      </c>
      <c r="Q570" s="38" t="str">
        <f>VLOOKUP($E570,countries!$A$2:$E$250,4,false)</f>
        <v>Europe</v>
      </c>
      <c r="R570" s="38" t="str">
        <f>VLOOKUP($E570,countries!$A$2:$E$250,5,false)</f>
        <v>Eastern Europe</v>
      </c>
      <c r="S570" s="38">
        <f t="shared" si="5"/>
        <v>16</v>
      </c>
      <c r="T570" s="38" t="s">
        <v>182</v>
      </c>
      <c r="U570" s="38">
        <v>2017.0</v>
      </c>
      <c r="V570" s="38">
        <v>3.0</v>
      </c>
      <c r="W570" s="38" t="s">
        <v>125</v>
      </c>
      <c r="X570" s="38" t="s">
        <v>196</v>
      </c>
      <c r="Y570" s="38" t="s">
        <v>146</v>
      </c>
      <c r="Z570" s="38" t="s">
        <v>155</v>
      </c>
      <c r="AA570" s="113" t="str">
        <f t="array" ref="AA570">PROPER(G570)</f>
        <v>Offline</v>
      </c>
    </row>
    <row r="571">
      <c r="A571" s="110">
        <v>4.77282845E8</v>
      </c>
      <c r="B571" s="131">
        <v>40198.0</v>
      </c>
      <c r="C571" s="131">
        <v>40213.0</v>
      </c>
      <c r="D571" s="110" t="s">
        <v>95</v>
      </c>
      <c r="E571" s="110" t="s">
        <v>101</v>
      </c>
      <c r="F571" s="110">
        <v>2103.0</v>
      </c>
      <c r="G571" s="38" t="s">
        <v>42</v>
      </c>
      <c r="H571" s="110">
        <v>7455.0</v>
      </c>
      <c r="I571" s="132">
        <v>205.7</v>
      </c>
      <c r="J571" s="132">
        <v>117.11</v>
      </c>
      <c r="K571" s="39">
        <f t="shared" si="1"/>
        <v>1533493.5</v>
      </c>
      <c r="L571" s="39">
        <f t="shared" si="2"/>
        <v>873055.05</v>
      </c>
      <c r="M571" s="39">
        <f t="shared" si="3"/>
        <v>660438.45</v>
      </c>
      <c r="N571" s="38" t="str">
        <f>VLOOKUP(F571,products!$A$2:$B$13,2,FALSE)</f>
        <v>Cereal</v>
      </c>
      <c r="O571" s="133">
        <f t="shared" si="4"/>
        <v>0.5693242586</v>
      </c>
      <c r="P571" s="38" t="str">
        <f>VLOOKUP(E571,countries!A$2:E$250,3,false)</f>
        <v>Armenia</v>
      </c>
      <c r="Q571" s="38" t="str">
        <f>VLOOKUP($E571,countries!$A$2:$E$250,4,false)</f>
        <v>Asia</v>
      </c>
      <c r="R571" s="38" t="str">
        <f>VLOOKUP($E571,countries!$A$2:$E$250,5,false)</f>
        <v>Western Asia</v>
      </c>
      <c r="S571" s="38">
        <f t="shared" si="5"/>
        <v>15</v>
      </c>
      <c r="T571" s="38" t="s">
        <v>144</v>
      </c>
      <c r="U571" s="38">
        <v>2010.0</v>
      </c>
      <c r="V571" s="38">
        <v>1.0</v>
      </c>
      <c r="W571" s="38" t="s">
        <v>101</v>
      </c>
      <c r="X571" s="38" t="s">
        <v>164</v>
      </c>
      <c r="Y571" s="38" t="s">
        <v>165</v>
      </c>
      <c r="Z571" s="38" t="s">
        <v>166</v>
      </c>
      <c r="AA571" s="113" t="str">
        <f t="array" ref="AA571">PROPER(G571)</f>
        <v>Offline</v>
      </c>
    </row>
    <row r="572">
      <c r="A572" s="110">
        <v>4.77633464E8</v>
      </c>
      <c r="B572" s="131">
        <v>42138.0</v>
      </c>
      <c r="C572" s="131">
        <v>42162.0</v>
      </c>
      <c r="D572" s="110" t="s">
        <v>95</v>
      </c>
      <c r="E572" s="110" t="s">
        <v>90</v>
      </c>
      <c r="F572" s="110">
        <v>8293.0</v>
      </c>
      <c r="G572" s="38" t="s">
        <v>43</v>
      </c>
      <c r="H572" s="110">
        <v>1211.0</v>
      </c>
      <c r="I572" s="132">
        <v>437.2</v>
      </c>
      <c r="J572" s="132">
        <v>263.33</v>
      </c>
      <c r="K572" s="39">
        <f t="shared" si="1"/>
        <v>529449.2</v>
      </c>
      <c r="L572" s="39">
        <f t="shared" si="2"/>
        <v>318892.63</v>
      </c>
      <c r="M572" s="39">
        <f t="shared" si="3"/>
        <v>210556.57</v>
      </c>
      <c r="N572" s="38" t="str">
        <f>VLOOKUP(F572,products!$A$2:$B$13,2,FALSE)</f>
        <v>Cosmetics</v>
      </c>
      <c r="O572" s="133">
        <f t="shared" si="4"/>
        <v>0.6023101555</v>
      </c>
      <c r="P572" s="38" t="str">
        <f>VLOOKUP(E572,countries!A$2:E$250,3,false)</f>
        <v>Norway</v>
      </c>
      <c r="Q572" s="38" t="str">
        <f>VLOOKUP($E572,countries!$A$2:$E$250,4,false)</f>
        <v>Europe</v>
      </c>
      <c r="R572" s="38" t="str">
        <f>VLOOKUP($E572,countries!$A$2:$E$250,5,false)</f>
        <v>Northern Europe</v>
      </c>
      <c r="S572" s="38">
        <f t="shared" si="5"/>
        <v>24</v>
      </c>
      <c r="T572" s="38" t="s">
        <v>178</v>
      </c>
      <c r="U572" s="38">
        <v>2015.0</v>
      </c>
      <c r="V572" s="38">
        <v>5.0</v>
      </c>
      <c r="W572" s="38" t="s">
        <v>90</v>
      </c>
      <c r="X572" s="38" t="s">
        <v>183</v>
      </c>
      <c r="Y572" s="38" t="s">
        <v>146</v>
      </c>
      <c r="Z572" s="38" t="s">
        <v>170</v>
      </c>
      <c r="AA572" s="113" t="str">
        <f t="array" ref="AA572">PROPER(G572)</f>
        <v>Online</v>
      </c>
    </row>
    <row r="573">
      <c r="A573" s="110">
        <v>4.7805103E8</v>
      </c>
      <c r="B573" s="131">
        <v>40798.0</v>
      </c>
      <c r="C573" s="131">
        <v>40815.0</v>
      </c>
      <c r="D573" s="110" t="s">
        <v>10</v>
      </c>
      <c r="E573" s="110" t="s">
        <v>114</v>
      </c>
      <c r="F573" s="110">
        <v>1270.0</v>
      </c>
      <c r="G573" s="38" t="s">
        <v>42</v>
      </c>
      <c r="H573" s="110">
        <v>4778.0</v>
      </c>
      <c r="I573" s="132">
        <v>47.45</v>
      </c>
      <c r="J573" s="132">
        <v>31.79</v>
      </c>
      <c r="K573" s="39">
        <f t="shared" si="1"/>
        <v>226716.1</v>
      </c>
      <c r="L573" s="39">
        <f t="shared" si="2"/>
        <v>151892.62</v>
      </c>
      <c r="M573" s="39">
        <f t="shared" si="3"/>
        <v>74823.48</v>
      </c>
      <c r="N573" s="38" t="str">
        <f>VLOOKUP(F573,products!$A$2:$B$13,2,FALSE)</f>
        <v>Beverages</v>
      </c>
      <c r="O573" s="133">
        <f t="shared" si="4"/>
        <v>0.6699683878</v>
      </c>
      <c r="P573" s="38" t="str">
        <f>VLOOKUP(E573,countries!A$2:E$250,3,false)</f>
        <v>Czech Republic</v>
      </c>
      <c r="Q573" s="38" t="str">
        <f>VLOOKUP($E573,countries!$A$2:$E$250,4,false)</f>
        <v>Europe</v>
      </c>
      <c r="R573" s="38" t="str">
        <f>VLOOKUP($E573,countries!$A$2:$E$250,5,false)</f>
        <v>Eastern Europe</v>
      </c>
      <c r="S573" s="38">
        <f t="shared" si="5"/>
        <v>17</v>
      </c>
      <c r="T573" s="38" t="s">
        <v>152</v>
      </c>
      <c r="U573" s="38">
        <v>2011.0</v>
      </c>
      <c r="V573" s="38">
        <v>9.0</v>
      </c>
      <c r="W573" s="38" t="s">
        <v>114</v>
      </c>
      <c r="X573" s="38" t="s">
        <v>184</v>
      </c>
      <c r="Y573" s="38" t="s">
        <v>146</v>
      </c>
      <c r="Z573" s="38" t="s">
        <v>155</v>
      </c>
      <c r="AA573" s="113" t="str">
        <f t="array" ref="AA573">PROPER(G573)</f>
        <v>Offline</v>
      </c>
    </row>
    <row r="574">
      <c r="A574" s="110">
        <v>4.78840672E8</v>
      </c>
      <c r="B574" s="131">
        <v>42404.0</v>
      </c>
      <c r="C574" s="131">
        <v>42409.0</v>
      </c>
      <c r="D574" s="110" t="s">
        <v>93</v>
      </c>
      <c r="E574" s="110" t="s">
        <v>135</v>
      </c>
      <c r="F574" s="110">
        <v>3127.0</v>
      </c>
      <c r="G574" s="38" t="s">
        <v>43</v>
      </c>
      <c r="H574" s="110">
        <v>8451.0</v>
      </c>
      <c r="I574" s="132">
        <v>81.73</v>
      </c>
      <c r="J574" s="132">
        <v>56.67</v>
      </c>
      <c r="K574" s="39">
        <f t="shared" si="1"/>
        <v>690700.23</v>
      </c>
      <c r="L574" s="39">
        <f t="shared" si="2"/>
        <v>478918.17</v>
      </c>
      <c r="M574" s="39">
        <f t="shared" si="3"/>
        <v>211782.06</v>
      </c>
      <c r="N574" s="38" t="str">
        <f>VLOOKUP(F574,products!$A$2:$B$13,2,FALSE)</f>
        <v>Personal Care</v>
      </c>
      <c r="O574" s="133">
        <f t="shared" si="4"/>
        <v>0.6933806436</v>
      </c>
      <c r="P574" s="38" t="str">
        <f>VLOOKUP(E574,countries!A$2:E$250,3,false)</f>
        <v>Denmark</v>
      </c>
      <c r="Q574" s="38" t="str">
        <f>VLOOKUP($E574,countries!$A$2:$E$250,4,false)</f>
        <v>Europe</v>
      </c>
      <c r="R574" s="38" t="str">
        <f>VLOOKUP($E574,countries!$A$2:$E$250,5,false)</f>
        <v>Northern Europe</v>
      </c>
      <c r="S574" s="38">
        <f t="shared" si="5"/>
        <v>5</v>
      </c>
      <c r="T574" s="38" t="s">
        <v>185</v>
      </c>
      <c r="U574" s="38">
        <v>2016.0</v>
      </c>
      <c r="V574" s="38">
        <v>2.0</v>
      </c>
      <c r="W574" s="38" t="s">
        <v>135</v>
      </c>
      <c r="X574" s="38" t="s">
        <v>205</v>
      </c>
      <c r="Y574" s="38" t="s">
        <v>146</v>
      </c>
      <c r="Z574" s="38" t="s">
        <v>170</v>
      </c>
      <c r="AA574" s="113" t="str">
        <f t="array" ref="AA574">PROPER(G574)</f>
        <v>Online</v>
      </c>
    </row>
    <row r="575">
      <c r="A575" s="110">
        <v>4.79171121E8</v>
      </c>
      <c r="B575" s="131">
        <v>40189.0</v>
      </c>
      <c r="C575" s="131">
        <v>40205.0</v>
      </c>
      <c r="D575" s="110" t="s">
        <v>10</v>
      </c>
      <c r="E575" s="110" t="s">
        <v>115</v>
      </c>
      <c r="F575" s="110">
        <v>7331.0</v>
      </c>
      <c r="G575" s="38" t="s">
        <v>42</v>
      </c>
      <c r="H575" s="110">
        <v>6238.0</v>
      </c>
      <c r="I575" s="132">
        <v>255.28</v>
      </c>
      <c r="J575" s="132">
        <v>159.42</v>
      </c>
      <c r="K575" s="39">
        <f t="shared" si="1"/>
        <v>1592436.64</v>
      </c>
      <c r="L575" s="39">
        <f t="shared" si="2"/>
        <v>994461.96</v>
      </c>
      <c r="M575" s="39">
        <f t="shared" si="3"/>
        <v>597974.68</v>
      </c>
      <c r="N575" s="38" t="str">
        <f>VLOOKUP(F575,products!$A$2:$B$13,2,FALSE)</f>
        <v>Baby Food</v>
      </c>
      <c r="O575" s="133">
        <f t="shared" si="4"/>
        <v>0.6244907552</v>
      </c>
      <c r="P575" s="38" t="str">
        <f>VLOOKUP(E575,countries!A$2:E$250,3,false)</f>
        <v>Portugal</v>
      </c>
      <c r="Q575" s="38" t="str">
        <f>VLOOKUP($E575,countries!$A$2:$E$250,4,false)</f>
        <v>Europe</v>
      </c>
      <c r="R575" s="38" t="str">
        <f>VLOOKUP($E575,countries!$A$2:$E$250,5,false)</f>
        <v>Southern Europe</v>
      </c>
      <c r="S575" s="38">
        <f t="shared" si="5"/>
        <v>16</v>
      </c>
      <c r="T575" s="38" t="s">
        <v>161</v>
      </c>
      <c r="U575" s="38">
        <v>2010.0</v>
      </c>
      <c r="V575" s="38">
        <v>1.0</v>
      </c>
      <c r="W575" s="38" t="s">
        <v>115</v>
      </c>
      <c r="X575" s="38" t="s">
        <v>186</v>
      </c>
      <c r="Y575" s="38" t="s">
        <v>146</v>
      </c>
      <c r="Z575" s="38" t="s">
        <v>147</v>
      </c>
      <c r="AA575" s="113" t="str">
        <f t="array" ref="AA575">PROPER(G575)</f>
        <v>Offline</v>
      </c>
    </row>
    <row r="576">
      <c r="A576" s="110">
        <v>4.79234206E8</v>
      </c>
      <c r="B576" s="131">
        <v>40823.0</v>
      </c>
      <c r="C576" s="131">
        <v>40861.0</v>
      </c>
      <c r="D576" s="110" t="s">
        <v>95</v>
      </c>
      <c r="E576" s="110" t="s">
        <v>107</v>
      </c>
      <c r="F576" s="110">
        <v>4594.0</v>
      </c>
      <c r="G576" s="38" t="s">
        <v>43</v>
      </c>
      <c r="H576" s="110">
        <v>4906.0</v>
      </c>
      <c r="I576" s="132">
        <v>9.33</v>
      </c>
      <c r="J576" s="132">
        <v>6.92</v>
      </c>
      <c r="K576" s="39">
        <f t="shared" si="1"/>
        <v>45772.98</v>
      </c>
      <c r="L576" s="39">
        <f t="shared" si="2"/>
        <v>33949.52</v>
      </c>
      <c r="M576" s="39">
        <f t="shared" si="3"/>
        <v>11823.46</v>
      </c>
      <c r="N576" s="38" t="str">
        <f>VLOOKUP(F576,products!$A$2:$B$13,2,FALSE)</f>
        <v>Fruits</v>
      </c>
      <c r="O576" s="133">
        <f t="shared" si="4"/>
        <v>0.741693462</v>
      </c>
      <c r="P576" s="38" t="str">
        <f>VLOOKUP(E576,countries!A$2:E$250,3,false)</f>
        <v>Luxembourg</v>
      </c>
      <c r="Q576" s="38" t="str">
        <f>VLOOKUP($E576,countries!$A$2:$E$250,4,false)</f>
        <v>Europe</v>
      </c>
      <c r="R576" s="38" t="str">
        <f>VLOOKUP($E576,countries!$A$2:$E$250,5,false)</f>
        <v>Western Europe</v>
      </c>
      <c r="S576" s="38">
        <f t="shared" si="5"/>
        <v>38</v>
      </c>
      <c r="T576" s="38" t="s">
        <v>156</v>
      </c>
      <c r="U576" s="38">
        <v>2011.0</v>
      </c>
      <c r="V576" s="38">
        <v>10.0</v>
      </c>
      <c r="W576" s="38" t="s">
        <v>107</v>
      </c>
      <c r="X576" s="38" t="s">
        <v>174</v>
      </c>
      <c r="Y576" s="38" t="s">
        <v>146</v>
      </c>
      <c r="Z576" s="38" t="s">
        <v>158</v>
      </c>
      <c r="AA576" s="113" t="str">
        <f t="array" ref="AA576">PROPER(G576)</f>
        <v>Online</v>
      </c>
    </row>
    <row r="577">
      <c r="A577" s="110">
        <v>4.80652987E8</v>
      </c>
      <c r="B577" s="131">
        <v>42817.0</v>
      </c>
      <c r="C577" s="131">
        <v>42830.0</v>
      </c>
      <c r="D577" s="110" t="s">
        <v>93</v>
      </c>
      <c r="E577" s="110" t="s">
        <v>126</v>
      </c>
      <c r="F577" s="110">
        <v>7331.0</v>
      </c>
      <c r="G577" s="38" t="s">
        <v>42</v>
      </c>
      <c r="H577" s="110">
        <v>4755.0</v>
      </c>
      <c r="I577" s="132">
        <v>255.28</v>
      </c>
      <c r="J577" s="132">
        <v>159.42</v>
      </c>
      <c r="K577" s="39">
        <f t="shared" si="1"/>
        <v>1213856.4</v>
      </c>
      <c r="L577" s="39">
        <f t="shared" si="2"/>
        <v>758042.1</v>
      </c>
      <c r="M577" s="39">
        <f t="shared" si="3"/>
        <v>455814.3</v>
      </c>
      <c r="N577" s="38" t="str">
        <f>VLOOKUP(F577,products!$A$2:$B$13,2,FALSE)</f>
        <v>Baby Food</v>
      </c>
      <c r="O577" s="133">
        <f t="shared" si="4"/>
        <v>0.6244907552</v>
      </c>
      <c r="P577" s="38" t="str">
        <f>VLOOKUP(E577,countries!A$2:E$250,3,false)</f>
        <v>Italy</v>
      </c>
      <c r="Q577" s="38" t="str">
        <f>VLOOKUP($E577,countries!$A$2:$E$250,4,false)</f>
        <v>Europe</v>
      </c>
      <c r="R577" s="38" t="str">
        <f>VLOOKUP($E577,countries!$A$2:$E$250,5,false)</f>
        <v>Southern Europe</v>
      </c>
      <c r="S577" s="38">
        <f t="shared" si="5"/>
        <v>13</v>
      </c>
      <c r="T577" s="38" t="s">
        <v>161</v>
      </c>
      <c r="U577" s="38">
        <v>2017.0</v>
      </c>
      <c r="V577" s="38">
        <v>3.0</v>
      </c>
      <c r="W577" s="38" t="s">
        <v>126</v>
      </c>
      <c r="X577" s="38" t="s">
        <v>197</v>
      </c>
      <c r="Y577" s="38" t="s">
        <v>146</v>
      </c>
      <c r="Z577" s="38" t="s">
        <v>147</v>
      </c>
      <c r="AA577" s="113" t="str">
        <f t="array" ref="AA577">PROPER(G577)</f>
        <v>Offline</v>
      </c>
    </row>
    <row r="578">
      <c r="A578" s="110">
        <v>4.80904042E8</v>
      </c>
      <c r="B578" s="131">
        <v>40201.0</v>
      </c>
      <c r="C578" s="131">
        <v>40214.0</v>
      </c>
      <c r="D578" s="110" t="s">
        <v>10</v>
      </c>
      <c r="E578" s="110" t="s">
        <v>128</v>
      </c>
      <c r="F578" s="110">
        <v>8969.0</v>
      </c>
      <c r="G578" s="38" t="s">
        <v>42</v>
      </c>
      <c r="H578" s="110">
        <v>9048.0</v>
      </c>
      <c r="I578" s="132">
        <v>152.58</v>
      </c>
      <c r="J578" s="132">
        <v>97.44</v>
      </c>
      <c r="K578" s="39">
        <f t="shared" si="1"/>
        <v>1380543.84</v>
      </c>
      <c r="L578" s="39">
        <f t="shared" si="2"/>
        <v>881637.12</v>
      </c>
      <c r="M578" s="39">
        <f t="shared" si="3"/>
        <v>498906.72</v>
      </c>
      <c r="N578" s="38" t="str">
        <f>VLOOKUP(F578,products!$A$2:$B$13,2,FALSE)</f>
        <v>Snacks</v>
      </c>
      <c r="O578" s="133">
        <f t="shared" si="4"/>
        <v>0.6386158081</v>
      </c>
      <c r="P578" s="38" t="str">
        <f>VLOOKUP(E578,countries!A$2:E$250,3,false)</f>
        <v>Andorra</v>
      </c>
      <c r="Q578" s="38" t="str">
        <f>VLOOKUP($E578,countries!$A$2:$E$250,4,false)</f>
        <v>Europe</v>
      </c>
      <c r="R578" s="38" t="str">
        <f>VLOOKUP($E578,countries!$A$2:$E$250,5,false)</f>
        <v>Southern Europe</v>
      </c>
      <c r="S578" s="38">
        <f t="shared" si="5"/>
        <v>13</v>
      </c>
      <c r="T578" s="38" t="s">
        <v>182</v>
      </c>
      <c r="U578" s="38">
        <v>2010.0</v>
      </c>
      <c r="V578" s="38">
        <v>1.0</v>
      </c>
      <c r="W578" s="38" t="s">
        <v>128</v>
      </c>
      <c r="X578" s="38" t="s">
        <v>199</v>
      </c>
      <c r="Y578" s="38" t="s">
        <v>146</v>
      </c>
      <c r="Z578" s="38" t="s">
        <v>147</v>
      </c>
      <c r="AA578" s="113" t="str">
        <f t="array" ref="AA578">PROPER(G578)</f>
        <v>Offline</v>
      </c>
    </row>
    <row r="579">
      <c r="A579" s="110">
        <v>4.81114327E8</v>
      </c>
      <c r="B579" s="131">
        <v>42312.0</v>
      </c>
      <c r="C579" s="131">
        <v>42332.0</v>
      </c>
      <c r="D579" s="110" t="s">
        <v>89</v>
      </c>
      <c r="E579" s="110" t="s">
        <v>90</v>
      </c>
      <c r="F579" s="110">
        <v>2103.0</v>
      </c>
      <c r="G579" s="38" t="s">
        <v>43</v>
      </c>
      <c r="H579" s="110">
        <v>1276.0</v>
      </c>
      <c r="I579" s="132">
        <v>205.7</v>
      </c>
      <c r="J579" s="132">
        <v>117.11</v>
      </c>
      <c r="K579" s="39">
        <f t="shared" si="1"/>
        <v>262473.2</v>
      </c>
      <c r="L579" s="39">
        <f t="shared" si="2"/>
        <v>149432.36</v>
      </c>
      <c r="M579" s="39">
        <f t="shared" si="3"/>
        <v>113040.84</v>
      </c>
      <c r="N579" s="38" t="str">
        <f>VLOOKUP(F579,products!$A$2:$B$13,2,FALSE)</f>
        <v>Cereal</v>
      </c>
      <c r="O579" s="133">
        <f t="shared" si="4"/>
        <v>0.5693242586</v>
      </c>
      <c r="P579" s="38" t="str">
        <f>VLOOKUP(E579,countries!A$2:E$250,3,false)</f>
        <v>Norway</v>
      </c>
      <c r="Q579" s="38" t="str">
        <f>VLOOKUP($E579,countries!$A$2:$E$250,4,false)</f>
        <v>Europe</v>
      </c>
      <c r="R579" s="38" t="str">
        <f>VLOOKUP($E579,countries!$A$2:$E$250,5,false)</f>
        <v>Northern Europe</v>
      </c>
      <c r="S579" s="38">
        <f t="shared" si="5"/>
        <v>20</v>
      </c>
      <c r="T579" s="38" t="s">
        <v>144</v>
      </c>
      <c r="U579" s="38">
        <v>2015.0</v>
      </c>
      <c r="V579" s="38">
        <v>11.0</v>
      </c>
      <c r="W579" s="38" t="s">
        <v>90</v>
      </c>
      <c r="X579" s="38" t="s">
        <v>183</v>
      </c>
      <c r="Y579" s="38" t="s">
        <v>146</v>
      </c>
      <c r="Z579" s="38" t="s">
        <v>170</v>
      </c>
      <c r="AA579" s="113" t="str">
        <f t="array" ref="AA579">PROPER(G579)</f>
        <v>Online</v>
      </c>
    </row>
    <row r="580">
      <c r="A580" s="110">
        <v>4.81308305E8</v>
      </c>
      <c r="B580" s="131">
        <v>41889.0</v>
      </c>
      <c r="C580" s="131">
        <v>41928.0</v>
      </c>
      <c r="D580" s="110" t="s">
        <v>10</v>
      </c>
      <c r="E580" s="110" t="s">
        <v>130</v>
      </c>
      <c r="F580" s="110">
        <v>7331.0</v>
      </c>
      <c r="G580" s="38" t="s">
        <v>42</v>
      </c>
      <c r="H580" s="110">
        <v>8678.0</v>
      </c>
      <c r="I580" s="132">
        <v>255.28</v>
      </c>
      <c r="J580" s="132">
        <v>159.42</v>
      </c>
      <c r="K580" s="39">
        <f t="shared" si="1"/>
        <v>2215319.84</v>
      </c>
      <c r="L580" s="39">
        <f t="shared" si="2"/>
        <v>1383446.76</v>
      </c>
      <c r="M580" s="39">
        <f t="shared" si="3"/>
        <v>831873.08</v>
      </c>
      <c r="N580" s="38" t="str">
        <f>VLOOKUP(F580,products!$A$2:$B$13,2,FALSE)</f>
        <v>Baby Food</v>
      </c>
      <c r="O580" s="133">
        <f t="shared" si="4"/>
        <v>0.6244907552</v>
      </c>
      <c r="P580" s="38" t="str">
        <f>VLOOKUP(E580,countries!A$2:E$250,3,false)</f>
        <v>Finland</v>
      </c>
      <c r="Q580" s="38" t="str">
        <f>VLOOKUP($E580,countries!$A$2:$E$250,4,false)</f>
        <v>Europe</v>
      </c>
      <c r="R580" s="38" t="str">
        <f>VLOOKUP($E580,countries!$A$2:$E$250,5,false)</f>
        <v>Northern Europe</v>
      </c>
      <c r="S580" s="38">
        <f t="shared" si="5"/>
        <v>39</v>
      </c>
      <c r="T580" s="38" t="s">
        <v>161</v>
      </c>
      <c r="U580" s="38">
        <v>2014.0</v>
      </c>
      <c r="V580" s="38">
        <v>9.0</v>
      </c>
      <c r="W580" s="38" t="s">
        <v>130</v>
      </c>
      <c r="X580" s="38" t="s">
        <v>201</v>
      </c>
      <c r="Y580" s="38" t="s">
        <v>146</v>
      </c>
      <c r="Z580" s="38" t="s">
        <v>170</v>
      </c>
      <c r="AA580" s="113" t="str">
        <f t="array" ref="AA580">PROPER(G580)</f>
        <v>Offline</v>
      </c>
    </row>
    <row r="581">
      <c r="A581" s="110">
        <v>4.81976497E8</v>
      </c>
      <c r="B581" s="131">
        <v>42670.0</v>
      </c>
      <c r="C581" s="131">
        <v>42707.0</v>
      </c>
      <c r="D581" s="110" t="s">
        <v>95</v>
      </c>
      <c r="E581" s="110" t="s">
        <v>105</v>
      </c>
      <c r="F581" s="110">
        <v>4594.0</v>
      </c>
      <c r="G581" s="38" t="s">
        <v>43</v>
      </c>
      <c r="H581" s="110">
        <v>6411.0</v>
      </c>
      <c r="I581" s="132">
        <v>9.33</v>
      </c>
      <c r="J581" s="132">
        <v>6.92</v>
      </c>
      <c r="K581" s="39">
        <f t="shared" si="1"/>
        <v>59814.63</v>
      </c>
      <c r="L581" s="39">
        <f t="shared" si="2"/>
        <v>44364.12</v>
      </c>
      <c r="M581" s="39">
        <f t="shared" si="3"/>
        <v>15450.51</v>
      </c>
      <c r="N581" s="38" t="str">
        <f>VLOOKUP(F581,products!$A$2:$B$13,2,FALSE)</f>
        <v>Fruits</v>
      </c>
      <c r="O581" s="133">
        <f t="shared" si="4"/>
        <v>0.741693462</v>
      </c>
      <c r="P581" s="38" t="str">
        <f>VLOOKUP(E581,countries!A$2:E$250,3,false)</f>
        <v>Romania</v>
      </c>
      <c r="Q581" s="38" t="str">
        <f>VLOOKUP($E581,countries!$A$2:$E$250,4,false)</f>
        <v>Europe</v>
      </c>
      <c r="R581" s="38" t="str">
        <f>VLOOKUP($E581,countries!$A$2:$E$250,5,false)</f>
        <v>Eastern Europe</v>
      </c>
      <c r="S581" s="38">
        <f t="shared" si="5"/>
        <v>37</v>
      </c>
      <c r="T581" s="38" t="s">
        <v>156</v>
      </c>
      <c r="U581" s="38">
        <v>2016.0</v>
      </c>
      <c r="V581" s="38">
        <v>10.0</v>
      </c>
      <c r="W581" s="38" t="s">
        <v>105</v>
      </c>
      <c r="X581" s="38" t="s">
        <v>172</v>
      </c>
      <c r="Y581" s="38" t="s">
        <v>146</v>
      </c>
      <c r="Z581" s="38" t="s">
        <v>155</v>
      </c>
      <c r="AA581" s="113" t="str">
        <f t="array" ref="AA581">PROPER(G581)</f>
        <v>Online</v>
      </c>
    </row>
    <row r="582">
      <c r="A582" s="110">
        <v>4.83438193E8</v>
      </c>
      <c r="B582" s="131">
        <v>41144.0</v>
      </c>
      <c r="C582" s="131">
        <v>41178.0</v>
      </c>
      <c r="D582" s="110" t="s">
        <v>95</v>
      </c>
      <c r="E582" s="110" t="s">
        <v>102</v>
      </c>
      <c r="F582" s="110">
        <v>8875.0</v>
      </c>
      <c r="G582" s="38" t="s">
        <v>43</v>
      </c>
      <c r="H582" s="110">
        <v>8959.0</v>
      </c>
      <c r="I582" s="132">
        <v>421.89</v>
      </c>
      <c r="J582" s="132">
        <v>364.69</v>
      </c>
      <c r="K582" s="39">
        <f t="shared" si="1"/>
        <v>3779712.51</v>
      </c>
      <c r="L582" s="39">
        <f t="shared" si="2"/>
        <v>3267257.71</v>
      </c>
      <c r="M582" s="39">
        <f t="shared" si="3"/>
        <v>512454.8</v>
      </c>
      <c r="N582" s="38" t="str">
        <f>VLOOKUP(F582,products!$A$2:$B$13,2,FALSE)</f>
        <v>Meat</v>
      </c>
      <c r="O582" s="133">
        <f t="shared" si="4"/>
        <v>0.8644196354</v>
      </c>
      <c r="P582" s="38" t="str">
        <f>VLOOKUP(E582,countries!A$2:E$250,3,false)</f>
        <v>Georgia</v>
      </c>
      <c r="Q582" s="38" t="str">
        <f>VLOOKUP($E582,countries!$A$2:$E$250,4,false)</f>
        <v>Asia</v>
      </c>
      <c r="R582" s="38" t="str">
        <f>VLOOKUP($E582,countries!$A$2:$E$250,5,false)</f>
        <v>Western Asia</v>
      </c>
      <c r="S582" s="38">
        <f t="shared" si="5"/>
        <v>34</v>
      </c>
      <c r="T582" s="38" t="s">
        <v>167</v>
      </c>
      <c r="U582" s="38">
        <v>2012.0</v>
      </c>
      <c r="V582" s="38">
        <v>8.0</v>
      </c>
      <c r="W582" s="38" t="s">
        <v>102</v>
      </c>
      <c r="X582" s="38" t="s">
        <v>168</v>
      </c>
      <c r="Y582" s="38" t="s">
        <v>165</v>
      </c>
      <c r="Z582" s="38" t="s">
        <v>166</v>
      </c>
      <c r="AA582" s="113" t="str">
        <f t="array" ref="AA582">PROPER(G582)</f>
        <v>Online</v>
      </c>
    </row>
    <row r="583">
      <c r="A583" s="110">
        <v>4.83655774E8</v>
      </c>
      <c r="B583" s="131">
        <v>42934.0</v>
      </c>
      <c r="C583" s="131">
        <v>42952.0</v>
      </c>
      <c r="D583" s="110" t="s">
        <v>95</v>
      </c>
      <c r="E583" s="110" t="e">
        <v>#N/A</v>
      </c>
      <c r="F583" s="110">
        <v>2103.0</v>
      </c>
      <c r="G583" s="38" t="s">
        <v>42</v>
      </c>
      <c r="H583" s="110">
        <v>3346.0</v>
      </c>
      <c r="I583" s="132">
        <v>205.7</v>
      </c>
      <c r="J583" s="132">
        <v>117.11</v>
      </c>
      <c r="K583" s="39">
        <f t="shared" si="1"/>
        <v>688272.2</v>
      </c>
      <c r="L583" s="39">
        <f t="shared" si="2"/>
        <v>391850.06</v>
      </c>
      <c r="M583" s="39">
        <f t="shared" si="3"/>
        <v>296422.14</v>
      </c>
      <c r="N583" s="38" t="str">
        <f>VLOOKUP(F583,products!$A$2:$B$13,2,FALSE)</f>
        <v>Cereal</v>
      </c>
      <c r="O583" s="133">
        <f t="shared" si="4"/>
        <v>0.5693242586</v>
      </c>
      <c r="P583" s="38" t="str">
        <f>VLOOKUP(E583,countries!A$2:E$250,3,false)</f>
        <v>#N/A</v>
      </c>
      <c r="Q583" s="38" t="str">
        <f>VLOOKUP($E583,countries!$A$2:$E$250,4,false)</f>
        <v>#N/A</v>
      </c>
      <c r="R583" s="38" t="str">
        <f>VLOOKUP($E583,countries!$A$2:$E$250,5,false)</f>
        <v>#N/A</v>
      </c>
      <c r="S583" s="38">
        <f t="shared" si="5"/>
        <v>18</v>
      </c>
      <c r="T583" s="38" t="s">
        <v>144</v>
      </c>
      <c r="U583" s="38">
        <v>2017.0</v>
      </c>
      <c r="V583" s="38">
        <v>7.0</v>
      </c>
      <c r="W583" s="38" t="s">
        <v>92</v>
      </c>
      <c r="X583" s="38" t="s">
        <v>149</v>
      </c>
      <c r="Y583" s="38" t="s">
        <v>149</v>
      </c>
      <c r="Z583" s="38" t="s">
        <v>149</v>
      </c>
      <c r="AA583" s="113" t="str">
        <f t="array" ref="AA583">PROPER(G583)</f>
        <v>Offline</v>
      </c>
    </row>
    <row r="584">
      <c r="A584" s="110">
        <v>4.83981502E8</v>
      </c>
      <c r="B584" s="131">
        <v>40277.0</v>
      </c>
      <c r="C584" s="131">
        <v>40302.0</v>
      </c>
      <c r="D584" s="110" t="s">
        <v>95</v>
      </c>
      <c r="E584" s="110" t="s">
        <v>104</v>
      </c>
      <c r="F584" s="110">
        <v>8681.0</v>
      </c>
      <c r="G584" s="38" t="s">
        <v>43</v>
      </c>
      <c r="H584" s="110">
        <v>9736.0</v>
      </c>
      <c r="I584" s="132">
        <v>651.21</v>
      </c>
      <c r="J584" s="132">
        <v>524.96</v>
      </c>
      <c r="K584" s="39">
        <f t="shared" si="1"/>
        <v>6340180.56</v>
      </c>
      <c r="L584" s="39">
        <f t="shared" si="2"/>
        <v>5111010.56</v>
      </c>
      <c r="M584" s="39">
        <f t="shared" si="3"/>
        <v>1229170</v>
      </c>
      <c r="N584" s="38" t="str">
        <f>VLOOKUP(F584,products!$A$2:$B$13,2,FALSE)</f>
        <v>Office Supplies</v>
      </c>
      <c r="O584" s="133">
        <f t="shared" si="4"/>
        <v>0.806130127</v>
      </c>
      <c r="P584" s="38" t="str">
        <f>VLOOKUP(E584,countries!A$2:E$250,3,false)</f>
        <v>Slovenia</v>
      </c>
      <c r="Q584" s="38" t="str">
        <f>VLOOKUP($E584,countries!$A$2:$E$250,4,false)</f>
        <v>Europe</v>
      </c>
      <c r="R584" s="38" t="str">
        <f>VLOOKUP($E584,countries!$A$2:$E$250,5,false)</f>
        <v>Southern Europe</v>
      </c>
      <c r="S584" s="38">
        <f t="shared" si="5"/>
        <v>25</v>
      </c>
      <c r="T584" s="38" t="s">
        <v>153</v>
      </c>
      <c r="U584" s="38">
        <v>2010.0</v>
      </c>
      <c r="V584" s="38">
        <v>4.0</v>
      </c>
      <c r="W584" s="38" t="s">
        <v>104</v>
      </c>
      <c r="X584" s="38" t="s">
        <v>171</v>
      </c>
      <c r="Y584" s="38" t="s">
        <v>146</v>
      </c>
      <c r="Z584" s="38" t="s">
        <v>147</v>
      </c>
      <c r="AA584" s="113" t="str">
        <f t="array" ref="AA584">PROPER(G584)</f>
        <v>Online</v>
      </c>
    </row>
    <row r="585">
      <c r="A585" s="110">
        <v>4.85165965E8</v>
      </c>
      <c r="B585" s="131">
        <v>42685.0</v>
      </c>
      <c r="C585" s="131">
        <v>42718.0</v>
      </c>
      <c r="D585" s="110" t="s">
        <v>10</v>
      </c>
      <c r="E585" s="110" t="s">
        <v>98</v>
      </c>
      <c r="F585" s="110">
        <v>8969.0</v>
      </c>
      <c r="G585" s="38" t="s">
        <v>43</v>
      </c>
      <c r="H585" s="110">
        <v>245.0</v>
      </c>
      <c r="I585" s="132">
        <v>152.58</v>
      </c>
      <c r="J585" s="132">
        <v>97.44</v>
      </c>
      <c r="K585" s="39">
        <f t="shared" si="1"/>
        <v>37382.1</v>
      </c>
      <c r="L585" s="39">
        <f t="shared" si="2"/>
        <v>23872.8</v>
      </c>
      <c r="M585" s="39">
        <f t="shared" si="3"/>
        <v>13509.3</v>
      </c>
      <c r="N585" s="38" t="str">
        <f>VLOOKUP(F585,products!$A$2:$B$13,2,FALSE)</f>
        <v>Snacks</v>
      </c>
      <c r="O585" s="133">
        <f t="shared" si="4"/>
        <v>0.6386158081</v>
      </c>
      <c r="P585" s="38" t="str">
        <f>VLOOKUP(E585,countries!A$2:E$250,3,false)</f>
        <v>Spain</v>
      </c>
      <c r="Q585" s="38" t="str">
        <f>VLOOKUP($E585,countries!$A$2:$E$250,4,false)</f>
        <v>Europe</v>
      </c>
      <c r="R585" s="38" t="str">
        <f>VLOOKUP($E585,countries!$A$2:$E$250,5,false)</f>
        <v>Southern Europe</v>
      </c>
      <c r="S585" s="38">
        <f t="shared" si="5"/>
        <v>33</v>
      </c>
      <c r="T585" s="38" t="s">
        <v>182</v>
      </c>
      <c r="U585" s="38">
        <v>2016.0</v>
      </c>
      <c r="V585" s="38">
        <v>11.0</v>
      </c>
      <c r="W585" s="38" t="s">
        <v>98</v>
      </c>
      <c r="X585" s="38" t="s">
        <v>160</v>
      </c>
      <c r="Y585" s="38" t="s">
        <v>146</v>
      </c>
      <c r="Z585" s="38" t="s">
        <v>147</v>
      </c>
      <c r="AA585" s="113" t="str">
        <f t="array" ref="AA585">PROPER(G585)</f>
        <v>Online</v>
      </c>
    </row>
    <row r="586">
      <c r="A586" s="110">
        <v>4.85929429E8</v>
      </c>
      <c r="B586" s="131">
        <v>42842.0</v>
      </c>
      <c r="C586" s="131">
        <v>42874.0</v>
      </c>
      <c r="D586" s="110" t="s">
        <v>10</v>
      </c>
      <c r="E586" s="110" t="s">
        <v>113</v>
      </c>
      <c r="F586" s="110">
        <v>3127.0</v>
      </c>
      <c r="G586" s="38" t="s">
        <v>42</v>
      </c>
      <c r="H586" s="110">
        <v>6171.0</v>
      </c>
      <c r="I586" s="132">
        <v>81.73</v>
      </c>
      <c r="J586" s="132">
        <v>56.67</v>
      </c>
      <c r="K586" s="39">
        <f t="shared" si="1"/>
        <v>504355.83</v>
      </c>
      <c r="L586" s="39">
        <f t="shared" si="2"/>
        <v>349710.57</v>
      </c>
      <c r="M586" s="39">
        <f t="shared" si="3"/>
        <v>154645.26</v>
      </c>
      <c r="N586" s="38" t="str">
        <f>VLOOKUP(F586,products!$A$2:$B$13,2,FALSE)</f>
        <v>Personal Care</v>
      </c>
      <c r="O586" s="133">
        <f t="shared" si="4"/>
        <v>0.6933806436</v>
      </c>
      <c r="P586" s="38" t="str">
        <f>VLOOKUP(E586,countries!A$2:E$250,3,false)</f>
        <v>Ukraine</v>
      </c>
      <c r="Q586" s="38" t="str">
        <f>VLOOKUP($E586,countries!$A$2:$E$250,4,false)</f>
        <v>Europe</v>
      </c>
      <c r="R586" s="38" t="str">
        <f>VLOOKUP($E586,countries!$A$2:$E$250,5,false)</f>
        <v>Eastern Europe</v>
      </c>
      <c r="S586" s="38">
        <f t="shared" si="5"/>
        <v>32</v>
      </c>
      <c r="T586" s="38" t="s">
        <v>185</v>
      </c>
      <c r="U586" s="38">
        <v>2017.0</v>
      </c>
      <c r="V586" s="38">
        <v>4.0</v>
      </c>
      <c r="W586" s="38" t="s">
        <v>113</v>
      </c>
      <c r="X586" s="38" t="s">
        <v>181</v>
      </c>
      <c r="Y586" s="38" t="s">
        <v>146</v>
      </c>
      <c r="Z586" s="38" t="s">
        <v>155</v>
      </c>
      <c r="AA586" s="113" t="str">
        <f t="array" ref="AA586">PROPER(G586)</f>
        <v>Offline</v>
      </c>
    </row>
    <row r="587">
      <c r="A587" s="110">
        <v>4.86345708E8</v>
      </c>
      <c r="B587" s="131">
        <v>41885.0</v>
      </c>
      <c r="C587" s="131">
        <v>41923.0</v>
      </c>
      <c r="D587" s="110" t="s">
        <v>95</v>
      </c>
      <c r="E587" s="110" t="s">
        <v>111</v>
      </c>
      <c r="F587" s="110">
        <v>8293.0</v>
      </c>
      <c r="G587" s="38" t="s">
        <v>42</v>
      </c>
      <c r="H587" s="110">
        <v>9357.0</v>
      </c>
      <c r="I587" s="132">
        <v>437.2</v>
      </c>
      <c r="J587" s="132">
        <v>263.33</v>
      </c>
      <c r="K587" s="39">
        <f t="shared" si="1"/>
        <v>4090880.4</v>
      </c>
      <c r="L587" s="39">
        <f t="shared" si="2"/>
        <v>2463978.81</v>
      </c>
      <c r="M587" s="39">
        <f t="shared" si="3"/>
        <v>1626901.59</v>
      </c>
      <c r="N587" s="38" t="str">
        <f>VLOOKUP(F587,products!$A$2:$B$13,2,FALSE)</f>
        <v>Cosmetics</v>
      </c>
      <c r="O587" s="133">
        <f t="shared" si="4"/>
        <v>0.6023101555</v>
      </c>
      <c r="P587" s="38" t="str">
        <f>VLOOKUP(E587,countries!A$2:E$250,3,false)</f>
        <v>Russia</v>
      </c>
      <c r="Q587" s="38" t="str">
        <f>VLOOKUP($E587,countries!$A$2:$E$250,4,false)</f>
        <v>Europe</v>
      </c>
      <c r="R587" s="38" t="str">
        <f>VLOOKUP($E587,countries!$A$2:$E$250,5,false)</f>
        <v>Eastern Europe</v>
      </c>
      <c r="S587" s="38">
        <f t="shared" si="5"/>
        <v>38</v>
      </c>
      <c r="T587" s="38" t="s">
        <v>178</v>
      </c>
      <c r="U587" s="38">
        <v>2014.0</v>
      </c>
      <c r="V587" s="38">
        <v>9.0</v>
      </c>
      <c r="W587" s="38" t="s">
        <v>111</v>
      </c>
      <c r="X587" s="38" t="s">
        <v>179</v>
      </c>
      <c r="Y587" s="38" t="s">
        <v>146</v>
      </c>
      <c r="Z587" s="38" t="s">
        <v>155</v>
      </c>
      <c r="AA587" s="113" t="str">
        <f t="array" ref="AA587">PROPER(G587)</f>
        <v>Offline</v>
      </c>
    </row>
    <row r="588">
      <c r="A588" s="110">
        <v>4.8646115E8</v>
      </c>
      <c r="B588" s="131">
        <v>42648.0</v>
      </c>
      <c r="C588" s="131">
        <v>42687.0</v>
      </c>
      <c r="D588" s="110" t="s">
        <v>89</v>
      </c>
      <c r="E588" s="110" t="s">
        <v>124</v>
      </c>
      <c r="F588" s="110">
        <v>5988.0</v>
      </c>
      <c r="G588" s="38" t="s">
        <v>42</v>
      </c>
      <c r="H588" s="110">
        <v>3519.0</v>
      </c>
      <c r="I588" s="132">
        <v>154.06</v>
      </c>
      <c r="J588" s="132">
        <v>90.93</v>
      </c>
      <c r="K588" s="39">
        <f t="shared" si="1"/>
        <v>542137.14</v>
      </c>
      <c r="L588" s="39">
        <f t="shared" si="2"/>
        <v>319982.67</v>
      </c>
      <c r="M588" s="39">
        <f t="shared" si="3"/>
        <v>222154.47</v>
      </c>
      <c r="N588" s="38" t="str">
        <f>VLOOKUP(F588,products!$A$2:$B$13,2,FALSE)</f>
        <v>Vegetables</v>
      </c>
      <c r="O588" s="133">
        <f t="shared" si="4"/>
        <v>0.5902245878</v>
      </c>
      <c r="P588" s="38" t="str">
        <f>VLOOKUP(E588,countries!A$2:E$250,3,false)</f>
        <v>Latvia</v>
      </c>
      <c r="Q588" s="38" t="str">
        <f>VLOOKUP($E588,countries!$A$2:$E$250,4,false)</f>
        <v>Europe</v>
      </c>
      <c r="R588" s="38" t="str">
        <f>VLOOKUP($E588,countries!$A$2:$E$250,5,false)</f>
        <v>Northern Europe</v>
      </c>
      <c r="S588" s="38">
        <f t="shared" si="5"/>
        <v>39</v>
      </c>
      <c r="T588" s="38" t="s">
        <v>159</v>
      </c>
      <c r="U588" s="38">
        <v>2016.0</v>
      </c>
      <c r="V588" s="38">
        <v>10.0</v>
      </c>
      <c r="W588" s="38" t="s">
        <v>124</v>
      </c>
      <c r="X588" s="38" t="s">
        <v>195</v>
      </c>
      <c r="Y588" s="38" t="s">
        <v>146</v>
      </c>
      <c r="Z588" s="38" t="s">
        <v>170</v>
      </c>
      <c r="AA588" s="113" t="str">
        <f t="array" ref="AA588">PROPER(G588)</f>
        <v>Offline</v>
      </c>
    </row>
    <row r="589">
      <c r="A589" s="110">
        <v>4.8831638E8</v>
      </c>
      <c r="B589" s="131">
        <v>42308.0</v>
      </c>
      <c r="C589" s="131">
        <v>42326.0</v>
      </c>
      <c r="D589" s="110" t="s">
        <v>93</v>
      </c>
      <c r="E589" s="110" t="s">
        <v>138</v>
      </c>
      <c r="F589" s="110">
        <v>4594.0</v>
      </c>
      <c r="G589" s="38" t="s">
        <v>43</v>
      </c>
      <c r="H589" s="110">
        <v>2523.0</v>
      </c>
      <c r="I589" s="132">
        <v>9.33</v>
      </c>
      <c r="J589" s="132">
        <v>6.92</v>
      </c>
      <c r="K589" s="39">
        <f t="shared" si="1"/>
        <v>23539.59</v>
      </c>
      <c r="L589" s="39">
        <f t="shared" si="2"/>
        <v>17459.16</v>
      </c>
      <c r="M589" s="39">
        <f t="shared" si="3"/>
        <v>6080.43</v>
      </c>
      <c r="N589" s="38" t="str">
        <f>VLOOKUP(F589,products!$A$2:$B$13,2,FALSE)</f>
        <v>Fruits</v>
      </c>
      <c r="O589" s="133">
        <f t="shared" si="4"/>
        <v>0.741693462</v>
      </c>
      <c r="P589" s="38" t="str">
        <f>VLOOKUP(E589,countries!A$2:E$250,3,false)</f>
        <v>Greece</v>
      </c>
      <c r="Q589" s="38" t="str">
        <f>VLOOKUP($E589,countries!$A$2:$E$250,4,false)</f>
        <v>Europe</v>
      </c>
      <c r="R589" s="38" t="str">
        <f>VLOOKUP($E589,countries!$A$2:$E$250,5,false)</f>
        <v>Southern Europe</v>
      </c>
      <c r="S589" s="38">
        <f t="shared" si="5"/>
        <v>18</v>
      </c>
      <c r="T589" s="38" t="s">
        <v>156</v>
      </c>
      <c r="U589" s="38">
        <v>2015.0</v>
      </c>
      <c r="V589" s="38">
        <v>10.0</v>
      </c>
      <c r="W589" s="38" t="s">
        <v>138</v>
      </c>
      <c r="X589" s="38" t="s">
        <v>208</v>
      </c>
      <c r="Y589" s="38" t="s">
        <v>146</v>
      </c>
      <c r="Z589" s="38" t="s">
        <v>147</v>
      </c>
      <c r="AA589" s="113" t="str">
        <f t="array" ref="AA589">PROPER(G589)</f>
        <v>Online</v>
      </c>
    </row>
    <row r="590">
      <c r="A590" s="110">
        <v>4.88815915E8</v>
      </c>
      <c r="B590" s="131">
        <v>40605.0</v>
      </c>
      <c r="C590" s="131">
        <v>40650.0</v>
      </c>
      <c r="D590" s="110" t="s">
        <v>89</v>
      </c>
      <c r="E590" s="110" t="s">
        <v>99</v>
      </c>
      <c r="F590" s="110">
        <v>8969.0</v>
      </c>
      <c r="G590" s="38" t="s">
        <v>42</v>
      </c>
      <c r="H590" s="110">
        <v>347.0</v>
      </c>
      <c r="I590" s="132">
        <v>152.58</v>
      </c>
      <c r="J590" s="132">
        <v>97.44</v>
      </c>
      <c r="K590" s="39">
        <f t="shared" si="1"/>
        <v>52945.26</v>
      </c>
      <c r="L590" s="39">
        <f t="shared" si="2"/>
        <v>33811.68</v>
      </c>
      <c r="M590" s="39">
        <f t="shared" si="3"/>
        <v>19133.58</v>
      </c>
      <c r="N590" s="38" t="str">
        <f>VLOOKUP(F590,products!$A$2:$B$13,2,FALSE)</f>
        <v>Snacks</v>
      </c>
      <c r="O590" s="133">
        <f t="shared" si="4"/>
        <v>0.6386158081</v>
      </c>
      <c r="P590" s="38" t="str">
        <f>VLOOKUP(E590,countries!A$2:E$250,3,false)</f>
        <v>Croatia</v>
      </c>
      <c r="Q590" s="38" t="str">
        <f>VLOOKUP($E590,countries!$A$2:$E$250,4,false)</f>
        <v>Europe</v>
      </c>
      <c r="R590" s="38" t="str">
        <f>VLOOKUP($E590,countries!$A$2:$E$250,5,false)</f>
        <v>Southern Europe</v>
      </c>
      <c r="S590" s="38">
        <f t="shared" si="5"/>
        <v>45</v>
      </c>
      <c r="T590" s="38" t="s">
        <v>182</v>
      </c>
      <c r="U590" s="38">
        <v>2011.0</v>
      </c>
      <c r="V590" s="38">
        <v>3.0</v>
      </c>
      <c r="W590" s="38" t="s">
        <v>99</v>
      </c>
      <c r="X590" s="38" t="s">
        <v>162</v>
      </c>
      <c r="Y590" s="38" t="s">
        <v>146</v>
      </c>
      <c r="Z590" s="38" t="s">
        <v>147</v>
      </c>
      <c r="AA590" s="113" t="str">
        <f t="array" ref="AA590">PROPER(G590)</f>
        <v>Offline</v>
      </c>
    </row>
    <row r="591">
      <c r="A591" s="110">
        <v>4.89600837E8</v>
      </c>
      <c r="B591" s="131">
        <v>41768.0</v>
      </c>
      <c r="C591" s="131">
        <v>41799.0</v>
      </c>
      <c r="D591" s="110" t="s">
        <v>10</v>
      </c>
      <c r="E591" s="110" t="s">
        <v>118</v>
      </c>
      <c r="F591" s="110">
        <v>5988.0</v>
      </c>
      <c r="G591" s="38" t="s">
        <v>42</v>
      </c>
      <c r="H591" s="110">
        <v>2622.0</v>
      </c>
      <c r="I591" s="132">
        <v>154.06</v>
      </c>
      <c r="J591" s="132">
        <v>90.93</v>
      </c>
      <c r="K591" s="39">
        <f t="shared" si="1"/>
        <v>403945.32</v>
      </c>
      <c r="L591" s="39">
        <f t="shared" si="2"/>
        <v>238418.46</v>
      </c>
      <c r="M591" s="39">
        <f t="shared" si="3"/>
        <v>165526.86</v>
      </c>
      <c r="N591" s="38" t="str">
        <f>VLOOKUP(F591,products!$A$2:$B$13,2,FALSE)</f>
        <v>Vegetables</v>
      </c>
      <c r="O591" s="133">
        <f t="shared" si="4"/>
        <v>0.5902245878</v>
      </c>
      <c r="P591" s="38" t="str">
        <f>VLOOKUP(E591,countries!A$2:E$250,3,false)</f>
        <v>Austria</v>
      </c>
      <c r="Q591" s="38" t="str">
        <f>VLOOKUP($E591,countries!$A$2:$E$250,4,false)</f>
        <v>Europe</v>
      </c>
      <c r="R591" s="38" t="str">
        <f>VLOOKUP($E591,countries!$A$2:$E$250,5,false)</f>
        <v>Western Europe</v>
      </c>
      <c r="S591" s="38">
        <f t="shared" si="5"/>
        <v>31</v>
      </c>
      <c r="T591" s="38" t="s">
        <v>159</v>
      </c>
      <c r="U591" s="38">
        <v>2014.0</v>
      </c>
      <c r="V591" s="38">
        <v>5.0</v>
      </c>
      <c r="W591" s="38" t="s">
        <v>118</v>
      </c>
      <c r="X591" s="38" t="s">
        <v>189</v>
      </c>
      <c r="Y591" s="38" t="s">
        <v>146</v>
      </c>
      <c r="Z591" s="38" t="s">
        <v>158</v>
      </c>
      <c r="AA591" s="113" t="str">
        <f t="array" ref="AA591">PROPER(G591)</f>
        <v>Offline</v>
      </c>
    </row>
    <row r="592">
      <c r="A592" s="110">
        <v>4.89848029E8</v>
      </c>
      <c r="B592" s="131">
        <v>40299.0</v>
      </c>
      <c r="C592" s="131">
        <v>40318.0</v>
      </c>
      <c r="D592" s="110" t="s">
        <v>89</v>
      </c>
      <c r="E592" s="110" t="e">
        <v>#N/A</v>
      </c>
      <c r="F592" s="110">
        <v>8969.0</v>
      </c>
      <c r="G592" s="38" t="s">
        <v>42</v>
      </c>
      <c r="H592" s="110">
        <v>5772.0</v>
      </c>
      <c r="I592" s="132">
        <v>152.58</v>
      </c>
      <c r="J592" s="132">
        <v>97.44</v>
      </c>
      <c r="K592" s="39">
        <f t="shared" si="1"/>
        <v>880691.76</v>
      </c>
      <c r="L592" s="39">
        <f t="shared" si="2"/>
        <v>562423.68</v>
      </c>
      <c r="M592" s="39">
        <f t="shared" si="3"/>
        <v>318268.08</v>
      </c>
      <c r="N592" s="38" t="str">
        <f>VLOOKUP(F592,products!$A$2:$B$13,2,FALSE)</f>
        <v>Snacks</v>
      </c>
      <c r="O592" s="133">
        <f t="shared" si="4"/>
        <v>0.6386158081</v>
      </c>
      <c r="P592" s="38" t="str">
        <f>VLOOKUP(E592,countries!A$2:E$250,3,false)</f>
        <v>#N/A</v>
      </c>
      <c r="Q592" s="38" t="str">
        <f>VLOOKUP($E592,countries!$A$2:$E$250,4,false)</f>
        <v>#N/A</v>
      </c>
      <c r="R592" s="38" t="str">
        <f>VLOOKUP($E592,countries!$A$2:$E$250,5,false)</f>
        <v>#N/A</v>
      </c>
      <c r="S592" s="38">
        <f t="shared" si="5"/>
        <v>19</v>
      </c>
      <c r="T592" s="38" t="s">
        <v>182</v>
      </c>
      <c r="U592" s="38">
        <v>2010.0</v>
      </c>
      <c r="V592" s="38">
        <v>5.0</v>
      </c>
      <c r="W592" s="38" t="s">
        <v>92</v>
      </c>
      <c r="X592" s="38" t="s">
        <v>149</v>
      </c>
      <c r="Y592" s="38" t="s">
        <v>149</v>
      </c>
      <c r="Z592" s="38" t="s">
        <v>149</v>
      </c>
      <c r="AA592" s="113" t="str">
        <f t="array" ref="AA592">PROPER(G592)</f>
        <v>Offline</v>
      </c>
    </row>
    <row r="593">
      <c r="A593" s="110">
        <v>4.91547477E8</v>
      </c>
      <c r="B593" s="131">
        <v>41950.0</v>
      </c>
      <c r="C593" s="131">
        <v>41950.0</v>
      </c>
      <c r="D593" s="110" t="s">
        <v>95</v>
      </c>
      <c r="E593" s="110" t="e">
        <v>#N/A</v>
      </c>
      <c r="F593" s="110">
        <v>5988.0</v>
      </c>
      <c r="G593" s="38" t="s">
        <v>43</v>
      </c>
      <c r="H593" s="110">
        <v>8676.0</v>
      </c>
      <c r="I593" s="132">
        <v>154.06</v>
      </c>
      <c r="J593" s="132">
        <v>90.93</v>
      </c>
      <c r="K593" s="39">
        <f t="shared" si="1"/>
        <v>1336624.56</v>
      </c>
      <c r="L593" s="39">
        <f t="shared" si="2"/>
        <v>788908.68</v>
      </c>
      <c r="M593" s="39">
        <f t="shared" si="3"/>
        <v>547715.88</v>
      </c>
      <c r="N593" s="38" t="str">
        <f>VLOOKUP(F593,products!$A$2:$B$13,2,FALSE)</f>
        <v>Vegetables</v>
      </c>
      <c r="O593" s="133">
        <f t="shared" si="4"/>
        <v>0.5902245878</v>
      </c>
      <c r="P593" s="38" t="str">
        <f>VLOOKUP(E593,countries!A$2:E$250,3,false)</f>
        <v>#N/A</v>
      </c>
      <c r="Q593" s="38" t="str">
        <f>VLOOKUP($E593,countries!$A$2:$E$250,4,false)</f>
        <v>#N/A</v>
      </c>
      <c r="R593" s="38" t="str">
        <f>VLOOKUP($E593,countries!$A$2:$E$250,5,false)</f>
        <v>#N/A</v>
      </c>
      <c r="S593" s="38">
        <f t="shared" si="5"/>
        <v>0</v>
      </c>
      <c r="T593" s="38" t="s">
        <v>159</v>
      </c>
      <c r="U593" s="38">
        <v>2014.0</v>
      </c>
      <c r="V593" s="38">
        <v>11.0</v>
      </c>
      <c r="W593" s="38" t="s">
        <v>92</v>
      </c>
      <c r="X593" s="38" t="s">
        <v>149</v>
      </c>
      <c r="Y593" s="38" t="s">
        <v>149</v>
      </c>
      <c r="Z593" s="38" t="s">
        <v>149</v>
      </c>
      <c r="AA593" s="113" t="str">
        <f t="array" ref="AA593">PROPER(G593)</f>
        <v>Online</v>
      </c>
    </row>
    <row r="594">
      <c r="A594" s="110">
        <v>4.92353856E8</v>
      </c>
      <c r="B594" s="131">
        <v>41353.0</v>
      </c>
      <c r="C594" s="131">
        <v>41375.0</v>
      </c>
      <c r="D594" s="110" t="s">
        <v>93</v>
      </c>
      <c r="E594" s="110" t="s">
        <v>108</v>
      </c>
      <c r="F594" s="110">
        <v>7940.0</v>
      </c>
      <c r="G594" s="38" t="s">
        <v>43</v>
      </c>
      <c r="H594" s="110">
        <v>7302.0</v>
      </c>
      <c r="I594" s="132">
        <v>668.27</v>
      </c>
      <c r="J594" s="132">
        <v>502.54</v>
      </c>
      <c r="K594" s="39">
        <f t="shared" si="1"/>
        <v>4879707.54</v>
      </c>
      <c r="L594" s="39">
        <f t="shared" si="2"/>
        <v>3669547.08</v>
      </c>
      <c r="M594" s="39">
        <f t="shared" si="3"/>
        <v>1210160.46</v>
      </c>
      <c r="N594" s="38" t="str">
        <f>VLOOKUP(F594,products!$A$2:$B$13,2,FALSE)</f>
        <v>Household</v>
      </c>
      <c r="O594" s="133">
        <f t="shared" si="4"/>
        <v>0.7520014365</v>
      </c>
      <c r="P594" s="38" t="str">
        <f>VLOOKUP(E594,countries!A$2:E$250,3,false)</f>
        <v>Cyprus</v>
      </c>
      <c r="Q594" s="38" t="str">
        <f>VLOOKUP($E594,countries!$A$2:$E$250,4,false)</f>
        <v>Asia</v>
      </c>
      <c r="R594" s="38" t="str">
        <f>VLOOKUP($E594,countries!$A$2:$E$250,5,false)</f>
        <v>Western Asia</v>
      </c>
      <c r="S594" s="38">
        <f t="shared" si="5"/>
        <v>22</v>
      </c>
      <c r="T594" s="38" t="s">
        <v>148</v>
      </c>
      <c r="U594" s="38">
        <v>2013.0</v>
      </c>
      <c r="V594" s="38">
        <v>3.0</v>
      </c>
      <c r="W594" s="38" t="s">
        <v>108</v>
      </c>
      <c r="X594" s="38" t="s">
        <v>175</v>
      </c>
      <c r="Y594" s="38" t="s">
        <v>165</v>
      </c>
      <c r="Z594" s="38" t="s">
        <v>166</v>
      </c>
      <c r="AA594" s="113" t="str">
        <f t="array" ref="AA594">PROPER(G594)</f>
        <v>Online</v>
      </c>
    </row>
    <row r="595">
      <c r="A595" s="110">
        <v>4.95450627E8</v>
      </c>
      <c r="B595" s="131">
        <v>41227.0</v>
      </c>
      <c r="C595" s="131">
        <v>41269.0</v>
      </c>
      <c r="D595" s="110" t="s">
        <v>93</v>
      </c>
      <c r="E595" s="110" t="s">
        <v>109</v>
      </c>
      <c r="F595" s="110">
        <v>2103.0</v>
      </c>
      <c r="G595" s="38" t="s">
        <v>42</v>
      </c>
      <c r="H595" s="110">
        <v>3705.0</v>
      </c>
      <c r="I595" s="132">
        <v>205.7</v>
      </c>
      <c r="J595" s="132">
        <v>117.11</v>
      </c>
      <c r="K595" s="39">
        <f t="shared" si="1"/>
        <v>762118.5</v>
      </c>
      <c r="L595" s="39">
        <f t="shared" si="2"/>
        <v>433892.55</v>
      </c>
      <c r="M595" s="39">
        <f t="shared" si="3"/>
        <v>328225.95</v>
      </c>
      <c r="N595" s="38" t="str">
        <f>VLOOKUP(F595,products!$A$2:$B$13,2,FALSE)</f>
        <v>Cereal</v>
      </c>
      <c r="O595" s="133">
        <f t="shared" si="4"/>
        <v>0.5693242586</v>
      </c>
      <c r="P595" s="38" t="str">
        <f>VLOOKUP(E595,countries!A$2:E$250,3,false)</f>
        <v>Belgium</v>
      </c>
      <c r="Q595" s="38" t="str">
        <f>VLOOKUP($E595,countries!$A$2:$E$250,4,false)</f>
        <v>Europe</v>
      </c>
      <c r="R595" s="38" t="str">
        <f>VLOOKUP($E595,countries!$A$2:$E$250,5,false)</f>
        <v>Western Europe</v>
      </c>
      <c r="S595" s="38">
        <f t="shared" si="5"/>
        <v>42</v>
      </c>
      <c r="T595" s="38" t="s">
        <v>144</v>
      </c>
      <c r="U595" s="38">
        <v>2012.0</v>
      </c>
      <c r="V595" s="38">
        <v>11.0</v>
      </c>
      <c r="W595" s="38" t="s">
        <v>109</v>
      </c>
      <c r="X595" s="38" t="s">
        <v>176</v>
      </c>
      <c r="Y595" s="38" t="s">
        <v>146</v>
      </c>
      <c r="Z595" s="38" t="s">
        <v>158</v>
      </c>
      <c r="AA595" s="113" t="str">
        <f t="array" ref="AA595">PROPER(G595)</f>
        <v>Offline</v>
      </c>
    </row>
    <row r="596">
      <c r="A596" s="110">
        <v>4.95593106E8</v>
      </c>
      <c r="B596" s="131">
        <v>42262.0</v>
      </c>
      <c r="C596" s="131">
        <v>42285.0</v>
      </c>
      <c r="D596" s="110" t="s">
        <v>89</v>
      </c>
      <c r="E596" s="110" t="s">
        <v>96</v>
      </c>
      <c r="F596" s="110">
        <v>1270.0</v>
      </c>
      <c r="G596" s="38" t="s">
        <v>42</v>
      </c>
      <c r="H596" s="110">
        <v>5868.0</v>
      </c>
      <c r="I596" s="132">
        <v>47.45</v>
      </c>
      <c r="J596" s="132">
        <v>31.79</v>
      </c>
      <c r="K596" s="39">
        <f t="shared" si="1"/>
        <v>278436.6</v>
      </c>
      <c r="L596" s="39">
        <f t="shared" si="2"/>
        <v>186543.72</v>
      </c>
      <c r="M596" s="39">
        <f t="shared" si="3"/>
        <v>91892.88</v>
      </c>
      <c r="N596" s="38" t="str">
        <f>VLOOKUP(F596,products!$A$2:$B$13,2,FALSE)</f>
        <v>Beverages</v>
      </c>
      <c r="O596" s="133">
        <f t="shared" si="4"/>
        <v>0.6699683878</v>
      </c>
      <c r="P596" s="38" t="str">
        <f>VLOOKUP(E596,countries!A$2:E$250,3,false)</f>
        <v>Slovakia</v>
      </c>
      <c r="Q596" s="38" t="str">
        <f>VLOOKUP($E596,countries!$A$2:$E$250,4,false)</f>
        <v>Europe</v>
      </c>
      <c r="R596" s="38" t="str">
        <f>VLOOKUP($E596,countries!$A$2:$E$250,5,false)</f>
        <v>Eastern Europe</v>
      </c>
      <c r="S596" s="38">
        <f t="shared" si="5"/>
        <v>23</v>
      </c>
      <c r="T596" s="38" t="s">
        <v>152</v>
      </c>
      <c r="U596" s="38">
        <v>2015.0</v>
      </c>
      <c r="V596" s="38">
        <v>9.0</v>
      </c>
      <c r="W596" s="38" t="s">
        <v>96</v>
      </c>
      <c r="X596" s="38" t="s">
        <v>154</v>
      </c>
      <c r="Y596" s="38" t="s">
        <v>146</v>
      </c>
      <c r="Z596" s="38" t="s">
        <v>155</v>
      </c>
      <c r="AA596" s="113" t="str">
        <f t="array" ref="AA596">PROPER(G596)</f>
        <v>Offline</v>
      </c>
    </row>
    <row r="597">
      <c r="A597" s="110">
        <v>4.95631301E8</v>
      </c>
      <c r="B597" s="131">
        <v>41065.0</v>
      </c>
      <c r="C597" s="131">
        <v>41108.0</v>
      </c>
      <c r="D597" s="110" t="s">
        <v>89</v>
      </c>
      <c r="E597" s="110" t="s">
        <v>123</v>
      </c>
      <c r="F597" s="110">
        <v>5988.0</v>
      </c>
      <c r="G597" s="38" t="s">
        <v>43</v>
      </c>
      <c r="H597" s="110">
        <v>7171.0</v>
      </c>
      <c r="I597" s="132">
        <v>154.06</v>
      </c>
      <c r="J597" s="132">
        <v>90.93</v>
      </c>
      <c r="K597" s="39">
        <f t="shared" si="1"/>
        <v>1104764.26</v>
      </c>
      <c r="L597" s="39">
        <f t="shared" si="2"/>
        <v>652059.03</v>
      </c>
      <c r="M597" s="39">
        <f t="shared" si="3"/>
        <v>452705.23</v>
      </c>
      <c r="N597" s="38" t="str">
        <f>VLOOKUP(F597,products!$A$2:$B$13,2,FALSE)</f>
        <v>Vegetables</v>
      </c>
      <c r="O597" s="133">
        <f t="shared" si="4"/>
        <v>0.5902245878</v>
      </c>
      <c r="P597" s="38" t="str">
        <f>VLOOKUP(E597,countries!A$2:E$250,3,false)</f>
        <v>Hungary</v>
      </c>
      <c r="Q597" s="38" t="str">
        <f>VLOOKUP($E597,countries!$A$2:$E$250,4,false)</f>
        <v>Europe</v>
      </c>
      <c r="R597" s="38" t="str">
        <f>VLOOKUP($E597,countries!$A$2:$E$250,5,false)</f>
        <v>Eastern Europe</v>
      </c>
      <c r="S597" s="38">
        <f t="shared" si="5"/>
        <v>43</v>
      </c>
      <c r="T597" s="38" t="s">
        <v>159</v>
      </c>
      <c r="U597" s="38">
        <v>2012.0</v>
      </c>
      <c r="V597" s="38">
        <v>6.0</v>
      </c>
      <c r="W597" s="38" t="s">
        <v>123</v>
      </c>
      <c r="X597" s="38" t="s">
        <v>194</v>
      </c>
      <c r="Y597" s="38" t="s">
        <v>146</v>
      </c>
      <c r="Z597" s="38" t="s">
        <v>155</v>
      </c>
      <c r="AA597" s="113" t="str">
        <f t="array" ref="AA597">PROPER(G597)</f>
        <v>Online</v>
      </c>
    </row>
    <row r="598">
      <c r="A598" s="110">
        <v>4.96826493E8</v>
      </c>
      <c r="B598" s="131">
        <v>41210.0</v>
      </c>
      <c r="C598" s="131">
        <v>41254.0</v>
      </c>
      <c r="D598" s="110" t="s">
        <v>93</v>
      </c>
      <c r="E598" s="110" t="s">
        <v>102</v>
      </c>
      <c r="F598" s="110">
        <v>4594.0</v>
      </c>
      <c r="G598" s="38" t="s">
        <v>43</v>
      </c>
      <c r="H598" s="110">
        <v>855.0</v>
      </c>
      <c r="I598" s="132">
        <v>9.33</v>
      </c>
      <c r="J598" s="132">
        <v>6.92</v>
      </c>
      <c r="K598" s="39">
        <f t="shared" si="1"/>
        <v>7977.15</v>
      </c>
      <c r="L598" s="39">
        <f t="shared" si="2"/>
        <v>5916.6</v>
      </c>
      <c r="M598" s="39">
        <f t="shared" si="3"/>
        <v>2060.55</v>
      </c>
      <c r="N598" s="38" t="str">
        <f>VLOOKUP(F598,products!$A$2:$B$13,2,FALSE)</f>
        <v>Fruits</v>
      </c>
      <c r="O598" s="133">
        <f t="shared" si="4"/>
        <v>0.741693462</v>
      </c>
      <c r="P598" s="38" t="str">
        <f>VLOOKUP(E598,countries!A$2:E$250,3,false)</f>
        <v>Georgia</v>
      </c>
      <c r="Q598" s="38" t="str">
        <f>VLOOKUP($E598,countries!$A$2:$E$250,4,false)</f>
        <v>Asia</v>
      </c>
      <c r="R598" s="38" t="str">
        <f>VLOOKUP($E598,countries!$A$2:$E$250,5,false)</f>
        <v>Western Asia</v>
      </c>
      <c r="S598" s="38">
        <f t="shared" si="5"/>
        <v>44</v>
      </c>
      <c r="T598" s="38" t="s">
        <v>156</v>
      </c>
      <c r="U598" s="38">
        <v>2012.0</v>
      </c>
      <c r="V598" s="38">
        <v>10.0</v>
      </c>
      <c r="W598" s="38" t="s">
        <v>102</v>
      </c>
      <c r="X598" s="38" t="s">
        <v>168</v>
      </c>
      <c r="Y598" s="38" t="s">
        <v>165</v>
      </c>
      <c r="Z598" s="38" t="s">
        <v>166</v>
      </c>
      <c r="AA598" s="113" t="str">
        <f t="array" ref="AA598">PROPER(G598)</f>
        <v>Online</v>
      </c>
    </row>
    <row r="599">
      <c r="A599" s="110">
        <v>4.97466361E8</v>
      </c>
      <c r="B599" s="131">
        <v>42102.0</v>
      </c>
      <c r="C599" s="131">
        <v>42125.0</v>
      </c>
      <c r="D599" s="110" t="s">
        <v>10</v>
      </c>
      <c r="E599" s="110" t="s">
        <v>109</v>
      </c>
      <c r="F599" s="110">
        <v>7940.0</v>
      </c>
      <c r="G599" s="38" t="s">
        <v>42</v>
      </c>
      <c r="H599" s="110">
        <v>206.0</v>
      </c>
      <c r="I599" s="132">
        <v>668.27</v>
      </c>
      <c r="J599" s="132">
        <v>502.54</v>
      </c>
      <c r="K599" s="39">
        <f t="shared" si="1"/>
        <v>137663.62</v>
      </c>
      <c r="L599" s="39">
        <f t="shared" si="2"/>
        <v>103523.24</v>
      </c>
      <c r="M599" s="39">
        <f t="shared" si="3"/>
        <v>34140.38</v>
      </c>
      <c r="N599" s="38" t="str">
        <f>VLOOKUP(F599,products!$A$2:$B$13,2,FALSE)</f>
        <v>Household</v>
      </c>
      <c r="O599" s="133">
        <f t="shared" si="4"/>
        <v>0.7520014365</v>
      </c>
      <c r="P599" s="38" t="str">
        <f>VLOOKUP(E599,countries!A$2:E$250,3,false)</f>
        <v>Belgium</v>
      </c>
      <c r="Q599" s="38" t="str">
        <f>VLOOKUP($E599,countries!$A$2:$E$250,4,false)</f>
        <v>Europe</v>
      </c>
      <c r="R599" s="38" t="str">
        <f>VLOOKUP($E599,countries!$A$2:$E$250,5,false)</f>
        <v>Western Europe</v>
      </c>
      <c r="S599" s="38">
        <f t="shared" si="5"/>
        <v>23</v>
      </c>
      <c r="T599" s="38" t="s">
        <v>148</v>
      </c>
      <c r="U599" s="38">
        <v>2015.0</v>
      </c>
      <c r="V599" s="38">
        <v>4.0</v>
      </c>
      <c r="W599" s="38" t="s">
        <v>109</v>
      </c>
      <c r="X599" s="38" t="s">
        <v>176</v>
      </c>
      <c r="Y599" s="38" t="s">
        <v>146</v>
      </c>
      <c r="Z599" s="38" t="s">
        <v>158</v>
      </c>
      <c r="AA599" s="113" t="str">
        <f t="array" ref="AA599">PROPER(G599)</f>
        <v>Offline</v>
      </c>
    </row>
    <row r="600">
      <c r="A600" s="110">
        <v>4.97506701E8</v>
      </c>
      <c r="B600" s="131">
        <v>42112.0</v>
      </c>
      <c r="C600" s="131">
        <v>42134.0</v>
      </c>
      <c r="D600" s="110" t="s">
        <v>95</v>
      </c>
      <c r="E600" s="110" t="s">
        <v>127</v>
      </c>
      <c r="F600" s="110">
        <v>7331.0</v>
      </c>
      <c r="G600" s="38" t="s">
        <v>43</v>
      </c>
      <c r="H600" s="110">
        <v>2144.0</v>
      </c>
      <c r="I600" s="132">
        <v>255.28</v>
      </c>
      <c r="J600" s="132">
        <v>159.42</v>
      </c>
      <c r="K600" s="39">
        <f t="shared" si="1"/>
        <v>547320.32</v>
      </c>
      <c r="L600" s="39">
        <f t="shared" si="2"/>
        <v>341796.48</v>
      </c>
      <c r="M600" s="39">
        <f t="shared" si="3"/>
        <v>205523.84</v>
      </c>
      <c r="N600" s="38" t="str">
        <f>VLOOKUP(F600,products!$A$2:$B$13,2,FALSE)</f>
        <v>Baby Food</v>
      </c>
      <c r="O600" s="133">
        <f t="shared" si="4"/>
        <v>0.6244907552</v>
      </c>
      <c r="P600" s="38" t="str">
        <f>VLOOKUP(E600,countries!A$2:E$250,3,false)</f>
        <v>Ireland</v>
      </c>
      <c r="Q600" s="38" t="str">
        <f>VLOOKUP($E600,countries!$A$2:$E$250,4,false)</f>
        <v>Europe</v>
      </c>
      <c r="R600" s="38" t="str">
        <f>VLOOKUP($E600,countries!$A$2:$E$250,5,false)</f>
        <v>Northern Europe</v>
      </c>
      <c r="S600" s="38">
        <f t="shared" si="5"/>
        <v>22</v>
      </c>
      <c r="T600" s="38" t="s">
        <v>161</v>
      </c>
      <c r="U600" s="38">
        <v>2015.0</v>
      </c>
      <c r="V600" s="38">
        <v>4.0</v>
      </c>
      <c r="W600" s="38" t="s">
        <v>127</v>
      </c>
      <c r="X600" s="38" t="s">
        <v>198</v>
      </c>
      <c r="Y600" s="38" t="s">
        <v>146</v>
      </c>
      <c r="Z600" s="38" t="s">
        <v>170</v>
      </c>
      <c r="AA600" s="113" t="str">
        <f t="array" ref="AA600">PROPER(G600)</f>
        <v>Online</v>
      </c>
    </row>
    <row r="601">
      <c r="A601" s="110">
        <v>4.97554337E8</v>
      </c>
      <c r="B601" s="131">
        <v>41800.0</v>
      </c>
      <c r="C601" s="131">
        <v>41848.0</v>
      </c>
      <c r="D601" s="110" t="s">
        <v>95</v>
      </c>
      <c r="E601" s="110" t="s">
        <v>108</v>
      </c>
      <c r="F601" s="110">
        <v>2455.0</v>
      </c>
      <c r="G601" s="38" t="s">
        <v>43</v>
      </c>
      <c r="H601" s="110">
        <v>6240.0</v>
      </c>
      <c r="I601" s="132">
        <v>109.28</v>
      </c>
      <c r="J601" s="132">
        <v>35.84</v>
      </c>
      <c r="K601" s="39">
        <f t="shared" si="1"/>
        <v>681907.2</v>
      </c>
      <c r="L601" s="39">
        <f t="shared" si="2"/>
        <v>223641.6</v>
      </c>
      <c r="M601" s="39">
        <f t="shared" si="3"/>
        <v>458265.6</v>
      </c>
      <c r="N601" s="38" t="str">
        <f>VLOOKUP(F601,products!$A$2:$B$13,2,FALSE)</f>
        <v>Clothes</v>
      </c>
      <c r="O601" s="133">
        <f t="shared" si="4"/>
        <v>0.3279648609</v>
      </c>
      <c r="P601" s="38" t="str">
        <f>VLOOKUP(E601,countries!A$2:E$250,3,false)</f>
        <v>Cyprus</v>
      </c>
      <c r="Q601" s="38" t="str">
        <f>VLOOKUP($E601,countries!$A$2:$E$250,4,false)</f>
        <v>Asia</v>
      </c>
      <c r="R601" s="38" t="str">
        <f>VLOOKUP($E601,countries!$A$2:$E$250,5,false)</f>
        <v>Western Asia</v>
      </c>
      <c r="S601" s="38">
        <f t="shared" si="5"/>
        <v>48</v>
      </c>
      <c r="T601" s="38" t="s">
        <v>150</v>
      </c>
      <c r="U601" s="38">
        <v>2014.0</v>
      </c>
      <c r="V601" s="38">
        <v>6.0</v>
      </c>
      <c r="W601" s="38" t="s">
        <v>108</v>
      </c>
      <c r="X601" s="38" t="s">
        <v>175</v>
      </c>
      <c r="Y601" s="38" t="s">
        <v>165</v>
      </c>
      <c r="Z601" s="38" t="s">
        <v>166</v>
      </c>
      <c r="AA601" s="113" t="str">
        <f t="array" ref="AA601">PROPER(G601)</f>
        <v>Online</v>
      </c>
    </row>
    <row r="602">
      <c r="A602" s="110">
        <v>4.98089492E8</v>
      </c>
      <c r="B602" s="131">
        <v>42431.0</v>
      </c>
      <c r="C602" s="131">
        <v>42451.0</v>
      </c>
      <c r="D602" s="110" t="s">
        <v>93</v>
      </c>
      <c r="E602" s="110" t="s">
        <v>108</v>
      </c>
      <c r="F602" s="110">
        <v>8875.0</v>
      </c>
      <c r="G602" s="38" t="s">
        <v>43</v>
      </c>
      <c r="H602" s="110">
        <v>4604.0</v>
      </c>
      <c r="I602" s="132">
        <v>421.89</v>
      </c>
      <c r="J602" s="132">
        <v>364.69</v>
      </c>
      <c r="K602" s="39">
        <f t="shared" si="1"/>
        <v>1942381.56</v>
      </c>
      <c r="L602" s="39">
        <f t="shared" si="2"/>
        <v>1679032.76</v>
      </c>
      <c r="M602" s="39">
        <f t="shared" si="3"/>
        <v>263348.8</v>
      </c>
      <c r="N602" s="38" t="str">
        <f>VLOOKUP(F602,products!$A$2:$B$13,2,FALSE)</f>
        <v>Meat</v>
      </c>
      <c r="O602" s="133">
        <f t="shared" si="4"/>
        <v>0.8644196354</v>
      </c>
      <c r="P602" s="38" t="str">
        <f>VLOOKUP(E602,countries!A$2:E$250,3,false)</f>
        <v>Cyprus</v>
      </c>
      <c r="Q602" s="38" t="str">
        <f>VLOOKUP($E602,countries!$A$2:$E$250,4,false)</f>
        <v>Asia</v>
      </c>
      <c r="R602" s="38" t="str">
        <f>VLOOKUP($E602,countries!$A$2:$E$250,5,false)</f>
        <v>Western Asia</v>
      </c>
      <c r="S602" s="38">
        <f t="shared" si="5"/>
        <v>20</v>
      </c>
      <c r="T602" s="38" t="s">
        <v>167</v>
      </c>
      <c r="U602" s="38">
        <v>2016.0</v>
      </c>
      <c r="V602" s="38">
        <v>3.0</v>
      </c>
      <c r="W602" s="38" t="s">
        <v>108</v>
      </c>
      <c r="X602" s="38" t="s">
        <v>175</v>
      </c>
      <c r="Y602" s="38" t="s">
        <v>165</v>
      </c>
      <c r="Z602" s="38" t="s">
        <v>166</v>
      </c>
      <c r="AA602" s="113" t="str">
        <f t="array" ref="AA602">PROPER(G602)</f>
        <v>Online</v>
      </c>
    </row>
    <row r="603">
      <c r="A603" s="110">
        <v>4.98201072E8</v>
      </c>
      <c r="B603" s="131">
        <v>41576.0</v>
      </c>
      <c r="C603" s="131">
        <v>41585.0</v>
      </c>
      <c r="D603" s="110" t="s">
        <v>95</v>
      </c>
      <c r="E603" s="110" t="s">
        <v>104</v>
      </c>
      <c r="F603" s="110">
        <v>8293.0</v>
      </c>
      <c r="G603" s="38" t="s">
        <v>43</v>
      </c>
      <c r="H603" s="110">
        <v>7623.0</v>
      </c>
      <c r="I603" s="132">
        <v>437.2</v>
      </c>
      <c r="J603" s="132">
        <v>263.33</v>
      </c>
      <c r="K603" s="39">
        <f t="shared" si="1"/>
        <v>3332775.6</v>
      </c>
      <c r="L603" s="39">
        <f t="shared" si="2"/>
        <v>2007364.59</v>
      </c>
      <c r="M603" s="39">
        <f t="shared" si="3"/>
        <v>1325411.01</v>
      </c>
      <c r="N603" s="38" t="str">
        <f>VLOOKUP(F603,products!$A$2:$B$13,2,FALSE)</f>
        <v>Cosmetics</v>
      </c>
      <c r="O603" s="133">
        <f t="shared" si="4"/>
        <v>0.6023101555</v>
      </c>
      <c r="P603" s="38" t="str">
        <f>VLOOKUP(E603,countries!A$2:E$250,3,false)</f>
        <v>Slovenia</v>
      </c>
      <c r="Q603" s="38" t="str">
        <f>VLOOKUP($E603,countries!$A$2:$E$250,4,false)</f>
        <v>Europe</v>
      </c>
      <c r="R603" s="38" t="str">
        <f>VLOOKUP($E603,countries!$A$2:$E$250,5,false)</f>
        <v>Southern Europe</v>
      </c>
      <c r="S603" s="38">
        <f t="shared" si="5"/>
        <v>9</v>
      </c>
      <c r="T603" s="38" t="s">
        <v>178</v>
      </c>
      <c r="U603" s="38">
        <v>2013.0</v>
      </c>
      <c r="V603" s="38">
        <v>10.0</v>
      </c>
      <c r="W603" s="38" t="s">
        <v>104</v>
      </c>
      <c r="X603" s="38" t="s">
        <v>171</v>
      </c>
      <c r="Y603" s="38" t="s">
        <v>146</v>
      </c>
      <c r="Z603" s="38" t="s">
        <v>147</v>
      </c>
      <c r="AA603" s="113" t="str">
        <f t="array" ref="AA603">PROPER(G603)</f>
        <v>Online</v>
      </c>
    </row>
    <row r="604">
      <c r="A604" s="110">
        <v>4.9894694E8</v>
      </c>
      <c r="B604" s="131">
        <v>42347.0</v>
      </c>
      <c r="C604" s="131">
        <v>42380.0</v>
      </c>
      <c r="D604" s="110" t="s">
        <v>10</v>
      </c>
      <c r="E604" s="110" t="s">
        <v>133</v>
      </c>
      <c r="F604" s="110">
        <v>8875.0</v>
      </c>
      <c r="G604" s="38" t="s">
        <v>42</v>
      </c>
      <c r="H604" s="110">
        <v>8342.0</v>
      </c>
      <c r="I604" s="132">
        <v>421.89</v>
      </c>
      <c r="J604" s="132">
        <v>364.69</v>
      </c>
      <c r="K604" s="39">
        <f t="shared" si="1"/>
        <v>3519406.38</v>
      </c>
      <c r="L604" s="39">
        <f t="shared" si="2"/>
        <v>3042243.98</v>
      </c>
      <c r="M604" s="39">
        <f t="shared" si="3"/>
        <v>477162.4</v>
      </c>
      <c r="N604" s="38" t="str">
        <f>VLOOKUP(F604,products!$A$2:$B$13,2,FALSE)</f>
        <v>Meat</v>
      </c>
      <c r="O604" s="133">
        <f t="shared" si="4"/>
        <v>0.8644196354</v>
      </c>
      <c r="P604" s="38" t="str">
        <f>VLOOKUP(E604,countries!A$2:E$250,3,false)</f>
        <v>Bosnia and Herzegovina</v>
      </c>
      <c r="Q604" s="38" t="str">
        <f>VLOOKUP($E604,countries!$A$2:$E$250,4,false)</f>
        <v>Europe</v>
      </c>
      <c r="R604" s="38" t="str">
        <f>VLOOKUP($E604,countries!$A$2:$E$250,5,false)</f>
        <v>Southern Europe</v>
      </c>
      <c r="S604" s="38">
        <f t="shared" si="5"/>
        <v>33</v>
      </c>
      <c r="T604" s="38" t="s">
        <v>167</v>
      </c>
      <c r="U604" s="38">
        <v>2015.0</v>
      </c>
      <c r="V604" s="38">
        <v>12.0</v>
      </c>
      <c r="W604" s="38" t="s">
        <v>133</v>
      </c>
      <c r="X604" s="38" t="s">
        <v>204</v>
      </c>
      <c r="Y604" s="38" t="s">
        <v>146</v>
      </c>
      <c r="Z604" s="38" t="s">
        <v>147</v>
      </c>
      <c r="AA604" s="113" t="str">
        <f t="array" ref="AA604">PROPER(G604)</f>
        <v>Offline</v>
      </c>
    </row>
    <row r="605">
      <c r="A605" s="110">
        <v>4.99101436E8</v>
      </c>
      <c r="B605" s="131">
        <v>40737.0</v>
      </c>
      <c r="C605" s="131">
        <v>40783.0</v>
      </c>
      <c r="D605" s="110" t="s">
        <v>10</v>
      </c>
      <c r="E605" s="110" t="e">
        <v>#N/A</v>
      </c>
      <c r="F605" s="110">
        <v>8969.0</v>
      </c>
      <c r="G605" s="38" t="s">
        <v>42</v>
      </c>
      <c r="H605" s="110">
        <v>4061.0</v>
      </c>
      <c r="I605" s="132">
        <v>152.58</v>
      </c>
      <c r="J605" s="132">
        <v>97.44</v>
      </c>
      <c r="K605" s="39">
        <f t="shared" si="1"/>
        <v>619627.38</v>
      </c>
      <c r="L605" s="39">
        <f t="shared" si="2"/>
        <v>395703.84</v>
      </c>
      <c r="M605" s="39">
        <f t="shared" si="3"/>
        <v>223923.54</v>
      </c>
      <c r="N605" s="38" t="str">
        <f>VLOOKUP(F605,products!$A$2:$B$13,2,FALSE)</f>
        <v>Snacks</v>
      </c>
      <c r="O605" s="133">
        <f t="shared" si="4"/>
        <v>0.6386158081</v>
      </c>
      <c r="P605" s="38" t="str">
        <f>VLOOKUP(E605,countries!A$2:E$250,3,false)</f>
        <v>#N/A</v>
      </c>
      <c r="Q605" s="38" t="str">
        <f>VLOOKUP($E605,countries!$A$2:$E$250,4,false)</f>
        <v>#N/A</v>
      </c>
      <c r="R605" s="38" t="str">
        <f>VLOOKUP($E605,countries!$A$2:$E$250,5,false)</f>
        <v>#N/A</v>
      </c>
      <c r="S605" s="38">
        <f t="shared" si="5"/>
        <v>46</v>
      </c>
      <c r="T605" s="38" t="s">
        <v>182</v>
      </c>
      <c r="U605" s="38">
        <v>2011.0</v>
      </c>
      <c r="V605" s="38">
        <v>7.0</v>
      </c>
      <c r="W605" s="38" t="s">
        <v>92</v>
      </c>
      <c r="X605" s="38" t="s">
        <v>149</v>
      </c>
      <c r="Y605" s="38" t="s">
        <v>149</v>
      </c>
      <c r="Z605" s="38" t="s">
        <v>149</v>
      </c>
      <c r="AA605" s="113" t="str">
        <f t="array" ref="AA605">PROPER(G605)</f>
        <v>Offline</v>
      </c>
    </row>
    <row r="606">
      <c r="A606" s="110">
        <v>5.04024684E8</v>
      </c>
      <c r="B606" s="131">
        <v>42352.0</v>
      </c>
      <c r="C606" s="131">
        <v>42383.0</v>
      </c>
      <c r="D606" s="110" t="s">
        <v>95</v>
      </c>
      <c r="E606" s="110" t="s">
        <v>113</v>
      </c>
      <c r="F606" s="110">
        <v>2103.0</v>
      </c>
      <c r="G606" s="38" t="s">
        <v>43</v>
      </c>
      <c r="H606" s="110">
        <v>959.0</v>
      </c>
      <c r="I606" s="132">
        <v>205.7</v>
      </c>
      <c r="J606" s="132">
        <v>117.11</v>
      </c>
      <c r="K606" s="39">
        <f t="shared" si="1"/>
        <v>197266.3</v>
      </c>
      <c r="L606" s="39">
        <f t="shared" si="2"/>
        <v>112308.49</v>
      </c>
      <c r="M606" s="39">
        <f t="shared" si="3"/>
        <v>84957.81</v>
      </c>
      <c r="N606" s="38" t="str">
        <f>VLOOKUP(F606,products!$A$2:$B$13,2,FALSE)</f>
        <v>Cereal</v>
      </c>
      <c r="O606" s="133">
        <f t="shared" si="4"/>
        <v>0.5693242586</v>
      </c>
      <c r="P606" s="38" t="str">
        <f>VLOOKUP(E606,countries!A$2:E$250,3,false)</f>
        <v>Ukraine</v>
      </c>
      <c r="Q606" s="38" t="str">
        <f>VLOOKUP($E606,countries!$A$2:$E$250,4,false)</f>
        <v>Europe</v>
      </c>
      <c r="R606" s="38" t="str">
        <f>VLOOKUP($E606,countries!$A$2:$E$250,5,false)</f>
        <v>Eastern Europe</v>
      </c>
      <c r="S606" s="38">
        <f t="shared" si="5"/>
        <v>31</v>
      </c>
      <c r="T606" s="38" t="s">
        <v>144</v>
      </c>
      <c r="U606" s="38">
        <v>2015.0</v>
      </c>
      <c r="V606" s="38">
        <v>12.0</v>
      </c>
      <c r="W606" s="38" t="s">
        <v>113</v>
      </c>
      <c r="X606" s="38" t="s">
        <v>181</v>
      </c>
      <c r="Y606" s="38" t="s">
        <v>146</v>
      </c>
      <c r="Z606" s="38" t="s">
        <v>155</v>
      </c>
      <c r="AA606" s="113" t="str">
        <f t="array" ref="AA606">PROPER(G606)</f>
        <v>Online</v>
      </c>
    </row>
    <row r="607">
      <c r="A607" s="110">
        <v>5.04973971E8</v>
      </c>
      <c r="B607" s="131">
        <v>40819.0</v>
      </c>
      <c r="C607" s="131">
        <v>40849.0</v>
      </c>
      <c r="D607" s="110" t="s">
        <v>89</v>
      </c>
      <c r="E607" s="110" t="s">
        <v>128</v>
      </c>
      <c r="F607" s="110">
        <v>8875.0</v>
      </c>
      <c r="G607" s="38" t="s">
        <v>43</v>
      </c>
      <c r="H607" s="110">
        <v>1875.0</v>
      </c>
      <c r="I607" s="132">
        <v>421.89</v>
      </c>
      <c r="J607" s="132">
        <v>364.69</v>
      </c>
      <c r="K607" s="39">
        <f t="shared" si="1"/>
        <v>791043.75</v>
      </c>
      <c r="L607" s="39">
        <f t="shared" si="2"/>
        <v>683793.75</v>
      </c>
      <c r="M607" s="39">
        <f t="shared" si="3"/>
        <v>107250</v>
      </c>
      <c r="N607" s="38" t="str">
        <f>VLOOKUP(F607,products!$A$2:$B$13,2,FALSE)</f>
        <v>Meat</v>
      </c>
      <c r="O607" s="133">
        <f t="shared" si="4"/>
        <v>0.8644196354</v>
      </c>
      <c r="P607" s="38" t="str">
        <f>VLOOKUP(E607,countries!A$2:E$250,3,false)</f>
        <v>Andorra</v>
      </c>
      <c r="Q607" s="38" t="str">
        <f>VLOOKUP($E607,countries!$A$2:$E$250,4,false)</f>
        <v>Europe</v>
      </c>
      <c r="R607" s="38" t="str">
        <f>VLOOKUP($E607,countries!$A$2:$E$250,5,false)</f>
        <v>Southern Europe</v>
      </c>
      <c r="S607" s="38">
        <f t="shared" si="5"/>
        <v>30</v>
      </c>
      <c r="T607" s="38" t="s">
        <v>167</v>
      </c>
      <c r="U607" s="38">
        <v>2011.0</v>
      </c>
      <c r="V607" s="38">
        <v>10.0</v>
      </c>
      <c r="W607" s="38" t="s">
        <v>128</v>
      </c>
      <c r="X607" s="38" t="s">
        <v>199</v>
      </c>
      <c r="Y607" s="38" t="s">
        <v>146</v>
      </c>
      <c r="Z607" s="38" t="s">
        <v>147</v>
      </c>
      <c r="AA607" s="113" t="str">
        <f t="array" ref="AA607">PROPER(G607)</f>
        <v>Online</v>
      </c>
    </row>
    <row r="608">
      <c r="A608" s="110">
        <v>5.0586704E8</v>
      </c>
      <c r="B608" s="131">
        <v>40302.0</v>
      </c>
      <c r="C608" s="131">
        <v>40341.0</v>
      </c>
      <c r="D608" s="110" t="s">
        <v>93</v>
      </c>
      <c r="E608" s="110" t="s">
        <v>125</v>
      </c>
      <c r="F608" s="110">
        <v>2455.0</v>
      </c>
      <c r="G608" s="38" t="s">
        <v>42</v>
      </c>
      <c r="H608" s="110">
        <v>6153.0</v>
      </c>
      <c r="I608" s="132">
        <v>109.28</v>
      </c>
      <c r="J608" s="132">
        <v>35.84</v>
      </c>
      <c r="K608" s="39">
        <f t="shared" si="1"/>
        <v>672399.84</v>
      </c>
      <c r="L608" s="39">
        <f t="shared" si="2"/>
        <v>220523.52</v>
      </c>
      <c r="M608" s="39">
        <f t="shared" si="3"/>
        <v>451876.32</v>
      </c>
      <c r="N608" s="38" t="str">
        <f>VLOOKUP(F608,products!$A$2:$B$13,2,FALSE)</f>
        <v>Clothes</v>
      </c>
      <c r="O608" s="133">
        <f t="shared" si="4"/>
        <v>0.3279648609</v>
      </c>
      <c r="P608" s="38" t="str">
        <f>VLOOKUP(E608,countries!A$2:E$250,3,false)</f>
        <v>Bulgaria</v>
      </c>
      <c r="Q608" s="38" t="str">
        <f>VLOOKUP($E608,countries!$A$2:$E$250,4,false)</f>
        <v>Europe</v>
      </c>
      <c r="R608" s="38" t="str">
        <f>VLOOKUP($E608,countries!$A$2:$E$250,5,false)</f>
        <v>Eastern Europe</v>
      </c>
      <c r="S608" s="38">
        <f t="shared" si="5"/>
        <v>39</v>
      </c>
      <c r="T608" s="38" t="s">
        <v>150</v>
      </c>
      <c r="U608" s="38">
        <v>2010.0</v>
      </c>
      <c r="V608" s="38">
        <v>5.0</v>
      </c>
      <c r="W608" s="38" t="s">
        <v>125</v>
      </c>
      <c r="X608" s="38" t="s">
        <v>196</v>
      </c>
      <c r="Y608" s="38" t="s">
        <v>146</v>
      </c>
      <c r="Z608" s="38" t="s">
        <v>155</v>
      </c>
      <c r="AA608" s="113" t="str">
        <f t="array" ref="AA608">PROPER(G608)</f>
        <v>Offline</v>
      </c>
    </row>
    <row r="609">
      <c r="A609" s="110">
        <v>5.07040774E8</v>
      </c>
      <c r="B609" s="131">
        <v>42207.0</v>
      </c>
      <c r="C609" s="131">
        <v>42210.0</v>
      </c>
      <c r="D609" s="110" t="s">
        <v>93</v>
      </c>
      <c r="E609" s="110" t="s">
        <v>117</v>
      </c>
      <c r="F609" s="110">
        <v>8969.0</v>
      </c>
      <c r="G609" s="38" t="s">
        <v>43</v>
      </c>
      <c r="H609" s="110">
        <v>3488.0</v>
      </c>
      <c r="I609" s="132">
        <v>152.58</v>
      </c>
      <c r="J609" s="132">
        <v>97.44</v>
      </c>
      <c r="K609" s="39">
        <f t="shared" si="1"/>
        <v>532199.04</v>
      </c>
      <c r="L609" s="39">
        <f t="shared" si="2"/>
        <v>339870.72</v>
      </c>
      <c r="M609" s="39">
        <f t="shared" si="3"/>
        <v>192328.32</v>
      </c>
      <c r="N609" s="38" t="str">
        <f>VLOOKUP(F609,products!$A$2:$B$13,2,FALSE)</f>
        <v>Snacks</v>
      </c>
      <c r="O609" s="133">
        <f t="shared" si="4"/>
        <v>0.6386158081</v>
      </c>
      <c r="P609" s="38" t="str">
        <f>VLOOKUP(E609,countries!A$2:E$250,3,false)</f>
        <v>Estonia</v>
      </c>
      <c r="Q609" s="38" t="str">
        <f>VLOOKUP($E609,countries!$A$2:$E$250,4,false)</f>
        <v>Europe</v>
      </c>
      <c r="R609" s="38" t="str">
        <f>VLOOKUP($E609,countries!$A$2:$E$250,5,false)</f>
        <v>Northern Europe</v>
      </c>
      <c r="S609" s="38">
        <f t="shared" si="5"/>
        <v>3</v>
      </c>
      <c r="T609" s="38" t="s">
        <v>182</v>
      </c>
      <c r="U609" s="38">
        <v>2015.0</v>
      </c>
      <c r="V609" s="38">
        <v>7.0</v>
      </c>
      <c r="W609" s="38" t="s">
        <v>117</v>
      </c>
      <c r="X609" s="38" t="s">
        <v>188</v>
      </c>
      <c r="Y609" s="38" t="s">
        <v>146</v>
      </c>
      <c r="Z609" s="38" t="s">
        <v>170</v>
      </c>
      <c r="AA609" s="113" t="str">
        <f t="array" ref="AA609">PROPER(G609)</f>
        <v>Online</v>
      </c>
    </row>
    <row r="610">
      <c r="A610" s="110">
        <v>5.07531726E8</v>
      </c>
      <c r="B610" s="131">
        <v>41209.0</v>
      </c>
      <c r="C610" s="131">
        <v>41224.0</v>
      </c>
      <c r="D610" s="110" t="s">
        <v>95</v>
      </c>
      <c r="E610" s="110" t="s">
        <v>132</v>
      </c>
      <c r="F610" s="110">
        <v>8969.0</v>
      </c>
      <c r="G610" s="38" t="s">
        <v>42</v>
      </c>
      <c r="H610" s="110">
        <v>8771.0</v>
      </c>
      <c r="I610" s="132">
        <v>152.58</v>
      </c>
      <c r="J610" s="132">
        <v>97.44</v>
      </c>
      <c r="K610" s="39">
        <f t="shared" si="1"/>
        <v>1338279.18</v>
      </c>
      <c r="L610" s="39">
        <f t="shared" si="2"/>
        <v>854646.24</v>
      </c>
      <c r="M610" s="39">
        <f t="shared" si="3"/>
        <v>483632.94</v>
      </c>
      <c r="N610" s="38" t="str">
        <f>VLOOKUP(F610,products!$A$2:$B$13,2,FALSE)</f>
        <v>Snacks</v>
      </c>
      <c r="O610" s="133">
        <f t="shared" si="4"/>
        <v>0.6386158081</v>
      </c>
      <c r="P610" s="38" t="str">
        <f>VLOOKUP(E610,countries!A$2:E$250,3,false)</f>
        <v>Sweden</v>
      </c>
      <c r="Q610" s="38" t="str">
        <f>VLOOKUP($E610,countries!$A$2:$E$250,4,false)</f>
        <v>Europe</v>
      </c>
      <c r="R610" s="38" t="str">
        <f>VLOOKUP($E610,countries!$A$2:$E$250,5,false)</f>
        <v>Northern Europe</v>
      </c>
      <c r="S610" s="38">
        <f t="shared" si="5"/>
        <v>15</v>
      </c>
      <c r="T610" s="38" t="s">
        <v>182</v>
      </c>
      <c r="U610" s="38">
        <v>2012.0</v>
      </c>
      <c r="V610" s="38">
        <v>10.0</v>
      </c>
      <c r="W610" s="38" t="s">
        <v>132</v>
      </c>
      <c r="X610" s="38" t="s">
        <v>203</v>
      </c>
      <c r="Y610" s="38" t="s">
        <v>146</v>
      </c>
      <c r="Z610" s="38" t="s">
        <v>170</v>
      </c>
      <c r="AA610" s="113" t="str">
        <f t="array" ref="AA610">PROPER(G610)</f>
        <v>Offline</v>
      </c>
    </row>
    <row r="611">
      <c r="A611" s="110">
        <v>5.08014523E8</v>
      </c>
      <c r="B611" s="131">
        <v>41709.0</v>
      </c>
      <c r="C611" s="131">
        <v>41718.0</v>
      </c>
      <c r="D611" s="110" t="s">
        <v>95</v>
      </c>
      <c r="E611" s="110" t="e">
        <v>#N/A</v>
      </c>
      <c r="F611" s="110">
        <v>2455.0</v>
      </c>
      <c r="G611" s="38" t="s">
        <v>42</v>
      </c>
      <c r="H611" s="110">
        <v>1642.0</v>
      </c>
      <c r="I611" s="132">
        <v>109.28</v>
      </c>
      <c r="J611" s="132">
        <v>35.84</v>
      </c>
      <c r="K611" s="39">
        <f t="shared" si="1"/>
        <v>179437.76</v>
      </c>
      <c r="L611" s="39">
        <f t="shared" si="2"/>
        <v>58849.28</v>
      </c>
      <c r="M611" s="39">
        <f t="shared" si="3"/>
        <v>120588.48</v>
      </c>
      <c r="N611" s="38" t="str">
        <f>VLOOKUP(F611,products!$A$2:$B$13,2,FALSE)</f>
        <v>Clothes</v>
      </c>
      <c r="O611" s="133">
        <f t="shared" si="4"/>
        <v>0.3279648609</v>
      </c>
      <c r="P611" s="38" t="str">
        <f>VLOOKUP(E611,countries!A$2:E$250,3,false)</f>
        <v>#N/A</v>
      </c>
      <c r="Q611" s="38" t="str">
        <f>VLOOKUP($E611,countries!$A$2:$E$250,4,false)</f>
        <v>#N/A</v>
      </c>
      <c r="R611" s="38" t="str">
        <f>VLOOKUP($E611,countries!$A$2:$E$250,5,false)</f>
        <v>#N/A</v>
      </c>
      <c r="S611" s="38">
        <f t="shared" si="5"/>
        <v>9</v>
      </c>
      <c r="T611" s="38" t="s">
        <v>150</v>
      </c>
      <c r="U611" s="38">
        <v>2014.0</v>
      </c>
      <c r="V611" s="38">
        <v>3.0</v>
      </c>
      <c r="W611" s="38" t="s">
        <v>92</v>
      </c>
      <c r="X611" s="38" t="s">
        <v>149</v>
      </c>
      <c r="Y611" s="38" t="s">
        <v>149</v>
      </c>
      <c r="Z611" s="38" t="s">
        <v>149</v>
      </c>
      <c r="AA611" s="113" t="str">
        <f t="array" ref="AA611">PROPER(G611)</f>
        <v>Offline</v>
      </c>
    </row>
    <row r="612">
      <c r="A612" s="110">
        <v>5.09356057E8</v>
      </c>
      <c r="B612" s="131">
        <v>41743.0</v>
      </c>
      <c r="C612" s="131">
        <v>41746.0</v>
      </c>
      <c r="D612" s="110" t="s">
        <v>95</v>
      </c>
      <c r="E612" s="110" t="s">
        <v>90</v>
      </c>
      <c r="F612" s="110">
        <v>2455.0</v>
      </c>
      <c r="G612" s="38" t="s">
        <v>43</v>
      </c>
      <c r="H612" s="110">
        <v>8631.0</v>
      </c>
      <c r="I612" s="132">
        <v>109.28</v>
      </c>
      <c r="J612" s="132">
        <v>35.84</v>
      </c>
      <c r="K612" s="39">
        <f t="shared" si="1"/>
        <v>943195.68</v>
      </c>
      <c r="L612" s="39">
        <f t="shared" si="2"/>
        <v>309335.04</v>
      </c>
      <c r="M612" s="39">
        <f t="shared" si="3"/>
        <v>633860.64</v>
      </c>
      <c r="N612" s="38" t="str">
        <f>VLOOKUP(F612,products!$A$2:$B$13,2,FALSE)</f>
        <v>Clothes</v>
      </c>
      <c r="O612" s="133">
        <f t="shared" si="4"/>
        <v>0.3279648609</v>
      </c>
      <c r="P612" s="38" t="str">
        <f>VLOOKUP(E612,countries!A$2:E$250,3,false)</f>
        <v>Norway</v>
      </c>
      <c r="Q612" s="38" t="str">
        <f>VLOOKUP($E612,countries!$A$2:$E$250,4,false)</f>
        <v>Europe</v>
      </c>
      <c r="R612" s="38" t="str">
        <f>VLOOKUP($E612,countries!$A$2:$E$250,5,false)</f>
        <v>Northern Europe</v>
      </c>
      <c r="S612" s="38">
        <f t="shared" si="5"/>
        <v>3</v>
      </c>
      <c r="T612" s="38" t="s">
        <v>150</v>
      </c>
      <c r="U612" s="38">
        <v>2014.0</v>
      </c>
      <c r="V612" s="38">
        <v>4.0</v>
      </c>
      <c r="W612" s="38" t="s">
        <v>90</v>
      </c>
      <c r="X612" s="38" t="s">
        <v>183</v>
      </c>
      <c r="Y612" s="38" t="s">
        <v>146</v>
      </c>
      <c r="Z612" s="38" t="s">
        <v>170</v>
      </c>
      <c r="AA612" s="113" t="str">
        <f t="array" ref="AA612">PROPER(G612)</f>
        <v>Online</v>
      </c>
    </row>
    <row r="613">
      <c r="A613" s="110">
        <v>5.09380948E8</v>
      </c>
      <c r="B613" s="131">
        <v>40808.0</v>
      </c>
      <c r="C613" s="131">
        <v>40813.0</v>
      </c>
      <c r="D613" s="110" t="s">
        <v>89</v>
      </c>
      <c r="E613" s="110" t="s">
        <v>103</v>
      </c>
      <c r="F613" s="110">
        <v>3127.0</v>
      </c>
      <c r="G613" s="38" t="s">
        <v>42</v>
      </c>
      <c r="H613" s="110">
        <v>5997.0</v>
      </c>
      <c r="I613" s="132">
        <v>81.73</v>
      </c>
      <c r="J613" s="132">
        <v>56.67</v>
      </c>
      <c r="K613" s="39">
        <f t="shared" si="1"/>
        <v>490134.81</v>
      </c>
      <c r="L613" s="39">
        <f t="shared" si="2"/>
        <v>339849.99</v>
      </c>
      <c r="M613" s="39">
        <f t="shared" si="3"/>
        <v>150284.82</v>
      </c>
      <c r="N613" s="38" t="str">
        <f>VLOOKUP(F613,products!$A$2:$B$13,2,FALSE)</f>
        <v>Personal Care</v>
      </c>
      <c r="O613" s="133">
        <f t="shared" si="4"/>
        <v>0.6933806436</v>
      </c>
      <c r="P613" s="38" t="str">
        <f>VLOOKUP(E613,countries!A$2:E$250,3,false)</f>
        <v>United Kingdom</v>
      </c>
      <c r="Q613" s="38" t="str">
        <f>VLOOKUP($E613,countries!$A$2:$E$250,4,false)</f>
        <v>Europe</v>
      </c>
      <c r="R613" s="38" t="str">
        <f>VLOOKUP($E613,countries!$A$2:$E$250,5,false)</f>
        <v>Northern Europe</v>
      </c>
      <c r="S613" s="38">
        <f t="shared" si="5"/>
        <v>5</v>
      </c>
      <c r="T613" s="38" t="s">
        <v>185</v>
      </c>
      <c r="U613" s="38">
        <v>2011.0</v>
      </c>
      <c r="V613" s="38">
        <v>9.0</v>
      </c>
      <c r="W613" s="38" t="s">
        <v>103</v>
      </c>
      <c r="X613" s="38" t="s">
        <v>169</v>
      </c>
      <c r="Y613" s="38" t="s">
        <v>146</v>
      </c>
      <c r="Z613" s="38" t="s">
        <v>170</v>
      </c>
      <c r="AA613" s="113" t="str">
        <f t="array" ref="AA613">PROPER(G613)</f>
        <v>Offline</v>
      </c>
    </row>
    <row r="614">
      <c r="A614" s="110">
        <v>5.10762822E8</v>
      </c>
      <c r="B614" s="131">
        <v>40851.0</v>
      </c>
      <c r="C614" s="131">
        <v>40899.0</v>
      </c>
      <c r="D614" s="110" t="s">
        <v>93</v>
      </c>
      <c r="E614" s="110" t="e">
        <v>#N/A</v>
      </c>
      <c r="F614" s="110">
        <v>1270.0</v>
      </c>
      <c r="G614" s="38" t="s">
        <v>42</v>
      </c>
      <c r="H614" s="110">
        <v>4924.0</v>
      </c>
      <c r="I614" s="132">
        <v>47.45</v>
      </c>
      <c r="J614" s="132">
        <v>31.79</v>
      </c>
      <c r="K614" s="39">
        <f t="shared" si="1"/>
        <v>233643.8</v>
      </c>
      <c r="L614" s="39">
        <f t="shared" si="2"/>
        <v>156533.96</v>
      </c>
      <c r="M614" s="39">
        <f t="shared" si="3"/>
        <v>77109.84</v>
      </c>
      <c r="N614" s="38" t="str">
        <f>VLOOKUP(F614,products!$A$2:$B$13,2,FALSE)</f>
        <v>Beverages</v>
      </c>
      <c r="O614" s="133">
        <f t="shared" si="4"/>
        <v>0.6699683878</v>
      </c>
      <c r="P614" s="38" t="str">
        <f>VLOOKUP(E614,countries!A$2:E$250,3,false)</f>
        <v>#N/A</v>
      </c>
      <c r="Q614" s="38" t="str">
        <f>VLOOKUP($E614,countries!$A$2:$E$250,4,false)</f>
        <v>#N/A</v>
      </c>
      <c r="R614" s="38" t="str">
        <f>VLOOKUP($E614,countries!$A$2:$E$250,5,false)</f>
        <v>#N/A</v>
      </c>
      <c r="S614" s="38">
        <f t="shared" si="5"/>
        <v>48</v>
      </c>
      <c r="T614" s="38" t="s">
        <v>152</v>
      </c>
      <c r="U614" s="38">
        <v>2011.0</v>
      </c>
      <c r="V614" s="38">
        <v>11.0</v>
      </c>
      <c r="W614" s="38" t="s">
        <v>92</v>
      </c>
      <c r="X614" s="38" t="s">
        <v>149</v>
      </c>
      <c r="Y614" s="38" t="s">
        <v>149</v>
      </c>
      <c r="Z614" s="38" t="s">
        <v>149</v>
      </c>
      <c r="AA614" s="113" t="str">
        <f t="array" ref="AA614">PROPER(G614)</f>
        <v>Offline</v>
      </c>
    </row>
    <row r="615">
      <c r="A615" s="110">
        <v>5.10956799E8</v>
      </c>
      <c r="B615" s="131">
        <v>40428.0</v>
      </c>
      <c r="C615" s="131">
        <v>40444.0</v>
      </c>
      <c r="D615" s="110" t="s">
        <v>95</v>
      </c>
      <c r="E615" s="110" t="s">
        <v>107</v>
      </c>
      <c r="F615" s="110">
        <v>8969.0</v>
      </c>
      <c r="G615" s="38" t="s">
        <v>43</v>
      </c>
      <c r="H615" s="110">
        <v>2326.0</v>
      </c>
      <c r="I615" s="132">
        <v>152.58</v>
      </c>
      <c r="J615" s="132">
        <v>97.44</v>
      </c>
      <c r="K615" s="39">
        <f t="shared" si="1"/>
        <v>354901.08</v>
      </c>
      <c r="L615" s="39">
        <f t="shared" si="2"/>
        <v>226645.44</v>
      </c>
      <c r="M615" s="39">
        <f t="shared" si="3"/>
        <v>128255.64</v>
      </c>
      <c r="N615" s="38" t="str">
        <f>VLOOKUP(F615,products!$A$2:$B$13,2,FALSE)</f>
        <v>Snacks</v>
      </c>
      <c r="O615" s="133">
        <f t="shared" si="4"/>
        <v>0.6386158081</v>
      </c>
      <c r="P615" s="38" t="str">
        <f>VLOOKUP(E615,countries!A$2:E$250,3,false)</f>
        <v>Luxembourg</v>
      </c>
      <c r="Q615" s="38" t="str">
        <f>VLOOKUP($E615,countries!$A$2:$E$250,4,false)</f>
        <v>Europe</v>
      </c>
      <c r="R615" s="38" t="str">
        <f>VLOOKUP($E615,countries!$A$2:$E$250,5,false)</f>
        <v>Western Europe</v>
      </c>
      <c r="S615" s="38">
        <f t="shared" si="5"/>
        <v>16</v>
      </c>
      <c r="T615" s="38" t="s">
        <v>182</v>
      </c>
      <c r="U615" s="38">
        <v>2010.0</v>
      </c>
      <c r="V615" s="38">
        <v>9.0</v>
      </c>
      <c r="W615" s="38" t="s">
        <v>107</v>
      </c>
      <c r="X615" s="38" t="s">
        <v>174</v>
      </c>
      <c r="Y615" s="38" t="s">
        <v>146</v>
      </c>
      <c r="Z615" s="38" t="s">
        <v>158</v>
      </c>
      <c r="AA615" s="113" t="str">
        <f t="array" ref="AA615">PROPER(G615)</f>
        <v>Online</v>
      </c>
    </row>
    <row r="616">
      <c r="A616" s="110">
        <v>5.11155498E8</v>
      </c>
      <c r="B616" s="131">
        <v>40447.0</v>
      </c>
      <c r="C616" s="131">
        <v>40486.0</v>
      </c>
      <c r="D616" s="110" t="s">
        <v>95</v>
      </c>
      <c r="E616" s="110" t="s">
        <v>135</v>
      </c>
      <c r="F616" s="110">
        <v>1270.0</v>
      </c>
      <c r="G616" s="38" t="s">
        <v>42</v>
      </c>
      <c r="H616" s="110">
        <v>1126.0</v>
      </c>
      <c r="I616" s="132">
        <v>47.45</v>
      </c>
      <c r="J616" s="132">
        <v>31.79</v>
      </c>
      <c r="K616" s="39">
        <f t="shared" si="1"/>
        <v>53428.7</v>
      </c>
      <c r="L616" s="39">
        <f t="shared" si="2"/>
        <v>35795.54</v>
      </c>
      <c r="M616" s="39">
        <f t="shared" si="3"/>
        <v>17633.16</v>
      </c>
      <c r="N616" s="38" t="str">
        <f>VLOOKUP(F616,products!$A$2:$B$13,2,FALSE)</f>
        <v>Beverages</v>
      </c>
      <c r="O616" s="133">
        <f t="shared" si="4"/>
        <v>0.6699683878</v>
      </c>
      <c r="P616" s="38" t="str">
        <f>VLOOKUP(E616,countries!A$2:E$250,3,false)</f>
        <v>Denmark</v>
      </c>
      <c r="Q616" s="38" t="str">
        <f>VLOOKUP($E616,countries!$A$2:$E$250,4,false)</f>
        <v>Europe</v>
      </c>
      <c r="R616" s="38" t="str">
        <f>VLOOKUP($E616,countries!$A$2:$E$250,5,false)</f>
        <v>Northern Europe</v>
      </c>
      <c r="S616" s="38">
        <f t="shared" si="5"/>
        <v>39</v>
      </c>
      <c r="T616" s="38" t="s">
        <v>152</v>
      </c>
      <c r="U616" s="38">
        <v>2010.0</v>
      </c>
      <c r="V616" s="38">
        <v>9.0</v>
      </c>
      <c r="W616" s="38" t="s">
        <v>135</v>
      </c>
      <c r="X616" s="38" t="s">
        <v>205</v>
      </c>
      <c r="Y616" s="38" t="s">
        <v>146</v>
      </c>
      <c r="Z616" s="38" t="s">
        <v>170</v>
      </c>
      <c r="AA616" s="113" t="str">
        <f t="array" ref="AA616">PROPER(G616)</f>
        <v>Offline</v>
      </c>
    </row>
    <row r="617">
      <c r="A617" s="110">
        <v>5.1171211E8</v>
      </c>
      <c r="B617" s="131">
        <v>42084.0</v>
      </c>
      <c r="C617" s="131">
        <v>42131.0</v>
      </c>
      <c r="D617" s="110" t="s">
        <v>10</v>
      </c>
      <c r="E617" s="110" t="s">
        <v>118</v>
      </c>
      <c r="F617" s="110">
        <v>8681.0</v>
      </c>
      <c r="G617" s="38" t="s">
        <v>42</v>
      </c>
      <c r="H617" s="110">
        <v>5839.0</v>
      </c>
      <c r="I617" s="132">
        <v>651.21</v>
      </c>
      <c r="J617" s="132">
        <v>524.96</v>
      </c>
      <c r="K617" s="39">
        <f t="shared" si="1"/>
        <v>3802415.19</v>
      </c>
      <c r="L617" s="39">
        <f t="shared" si="2"/>
        <v>3065241.44</v>
      </c>
      <c r="M617" s="39">
        <f t="shared" si="3"/>
        <v>737173.75</v>
      </c>
      <c r="N617" s="38" t="str">
        <f>VLOOKUP(F617,products!$A$2:$B$13,2,FALSE)</f>
        <v>Office Supplies</v>
      </c>
      <c r="O617" s="133">
        <f t="shared" si="4"/>
        <v>0.806130127</v>
      </c>
      <c r="P617" s="38" t="str">
        <f>VLOOKUP(E617,countries!A$2:E$250,3,false)</f>
        <v>Austria</v>
      </c>
      <c r="Q617" s="38" t="str">
        <f>VLOOKUP($E617,countries!$A$2:$E$250,4,false)</f>
        <v>Europe</v>
      </c>
      <c r="R617" s="38" t="str">
        <f>VLOOKUP($E617,countries!$A$2:$E$250,5,false)</f>
        <v>Western Europe</v>
      </c>
      <c r="S617" s="38">
        <f t="shared" si="5"/>
        <v>47</v>
      </c>
      <c r="T617" s="38" t="s">
        <v>153</v>
      </c>
      <c r="U617" s="38">
        <v>2015.0</v>
      </c>
      <c r="V617" s="38">
        <v>3.0</v>
      </c>
      <c r="W617" s="38" t="s">
        <v>118</v>
      </c>
      <c r="X617" s="38" t="s">
        <v>189</v>
      </c>
      <c r="Y617" s="38" t="s">
        <v>146</v>
      </c>
      <c r="Z617" s="38" t="s">
        <v>158</v>
      </c>
      <c r="AA617" s="113" t="str">
        <f t="array" ref="AA617">PROPER(G617)</f>
        <v>Offline</v>
      </c>
    </row>
    <row r="618">
      <c r="A618" s="110">
        <v>5.12662255E8</v>
      </c>
      <c r="B618" s="131">
        <v>42139.0</v>
      </c>
      <c r="C618" s="131">
        <v>42177.0</v>
      </c>
      <c r="D618" s="110" t="s">
        <v>93</v>
      </c>
      <c r="E618" s="110" t="s">
        <v>114</v>
      </c>
      <c r="F618" s="110">
        <v>7940.0</v>
      </c>
      <c r="G618" s="38" t="s">
        <v>42</v>
      </c>
      <c r="H618" s="110">
        <v>7009.0</v>
      </c>
      <c r="I618" s="132">
        <v>668.27</v>
      </c>
      <c r="J618" s="132">
        <v>502.54</v>
      </c>
      <c r="K618" s="39">
        <f t="shared" si="1"/>
        <v>4683904.43</v>
      </c>
      <c r="L618" s="39">
        <f t="shared" si="2"/>
        <v>3522302.86</v>
      </c>
      <c r="M618" s="39">
        <f t="shared" si="3"/>
        <v>1161601.57</v>
      </c>
      <c r="N618" s="38" t="str">
        <f>VLOOKUP(F618,products!$A$2:$B$13,2,FALSE)</f>
        <v>Household</v>
      </c>
      <c r="O618" s="133">
        <f t="shared" si="4"/>
        <v>0.7520014365</v>
      </c>
      <c r="P618" s="38" t="str">
        <f>VLOOKUP(E618,countries!A$2:E$250,3,false)</f>
        <v>Czech Republic</v>
      </c>
      <c r="Q618" s="38" t="str">
        <f>VLOOKUP($E618,countries!$A$2:$E$250,4,false)</f>
        <v>Europe</v>
      </c>
      <c r="R618" s="38" t="str">
        <f>VLOOKUP($E618,countries!$A$2:$E$250,5,false)</f>
        <v>Eastern Europe</v>
      </c>
      <c r="S618" s="38">
        <f t="shared" si="5"/>
        <v>38</v>
      </c>
      <c r="T618" s="38" t="s">
        <v>148</v>
      </c>
      <c r="U618" s="38">
        <v>2015.0</v>
      </c>
      <c r="V618" s="38">
        <v>5.0</v>
      </c>
      <c r="W618" s="38" t="s">
        <v>114</v>
      </c>
      <c r="X618" s="38" t="s">
        <v>184</v>
      </c>
      <c r="Y618" s="38" t="s">
        <v>146</v>
      </c>
      <c r="Z618" s="38" t="s">
        <v>155</v>
      </c>
      <c r="AA618" s="113" t="str">
        <f t="array" ref="AA618">PROPER(G618)</f>
        <v>Offline</v>
      </c>
    </row>
    <row r="619">
      <c r="A619" s="110">
        <v>5.12714612E8</v>
      </c>
      <c r="B619" s="131">
        <v>42270.0</v>
      </c>
      <c r="C619" s="131">
        <v>42286.0</v>
      </c>
      <c r="D619" s="110" t="s">
        <v>95</v>
      </c>
      <c r="E619" s="110" t="s">
        <v>109</v>
      </c>
      <c r="F619" s="110">
        <v>8875.0</v>
      </c>
      <c r="G619" s="38" t="s">
        <v>43</v>
      </c>
      <c r="H619" s="110">
        <v>2502.0</v>
      </c>
      <c r="I619" s="132">
        <v>421.89</v>
      </c>
      <c r="J619" s="132">
        <v>364.69</v>
      </c>
      <c r="K619" s="39">
        <f t="shared" si="1"/>
        <v>1055568.78</v>
      </c>
      <c r="L619" s="39">
        <f t="shared" si="2"/>
        <v>912454.38</v>
      </c>
      <c r="M619" s="39">
        <f t="shared" si="3"/>
        <v>143114.4</v>
      </c>
      <c r="N619" s="38" t="str">
        <f>VLOOKUP(F619,products!$A$2:$B$13,2,FALSE)</f>
        <v>Meat</v>
      </c>
      <c r="O619" s="133">
        <f t="shared" si="4"/>
        <v>0.8644196354</v>
      </c>
      <c r="P619" s="38" t="str">
        <f>VLOOKUP(E619,countries!A$2:E$250,3,false)</f>
        <v>Belgium</v>
      </c>
      <c r="Q619" s="38" t="str">
        <f>VLOOKUP($E619,countries!$A$2:$E$250,4,false)</f>
        <v>Europe</v>
      </c>
      <c r="R619" s="38" t="str">
        <f>VLOOKUP($E619,countries!$A$2:$E$250,5,false)</f>
        <v>Western Europe</v>
      </c>
      <c r="S619" s="38">
        <f t="shared" si="5"/>
        <v>16</v>
      </c>
      <c r="T619" s="38" t="s">
        <v>167</v>
      </c>
      <c r="U619" s="38">
        <v>2015.0</v>
      </c>
      <c r="V619" s="38">
        <v>9.0</v>
      </c>
      <c r="W619" s="38" t="s">
        <v>109</v>
      </c>
      <c r="X619" s="38" t="s">
        <v>176</v>
      </c>
      <c r="Y619" s="38" t="s">
        <v>146</v>
      </c>
      <c r="Z619" s="38" t="s">
        <v>158</v>
      </c>
      <c r="AA619" s="113" t="str">
        <f t="array" ref="AA619">PROPER(G619)</f>
        <v>Online</v>
      </c>
    </row>
    <row r="620">
      <c r="A620" s="110">
        <v>5.13026177E8</v>
      </c>
      <c r="B620" s="131">
        <v>41051.0</v>
      </c>
      <c r="C620" s="131">
        <v>41065.0</v>
      </c>
      <c r="D620" s="110" t="s">
        <v>89</v>
      </c>
      <c r="E620" s="110" t="s">
        <v>125</v>
      </c>
      <c r="F620" s="110">
        <v>8681.0</v>
      </c>
      <c r="G620" s="38" t="s">
        <v>43</v>
      </c>
      <c r="H620" s="110">
        <v>4701.0</v>
      </c>
      <c r="I620" s="132">
        <v>651.21</v>
      </c>
      <c r="J620" s="132">
        <v>524.96</v>
      </c>
      <c r="K620" s="39">
        <f t="shared" si="1"/>
        <v>3061338.21</v>
      </c>
      <c r="L620" s="39">
        <f t="shared" si="2"/>
        <v>2467836.96</v>
      </c>
      <c r="M620" s="39">
        <f t="shared" si="3"/>
        <v>593501.25</v>
      </c>
      <c r="N620" s="38" t="str">
        <f>VLOOKUP(F620,products!$A$2:$B$13,2,FALSE)</f>
        <v>Office Supplies</v>
      </c>
      <c r="O620" s="133">
        <f t="shared" si="4"/>
        <v>0.806130127</v>
      </c>
      <c r="P620" s="38" t="str">
        <f>VLOOKUP(E620,countries!A$2:E$250,3,false)</f>
        <v>Bulgaria</v>
      </c>
      <c r="Q620" s="38" t="str">
        <f>VLOOKUP($E620,countries!$A$2:$E$250,4,false)</f>
        <v>Europe</v>
      </c>
      <c r="R620" s="38" t="str">
        <f>VLOOKUP($E620,countries!$A$2:$E$250,5,false)</f>
        <v>Eastern Europe</v>
      </c>
      <c r="S620" s="38">
        <f t="shared" si="5"/>
        <v>14</v>
      </c>
      <c r="T620" s="38" t="s">
        <v>153</v>
      </c>
      <c r="U620" s="38">
        <v>2012.0</v>
      </c>
      <c r="V620" s="38">
        <v>5.0</v>
      </c>
      <c r="W620" s="38" t="s">
        <v>125</v>
      </c>
      <c r="X620" s="38" t="s">
        <v>196</v>
      </c>
      <c r="Y620" s="38" t="s">
        <v>146</v>
      </c>
      <c r="Z620" s="38" t="s">
        <v>155</v>
      </c>
      <c r="AA620" s="113" t="str">
        <f t="array" ref="AA620">PROPER(G620)</f>
        <v>Online</v>
      </c>
    </row>
    <row r="621">
      <c r="A621" s="110">
        <v>5.13611114E8</v>
      </c>
      <c r="B621" s="131">
        <v>42577.0</v>
      </c>
      <c r="C621" s="131">
        <v>42618.0</v>
      </c>
      <c r="D621" s="110" t="s">
        <v>95</v>
      </c>
      <c r="E621" s="110" t="s">
        <v>121</v>
      </c>
      <c r="F621" s="110">
        <v>2455.0</v>
      </c>
      <c r="G621" s="38" t="s">
        <v>42</v>
      </c>
      <c r="H621" s="110">
        <v>7797.0</v>
      </c>
      <c r="I621" s="132">
        <v>109.28</v>
      </c>
      <c r="J621" s="132">
        <v>35.84</v>
      </c>
      <c r="K621" s="39">
        <f t="shared" si="1"/>
        <v>852056.16</v>
      </c>
      <c r="L621" s="39">
        <f t="shared" si="2"/>
        <v>279444.48</v>
      </c>
      <c r="M621" s="39">
        <f t="shared" si="3"/>
        <v>572611.68</v>
      </c>
      <c r="N621" s="38" t="str">
        <f>VLOOKUP(F621,products!$A$2:$B$13,2,FALSE)</f>
        <v>Clothes</v>
      </c>
      <c r="O621" s="133">
        <f t="shared" si="4"/>
        <v>0.3279648609</v>
      </c>
      <c r="P621" s="38" t="str">
        <f>VLOOKUP(E621,countries!A$2:E$250,3,false)</f>
        <v>Netherlands</v>
      </c>
      <c r="Q621" s="38" t="str">
        <f>VLOOKUP($E621,countries!$A$2:$E$250,4,false)</f>
        <v>Europe</v>
      </c>
      <c r="R621" s="38" t="str">
        <f>VLOOKUP($E621,countries!$A$2:$E$250,5,false)</f>
        <v>Western Europe</v>
      </c>
      <c r="S621" s="38">
        <f t="shared" si="5"/>
        <v>41</v>
      </c>
      <c r="T621" s="38" t="s">
        <v>150</v>
      </c>
      <c r="U621" s="38">
        <v>2016.0</v>
      </c>
      <c r="V621" s="38">
        <v>7.0</v>
      </c>
      <c r="W621" s="38" t="s">
        <v>121</v>
      </c>
      <c r="X621" s="38" t="s">
        <v>192</v>
      </c>
      <c r="Y621" s="38" t="s">
        <v>146</v>
      </c>
      <c r="Z621" s="38" t="s">
        <v>158</v>
      </c>
      <c r="AA621" s="113" t="str">
        <f t="array" ref="AA621">PROPER(G621)</f>
        <v>Offline</v>
      </c>
    </row>
    <row r="622">
      <c r="A622" s="110">
        <v>5.13802516E8</v>
      </c>
      <c r="B622" s="131">
        <v>42918.0</v>
      </c>
      <c r="C622" s="131">
        <v>42954.0</v>
      </c>
      <c r="D622" s="110" t="s">
        <v>93</v>
      </c>
      <c r="E622" s="110" t="s">
        <v>98</v>
      </c>
      <c r="F622" s="110">
        <v>8681.0</v>
      </c>
      <c r="G622" s="38" t="s">
        <v>43</v>
      </c>
      <c r="H622" s="110">
        <v>4437.0</v>
      </c>
      <c r="I622" s="132">
        <v>651.21</v>
      </c>
      <c r="J622" s="132">
        <v>524.96</v>
      </c>
      <c r="K622" s="39">
        <f t="shared" si="1"/>
        <v>2889418.77</v>
      </c>
      <c r="L622" s="39">
        <f t="shared" si="2"/>
        <v>2329247.52</v>
      </c>
      <c r="M622" s="39">
        <f t="shared" si="3"/>
        <v>560171.25</v>
      </c>
      <c r="N622" s="38" t="str">
        <f>VLOOKUP(F622,products!$A$2:$B$13,2,FALSE)</f>
        <v>Office Supplies</v>
      </c>
      <c r="O622" s="133">
        <f t="shared" si="4"/>
        <v>0.806130127</v>
      </c>
      <c r="P622" s="38" t="str">
        <f>VLOOKUP(E622,countries!A$2:E$250,3,false)</f>
        <v>Spain</v>
      </c>
      <c r="Q622" s="38" t="str">
        <f>VLOOKUP($E622,countries!$A$2:$E$250,4,false)</f>
        <v>Europe</v>
      </c>
      <c r="R622" s="38" t="str">
        <f>VLOOKUP($E622,countries!$A$2:$E$250,5,false)</f>
        <v>Southern Europe</v>
      </c>
      <c r="S622" s="38">
        <f t="shared" si="5"/>
        <v>36</v>
      </c>
      <c r="T622" s="38" t="s">
        <v>153</v>
      </c>
      <c r="U622" s="38">
        <v>2017.0</v>
      </c>
      <c r="V622" s="38">
        <v>7.0</v>
      </c>
      <c r="W622" s="38" t="s">
        <v>98</v>
      </c>
      <c r="X622" s="38" t="s">
        <v>160</v>
      </c>
      <c r="Y622" s="38" t="s">
        <v>146</v>
      </c>
      <c r="Z622" s="38" t="s">
        <v>147</v>
      </c>
      <c r="AA622" s="113" t="str">
        <f t="array" ref="AA622">PROPER(G622)</f>
        <v>Online</v>
      </c>
    </row>
    <row r="623">
      <c r="A623" s="110">
        <v>5.15771901E8</v>
      </c>
      <c r="B623" s="131">
        <v>40958.0</v>
      </c>
      <c r="C623" s="131">
        <v>40987.0</v>
      </c>
      <c r="D623" s="110" t="s">
        <v>93</v>
      </c>
      <c r="E623" s="110" t="s">
        <v>120</v>
      </c>
      <c r="F623" s="110">
        <v>5988.0</v>
      </c>
      <c r="G623" s="38" t="s">
        <v>42</v>
      </c>
      <c r="H623" s="110">
        <v>7222.0</v>
      </c>
      <c r="I623" s="132">
        <v>154.06</v>
      </c>
      <c r="J623" s="132">
        <v>90.93</v>
      </c>
      <c r="K623" s="39">
        <f t="shared" si="1"/>
        <v>1112621.32</v>
      </c>
      <c r="L623" s="39">
        <f t="shared" si="2"/>
        <v>656696.46</v>
      </c>
      <c r="M623" s="39">
        <f t="shared" si="3"/>
        <v>455924.86</v>
      </c>
      <c r="N623" s="38" t="str">
        <f>VLOOKUP(F623,products!$A$2:$B$13,2,FALSE)</f>
        <v>Vegetables</v>
      </c>
      <c r="O623" s="133">
        <f t="shared" si="4"/>
        <v>0.5902245878</v>
      </c>
      <c r="P623" s="38" t="str">
        <f>VLOOKUP(E623,countries!A$2:E$250,3,false)</f>
        <v>San Marino</v>
      </c>
      <c r="Q623" s="38" t="str">
        <f>VLOOKUP($E623,countries!$A$2:$E$250,4,false)</f>
        <v>Europe</v>
      </c>
      <c r="R623" s="38" t="str">
        <f>VLOOKUP($E623,countries!$A$2:$E$250,5,false)</f>
        <v>Southern Europe</v>
      </c>
      <c r="S623" s="38">
        <f t="shared" si="5"/>
        <v>29</v>
      </c>
      <c r="T623" s="38" t="s">
        <v>159</v>
      </c>
      <c r="U623" s="38">
        <v>2012.0</v>
      </c>
      <c r="V623" s="38">
        <v>2.0</v>
      </c>
      <c r="W623" s="38" t="s">
        <v>120</v>
      </c>
      <c r="X623" s="38" t="s">
        <v>191</v>
      </c>
      <c r="Y623" s="38" t="s">
        <v>146</v>
      </c>
      <c r="Z623" s="38" t="s">
        <v>147</v>
      </c>
      <c r="AA623" s="113" t="str">
        <f t="array" ref="AA623">PROPER(G623)</f>
        <v>Offline</v>
      </c>
    </row>
    <row r="624">
      <c r="A624" s="110">
        <v>5.15773189E8</v>
      </c>
      <c r="B624" s="131">
        <v>40575.0</v>
      </c>
      <c r="C624" s="131">
        <v>40591.0</v>
      </c>
      <c r="D624" s="110" t="s">
        <v>95</v>
      </c>
      <c r="E624" s="110" t="e">
        <v>#N/A</v>
      </c>
      <c r="F624" s="110">
        <v>8875.0</v>
      </c>
      <c r="G624" s="38" t="s">
        <v>42</v>
      </c>
      <c r="H624" s="110">
        <v>7603.0</v>
      </c>
      <c r="I624" s="132">
        <v>421.89</v>
      </c>
      <c r="J624" s="132">
        <v>364.69</v>
      </c>
      <c r="K624" s="39">
        <f t="shared" si="1"/>
        <v>3207629.67</v>
      </c>
      <c r="L624" s="39">
        <f t="shared" si="2"/>
        <v>2772738.07</v>
      </c>
      <c r="M624" s="39">
        <f t="shared" si="3"/>
        <v>434891.6</v>
      </c>
      <c r="N624" s="38" t="str">
        <f>VLOOKUP(F624,products!$A$2:$B$13,2,FALSE)</f>
        <v>Meat</v>
      </c>
      <c r="O624" s="133">
        <f t="shared" si="4"/>
        <v>0.8644196354</v>
      </c>
      <c r="P624" s="38" t="str">
        <f>VLOOKUP(E624,countries!A$2:E$250,3,false)</f>
        <v>#N/A</v>
      </c>
      <c r="Q624" s="38" t="str">
        <f>VLOOKUP($E624,countries!$A$2:$E$250,4,false)</f>
        <v>#N/A</v>
      </c>
      <c r="R624" s="38" t="str">
        <f>VLOOKUP($E624,countries!$A$2:$E$250,5,false)</f>
        <v>#N/A</v>
      </c>
      <c r="S624" s="38">
        <f t="shared" si="5"/>
        <v>16</v>
      </c>
      <c r="T624" s="38" t="s">
        <v>167</v>
      </c>
      <c r="U624" s="38">
        <v>2011.0</v>
      </c>
      <c r="V624" s="38">
        <v>2.0</v>
      </c>
      <c r="W624" s="38" t="s">
        <v>92</v>
      </c>
      <c r="X624" s="38" t="s">
        <v>149</v>
      </c>
      <c r="Y624" s="38" t="s">
        <v>149</v>
      </c>
      <c r="Z624" s="38" t="s">
        <v>149</v>
      </c>
      <c r="AA624" s="113" t="str">
        <f t="array" ref="AA624">PROPER(G624)</f>
        <v>Offline</v>
      </c>
    </row>
    <row r="625">
      <c r="A625" s="110">
        <v>5.16122949E8</v>
      </c>
      <c r="B625" s="131">
        <v>40926.0</v>
      </c>
      <c r="C625" s="131">
        <v>40960.0</v>
      </c>
      <c r="D625" s="110" t="s">
        <v>89</v>
      </c>
      <c r="E625" s="110" t="s">
        <v>118</v>
      </c>
      <c r="F625" s="110">
        <v>8969.0</v>
      </c>
      <c r="G625" s="38" t="s">
        <v>43</v>
      </c>
      <c r="H625" s="110">
        <v>1105.0</v>
      </c>
      <c r="I625" s="132">
        <v>152.58</v>
      </c>
      <c r="J625" s="132">
        <v>97.44</v>
      </c>
      <c r="K625" s="39">
        <f t="shared" si="1"/>
        <v>168600.9</v>
      </c>
      <c r="L625" s="39">
        <f t="shared" si="2"/>
        <v>107671.2</v>
      </c>
      <c r="M625" s="39">
        <f t="shared" si="3"/>
        <v>60929.7</v>
      </c>
      <c r="N625" s="38" t="str">
        <f>VLOOKUP(F625,products!$A$2:$B$13,2,FALSE)</f>
        <v>Snacks</v>
      </c>
      <c r="O625" s="133">
        <f t="shared" si="4"/>
        <v>0.6386158081</v>
      </c>
      <c r="P625" s="38" t="str">
        <f>VLOOKUP(E625,countries!A$2:E$250,3,false)</f>
        <v>Austria</v>
      </c>
      <c r="Q625" s="38" t="str">
        <f>VLOOKUP($E625,countries!$A$2:$E$250,4,false)</f>
        <v>Europe</v>
      </c>
      <c r="R625" s="38" t="str">
        <f>VLOOKUP($E625,countries!$A$2:$E$250,5,false)</f>
        <v>Western Europe</v>
      </c>
      <c r="S625" s="38">
        <f t="shared" si="5"/>
        <v>34</v>
      </c>
      <c r="T625" s="38" t="s">
        <v>182</v>
      </c>
      <c r="U625" s="38">
        <v>2012.0</v>
      </c>
      <c r="V625" s="38">
        <v>1.0</v>
      </c>
      <c r="W625" s="38" t="s">
        <v>118</v>
      </c>
      <c r="X625" s="38" t="s">
        <v>189</v>
      </c>
      <c r="Y625" s="38" t="s">
        <v>146</v>
      </c>
      <c r="Z625" s="38" t="s">
        <v>158</v>
      </c>
      <c r="AA625" s="113" t="str">
        <f t="array" ref="AA625">PROPER(G625)</f>
        <v>Online</v>
      </c>
    </row>
    <row r="626">
      <c r="A626" s="110">
        <v>5.16460692E8</v>
      </c>
      <c r="B626" s="131">
        <v>41155.0</v>
      </c>
      <c r="C626" s="131">
        <v>41176.0</v>
      </c>
      <c r="D626" s="110" t="s">
        <v>89</v>
      </c>
      <c r="E626" s="110" t="s">
        <v>101</v>
      </c>
      <c r="F626" s="110">
        <v>7940.0</v>
      </c>
      <c r="G626" s="38" t="s">
        <v>42</v>
      </c>
      <c r="H626" s="110">
        <v>1051.0</v>
      </c>
      <c r="I626" s="132">
        <v>668.27</v>
      </c>
      <c r="J626" s="132">
        <v>502.54</v>
      </c>
      <c r="K626" s="39">
        <f t="shared" si="1"/>
        <v>702351.77</v>
      </c>
      <c r="L626" s="39">
        <f t="shared" si="2"/>
        <v>528169.54</v>
      </c>
      <c r="M626" s="39">
        <f t="shared" si="3"/>
        <v>174182.23</v>
      </c>
      <c r="N626" s="38" t="str">
        <f>VLOOKUP(F626,products!$A$2:$B$13,2,FALSE)</f>
        <v>Household</v>
      </c>
      <c r="O626" s="133">
        <f t="shared" si="4"/>
        <v>0.7520014365</v>
      </c>
      <c r="P626" s="38" t="str">
        <f>VLOOKUP(E626,countries!A$2:E$250,3,false)</f>
        <v>Armenia</v>
      </c>
      <c r="Q626" s="38" t="str">
        <f>VLOOKUP($E626,countries!$A$2:$E$250,4,false)</f>
        <v>Asia</v>
      </c>
      <c r="R626" s="38" t="str">
        <f>VLOOKUP($E626,countries!$A$2:$E$250,5,false)</f>
        <v>Western Asia</v>
      </c>
      <c r="S626" s="38">
        <f t="shared" si="5"/>
        <v>21</v>
      </c>
      <c r="T626" s="38" t="s">
        <v>148</v>
      </c>
      <c r="U626" s="38">
        <v>2012.0</v>
      </c>
      <c r="V626" s="38">
        <v>9.0</v>
      </c>
      <c r="W626" s="38" t="s">
        <v>101</v>
      </c>
      <c r="X626" s="38" t="s">
        <v>164</v>
      </c>
      <c r="Y626" s="38" t="s">
        <v>165</v>
      </c>
      <c r="Z626" s="38" t="s">
        <v>166</v>
      </c>
      <c r="AA626" s="113" t="str">
        <f t="array" ref="AA626">PROPER(G626)</f>
        <v>Offline</v>
      </c>
    </row>
    <row r="627">
      <c r="A627" s="110">
        <v>5.16485583E8</v>
      </c>
      <c r="B627" s="131">
        <v>40220.0</v>
      </c>
      <c r="C627" s="131">
        <v>40243.0</v>
      </c>
      <c r="D627" s="110" t="s">
        <v>89</v>
      </c>
      <c r="E627" s="110" t="s">
        <v>102</v>
      </c>
      <c r="F627" s="110">
        <v>8875.0</v>
      </c>
      <c r="G627" s="38" t="s">
        <v>42</v>
      </c>
      <c r="H627" s="110">
        <v>8416.0</v>
      </c>
      <c r="I627" s="132">
        <v>421.89</v>
      </c>
      <c r="J627" s="132">
        <v>364.69</v>
      </c>
      <c r="K627" s="39">
        <f t="shared" si="1"/>
        <v>3550626.24</v>
      </c>
      <c r="L627" s="39">
        <f t="shared" si="2"/>
        <v>3069231.04</v>
      </c>
      <c r="M627" s="39">
        <f t="shared" si="3"/>
        <v>481395.2</v>
      </c>
      <c r="N627" s="38" t="str">
        <f>VLOOKUP(F627,products!$A$2:$B$13,2,FALSE)</f>
        <v>Meat</v>
      </c>
      <c r="O627" s="133">
        <f t="shared" si="4"/>
        <v>0.8644196354</v>
      </c>
      <c r="P627" s="38" t="str">
        <f>VLOOKUP(E627,countries!A$2:E$250,3,false)</f>
        <v>Georgia</v>
      </c>
      <c r="Q627" s="38" t="str">
        <f>VLOOKUP($E627,countries!$A$2:$E$250,4,false)</f>
        <v>Asia</v>
      </c>
      <c r="R627" s="38" t="str">
        <f>VLOOKUP($E627,countries!$A$2:$E$250,5,false)</f>
        <v>Western Asia</v>
      </c>
      <c r="S627" s="38">
        <f t="shared" si="5"/>
        <v>23</v>
      </c>
      <c r="T627" s="38" t="s">
        <v>167</v>
      </c>
      <c r="U627" s="38">
        <v>2010.0</v>
      </c>
      <c r="V627" s="38">
        <v>2.0</v>
      </c>
      <c r="W627" s="38" t="s">
        <v>102</v>
      </c>
      <c r="X627" s="38" t="s">
        <v>168</v>
      </c>
      <c r="Y627" s="38" t="s">
        <v>165</v>
      </c>
      <c r="Z627" s="38" t="s">
        <v>166</v>
      </c>
      <c r="AA627" s="113" t="str">
        <f t="array" ref="AA627">PROPER(G627)</f>
        <v>Offline</v>
      </c>
    </row>
    <row r="628">
      <c r="A628" s="110">
        <v>5.16599738E8</v>
      </c>
      <c r="B628" s="131">
        <v>41366.0</v>
      </c>
      <c r="C628" s="131">
        <v>41403.0</v>
      </c>
      <c r="D628" s="110" t="s">
        <v>89</v>
      </c>
      <c r="E628" s="110" t="s">
        <v>138</v>
      </c>
      <c r="F628" s="110">
        <v>8681.0</v>
      </c>
      <c r="G628" s="38" t="s">
        <v>42</v>
      </c>
      <c r="H628" s="110">
        <v>2197.0</v>
      </c>
      <c r="I628" s="132">
        <v>651.21</v>
      </c>
      <c r="J628" s="132">
        <v>524.96</v>
      </c>
      <c r="K628" s="39">
        <f t="shared" si="1"/>
        <v>1430708.37</v>
      </c>
      <c r="L628" s="39">
        <f t="shared" si="2"/>
        <v>1153337.12</v>
      </c>
      <c r="M628" s="39">
        <f t="shared" si="3"/>
        <v>277371.25</v>
      </c>
      <c r="N628" s="38" t="str">
        <f>VLOOKUP(F628,products!$A$2:$B$13,2,FALSE)</f>
        <v>Office Supplies</v>
      </c>
      <c r="O628" s="133">
        <f t="shared" si="4"/>
        <v>0.806130127</v>
      </c>
      <c r="P628" s="38" t="str">
        <f>VLOOKUP(E628,countries!A$2:E$250,3,false)</f>
        <v>Greece</v>
      </c>
      <c r="Q628" s="38" t="str">
        <f>VLOOKUP($E628,countries!$A$2:$E$250,4,false)</f>
        <v>Europe</v>
      </c>
      <c r="R628" s="38" t="str">
        <f>VLOOKUP($E628,countries!$A$2:$E$250,5,false)</f>
        <v>Southern Europe</v>
      </c>
      <c r="S628" s="38">
        <f t="shared" si="5"/>
        <v>37</v>
      </c>
      <c r="T628" s="38" t="s">
        <v>153</v>
      </c>
      <c r="U628" s="38">
        <v>2013.0</v>
      </c>
      <c r="V628" s="38">
        <v>4.0</v>
      </c>
      <c r="W628" s="38" t="s">
        <v>138</v>
      </c>
      <c r="X628" s="38" t="s">
        <v>208</v>
      </c>
      <c r="Y628" s="38" t="s">
        <v>146</v>
      </c>
      <c r="Z628" s="38" t="s">
        <v>147</v>
      </c>
      <c r="AA628" s="113" t="str">
        <f t="array" ref="AA628">PROPER(G628)</f>
        <v>Offline</v>
      </c>
    </row>
    <row r="629">
      <c r="A629" s="110">
        <v>5.16635358E8</v>
      </c>
      <c r="B629" s="131">
        <v>40933.0</v>
      </c>
      <c r="C629" s="131">
        <v>40965.0</v>
      </c>
      <c r="D629" s="110" t="s">
        <v>95</v>
      </c>
      <c r="E629" s="110" t="s">
        <v>110</v>
      </c>
      <c r="F629" s="110">
        <v>7940.0</v>
      </c>
      <c r="G629" s="38" t="s">
        <v>43</v>
      </c>
      <c r="H629" s="110">
        <v>2738.0</v>
      </c>
      <c r="I629" s="132">
        <v>668.27</v>
      </c>
      <c r="J629" s="132">
        <v>502.54</v>
      </c>
      <c r="K629" s="39">
        <f t="shared" si="1"/>
        <v>1829723.26</v>
      </c>
      <c r="L629" s="39">
        <f t="shared" si="2"/>
        <v>1375954.52</v>
      </c>
      <c r="M629" s="39">
        <f t="shared" si="3"/>
        <v>453768.74</v>
      </c>
      <c r="N629" s="38" t="str">
        <f>VLOOKUP(F629,products!$A$2:$B$13,2,FALSE)</f>
        <v>Household</v>
      </c>
      <c r="O629" s="133">
        <f t="shared" si="4"/>
        <v>0.7520014365</v>
      </c>
      <c r="P629" s="38" t="str">
        <f>VLOOKUP(E629,countries!A$2:E$250,3,false)</f>
        <v>Lithuania</v>
      </c>
      <c r="Q629" s="38" t="str">
        <f>VLOOKUP($E629,countries!$A$2:$E$250,4,false)</f>
        <v>Europe</v>
      </c>
      <c r="R629" s="38" t="str">
        <f>VLOOKUP($E629,countries!$A$2:$E$250,5,false)</f>
        <v>Northern Europe</v>
      </c>
      <c r="S629" s="38">
        <f t="shared" si="5"/>
        <v>32</v>
      </c>
      <c r="T629" s="38" t="s">
        <v>148</v>
      </c>
      <c r="U629" s="38">
        <v>2012.0</v>
      </c>
      <c r="V629" s="38">
        <v>1.0</v>
      </c>
      <c r="W629" s="38" t="s">
        <v>110</v>
      </c>
      <c r="X629" s="38" t="s">
        <v>177</v>
      </c>
      <c r="Y629" s="38" t="s">
        <v>146</v>
      </c>
      <c r="Z629" s="38" t="s">
        <v>170</v>
      </c>
      <c r="AA629" s="113" t="str">
        <f t="array" ref="AA629">PROPER(G629)</f>
        <v>Online</v>
      </c>
    </row>
    <row r="630">
      <c r="A630" s="110">
        <v>5.16994559E8</v>
      </c>
      <c r="B630" s="131">
        <v>42169.0</v>
      </c>
      <c r="C630" s="131">
        <v>42175.0</v>
      </c>
      <c r="D630" s="110" t="s">
        <v>95</v>
      </c>
      <c r="E630" s="110" t="s">
        <v>138</v>
      </c>
      <c r="F630" s="110">
        <v>4594.0</v>
      </c>
      <c r="G630" s="38" t="s">
        <v>42</v>
      </c>
      <c r="H630" s="110">
        <v>9034.0</v>
      </c>
      <c r="I630" s="132">
        <v>9.33</v>
      </c>
      <c r="J630" s="132">
        <v>6.92</v>
      </c>
      <c r="K630" s="39">
        <f t="shared" si="1"/>
        <v>84287.22</v>
      </c>
      <c r="L630" s="39">
        <f t="shared" si="2"/>
        <v>62515.28</v>
      </c>
      <c r="M630" s="39">
        <f t="shared" si="3"/>
        <v>21771.94</v>
      </c>
      <c r="N630" s="38" t="str">
        <f>VLOOKUP(F630,products!$A$2:$B$13,2,FALSE)</f>
        <v>Fruits</v>
      </c>
      <c r="O630" s="133">
        <f t="shared" si="4"/>
        <v>0.741693462</v>
      </c>
      <c r="P630" s="38" t="str">
        <f>VLOOKUP(E630,countries!A$2:E$250,3,false)</f>
        <v>Greece</v>
      </c>
      <c r="Q630" s="38" t="str">
        <f>VLOOKUP($E630,countries!$A$2:$E$250,4,false)</f>
        <v>Europe</v>
      </c>
      <c r="R630" s="38" t="str">
        <f>VLOOKUP($E630,countries!$A$2:$E$250,5,false)</f>
        <v>Southern Europe</v>
      </c>
      <c r="S630" s="38">
        <f t="shared" si="5"/>
        <v>6</v>
      </c>
      <c r="T630" s="38" t="s">
        <v>156</v>
      </c>
      <c r="U630" s="38">
        <v>2015.0</v>
      </c>
      <c r="V630" s="38">
        <v>6.0</v>
      </c>
      <c r="W630" s="38" t="s">
        <v>138</v>
      </c>
      <c r="X630" s="38" t="s">
        <v>208</v>
      </c>
      <c r="Y630" s="38" t="s">
        <v>146</v>
      </c>
      <c r="Z630" s="38" t="s">
        <v>147</v>
      </c>
      <c r="AA630" s="113" t="str">
        <f t="array" ref="AA630">PROPER(G630)</f>
        <v>Offline</v>
      </c>
    </row>
    <row r="631">
      <c r="A631" s="110">
        <v>5.17097985E8</v>
      </c>
      <c r="B631" s="131">
        <v>42812.0</v>
      </c>
      <c r="C631" s="131">
        <v>42839.0</v>
      </c>
      <c r="D631" s="110" t="s">
        <v>89</v>
      </c>
      <c r="E631" s="110" t="s">
        <v>124</v>
      </c>
      <c r="F631" s="110">
        <v>8969.0</v>
      </c>
      <c r="G631" s="38" t="s">
        <v>43</v>
      </c>
      <c r="H631" s="110">
        <v>9640.0</v>
      </c>
      <c r="I631" s="132">
        <v>152.58</v>
      </c>
      <c r="J631" s="132">
        <v>97.44</v>
      </c>
      <c r="K631" s="39">
        <f t="shared" si="1"/>
        <v>1470871.2</v>
      </c>
      <c r="L631" s="39">
        <f t="shared" si="2"/>
        <v>939321.6</v>
      </c>
      <c r="M631" s="39">
        <f t="shared" si="3"/>
        <v>531549.6</v>
      </c>
      <c r="N631" s="38" t="str">
        <f>VLOOKUP(F631,products!$A$2:$B$13,2,FALSE)</f>
        <v>Snacks</v>
      </c>
      <c r="O631" s="133">
        <f t="shared" si="4"/>
        <v>0.6386158081</v>
      </c>
      <c r="P631" s="38" t="str">
        <f>VLOOKUP(E631,countries!A$2:E$250,3,false)</f>
        <v>Latvia</v>
      </c>
      <c r="Q631" s="38" t="str">
        <f>VLOOKUP($E631,countries!$A$2:$E$250,4,false)</f>
        <v>Europe</v>
      </c>
      <c r="R631" s="38" t="str">
        <f>VLOOKUP($E631,countries!$A$2:$E$250,5,false)</f>
        <v>Northern Europe</v>
      </c>
      <c r="S631" s="38">
        <f t="shared" si="5"/>
        <v>27</v>
      </c>
      <c r="T631" s="38" t="s">
        <v>182</v>
      </c>
      <c r="U631" s="38">
        <v>2017.0</v>
      </c>
      <c r="V631" s="38">
        <v>3.0</v>
      </c>
      <c r="W631" s="38" t="s">
        <v>124</v>
      </c>
      <c r="X631" s="38" t="s">
        <v>195</v>
      </c>
      <c r="Y631" s="38" t="s">
        <v>146</v>
      </c>
      <c r="Z631" s="38" t="s">
        <v>170</v>
      </c>
      <c r="AA631" s="113" t="str">
        <f t="array" ref="AA631">PROPER(G631)</f>
        <v>Online</v>
      </c>
    </row>
    <row r="632">
      <c r="A632" s="110">
        <v>5.17514264E8</v>
      </c>
      <c r="B632" s="131">
        <v>41854.0</v>
      </c>
      <c r="C632" s="131">
        <v>41886.0</v>
      </c>
      <c r="D632" s="110" t="s">
        <v>93</v>
      </c>
      <c r="E632" s="110" t="s">
        <v>102</v>
      </c>
      <c r="F632" s="110">
        <v>8875.0</v>
      </c>
      <c r="G632" s="38" t="s">
        <v>42</v>
      </c>
      <c r="H632" s="110">
        <v>2826.0</v>
      </c>
      <c r="I632" s="132">
        <v>421.89</v>
      </c>
      <c r="J632" s="132">
        <v>364.69</v>
      </c>
      <c r="K632" s="39">
        <f t="shared" si="1"/>
        <v>1192261.14</v>
      </c>
      <c r="L632" s="39">
        <f t="shared" si="2"/>
        <v>1030613.94</v>
      </c>
      <c r="M632" s="39">
        <f t="shared" si="3"/>
        <v>161647.2</v>
      </c>
      <c r="N632" s="38" t="str">
        <f>VLOOKUP(F632,products!$A$2:$B$13,2,FALSE)</f>
        <v>Meat</v>
      </c>
      <c r="O632" s="133">
        <f t="shared" si="4"/>
        <v>0.8644196354</v>
      </c>
      <c r="P632" s="38" t="str">
        <f>VLOOKUP(E632,countries!A$2:E$250,3,false)</f>
        <v>Georgia</v>
      </c>
      <c r="Q632" s="38" t="str">
        <f>VLOOKUP($E632,countries!$A$2:$E$250,4,false)</f>
        <v>Asia</v>
      </c>
      <c r="R632" s="38" t="str">
        <f>VLOOKUP($E632,countries!$A$2:$E$250,5,false)</f>
        <v>Western Asia</v>
      </c>
      <c r="S632" s="38">
        <f t="shared" si="5"/>
        <v>32</v>
      </c>
      <c r="T632" s="38" t="s">
        <v>167</v>
      </c>
      <c r="U632" s="38">
        <v>2014.0</v>
      </c>
      <c r="V632" s="38">
        <v>8.0</v>
      </c>
      <c r="W632" s="38" t="s">
        <v>102</v>
      </c>
      <c r="X632" s="38" t="s">
        <v>168</v>
      </c>
      <c r="Y632" s="38" t="s">
        <v>165</v>
      </c>
      <c r="Z632" s="38" t="s">
        <v>166</v>
      </c>
      <c r="AA632" s="113" t="str">
        <f t="array" ref="AA632">PROPER(G632)</f>
        <v>Offline</v>
      </c>
    </row>
    <row r="633">
      <c r="A633" s="110">
        <v>5.18421494E8</v>
      </c>
      <c r="B633" s="131">
        <v>42665.0</v>
      </c>
      <c r="C633" s="131">
        <v>42665.0</v>
      </c>
      <c r="D633" s="110" t="s">
        <v>95</v>
      </c>
      <c r="E633" s="110" t="s">
        <v>120</v>
      </c>
      <c r="F633" s="110">
        <v>2103.0</v>
      </c>
      <c r="G633" s="38" t="s">
        <v>43</v>
      </c>
      <c r="H633" s="110">
        <v>1296.0</v>
      </c>
      <c r="I633" s="132">
        <v>205.7</v>
      </c>
      <c r="J633" s="132">
        <v>117.11</v>
      </c>
      <c r="K633" s="39">
        <f t="shared" si="1"/>
        <v>266587.2</v>
      </c>
      <c r="L633" s="39">
        <f t="shared" si="2"/>
        <v>151774.56</v>
      </c>
      <c r="M633" s="39">
        <f t="shared" si="3"/>
        <v>114812.64</v>
      </c>
      <c r="N633" s="38" t="str">
        <f>VLOOKUP(F633,products!$A$2:$B$13,2,FALSE)</f>
        <v>Cereal</v>
      </c>
      <c r="O633" s="133">
        <f t="shared" si="4"/>
        <v>0.5693242586</v>
      </c>
      <c r="P633" s="38" t="str">
        <f>VLOOKUP(E633,countries!A$2:E$250,3,false)</f>
        <v>San Marino</v>
      </c>
      <c r="Q633" s="38" t="str">
        <f>VLOOKUP($E633,countries!$A$2:$E$250,4,false)</f>
        <v>Europe</v>
      </c>
      <c r="R633" s="38" t="str">
        <f>VLOOKUP($E633,countries!$A$2:$E$250,5,false)</f>
        <v>Southern Europe</v>
      </c>
      <c r="S633" s="38">
        <f t="shared" si="5"/>
        <v>0</v>
      </c>
      <c r="T633" s="38" t="s">
        <v>144</v>
      </c>
      <c r="U633" s="38">
        <v>2016.0</v>
      </c>
      <c r="V633" s="38">
        <v>10.0</v>
      </c>
      <c r="W633" s="38" t="s">
        <v>120</v>
      </c>
      <c r="X633" s="38" t="s">
        <v>191</v>
      </c>
      <c r="Y633" s="38" t="s">
        <v>146</v>
      </c>
      <c r="Z633" s="38" t="s">
        <v>147</v>
      </c>
      <c r="AA633" s="113" t="str">
        <f t="array" ref="AA633">PROPER(G633)</f>
        <v>Online</v>
      </c>
    </row>
    <row r="634">
      <c r="A634" s="110">
        <v>5.19380223E8</v>
      </c>
      <c r="B634" s="131">
        <v>42016.0</v>
      </c>
      <c r="C634" s="131">
        <v>42021.0</v>
      </c>
      <c r="D634" s="110" t="s">
        <v>89</v>
      </c>
      <c r="E634" s="110" t="s">
        <v>109</v>
      </c>
      <c r="F634" s="110">
        <v>8969.0</v>
      </c>
      <c r="G634" s="38" t="s">
        <v>43</v>
      </c>
      <c r="H634" s="110">
        <v>5005.0</v>
      </c>
      <c r="I634" s="132">
        <v>152.58</v>
      </c>
      <c r="J634" s="132">
        <v>97.44</v>
      </c>
      <c r="K634" s="39">
        <f t="shared" si="1"/>
        <v>763662.9</v>
      </c>
      <c r="L634" s="39">
        <f t="shared" si="2"/>
        <v>487687.2</v>
      </c>
      <c r="M634" s="39">
        <f t="shared" si="3"/>
        <v>275975.7</v>
      </c>
      <c r="N634" s="38" t="str">
        <f>VLOOKUP(F634,products!$A$2:$B$13,2,FALSE)</f>
        <v>Snacks</v>
      </c>
      <c r="O634" s="133">
        <f t="shared" si="4"/>
        <v>0.6386158081</v>
      </c>
      <c r="P634" s="38" t="str">
        <f>VLOOKUP(E634,countries!A$2:E$250,3,false)</f>
        <v>Belgium</v>
      </c>
      <c r="Q634" s="38" t="str">
        <f>VLOOKUP($E634,countries!$A$2:$E$250,4,false)</f>
        <v>Europe</v>
      </c>
      <c r="R634" s="38" t="str">
        <f>VLOOKUP($E634,countries!$A$2:$E$250,5,false)</f>
        <v>Western Europe</v>
      </c>
      <c r="S634" s="38">
        <f t="shared" si="5"/>
        <v>5</v>
      </c>
      <c r="T634" s="38" t="s">
        <v>182</v>
      </c>
      <c r="U634" s="38">
        <v>2015.0</v>
      </c>
      <c r="V634" s="38">
        <v>1.0</v>
      </c>
      <c r="W634" s="38" t="s">
        <v>109</v>
      </c>
      <c r="X634" s="38" t="s">
        <v>176</v>
      </c>
      <c r="Y634" s="38" t="s">
        <v>146</v>
      </c>
      <c r="Z634" s="38" t="s">
        <v>158</v>
      </c>
      <c r="AA634" s="113" t="str">
        <f t="array" ref="AA634">PROPER(G634)</f>
        <v>Online</v>
      </c>
    </row>
    <row r="635">
      <c r="A635" s="110">
        <v>5.2039088E8</v>
      </c>
      <c r="B635" s="131">
        <v>40704.0</v>
      </c>
      <c r="C635" s="131">
        <v>40748.0</v>
      </c>
      <c r="D635" s="110" t="s">
        <v>89</v>
      </c>
      <c r="E635" s="110" t="s">
        <v>106</v>
      </c>
      <c r="F635" s="110">
        <v>2103.0</v>
      </c>
      <c r="G635" s="38" t="s">
        <v>42</v>
      </c>
      <c r="H635" s="110">
        <v>4080.0</v>
      </c>
      <c r="I635" s="132">
        <v>205.7</v>
      </c>
      <c r="J635" s="132">
        <v>117.11</v>
      </c>
      <c r="K635" s="39">
        <f t="shared" si="1"/>
        <v>839256</v>
      </c>
      <c r="L635" s="39">
        <f t="shared" si="2"/>
        <v>477808.8</v>
      </c>
      <c r="M635" s="39">
        <f t="shared" si="3"/>
        <v>361447.2</v>
      </c>
      <c r="N635" s="38" t="str">
        <f>VLOOKUP(F635,products!$A$2:$B$13,2,FALSE)</f>
        <v>Cereal</v>
      </c>
      <c r="O635" s="133">
        <f t="shared" si="4"/>
        <v>0.5693242586</v>
      </c>
      <c r="P635" s="38" t="str">
        <f>VLOOKUP(E635,countries!A$2:E$250,3,false)</f>
        <v>Poland</v>
      </c>
      <c r="Q635" s="38" t="str">
        <f>VLOOKUP($E635,countries!$A$2:$E$250,4,false)</f>
        <v>Europe</v>
      </c>
      <c r="R635" s="38" t="str">
        <f>VLOOKUP($E635,countries!$A$2:$E$250,5,false)</f>
        <v>Eastern Europe</v>
      </c>
      <c r="S635" s="38">
        <f t="shared" si="5"/>
        <v>44</v>
      </c>
      <c r="T635" s="38" t="s">
        <v>144</v>
      </c>
      <c r="U635" s="38">
        <v>2011.0</v>
      </c>
      <c r="V635" s="38">
        <v>6.0</v>
      </c>
      <c r="W635" s="38" t="s">
        <v>106</v>
      </c>
      <c r="X635" s="38" t="s">
        <v>173</v>
      </c>
      <c r="Y635" s="38" t="s">
        <v>146</v>
      </c>
      <c r="Z635" s="38" t="s">
        <v>155</v>
      </c>
      <c r="AA635" s="113" t="str">
        <f t="array" ref="AA635">PROPER(G635)</f>
        <v>Offline</v>
      </c>
    </row>
    <row r="636">
      <c r="A636" s="110">
        <v>5.20777547E8</v>
      </c>
      <c r="B636" s="131">
        <v>40239.0</v>
      </c>
      <c r="C636" s="131">
        <v>40283.0</v>
      </c>
      <c r="D636" s="110" t="s">
        <v>10</v>
      </c>
      <c r="E636" s="110" t="s">
        <v>125</v>
      </c>
      <c r="F636" s="110">
        <v>2455.0</v>
      </c>
      <c r="G636" s="38" t="s">
        <v>42</v>
      </c>
      <c r="H636" s="110">
        <v>8504.0</v>
      </c>
      <c r="I636" s="132">
        <v>109.28</v>
      </c>
      <c r="J636" s="132">
        <v>35.84</v>
      </c>
      <c r="K636" s="39">
        <f t="shared" si="1"/>
        <v>929317.12</v>
      </c>
      <c r="L636" s="39">
        <f t="shared" si="2"/>
        <v>304783.36</v>
      </c>
      <c r="M636" s="39">
        <f t="shared" si="3"/>
        <v>624533.76</v>
      </c>
      <c r="N636" s="38" t="str">
        <f>VLOOKUP(F636,products!$A$2:$B$13,2,FALSE)</f>
        <v>Clothes</v>
      </c>
      <c r="O636" s="133">
        <f t="shared" si="4"/>
        <v>0.3279648609</v>
      </c>
      <c r="P636" s="38" t="str">
        <f>VLOOKUP(E636,countries!A$2:E$250,3,false)</f>
        <v>Bulgaria</v>
      </c>
      <c r="Q636" s="38" t="str">
        <f>VLOOKUP($E636,countries!$A$2:$E$250,4,false)</f>
        <v>Europe</v>
      </c>
      <c r="R636" s="38" t="str">
        <f>VLOOKUP($E636,countries!$A$2:$E$250,5,false)</f>
        <v>Eastern Europe</v>
      </c>
      <c r="S636" s="38">
        <f t="shared" si="5"/>
        <v>44</v>
      </c>
      <c r="T636" s="38" t="s">
        <v>150</v>
      </c>
      <c r="U636" s="38">
        <v>2010.0</v>
      </c>
      <c r="V636" s="38">
        <v>3.0</v>
      </c>
      <c r="W636" s="38" t="s">
        <v>125</v>
      </c>
      <c r="X636" s="38" t="s">
        <v>196</v>
      </c>
      <c r="Y636" s="38" t="s">
        <v>146</v>
      </c>
      <c r="Z636" s="38" t="s">
        <v>155</v>
      </c>
      <c r="AA636" s="113" t="str">
        <f t="array" ref="AA636">PROPER(G636)</f>
        <v>Offline</v>
      </c>
    </row>
    <row r="637">
      <c r="A637" s="110">
        <v>5.20915305E8</v>
      </c>
      <c r="B637" s="131">
        <v>40832.0</v>
      </c>
      <c r="C637" s="131">
        <v>40854.0</v>
      </c>
      <c r="D637" s="110" t="s">
        <v>95</v>
      </c>
      <c r="E637" s="110" t="s">
        <v>111</v>
      </c>
      <c r="F637" s="110">
        <v>8681.0</v>
      </c>
      <c r="G637" s="38" t="s">
        <v>42</v>
      </c>
      <c r="H637" s="110">
        <v>9270.0</v>
      </c>
      <c r="I637" s="132">
        <v>651.21</v>
      </c>
      <c r="J637" s="132">
        <v>524.96</v>
      </c>
      <c r="K637" s="39">
        <f t="shared" si="1"/>
        <v>6036716.7</v>
      </c>
      <c r="L637" s="39">
        <f t="shared" si="2"/>
        <v>4866379.2</v>
      </c>
      <c r="M637" s="39">
        <f t="shared" si="3"/>
        <v>1170337.5</v>
      </c>
      <c r="N637" s="38" t="str">
        <f>VLOOKUP(F637,products!$A$2:$B$13,2,FALSE)</f>
        <v>Office Supplies</v>
      </c>
      <c r="O637" s="133">
        <f t="shared" si="4"/>
        <v>0.806130127</v>
      </c>
      <c r="P637" s="38" t="str">
        <f>VLOOKUP(E637,countries!A$2:E$250,3,false)</f>
        <v>Russia</v>
      </c>
      <c r="Q637" s="38" t="str">
        <f>VLOOKUP($E637,countries!$A$2:$E$250,4,false)</f>
        <v>Europe</v>
      </c>
      <c r="R637" s="38" t="str">
        <f>VLOOKUP($E637,countries!$A$2:$E$250,5,false)</f>
        <v>Eastern Europe</v>
      </c>
      <c r="S637" s="38">
        <f t="shared" si="5"/>
        <v>22</v>
      </c>
      <c r="T637" s="38" t="s">
        <v>153</v>
      </c>
      <c r="U637" s="38">
        <v>2011.0</v>
      </c>
      <c r="V637" s="38">
        <v>10.0</v>
      </c>
      <c r="W637" s="38" t="s">
        <v>111</v>
      </c>
      <c r="X637" s="38" t="s">
        <v>179</v>
      </c>
      <c r="Y637" s="38" t="s">
        <v>146</v>
      </c>
      <c r="Z637" s="38" t="s">
        <v>155</v>
      </c>
      <c r="AA637" s="113" t="str">
        <f t="array" ref="AA637">PROPER(G637)</f>
        <v>Offline</v>
      </c>
    </row>
    <row r="638">
      <c r="A638" s="110">
        <v>5.21681344E8</v>
      </c>
      <c r="B638" s="131">
        <v>40225.0</v>
      </c>
      <c r="C638" s="131">
        <v>40271.0</v>
      </c>
      <c r="D638" s="110" t="s">
        <v>89</v>
      </c>
      <c r="E638" s="110" t="s">
        <v>114</v>
      </c>
      <c r="F638" s="110">
        <v>8681.0</v>
      </c>
      <c r="G638" s="38" t="s">
        <v>43</v>
      </c>
      <c r="H638" s="110">
        <v>5957.0</v>
      </c>
      <c r="I638" s="132">
        <v>651.21</v>
      </c>
      <c r="J638" s="132">
        <v>524.96</v>
      </c>
      <c r="K638" s="39">
        <f t="shared" si="1"/>
        <v>3879257.97</v>
      </c>
      <c r="L638" s="39">
        <f t="shared" si="2"/>
        <v>3127186.72</v>
      </c>
      <c r="M638" s="39">
        <f t="shared" si="3"/>
        <v>752071.25</v>
      </c>
      <c r="N638" s="38" t="str">
        <f>VLOOKUP(F638,products!$A$2:$B$13,2,FALSE)</f>
        <v>Office Supplies</v>
      </c>
      <c r="O638" s="133">
        <f t="shared" si="4"/>
        <v>0.806130127</v>
      </c>
      <c r="P638" s="38" t="str">
        <f>VLOOKUP(E638,countries!A$2:E$250,3,false)</f>
        <v>Czech Republic</v>
      </c>
      <c r="Q638" s="38" t="str">
        <f>VLOOKUP($E638,countries!$A$2:$E$250,4,false)</f>
        <v>Europe</v>
      </c>
      <c r="R638" s="38" t="str">
        <f>VLOOKUP($E638,countries!$A$2:$E$250,5,false)</f>
        <v>Eastern Europe</v>
      </c>
      <c r="S638" s="38">
        <f t="shared" si="5"/>
        <v>46</v>
      </c>
      <c r="T638" s="38" t="s">
        <v>153</v>
      </c>
      <c r="U638" s="38">
        <v>2010.0</v>
      </c>
      <c r="V638" s="38">
        <v>2.0</v>
      </c>
      <c r="W638" s="38" t="s">
        <v>114</v>
      </c>
      <c r="X638" s="38" t="s">
        <v>184</v>
      </c>
      <c r="Y638" s="38" t="s">
        <v>146</v>
      </c>
      <c r="Z638" s="38" t="s">
        <v>155</v>
      </c>
      <c r="AA638" s="113" t="str">
        <f t="array" ref="AA638">PROPER(G638)</f>
        <v>Online</v>
      </c>
    </row>
    <row r="639">
      <c r="A639" s="110">
        <v>5.21874034E8</v>
      </c>
      <c r="B639" s="131">
        <v>40184.0</v>
      </c>
      <c r="C639" s="131">
        <v>40212.0</v>
      </c>
      <c r="D639" s="110" t="s">
        <v>89</v>
      </c>
      <c r="E639" s="110" t="s">
        <v>116</v>
      </c>
      <c r="F639" s="110">
        <v>8293.0</v>
      </c>
      <c r="G639" s="38" t="s">
        <v>42</v>
      </c>
      <c r="H639" s="110">
        <v>2979.0</v>
      </c>
      <c r="I639" s="132">
        <v>437.2</v>
      </c>
      <c r="J639" s="132">
        <v>263.33</v>
      </c>
      <c r="K639" s="39">
        <f t="shared" si="1"/>
        <v>1302418.8</v>
      </c>
      <c r="L639" s="39">
        <f t="shared" si="2"/>
        <v>784460.07</v>
      </c>
      <c r="M639" s="39">
        <f t="shared" si="3"/>
        <v>517958.73</v>
      </c>
      <c r="N639" s="38" t="str">
        <f>VLOOKUP(F639,products!$A$2:$B$13,2,FALSE)</f>
        <v>Cosmetics</v>
      </c>
      <c r="O639" s="133">
        <f t="shared" si="4"/>
        <v>0.6023101555</v>
      </c>
      <c r="P639" s="38" t="str">
        <f>VLOOKUP(E639,countries!A$2:E$250,3,false)</f>
        <v>Belarus</v>
      </c>
      <c r="Q639" s="38" t="str">
        <f>VLOOKUP($E639,countries!$A$2:$E$250,4,false)</f>
        <v>Europe</v>
      </c>
      <c r="R639" s="38" t="str">
        <f>VLOOKUP($E639,countries!$A$2:$E$250,5,false)</f>
        <v>Eastern Europe</v>
      </c>
      <c r="S639" s="38">
        <f t="shared" si="5"/>
        <v>28</v>
      </c>
      <c r="T639" s="38" t="s">
        <v>178</v>
      </c>
      <c r="U639" s="38">
        <v>2010.0</v>
      </c>
      <c r="V639" s="38">
        <v>1.0</v>
      </c>
      <c r="W639" s="38" t="s">
        <v>116</v>
      </c>
      <c r="X639" s="38" t="s">
        <v>187</v>
      </c>
      <c r="Y639" s="38" t="s">
        <v>146</v>
      </c>
      <c r="Z639" s="38" t="s">
        <v>155</v>
      </c>
      <c r="AA639" s="113" t="str">
        <f t="array" ref="AA639">PROPER(G639)</f>
        <v>Offline</v>
      </c>
    </row>
    <row r="640">
      <c r="A640" s="110">
        <v>5.22323358E8</v>
      </c>
      <c r="B640" s="131">
        <v>42324.0</v>
      </c>
      <c r="C640" s="131">
        <v>42328.0</v>
      </c>
      <c r="D640" s="110" t="s">
        <v>95</v>
      </c>
      <c r="E640" s="110" t="s">
        <v>105</v>
      </c>
      <c r="F640" s="110">
        <v>2455.0</v>
      </c>
      <c r="G640" s="38" t="s">
        <v>43</v>
      </c>
      <c r="H640" s="110">
        <v>5944.0</v>
      </c>
      <c r="I640" s="132">
        <v>109.28</v>
      </c>
      <c r="J640" s="132">
        <v>35.84</v>
      </c>
      <c r="K640" s="39">
        <f t="shared" si="1"/>
        <v>649560.32</v>
      </c>
      <c r="L640" s="39">
        <f t="shared" si="2"/>
        <v>213032.96</v>
      </c>
      <c r="M640" s="39">
        <f t="shared" si="3"/>
        <v>436527.36</v>
      </c>
      <c r="N640" s="38" t="str">
        <f>VLOOKUP(F640,products!$A$2:$B$13,2,FALSE)</f>
        <v>Clothes</v>
      </c>
      <c r="O640" s="133">
        <f t="shared" si="4"/>
        <v>0.3279648609</v>
      </c>
      <c r="P640" s="38" t="str">
        <f>VLOOKUP(E640,countries!A$2:E$250,3,false)</f>
        <v>Romania</v>
      </c>
      <c r="Q640" s="38" t="str">
        <f>VLOOKUP($E640,countries!$A$2:$E$250,4,false)</f>
        <v>Europe</v>
      </c>
      <c r="R640" s="38" t="str">
        <f>VLOOKUP($E640,countries!$A$2:$E$250,5,false)</f>
        <v>Eastern Europe</v>
      </c>
      <c r="S640" s="38">
        <f t="shared" si="5"/>
        <v>4</v>
      </c>
      <c r="T640" s="38" t="s">
        <v>150</v>
      </c>
      <c r="U640" s="38">
        <v>2015.0</v>
      </c>
      <c r="V640" s="38">
        <v>11.0</v>
      </c>
      <c r="W640" s="38" t="s">
        <v>105</v>
      </c>
      <c r="X640" s="38" t="s">
        <v>172</v>
      </c>
      <c r="Y640" s="38" t="s">
        <v>146</v>
      </c>
      <c r="Z640" s="38" t="s">
        <v>155</v>
      </c>
      <c r="AA640" s="113" t="str">
        <f t="array" ref="AA640">PROPER(G640)</f>
        <v>Online</v>
      </c>
    </row>
    <row r="641">
      <c r="A641" s="110">
        <v>5.23580348E8</v>
      </c>
      <c r="B641" s="131">
        <v>40719.0</v>
      </c>
      <c r="C641" s="131">
        <v>40759.0</v>
      </c>
      <c r="D641" s="110" t="s">
        <v>10</v>
      </c>
      <c r="E641" s="110" t="s">
        <v>91</v>
      </c>
      <c r="F641" s="110">
        <v>2455.0</v>
      </c>
      <c r="G641" s="38" t="s">
        <v>43</v>
      </c>
      <c r="H641" s="110">
        <v>7915.0</v>
      </c>
      <c r="I641" s="132">
        <v>109.28</v>
      </c>
      <c r="J641" s="132">
        <v>35.84</v>
      </c>
      <c r="K641" s="39">
        <f t="shared" si="1"/>
        <v>864951.2</v>
      </c>
      <c r="L641" s="39">
        <f t="shared" si="2"/>
        <v>283673.6</v>
      </c>
      <c r="M641" s="39">
        <f t="shared" si="3"/>
        <v>581277.6</v>
      </c>
      <c r="N641" s="38" t="str">
        <f>VLOOKUP(F641,products!$A$2:$B$13,2,FALSE)</f>
        <v>Clothes</v>
      </c>
      <c r="O641" s="133">
        <f t="shared" si="4"/>
        <v>0.3279648609</v>
      </c>
      <c r="P641" s="38" t="str">
        <f>VLOOKUP(E641,countries!A$2:E$250,3,false)</f>
        <v>Serbia</v>
      </c>
      <c r="Q641" s="38" t="str">
        <f>VLOOKUP($E641,countries!$A$2:$E$250,4,false)</f>
        <v>Europe</v>
      </c>
      <c r="R641" s="38" t="str">
        <f>VLOOKUP($E641,countries!$A$2:$E$250,5,false)</f>
        <v>Southern Europe</v>
      </c>
      <c r="S641" s="38">
        <f t="shared" si="5"/>
        <v>40</v>
      </c>
      <c r="T641" s="38" t="s">
        <v>150</v>
      </c>
      <c r="U641" s="38">
        <v>2011.0</v>
      </c>
      <c r="V641" s="38">
        <v>6.0</v>
      </c>
      <c r="W641" s="38" t="s">
        <v>91</v>
      </c>
      <c r="X641" s="38" t="s">
        <v>145</v>
      </c>
      <c r="Y641" s="38" t="s">
        <v>146</v>
      </c>
      <c r="Z641" s="38" t="s">
        <v>147</v>
      </c>
      <c r="AA641" s="113" t="str">
        <f t="array" ref="AA641">PROPER(G641)</f>
        <v>Online</v>
      </c>
    </row>
    <row r="642">
      <c r="A642" s="110">
        <v>5.23707807E8</v>
      </c>
      <c r="B642" s="131">
        <v>41603.0</v>
      </c>
      <c r="C642" s="131">
        <v>41624.0</v>
      </c>
      <c r="D642" s="110" t="s">
        <v>89</v>
      </c>
      <c r="E642" s="110" t="s">
        <v>133</v>
      </c>
      <c r="F642" s="110">
        <v>5988.0</v>
      </c>
      <c r="G642" s="38" t="s">
        <v>43</v>
      </c>
      <c r="H642" s="110">
        <v>5633.0</v>
      </c>
      <c r="I642" s="132">
        <v>154.06</v>
      </c>
      <c r="J642" s="132">
        <v>90.93</v>
      </c>
      <c r="K642" s="39">
        <f t="shared" si="1"/>
        <v>867819.98</v>
      </c>
      <c r="L642" s="39">
        <f t="shared" si="2"/>
        <v>512208.69</v>
      </c>
      <c r="M642" s="39">
        <f t="shared" si="3"/>
        <v>355611.29</v>
      </c>
      <c r="N642" s="38" t="str">
        <f>VLOOKUP(F642,products!$A$2:$B$13,2,FALSE)</f>
        <v>Vegetables</v>
      </c>
      <c r="O642" s="133">
        <f t="shared" si="4"/>
        <v>0.5902245878</v>
      </c>
      <c r="P642" s="38" t="str">
        <f>VLOOKUP(E642,countries!A$2:E$250,3,false)</f>
        <v>Bosnia and Herzegovina</v>
      </c>
      <c r="Q642" s="38" t="str">
        <f>VLOOKUP($E642,countries!$A$2:$E$250,4,false)</f>
        <v>Europe</v>
      </c>
      <c r="R642" s="38" t="str">
        <f>VLOOKUP($E642,countries!$A$2:$E$250,5,false)</f>
        <v>Southern Europe</v>
      </c>
      <c r="S642" s="38">
        <f t="shared" si="5"/>
        <v>21</v>
      </c>
      <c r="T642" s="38" t="s">
        <v>159</v>
      </c>
      <c r="U642" s="38">
        <v>2013.0</v>
      </c>
      <c r="V642" s="38">
        <v>11.0</v>
      </c>
      <c r="W642" s="38" t="s">
        <v>133</v>
      </c>
      <c r="X642" s="38" t="s">
        <v>204</v>
      </c>
      <c r="Y642" s="38" t="s">
        <v>146</v>
      </c>
      <c r="Z642" s="38" t="s">
        <v>147</v>
      </c>
      <c r="AA642" s="113" t="str">
        <f t="array" ref="AA642">PROPER(G642)</f>
        <v>Online</v>
      </c>
    </row>
    <row r="643">
      <c r="A643" s="110">
        <v>5.23836123E8</v>
      </c>
      <c r="B643" s="131">
        <v>41311.0</v>
      </c>
      <c r="C643" s="131">
        <v>41355.0</v>
      </c>
      <c r="D643" s="110" t="s">
        <v>10</v>
      </c>
      <c r="E643" s="110" t="s">
        <v>110</v>
      </c>
      <c r="F643" s="110">
        <v>2455.0</v>
      </c>
      <c r="G643" s="38" t="s">
        <v>43</v>
      </c>
      <c r="H643" s="110">
        <v>3605.0</v>
      </c>
      <c r="I643" s="132">
        <v>109.28</v>
      </c>
      <c r="J643" s="132">
        <v>35.84</v>
      </c>
      <c r="K643" s="39">
        <f t="shared" si="1"/>
        <v>393954.4</v>
      </c>
      <c r="L643" s="39">
        <f t="shared" si="2"/>
        <v>129203.2</v>
      </c>
      <c r="M643" s="39">
        <f t="shared" si="3"/>
        <v>264751.2</v>
      </c>
      <c r="N643" s="38" t="str">
        <f>VLOOKUP(F643,products!$A$2:$B$13,2,FALSE)</f>
        <v>Clothes</v>
      </c>
      <c r="O643" s="133">
        <f t="shared" si="4"/>
        <v>0.3279648609</v>
      </c>
      <c r="P643" s="38" t="str">
        <f>VLOOKUP(E643,countries!A$2:E$250,3,false)</f>
        <v>Lithuania</v>
      </c>
      <c r="Q643" s="38" t="str">
        <f>VLOOKUP($E643,countries!$A$2:$E$250,4,false)</f>
        <v>Europe</v>
      </c>
      <c r="R643" s="38" t="str">
        <f>VLOOKUP($E643,countries!$A$2:$E$250,5,false)</f>
        <v>Northern Europe</v>
      </c>
      <c r="S643" s="38">
        <f t="shared" si="5"/>
        <v>44</v>
      </c>
      <c r="T643" s="38" t="s">
        <v>150</v>
      </c>
      <c r="U643" s="38">
        <v>2013.0</v>
      </c>
      <c r="V643" s="38">
        <v>2.0</v>
      </c>
      <c r="W643" s="38" t="s">
        <v>110</v>
      </c>
      <c r="X643" s="38" t="s">
        <v>177</v>
      </c>
      <c r="Y643" s="38" t="s">
        <v>146</v>
      </c>
      <c r="Z643" s="38" t="s">
        <v>170</v>
      </c>
      <c r="AA643" s="113" t="str">
        <f t="array" ref="AA643">PROPER(G643)</f>
        <v>Online</v>
      </c>
    </row>
    <row r="644">
      <c r="A644" s="110">
        <v>5.23899209E8</v>
      </c>
      <c r="B644" s="131">
        <v>41944.0</v>
      </c>
      <c r="C644" s="131">
        <v>41959.0</v>
      </c>
      <c r="D644" s="110" t="s">
        <v>10</v>
      </c>
      <c r="E644" s="110" t="s">
        <v>100</v>
      </c>
      <c r="F644" s="110">
        <v>7331.0</v>
      </c>
      <c r="G644" s="38" t="s">
        <v>42</v>
      </c>
      <c r="H644" s="110">
        <v>2273.0</v>
      </c>
      <c r="I644" s="132">
        <v>255.28</v>
      </c>
      <c r="J644" s="132">
        <v>159.42</v>
      </c>
      <c r="K644" s="39">
        <f t="shared" si="1"/>
        <v>580251.44</v>
      </c>
      <c r="L644" s="39">
        <f t="shared" si="2"/>
        <v>362361.66</v>
      </c>
      <c r="M644" s="39">
        <f t="shared" si="3"/>
        <v>217889.78</v>
      </c>
      <c r="N644" s="38" t="str">
        <f>VLOOKUP(F644,products!$A$2:$B$13,2,FALSE)</f>
        <v>Baby Food</v>
      </c>
      <c r="O644" s="133">
        <f t="shared" si="4"/>
        <v>0.6244907552</v>
      </c>
      <c r="P644" s="38" t="str">
        <f>VLOOKUP(E644,countries!A$2:E$250,3,false)</f>
        <v>Germany</v>
      </c>
      <c r="Q644" s="38" t="str">
        <f>VLOOKUP($E644,countries!$A$2:$E$250,4,false)</f>
        <v>Europe</v>
      </c>
      <c r="R644" s="38" t="str">
        <f>VLOOKUP($E644,countries!$A$2:$E$250,5,false)</f>
        <v>Western Europe</v>
      </c>
      <c r="S644" s="38">
        <f t="shared" si="5"/>
        <v>15</v>
      </c>
      <c r="T644" s="38" t="s">
        <v>161</v>
      </c>
      <c r="U644" s="38">
        <v>2014.0</v>
      </c>
      <c r="V644" s="38">
        <v>11.0</v>
      </c>
      <c r="W644" s="38" t="s">
        <v>100</v>
      </c>
      <c r="X644" s="38" t="s">
        <v>163</v>
      </c>
      <c r="Y644" s="38" t="s">
        <v>146</v>
      </c>
      <c r="Z644" s="38" t="s">
        <v>158</v>
      </c>
      <c r="AA644" s="113" t="str">
        <f t="array" ref="AA644">PROPER(G644)</f>
        <v>Offline</v>
      </c>
    </row>
    <row r="645">
      <c r="A645" s="110">
        <v>5.24844634E8</v>
      </c>
      <c r="B645" s="131">
        <v>41557.0</v>
      </c>
      <c r="C645" s="131">
        <v>41560.0</v>
      </c>
      <c r="D645" s="110" t="s">
        <v>89</v>
      </c>
      <c r="E645" s="110" t="s">
        <v>138</v>
      </c>
      <c r="F645" s="110">
        <v>2103.0</v>
      </c>
      <c r="G645" s="38" t="s">
        <v>42</v>
      </c>
      <c r="H645" s="110">
        <v>2045.0</v>
      </c>
      <c r="I645" s="132">
        <v>205.7</v>
      </c>
      <c r="J645" s="132">
        <v>117.11</v>
      </c>
      <c r="K645" s="39">
        <f t="shared" si="1"/>
        <v>420656.5</v>
      </c>
      <c r="L645" s="39">
        <f t="shared" si="2"/>
        <v>239489.95</v>
      </c>
      <c r="M645" s="39">
        <f t="shared" si="3"/>
        <v>181166.55</v>
      </c>
      <c r="N645" s="38" t="str">
        <f>VLOOKUP(F645,products!$A$2:$B$13,2,FALSE)</f>
        <v>Cereal</v>
      </c>
      <c r="O645" s="133">
        <f t="shared" si="4"/>
        <v>0.5693242586</v>
      </c>
      <c r="P645" s="38" t="str">
        <f>VLOOKUP(E645,countries!A$2:E$250,3,false)</f>
        <v>Greece</v>
      </c>
      <c r="Q645" s="38" t="str">
        <f>VLOOKUP($E645,countries!$A$2:$E$250,4,false)</f>
        <v>Europe</v>
      </c>
      <c r="R645" s="38" t="str">
        <f>VLOOKUP($E645,countries!$A$2:$E$250,5,false)</f>
        <v>Southern Europe</v>
      </c>
      <c r="S645" s="38">
        <f t="shared" si="5"/>
        <v>3</v>
      </c>
      <c r="T645" s="38" t="s">
        <v>144</v>
      </c>
      <c r="U645" s="38">
        <v>2013.0</v>
      </c>
      <c r="V645" s="38">
        <v>10.0</v>
      </c>
      <c r="W645" s="38" t="s">
        <v>138</v>
      </c>
      <c r="X645" s="38" t="s">
        <v>208</v>
      </c>
      <c r="Y645" s="38" t="s">
        <v>146</v>
      </c>
      <c r="Z645" s="38" t="s">
        <v>147</v>
      </c>
      <c r="AA645" s="113" t="str">
        <f t="array" ref="AA645">PROPER(G645)</f>
        <v>Offline</v>
      </c>
    </row>
    <row r="646">
      <c r="A646" s="110">
        <v>5.24972951E8</v>
      </c>
      <c r="B646" s="131">
        <v>41265.0</v>
      </c>
      <c r="C646" s="131">
        <v>41291.0</v>
      </c>
      <c r="D646" s="110" t="s">
        <v>93</v>
      </c>
      <c r="E646" s="110" t="s">
        <v>105</v>
      </c>
      <c r="F646" s="110">
        <v>8875.0</v>
      </c>
      <c r="G646" s="38" t="s">
        <v>42</v>
      </c>
      <c r="H646" s="110">
        <v>17.0</v>
      </c>
      <c r="I646" s="132">
        <v>421.89</v>
      </c>
      <c r="J646" s="132">
        <v>364.69</v>
      </c>
      <c r="K646" s="39">
        <f t="shared" si="1"/>
        <v>7172.13</v>
      </c>
      <c r="L646" s="39">
        <f t="shared" si="2"/>
        <v>6199.73</v>
      </c>
      <c r="M646" s="39">
        <f t="shared" si="3"/>
        <v>972.4</v>
      </c>
      <c r="N646" s="38" t="str">
        <f>VLOOKUP(F646,products!$A$2:$B$13,2,FALSE)</f>
        <v>Meat</v>
      </c>
      <c r="O646" s="133">
        <f t="shared" si="4"/>
        <v>0.8644196354</v>
      </c>
      <c r="P646" s="38" t="str">
        <f>VLOOKUP(E646,countries!A$2:E$250,3,false)</f>
        <v>Romania</v>
      </c>
      <c r="Q646" s="38" t="str">
        <f>VLOOKUP($E646,countries!$A$2:$E$250,4,false)</f>
        <v>Europe</v>
      </c>
      <c r="R646" s="38" t="str">
        <f>VLOOKUP($E646,countries!$A$2:$E$250,5,false)</f>
        <v>Eastern Europe</v>
      </c>
      <c r="S646" s="38">
        <f t="shared" si="5"/>
        <v>26</v>
      </c>
      <c r="T646" s="38" t="s">
        <v>167</v>
      </c>
      <c r="U646" s="38">
        <v>2012.0</v>
      </c>
      <c r="V646" s="38">
        <v>12.0</v>
      </c>
      <c r="W646" s="38" t="s">
        <v>105</v>
      </c>
      <c r="X646" s="38" t="s">
        <v>172</v>
      </c>
      <c r="Y646" s="38" t="s">
        <v>146</v>
      </c>
      <c r="Z646" s="38" t="s">
        <v>155</v>
      </c>
      <c r="AA646" s="113" t="str">
        <f t="array" ref="AA646">PROPER(G646)</f>
        <v>Offline</v>
      </c>
    </row>
    <row r="647">
      <c r="A647" s="110">
        <v>5.25321424E8</v>
      </c>
      <c r="B647" s="131">
        <v>41998.0</v>
      </c>
      <c r="C647" s="131">
        <v>42004.0</v>
      </c>
      <c r="D647" s="110" t="s">
        <v>95</v>
      </c>
      <c r="E647" s="110" t="s">
        <v>94</v>
      </c>
      <c r="F647" s="110">
        <v>7940.0</v>
      </c>
      <c r="G647" s="38" t="s">
        <v>43</v>
      </c>
      <c r="H647" s="110">
        <v>3138.0</v>
      </c>
      <c r="I647" s="132">
        <v>668.27</v>
      </c>
      <c r="J647" s="132">
        <v>502.54</v>
      </c>
      <c r="K647" s="39">
        <f t="shared" si="1"/>
        <v>2097031.26</v>
      </c>
      <c r="L647" s="39">
        <f t="shared" si="2"/>
        <v>1576970.52</v>
      </c>
      <c r="M647" s="39">
        <f t="shared" si="3"/>
        <v>520060.74</v>
      </c>
      <c r="N647" s="38" t="str">
        <f>VLOOKUP(F647,products!$A$2:$B$13,2,FALSE)</f>
        <v>Household</v>
      </c>
      <c r="O647" s="133">
        <f t="shared" si="4"/>
        <v>0.7520014365</v>
      </c>
      <c r="P647" s="38" t="str">
        <f>VLOOKUP(E647,countries!A$2:E$250,3,false)</f>
        <v>Montenegro</v>
      </c>
      <c r="Q647" s="38" t="str">
        <f>VLOOKUP($E647,countries!$A$2:$E$250,4,false)</f>
        <v>Europe</v>
      </c>
      <c r="R647" s="38" t="str">
        <f>VLOOKUP($E647,countries!$A$2:$E$250,5,false)</f>
        <v>Southern Europe</v>
      </c>
      <c r="S647" s="38">
        <f t="shared" si="5"/>
        <v>6</v>
      </c>
      <c r="T647" s="38" t="s">
        <v>148</v>
      </c>
      <c r="U647" s="38">
        <v>2014.0</v>
      </c>
      <c r="V647" s="38">
        <v>12.0</v>
      </c>
      <c r="W647" s="38" t="s">
        <v>94</v>
      </c>
      <c r="X647" s="38" t="s">
        <v>151</v>
      </c>
      <c r="Y647" s="38" t="s">
        <v>146</v>
      </c>
      <c r="Z647" s="38" t="s">
        <v>147</v>
      </c>
      <c r="AA647" s="113" t="str">
        <f t="array" ref="AA647">PROPER(G647)</f>
        <v>Online</v>
      </c>
    </row>
    <row r="648">
      <c r="A648" s="110">
        <v>5.25472486E8</v>
      </c>
      <c r="B648" s="131">
        <v>42329.0</v>
      </c>
      <c r="C648" s="131">
        <v>42331.0</v>
      </c>
      <c r="D648" s="110" t="s">
        <v>89</v>
      </c>
      <c r="E648" s="110" t="s">
        <v>119</v>
      </c>
      <c r="F648" s="110">
        <v>7331.0</v>
      </c>
      <c r="G648" s="38" t="s">
        <v>43</v>
      </c>
      <c r="H648" s="110">
        <v>7840.0</v>
      </c>
      <c r="I648" s="132">
        <v>255.28</v>
      </c>
      <c r="J648" s="132">
        <v>159.42</v>
      </c>
      <c r="K648" s="39">
        <f t="shared" si="1"/>
        <v>2001395.2</v>
      </c>
      <c r="L648" s="39">
        <f t="shared" si="2"/>
        <v>1249852.8</v>
      </c>
      <c r="M648" s="39">
        <f t="shared" si="3"/>
        <v>751542.4</v>
      </c>
      <c r="N648" s="38" t="str">
        <f>VLOOKUP(F648,products!$A$2:$B$13,2,FALSE)</f>
        <v>Baby Food</v>
      </c>
      <c r="O648" s="133">
        <f t="shared" si="4"/>
        <v>0.6244907552</v>
      </c>
      <c r="P648" s="38" t="str">
        <f>VLOOKUP(E648,countries!A$2:E$250,3,false)</f>
        <v>Macedonia</v>
      </c>
      <c r="Q648" s="38" t="str">
        <f>VLOOKUP($E648,countries!$A$2:$E$250,4,false)</f>
        <v>Europe</v>
      </c>
      <c r="R648" s="38" t="str">
        <f>VLOOKUP($E648,countries!$A$2:$E$250,5,false)</f>
        <v>Southern Europe</v>
      </c>
      <c r="S648" s="38">
        <f t="shared" si="5"/>
        <v>2</v>
      </c>
      <c r="T648" s="38" t="s">
        <v>161</v>
      </c>
      <c r="U648" s="38">
        <v>2015.0</v>
      </c>
      <c r="V648" s="38">
        <v>11.0</v>
      </c>
      <c r="W648" s="38" t="s">
        <v>119</v>
      </c>
      <c r="X648" s="38" t="s">
        <v>190</v>
      </c>
      <c r="Y648" s="38" t="s">
        <v>146</v>
      </c>
      <c r="Z648" s="38" t="s">
        <v>147</v>
      </c>
      <c r="AA648" s="113" t="str">
        <f t="array" ref="AA648">PROPER(G648)</f>
        <v>Online</v>
      </c>
    </row>
    <row r="649">
      <c r="A649" s="110">
        <v>5.25749719E8</v>
      </c>
      <c r="B649" s="131">
        <v>41161.0</v>
      </c>
      <c r="C649" s="131">
        <v>41204.0</v>
      </c>
      <c r="D649" s="110" t="s">
        <v>93</v>
      </c>
      <c r="E649" s="110" t="s">
        <v>116</v>
      </c>
      <c r="F649" s="110">
        <v>8969.0</v>
      </c>
      <c r="G649" s="38" t="s">
        <v>43</v>
      </c>
      <c r="H649" s="110">
        <v>9880.0</v>
      </c>
      <c r="I649" s="132">
        <v>152.58</v>
      </c>
      <c r="J649" s="132">
        <v>97.44</v>
      </c>
      <c r="K649" s="39">
        <f t="shared" si="1"/>
        <v>1507490.4</v>
      </c>
      <c r="L649" s="39">
        <f t="shared" si="2"/>
        <v>962707.2</v>
      </c>
      <c r="M649" s="39">
        <f t="shared" si="3"/>
        <v>544783.2</v>
      </c>
      <c r="N649" s="38" t="str">
        <f>VLOOKUP(F649,products!$A$2:$B$13,2,FALSE)</f>
        <v>Snacks</v>
      </c>
      <c r="O649" s="133">
        <f t="shared" si="4"/>
        <v>0.6386158081</v>
      </c>
      <c r="P649" s="38" t="str">
        <f>VLOOKUP(E649,countries!A$2:E$250,3,false)</f>
        <v>Belarus</v>
      </c>
      <c r="Q649" s="38" t="str">
        <f>VLOOKUP($E649,countries!$A$2:$E$250,4,false)</f>
        <v>Europe</v>
      </c>
      <c r="R649" s="38" t="str">
        <f>VLOOKUP($E649,countries!$A$2:$E$250,5,false)</f>
        <v>Eastern Europe</v>
      </c>
      <c r="S649" s="38">
        <f t="shared" si="5"/>
        <v>43</v>
      </c>
      <c r="T649" s="38" t="s">
        <v>182</v>
      </c>
      <c r="U649" s="38">
        <v>2012.0</v>
      </c>
      <c r="V649" s="38">
        <v>9.0</v>
      </c>
      <c r="W649" s="38" t="s">
        <v>116</v>
      </c>
      <c r="X649" s="38" t="s">
        <v>187</v>
      </c>
      <c r="Y649" s="38" t="s">
        <v>146</v>
      </c>
      <c r="Z649" s="38" t="s">
        <v>155</v>
      </c>
      <c r="AA649" s="113" t="str">
        <f t="array" ref="AA649">PROPER(G649)</f>
        <v>Online</v>
      </c>
    </row>
    <row r="650">
      <c r="A650" s="110">
        <v>5.26018369E8</v>
      </c>
      <c r="B650" s="131">
        <v>40697.0</v>
      </c>
      <c r="C650" s="131">
        <v>40715.0</v>
      </c>
      <c r="D650" s="110" t="s">
        <v>89</v>
      </c>
      <c r="E650" s="110" t="e">
        <v>#N/A</v>
      </c>
      <c r="F650" s="110">
        <v>8293.0</v>
      </c>
      <c r="G650" s="38" t="s">
        <v>43</v>
      </c>
      <c r="H650" s="110">
        <v>9379.0</v>
      </c>
      <c r="I650" s="132">
        <v>437.2</v>
      </c>
      <c r="J650" s="132">
        <v>263.33</v>
      </c>
      <c r="K650" s="39">
        <f t="shared" si="1"/>
        <v>4100498.8</v>
      </c>
      <c r="L650" s="39">
        <f t="shared" si="2"/>
        <v>2469772.07</v>
      </c>
      <c r="M650" s="39">
        <f t="shared" si="3"/>
        <v>1630726.73</v>
      </c>
      <c r="N650" s="38" t="str">
        <f>VLOOKUP(F650,products!$A$2:$B$13,2,FALSE)</f>
        <v>Cosmetics</v>
      </c>
      <c r="O650" s="133">
        <f t="shared" si="4"/>
        <v>0.6023101555</v>
      </c>
      <c r="P650" s="38" t="str">
        <f>VLOOKUP(E650,countries!A$2:E$250,3,false)</f>
        <v>#N/A</v>
      </c>
      <c r="Q650" s="38" t="str">
        <f>VLOOKUP($E650,countries!$A$2:$E$250,4,false)</f>
        <v>#N/A</v>
      </c>
      <c r="R650" s="38" t="str">
        <f>VLOOKUP($E650,countries!$A$2:$E$250,5,false)</f>
        <v>#N/A</v>
      </c>
      <c r="S650" s="38">
        <f t="shared" si="5"/>
        <v>18</v>
      </c>
      <c r="T650" s="38" t="s">
        <v>178</v>
      </c>
      <c r="U650" s="38">
        <v>2011.0</v>
      </c>
      <c r="V650" s="38">
        <v>6.0</v>
      </c>
      <c r="W650" s="38" t="s">
        <v>92</v>
      </c>
      <c r="X650" s="38" t="s">
        <v>149</v>
      </c>
      <c r="Y650" s="38" t="s">
        <v>149</v>
      </c>
      <c r="Z650" s="38" t="s">
        <v>149</v>
      </c>
      <c r="AA650" s="113" t="str">
        <f t="array" ref="AA650">PROPER(G650)</f>
        <v>Online</v>
      </c>
    </row>
    <row r="651">
      <c r="A651" s="110">
        <v>5.26350104E8</v>
      </c>
      <c r="B651" s="131">
        <v>40866.0</v>
      </c>
      <c r="C651" s="131">
        <v>40881.0</v>
      </c>
      <c r="D651" s="110" t="s">
        <v>89</v>
      </c>
      <c r="E651" s="110" t="s">
        <v>94</v>
      </c>
      <c r="F651" s="110">
        <v>2455.0</v>
      </c>
      <c r="G651" s="38" t="s">
        <v>42</v>
      </c>
      <c r="H651" s="110">
        <v>7547.0</v>
      </c>
      <c r="I651" s="132">
        <v>109.28</v>
      </c>
      <c r="J651" s="132">
        <v>35.84</v>
      </c>
      <c r="K651" s="39">
        <f t="shared" si="1"/>
        <v>824736.16</v>
      </c>
      <c r="L651" s="39">
        <f t="shared" si="2"/>
        <v>270484.48</v>
      </c>
      <c r="M651" s="39">
        <f t="shared" si="3"/>
        <v>554251.68</v>
      </c>
      <c r="N651" s="38" t="str">
        <f>VLOOKUP(F651,products!$A$2:$B$13,2,FALSE)</f>
        <v>Clothes</v>
      </c>
      <c r="O651" s="133">
        <f t="shared" si="4"/>
        <v>0.3279648609</v>
      </c>
      <c r="P651" s="38" t="str">
        <f>VLOOKUP(E651,countries!A$2:E$250,3,false)</f>
        <v>Montenegro</v>
      </c>
      <c r="Q651" s="38" t="str">
        <f>VLOOKUP($E651,countries!$A$2:$E$250,4,false)</f>
        <v>Europe</v>
      </c>
      <c r="R651" s="38" t="str">
        <f>VLOOKUP($E651,countries!$A$2:$E$250,5,false)</f>
        <v>Southern Europe</v>
      </c>
      <c r="S651" s="38">
        <f t="shared" si="5"/>
        <v>15</v>
      </c>
      <c r="T651" s="38" t="s">
        <v>150</v>
      </c>
      <c r="U651" s="38">
        <v>2011.0</v>
      </c>
      <c r="V651" s="38">
        <v>11.0</v>
      </c>
      <c r="W651" s="38" t="s">
        <v>94</v>
      </c>
      <c r="X651" s="38" t="s">
        <v>151</v>
      </c>
      <c r="Y651" s="38" t="s">
        <v>146</v>
      </c>
      <c r="Z651" s="38" t="s">
        <v>147</v>
      </c>
      <c r="AA651" s="113" t="str">
        <f t="array" ref="AA651">PROPER(G651)</f>
        <v>Offline</v>
      </c>
    </row>
    <row r="652">
      <c r="A652" s="110">
        <v>5.26533353E8</v>
      </c>
      <c r="B652" s="131">
        <v>42706.0</v>
      </c>
      <c r="C652" s="131">
        <v>42747.0</v>
      </c>
      <c r="D652" s="110" t="s">
        <v>89</v>
      </c>
      <c r="E652" s="110" t="s">
        <v>102</v>
      </c>
      <c r="F652" s="110">
        <v>4594.0</v>
      </c>
      <c r="G652" s="38" t="s">
        <v>43</v>
      </c>
      <c r="H652" s="110">
        <v>1775.0</v>
      </c>
      <c r="I652" s="132">
        <v>9.33</v>
      </c>
      <c r="J652" s="132">
        <v>6.92</v>
      </c>
      <c r="K652" s="39">
        <f t="shared" si="1"/>
        <v>16560.75</v>
      </c>
      <c r="L652" s="39">
        <f t="shared" si="2"/>
        <v>12283</v>
      </c>
      <c r="M652" s="39">
        <f t="shared" si="3"/>
        <v>4277.75</v>
      </c>
      <c r="N652" s="38" t="str">
        <f>VLOOKUP(F652,products!$A$2:$B$13,2,FALSE)</f>
        <v>Fruits</v>
      </c>
      <c r="O652" s="133">
        <f t="shared" si="4"/>
        <v>0.741693462</v>
      </c>
      <c r="P652" s="38" t="str">
        <f>VLOOKUP(E652,countries!A$2:E$250,3,false)</f>
        <v>Georgia</v>
      </c>
      <c r="Q652" s="38" t="str">
        <f>VLOOKUP($E652,countries!$A$2:$E$250,4,false)</f>
        <v>Asia</v>
      </c>
      <c r="R652" s="38" t="str">
        <f>VLOOKUP($E652,countries!$A$2:$E$250,5,false)</f>
        <v>Western Asia</v>
      </c>
      <c r="S652" s="38">
        <f t="shared" si="5"/>
        <v>41</v>
      </c>
      <c r="T652" s="38" t="s">
        <v>156</v>
      </c>
      <c r="U652" s="38">
        <v>2016.0</v>
      </c>
      <c r="V652" s="38">
        <v>12.0</v>
      </c>
      <c r="W652" s="38" t="s">
        <v>102</v>
      </c>
      <c r="X652" s="38" t="s">
        <v>168</v>
      </c>
      <c r="Y652" s="38" t="s">
        <v>165</v>
      </c>
      <c r="Z652" s="38" t="s">
        <v>166</v>
      </c>
      <c r="AA652" s="113" t="str">
        <f t="array" ref="AA652">PROPER(G652)</f>
        <v>Online</v>
      </c>
    </row>
    <row r="653">
      <c r="A653" s="110">
        <v>5.27079236E8</v>
      </c>
      <c r="B653" s="131">
        <v>41074.0</v>
      </c>
      <c r="C653" s="131">
        <v>41080.0</v>
      </c>
      <c r="D653" s="110" t="s">
        <v>89</v>
      </c>
      <c r="E653" s="110" t="s">
        <v>114</v>
      </c>
      <c r="F653" s="110">
        <v>5988.0</v>
      </c>
      <c r="G653" s="38" t="s">
        <v>43</v>
      </c>
      <c r="H653" s="110">
        <v>3314.0</v>
      </c>
      <c r="I653" s="132">
        <v>154.06</v>
      </c>
      <c r="J653" s="132">
        <v>90.93</v>
      </c>
      <c r="K653" s="39">
        <f t="shared" si="1"/>
        <v>510554.84</v>
      </c>
      <c r="L653" s="39">
        <f t="shared" si="2"/>
        <v>301342.02</v>
      </c>
      <c r="M653" s="39">
        <f t="shared" si="3"/>
        <v>209212.82</v>
      </c>
      <c r="N653" s="38" t="str">
        <f>VLOOKUP(F653,products!$A$2:$B$13,2,FALSE)</f>
        <v>Vegetables</v>
      </c>
      <c r="O653" s="133">
        <f t="shared" si="4"/>
        <v>0.5902245878</v>
      </c>
      <c r="P653" s="38" t="str">
        <f>VLOOKUP(E653,countries!A$2:E$250,3,false)</f>
        <v>Czech Republic</v>
      </c>
      <c r="Q653" s="38" t="str">
        <f>VLOOKUP($E653,countries!$A$2:$E$250,4,false)</f>
        <v>Europe</v>
      </c>
      <c r="R653" s="38" t="str">
        <f>VLOOKUP($E653,countries!$A$2:$E$250,5,false)</f>
        <v>Eastern Europe</v>
      </c>
      <c r="S653" s="38">
        <f t="shared" si="5"/>
        <v>6</v>
      </c>
      <c r="T653" s="38" t="s">
        <v>159</v>
      </c>
      <c r="U653" s="38">
        <v>2012.0</v>
      </c>
      <c r="V653" s="38">
        <v>6.0</v>
      </c>
      <c r="W653" s="38" t="s">
        <v>114</v>
      </c>
      <c r="X653" s="38" t="s">
        <v>184</v>
      </c>
      <c r="Y653" s="38" t="s">
        <v>146</v>
      </c>
      <c r="Z653" s="38" t="s">
        <v>155</v>
      </c>
      <c r="AA653" s="113" t="str">
        <f t="array" ref="AA653">PROPER(G653)</f>
        <v>Online</v>
      </c>
    </row>
    <row r="654">
      <c r="A654" s="110">
        <v>5.2725991E8</v>
      </c>
      <c r="B654" s="131">
        <v>40912.0</v>
      </c>
      <c r="C654" s="131">
        <v>40919.0</v>
      </c>
      <c r="D654" s="110" t="s">
        <v>95</v>
      </c>
      <c r="E654" s="110" t="s">
        <v>129</v>
      </c>
      <c r="F654" s="110">
        <v>3127.0</v>
      </c>
      <c r="G654" s="38" t="s">
        <v>43</v>
      </c>
      <c r="H654" s="110">
        <v>6779.0</v>
      </c>
      <c r="I654" s="132">
        <v>81.73</v>
      </c>
      <c r="J654" s="132">
        <v>56.67</v>
      </c>
      <c r="K654" s="39">
        <f t="shared" si="1"/>
        <v>554047.67</v>
      </c>
      <c r="L654" s="39">
        <f t="shared" si="2"/>
        <v>384165.93</v>
      </c>
      <c r="M654" s="39">
        <f t="shared" si="3"/>
        <v>169881.74</v>
      </c>
      <c r="N654" s="38" t="str">
        <f>VLOOKUP(F654,products!$A$2:$B$13,2,FALSE)</f>
        <v>Personal Care</v>
      </c>
      <c r="O654" s="133">
        <f t="shared" si="4"/>
        <v>0.6933806436</v>
      </c>
      <c r="P654" s="38" t="str">
        <f>VLOOKUP(E654,countries!A$2:E$250,3,false)</f>
        <v>Liechtenstein</v>
      </c>
      <c r="Q654" s="38" t="str">
        <f>VLOOKUP($E654,countries!$A$2:$E$250,4,false)</f>
        <v>Europe</v>
      </c>
      <c r="R654" s="38" t="str">
        <f>VLOOKUP($E654,countries!$A$2:$E$250,5,false)</f>
        <v>Western Europe</v>
      </c>
      <c r="S654" s="38">
        <f t="shared" si="5"/>
        <v>7</v>
      </c>
      <c r="T654" s="38" t="s">
        <v>185</v>
      </c>
      <c r="U654" s="38">
        <v>2012.0</v>
      </c>
      <c r="V654" s="38">
        <v>1.0</v>
      </c>
      <c r="W654" s="38" t="s">
        <v>129</v>
      </c>
      <c r="X654" s="38" t="s">
        <v>200</v>
      </c>
      <c r="Y654" s="38" t="s">
        <v>146</v>
      </c>
      <c r="Z654" s="38" t="s">
        <v>158</v>
      </c>
      <c r="AA654" s="113" t="str">
        <f t="array" ref="AA654">PROPER(G654)</f>
        <v>Online</v>
      </c>
    </row>
    <row r="655">
      <c r="A655" s="110">
        <v>5.27509677E8</v>
      </c>
      <c r="B655" s="131">
        <v>41444.0</v>
      </c>
      <c r="C655" s="131">
        <v>41465.0</v>
      </c>
      <c r="D655" s="110" t="s">
        <v>10</v>
      </c>
      <c r="E655" s="110" t="s">
        <v>137</v>
      </c>
      <c r="F655" s="110">
        <v>8681.0</v>
      </c>
      <c r="G655" s="38" t="s">
        <v>43</v>
      </c>
      <c r="H655" s="110">
        <v>691.0</v>
      </c>
      <c r="I655" s="132">
        <v>651.21</v>
      </c>
      <c r="J655" s="132">
        <v>524.96</v>
      </c>
      <c r="K655" s="39">
        <f t="shared" si="1"/>
        <v>449986.11</v>
      </c>
      <c r="L655" s="39">
        <f t="shared" si="2"/>
        <v>362747.36</v>
      </c>
      <c r="M655" s="39">
        <f t="shared" si="3"/>
        <v>87238.75</v>
      </c>
      <c r="N655" s="38" t="str">
        <f>VLOOKUP(F655,products!$A$2:$B$13,2,FALSE)</f>
        <v>Office Supplies</v>
      </c>
      <c r="O655" s="133">
        <f t="shared" si="4"/>
        <v>0.806130127</v>
      </c>
      <c r="P655" s="38" t="str">
        <f>VLOOKUP(E655,countries!A$2:E$250,3,false)</f>
        <v>Iceland</v>
      </c>
      <c r="Q655" s="38" t="str">
        <f>VLOOKUP($E655,countries!$A$2:$E$250,4,false)</f>
        <v>Europe</v>
      </c>
      <c r="R655" s="38" t="str">
        <f>VLOOKUP($E655,countries!$A$2:$E$250,5,false)</f>
        <v>Northern Europe</v>
      </c>
      <c r="S655" s="38">
        <f t="shared" si="5"/>
        <v>21</v>
      </c>
      <c r="T655" s="38" t="s">
        <v>153</v>
      </c>
      <c r="U655" s="38">
        <v>2013.0</v>
      </c>
      <c r="V655" s="38">
        <v>6.0</v>
      </c>
      <c r="W655" s="38" t="s">
        <v>137</v>
      </c>
      <c r="X655" s="38" t="s">
        <v>207</v>
      </c>
      <c r="Y655" s="38" t="s">
        <v>146</v>
      </c>
      <c r="Z655" s="38" t="s">
        <v>170</v>
      </c>
      <c r="AA655" s="113" t="str">
        <f t="array" ref="AA655">PROPER(G655)</f>
        <v>Online</v>
      </c>
    </row>
    <row r="656">
      <c r="A656" s="110">
        <v>5.30262696E8</v>
      </c>
      <c r="B656" s="131">
        <v>41028.0</v>
      </c>
      <c r="C656" s="131">
        <v>41040.0</v>
      </c>
      <c r="D656" s="110" t="s">
        <v>10</v>
      </c>
      <c r="E656" s="110" t="s">
        <v>110</v>
      </c>
      <c r="F656" s="110">
        <v>2455.0</v>
      </c>
      <c r="G656" s="38" t="s">
        <v>42</v>
      </c>
      <c r="H656" s="110">
        <v>5370.0</v>
      </c>
      <c r="I656" s="132">
        <v>109.28</v>
      </c>
      <c r="J656" s="132">
        <v>35.84</v>
      </c>
      <c r="K656" s="39">
        <f t="shared" si="1"/>
        <v>586833.6</v>
      </c>
      <c r="L656" s="39">
        <f t="shared" si="2"/>
        <v>192460.8</v>
      </c>
      <c r="M656" s="39">
        <f t="shared" si="3"/>
        <v>394372.8</v>
      </c>
      <c r="N656" s="38" t="str">
        <f>VLOOKUP(F656,products!$A$2:$B$13,2,FALSE)</f>
        <v>Clothes</v>
      </c>
      <c r="O656" s="133">
        <f t="shared" si="4"/>
        <v>0.3279648609</v>
      </c>
      <c r="P656" s="38" t="str">
        <f>VLOOKUP(E656,countries!A$2:E$250,3,false)</f>
        <v>Lithuania</v>
      </c>
      <c r="Q656" s="38" t="str">
        <f>VLOOKUP($E656,countries!$A$2:$E$250,4,false)</f>
        <v>Europe</v>
      </c>
      <c r="R656" s="38" t="str">
        <f>VLOOKUP($E656,countries!$A$2:$E$250,5,false)</f>
        <v>Northern Europe</v>
      </c>
      <c r="S656" s="38">
        <f t="shared" si="5"/>
        <v>12</v>
      </c>
      <c r="T656" s="38" t="s">
        <v>150</v>
      </c>
      <c r="U656" s="38">
        <v>2012.0</v>
      </c>
      <c r="V656" s="38">
        <v>4.0</v>
      </c>
      <c r="W656" s="38" t="s">
        <v>110</v>
      </c>
      <c r="X656" s="38" t="s">
        <v>177</v>
      </c>
      <c r="Y656" s="38" t="s">
        <v>146</v>
      </c>
      <c r="Z656" s="38" t="s">
        <v>170</v>
      </c>
      <c r="AA656" s="113" t="str">
        <f t="array" ref="AA656">PROPER(G656)</f>
        <v>Offline</v>
      </c>
    </row>
    <row r="657">
      <c r="A657" s="110">
        <v>5.30702579E8</v>
      </c>
      <c r="B657" s="131">
        <v>42284.0</v>
      </c>
      <c r="C657" s="131">
        <v>42317.0</v>
      </c>
      <c r="D657" s="110" t="s">
        <v>89</v>
      </c>
      <c r="E657" s="110" t="s">
        <v>103</v>
      </c>
      <c r="F657" s="110">
        <v>7331.0</v>
      </c>
      <c r="G657" s="38" t="s">
        <v>42</v>
      </c>
      <c r="H657" s="110">
        <v>5541.0</v>
      </c>
      <c r="I657" s="132">
        <v>255.28</v>
      </c>
      <c r="J657" s="132">
        <v>159.42</v>
      </c>
      <c r="K657" s="39">
        <f t="shared" si="1"/>
        <v>1414506.48</v>
      </c>
      <c r="L657" s="39">
        <f t="shared" si="2"/>
        <v>883346.22</v>
      </c>
      <c r="M657" s="39">
        <f t="shared" si="3"/>
        <v>531160.26</v>
      </c>
      <c r="N657" s="38" t="str">
        <f>VLOOKUP(F657,products!$A$2:$B$13,2,FALSE)</f>
        <v>Baby Food</v>
      </c>
      <c r="O657" s="133">
        <f t="shared" si="4"/>
        <v>0.6244907552</v>
      </c>
      <c r="P657" s="38" t="str">
        <f>VLOOKUP(E657,countries!A$2:E$250,3,false)</f>
        <v>United Kingdom</v>
      </c>
      <c r="Q657" s="38" t="str">
        <f>VLOOKUP($E657,countries!$A$2:$E$250,4,false)</f>
        <v>Europe</v>
      </c>
      <c r="R657" s="38" t="str">
        <f>VLOOKUP($E657,countries!$A$2:$E$250,5,false)</f>
        <v>Northern Europe</v>
      </c>
      <c r="S657" s="38">
        <f t="shared" si="5"/>
        <v>33</v>
      </c>
      <c r="T657" s="38" t="s">
        <v>161</v>
      </c>
      <c r="U657" s="38">
        <v>2015.0</v>
      </c>
      <c r="V657" s="38">
        <v>10.0</v>
      </c>
      <c r="W657" s="38" t="s">
        <v>103</v>
      </c>
      <c r="X657" s="38" t="s">
        <v>169</v>
      </c>
      <c r="Y657" s="38" t="s">
        <v>146</v>
      </c>
      <c r="Z657" s="38" t="s">
        <v>170</v>
      </c>
      <c r="AA657" s="113" t="str">
        <f t="array" ref="AA657">PROPER(G657)</f>
        <v>Offline</v>
      </c>
    </row>
    <row r="658">
      <c r="A658" s="110">
        <v>5.30882394E8</v>
      </c>
      <c r="B658" s="131">
        <v>40533.0</v>
      </c>
      <c r="C658" s="131">
        <v>40576.0</v>
      </c>
      <c r="D658" s="110" t="s">
        <v>89</v>
      </c>
      <c r="E658" s="110" t="s">
        <v>99</v>
      </c>
      <c r="F658" s="110">
        <v>8875.0</v>
      </c>
      <c r="G658" s="38" t="s">
        <v>43</v>
      </c>
      <c r="H658" s="110">
        <v>8753.0</v>
      </c>
      <c r="I658" s="132">
        <v>421.89</v>
      </c>
      <c r="J658" s="132">
        <v>364.69</v>
      </c>
      <c r="K658" s="39">
        <f t="shared" si="1"/>
        <v>3692803.17</v>
      </c>
      <c r="L658" s="39">
        <f t="shared" si="2"/>
        <v>3192131.57</v>
      </c>
      <c r="M658" s="39">
        <f t="shared" si="3"/>
        <v>500671.6</v>
      </c>
      <c r="N658" s="38" t="str">
        <f>VLOOKUP(F658,products!$A$2:$B$13,2,FALSE)</f>
        <v>Meat</v>
      </c>
      <c r="O658" s="133">
        <f t="shared" si="4"/>
        <v>0.8644196354</v>
      </c>
      <c r="P658" s="38" t="str">
        <f>VLOOKUP(E658,countries!A$2:E$250,3,false)</f>
        <v>Croatia</v>
      </c>
      <c r="Q658" s="38" t="str">
        <f>VLOOKUP($E658,countries!$A$2:$E$250,4,false)</f>
        <v>Europe</v>
      </c>
      <c r="R658" s="38" t="str">
        <f>VLOOKUP($E658,countries!$A$2:$E$250,5,false)</f>
        <v>Southern Europe</v>
      </c>
      <c r="S658" s="38">
        <f t="shared" si="5"/>
        <v>43</v>
      </c>
      <c r="T658" s="38" t="s">
        <v>167</v>
      </c>
      <c r="U658" s="38">
        <v>2010.0</v>
      </c>
      <c r="V658" s="38">
        <v>12.0</v>
      </c>
      <c r="W658" s="38" t="s">
        <v>99</v>
      </c>
      <c r="X658" s="38" t="s">
        <v>162</v>
      </c>
      <c r="Y658" s="38" t="s">
        <v>146</v>
      </c>
      <c r="Z658" s="38" t="s">
        <v>147</v>
      </c>
      <c r="AA658" s="113" t="str">
        <f t="array" ref="AA658">PROPER(G658)</f>
        <v>Online</v>
      </c>
    </row>
    <row r="659">
      <c r="A659" s="110">
        <v>5.31281936E8</v>
      </c>
      <c r="B659" s="131">
        <v>41778.0</v>
      </c>
      <c r="C659" s="131">
        <v>41793.0</v>
      </c>
      <c r="D659" s="110" t="s">
        <v>10</v>
      </c>
      <c r="E659" s="110" t="s">
        <v>97</v>
      </c>
      <c r="F659" s="110">
        <v>8875.0</v>
      </c>
      <c r="G659" s="38" t="s">
        <v>43</v>
      </c>
      <c r="H659" s="110">
        <v>6986.0</v>
      </c>
      <c r="I659" s="132">
        <v>421.89</v>
      </c>
      <c r="J659" s="132">
        <v>364.69</v>
      </c>
      <c r="K659" s="39">
        <f t="shared" si="1"/>
        <v>2947323.54</v>
      </c>
      <c r="L659" s="39">
        <f t="shared" si="2"/>
        <v>2547724.34</v>
      </c>
      <c r="M659" s="39">
        <f t="shared" si="3"/>
        <v>399599.2</v>
      </c>
      <c r="N659" s="38" t="str">
        <f>VLOOKUP(F659,products!$A$2:$B$13,2,FALSE)</f>
        <v>Meat</v>
      </c>
      <c r="O659" s="133">
        <f t="shared" si="4"/>
        <v>0.8644196354</v>
      </c>
      <c r="P659" s="38" t="str">
        <f>VLOOKUP(E659,countries!A$2:E$250,3,false)</f>
        <v>France</v>
      </c>
      <c r="Q659" s="38" t="str">
        <f>VLOOKUP($E659,countries!$A$2:$E$250,4,false)</f>
        <v>Europe</v>
      </c>
      <c r="R659" s="38" t="str">
        <f>VLOOKUP($E659,countries!$A$2:$E$250,5,false)</f>
        <v>Western Europe</v>
      </c>
      <c r="S659" s="38">
        <f t="shared" si="5"/>
        <v>15</v>
      </c>
      <c r="T659" s="38" t="s">
        <v>167</v>
      </c>
      <c r="U659" s="38">
        <v>2014.0</v>
      </c>
      <c r="V659" s="38">
        <v>5.0</v>
      </c>
      <c r="W659" s="38" t="s">
        <v>97</v>
      </c>
      <c r="X659" s="38" t="s">
        <v>157</v>
      </c>
      <c r="Y659" s="38" t="s">
        <v>146</v>
      </c>
      <c r="Z659" s="38" t="s">
        <v>158</v>
      </c>
      <c r="AA659" s="113" t="str">
        <f t="array" ref="AA659">PROPER(G659)</f>
        <v>Online</v>
      </c>
    </row>
    <row r="660">
      <c r="A660" s="110">
        <v>5.33314406E8</v>
      </c>
      <c r="B660" s="131">
        <v>40450.0</v>
      </c>
      <c r="C660" s="131">
        <v>40480.0</v>
      </c>
      <c r="D660" s="110" t="s">
        <v>10</v>
      </c>
      <c r="E660" s="110" t="s">
        <v>128</v>
      </c>
      <c r="F660" s="110">
        <v>7940.0</v>
      </c>
      <c r="G660" s="38" t="s">
        <v>43</v>
      </c>
      <c r="H660" s="110">
        <v>8439.0</v>
      </c>
      <c r="I660" s="132">
        <v>668.27</v>
      </c>
      <c r="J660" s="132">
        <v>502.54</v>
      </c>
      <c r="K660" s="39">
        <f t="shared" si="1"/>
        <v>5639530.53</v>
      </c>
      <c r="L660" s="39">
        <f t="shared" si="2"/>
        <v>4240935.06</v>
      </c>
      <c r="M660" s="39">
        <f t="shared" si="3"/>
        <v>1398595.47</v>
      </c>
      <c r="N660" s="38" t="str">
        <f>VLOOKUP(F660,products!$A$2:$B$13,2,FALSE)</f>
        <v>Household</v>
      </c>
      <c r="O660" s="133">
        <f t="shared" si="4"/>
        <v>0.7520014365</v>
      </c>
      <c r="P660" s="38" t="str">
        <f>VLOOKUP(E660,countries!A$2:E$250,3,false)</f>
        <v>Andorra</v>
      </c>
      <c r="Q660" s="38" t="str">
        <f>VLOOKUP($E660,countries!$A$2:$E$250,4,false)</f>
        <v>Europe</v>
      </c>
      <c r="R660" s="38" t="str">
        <f>VLOOKUP($E660,countries!$A$2:$E$250,5,false)</f>
        <v>Southern Europe</v>
      </c>
      <c r="S660" s="38">
        <f t="shared" si="5"/>
        <v>30</v>
      </c>
      <c r="T660" s="38" t="s">
        <v>148</v>
      </c>
      <c r="U660" s="38">
        <v>2010.0</v>
      </c>
      <c r="V660" s="38">
        <v>9.0</v>
      </c>
      <c r="W660" s="38" t="s">
        <v>128</v>
      </c>
      <c r="X660" s="38" t="s">
        <v>199</v>
      </c>
      <c r="Y660" s="38" t="s">
        <v>146</v>
      </c>
      <c r="Z660" s="38" t="s">
        <v>147</v>
      </c>
      <c r="AA660" s="113" t="str">
        <f t="array" ref="AA660">PROPER(G660)</f>
        <v>Online</v>
      </c>
    </row>
    <row r="661">
      <c r="A661" s="110">
        <v>5.33597218E8</v>
      </c>
      <c r="B661" s="131">
        <v>41314.0</v>
      </c>
      <c r="C661" s="131">
        <v>41329.0</v>
      </c>
      <c r="D661" s="110" t="s">
        <v>89</v>
      </c>
      <c r="E661" s="110" t="s">
        <v>115</v>
      </c>
      <c r="F661" s="110">
        <v>8681.0</v>
      </c>
      <c r="G661" s="38" t="s">
        <v>43</v>
      </c>
      <c r="H661" s="110">
        <v>2130.0</v>
      </c>
      <c r="I661" s="132">
        <v>651.21</v>
      </c>
      <c r="J661" s="132">
        <v>524.96</v>
      </c>
      <c r="K661" s="39">
        <f t="shared" si="1"/>
        <v>1387077.3</v>
      </c>
      <c r="L661" s="39">
        <f t="shared" si="2"/>
        <v>1118164.8</v>
      </c>
      <c r="M661" s="39">
        <f t="shared" si="3"/>
        <v>268912.5</v>
      </c>
      <c r="N661" s="38" t="str">
        <f>VLOOKUP(F661,products!$A$2:$B$13,2,FALSE)</f>
        <v>Office Supplies</v>
      </c>
      <c r="O661" s="133">
        <f t="shared" si="4"/>
        <v>0.806130127</v>
      </c>
      <c r="P661" s="38" t="str">
        <f>VLOOKUP(E661,countries!A$2:E$250,3,false)</f>
        <v>Portugal</v>
      </c>
      <c r="Q661" s="38" t="str">
        <f>VLOOKUP($E661,countries!$A$2:$E$250,4,false)</f>
        <v>Europe</v>
      </c>
      <c r="R661" s="38" t="str">
        <f>VLOOKUP($E661,countries!$A$2:$E$250,5,false)</f>
        <v>Southern Europe</v>
      </c>
      <c r="S661" s="38">
        <f t="shared" si="5"/>
        <v>15</v>
      </c>
      <c r="T661" s="38" t="s">
        <v>153</v>
      </c>
      <c r="U661" s="38">
        <v>2013.0</v>
      </c>
      <c r="V661" s="38">
        <v>2.0</v>
      </c>
      <c r="W661" s="38" t="s">
        <v>115</v>
      </c>
      <c r="X661" s="38" t="s">
        <v>186</v>
      </c>
      <c r="Y661" s="38" t="s">
        <v>146</v>
      </c>
      <c r="Z661" s="38" t="s">
        <v>147</v>
      </c>
      <c r="AA661" s="113" t="str">
        <f t="array" ref="AA661">PROPER(G661)</f>
        <v>Online</v>
      </c>
    </row>
    <row r="662">
      <c r="A662" s="110">
        <v>5.34641349E8</v>
      </c>
      <c r="B662" s="131">
        <v>41128.0</v>
      </c>
      <c r="C662" s="131">
        <v>41148.0</v>
      </c>
      <c r="D662" s="110" t="s">
        <v>93</v>
      </c>
      <c r="E662" s="110" t="s">
        <v>111</v>
      </c>
      <c r="F662" s="110">
        <v>1270.0</v>
      </c>
      <c r="G662" s="38" t="s">
        <v>42</v>
      </c>
      <c r="H662" s="110">
        <v>1111.0</v>
      </c>
      <c r="I662" s="132">
        <v>47.45</v>
      </c>
      <c r="J662" s="132">
        <v>31.79</v>
      </c>
      <c r="K662" s="39">
        <f t="shared" si="1"/>
        <v>52716.95</v>
      </c>
      <c r="L662" s="39">
        <f t="shared" si="2"/>
        <v>35318.69</v>
      </c>
      <c r="M662" s="39">
        <f t="shared" si="3"/>
        <v>17398.26</v>
      </c>
      <c r="N662" s="38" t="str">
        <f>VLOOKUP(F662,products!$A$2:$B$13,2,FALSE)</f>
        <v>Beverages</v>
      </c>
      <c r="O662" s="133">
        <f t="shared" si="4"/>
        <v>0.6699683878</v>
      </c>
      <c r="P662" s="38" t="str">
        <f>VLOOKUP(E662,countries!A$2:E$250,3,false)</f>
        <v>Russia</v>
      </c>
      <c r="Q662" s="38" t="str">
        <f>VLOOKUP($E662,countries!$A$2:$E$250,4,false)</f>
        <v>Europe</v>
      </c>
      <c r="R662" s="38" t="str">
        <f>VLOOKUP($E662,countries!$A$2:$E$250,5,false)</f>
        <v>Eastern Europe</v>
      </c>
      <c r="S662" s="38">
        <f t="shared" si="5"/>
        <v>20</v>
      </c>
      <c r="T662" s="38" t="s">
        <v>152</v>
      </c>
      <c r="U662" s="38">
        <v>2012.0</v>
      </c>
      <c r="V662" s="38">
        <v>8.0</v>
      </c>
      <c r="W662" s="38" t="s">
        <v>111</v>
      </c>
      <c r="X662" s="38" t="s">
        <v>179</v>
      </c>
      <c r="Y662" s="38" t="s">
        <v>146</v>
      </c>
      <c r="Z662" s="38" t="s">
        <v>155</v>
      </c>
      <c r="AA662" s="113" t="str">
        <f t="array" ref="AA662">PROPER(G662)</f>
        <v>Offline</v>
      </c>
    </row>
    <row r="663">
      <c r="A663" s="110">
        <v>5.34709155E8</v>
      </c>
      <c r="B663" s="131">
        <v>42204.0</v>
      </c>
      <c r="C663" s="131">
        <v>42249.0</v>
      </c>
      <c r="D663" s="110" t="s">
        <v>95</v>
      </c>
      <c r="E663" s="110" t="s">
        <v>106</v>
      </c>
      <c r="F663" s="110">
        <v>5988.0</v>
      </c>
      <c r="G663" s="38" t="s">
        <v>43</v>
      </c>
      <c r="H663" s="110">
        <v>1176.0</v>
      </c>
      <c r="I663" s="132">
        <v>154.06</v>
      </c>
      <c r="J663" s="132">
        <v>90.93</v>
      </c>
      <c r="K663" s="39">
        <f t="shared" si="1"/>
        <v>181174.56</v>
      </c>
      <c r="L663" s="39">
        <f t="shared" si="2"/>
        <v>106933.68</v>
      </c>
      <c r="M663" s="39">
        <f t="shared" si="3"/>
        <v>74240.88</v>
      </c>
      <c r="N663" s="38" t="str">
        <f>VLOOKUP(F663,products!$A$2:$B$13,2,FALSE)</f>
        <v>Vegetables</v>
      </c>
      <c r="O663" s="133">
        <f t="shared" si="4"/>
        <v>0.5902245878</v>
      </c>
      <c r="P663" s="38" t="str">
        <f>VLOOKUP(E663,countries!A$2:E$250,3,false)</f>
        <v>Poland</v>
      </c>
      <c r="Q663" s="38" t="str">
        <f>VLOOKUP($E663,countries!$A$2:$E$250,4,false)</f>
        <v>Europe</v>
      </c>
      <c r="R663" s="38" t="str">
        <f>VLOOKUP($E663,countries!$A$2:$E$250,5,false)</f>
        <v>Eastern Europe</v>
      </c>
      <c r="S663" s="38">
        <f t="shared" si="5"/>
        <v>45</v>
      </c>
      <c r="T663" s="38" t="s">
        <v>159</v>
      </c>
      <c r="U663" s="38">
        <v>2015.0</v>
      </c>
      <c r="V663" s="38">
        <v>7.0</v>
      </c>
      <c r="W663" s="38" t="s">
        <v>106</v>
      </c>
      <c r="X663" s="38" t="s">
        <v>173</v>
      </c>
      <c r="Y663" s="38" t="s">
        <v>146</v>
      </c>
      <c r="Z663" s="38" t="s">
        <v>155</v>
      </c>
      <c r="AA663" s="113" t="str">
        <f t="array" ref="AA663">PROPER(G663)</f>
        <v>Online</v>
      </c>
    </row>
    <row r="664">
      <c r="A664" s="110">
        <v>5.35740411E8</v>
      </c>
      <c r="B664" s="131">
        <v>40308.0</v>
      </c>
      <c r="C664" s="131">
        <v>40336.0</v>
      </c>
      <c r="D664" s="110" t="s">
        <v>89</v>
      </c>
      <c r="E664" s="110" t="s">
        <v>118</v>
      </c>
      <c r="F664" s="110">
        <v>3127.0</v>
      </c>
      <c r="G664" s="38" t="s">
        <v>42</v>
      </c>
      <c r="H664" s="110">
        <v>6348.0</v>
      </c>
      <c r="I664" s="132">
        <v>81.73</v>
      </c>
      <c r="J664" s="132">
        <v>56.67</v>
      </c>
      <c r="K664" s="39">
        <f t="shared" si="1"/>
        <v>518822.04</v>
      </c>
      <c r="L664" s="39">
        <f t="shared" si="2"/>
        <v>359741.16</v>
      </c>
      <c r="M664" s="39">
        <f t="shared" si="3"/>
        <v>159080.88</v>
      </c>
      <c r="N664" s="38" t="str">
        <f>VLOOKUP(F664,products!$A$2:$B$13,2,FALSE)</f>
        <v>Personal Care</v>
      </c>
      <c r="O664" s="133">
        <f t="shared" si="4"/>
        <v>0.6933806436</v>
      </c>
      <c r="P664" s="38" t="str">
        <f>VLOOKUP(E664,countries!A$2:E$250,3,false)</f>
        <v>Austria</v>
      </c>
      <c r="Q664" s="38" t="str">
        <f>VLOOKUP($E664,countries!$A$2:$E$250,4,false)</f>
        <v>Europe</v>
      </c>
      <c r="R664" s="38" t="str">
        <f>VLOOKUP($E664,countries!$A$2:$E$250,5,false)</f>
        <v>Western Europe</v>
      </c>
      <c r="S664" s="38">
        <f t="shared" si="5"/>
        <v>28</v>
      </c>
      <c r="T664" s="38" t="s">
        <v>185</v>
      </c>
      <c r="U664" s="38">
        <v>2010.0</v>
      </c>
      <c r="V664" s="38">
        <v>5.0</v>
      </c>
      <c r="W664" s="38" t="s">
        <v>118</v>
      </c>
      <c r="X664" s="38" t="s">
        <v>189</v>
      </c>
      <c r="Y664" s="38" t="s">
        <v>146</v>
      </c>
      <c r="Z664" s="38" t="s">
        <v>158</v>
      </c>
      <c r="AA664" s="113" t="str">
        <f t="array" ref="AA664">PROPER(G664)</f>
        <v>Offline</v>
      </c>
    </row>
    <row r="665">
      <c r="A665" s="110">
        <v>5.3609575E8</v>
      </c>
      <c r="B665" s="131">
        <v>42690.0</v>
      </c>
      <c r="C665" s="131">
        <v>42730.0</v>
      </c>
      <c r="D665" s="110" t="s">
        <v>10</v>
      </c>
      <c r="E665" s="110" t="s">
        <v>96</v>
      </c>
      <c r="F665" s="110">
        <v>8969.0</v>
      </c>
      <c r="G665" s="38" t="s">
        <v>42</v>
      </c>
      <c r="H665" s="110">
        <v>1500.0</v>
      </c>
      <c r="I665" s="132">
        <v>152.58</v>
      </c>
      <c r="J665" s="132">
        <v>97.44</v>
      </c>
      <c r="K665" s="39">
        <f t="shared" si="1"/>
        <v>228870</v>
      </c>
      <c r="L665" s="39">
        <f t="shared" si="2"/>
        <v>146160</v>
      </c>
      <c r="M665" s="39">
        <f t="shared" si="3"/>
        <v>82710</v>
      </c>
      <c r="N665" s="38" t="str">
        <f>VLOOKUP(F665,products!$A$2:$B$13,2,FALSE)</f>
        <v>Snacks</v>
      </c>
      <c r="O665" s="133">
        <f t="shared" si="4"/>
        <v>0.6386158081</v>
      </c>
      <c r="P665" s="38" t="str">
        <f>VLOOKUP(E665,countries!A$2:E$250,3,false)</f>
        <v>Slovakia</v>
      </c>
      <c r="Q665" s="38" t="str">
        <f>VLOOKUP($E665,countries!$A$2:$E$250,4,false)</f>
        <v>Europe</v>
      </c>
      <c r="R665" s="38" t="str">
        <f>VLOOKUP($E665,countries!$A$2:$E$250,5,false)</f>
        <v>Eastern Europe</v>
      </c>
      <c r="S665" s="38">
        <f t="shared" si="5"/>
        <v>40</v>
      </c>
      <c r="T665" s="38" t="s">
        <v>182</v>
      </c>
      <c r="U665" s="38">
        <v>2016.0</v>
      </c>
      <c r="V665" s="38">
        <v>11.0</v>
      </c>
      <c r="W665" s="38" t="s">
        <v>96</v>
      </c>
      <c r="X665" s="38" t="s">
        <v>154</v>
      </c>
      <c r="Y665" s="38" t="s">
        <v>146</v>
      </c>
      <c r="Z665" s="38" t="s">
        <v>155</v>
      </c>
      <c r="AA665" s="113" t="str">
        <f t="array" ref="AA665">PROPER(G665)</f>
        <v>Offline</v>
      </c>
    </row>
    <row r="666">
      <c r="A666" s="110">
        <v>5.38430345E8</v>
      </c>
      <c r="B666" s="131">
        <v>42025.0</v>
      </c>
      <c r="C666" s="131">
        <v>42073.0</v>
      </c>
      <c r="D666" s="110" t="s">
        <v>95</v>
      </c>
      <c r="E666" s="110" t="s">
        <v>123</v>
      </c>
      <c r="F666" s="110">
        <v>2455.0</v>
      </c>
      <c r="G666" s="38" t="s">
        <v>42</v>
      </c>
      <c r="H666" s="110">
        <v>2359.0</v>
      </c>
      <c r="I666" s="132">
        <v>109.28</v>
      </c>
      <c r="J666" s="132">
        <v>35.84</v>
      </c>
      <c r="K666" s="39">
        <f t="shared" si="1"/>
        <v>257791.52</v>
      </c>
      <c r="L666" s="39">
        <f t="shared" si="2"/>
        <v>84546.56</v>
      </c>
      <c r="M666" s="39">
        <f t="shared" si="3"/>
        <v>173244.96</v>
      </c>
      <c r="N666" s="38" t="str">
        <f>VLOOKUP(F666,products!$A$2:$B$13,2,FALSE)</f>
        <v>Clothes</v>
      </c>
      <c r="O666" s="133">
        <f t="shared" si="4"/>
        <v>0.3279648609</v>
      </c>
      <c r="P666" s="38" t="str">
        <f>VLOOKUP(E666,countries!A$2:E$250,3,false)</f>
        <v>Hungary</v>
      </c>
      <c r="Q666" s="38" t="str">
        <f>VLOOKUP($E666,countries!$A$2:$E$250,4,false)</f>
        <v>Europe</v>
      </c>
      <c r="R666" s="38" t="str">
        <f>VLOOKUP($E666,countries!$A$2:$E$250,5,false)</f>
        <v>Eastern Europe</v>
      </c>
      <c r="S666" s="38">
        <f t="shared" si="5"/>
        <v>48</v>
      </c>
      <c r="T666" s="38" t="s">
        <v>150</v>
      </c>
      <c r="U666" s="38">
        <v>2015.0</v>
      </c>
      <c r="V666" s="38">
        <v>1.0</v>
      </c>
      <c r="W666" s="38" t="s">
        <v>123</v>
      </c>
      <c r="X666" s="38" t="s">
        <v>194</v>
      </c>
      <c r="Y666" s="38" t="s">
        <v>146</v>
      </c>
      <c r="Z666" s="38" t="s">
        <v>155</v>
      </c>
      <c r="AA666" s="113" t="str">
        <f t="array" ref="AA666">PROPER(G666)</f>
        <v>Offline</v>
      </c>
    </row>
    <row r="667">
      <c r="A667" s="110">
        <v>5.39002406E8</v>
      </c>
      <c r="B667" s="131">
        <v>41841.0</v>
      </c>
      <c r="C667" s="131">
        <v>41843.0</v>
      </c>
      <c r="D667" s="110" t="s">
        <v>10</v>
      </c>
      <c r="E667" s="110" t="s">
        <v>135</v>
      </c>
      <c r="F667" s="110">
        <v>2455.0</v>
      </c>
      <c r="G667" s="38" t="s">
        <v>43</v>
      </c>
      <c r="H667" s="110">
        <v>1645.0</v>
      </c>
      <c r="I667" s="132">
        <v>109.28</v>
      </c>
      <c r="J667" s="132">
        <v>35.84</v>
      </c>
      <c r="K667" s="39">
        <f t="shared" si="1"/>
        <v>179765.6</v>
      </c>
      <c r="L667" s="39">
        <f t="shared" si="2"/>
        <v>58956.8</v>
      </c>
      <c r="M667" s="39">
        <f t="shared" si="3"/>
        <v>120808.8</v>
      </c>
      <c r="N667" s="38" t="str">
        <f>VLOOKUP(F667,products!$A$2:$B$13,2,FALSE)</f>
        <v>Clothes</v>
      </c>
      <c r="O667" s="133">
        <f t="shared" si="4"/>
        <v>0.3279648609</v>
      </c>
      <c r="P667" s="38" t="str">
        <f>VLOOKUP(E667,countries!A$2:E$250,3,false)</f>
        <v>Denmark</v>
      </c>
      <c r="Q667" s="38" t="str">
        <f>VLOOKUP($E667,countries!$A$2:$E$250,4,false)</f>
        <v>Europe</v>
      </c>
      <c r="R667" s="38" t="str">
        <f>VLOOKUP($E667,countries!$A$2:$E$250,5,false)</f>
        <v>Northern Europe</v>
      </c>
      <c r="S667" s="38">
        <f t="shared" si="5"/>
        <v>2</v>
      </c>
      <c r="T667" s="38" t="s">
        <v>150</v>
      </c>
      <c r="U667" s="38">
        <v>2014.0</v>
      </c>
      <c r="V667" s="38">
        <v>7.0</v>
      </c>
      <c r="W667" s="38" t="s">
        <v>135</v>
      </c>
      <c r="X667" s="38" t="s">
        <v>205</v>
      </c>
      <c r="Y667" s="38" t="s">
        <v>146</v>
      </c>
      <c r="Z667" s="38" t="s">
        <v>170</v>
      </c>
      <c r="AA667" s="113" t="str">
        <f t="array" ref="AA667">PROPER(G667)</f>
        <v>Online</v>
      </c>
    </row>
    <row r="668">
      <c r="A668" s="110">
        <v>5.4098252E8</v>
      </c>
      <c r="B668" s="131">
        <v>40383.0</v>
      </c>
      <c r="C668" s="131">
        <v>40422.0</v>
      </c>
      <c r="D668" s="110" t="s">
        <v>93</v>
      </c>
      <c r="E668" s="110" t="s">
        <v>118</v>
      </c>
      <c r="F668" s="110">
        <v>8293.0</v>
      </c>
      <c r="G668" s="38" t="s">
        <v>42</v>
      </c>
      <c r="H668" s="110">
        <v>7604.0</v>
      </c>
      <c r="I668" s="132">
        <v>437.2</v>
      </c>
      <c r="J668" s="132">
        <v>263.33</v>
      </c>
      <c r="K668" s="39">
        <f t="shared" si="1"/>
        <v>3324468.8</v>
      </c>
      <c r="L668" s="39">
        <f t="shared" si="2"/>
        <v>2002361.32</v>
      </c>
      <c r="M668" s="39">
        <f t="shared" si="3"/>
        <v>1322107.48</v>
      </c>
      <c r="N668" s="38" t="str">
        <f>VLOOKUP(F668,products!$A$2:$B$13,2,FALSE)</f>
        <v>Cosmetics</v>
      </c>
      <c r="O668" s="133">
        <f t="shared" si="4"/>
        <v>0.6023101555</v>
      </c>
      <c r="P668" s="38" t="str">
        <f>VLOOKUP(E668,countries!A$2:E$250,3,false)</f>
        <v>Austria</v>
      </c>
      <c r="Q668" s="38" t="str">
        <f>VLOOKUP($E668,countries!$A$2:$E$250,4,false)</f>
        <v>Europe</v>
      </c>
      <c r="R668" s="38" t="str">
        <f>VLOOKUP($E668,countries!$A$2:$E$250,5,false)</f>
        <v>Western Europe</v>
      </c>
      <c r="S668" s="38">
        <f t="shared" si="5"/>
        <v>39</v>
      </c>
      <c r="T668" s="38" t="s">
        <v>178</v>
      </c>
      <c r="U668" s="38">
        <v>2010.0</v>
      </c>
      <c r="V668" s="38">
        <v>7.0</v>
      </c>
      <c r="W668" s="38" t="s">
        <v>118</v>
      </c>
      <c r="X668" s="38" t="s">
        <v>189</v>
      </c>
      <c r="Y668" s="38" t="s">
        <v>146</v>
      </c>
      <c r="Z668" s="38" t="s">
        <v>158</v>
      </c>
      <c r="AA668" s="113" t="str">
        <f t="array" ref="AA668">PROPER(G668)</f>
        <v>Offline</v>
      </c>
    </row>
    <row r="669">
      <c r="A669" s="110">
        <v>5.43322694E8</v>
      </c>
      <c r="B669" s="131">
        <v>41750.0</v>
      </c>
      <c r="C669" s="131">
        <v>41791.0</v>
      </c>
      <c r="D669" s="110" t="s">
        <v>89</v>
      </c>
      <c r="E669" s="110" t="s">
        <v>111</v>
      </c>
      <c r="F669" s="110">
        <v>1270.0</v>
      </c>
      <c r="G669" s="38" t="s">
        <v>42</v>
      </c>
      <c r="H669" s="110">
        <v>114.0</v>
      </c>
      <c r="I669" s="132">
        <v>47.45</v>
      </c>
      <c r="J669" s="132">
        <v>31.79</v>
      </c>
      <c r="K669" s="39">
        <f t="shared" si="1"/>
        <v>5409.3</v>
      </c>
      <c r="L669" s="39">
        <f t="shared" si="2"/>
        <v>3624.06</v>
      </c>
      <c r="M669" s="39">
        <f t="shared" si="3"/>
        <v>1785.24</v>
      </c>
      <c r="N669" s="38" t="str">
        <f>VLOOKUP(F669,products!$A$2:$B$13,2,FALSE)</f>
        <v>Beverages</v>
      </c>
      <c r="O669" s="133">
        <f t="shared" si="4"/>
        <v>0.6699683878</v>
      </c>
      <c r="P669" s="38" t="str">
        <f>VLOOKUP(E669,countries!A$2:E$250,3,false)</f>
        <v>Russia</v>
      </c>
      <c r="Q669" s="38" t="str">
        <f>VLOOKUP($E669,countries!$A$2:$E$250,4,false)</f>
        <v>Europe</v>
      </c>
      <c r="R669" s="38" t="str">
        <f>VLOOKUP($E669,countries!$A$2:$E$250,5,false)</f>
        <v>Eastern Europe</v>
      </c>
      <c r="S669" s="38">
        <f t="shared" si="5"/>
        <v>41</v>
      </c>
      <c r="T669" s="38" t="s">
        <v>152</v>
      </c>
      <c r="U669" s="38">
        <v>2014.0</v>
      </c>
      <c r="V669" s="38">
        <v>4.0</v>
      </c>
      <c r="W669" s="38" t="s">
        <v>111</v>
      </c>
      <c r="X669" s="38" t="s">
        <v>179</v>
      </c>
      <c r="Y669" s="38" t="s">
        <v>146</v>
      </c>
      <c r="Z669" s="38" t="s">
        <v>155</v>
      </c>
      <c r="AA669" s="113" t="str">
        <f t="array" ref="AA669">PROPER(G669)</f>
        <v>Offline</v>
      </c>
    </row>
    <row r="670">
      <c r="A670" s="110">
        <v>5.43396508E8</v>
      </c>
      <c r="B670" s="131">
        <v>42886.0</v>
      </c>
      <c r="C670" s="131">
        <v>42891.0</v>
      </c>
      <c r="D670" s="110" t="s">
        <v>10</v>
      </c>
      <c r="E670" s="110" t="s">
        <v>129</v>
      </c>
      <c r="F670" s="110">
        <v>8875.0</v>
      </c>
      <c r="G670" s="38" t="s">
        <v>43</v>
      </c>
      <c r="H670" s="110">
        <v>1957.0</v>
      </c>
      <c r="I670" s="132">
        <v>421.89</v>
      </c>
      <c r="J670" s="132">
        <v>364.69</v>
      </c>
      <c r="K670" s="39">
        <f t="shared" si="1"/>
        <v>825638.73</v>
      </c>
      <c r="L670" s="39">
        <f t="shared" si="2"/>
        <v>713698.33</v>
      </c>
      <c r="M670" s="39">
        <f t="shared" si="3"/>
        <v>111940.4</v>
      </c>
      <c r="N670" s="38" t="str">
        <f>VLOOKUP(F670,products!$A$2:$B$13,2,FALSE)</f>
        <v>Meat</v>
      </c>
      <c r="O670" s="133">
        <f t="shared" si="4"/>
        <v>0.8644196354</v>
      </c>
      <c r="P670" s="38" t="str">
        <f>VLOOKUP(E670,countries!A$2:E$250,3,false)</f>
        <v>Liechtenstein</v>
      </c>
      <c r="Q670" s="38" t="str">
        <f>VLOOKUP($E670,countries!$A$2:$E$250,4,false)</f>
        <v>Europe</v>
      </c>
      <c r="R670" s="38" t="str">
        <f>VLOOKUP($E670,countries!$A$2:$E$250,5,false)</f>
        <v>Western Europe</v>
      </c>
      <c r="S670" s="38">
        <f t="shared" si="5"/>
        <v>5</v>
      </c>
      <c r="T670" s="38" t="s">
        <v>167</v>
      </c>
      <c r="U670" s="38">
        <v>2017.0</v>
      </c>
      <c r="V670" s="38">
        <v>5.0</v>
      </c>
      <c r="W670" s="38" t="s">
        <v>129</v>
      </c>
      <c r="X670" s="38" t="s">
        <v>200</v>
      </c>
      <c r="Y670" s="38" t="s">
        <v>146</v>
      </c>
      <c r="Z670" s="38" t="s">
        <v>158</v>
      </c>
      <c r="AA670" s="113" t="str">
        <f t="array" ref="AA670">PROPER(G670)</f>
        <v>Online</v>
      </c>
    </row>
    <row r="671">
      <c r="A671" s="110">
        <v>5.44284856E8</v>
      </c>
      <c r="B671" s="131">
        <v>41926.0</v>
      </c>
      <c r="C671" s="131">
        <v>41937.0</v>
      </c>
      <c r="D671" s="110" t="s">
        <v>89</v>
      </c>
      <c r="E671" s="110" t="s">
        <v>110</v>
      </c>
      <c r="F671" s="110">
        <v>7940.0</v>
      </c>
      <c r="G671" s="38" t="s">
        <v>42</v>
      </c>
      <c r="H671" s="110">
        <v>4839.0</v>
      </c>
      <c r="I671" s="132">
        <v>668.27</v>
      </c>
      <c r="J671" s="132">
        <v>502.54</v>
      </c>
      <c r="K671" s="39">
        <f t="shared" si="1"/>
        <v>3233758.53</v>
      </c>
      <c r="L671" s="39">
        <f t="shared" si="2"/>
        <v>2431791.06</v>
      </c>
      <c r="M671" s="39">
        <f t="shared" si="3"/>
        <v>801967.47</v>
      </c>
      <c r="N671" s="38" t="str">
        <f>VLOOKUP(F671,products!$A$2:$B$13,2,FALSE)</f>
        <v>Household</v>
      </c>
      <c r="O671" s="133">
        <f t="shared" si="4"/>
        <v>0.7520014365</v>
      </c>
      <c r="P671" s="38" t="str">
        <f>VLOOKUP(E671,countries!A$2:E$250,3,false)</f>
        <v>Lithuania</v>
      </c>
      <c r="Q671" s="38" t="str">
        <f>VLOOKUP($E671,countries!$A$2:$E$250,4,false)</f>
        <v>Europe</v>
      </c>
      <c r="R671" s="38" t="str">
        <f>VLOOKUP($E671,countries!$A$2:$E$250,5,false)</f>
        <v>Northern Europe</v>
      </c>
      <c r="S671" s="38">
        <f t="shared" si="5"/>
        <v>11</v>
      </c>
      <c r="T671" s="38" t="s">
        <v>148</v>
      </c>
      <c r="U671" s="38">
        <v>2014.0</v>
      </c>
      <c r="V671" s="38">
        <v>10.0</v>
      </c>
      <c r="W671" s="38" t="s">
        <v>110</v>
      </c>
      <c r="X671" s="38" t="s">
        <v>177</v>
      </c>
      <c r="Y671" s="38" t="s">
        <v>146</v>
      </c>
      <c r="Z671" s="38" t="s">
        <v>170</v>
      </c>
      <c r="AA671" s="113" t="str">
        <f t="array" ref="AA671">PROPER(G671)</f>
        <v>Offline</v>
      </c>
    </row>
    <row r="672">
      <c r="A672" s="110">
        <v>5.44741475E8</v>
      </c>
      <c r="B672" s="131">
        <v>40978.0</v>
      </c>
      <c r="C672" s="131">
        <v>40993.0</v>
      </c>
      <c r="D672" s="110" t="s">
        <v>10</v>
      </c>
      <c r="E672" s="110" t="s">
        <v>121</v>
      </c>
      <c r="F672" s="110">
        <v>3127.0</v>
      </c>
      <c r="G672" s="38" t="s">
        <v>43</v>
      </c>
      <c r="H672" s="110">
        <v>9963.0</v>
      </c>
      <c r="I672" s="132">
        <v>81.73</v>
      </c>
      <c r="J672" s="132">
        <v>56.67</v>
      </c>
      <c r="K672" s="39">
        <f t="shared" si="1"/>
        <v>814275.99</v>
      </c>
      <c r="L672" s="39">
        <f t="shared" si="2"/>
        <v>564603.21</v>
      </c>
      <c r="M672" s="39">
        <f t="shared" si="3"/>
        <v>249672.78</v>
      </c>
      <c r="N672" s="38" t="str">
        <f>VLOOKUP(F672,products!$A$2:$B$13,2,FALSE)</f>
        <v>Personal Care</v>
      </c>
      <c r="O672" s="133">
        <f t="shared" si="4"/>
        <v>0.6933806436</v>
      </c>
      <c r="P672" s="38" t="str">
        <f>VLOOKUP(E672,countries!A$2:E$250,3,false)</f>
        <v>Netherlands</v>
      </c>
      <c r="Q672" s="38" t="str">
        <f>VLOOKUP($E672,countries!$A$2:$E$250,4,false)</f>
        <v>Europe</v>
      </c>
      <c r="R672" s="38" t="str">
        <f>VLOOKUP($E672,countries!$A$2:$E$250,5,false)</f>
        <v>Western Europe</v>
      </c>
      <c r="S672" s="38">
        <f t="shared" si="5"/>
        <v>15</v>
      </c>
      <c r="T672" s="38" t="s">
        <v>185</v>
      </c>
      <c r="U672" s="38">
        <v>2012.0</v>
      </c>
      <c r="V672" s="38">
        <v>3.0</v>
      </c>
      <c r="W672" s="38" t="s">
        <v>121</v>
      </c>
      <c r="X672" s="38" t="s">
        <v>192</v>
      </c>
      <c r="Y672" s="38" t="s">
        <v>146</v>
      </c>
      <c r="Z672" s="38" t="s">
        <v>158</v>
      </c>
      <c r="AA672" s="113" t="str">
        <f t="array" ref="AA672">PROPER(G672)</f>
        <v>Online</v>
      </c>
    </row>
    <row r="673">
      <c r="A673" s="110">
        <v>5.45059049E8</v>
      </c>
      <c r="B673" s="131">
        <v>42586.0</v>
      </c>
      <c r="C673" s="131">
        <v>42590.0</v>
      </c>
      <c r="D673" s="110" t="s">
        <v>95</v>
      </c>
      <c r="E673" s="110" t="s">
        <v>129</v>
      </c>
      <c r="F673" s="110">
        <v>2455.0</v>
      </c>
      <c r="G673" s="38" t="s">
        <v>42</v>
      </c>
      <c r="H673" s="110">
        <v>3940.0</v>
      </c>
      <c r="I673" s="132">
        <v>109.28</v>
      </c>
      <c r="J673" s="132">
        <v>35.84</v>
      </c>
      <c r="K673" s="39">
        <f t="shared" si="1"/>
        <v>430563.2</v>
      </c>
      <c r="L673" s="39">
        <f t="shared" si="2"/>
        <v>141209.6</v>
      </c>
      <c r="M673" s="39">
        <f t="shared" si="3"/>
        <v>289353.6</v>
      </c>
      <c r="N673" s="38" t="str">
        <f>VLOOKUP(F673,products!$A$2:$B$13,2,FALSE)</f>
        <v>Clothes</v>
      </c>
      <c r="O673" s="133">
        <f t="shared" si="4"/>
        <v>0.3279648609</v>
      </c>
      <c r="P673" s="38" t="str">
        <f>VLOOKUP(E673,countries!A$2:E$250,3,false)</f>
        <v>Liechtenstein</v>
      </c>
      <c r="Q673" s="38" t="str">
        <f>VLOOKUP($E673,countries!$A$2:$E$250,4,false)</f>
        <v>Europe</v>
      </c>
      <c r="R673" s="38" t="str">
        <f>VLOOKUP($E673,countries!$A$2:$E$250,5,false)</f>
        <v>Western Europe</v>
      </c>
      <c r="S673" s="38">
        <f t="shared" si="5"/>
        <v>4</v>
      </c>
      <c r="T673" s="38" t="s">
        <v>150</v>
      </c>
      <c r="U673" s="38">
        <v>2016.0</v>
      </c>
      <c r="V673" s="38">
        <v>8.0</v>
      </c>
      <c r="W673" s="38" t="s">
        <v>129</v>
      </c>
      <c r="X673" s="38" t="s">
        <v>200</v>
      </c>
      <c r="Y673" s="38" t="s">
        <v>146</v>
      </c>
      <c r="Z673" s="38" t="s">
        <v>158</v>
      </c>
      <c r="AA673" s="113" t="str">
        <f t="array" ref="AA673">PROPER(G673)</f>
        <v>Offline</v>
      </c>
    </row>
    <row r="674">
      <c r="A674" s="110">
        <v>5.46081721E8</v>
      </c>
      <c r="B674" s="131">
        <v>41394.0</v>
      </c>
      <c r="C674" s="131">
        <v>41416.0</v>
      </c>
      <c r="D674" s="110" t="s">
        <v>95</v>
      </c>
      <c r="E674" s="110" t="s">
        <v>106</v>
      </c>
      <c r="F674" s="110">
        <v>8875.0</v>
      </c>
      <c r="G674" s="38" t="s">
        <v>43</v>
      </c>
      <c r="H674" s="110">
        <v>6571.0</v>
      </c>
      <c r="I674" s="132">
        <v>421.89</v>
      </c>
      <c r="J674" s="132">
        <v>364.69</v>
      </c>
      <c r="K674" s="39">
        <f t="shared" si="1"/>
        <v>2772239.19</v>
      </c>
      <c r="L674" s="39">
        <f t="shared" si="2"/>
        <v>2396377.99</v>
      </c>
      <c r="M674" s="39">
        <f t="shared" si="3"/>
        <v>375861.2</v>
      </c>
      <c r="N674" s="38" t="str">
        <f>VLOOKUP(F674,products!$A$2:$B$13,2,FALSE)</f>
        <v>Meat</v>
      </c>
      <c r="O674" s="133">
        <f t="shared" si="4"/>
        <v>0.8644196354</v>
      </c>
      <c r="P674" s="38" t="str">
        <f>VLOOKUP(E674,countries!A$2:E$250,3,false)</f>
        <v>Poland</v>
      </c>
      <c r="Q674" s="38" t="str">
        <f>VLOOKUP($E674,countries!$A$2:$E$250,4,false)</f>
        <v>Europe</v>
      </c>
      <c r="R674" s="38" t="str">
        <f>VLOOKUP($E674,countries!$A$2:$E$250,5,false)</f>
        <v>Eastern Europe</v>
      </c>
      <c r="S674" s="38">
        <f t="shared" si="5"/>
        <v>22</v>
      </c>
      <c r="T674" s="38" t="s">
        <v>167</v>
      </c>
      <c r="U674" s="38">
        <v>2013.0</v>
      </c>
      <c r="V674" s="38">
        <v>4.0</v>
      </c>
      <c r="W674" s="38" t="s">
        <v>106</v>
      </c>
      <c r="X674" s="38" t="s">
        <v>173</v>
      </c>
      <c r="Y674" s="38" t="s">
        <v>146</v>
      </c>
      <c r="Z674" s="38" t="s">
        <v>155</v>
      </c>
      <c r="AA674" s="113" t="str">
        <f t="array" ref="AA674">PROPER(G674)</f>
        <v>Online</v>
      </c>
    </row>
    <row r="675">
      <c r="A675" s="110">
        <v>5.46140086E8</v>
      </c>
      <c r="B675" s="131">
        <v>41585.0</v>
      </c>
      <c r="C675" s="131">
        <v>41627.0</v>
      </c>
      <c r="D675" s="110" t="s">
        <v>93</v>
      </c>
      <c r="E675" s="110" t="s">
        <v>137</v>
      </c>
      <c r="F675" s="110">
        <v>3127.0</v>
      </c>
      <c r="G675" s="38" t="s">
        <v>42</v>
      </c>
      <c r="H675" s="110">
        <v>3843.0</v>
      </c>
      <c r="I675" s="132">
        <v>81.73</v>
      </c>
      <c r="J675" s="132">
        <v>56.67</v>
      </c>
      <c r="K675" s="39">
        <f t="shared" si="1"/>
        <v>314088.39</v>
      </c>
      <c r="L675" s="39">
        <f t="shared" si="2"/>
        <v>217782.81</v>
      </c>
      <c r="M675" s="39">
        <f t="shared" si="3"/>
        <v>96305.58</v>
      </c>
      <c r="N675" s="38" t="str">
        <f>VLOOKUP(F675,products!$A$2:$B$13,2,FALSE)</f>
        <v>Personal Care</v>
      </c>
      <c r="O675" s="133">
        <f t="shared" si="4"/>
        <v>0.6933806436</v>
      </c>
      <c r="P675" s="38" t="str">
        <f>VLOOKUP(E675,countries!A$2:E$250,3,false)</f>
        <v>Iceland</v>
      </c>
      <c r="Q675" s="38" t="str">
        <f>VLOOKUP($E675,countries!$A$2:$E$250,4,false)</f>
        <v>Europe</v>
      </c>
      <c r="R675" s="38" t="str">
        <f>VLOOKUP($E675,countries!$A$2:$E$250,5,false)</f>
        <v>Northern Europe</v>
      </c>
      <c r="S675" s="38">
        <f t="shared" si="5"/>
        <v>42</v>
      </c>
      <c r="T675" s="38" t="s">
        <v>185</v>
      </c>
      <c r="U675" s="38">
        <v>2013.0</v>
      </c>
      <c r="V675" s="38">
        <v>11.0</v>
      </c>
      <c r="W675" s="38" t="s">
        <v>137</v>
      </c>
      <c r="X675" s="38" t="s">
        <v>207</v>
      </c>
      <c r="Y675" s="38" t="s">
        <v>146</v>
      </c>
      <c r="Z675" s="38" t="s">
        <v>170</v>
      </c>
      <c r="AA675" s="113" t="str">
        <f t="array" ref="AA675">PROPER(G675)</f>
        <v>Offline</v>
      </c>
    </row>
    <row r="676">
      <c r="A676" s="110">
        <v>5.46544349E8</v>
      </c>
      <c r="B676" s="131">
        <v>40507.0</v>
      </c>
      <c r="C676" s="131">
        <v>40524.0</v>
      </c>
      <c r="D676" s="110" t="s">
        <v>93</v>
      </c>
      <c r="E676" s="110" t="s">
        <v>94</v>
      </c>
      <c r="F676" s="110">
        <v>7940.0</v>
      </c>
      <c r="G676" s="38" t="s">
        <v>42</v>
      </c>
      <c r="H676" s="110">
        <v>3473.0</v>
      </c>
      <c r="I676" s="132">
        <v>668.27</v>
      </c>
      <c r="J676" s="132">
        <v>502.54</v>
      </c>
      <c r="K676" s="39">
        <f t="shared" si="1"/>
        <v>2320901.71</v>
      </c>
      <c r="L676" s="39">
        <f t="shared" si="2"/>
        <v>1745321.42</v>
      </c>
      <c r="M676" s="39">
        <f t="shared" si="3"/>
        <v>575580.29</v>
      </c>
      <c r="N676" s="38" t="str">
        <f>VLOOKUP(F676,products!$A$2:$B$13,2,FALSE)</f>
        <v>Household</v>
      </c>
      <c r="O676" s="133">
        <f t="shared" si="4"/>
        <v>0.7520014365</v>
      </c>
      <c r="P676" s="38" t="str">
        <f>VLOOKUP(E676,countries!A$2:E$250,3,false)</f>
        <v>Montenegro</v>
      </c>
      <c r="Q676" s="38" t="str">
        <f>VLOOKUP($E676,countries!$A$2:$E$250,4,false)</f>
        <v>Europe</v>
      </c>
      <c r="R676" s="38" t="str">
        <f>VLOOKUP($E676,countries!$A$2:$E$250,5,false)</f>
        <v>Southern Europe</v>
      </c>
      <c r="S676" s="38">
        <f t="shared" si="5"/>
        <v>17</v>
      </c>
      <c r="T676" s="38" t="s">
        <v>148</v>
      </c>
      <c r="U676" s="38">
        <v>2010.0</v>
      </c>
      <c r="V676" s="38">
        <v>11.0</v>
      </c>
      <c r="W676" s="38" t="s">
        <v>94</v>
      </c>
      <c r="X676" s="38" t="s">
        <v>151</v>
      </c>
      <c r="Y676" s="38" t="s">
        <v>146</v>
      </c>
      <c r="Z676" s="38" t="s">
        <v>147</v>
      </c>
      <c r="AA676" s="113" t="str">
        <f t="array" ref="AA676">PROPER(G676)</f>
        <v>Offline</v>
      </c>
    </row>
    <row r="677">
      <c r="A677" s="110">
        <v>5.47225844E8</v>
      </c>
      <c r="B677" s="131">
        <v>41027.0</v>
      </c>
      <c r="C677" s="131">
        <v>41059.0</v>
      </c>
      <c r="D677" s="110" t="s">
        <v>93</v>
      </c>
      <c r="E677" s="110" t="s">
        <v>127</v>
      </c>
      <c r="F677" s="110">
        <v>3127.0</v>
      </c>
      <c r="G677" s="38" t="s">
        <v>42</v>
      </c>
      <c r="H677" s="110">
        <v>5143.0</v>
      </c>
      <c r="I677" s="132">
        <v>81.73</v>
      </c>
      <c r="J677" s="132">
        <v>56.67</v>
      </c>
      <c r="K677" s="39">
        <f t="shared" si="1"/>
        <v>420337.39</v>
      </c>
      <c r="L677" s="39">
        <f t="shared" si="2"/>
        <v>291453.81</v>
      </c>
      <c r="M677" s="39">
        <f t="shared" si="3"/>
        <v>128883.58</v>
      </c>
      <c r="N677" s="38" t="str">
        <f>VLOOKUP(F677,products!$A$2:$B$13,2,FALSE)</f>
        <v>Personal Care</v>
      </c>
      <c r="O677" s="133">
        <f t="shared" si="4"/>
        <v>0.6933806436</v>
      </c>
      <c r="P677" s="38" t="str">
        <f>VLOOKUP(E677,countries!A$2:E$250,3,false)</f>
        <v>Ireland</v>
      </c>
      <c r="Q677" s="38" t="str">
        <f>VLOOKUP($E677,countries!$A$2:$E$250,4,false)</f>
        <v>Europe</v>
      </c>
      <c r="R677" s="38" t="str">
        <f>VLOOKUP($E677,countries!$A$2:$E$250,5,false)</f>
        <v>Northern Europe</v>
      </c>
      <c r="S677" s="38">
        <f t="shared" si="5"/>
        <v>32</v>
      </c>
      <c r="T677" s="38" t="s">
        <v>185</v>
      </c>
      <c r="U677" s="38">
        <v>2012.0</v>
      </c>
      <c r="V677" s="38">
        <v>4.0</v>
      </c>
      <c r="W677" s="38" t="s">
        <v>127</v>
      </c>
      <c r="X677" s="38" t="s">
        <v>198</v>
      </c>
      <c r="Y677" s="38" t="s">
        <v>146</v>
      </c>
      <c r="Z677" s="38" t="s">
        <v>170</v>
      </c>
      <c r="AA677" s="113" t="str">
        <f t="array" ref="AA677">PROPER(G677)</f>
        <v>Offline</v>
      </c>
    </row>
    <row r="678">
      <c r="A678" s="110">
        <v>5.47587192E8</v>
      </c>
      <c r="B678" s="131">
        <v>40703.0</v>
      </c>
      <c r="C678" s="131">
        <v>40738.0</v>
      </c>
      <c r="D678" s="110" t="s">
        <v>89</v>
      </c>
      <c r="E678" s="110" t="e">
        <v>#N/A</v>
      </c>
      <c r="F678" s="110">
        <v>2103.0</v>
      </c>
      <c r="G678" s="38" t="s">
        <v>43</v>
      </c>
      <c r="H678" s="110">
        <v>2073.0</v>
      </c>
      <c r="I678" s="132">
        <v>205.7</v>
      </c>
      <c r="J678" s="132">
        <v>117.11</v>
      </c>
      <c r="K678" s="39">
        <f t="shared" si="1"/>
        <v>426416.1</v>
      </c>
      <c r="L678" s="39">
        <f t="shared" si="2"/>
        <v>242769.03</v>
      </c>
      <c r="M678" s="39">
        <f t="shared" si="3"/>
        <v>183647.07</v>
      </c>
      <c r="N678" s="38" t="str">
        <f>VLOOKUP(F678,products!$A$2:$B$13,2,FALSE)</f>
        <v>Cereal</v>
      </c>
      <c r="O678" s="133">
        <f t="shared" si="4"/>
        <v>0.5693242586</v>
      </c>
      <c r="P678" s="38" t="str">
        <f>VLOOKUP(E678,countries!A$2:E$250,3,false)</f>
        <v>#N/A</v>
      </c>
      <c r="Q678" s="38" t="str">
        <f>VLOOKUP($E678,countries!$A$2:$E$250,4,false)</f>
        <v>#N/A</v>
      </c>
      <c r="R678" s="38" t="str">
        <f>VLOOKUP($E678,countries!$A$2:$E$250,5,false)</f>
        <v>#N/A</v>
      </c>
      <c r="S678" s="38">
        <f t="shared" si="5"/>
        <v>35</v>
      </c>
      <c r="T678" s="38" t="s">
        <v>144</v>
      </c>
      <c r="U678" s="38">
        <v>2011.0</v>
      </c>
      <c r="V678" s="38">
        <v>6.0</v>
      </c>
      <c r="W678" s="38" t="s">
        <v>92</v>
      </c>
      <c r="X678" s="38" t="s">
        <v>149</v>
      </c>
      <c r="Y678" s="38" t="s">
        <v>149</v>
      </c>
      <c r="Z678" s="38" t="s">
        <v>149</v>
      </c>
      <c r="AA678" s="113" t="str">
        <f t="array" ref="AA678">PROPER(G678)</f>
        <v>Online</v>
      </c>
    </row>
    <row r="679">
      <c r="A679" s="110">
        <v>5.47625386E8</v>
      </c>
      <c r="B679" s="131">
        <v>42272.0</v>
      </c>
      <c r="C679" s="131">
        <v>42276.0</v>
      </c>
      <c r="D679" s="110" t="s">
        <v>95</v>
      </c>
      <c r="E679" s="110" t="s">
        <v>107</v>
      </c>
      <c r="F679" s="110">
        <v>3127.0</v>
      </c>
      <c r="G679" s="38" t="s">
        <v>42</v>
      </c>
      <c r="H679" s="110">
        <v>3376.0</v>
      </c>
      <c r="I679" s="132">
        <v>81.73</v>
      </c>
      <c r="J679" s="132">
        <v>56.67</v>
      </c>
      <c r="K679" s="39">
        <f t="shared" si="1"/>
        <v>275920.48</v>
      </c>
      <c r="L679" s="39">
        <f t="shared" si="2"/>
        <v>191317.92</v>
      </c>
      <c r="M679" s="39">
        <f t="shared" si="3"/>
        <v>84602.56</v>
      </c>
      <c r="N679" s="38" t="str">
        <f>VLOOKUP(F679,products!$A$2:$B$13,2,FALSE)</f>
        <v>Personal Care</v>
      </c>
      <c r="O679" s="133">
        <f t="shared" si="4"/>
        <v>0.6933806436</v>
      </c>
      <c r="P679" s="38" t="str">
        <f>VLOOKUP(E679,countries!A$2:E$250,3,false)</f>
        <v>Luxembourg</v>
      </c>
      <c r="Q679" s="38" t="str">
        <f>VLOOKUP($E679,countries!$A$2:$E$250,4,false)</f>
        <v>Europe</v>
      </c>
      <c r="R679" s="38" t="str">
        <f>VLOOKUP($E679,countries!$A$2:$E$250,5,false)</f>
        <v>Western Europe</v>
      </c>
      <c r="S679" s="38">
        <f t="shared" si="5"/>
        <v>4</v>
      </c>
      <c r="T679" s="38" t="s">
        <v>185</v>
      </c>
      <c r="U679" s="38">
        <v>2015.0</v>
      </c>
      <c r="V679" s="38">
        <v>9.0</v>
      </c>
      <c r="W679" s="38" t="s">
        <v>107</v>
      </c>
      <c r="X679" s="38" t="s">
        <v>174</v>
      </c>
      <c r="Y679" s="38" t="s">
        <v>146</v>
      </c>
      <c r="Z679" s="38" t="s">
        <v>158</v>
      </c>
      <c r="AA679" s="113" t="str">
        <f t="array" ref="AA679">PROPER(G679)</f>
        <v>Offline</v>
      </c>
    </row>
    <row r="680">
      <c r="A680" s="110">
        <v>5.48015487E8</v>
      </c>
      <c r="B680" s="131">
        <v>42632.0</v>
      </c>
      <c r="C680" s="131">
        <v>42652.0</v>
      </c>
      <c r="D680" s="110" t="s">
        <v>93</v>
      </c>
      <c r="E680" s="110" t="s">
        <v>127</v>
      </c>
      <c r="F680" s="110">
        <v>4594.0</v>
      </c>
      <c r="G680" s="38" t="s">
        <v>43</v>
      </c>
      <c r="H680" s="110">
        <v>8815.0</v>
      </c>
      <c r="I680" s="132">
        <v>9.33</v>
      </c>
      <c r="J680" s="132">
        <v>6.92</v>
      </c>
      <c r="K680" s="39">
        <f t="shared" si="1"/>
        <v>82243.95</v>
      </c>
      <c r="L680" s="39">
        <f t="shared" si="2"/>
        <v>60999.8</v>
      </c>
      <c r="M680" s="39">
        <f t="shared" si="3"/>
        <v>21244.15</v>
      </c>
      <c r="N680" s="38" t="str">
        <f>VLOOKUP(F680,products!$A$2:$B$13,2,FALSE)</f>
        <v>Fruits</v>
      </c>
      <c r="O680" s="133">
        <f t="shared" si="4"/>
        <v>0.741693462</v>
      </c>
      <c r="P680" s="38" t="str">
        <f>VLOOKUP(E680,countries!A$2:E$250,3,false)</f>
        <v>Ireland</v>
      </c>
      <c r="Q680" s="38" t="str">
        <f>VLOOKUP($E680,countries!$A$2:$E$250,4,false)</f>
        <v>Europe</v>
      </c>
      <c r="R680" s="38" t="str">
        <f>VLOOKUP($E680,countries!$A$2:$E$250,5,false)</f>
        <v>Northern Europe</v>
      </c>
      <c r="S680" s="38">
        <f t="shared" si="5"/>
        <v>20</v>
      </c>
      <c r="T680" s="38" t="s">
        <v>156</v>
      </c>
      <c r="U680" s="38">
        <v>2016.0</v>
      </c>
      <c r="V680" s="38">
        <v>9.0</v>
      </c>
      <c r="W680" s="38" t="s">
        <v>127</v>
      </c>
      <c r="X680" s="38" t="s">
        <v>198</v>
      </c>
      <c r="Y680" s="38" t="s">
        <v>146</v>
      </c>
      <c r="Z680" s="38" t="s">
        <v>170</v>
      </c>
      <c r="AA680" s="113" t="str">
        <f t="array" ref="AA680">PROPER(G680)</f>
        <v>Online</v>
      </c>
    </row>
    <row r="681">
      <c r="A681" s="110">
        <v>5.48343789E8</v>
      </c>
      <c r="B681" s="131">
        <v>41977.0</v>
      </c>
      <c r="C681" s="131">
        <v>41979.0</v>
      </c>
      <c r="D681" s="110" t="s">
        <v>93</v>
      </c>
      <c r="E681" s="110" t="s">
        <v>108</v>
      </c>
      <c r="F681" s="110">
        <v>8969.0</v>
      </c>
      <c r="G681" s="38" t="s">
        <v>42</v>
      </c>
      <c r="H681" s="110">
        <v>5967.0</v>
      </c>
      <c r="I681" s="132">
        <v>152.58</v>
      </c>
      <c r="J681" s="132">
        <v>97.44</v>
      </c>
      <c r="K681" s="39">
        <f t="shared" si="1"/>
        <v>910444.86</v>
      </c>
      <c r="L681" s="39">
        <f t="shared" si="2"/>
        <v>581424.48</v>
      </c>
      <c r="M681" s="39">
        <f t="shared" si="3"/>
        <v>329020.38</v>
      </c>
      <c r="N681" s="38" t="str">
        <f>VLOOKUP(F681,products!$A$2:$B$13,2,FALSE)</f>
        <v>Snacks</v>
      </c>
      <c r="O681" s="133">
        <f t="shared" si="4"/>
        <v>0.6386158081</v>
      </c>
      <c r="P681" s="38" t="str">
        <f>VLOOKUP(E681,countries!A$2:E$250,3,false)</f>
        <v>Cyprus</v>
      </c>
      <c r="Q681" s="38" t="str">
        <f>VLOOKUP($E681,countries!$A$2:$E$250,4,false)</f>
        <v>Asia</v>
      </c>
      <c r="R681" s="38" t="str">
        <f>VLOOKUP($E681,countries!$A$2:$E$250,5,false)</f>
        <v>Western Asia</v>
      </c>
      <c r="S681" s="38">
        <f t="shared" si="5"/>
        <v>2</v>
      </c>
      <c r="T681" s="38" t="s">
        <v>182</v>
      </c>
      <c r="U681" s="38">
        <v>2014.0</v>
      </c>
      <c r="V681" s="38">
        <v>12.0</v>
      </c>
      <c r="W681" s="38" t="s">
        <v>108</v>
      </c>
      <c r="X681" s="38" t="s">
        <v>175</v>
      </c>
      <c r="Y681" s="38" t="s">
        <v>165</v>
      </c>
      <c r="Z681" s="38" t="s">
        <v>166</v>
      </c>
      <c r="AA681" s="113" t="str">
        <f t="array" ref="AA681">PROPER(G681)</f>
        <v>Offline</v>
      </c>
    </row>
    <row r="682">
      <c r="A682" s="110">
        <v>5.48403012E8</v>
      </c>
      <c r="B682" s="131">
        <v>40991.0</v>
      </c>
      <c r="C682" s="131">
        <v>41003.0</v>
      </c>
      <c r="D682" s="110" t="s">
        <v>10</v>
      </c>
      <c r="E682" s="110" t="s">
        <v>103</v>
      </c>
      <c r="F682" s="110">
        <v>7940.0</v>
      </c>
      <c r="G682" s="38" t="s">
        <v>43</v>
      </c>
      <c r="H682" s="110">
        <v>3493.0</v>
      </c>
      <c r="I682" s="132">
        <v>668.27</v>
      </c>
      <c r="J682" s="132">
        <v>502.54</v>
      </c>
      <c r="K682" s="39">
        <f t="shared" si="1"/>
        <v>2334267.11</v>
      </c>
      <c r="L682" s="39">
        <f t="shared" si="2"/>
        <v>1755372.22</v>
      </c>
      <c r="M682" s="39">
        <f t="shared" si="3"/>
        <v>578894.89</v>
      </c>
      <c r="N682" s="38" t="str">
        <f>VLOOKUP(F682,products!$A$2:$B$13,2,FALSE)</f>
        <v>Household</v>
      </c>
      <c r="O682" s="133">
        <f t="shared" si="4"/>
        <v>0.7520014365</v>
      </c>
      <c r="P682" s="38" t="str">
        <f>VLOOKUP(E682,countries!A$2:E$250,3,false)</f>
        <v>United Kingdom</v>
      </c>
      <c r="Q682" s="38" t="str">
        <f>VLOOKUP($E682,countries!$A$2:$E$250,4,false)</f>
        <v>Europe</v>
      </c>
      <c r="R682" s="38" t="str">
        <f>VLOOKUP($E682,countries!$A$2:$E$250,5,false)</f>
        <v>Northern Europe</v>
      </c>
      <c r="S682" s="38">
        <f t="shared" si="5"/>
        <v>12</v>
      </c>
      <c r="T682" s="38" t="s">
        <v>148</v>
      </c>
      <c r="U682" s="38">
        <v>2012.0</v>
      </c>
      <c r="V682" s="38">
        <v>3.0</v>
      </c>
      <c r="W682" s="38" t="s">
        <v>103</v>
      </c>
      <c r="X682" s="38" t="s">
        <v>169</v>
      </c>
      <c r="Y682" s="38" t="s">
        <v>146</v>
      </c>
      <c r="Z682" s="38" t="s">
        <v>170</v>
      </c>
      <c r="AA682" s="113" t="str">
        <f t="array" ref="AA682">PROPER(G682)</f>
        <v>Online</v>
      </c>
    </row>
    <row r="683">
      <c r="A683" s="110">
        <v>5.49048888E8</v>
      </c>
      <c r="B683" s="131">
        <v>41943.0</v>
      </c>
      <c r="C683" s="131">
        <v>41975.0</v>
      </c>
      <c r="D683" s="110" t="s">
        <v>95</v>
      </c>
      <c r="E683" s="110" t="s">
        <v>107</v>
      </c>
      <c r="F683" s="110">
        <v>8681.0</v>
      </c>
      <c r="G683" s="38" t="s">
        <v>43</v>
      </c>
      <c r="H683" s="110">
        <v>4622.0</v>
      </c>
      <c r="I683" s="132">
        <v>651.21</v>
      </c>
      <c r="J683" s="132">
        <v>524.96</v>
      </c>
      <c r="K683" s="39">
        <f t="shared" si="1"/>
        <v>3009892.62</v>
      </c>
      <c r="L683" s="39">
        <f t="shared" si="2"/>
        <v>2426365.12</v>
      </c>
      <c r="M683" s="39">
        <f t="shared" si="3"/>
        <v>583527.5</v>
      </c>
      <c r="N683" s="38" t="str">
        <f>VLOOKUP(F683,products!$A$2:$B$13,2,FALSE)</f>
        <v>Office Supplies</v>
      </c>
      <c r="O683" s="133">
        <f t="shared" si="4"/>
        <v>0.806130127</v>
      </c>
      <c r="P683" s="38" t="str">
        <f>VLOOKUP(E683,countries!A$2:E$250,3,false)</f>
        <v>Luxembourg</v>
      </c>
      <c r="Q683" s="38" t="str">
        <f>VLOOKUP($E683,countries!$A$2:$E$250,4,false)</f>
        <v>Europe</v>
      </c>
      <c r="R683" s="38" t="str">
        <f>VLOOKUP($E683,countries!$A$2:$E$250,5,false)</f>
        <v>Western Europe</v>
      </c>
      <c r="S683" s="38">
        <f t="shared" si="5"/>
        <v>32</v>
      </c>
      <c r="T683" s="38" t="s">
        <v>153</v>
      </c>
      <c r="U683" s="38">
        <v>2014.0</v>
      </c>
      <c r="V683" s="38">
        <v>10.0</v>
      </c>
      <c r="W683" s="38" t="s">
        <v>107</v>
      </c>
      <c r="X683" s="38" t="s">
        <v>174</v>
      </c>
      <c r="Y683" s="38" t="s">
        <v>146</v>
      </c>
      <c r="Z683" s="38" t="s">
        <v>158</v>
      </c>
      <c r="AA683" s="113" t="str">
        <f t="array" ref="AA683">PROPER(G683)</f>
        <v>Online</v>
      </c>
    </row>
    <row r="684">
      <c r="A684" s="110">
        <v>5.4905833E8</v>
      </c>
      <c r="B684" s="131">
        <v>42828.0</v>
      </c>
      <c r="C684" s="131">
        <v>42866.0</v>
      </c>
      <c r="D684" s="110" t="s">
        <v>95</v>
      </c>
      <c r="E684" s="110" t="s">
        <v>111</v>
      </c>
      <c r="F684" s="110">
        <v>7940.0</v>
      </c>
      <c r="G684" s="38" t="s">
        <v>43</v>
      </c>
      <c r="H684" s="110">
        <v>7416.0</v>
      </c>
      <c r="I684" s="132">
        <v>668.27</v>
      </c>
      <c r="J684" s="132">
        <v>502.54</v>
      </c>
      <c r="K684" s="39">
        <f t="shared" si="1"/>
        <v>4955890.32</v>
      </c>
      <c r="L684" s="39">
        <f t="shared" si="2"/>
        <v>3726836.64</v>
      </c>
      <c r="M684" s="39">
        <f t="shared" si="3"/>
        <v>1229053.68</v>
      </c>
      <c r="N684" s="38" t="str">
        <f>VLOOKUP(F684,products!$A$2:$B$13,2,FALSE)</f>
        <v>Household</v>
      </c>
      <c r="O684" s="133">
        <f t="shared" si="4"/>
        <v>0.7520014365</v>
      </c>
      <c r="P684" s="38" t="str">
        <f>VLOOKUP(E684,countries!A$2:E$250,3,false)</f>
        <v>Russia</v>
      </c>
      <c r="Q684" s="38" t="str">
        <f>VLOOKUP($E684,countries!$A$2:$E$250,4,false)</f>
        <v>Europe</v>
      </c>
      <c r="R684" s="38" t="str">
        <f>VLOOKUP($E684,countries!$A$2:$E$250,5,false)</f>
        <v>Eastern Europe</v>
      </c>
      <c r="S684" s="38">
        <f t="shared" si="5"/>
        <v>38</v>
      </c>
      <c r="T684" s="38" t="s">
        <v>148</v>
      </c>
      <c r="U684" s="38">
        <v>2017.0</v>
      </c>
      <c r="V684" s="38">
        <v>4.0</v>
      </c>
      <c r="W684" s="38" t="s">
        <v>111</v>
      </c>
      <c r="X684" s="38" t="s">
        <v>179</v>
      </c>
      <c r="Y684" s="38" t="s">
        <v>146</v>
      </c>
      <c r="Z684" s="38" t="s">
        <v>155</v>
      </c>
      <c r="AA684" s="113" t="str">
        <f t="array" ref="AA684">PROPER(G684)</f>
        <v>Online</v>
      </c>
    </row>
    <row r="685">
      <c r="A685" s="110">
        <v>5.49187934E8</v>
      </c>
      <c r="B685" s="131">
        <v>42154.0</v>
      </c>
      <c r="C685" s="131">
        <v>42202.0</v>
      </c>
      <c r="D685" s="110" t="s">
        <v>95</v>
      </c>
      <c r="E685" s="110" t="s">
        <v>96</v>
      </c>
      <c r="F685" s="110">
        <v>8293.0</v>
      </c>
      <c r="G685" s="38" t="s">
        <v>43</v>
      </c>
      <c r="H685" s="110">
        <v>5769.0</v>
      </c>
      <c r="I685" s="132">
        <v>437.2</v>
      </c>
      <c r="J685" s="132">
        <v>263.33</v>
      </c>
      <c r="K685" s="39">
        <f t="shared" si="1"/>
        <v>2522206.8</v>
      </c>
      <c r="L685" s="39">
        <f t="shared" si="2"/>
        <v>1519150.77</v>
      </c>
      <c r="M685" s="39">
        <f t="shared" si="3"/>
        <v>1003056.03</v>
      </c>
      <c r="N685" s="38" t="str">
        <f>VLOOKUP(F685,products!$A$2:$B$13,2,FALSE)</f>
        <v>Cosmetics</v>
      </c>
      <c r="O685" s="133">
        <f t="shared" si="4"/>
        <v>0.6023101555</v>
      </c>
      <c r="P685" s="38" t="str">
        <f>VLOOKUP(E685,countries!A$2:E$250,3,false)</f>
        <v>Slovakia</v>
      </c>
      <c r="Q685" s="38" t="str">
        <f>VLOOKUP($E685,countries!$A$2:$E$250,4,false)</f>
        <v>Europe</v>
      </c>
      <c r="R685" s="38" t="str">
        <f>VLOOKUP($E685,countries!$A$2:$E$250,5,false)</f>
        <v>Eastern Europe</v>
      </c>
      <c r="S685" s="38">
        <f t="shared" si="5"/>
        <v>48</v>
      </c>
      <c r="T685" s="38" t="s">
        <v>178</v>
      </c>
      <c r="U685" s="38">
        <v>2015.0</v>
      </c>
      <c r="V685" s="38">
        <v>5.0</v>
      </c>
      <c r="W685" s="38" t="s">
        <v>96</v>
      </c>
      <c r="X685" s="38" t="s">
        <v>154</v>
      </c>
      <c r="Y685" s="38" t="s">
        <v>146</v>
      </c>
      <c r="Z685" s="38" t="s">
        <v>155</v>
      </c>
      <c r="AA685" s="113" t="str">
        <f t="array" ref="AA685">PROPER(G685)</f>
        <v>Online</v>
      </c>
    </row>
    <row r="686">
      <c r="A686" s="110">
        <v>5.51118266E8</v>
      </c>
      <c r="B686" s="131">
        <v>42567.0</v>
      </c>
      <c r="C686" s="131">
        <v>42597.0</v>
      </c>
      <c r="D686" s="110" t="s">
        <v>93</v>
      </c>
      <c r="E686" s="110" t="s">
        <v>133</v>
      </c>
      <c r="F686" s="110">
        <v>7331.0</v>
      </c>
      <c r="G686" s="38" t="s">
        <v>43</v>
      </c>
      <c r="H686" s="110">
        <v>6997.0</v>
      </c>
      <c r="I686" s="132">
        <v>255.28</v>
      </c>
      <c r="J686" s="132">
        <v>159.42</v>
      </c>
      <c r="K686" s="39">
        <f t="shared" si="1"/>
        <v>1786194.16</v>
      </c>
      <c r="L686" s="39">
        <f t="shared" si="2"/>
        <v>1115461.74</v>
      </c>
      <c r="M686" s="39">
        <f t="shared" si="3"/>
        <v>670732.42</v>
      </c>
      <c r="N686" s="38" t="str">
        <f>VLOOKUP(F686,products!$A$2:$B$13,2,FALSE)</f>
        <v>Baby Food</v>
      </c>
      <c r="O686" s="133">
        <f t="shared" si="4"/>
        <v>0.6244907552</v>
      </c>
      <c r="P686" s="38" t="str">
        <f>VLOOKUP(E686,countries!A$2:E$250,3,false)</f>
        <v>Bosnia and Herzegovina</v>
      </c>
      <c r="Q686" s="38" t="str">
        <f>VLOOKUP($E686,countries!$A$2:$E$250,4,false)</f>
        <v>Europe</v>
      </c>
      <c r="R686" s="38" t="str">
        <f>VLOOKUP($E686,countries!$A$2:$E$250,5,false)</f>
        <v>Southern Europe</v>
      </c>
      <c r="S686" s="38">
        <f t="shared" si="5"/>
        <v>30</v>
      </c>
      <c r="T686" s="38" t="s">
        <v>161</v>
      </c>
      <c r="U686" s="38">
        <v>2016.0</v>
      </c>
      <c r="V686" s="38">
        <v>7.0</v>
      </c>
      <c r="W686" s="38" t="s">
        <v>133</v>
      </c>
      <c r="X686" s="38" t="s">
        <v>204</v>
      </c>
      <c r="Y686" s="38" t="s">
        <v>146</v>
      </c>
      <c r="Z686" s="38" t="s">
        <v>147</v>
      </c>
      <c r="AA686" s="113" t="str">
        <f t="array" ref="AA686">PROPER(G686)</f>
        <v>Online</v>
      </c>
    </row>
    <row r="687">
      <c r="A687" s="110">
        <v>5.52037513E8</v>
      </c>
      <c r="B687" s="131">
        <v>40732.0</v>
      </c>
      <c r="C687" s="131">
        <v>40760.0</v>
      </c>
      <c r="D687" s="110" t="s">
        <v>89</v>
      </c>
      <c r="E687" s="110" t="s">
        <v>114</v>
      </c>
      <c r="F687" s="110">
        <v>2103.0</v>
      </c>
      <c r="G687" s="38" t="s">
        <v>43</v>
      </c>
      <c r="H687" s="110">
        <v>9022.0</v>
      </c>
      <c r="I687" s="132">
        <v>205.7</v>
      </c>
      <c r="J687" s="132">
        <v>117.11</v>
      </c>
      <c r="K687" s="39">
        <f t="shared" si="1"/>
        <v>1855825.4</v>
      </c>
      <c r="L687" s="39">
        <f t="shared" si="2"/>
        <v>1056566.42</v>
      </c>
      <c r="M687" s="39">
        <f t="shared" si="3"/>
        <v>799258.98</v>
      </c>
      <c r="N687" s="38" t="str">
        <f>VLOOKUP(F687,products!$A$2:$B$13,2,FALSE)</f>
        <v>Cereal</v>
      </c>
      <c r="O687" s="133">
        <f t="shared" si="4"/>
        <v>0.5693242586</v>
      </c>
      <c r="P687" s="38" t="str">
        <f>VLOOKUP(E687,countries!A$2:E$250,3,false)</f>
        <v>Czech Republic</v>
      </c>
      <c r="Q687" s="38" t="str">
        <f>VLOOKUP($E687,countries!$A$2:$E$250,4,false)</f>
        <v>Europe</v>
      </c>
      <c r="R687" s="38" t="str">
        <f>VLOOKUP($E687,countries!$A$2:$E$250,5,false)</f>
        <v>Eastern Europe</v>
      </c>
      <c r="S687" s="38">
        <f t="shared" si="5"/>
        <v>28</v>
      </c>
      <c r="T687" s="38" t="s">
        <v>144</v>
      </c>
      <c r="U687" s="38">
        <v>2011.0</v>
      </c>
      <c r="V687" s="38">
        <v>7.0</v>
      </c>
      <c r="W687" s="38" t="s">
        <v>114</v>
      </c>
      <c r="X687" s="38" t="s">
        <v>184</v>
      </c>
      <c r="Y687" s="38" t="s">
        <v>146</v>
      </c>
      <c r="Z687" s="38" t="s">
        <v>155</v>
      </c>
      <c r="AA687" s="113" t="str">
        <f t="array" ref="AA687">PROPER(G687)</f>
        <v>Online</v>
      </c>
    </row>
    <row r="688">
      <c r="A688" s="110">
        <v>5.52276551E8</v>
      </c>
      <c r="B688" s="131">
        <v>40761.0</v>
      </c>
      <c r="C688" s="131">
        <v>40810.0</v>
      </c>
      <c r="D688" s="110" t="s">
        <v>93</v>
      </c>
      <c r="E688" s="110" t="s">
        <v>114</v>
      </c>
      <c r="F688" s="110">
        <v>8875.0</v>
      </c>
      <c r="G688" s="38" t="s">
        <v>42</v>
      </c>
      <c r="H688" s="110">
        <v>9759.0</v>
      </c>
      <c r="I688" s="132">
        <v>421.89</v>
      </c>
      <c r="J688" s="132">
        <v>364.69</v>
      </c>
      <c r="K688" s="39">
        <f t="shared" si="1"/>
        <v>4117224.51</v>
      </c>
      <c r="L688" s="39">
        <f t="shared" si="2"/>
        <v>3559009.71</v>
      </c>
      <c r="M688" s="39">
        <f t="shared" si="3"/>
        <v>558214.8</v>
      </c>
      <c r="N688" s="38" t="str">
        <f>VLOOKUP(F688,products!$A$2:$B$13,2,FALSE)</f>
        <v>Meat</v>
      </c>
      <c r="O688" s="133">
        <f t="shared" si="4"/>
        <v>0.8644196354</v>
      </c>
      <c r="P688" s="38" t="str">
        <f>VLOOKUP(E688,countries!A$2:E$250,3,false)</f>
        <v>Czech Republic</v>
      </c>
      <c r="Q688" s="38" t="str">
        <f>VLOOKUP($E688,countries!$A$2:$E$250,4,false)</f>
        <v>Europe</v>
      </c>
      <c r="R688" s="38" t="str">
        <f>VLOOKUP($E688,countries!$A$2:$E$250,5,false)</f>
        <v>Eastern Europe</v>
      </c>
      <c r="S688" s="38">
        <f t="shared" si="5"/>
        <v>49</v>
      </c>
      <c r="T688" s="38" t="s">
        <v>167</v>
      </c>
      <c r="U688" s="38">
        <v>2011.0</v>
      </c>
      <c r="V688" s="38">
        <v>8.0</v>
      </c>
      <c r="W688" s="38" t="s">
        <v>114</v>
      </c>
      <c r="X688" s="38" t="s">
        <v>184</v>
      </c>
      <c r="Y688" s="38" t="s">
        <v>146</v>
      </c>
      <c r="Z688" s="38" t="s">
        <v>155</v>
      </c>
      <c r="AA688" s="113" t="str">
        <f t="array" ref="AA688">PROPER(G688)</f>
        <v>Offline</v>
      </c>
    </row>
    <row r="689">
      <c r="A689" s="110">
        <v>5.52931869E8</v>
      </c>
      <c r="B689" s="131">
        <v>42598.0</v>
      </c>
      <c r="C689" s="131">
        <v>42622.0</v>
      </c>
      <c r="D689" s="110" t="s">
        <v>95</v>
      </c>
      <c r="E689" s="110" t="s">
        <v>128</v>
      </c>
      <c r="F689" s="110">
        <v>8875.0</v>
      </c>
      <c r="G689" s="38" t="s">
        <v>42</v>
      </c>
      <c r="H689" s="110">
        <v>3682.0</v>
      </c>
      <c r="I689" s="132">
        <v>421.89</v>
      </c>
      <c r="J689" s="132">
        <v>364.69</v>
      </c>
      <c r="K689" s="39">
        <f t="shared" si="1"/>
        <v>1553398.98</v>
      </c>
      <c r="L689" s="39">
        <f t="shared" si="2"/>
        <v>1342788.58</v>
      </c>
      <c r="M689" s="39">
        <f t="shared" si="3"/>
        <v>210610.4</v>
      </c>
      <c r="N689" s="38" t="str">
        <f>VLOOKUP(F689,products!$A$2:$B$13,2,FALSE)</f>
        <v>Meat</v>
      </c>
      <c r="O689" s="133">
        <f t="shared" si="4"/>
        <v>0.8644196354</v>
      </c>
      <c r="P689" s="38" t="str">
        <f>VLOOKUP(E689,countries!A$2:E$250,3,false)</f>
        <v>Andorra</v>
      </c>
      <c r="Q689" s="38" t="str">
        <f>VLOOKUP($E689,countries!$A$2:$E$250,4,false)</f>
        <v>Europe</v>
      </c>
      <c r="R689" s="38" t="str">
        <f>VLOOKUP($E689,countries!$A$2:$E$250,5,false)</f>
        <v>Southern Europe</v>
      </c>
      <c r="S689" s="38">
        <f t="shared" si="5"/>
        <v>24</v>
      </c>
      <c r="T689" s="38" t="s">
        <v>167</v>
      </c>
      <c r="U689" s="38">
        <v>2016.0</v>
      </c>
      <c r="V689" s="38">
        <v>8.0</v>
      </c>
      <c r="W689" s="38" t="s">
        <v>128</v>
      </c>
      <c r="X689" s="38" t="s">
        <v>199</v>
      </c>
      <c r="Y689" s="38" t="s">
        <v>146</v>
      </c>
      <c r="Z689" s="38" t="s">
        <v>147</v>
      </c>
      <c r="AA689" s="113" t="str">
        <f t="array" ref="AA689">PROPER(G689)</f>
        <v>Offline</v>
      </c>
    </row>
    <row r="690">
      <c r="A690" s="110">
        <v>5.53107821E8</v>
      </c>
      <c r="B690" s="131">
        <v>41994.0</v>
      </c>
      <c r="C690" s="131">
        <v>42017.0</v>
      </c>
      <c r="D690" s="110" t="s">
        <v>89</v>
      </c>
      <c r="E690" s="110" t="s">
        <v>108</v>
      </c>
      <c r="F690" s="110">
        <v>3127.0</v>
      </c>
      <c r="G690" s="38" t="s">
        <v>43</v>
      </c>
      <c r="H690" s="110">
        <v>5751.0</v>
      </c>
      <c r="I690" s="132">
        <v>81.73</v>
      </c>
      <c r="J690" s="132">
        <v>56.67</v>
      </c>
      <c r="K690" s="39">
        <f t="shared" si="1"/>
        <v>470029.23</v>
      </c>
      <c r="L690" s="39">
        <f t="shared" si="2"/>
        <v>325909.17</v>
      </c>
      <c r="M690" s="39">
        <f t="shared" si="3"/>
        <v>144120.06</v>
      </c>
      <c r="N690" s="38" t="str">
        <f>VLOOKUP(F690,products!$A$2:$B$13,2,FALSE)</f>
        <v>Personal Care</v>
      </c>
      <c r="O690" s="133">
        <f t="shared" si="4"/>
        <v>0.6933806436</v>
      </c>
      <c r="P690" s="38" t="str">
        <f>VLOOKUP(E690,countries!A$2:E$250,3,false)</f>
        <v>Cyprus</v>
      </c>
      <c r="Q690" s="38" t="str">
        <f>VLOOKUP($E690,countries!$A$2:$E$250,4,false)</f>
        <v>Asia</v>
      </c>
      <c r="R690" s="38" t="str">
        <f>VLOOKUP($E690,countries!$A$2:$E$250,5,false)</f>
        <v>Western Asia</v>
      </c>
      <c r="S690" s="38">
        <f t="shared" si="5"/>
        <v>23</v>
      </c>
      <c r="T690" s="38" t="s">
        <v>185</v>
      </c>
      <c r="U690" s="38">
        <v>2014.0</v>
      </c>
      <c r="V690" s="38">
        <v>12.0</v>
      </c>
      <c r="W690" s="38" t="s">
        <v>108</v>
      </c>
      <c r="X690" s="38" t="s">
        <v>175</v>
      </c>
      <c r="Y690" s="38" t="s">
        <v>165</v>
      </c>
      <c r="Z690" s="38" t="s">
        <v>166</v>
      </c>
      <c r="AA690" s="113" t="str">
        <f t="array" ref="AA690">PROPER(G690)</f>
        <v>Online</v>
      </c>
    </row>
    <row r="691">
      <c r="A691" s="110">
        <v>5.54554927E8</v>
      </c>
      <c r="B691" s="131">
        <v>41112.0</v>
      </c>
      <c r="C691" s="131">
        <v>41127.0</v>
      </c>
      <c r="D691" s="110" t="s">
        <v>10</v>
      </c>
      <c r="E691" s="110" t="s">
        <v>120</v>
      </c>
      <c r="F691" s="110">
        <v>2103.0</v>
      </c>
      <c r="G691" s="38" t="s">
        <v>42</v>
      </c>
      <c r="H691" s="110">
        <v>3981.0</v>
      </c>
      <c r="I691" s="132">
        <v>205.7</v>
      </c>
      <c r="J691" s="132">
        <v>117.11</v>
      </c>
      <c r="K691" s="39">
        <f t="shared" si="1"/>
        <v>818891.7</v>
      </c>
      <c r="L691" s="39">
        <f t="shared" si="2"/>
        <v>466214.91</v>
      </c>
      <c r="M691" s="39">
        <f t="shared" si="3"/>
        <v>352676.79</v>
      </c>
      <c r="N691" s="38" t="str">
        <f>VLOOKUP(F691,products!$A$2:$B$13,2,FALSE)</f>
        <v>Cereal</v>
      </c>
      <c r="O691" s="133">
        <f t="shared" si="4"/>
        <v>0.5693242586</v>
      </c>
      <c r="P691" s="38" t="str">
        <f>VLOOKUP(E691,countries!A$2:E$250,3,false)</f>
        <v>San Marino</v>
      </c>
      <c r="Q691" s="38" t="str">
        <f>VLOOKUP($E691,countries!$A$2:$E$250,4,false)</f>
        <v>Europe</v>
      </c>
      <c r="R691" s="38" t="str">
        <f>VLOOKUP($E691,countries!$A$2:$E$250,5,false)</f>
        <v>Southern Europe</v>
      </c>
      <c r="S691" s="38">
        <f t="shared" si="5"/>
        <v>15</v>
      </c>
      <c r="T691" s="38" t="s">
        <v>144</v>
      </c>
      <c r="U691" s="38">
        <v>2012.0</v>
      </c>
      <c r="V691" s="38">
        <v>7.0</v>
      </c>
      <c r="W691" s="38" t="s">
        <v>120</v>
      </c>
      <c r="X691" s="38" t="s">
        <v>191</v>
      </c>
      <c r="Y691" s="38" t="s">
        <v>146</v>
      </c>
      <c r="Z691" s="38" t="s">
        <v>147</v>
      </c>
      <c r="AA691" s="113" t="str">
        <f t="array" ref="AA691">PROPER(G691)</f>
        <v>Offline</v>
      </c>
    </row>
    <row r="692">
      <c r="A692" s="110">
        <v>5.54721438E8</v>
      </c>
      <c r="B692" s="131">
        <v>42389.0</v>
      </c>
      <c r="C692" s="131">
        <v>42397.0</v>
      </c>
      <c r="D692" s="110" t="s">
        <v>95</v>
      </c>
      <c r="E692" s="110" t="s">
        <v>115</v>
      </c>
      <c r="F692" s="110">
        <v>1270.0</v>
      </c>
      <c r="G692" s="38" t="s">
        <v>42</v>
      </c>
      <c r="H692" s="110">
        <v>3256.0</v>
      </c>
      <c r="I692" s="132">
        <v>47.45</v>
      </c>
      <c r="J692" s="132">
        <v>31.79</v>
      </c>
      <c r="K692" s="39">
        <f t="shared" si="1"/>
        <v>154497.2</v>
      </c>
      <c r="L692" s="39">
        <f t="shared" si="2"/>
        <v>103508.24</v>
      </c>
      <c r="M692" s="39">
        <f t="shared" si="3"/>
        <v>50988.96</v>
      </c>
      <c r="N692" s="38" t="str">
        <f>VLOOKUP(F692,products!$A$2:$B$13,2,FALSE)</f>
        <v>Beverages</v>
      </c>
      <c r="O692" s="133">
        <f t="shared" si="4"/>
        <v>0.6699683878</v>
      </c>
      <c r="P692" s="38" t="str">
        <f>VLOOKUP(E692,countries!A$2:E$250,3,false)</f>
        <v>Portugal</v>
      </c>
      <c r="Q692" s="38" t="str">
        <f>VLOOKUP($E692,countries!$A$2:$E$250,4,false)</f>
        <v>Europe</v>
      </c>
      <c r="R692" s="38" t="str">
        <f>VLOOKUP($E692,countries!$A$2:$E$250,5,false)</f>
        <v>Southern Europe</v>
      </c>
      <c r="S692" s="38">
        <f t="shared" si="5"/>
        <v>8</v>
      </c>
      <c r="T692" s="38" t="s">
        <v>152</v>
      </c>
      <c r="U692" s="38">
        <v>2016.0</v>
      </c>
      <c r="V692" s="38">
        <v>1.0</v>
      </c>
      <c r="W692" s="38" t="s">
        <v>115</v>
      </c>
      <c r="X692" s="38" t="s">
        <v>186</v>
      </c>
      <c r="Y692" s="38" t="s">
        <v>146</v>
      </c>
      <c r="Z692" s="38" t="s">
        <v>147</v>
      </c>
      <c r="AA692" s="113" t="str">
        <f t="array" ref="AA692">PROPER(G692)</f>
        <v>Offline</v>
      </c>
    </row>
    <row r="693">
      <c r="A693" s="110">
        <v>5.56263816E8</v>
      </c>
      <c r="B693" s="131">
        <v>40882.0</v>
      </c>
      <c r="C693" s="131">
        <v>40884.0</v>
      </c>
      <c r="D693" s="110" t="s">
        <v>89</v>
      </c>
      <c r="E693" s="110" t="s">
        <v>98</v>
      </c>
      <c r="F693" s="110">
        <v>1270.0</v>
      </c>
      <c r="G693" s="38" t="s">
        <v>43</v>
      </c>
      <c r="H693" s="110">
        <v>9679.0</v>
      </c>
      <c r="I693" s="132">
        <v>47.45</v>
      </c>
      <c r="J693" s="132">
        <v>31.79</v>
      </c>
      <c r="K693" s="39">
        <f t="shared" si="1"/>
        <v>459268.55</v>
      </c>
      <c r="L693" s="39">
        <f t="shared" si="2"/>
        <v>307695.41</v>
      </c>
      <c r="M693" s="39">
        <f t="shared" si="3"/>
        <v>151573.14</v>
      </c>
      <c r="N693" s="38" t="str">
        <f>VLOOKUP(F693,products!$A$2:$B$13,2,FALSE)</f>
        <v>Beverages</v>
      </c>
      <c r="O693" s="133">
        <f t="shared" si="4"/>
        <v>0.6699683878</v>
      </c>
      <c r="P693" s="38" t="str">
        <f>VLOOKUP(E693,countries!A$2:E$250,3,false)</f>
        <v>Spain</v>
      </c>
      <c r="Q693" s="38" t="str">
        <f>VLOOKUP($E693,countries!$A$2:$E$250,4,false)</f>
        <v>Europe</v>
      </c>
      <c r="R693" s="38" t="str">
        <f>VLOOKUP($E693,countries!$A$2:$E$250,5,false)</f>
        <v>Southern Europe</v>
      </c>
      <c r="S693" s="38">
        <f t="shared" si="5"/>
        <v>2</v>
      </c>
      <c r="T693" s="38" t="s">
        <v>152</v>
      </c>
      <c r="U693" s="38">
        <v>2011.0</v>
      </c>
      <c r="V693" s="38">
        <v>12.0</v>
      </c>
      <c r="W693" s="38" t="s">
        <v>98</v>
      </c>
      <c r="X693" s="38" t="s">
        <v>160</v>
      </c>
      <c r="Y693" s="38" t="s">
        <v>146</v>
      </c>
      <c r="Z693" s="38" t="s">
        <v>147</v>
      </c>
      <c r="AA693" s="113" t="str">
        <f t="array" ref="AA693">PROPER(G693)</f>
        <v>Online</v>
      </c>
    </row>
    <row r="694">
      <c r="A694" s="110">
        <v>5.56647908E8</v>
      </c>
      <c r="B694" s="131">
        <v>41182.0</v>
      </c>
      <c r="C694" s="131">
        <v>41211.0</v>
      </c>
      <c r="D694" s="110" t="s">
        <v>10</v>
      </c>
      <c r="E694" s="110" t="s">
        <v>103</v>
      </c>
      <c r="F694" s="110">
        <v>5988.0</v>
      </c>
      <c r="G694" s="38" t="s">
        <v>43</v>
      </c>
      <c r="H694" s="110">
        <v>3341.0</v>
      </c>
      <c r="I694" s="132">
        <v>154.06</v>
      </c>
      <c r="J694" s="132">
        <v>90.93</v>
      </c>
      <c r="K694" s="39">
        <f t="shared" si="1"/>
        <v>514714.46</v>
      </c>
      <c r="L694" s="39">
        <f t="shared" si="2"/>
        <v>303797.13</v>
      </c>
      <c r="M694" s="39">
        <f t="shared" si="3"/>
        <v>210917.33</v>
      </c>
      <c r="N694" s="38" t="str">
        <f>VLOOKUP(F694,products!$A$2:$B$13,2,FALSE)</f>
        <v>Vegetables</v>
      </c>
      <c r="O694" s="133">
        <f t="shared" si="4"/>
        <v>0.5902245878</v>
      </c>
      <c r="P694" s="38" t="str">
        <f>VLOOKUP(E694,countries!A$2:E$250,3,false)</f>
        <v>United Kingdom</v>
      </c>
      <c r="Q694" s="38" t="str">
        <f>VLOOKUP($E694,countries!$A$2:$E$250,4,false)</f>
        <v>Europe</v>
      </c>
      <c r="R694" s="38" t="str">
        <f>VLOOKUP($E694,countries!$A$2:$E$250,5,false)</f>
        <v>Northern Europe</v>
      </c>
      <c r="S694" s="38">
        <f t="shared" si="5"/>
        <v>29</v>
      </c>
      <c r="T694" s="38" t="s">
        <v>159</v>
      </c>
      <c r="U694" s="38">
        <v>2012.0</v>
      </c>
      <c r="V694" s="38">
        <v>9.0</v>
      </c>
      <c r="W694" s="38" t="s">
        <v>103</v>
      </c>
      <c r="X694" s="38" t="s">
        <v>169</v>
      </c>
      <c r="Y694" s="38" t="s">
        <v>146</v>
      </c>
      <c r="Z694" s="38" t="s">
        <v>170</v>
      </c>
      <c r="AA694" s="113" t="str">
        <f t="array" ref="AA694">PROPER(G694)</f>
        <v>Online</v>
      </c>
    </row>
    <row r="695">
      <c r="A695" s="110">
        <v>5.56947886E8</v>
      </c>
      <c r="B695" s="131">
        <v>40638.0</v>
      </c>
      <c r="C695" s="131">
        <v>40680.0</v>
      </c>
      <c r="D695" s="110" t="s">
        <v>93</v>
      </c>
      <c r="E695" s="110" t="s">
        <v>128</v>
      </c>
      <c r="F695" s="110">
        <v>2103.0</v>
      </c>
      <c r="G695" s="38" t="s">
        <v>43</v>
      </c>
      <c r="H695" s="110">
        <v>2111.0</v>
      </c>
      <c r="I695" s="132">
        <v>205.7</v>
      </c>
      <c r="J695" s="132">
        <v>117.11</v>
      </c>
      <c r="K695" s="39">
        <f t="shared" si="1"/>
        <v>434232.7</v>
      </c>
      <c r="L695" s="39">
        <f t="shared" si="2"/>
        <v>247219.21</v>
      </c>
      <c r="M695" s="39">
        <f t="shared" si="3"/>
        <v>187013.49</v>
      </c>
      <c r="N695" s="38" t="str">
        <f>VLOOKUP(F695,products!$A$2:$B$13,2,FALSE)</f>
        <v>Cereal</v>
      </c>
      <c r="O695" s="133">
        <f t="shared" si="4"/>
        <v>0.5693242586</v>
      </c>
      <c r="P695" s="38" t="str">
        <f>VLOOKUP(E695,countries!A$2:E$250,3,false)</f>
        <v>Andorra</v>
      </c>
      <c r="Q695" s="38" t="str">
        <f>VLOOKUP($E695,countries!$A$2:$E$250,4,false)</f>
        <v>Europe</v>
      </c>
      <c r="R695" s="38" t="str">
        <f>VLOOKUP($E695,countries!$A$2:$E$250,5,false)</f>
        <v>Southern Europe</v>
      </c>
      <c r="S695" s="38">
        <f t="shared" si="5"/>
        <v>42</v>
      </c>
      <c r="T695" s="38" t="s">
        <v>144</v>
      </c>
      <c r="U695" s="38">
        <v>2011.0</v>
      </c>
      <c r="V695" s="38">
        <v>4.0</v>
      </c>
      <c r="W695" s="38" t="s">
        <v>128</v>
      </c>
      <c r="X695" s="38" t="s">
        <v>199</v>
      </c>
      <c r="Y695" s="38" t="s">
        <v>146</v>
      </c>
      <c r="Z695" s="38" t="s">
        <v>147</v>
      </c>
      <c r="AA695" s="113" t="str">
        <f t="array" ref="AA695">PROPER(G695)</f>
        <v>Online</v>
      </c>
    </row>
    <row r="696">
      <c r="A696" s="110">
        <v>5.59183347E8</v>
      </c>
      <c r="B696" s="131">
        <v>41743.0</v>
      </c>
      <c r="C696" s="131">
        <v>41780.0</v>
      </c>
      <c r="D696" s="110" t="s">
        <v>93</v>
      </c>
      <c r="E696" s="110" t="s">
        <v>113</v>
      </c>
      <c r="F696" s="110">
        <v>2103.0</v>
      </c>
      <c r="G696" s="38" t="s">
        <v>42</v>
      </c>
      <c r="H696" s="110">
        <v>3633.0</v>
      </c>
      <c r="I696" s="132">
        <v>205.7</v>
      </c>
      <c r="J696" s="132">
        <v>117.11</v>
      </c>
      <c r="K696" s="39">
        <f t="shared" si="1"/>
        <v>747308.1</v>
      </c>
      <c r="L696" s="39">
        <f t="shared" si="2"/>
        <v>425460.63</v>
      </c>
      <c r="M696" s="39">
        <f t="shared" si="3"/>
        <v>321847.47</v>
      </c>
      <c r="N696" s="38" t="str">
        <f>VLOOKUP(F696,products!$A$2:$B$13,2,FALSE)</f>
        <v>Cereal</v>
      </c>
      <c r="O696" s="133">
        <f t="shared" si="4"/>
        <v>0.5693242586</v>
      </c>
      <c r="P696" s="38" t="str">
        <f>VLOOKUP(E696,countries!A$2:E$250,3,false)</f>
        <v>Ukraine</v>
      </c>
      <c r="Q696" s="38" t="str">
        <f>VLOOKUP($E696,countries!$A$2:$E$250,4,false)</f>
        <v>Europe</v>
      </c>
      <c r="R696" s="38" t="str">
        <f>VLOOKUP($E696,countries!$A$2:$E$250,5,false)</f>
        <v>Eastern Europe</v>
      </c>
      <c r="S696" s="38">
        <f t="shared" si="5"/>
        <v>37</v>
      </c>
      <c r="T696" s="38" t="s">
        <v>144</v>
      </c>
      <c r="U696" s="38">
        <v>2014.0</v>
      </c>
      <c r="V696" s="38">
        <v>4.0</v>
      </c>
      <c r="W696" s="38" t="s">
        <v>113</v>
      </c>
      <c r="X696" s="38" t="s">
        <v>181</v>
      </c>
      <c r="Y696" s="38" t="s">
        <v>146</v>
      </c>
      <c r="Z696" s="38" t="s">
        <v>155</v>
      </c>
      <c r="AA696" s="113" t="str">
        <f t="array" ref="AA696">PROPER(G696)</f>
        <v>Offline</v>
      </c>
    </row>
    <row r="697">
      <c r="A697" s="110">
        <v>5.59417665E8</v>
      </c>
      <c r="B697" s="131">
        <v>41330.0</v>
      </c>
      <c r="C697" s="131">
        <v>41333.0</v>
      </c>
      <c r="D697" s="110" t="s">
        <v>89</v>
      </c>
      <c r="E697" s="110" t="s">
        <v>91</v>
      </c>
      <c r="F697" s="110">
        <v>5988.0</v>
      </c>
      <c r="G697" s="38" t="s">
        <v>42</v>
      </c>
      <c r="H697" s="110">
        <v>2973.0</v>
      </c>
      <c r="I697" s="132">
        <v>154.06</v>
      </c>
      <c r="J697" s="132">
        <v>90.93</v>
      </c>
      <c r="K697" s="39">
        <f t="shared" si="1"/>
        <v>458020.38</v>
      </c>
      <c r="L697" s="39">
        <f t="shared" si="2"/>
        <v>270334.89</v>
      </c>
      <c r="M697" s="39">
        <f t="shared" si="3"/>
        <v>187685.49</v>
      </c>
      <c r="N697" s="38" t="str">
        <f>VLOOKUP(F697,products!$A$2:$B$13,2,FALSE)</f>
        <v>Vegetables</v>
      </c>
      <c r="O697" s="133">
        <f t="shared" si="4"/>
        <v>0.5902245878</v>
      </c>
      <c r="P697" s="38" t="str">
        <f>VLOOKUP(E697,countries!A$2:E$250,3,false)</f>
        <v>Serbia</v>
      </c>
      <c r="Q697" s="38" t="str">
        <f>VLOOKUP($E697,countries!$A$2:$E$250,4,false)</f>
        <v>Europe</v>
      </c>
      <c r="R697" s="38" t="str">
        <f>VLOOKUP($E697,countries!$A$2:$E$250,5,false)</f>
        <v>Southern Europe</v>
      </c>
      <c r="S697" s="38">
        <f t="shared" si="5"/>
        <v>3</v>
      </c>
      <c r="T697" s="38" t="s">
        <v>159</v>
      </c>
      <c r="U697" s="38">
        <v>2013.0</v>
      </c>
      <c r="V697" s="38">
        <v>2.0</v>
      </c>
      <c r="W697" s="38" t="s">
        <v>91</v>
      </c>
      <c r="X697" s="38" t="s">
        <v>145</v>
      </c>
      <c r="Y697" s="38" t="s">
        <v>146</v>
      </c>
      <c r="Z697" s="38" t="s">
        <v>147</v>
      </c>
      <c r="AA697" s="113" t="str">
        <f t="array" ref="AA697">PROPER(G697)</f>
        <v>Offline</v>
      </c>
    </row>
    <row r="698">
      <c r="A698" s="110">
        <v>5.60389268E8</v>
      </c>
      <c r="B698" s="131">
        <v>42391.0</v>
      </c>
      <c r="C698" s="131">
        <v>42422.0</v>
      </c>
      <c r="D698" s="110" t="s">
        <v>89</v>
      </c>
      <c r="E698" s="110" t="s">
        <v>120</v>
      </c>
      <c r="F698" s="110">
        <v>5988.0</v>
      </c>
      <c r="G698" s="38" t="s">
        <v>42</v>
      </c>
      <c r="H698" s="110">
        <v>492.0</v>
      </c>
      <c r="I698" s="132">
        <v>154.06</v>
      </c>
      <c r="J698" s="132">
        <v>90.93</v>
      </c>
      <c r="K698" s="39">
        <f t="shared" si="1"/>
        <v>75797.52</v>
      </c>
      <c r="L698" s="39">
        <f t="shared" si="2"/>
        <v>44737.56</v>
      </c>
      <c r="M698" s="39">
        <f t="shared" si="3"/>
        <v>31059.96</v>
      </c>
      <c r="N698" s="38" t="str">
        <f>VLOOKUP(F698,products!$A$2:$B$13,2,FALSE)</f>
        <v>Vegetables</v>
      </c>
      <c r="O698" s="133">
        <f t="shared" si="4"/>
        <v>0.5902245878</v>
      </c>
      <c r="P698" s="38" t="str">
        <f>VLOOKUP(E698,countries!A$2:E$250,3,false)</f>
        <v>San Marino</v>
      </c>
      <c r="Q698" s="38" t="str">
        <f>VLOOKUP($E698,countries!$A$2:$E$250,4,false)</f>
        <v>Europe</v>
      </c>
      <c r="R698" s="38" t="str">
        <f>VLOOKUP($E698,countries!$A$2:$E$250,5,false)</f>
        <v>Southern Europe</v>
      </c>
      <c r="S698" s="38">
        <f t="shared" si="5"/>
        <v>31</v>
      </c>
      <c r="T698" s="38" t="s">
        <v>159</v>
      </c>
      <c r="U698" s="38">
        <v>2016.0</v>
      </c>
      <c r="V698" s="38">
        <v>1.0</v>
      </c>
      <c r="W698" s="38" t="s">
        <v>120</v>
      </c>
      <c r="X698" s="38" t="s">
        <v>191</v>
      </c>
      <c r="Y698" s="38" t="s">
        <v>146</v>
      </c>
      <c r="Z698" s="38" t="s">
        <v>147</v>
      </c>
      <c r="AA698" s="113" t="str">
        <f t="array" ref="AA698">PROPER(G698)</f>
        <v>Offline</v>
      </c>
    </row>
    <row r="699">
      <c r="A699" s="110">
        <v>5.60762631E8</v>
      </c>
      <c r="B699" s="131">
        <v>42188.0</v>
      </c>
      <c r="C699" s="131">
        <v>42201.0</v>
      </c>
      <c r="D699" s="110" t="s">
        <v>95</v>
      </c>
      <c r="E699" s="110" t="s">
        <v>103</v>
      </c>
      <c r="F699" s="110">
        <v>8681.0</v>
      </c>
      <c r="G699" s="38" t="s">
        <v>43</v>
      </c>
      <c r="H699" s="110">
        <v>979.0</v>
      </c>
      <c r="I699" s="132">
        <v>651.21</v>
      </c>
      <c r="J699" s="132">
        <v>524.96</v>
      </c>
      <c r="K699" s="39">
        <f t="shared" si="1"/>
        <v>637534.59</v>
      </c>
      <c r="L699" s="39">
        <f t="shared" si="2"/>
        <v>513935.84</v>
      </c>
      <c r="M699" s="39">
        <f t="shared" si="3"/>
        <v>123598.75</v>
      </c>
      <c r="N699" s="38" t="str">
        <f>VLOOKUP(F699,products!$A$2:$B$13,2,FALSE)</f>
        <v>Office Supplies</v>
      </c>
      <c r="O699" s="133">
        <f t="shared" si="4"/>
        <v>0.806130127</v>
      </c>
      <c r="P699" s="38" t="str">
        <f>VLOOKUP(E699,countries!A$2:E$250,3,false)</f>
        <v>United Kingdom</v>
      </c>
      <c r="Q699" s="38" t="str">
        <f>VLOOKUP($E699,countries!$A$2:$E$250,4,false)</f>
        <v>Europe</v>
      </c>
      <c r="R699" s="38" t="str">
        <f>VLOOKUP($E699,countries!$A$2:$E$250,5,false)</f>
        <v>Northern Europe</v>
      </c>
      <c r="S699" s="38">
        <f t="shared" si="5"/>
        <v>13</v>
      </c>
      <c r="T699" s="38" t="s">
        <v>153</v>
      </c>
      <c r="U699" s="38">
        <v>2015.0</v>
      </c>
      <c r="V699" s="38">
        <v>7.0</v>
      </c>
      <c r="W699" s="38" t="s">
        <v>103</v>
      </c>
      <c r="X699" s="38" t="s">
        <v>169</v>
      </c>
      <c r="Y699" s="38" t="s">
        <v>146</v>
      </c>
      <c r="Z699" s="38" t="s">
        <v>170</v>
      </c>
      <c r="AA699" s="113" t="str">
        <f t="array" ref="AA699">PROPER(G699)</f>
        <v>Online</v>
      </c>
    </row>
    <row r="700">
      <c r="A700" s="110">
        <v>5.61534678E8</v>
      </c>
      <c r="B700" s="131">
        <v>41641.0</v>
      </c>
      <c r="C700" s="131">
        <v>41668.0</v>
      </c>
      <c r="D700" s="110" t="s">
        <v>93</v>
      </c>
      <c r="E700" s="110" t="s">
        <v>108</v>
      </c>
      <c r="F700" s="110">
        <v>3127.0</v>
      </c>
      <c r="G700" s="38" t="s">
        <v>43</v>
      </c>
      <c r="H700" s="110">
        <v>9445.0</v>
      </c>
      <c r="I700" s="132">
        <v>81.73</v>
      </c>
      <c r="J700" s="132">
        <v>56.67</v>
      </c>
      <c r="K700" s="39">
        <f t="shared" si="1"/>
        <v>771939.85</v>
      </c>
      <c r="L700" s="39">
        <f t="shared" si="2"/>
        <v>535248.15</v>
      </c>
      <c r="M700" s="39">
        <f t="shared" si="3"/>
        <v>236691.7</v>
      </c>
      <c r="N700" s="38" t="str">
        <f>VLOOKUP(F700,products!$A$2:$B$13,2,FALSE)</f>
        <v>Personal Care</v>
      </c>
      <c r="O700" s="133">
        <f t="shared" si="4"/>
        <v>0.6933806436</v>
      </c>
      <c r="P700" s="38" t="str">
        <f>VLOOKUP(E700,countries!A$2:E$250,3,false)</f>
        <v>Cyprus</v>
      </c>
      <c r="Q700" s="38" t="str">
        <f>VLOOKUP($E700,countries!$A$2:$E$250,4,false)</f>
        <v>Asia</v>
      </c>
      <c r="R700" s="38" t="str">
        <f>VLOOKUP($E700,countries!$A$2:$E$250,5,false)</f>
        <v>Western Asia</v>
      </c>
      <c r="S700" s="38">
        <f t="shared" si="5"/>
        <v>27</v>
      </c>
      <c r="T700" s="38" t="s">
        <v>185</v>
      </c>
      <c r="U700" s="38">
        <v>2014.0</v>
      </c>
      <c r="V700" s="38">
        <v>1.0</v>
      </c>
      <c r="W700" s="38" t="s">
        <v>108</v>
      </c>
      <c r="X700" s="38" t="s">
        <v>175</v>
      </c>
      <c r="Y700" s="38" t="s">
        <v>165</v>
      </c>
      <c r="Z700" s="38" t="s">
        <v>166</v>
      </c>
      <c r="AA700" s="113" t="str">
        <f t="array" ref="AA700">PROPER(G700)</f>
        <v>Online</v>
      </c>
    </row>
    <row r="701">
      <c r="A701" s="110">
        <v>5.63939225E8</v>
      </c>
      <c r="B701" s="131">
        <v>40493.0</v>
      </c>
      <c r="C701" s="131">
        <v>40531.0</v>
      </c>
      <c r="D701" s="110" t="s">
        <v>10</v>
      </c>
      <c r="E701" s="110" t="s">
        <v>137</v>
      </c>
      <c r="F701" s="110">
        <v>2455.0</v>
      </c>
      <c r="G701" s="38" t="s">
        <v>42</v>
      </c>
      <c r="H701" s="110">
        <v>1004.0</v>
      </c>
      <c r="I701" s="132">
        <v>109.28</v>
      </c>
      <c r="J701" s="132">
        <v>35.84</v>
      </c>
      <c r="K701" s="39">
        <f t="shared" si="1"/>
        <v>109717.12</v>
      </c>
      <c r="L701" s="39">
        <f t="shared" si="2"/>
        <v>35983.36</v>
      </c>
      <c r="M701" s="39">
        <f t="shared" si="3"/>
        <v>73733.76</v>
      </c>
      <c r="N701" s="38" t="str">
        <f>VLOOKUP(F701,products!$A$2:$B$13,2,FALSE)</f>
        <v>Clothes</v>
      </c>
      <c r="O701" s="133">
        <f t="shared" si="4"/>
        <v>0.3279648609</v>
      </c>
      <c r="P701" s="38" t="str">
        <f>VLOOKUP(E701,countries!A$2:E$250,3,false)</f>
        <v>Iceland</v>
      </c>
      <c r="Q701" s="38" t="str">
        <f>VLOOKUP($E701,countries!$A$2:$E$250,4,false)</f>
        <v>Europe</v>
      </c>
      <c r="R701" s="38" t="str">
        <f>VLOOKUP($E701,countries!$A$2:$E$250,5,false)</f>
        <v>Northern Europe</v>
      </c>
      <c r="S701" s="38">
        <f t="shared" si="5"/>
        <v>38</v>
      </c>
      <c r="T701" s="38" t="s">
        <v>150</v>
      </c>
      <c r="U701" s="38">
        <v>2010.0</v>
      </c>
      <c r="V701" s="38">
        <v>11.0</v>
      </c>
      <c r="W701" s="38" t="s">
        <v>137</v>
      </c>
      <c r="X701" s="38" t="s">
        <v>207</v>
      </c>
      <c r="Y701" s="38" t="s">
        <v>146</v>
      </c>
      <c r="Z701" s="38" t="s">
        <v>170</v>
      </c>
      <c r="AA701" s="113" t="str">
        <f t="array" ref="AA701">PROPER(G701)</f>
        <v>Offline</v>
      </c>
    </row>
    <row r="702">
      <c r="A702" s="110">
        <v>5.64173543E8</v>
      </c>
      <c r="B702" s="131">
        <v>42846.0</v>
      </c>
      <c r="C702" s="131">
        <v>42851.0</v>
      </c>
      <c r="D702" s="110" t="s">
        <v>93</v>
      </c>
      <c r="E702" s="110" t="s">
        <v>130</v>
      </c>
      <c r="F702" s="110">
        <v>7331.0</v>
      </c>
      <c r="G702" s="38" t="s">
        <v>42</v>
      </c>
      <c r="H702" s="110">
        <v>343.0</v>
      </c>
      <c r="I702" s="132">
        <v>255.28</v>
      </c>
      <c r="J702" s="132">
        <v>159.42</v>
      </c>
      <c r="K702" s="39">
        <f t="shared" si="1"/>
        <v>87561.04</v>
      </c>
      <c r="L702" s="39">
        <f t="shared" si="2"/>
        <v>54681.06</v>
      </c>
      <c r="M702" s="39">
        <f t="shared" si="3"/>
        <v>32879.98</v>
      </c>
      <c r="N702" s="38" t="str">
        <f>VLOOKUP(F702,products!$A$2:$B$13,2,FALSE)</f>
        <v>Baby Food</v>
      </c>
      <c r="O702" s="133">
        <f t="shared" si="4"/>
        <v>0.6244907552</v>
      </c>
      <c r="P702" s="38" t="str">
        <f>VLOOKUP(E702,countries!A$2:E$250,3,false)</f>
        <v>Finland</v>
      </c>
      <c r="Q702" s="38" t="str">
        <f>VLOOKUP($E702,countries!$A$2:$E$250,4,false)</f>
        <v>Europe</v>
      </c>
      <c r="R702" s="38" t="str">
        <f>VLOOKUP($E702,countries!$A$2:$E$250,5,false)</f>
        <v>Northern Europe</v>
      </c>
      <c r="S702" s="38">
        <f t="shared" si="5"/>
        <v>5</v>
      </c>
      <c r="T702" s="38" t="s">
        <v>161</v>
      </c>
      <c r="U702" s="38">
        <v>2017.0</v>
      </c>
      <c r="V702" s="38">
        <v>4.0</v>
      </c>
      <c r="W702" s="38" t="s">
        <v>130</v>
      </c>
      <c r="X702" s="38" t="s">
        <v>201</v>
      </c>
      <c r="Y702" s="38" t="s">
        <v>146</v>
      </c>
      <c r="Z702" s="38" t="s">
        <v>170</v>
      </c>
      <c r="AA702" s="113" t="str">
        <f t="array" ref="AA702">PROPER(G702)</f>
        <v>Offline</v>
      </c>
    </row>
    <row r="703">
      <c r="A703" s="110">
        <v>5.66428315E8</v>
      </c>
      <c r="B703" s="131">
        <v>40984.0</v>
      </c>
      <c r="C703" s="131">
        <v>40991.0</v>
      </c>
      <c r="D703" s="110" t="s">
        <v>95</v>
      </c>
      <c r="E703" s="110" t="s">
        <v>130</v>
      </c>
      <c r="F703" s="110">
        <v>1270.0</v>
      </c>
      <c r="G703" s="38" t="s">
        <v>43</v>
      </c>
      <c r="H703" s="110">
        <v>7581.0</v>
      </c>
      <c r="I703" s="132">
        <v>47.45</v>
      </c>
      <c r="J703" s="132">
        <v>31.79</v>
      </c>
      <c r="K703" s="39">
        <f t="shared" si="1"/>
        <v>359718.45</v>
      </c>
      <c r="L703" s="39">
        <f t="shared" si="2"/>
        <v>240999.99</v>
      </c>
      <c r="M703" s="39">
        <f t="shared" si="3"/>
        <v>118718.46</v>
      </c>
      <c r="N703" s="38" t="str">
        <f>VLOOKUP(F703,products!$A$2:$B$13,2,FALSE)</f>
        <v>Beverages</v>
      </c>
      <c r="O703" s="133">
        <f t="shared" si="4"/>
        <v>0.6699683878</v>
      </c>
      <c r="P703" s="38" t="str">
        <f>VLOOKUP(E703,countries!A$2:E$250,3,false)</f>
        <v>Finland</v>
      </c>
      <c r="Q703" s="38" t="str">
        <f>VLOOKUP($E703,countries!$A$2:$E$250,4,false)</f>
        <v>Europe</v>
      </c>
      <c r="R703" s="38" t="str">
        <f>VLOOKUP($E703,countries!$A$2:$E$250,5,false)</f>
        <v>Northern Europe</v>
      </c>
      <c r="S703" s="38">
        <f t="shared" si="5"/>
        <v>7</v>
      </c>
      <c r="T703" s="38" t="s">
        <v>152</v>
      </c>
      <c r="U703" s="38">
        <v>2012.0</v>
      </c>
      <c r="V703" s="38">
        <v>3.0</v>
      </c>
      <c r="W703" s="38" t="s">
        <v>130</v>
      </c>
      <c r="X703" s="38" t="s">
        <v>201</v>
      </c>
      <c r="Y703" s="38" t="s">
        <v>146</v>
      </c>
      <c r="Z703" s="38" t="s">
        <v>170</v>
      </c>
      <c r="AA703" s="113" t="str">
        <f t="array" ref="AA703">PROPER(G703)</f>
        <v>Online</v>
      </c>
    </row>
    <row r="704">
      <c r="A704" s="110">
        <v>5.67412793E8</v>
      </c>
      <c r="B704" s="131">
        <v>40989.0</v>
      </c>
      <c r="C704" s="131">
        <v>40995.0</v>
      </c>
      <c r="D704" s="110" t="s">
        <v>89</v>
      </c>
      <c r="E704" s="110" t="s">
        <v>122</v>
      </c>
      <c r="F704" s="110">
        <v>4594.0</v>
      </c>
      <c r="G704" s="38" t="s">
        <v>42</v>
      </c>
      <c r="H704" s="110">
        <v>8910.0</v>
      </c>
      <c r="I704" s="132">
        <v>9.33</v>
      </c>
      <c r="J704" s="132">
        <v>6.92</v>
      </c>
      <c r="K704" s="39">
        <f t="shared" si="1"/>
        <v>83130.3</v>
      </c>
      <c r="L704" s="39">
        <f t="shared" si="2"/>
        <v>61657.2</v>
      </c>
      <c r="M704" s="39">
        <f t="shared" si="3"/>
        <v>21473.1</v>
      </c>
      <c r="N704" s="38" t="str">
        <f>VLOOKUP(F704,products!$A$2:$B$13,2,FALSE)</f>
        <v>Fruits</v>
      </c>
      <c r="O704" s="133">
        <f t="shared" si="4"/>
        <v>0.741693462</v>
      </c>
      <c r="P704" s="38" t="str">
        <f>VLOOKUP(E704,countries!A$2:E$250,3,false)</f>
        <v>Switzerland</v>
      </c>
      <c r="Q704" s="38" t="str">
        <f>VLOOKUP($E704,countries!$A$2:$E$250,4,false)</f>
        <v>Europe</v>
      </c>
      <c r="R704" s="38" t="str">
        <f>VLOOKUP($E704,countries!$A$2:$E$250,5,false)</f>
        <v>Western Europe</v>
      </c>
      <c r="S704" s="38">
        <f t="shared" si="5"/>
        <v>6</v>
      </c>
      <c r="T704" s="38" t="s">
        <v>156</v>
      </c>
      <c r="U704" s="38">
        <v>2012.0</v>
      </c>
      <c r="V704" s="38">
        <v>3.0</v>
      </c>
      <c r="W704" s="38" t="s">
        <v>122</v>
      </c>
      <c r="X704" s="38" t="s">
        <v>193</v>
      </c>
      <c r="Y704" s="38" t="s">
        <v>146</v>
      </c>
      <c r="Z704" s="38" t="s">
        <v>158</v>
      </c>
      <c r="AA704" s="113" t="str">
        <f t="array" ref="AA704">PROPER(G704)</f>
        <v>Offline</v>
      </c>
    </row>
    <row r="705">
      <c r="A705" s="110">
        <v>5.67751824E8</v>
      </c>
      <c r="B705" s="131">
        <v>40837.0</v>
      </c>
      <c r="C705" s="131">
        <v>40868.0</v>
      </c>
      <c r="D705" s="110" t="s">
        <v>10</v>
      </c>
      <c r="E705" s="110" t="s">
        <v>112</v>
      </c>
      <c r="F705" s="110">
        <v>8293.0</v>
      </c>
      <c r="G705" s="38" t="s">
        <v>43</v>
      </c>
      <c r="H705" s="110">
        <v>9236.0</v>
      </c>
      <c r="I705" s="132">
        <v>437.2</v>
      </c>
      <c r="J705" s="132">
        <v>263.33</v>
      </c>
      <c r="K705" s="39">
        <f t="shared" si="1"/>
        <v>4037979.2</v>
      </c>
      <c r="L705" s="39">
        <f t="shared" si="2"/>
        <v>2432115.88</v>
      </c>
      <c r="M705" s="39">
        <f t="shared" si="3"/>
        <v>1605863.32</v>
      </c>
      <c r="N705" s="38" t="str">
        <f>VLOOKUP(F705,products!$A$2:$B$13,2,FALSE)</f>
        <v>Cosmetics</v>
      </c>
      <c r="O705" s="133">
        <f t="shared" si="4"/>
        <v>0.6023101555</v>
      </c>
      <c r="P705" s="38" t="str">
        <f>VLOOKUP(E705,countries!A$2:E$250,3,false)</f>
        <v>Malta</v>
      </c>
      <c r="Q705" s="38" t="str">
        <f>VLOOKUP($E705,countries!$A$2:$E$250,4,false)</f>
        <v>Europe</v>
      </c>
      <c r="R705" s="38" t="str">
        <f>VLOOKUP($E705,countries!$A$2:$E$250,5,false)</f>
        <v>Southern Europe</v>
      </c>
      <c r="S705" s="38">
        <f t="shared" si="5"/>
        <v>31</v>
      </c>
      <c r="T705" s="38" t="s">
        <v>178</v>
      </c>
      <c r="U705" s="38">
        <v>2011.0</v>
      </c>
      <c r="V705" s="38">
        <v>10.0</v>
      </c>
      <c r="W705" s="38" t="s">
        <v>112</v>
      </c>
      <c r="X705" s="38" t="s">
        <v>180</v>
      </c>
      <c r="Y705" s="38" t="s">
        <v>146</v>
      </c>
      <c r="Z705" s="38" t="s">
        <v>147</v>
      </c>
      <c r="AA705" s="113" t="str">
        <f t="array" ref="AA705">PROPER(G705)</f>
        <v>Online</v>
      </c>
    </row>
    <row r="706">
      <c r="A706" s="110">
        <v>5.69170606E8</v>
      </c>
      <c r="B706" s="131">
        <v>42832.0</v>
      </c>
      <c r="C706" s="131">
        <v>42838.0</v>
      </c>
      <c r="D706" s="110" t="s">
        <v>89</v>
      </c>
      <c r="E706" s="110" t="s">
        <v>124</v>
      </c>
      <c r="F706" s="110">
        <v>8969.0</v>
      </c>
      <c r="G706" s="38" t="s">
        <v>42</v>
      </c>
      <c r="H706" s="110">
        <v>9085.0</v>
      </c>
      <c r="I706" s="132">
        <v>152.58</v>
      </c>
      <c r="J706" s="132">
        <v>97.44</v>
      </c>
      <c r="K706" s="39">
        <f t="shared" si="1"/>
        <v>1386189.3</v>
      </c>
      <c r="L706" s="39">
        <f t="shared" si="2"/>
        <v>885242.4</v>
      </c>
      <c r="M706" s="39">
        <f t="shared" si="3"/>
        <v>500946.9</v>
      </c>
      <c r="N706" s="38" t="str">
        <f>VLOOKUP(F706,products!$A$2:$B$13,2,FALSE)</f>
        <v>Snacks</v>
      </c>
      <c r="O706" s="133">
        <f t="shared" si="4"/>
        <v>0.6386158081</v>
      </c>
      <c r="P706" s="38" t="str">
        <f>VLOOKUP(E706,countries!A$2:E$250,3,false)</f>
        <v>Latvia</v>
      </c>
      <c r="Q706" s="38" t="str">
        <f>VLOOKUP($E706,countries!$A$2:$E$250,4,false)</f>
        <v>Europe</v>
      </c>
      <c r="R706" s="38" t="str">
        <f>VLOOKUP($E706,countries!$A$2:$E$250,5,false)</f>
        <v>Northern Europe</v>
      </c>
      <c r="S706" s="38">
        <f t="shared" si="5"/>
        <v>6</v>
      </c>
      <c r="T706" s="38" t="s">
        <v>182</v>
      </c>
      <c r="U706" s="38">
        <v>2017.0</v>
      </c>
      <c r="V706" s="38">
        <v>4.0</v>
      </c>
      <c r="W706" s="38" t="s">
        <v>124</v>
      </c>
      <c r="X706" s="38" t="s">
        <v>195</v>
      </c>
      <c r="Y706" s="38" t="s">
        <v>146</v>
      </c>
      <c r="Z706" s="38" t="s">
        <v>170</v>
      </c>
      <c r="AA706" s="113" t="str">
        <f t="array" ref="AA706">PROPER(G706)</f>
        <v>Offline</v>
      </c>
    </row>
    <row r="707">
      <c r="A707" s="110">
        <v>5.69864976E8</v>
      </c>
      <c r="B707" s="131">
        <v>42295.0</v>
      </c>
      <c r="C707" s="131">
        <v>42338.0</v>
      </c>
      <c r="D707" s="110" t="s">
        <v>89</v>
      </c>
      <c r="E707" s="110" t="s">
        <v>122</v>
      </c>
      <c r="F707" s="110">
        <v>2103.0</v>
      </c>
      <c r="G707" s="38" t="s">
        <v>42</v>
      </c>
      <c r="H707" s="110">
        <v>4565.0</v>
      </c>
      <c r="I707" s="132">
        <v>205.7</v>
      </c>
      <c r="J707" s="132">
        <v>117.11</v>
      </c>
      <c r="K707" s="39">
        <f t="shared" si="1"/>
        <v>939020.5</v>
      </c>
      <c r="L707" s="39">
        <f t="shared" si="2"/>
        <v>534607.15</v>
      </c>
      <c r="M707" s="39">
        <f t="shared" si="3"/>
        <v>404413.35</v>
      </c>
      <c r="N707" s="38" t="str">
        <f>VLOOKUP(F707,products!$A$2:$B$13,2,FALSE)</f>
        <v>Cereal</v>
      </c>
      <c r="O707" s="133">
        <f t="shared" si="4"/>
        <v>0.5693242586</v>
      </c>
      <c r="P707" s="38" t="str">
        <f>VLOOKUP(E707,countries!A$2:E$250,3,false)</f>
        <v>Switzerland</v>
      </c>
      <c r="Q707" s="38" t="str">
        <f>VLOOKUP($E707,countries!$A$2:$E$250,4,false)</f>
        <v>Europe</v>
      </c>
      <c r="R707" s="38" t="str">
        <f>VLOOKUP($E707,countries!$A$2:$E$250,5,false)</f>
        <v>Western Europe</v>
      </c>
      <c r="S707" s="38">
        <f t="shared" si="5"/>
        <v>43</v>
      </c>
      <c r="T707" s="38" t="s">
        <v>144</v>
      </c>
      <c r="U707" s="38">
        <v>2015.0</v>
      </c>
      <c r="V707" s="38">
        <v>10.0</v>
      </c>
      <c r="W707" s="38" t="s">
        <v>122</v>
      </c>
      <c r="X707" s="38" t="s">
        <v>193</v>
      </c>
      <c r="Y707" s="38" t="s">
        <v>146</v>
      </c>
      <c r="Z707" s="38" t="s">
        <v>158</v>
      </c>
      <c r="AA707" s="113" t="str">
        <f t="array" ref="AA707">PROPER(G707)</f>
        <v>Offline</v>
      </c>
    </row>
    <row r="708">
      <c r="A708" s="110">
        <v>5.69941365E8</v>
      </c>
      <c r="B708" s="131">
        <v>42667.0</v>
      </c>
      <c r="C708" s="131">
        <v>42700.0</v>
      </c>
      <c r="D708" s="110" t="s">
        <v>89</v>
      </c>
      <c r="E708" s="110" t="s">
        <v>128</v>
      </c>
      <c r="F708" s="110">
        <v>7331.0</v>
      </c>
      <c r="G708" s="38" t="s">
        <v>43</v>
      </c>
      <c r="H708" s="110">
        <v>7170.0</v>
      </c>
      <c r="I708" s="132">
        <v>255.28</v>
      </c>
      <c r="J708" s="132">
        <v>159.42</v>
      </c>
      <c r="K708" s="39">
        <f t="shared" si="1"/>
        <v>1830357.6</v>
      </c>
      <c r="L708" s="39">
        <f t="shared" si="2"/>
        <v>1143041.4</v>
      </c>
      <c r="M708" s="39">
        <f t="shared" si="3"/>
        <v>687316.2</v>
      </c>
      <c r="N708" s="38" t="str">
        <f>VLOOKUP(F708,products!$A$2:$B$13,2,FALSE)</f>
        <v>Baby Food</v>
      </c>
      <c r="O708" s="133">
        <f t="shared" si="4"/>
        <v>0.6244907552</v>
      </c>
      <c r="P708" s="38" t="str">
        <f>VLOOKUP(E708,countries!A$2:E$250,3,false)</f>
        <v>Andorra</v>
      </c>
      <c r="Q708" s="38" t="str">
        <f>VLOOKUP($E708,countries!$A$2:$E$250,4,false)</f>
        <v>Europe</v>
      </c>
      <c r="R708" s="38" t="str">
        <f>VLOOKUP($E708,countries!$A$2:$E$250,5,false)</f>
        <v>Southern Europe</v>
      </c>
      <c r="S708" s="38">
        <f t="shared" si="5"/>
        <v>33</v>
      </c>
      <c r="T708" s="38" t="s">
        <v>161</v>
      </c>
      <c r="U708" s="38">
        <v>2016.0</v>
      </c>
      <c r="V708" s="38">
        <v>10.0</v>
      </c>
      <c r="W708" s="38" t="s">
        <v>128</v>
      </c>
      <c r="X708" s="38" t="s">
        <v>199</v>
      </c>
      <c r="Y708" s="38" t="s">
        <v>146</v>
      </c>
      <c r="Z708" s="38" t="s">
        <v>147</v>
      </c>
      <c r="AA708" s="113" t="str">
        <f t="array" ref="AA708">PROPER(G708)</f>
        <v>Online</v>
      </c>
    </row>
    <row r="709">
      <c r="A709" s="110">
        <v>5.7047652E8</v>
      </c>
      <c r="B709" s="131">
        <v>40532.0</v>
      </c>
      <c r="C709" s="131">
        <v>40536.0</v>
      </c>
      <c r="D709" s="110" t="s">
        <v>93</v>
      </c>
      <c r="E709" s="110" t="s">
        <v>131</v>
      </c>
      <c r="F709" s="110">
        <v>7940.0</v>
      </c>
      <c r="G709" s="38" t="s">
        <v>43</v>
      </c>
      <c r="H709" s="110">
        <v>5534.0</v>
      </c>
      <c r="I709" s="132">
        <v>668.27</v>
      </c>
      <c r="J709" s="132">
        <v>502.54</v>
      </c>
      <c r="K709" s="39">
        <f t="shared" si="1"/>
        <v>3698206.18</v>
      </c>
      <c r="L709" s="39">
        <f t="shared" si="2"/>
        <v>2781056.36</v>
      </c>
      <c r="M709" s="39">
        <f t="shared" si="3"/>
        <v>917149.82</v>
      </c>
      <c r="N709" s="38" t="str">
        <f>VLOOKUP(F709,products!$A$2:$B$13,2,FALSE)</f>
        <v>Household</v>
      </c>
      <c r="O709" s="133">
        <f t="shared" si="4"/>
        <v>0.7520014365</v>
      </c>
      <c r="P709" s="38" t="str">
        <f>VLOOKUP(E709,countries!A$2:E$250,3,false)</f>
        <v>Albania</v>
      </c>
      <c r="Q709" s="38" t="str">
        <f>VLOOKUP($E709,countries!$A$2:$E$250,4,false)</f>
        <v>Europe</v>
      </c>
      <c r="R709" s="38" t="str">
        <f>VLOOKUP($E709,countries!$A$2:$E$250,5,false)</f>
        <v>Southern Europe</v>
      </c>
      <c r="S709" s="38">
        <f t="shared" si="5"/>
        <v>4</v>
      </c>
      <c r="T709" s="38" t="s">
        <v>148</v>
      </c>
      <c r="U709" s="38">
        <v>2010.0</v>
      </c>
      <c r="V709" s="38">
        <v>12.0</v>
      </c>
      <c r="W709" s="38" t="s">
        <v>131</v>
      </c>
      <c r="X709" s="38" t="s">
        <v>202</v>
      </c>
      <c r="Y709" s="38" t="s">
        <v>146</v>
      </c>
      <c r="Z709" s="38" t="s">
        <v>147</v>
      </c>
      <c r="AA709" s="113" t="str">
        <f t="array" ref="AA709">PROPER(G709)</f>
        <v>Online</v>
      </c>
    </row>
    <row r="710">
      <c r="A710" s="110">
        <v>5.70703542E8</v>
      </c>
      <c r="B710" s="131">
        <v>40440.0</v>
      </c>
      <c r="C710" s="131">
        <v>40485.0</v>
      </c>
      <c r="D710" s="110" t="s">
        <v>10</v>
      </c>
      <c r="E710" s="110" t="s">
        <v>137</v>
      </c>
      <c r="F710" s="110">
        <v>3127.0</v>
      </c>
      <c r="G710" s="38" t="s">
        <v>42</v>
      </c>
      <c r="H710" s="110">
        <v>2715.0</v>
      </c>
      <c r="I710" s="132">
        <v>81.73</v>
      </c>
      <c r="J710" s="132">
        <v>56.67</v>
      </c>
      <c r="K710" s="39">
        <f t="shared" si="1"/>
        <v>221896.95</v>
      </c>
      <c r="L710" s="39">
        <f t="shared" si="2"/>
        <v>153859.05</v>
      </c>
      <c r="M710" s="39">
        <f t="shared" si="3"/>
        <v>68037.9</v>
      </c>
      <c r="N710" s="38" t="str">
        <f>VLOOKUP(F710,products!$A$2:$B$13,2,FALSE)</f>
        <v>Personal Care</v>
      </c>
      <c r="O710" s="133">
        <f t="shared" si="4"/>
        <v>0.6933806436</v>
      </c>
      <c r="P710" s="38" t="str">
        <f>VLOOKUP(E710,countries!A$2:E$250,3,false)</f>
        <v>Iceland</v>
      </c>
      <c r="Q710" s="38" t="str">
        <f>VLOOKUP($E710,countries!$A$2:$E$250,4,false)</f>
        <v>Europe</v>
      </c>
      <c r="R710" s="38" t="str">
        <f>VLOOKUP($E710,countries!$A$2:$E$250,5,false)</f>
        <v>Northern Europe</v>
      </c>
      <c r="S710" s="38">
        <f t="shared" si="5"/>
        <v>45</v>
      </c>
      <c r="T710" s="38" t="s">
        <v>185</v>
      </c>
      <c r="U710" s="38">
        <v>2010.0</v>
      </c>
      <c r="V710" s="38">
        <v>9.0</v>
      </c>
      <c r="W710" s="38" t="s">
        <v>137</v>
      </c>
      <c r="X710" s="38" t="s">
        <v>207</v>
      </c>
      <c r="Y710" s="38" t="s">
        <v>146</v>
      </c>
      <c r="Z710" s="38" t="s">
        <v>170</v>
      </c>
      <c r="AA710" s="113" t="str">
        <f t="array" ref="AA710">PROPER(G710)</f>
        <v>Offline</v>
      </c>
    </row>
    <row r="711">
      <c r="A711" s="110">
        <v>5.71161448E8</v>
      </c>
      <c r="B711" s="131">
        <v>41876.0</v>
      </c>
      <c r="C711" s="131">
        <v>41912.0</v>
      </c>
      <c r="D711" s="110" t="s">
        <v>93</v>
      </c>
      <c r="E711" s="110" t="s">
        <v>114</v>
      </c>
      <c r="F711" s="110">
        <v>7940.0</v>
      </c>
      <c r="G711" s="38" t="s">
        <v>43</v>
      </c>
      <c r="H711" s="110">
        <v>8220.0</v>
      </c>
      <c r="I711" s="132">
        <v>668.27</v>
      </c>
      <c r="J711" s="132">
        <v>502.54</v>
      </c>
      <c r="K711" s="39">
        <f t="shared" si="1"/>
        <v>5493179.4</v>
      </c>
      <c r="L711" s="39">
        <f t="shared" si="2"/>
        <v>4130878.8</v>
      </c>
      <c r="M711" s="39">
        <f t="shared" si="3"/>
        <v>1362300.6</v>
      </c>
      <c r="N711" s="38" t="str">
        <f>VLOOKUP(F711,products!$A$2:$B$13,2,FALSE)</f>
        <v>Household</v>
      </c>
      <c r="O711" s="133">
        <f t="shared" si="4"/>
        <v>0.7520014365</v>
      </c>
      <c r="P711" s="38" t="str">
        <f>VLOOKUP(E711,countries!A$2:E$250,3,false)</f>
        <v>Czech Republic</v>
      </c>
      <c r="Q711" s="38" t="str">
        <f>VLOOKUP($E711,countries!$A$2:$E$250,4,false)</f>
        <v>Europe</v>
      </c>
      <c r="R711" s="38" t="str">
        <f>VLOOKUP($E711,countries!$A$2:$E$250,5,false)</f>
        <v>Eastern Europe</v>
      </c>
      <c r="S711" s="38">
        <f t="shared" si="5"/>
        <v>36</v>
      </c>
      <c r="T711" s="38" t="s">
        <v>148</v>
      </c>
      <c r="U711" s="38">
        <v>2014.0</v>
      </c>
      <c r="V711" s="38">
        <v>8.0</v>
      </c>
      <c r="W711" s="38" t="s">
        <v>114</v>
      </c>
      <c r="X711" s="38" t="s">
        <v>184</v>
      </c>
      <c r="Y711" s="38" t="s">
        <v>146</v>
      </c>
      <c r="Z711" s="38" t="s">
        <v>155</v>
      </c>
      <c r="AA711" s="113" t="str">
        <f t="array" ref="AA711">PROPER(G711)</f>
        <v>Online</v>
      </c>
    </row>
    <row r="712">
      <c r="A712" s="110">
        <v>5.71323239E8</v>
      </c>
      <c r="B712" s="131">
        <v>42711.0</v>
      </c>
      <c r="C712" s="131">
        <v>42736.0</v>
      </c>
      <c r="D712" s="110" t="s">
        <v>89</v>
      </c>
      <c r="E712" s="110" t="s">
        <v>101</v>
      </c>
      <c r="F712" s="110">
        <v>5988.0</v>
      </c>
      <c r="G712" s="38" t="s">
        <v>43</v>
      </c>
      <c r="H712" s="110">
        <v>6097.0</v>
      </c>
      <c r="I712" s="132">
        <v>154.06</v>
      </c>
      <c r="J712" s="132">
        <v>90.93</v>
      </c>
      <c r="K712" s="39">
        <f t="shared" si="1"/>
        <v>939303.82</v>
      </c>
      <c r="L712" s="39">
        <f t="shared" si="2"/>
        <v>554400.21</v>
      </c>
      <c r="M712" s="39">
        <f t="shared" si="3"/>
        <v>384903.61</v>
      </c>
      <c r="N712" s="38" t="str">
        <f>VLOOKUP(F712,products!$A$2:$B$13,2,FALSE)</f>
        <v>Vegetables</v>
      </c>
      <c r="O712" s="133">
        <f t="shared" si="4"/>
        <v>0.5902245878</v>
      </c>
      <c r="P712" s="38" t="str">
        <f>VLOOKUP(E712,countries!A$2:E$250,3,false)</f>
        <v>Armenia</v>
      </c>
      <c r="Q712" s="38" t="str">
        <f>VLOOKUP($E712,countries!$A$2:$E$250,4,false)</f>
        <v>Asia</v>
      </c>
      <c r="R712" s="38" t="str">
        <f>VLOOKUP($E712,countries!$A$2:$E$250,5,false)</f>
        <v>Western Asia</v>
      </c>
      <c r="S712" s="38">
        <f t="shared" si="5"/>
        <v>25</v>
      </c>
      <c r="T712" s="38" t="s">
        <v>159</v>
      </c>
      <c r="U712" s="38">
        <v>2016.0</v>
      </c>
      <c r="V712" s="38">
        <v>12.0</v>
      </c>
      <c r="W712" s="38" t="s">
        <v>101</v>
      </c>
      <c r="X712" s="38" t="s">
        <v>164</v>
      </c>
      <c r="Y712" s="38" t="s">
        <v>165</v>
      </c>
      <c r="Z712" s="38" t="s">
        <v>166</v>
      </c>
      <c r="AA712" s="113" t="str">
        <f t="array" ref="AA712">PROPER(G712)</f>
        <v>Online</v>
      </c>
    </row>
    <row r="713">
      <c r="A713" s="110">
        <v>5.72634732E8</v>
      </c>
      <c r="B713" s="131">
        <v>42443.0</v>
      </c>
      <c r="C713" s="131">
        <v>42461.0</v>
      </c>
      <c r="D713" s="110" t="s">
        <v>95</v>
      </c>
      <c r="E713" s="110" t="s">
        <v>105</v>
      </c>
      <c r="F713" s="110">
        <v>2103.0</v>
      </c>
      <c r="G713" s="38" t="s">
        <v>43</v>
      </c>
      <c r="H713" s="110">
        <v>4197.0</v>
      </c>
      <c r="I713" s="132">
        <v>205.7</v>
      </c>
      <c r="J713" s="132">
        <v>117.11</v>
      </c>
      <c r="K713" s="39">
        <f t="shared" si="1"/>
        <v>863322.9</v>
      </c>
      <c r="L713" s="39">
        <f t="shared" si="2"/>
        <v>491510.67</v>
      </c>
      <c r="M713" s="39">
        <f t="shared" si="3"/>
        <v>371812.23</v>
      </c>
      <c r="N713" s="38" t="str">
        <f>VLOOKUP(F713,products!$A$2:$B$13,2,FALSE)</f>
        <v>Cereal</v>
      </c>
      <c r="O713" s="133">
        <f t="shared" si="4"/>
        <v>0.5693242586</v>
      </c>
      <c r="P713" s="38" t="str">
        <f>VLOOKUP(E713,countries!A$2:E$250,3,false)</f>
        <v>Romania</v>
      </c>
      <c r="Q713" s="38" t="str">
        <f>VLOOKUP($E713,countries!$A$2:$E$250,4,false)</f>
        <v>Europe</v>
      </c>
      <c r="R713" s="38" t="str">
        <f>VLOOKUP($E713,countries!$A$2:$E$250,5,false)</f>
        <v>Eastern Europe</v>
      </c>
      <c r="S713" s="38">
        <f t="shared" si="5"/>
        <v>18</v>
      </c>
      <c r="T713" s="38" t="s">
        <v>144</v>
      </c>
      <c r="U713" s="38">
        <v>2016.0</v>
      </c>
      <c r="V713" s="38">
        <v>3.0</v>
      </c>
      <c r="W713" s="38" t="s">
        <v>105</v>
      </c>
      <c r="X713" s="38" t="s">
        <v>172</v>
      </c>
      <c r="Y713" s="38" t="s">
        <v>146</v>
      </c>
      <c r="Z713" s="38" t="s">
        <v>155</v>
      </c>
      <c r="AA713" s="113" t="str">
        <f t="array" ref="AA713">PROPER(G713)</f>
        <v>Online</v>
      </c>
    </row>
    <row r="714">
      <c r="A714" s="110">
        <v>5.74247491E8</v>
      </c>
      <c r="B714" s="131">
        <v>41248.0</v>
      </c>
      <c r="C714" s="131">
        <v>41260.0</v>
      </c>
      <c r="D714" s="110" t="s">
        <v>95</v>
      </c>
      <c r="E714" s="110" t="s">
        <v>114</v>
      </c>
      <c r="F714" s="110">
        <v>7940.0</v>
      </c>
      <c r="G714" s="38" t="s">
        <v>42</v>
      </c>
      <c r="H714" s="110">
        <v>1448.0</v>
      </c>
      <c r="I714" s="132">
        <v>668.27</v>
      </c>
      <c r="J714" s="132">
        <v>502.54</v>
      </c>
      <c r="K714" s="39">
        <f t="shared" si="1"/>
        <v>967654.96</v>
      </c>
      <c r="L714" s="39">
        <f t="shared" si="2"/>
        <v>727677.92</v>
      </c>
      <c r="M714" s="39">
        <f t="shared" si="3"/>
        <v>239977.04</v>
      </c>
      <c r="N714" s="38" t="str">
        <f>VLOOKUP(F714,products!$A$2:$B$13,2,FALSE)</f>
        <v>Household</v>
      </c>
      <c r="O714" s="133">
        <f t="shared" si="4"/>
        <v>0.7520014365</v>
      </c>
      <c r="P714" s="38" t="str">
        <f>VLOOKUP(E714,countries!A$2:E$250,3,false)</f>
        <v>Czech Republic</v>
      </c>
      <c r="Q714" s="38" t="str">
        <f>VLOOKUP($E714,countries!$A$2:$E$250,4,false)</f>
        <v>Europe</v>
      </c>
      <c r="R714" s="38" t="str">
        <f>VLOOKUP($E714,countries!$A$2:$E$250,5,false)</f>
        <v>Eastern Europe</v>
      </c>
      <c r="S714" s="38">
        <f t="shared" si="5"/>
        <v>12</v>
      </c>
      <c r="T714" s="38" t="s">
        <v>148</v>
      </c>
      <c r="U714" s="38">
        <v>2012.0</v>
      </c>
      <c r="V714" s="38">
        <v>12.0</v>
      </c>
      <c r="W714" s="38" t="s">
        <v>114</v>
      </c>
      <c r="X714" s="38" t="s">
        <v>184</v>
      </c>
      <c r="Y714" s="38" t="s">
        <v>146</v>
      </c>
      <c r="Z714" s="38" t="s">
        <v>155</v>
      </c>
      <c r="AA714" s="113" t="str">
        <f t="array" ref="AA714">PROPER(G714)</f>
        <v>Offline</v>
      </c>
    </row>
    <row r="715">
      <c r="A715" s="110">
        <v>5.74925124E8</v>
      </c>
      <c r="B715" s="131">
        <v>42914.0</v>
      </c>
      <c r="C715" s="131">
        <v>42929.0</v>
      </c>
      <c r="D715" s="110" t="s">
        <v>89</v>
      </c>
      <c r="E715" s="110" t="s">
        <v>113</v>
      </c>
      <c r="F715" s="110">
        <v>8293.0</v>
      </c>
      <c r="G715" s="38" t="s">
        <v>42</v>
      </c>
      <c r="H715" s="110">
        <v>1975.0</v>
      </c>
      <c r="I715" s="132">
        <v>437.2</v>
      </c>
      <c r="J715" s="132">
        <v>263.33</v>
      </c>
      <c r="K715" s="39">
        <f t="shared" si="1"/>
        <v>863470</v>
      </c>
      <c r="L715" s="39">
        <f t="shared" si="2"/>
        <v>520076.75</v>
      </c>
      <c r="M715" s="39">
        <f t="shared" si="3"/>
        <v>343393.25</v>
      </c>
      <c r="N715" s="38" t="str">
        <f>VLOOKUP(F715,products!$A$2:$B$13,2,FALSE)</f>
        <v>Cosmetics</v>
      </c>
      <c r="O715" s="133">
        <f t="shared" si="4"/>
        <v>0.6023101555</v>
      </c>
      <c r="P715" s="38" t="str">
        <f>VLOOKUP(E715,countries!A$2:E$250,3,false)</f>
        <v>Ukraine</v>
      </c>
      <c r="Q715" s="38" t="str">
        <f>VLOOKUP($E715,countries!$A$2:$E$250,4,false)</f>
        <v>Europe</v>
      </c>
      <c r="R715" s="38" t="str">
        <f>VLOOKUP($E715,countries!$A$2:$E$250,5,false)</f>
        <v>Eastern Europe</v>
      </c>
      <c r="S715" s="38">
        <f t="shared" si="5"/>
        <v>15</v>
      </c>
      <c r="T715" s="38" t="s">
        <v>178</v>
      </c>
      <c r="U715" s="38">
        <v>2017.0</v>
      </c>
      <c r="V715" s="38">
        <v>6.0</v>
      </c>
      <c r="W715" s="38" t="s">
        <v>113</v>
      </c>
      <c r="X715" s="38" t="s">
        <v>181</v>
      </c>
      <c r="Y715" s="38" t="s">
        <v>146</v>
      </c>
      <c r="Z715" s="38" t="s">
        <v>155</v>
      </c>
      <c r="AA715" s="113" t="str">
        <f t="array" ref="AA715">PROPER(G715)</f>
        <v>Offline</v>
      </c>
    </row>
    <row r="716">
      <c r="A716" s="110">
        <v>5.7547959E8</v>
      </c>
      <c r="B716" s="131">
        <v>40578.0</v>
      </c>
      <c r="C716" s="131">
        <v>40624.0</v>
      </c>
      <c r="D716" s="110" t="s">
        <v>93</v>
      </c>
      <c r="E716" s="110" t="s">
        <v>128</v>
      </c>
      <c r="F716" s="110">
        <v>8969.0</v>
      </c>
      <c r="G716" s="38" t="s">
        <v>43</v>
      </c>
      <c r="H716" s="110">
        <v>6054.0</v>
      </c>
      <c r="I716" s="132">
        <v>152.58</v>
      </c>
      <c r="J716" s="132">
        <v>97.44</v>
      </c>
      <c r="K716" s="39">
        <f t="shared" si="1"/>
        <v>923719.32</v>
      </c>
      <c r="L716" s="39">
        <f t="shared" si="2"/>
        <v>589901.76</v>
      </c>
      <c r="M716" s="39">
        <f t="shared" si="3"/>
        <v>333817.56</v>
      </c>
      <c r="N716" s="38" t="str">
        <f>VLOOKUP(F716,products!$A$2:$B$13,2,FALSE)</f>
        <v>Snacks</v>
      </c>
      <c r="O716" s="133">
        <f t="shared" si="4"/>
        <v>0.6386158081</v>
      </c>
      <c r="P716" s="38" t="str">
        <f>VLOOKUP(E716,countries!A$2:E$250,3,false)</f>
        <v>Andorra</v>
      </c>
      <c r="Q716" s="38" t="str">
        <f>VLOOKUP($E716,countries!$A$2:$E$250,4,false)</f>
        <v>Europe</v>
      </c>
      <c r="R716" s="38" t="str">
        <f>VLOOKUP($E716,countries!$A$2:$E$250,5,false)</f>
        <v>Southern Europe</v>
      </c>
      <c r="S716" s="38">
        <f t="shared" si="5"/>
        <v>46</v>
      </c>
      <c r="T716" s="38" t="s">
        <v>182</v>
      </c>
      <c r="U716" s="38">
        <v>2011.0</v>
      </c>
      <c r="V716" s="38">
        <v>2.0</v>
      </c>
      <c r="W716" s="38" t="s">
        <v>128</v>
      </c>
      <c r="X716" s="38" t="s">
        <v>199</v>
      </c>
      <c r="Y716" s="38" t="s">
        <v>146</v>
      </c>
      <c r="Z716" s="38" t="s">
        <v>147</v>
      </c>
      <c r="AA716" s="113" t="str">
        <f t="array" ref="AA716">PROPER(G716)</f>
        <v>Online</v>
      </c>
    </row>
    <row r="717">
      <c r="A717" s="110">
        <v>5.75552117E8</v>
      </c>
      <c r="B717" s="131">
        <v>42097.0</v>
      </c>
      <c r="C717" s="131">
        <v>42120.0</v>
      </c>
      <c r="D717" s="110" t="s">
        <v>10</v>
      </c>
      <c r="E717" s="110" t="s">
        <v>118</v>
      </c>
      <c r="F717" s="110">
        <v>8681.0</v>
      </c>
      <c r="G717" s="38" t="s">
        <v>42</v>
      </c>
      <c r="H717" s="110">
        <v>7516.0</v>
      </c>
      <c r="I717" s="132">
        <v>651.21</v>
      </c>
      <c r="J717" s="132">
        <v>524.96</v>
      </c>
      <c r="K717" s="39">
        <f t="shared" si="1"/>
        <v>4894494.36</v>
      </c>
      <c r="L717" s="39">
        <f t="shared" si="2"/>
        <v>3945599.36</v>
      </c>
      <c r="M717" s="39">
        <f t="shared" si="3"/>
        <v>948895</v>
      </c>
      <c r="N717" s="38" t="str">
        <f>VLOOKUP(F717,products!$A$2:$B$13,2,FALSE)</f>
        <v>Office Supplies</v>
      </c>
      <c r="O717" s="133">
        <f t="shared" si="4"/>
        <v>0.806130127</v>
      </c>
      <c r="P717" s="38" t="str">
        <f>VLOOKUP(E717,countries!A$2:E$250,3,false)</f>
        <v>Austria</v>
      </c>
      <c r="Q717" s="38" t="str">
        <f>VLOOKUP($E717,countries!$A$2:$E$250,4,false)</f>
        <v>Europe</v>
      </c>
      <c r="R717" s="38" t="str">
        <f>VLOOKUP($E717,countries!$A$2:$E$250,5,false)</f>
        <v>Western Europe</v>
      </c>
      <c r="S717" s="38">
        <f t="shared" si="5"/>
        <v>23</v>
      </c>
      <c r="T717" s="38" t="s">
        <v>153</v>
      </c>
      <c r="U717" s="38">
        <v>2015.0</v>
      </c>
      <c r="V717" s="38">
        <v>4.0</v>
      </c>
      <c r="W717" s="38" t="s">
        <v>118</v>
      </c>
      <c r="X717" s="38" t="s">
        <v>189</v>
      </c>
      <c r="Y717" s="38" t="s">
        <v>146</v>
      </c>
      <c r="Z717" s="38" t="s">
        <v>158</v>
      </c>
      <c r="AA717" s="113" t="str">
        <f t="array" ref="AA717">PROPER(G717)</f>
        <v>Offline</v>
      </c>
    </row>
    <row r="718">
      <c r="A718" s="110">
        <v>5.75583016E8</v>
      </c>
      <c r="B718" s="131">
        <v>41221.0</v>
      </c>
      <c r="C718" s="131">
        <v>41237.0</v>
      </c>
      <c r="D718" s="110" t="s">
        <v>10</v>
      </c>
      <c r="E718" s="110" t="s">
        <v>133</v>
      </c>
      <c r="F718" s="110">
        <v>8681.0</v>
      </c>
      <c r="G718" s="38" t="s">
        <v>42</v>
      </c>
      <c r="H718" s="110">
        <v>6660.0</v>
      </c>
      <c r="I718" s="132">
        <v>651.21</v>
      </c>
      <c r="J718" s="132">
        <v>524.96</v>
      </c>
      <c r="K718" s="39">
        <f t="shared" si="1"/>
        <v>4337058.6</v>
      </c>
      <c r="L718" s="39">
        <f t="shared" si="2"/>
        <v>3496233.6</v>
      </c>
      <c r="M718" s="39">
        <f t="shared" si="3"/>
        <v>840825</v>
      </c>
      <c r="N718" s="38" t="str">
        <f>VLOOKUP(F718,products!$A$2:$B$13,2,FALSE)</f>
        <v>Office Supplies</v>
      </c>
      <c r="O718" s="133">
        <f t="shared" si="4"/>
        <v>0.806130127</v>
      </c>
      <c r="P718" s="38" t="str">
        <f>VLOOKUP(E718,countries!A$2:E$250,3,false)</f>
        <v>Bosnia and Herzegovina</v>
      </c>
      <c r="Q718" s="38" t="str">
        <f>VLOOKUP($E718,countries!$A$2:$E$250,4,false)</f>
        <v>Europe</v>
      </c>
      <c r="R718" s="38" t="str">
        <f>VLOOKUP($E718,countries!$A$2:$E$250,5,false)</f>
        <v>Southern Europe</v>
      </c>
      <c r="S718" s="38">
        <f t="shared" si="5"/>
        <v>16</v>
      </c>
      <c r="T718" s="38" t="s">
        <v>153</v>
      </c>
      <c r="U718" s="38">
        <v>2012.0</v>
      </c>
      <c r="V718" s="38">
        <v>11.0</v>
      </c>
      <c r="W718" s="38" t="s">
        <v>133</v>
      </c>
      <c r="X718" s="38" t="s">
        <v>204</v>
      </c>
      <c r="Y718" s="38" t="s">
        <v>146</v>
      </c>
      <c r="Z718" s="38" t="s">
        <v>147</v>
      </c>
      <c r="AA718" s="113" t="str">
        <f t="array" ref="AA718">PROPER(G718)</f>
        <v>Offline</v>
      </c>
    </row>
    <row r="719">
      <c r="A719" s="110">
        <v>5.75758969E8</v>
      </c>
      <c r="B719" s="131">
        <v>40617.0</v>
      </c>
      <c r="C719" s="131">
        <v>40631.0</v>
      </c>
      <c r="D719" s="110" t="s">
        <v>95</v>
      </c>
      <c r="E719" s="110" t="s">
        <v>97</v>
      </c>
      <c r="F719" s="110">
        <v>3127.0</v>
      </c>
      <c r="G719" s="38" t="s">
        <v>43</v>
      </c>
      <c r="H719" s="110">
        <v>8729.0</v>
      </c>
      <c r="I719" s="132">
        <v>81.73</v>
      </c>
      <c r="J719" s="132">
        <v>56.67</v>
      </c>
      <c r="K719" s="39">
        <f t="shared" si="1"/>
        <v>713421.17</v>
      </c>
      <c r="L719" s="39">
        <f t="shared" si="2"/>
        <v>494672.43</v>
      </c>
      <c r="M719" s="39">
        <f t="shared" si="3"/>
        <v>218748.74</v>
      </c>
      <c r="N719" s="38" t="str">
        <f>VLOOKUP(F719,products!$A$2:$B$13,2,FALSE)</f>
        <v>Personal Care</v>
      </c>
      <c r="O719" s="133">
        <f t="shared" si="4"/>
        <v>0.6933806436</v>
      </c>
      <c r="P719" s="38" t="str">
        <f>VLOOKUP(E719,countries!A$2:E$250,3,false)</f>
        <v>France</v>
      </c>
      <c r="Q719" s="38" t="str">
        <f>VLOOKUP($E719,countries!$A$2:$E$250,4,false)</f>
        <v>Europe</v>
      </c>
      <c r="R719" s="38" t="str">
        <f>VLOOKUP($E719,countries!$A$2:$E$250,5,false)</f>
        <v>Western Europe</v>
      </c>
      <c r="S719" s="38">
        <f t="shared" si="5"/>
        <v>14</v>
      </c>
      <c r="T719" s="38" t="s">
        <v>185</v>
      </c>
      <c r="U719" s="38">
        <v>2011.0</v>
      </c>
      <c r="V719" s="38">
        <v>3.0</v>
      </c>
      <c r="W719" s="38" t="s">
        <v>97</v>
      </c>
      <c r="X719" s="38" t="s">
        <v>157</v>
      </c>
      <c r="Y719" s="38" t="s">
        <v>146</v>
      </c>
      <c r="Z719" s="38" t="s">
        <v>158</v>
      </c>
      <c r="AA719" s="113" t="str">
        <f t="array" ref="AA719">PROPER(G719)</f>
        <v>Online</v>
      </c>
    </row>
    <row r="720">
      <c r="A720" s="110">
        <v>5.7694472E8</v>
      </c>
      <c r="B720" s="131">
        <v>42643.0</v>
      </c>
      <c r="C720" s="131">
        <v>42652.0</v>
      </c>
      <c r="D720" s="110" t="s">
        <v>93</v>
      </c>
      <c r="E720" s="110" t="s">
        <v>131</v>
      </c>
      <c r="F720" s="110">
        <v>8293.0</v>
      </c>
      <c r="G720" s="38" t="s">
        <v>42</v>
      </c>
      <c r="H720" s="110">
        <v>9619.0</v>
      </c>
      <c r="I720" s="132">
        <v>437.2</v>
      </c>
      <c r="J720" s="132">
        <v>263.33</v>
      </c>
      <c r="K720" s="39">
        <f t="shared" si="1"/>
        <v>4205426.8</v>
      </c>
      <c r="L720" s="39">
        <f t="shared" si="2"/>
        <v>2532971.27</v>
      </c>
      <c r="M720" s="39">
        <f t="shared" si="3"/>
        <v>1672455.53</v>
      </c>
      <c r="N720" s="38" t="str">
        <f>VLOOKUP(F720,products!$A$2:$B$13,2,FALSE)</f>
        <v>Cosmetics</v>
      </c>
      <c r="O720" s="133">
        <f t="shared" si="4"/>
        <v>0.6023101555</v>
      </c>
      <c r="P720" s="38" t="str">
        <f>VLOOKUP(E720,countries!A$2:E$250,3,false)</f>
        <v>Albania</v>
      </c>
      <c r="Q720" s="38" t="str">
        <f>VLOOKUP($E720,countries!$A$2:$E$250,4,false)</f>
        <v>Europe</v>
      </c>
      <c r="R720" s="38" t="str">
        <f>VLOOKUP($E720,countries!$A$2:$E$250,5,false)</f>
        <v>Southern Europe</v>
      </c>
      <c r="S720" s="38">
        <f t="shared" si="5"/>
        <v>9</v>
      </c>
      <c r="T720" s="38" t="s">
        <v>178</v>
      </c>
      <c r="U720" s="38">
        <v>2016.0</v>
      </c>
      <c r="V720" s="38">
        <v>9.0</v>
      </c>
      <c r="W720" s="38" t="s">
        <v>131</v>
      </c>
      <c r="X720" s="38" t="s">
        <v>202</v>
      </c>
      <c r="Y720" s="38" t="s">
        <v>146</v>
      </c>
      <c r="Z720" s="38" t="s">
        <v>147</v>
      </c>
      <c r="AA720" s="113" t="str">
        <f t="array" ref="AA720">PROPER(G720)</f>
        <v>Offline</v>
      </c>
    </row>
    <row r="721">
      <c r="A721" s="110">
        <v>5.77530944E8</v>
      </c>
      <c r="B721" s="131">
        <v>41021.0</v>
      </c>
      <c r="C721" s="131">
        <v>41044.0</v>
      </c>
      <c r="D721" s="110" t="s">
        <v>10</v>
      </c>
      <c r="E721" s="110" t="s">
        <v>114</v>
      </c>
      <c r="F721" s="110">
        <v>3127.0</v>
      </c>
      <c r="G721" s="38" t="s">
        <v>43</v>
      </c>
      <c r="H721" s="110">
        <v>3095.0</v>
      </c>
      <c r="I721" s="132">
        <v>81.73</v>
      </c>
      <c r="J721" s="132">
        <v>56.67</v>
      </c>
      <c r="K721" s="39">
        <f t="shared" si="1"/>
        <v>252954.35</v>
      </c>
      <c r="L721" s="39">
        <f t="shared" si="2"/>
        <v>175393.65</v>
      </c>
      <c r="M721" s="39">
        <f t="shared" si="3"/>
        <v>77560.7</v>
      </c>
      <c r="N721" s="38" t="str">
        <f>VLOOKUP(F721,products!$A$2:$B$13,2,FALSE)</f>
        <v>Personal Care</v>
      </c>
      <c r="O721" s="133">
        <f t="shared" si="4"/>
        <v>0.6933806436</v>
      </c>
      <c r="P721" s="38" t="str">
        <f>VLOOKUP(E721,countries!A$2:E$250,3,false)</f>
        <v>Czech Republic</v>
      </c>
      <c r="Q721" s="38" t="str">
        <f>VLOOKUP($E721,countries!$A$2:$E$250,4,false)</f>
        <v>Europe</v>
      </c>
      <c r="R721" s="38" t="str">
        <f>VLOOKUP($E721,countries!$A$2:$E$250,5,false)</f>
        <v>Eastern Europe</v>
      </c>
      <c r="S721" s="38">
        <f t="shared" si="5"/>
        <v>23</v>
      </c>
      <c r="T721" s="38" t="s">
        <v>185</v>
      </c>
      <c r="U721" s="38">
        <v>2012.0</v>
      </c>
      <c r="V721" s="38">
        <v>4.0</v>
      </c>
      <c r="W721" s="38" t="s">
        <v>114</v>
      </c>
      <c r="X721" s="38" t="s">
        <v>184</v>
      </c>
      <c r="Y721" s="38" t="s">
        <v>146</v>
      </c>
      <c r="Z721" s="38" t="s">
        <v>155</v>
      </c>
      <c r="AA721" s="113" t="str">
        <f t="array" ref="AA721">PROPER(G721)</f>
        <v>Online</v>
      </c>
    </row>
    <row r="722">
      <c r="A722" s="110">
        <v>5.78356206E8</v>
      </c>
      <c r="B722" s="131">
        <v>42194.0</v>
      </c>
      <c r="C722" s="131">
        <v>42200.0</v>
      </c>
      <c r="D722" s="110" t="s">
        <v>89</v>
      </c>
      <c r="E722" s="110" t="s">
        <v>137</v>
      </c>
      <c r="F722" s="110">
        <v>8875.0</v>
      </c>
      <c r="G722" s="38" t="s">
        <v>43</v>
      </c>
      <c r="H722" s="110">
        <v>7309.0</v>
      </c>
      <c r="I722" s="132">
        <v>421.89</v>
      </c>
      <c r="J722" s="132">
        <v>364.69</v>
      </c>
      <c r="K722" s="39">
        <f t="shared" si="1"/>
        <v>3083594.01</v>
      </c>
      <c r="L722" s="39">
        <f t="shared" si="2"/>
        <v>2665519.21</v>
      </c>
      <c r="M722" s="39">
        <f t="shared" si="3"/>
        <v>418074.8</v>
      </c>
      <c r="N722" s="38" t="str">
        <f>VLOOKUP(F722,products!$A$2:$B$13,2,FALSE)</f>
        <v>Meat</v>
      </c>
      <c r="O722" s="133">
        <f t="shared" si="4"/>
        <v>0.8644196354</v>
      </c>
      <c r="P722" s="38" t="str">
        <f>VLOOKUP(E722,countries!A$2:E$250,3,false)</f>
        <v>Iceland</v>
      </c>
      <c r="Q722" s="38" t="str">
        <f>VLOOKUP($E722,countries!$A$2:$E$250,4,false)</f>
        <v>Europe</v>
      </c>
      <c r="R722" s="38" t="str">
        <f>VLOOKUP($E722,countries!$A$2:$E$250,5,false)</f>
        <v>Northern Europe</v>
      </c>
      <c r="S722" s="38">
        <f t="shared" si="5"/>
        <v>6</v>
      </c>
      <c r="T722" s="38" t="s">
        <v>167</v>
      </c>
      <c r="U722" s="38">
        <v>2015.0</v>
      </c>
      <c r="V722" s="38">
        <v>7.0</v>
      </c>
      <c r="W722" s="38" t="s">
        <v>137</v>
      </c>
      <c r="X722" s="38" t="s">
        <v>207</v>
      </c>
      <c r="Y722" s="38" t="s">
        <v>146</v>
      </c>
      <c r="Z722" s="38" t="s">
        <v>170</v>
      </c>
      <c r="AA722" s="113" t="str">
        <f t="array" ref="AA722">PROPER(G722)</f>
        <v>Online</v>
      </c>
    </row>
    <row r="723">
      <c r="A723" s="110">
        <v>5.78666484E8</v>
      </c>
      <c r="B723" s="131">
        <v>41357.0</v>
      </c>
      <c r="C723" s="131">
        <v>41375.0</v>
      </c>
      <c r="D723" s="110" t="s">
        <v>95</v>
      </c>
      <c r="E723" s="110" t="s">
        <v>111</v>
      </c>
      <c r="F723" s="110">
        <v>4594.0</v>
      </c>
      <c r="G723" s="38" t="s">
        <v>42</v>
      </c>
      <c r="H723" s="110">
        <v>9127.0</v>
      </c>
      <c r="I723" s="132">
        <v>9.33</v>
      </c>
      <c r="J723" s="132">
        <v>6.92</v>
      </c>
      <c r="K723" s="39">
        <f t="shared" si="1"/>
        <v>85154.91</v>
      </c>
      <c r="L723" s="39">
        <f t="shared" si="2"/>
        <v>63158.84</v>
      </c>
      <c r="M723" s="39">
        <f t="shared" si="3"/>
        <v>21996.07</v>
      </c>
      <c r="N723" s="38" t="str">
        <f>VLOOKUP(F723,products!$A$2:$B$13,2,FALSE)</f>
        <v>Fruits</v>
      </c>
      <c r="O723" s="133">
        <f t="shared" si="4"/>
        <v>0.741693462</v>
      </c>
      <c r="P723" s="38" t="str">
        <f>VLOOKUP(E723,countries!A$2:E$250,3,false)</f>
        <v>Russia</v>
      </c>
      <c r="Q723" s="38" t="str">
        <f>VLOOKUP($E723,countries!$A$2:$E$250,4,false)</f>
        <v>Europe</v>
      </c>
      <c r="R723" s="38" t="str">
        <f>VLOOKUP($E723,countries!$A$2:$E$250,5,false)</f>
        <v>Eastern Europe</v>
      </c>
      <c r="S723" s="38">
        <f t="shared" si="5"/>
        <v>18</v>
      </c>
      <c r="T723" s="38" t="s">
        <v>156</v>
      </c>
      <c r="U723" s="38">
        <v>2013.0</v>
      </c>
      <c r="V723" s="38">
        <v>3.0</v>
      </c>
      <c r="W723" s="38" t="s">
        <v>111</v>
      </c>
      <c r="X723" s="38" t="s">
        <v>179</v>
      </c>
      <c r="Y723" s="38" t="s">
        <v>146</v>
      </c>
      <c r="Z723" s="38" t="s">
        <v>155</v>
      </c>
      <c r="AA723" s="113" t="str">
        <f t="array" ref="AA723">PROPER(G723)</f>
        <v>Offline</v>
      </c>
    </row>
    <row r="724">
      <c r="A724" s="110">
        <v>5.79094779E8</v>
      </c>
      <c r="B724" s="131">
        <v>40520.0</v>
      </c>
      <c r="C724" s="131">
        <v>40523.0</v>
      </c>
      <c r="D724" s="110" t="s">
        <v>89</v>
      </c>
      <c r="E724" s="110" t="s">
        <v>108</v>
      </c>
      <c r="F724" s="110">
        <v>5988.0</v>
      </c>
      <c r="G724" s="38" t="s">
        <v>42</v>
      </c>
      <c r="H724" s="110">
        <v>5869.0</v>
      </c>
      <c r="I724" s="132">
        <v>154.06</v>
      </c>
      <c r="J724" s="132">
        <v>90.93</v>
      </c>
      <c r="K724" s="39">
        <f t="shared" si="1"/>
        <v>904178.14</v>
      </c>
      <c r="L724" s="39">
        <f t="shared" si="2"/>
        <v>533668.17</v>
      </c>
      <c r="M724" s="39">
        <f t="shared" si="3"/>
        <v>370509.97</v>
      </c>
      <c r="N724" s="38" t="str">
        <f>VLOOKUP(F724,products!$A$2:$B$13,2,FALSE)</f>
        <v>Vegetables</v>
      </c>
      <c r="O724" s="133">
        <f t="shared" si="4"/>
        <v>0.5902245878</v>
      </c>
      <c r="P724" s="38" t="str">
        <f>VLOOKUP(E724,countries!A$2:E$250,3,false)</f>
        <v>Cyprus</v>
      </c>
      <c r="Q724" s="38" t="str">
        <f>VLOOKUP($E724,countries!$A$2:$E$250,4,false)</f>
        <v>Asia</v>
      </c>
      <c r="R724" s="38" t="str">
        <f>VLOOKUP($E724,countries!$A$2:$E$250,5,false)</f>
        <v>Western Asia</v>
      </c>
      <c r="S724" s="38">
        <f t="shared" si="5"/>
        <v>3</v>
      </c>
      <c r="T724" s="38" t="s">
        <v>159</v>
      </c>
      <c r="U724" s="38">
        <v>2010.0</v>
      </c>
      <c r="V724" s="38">
        <v>12.0</v>
      </c>
      <c r="W724" s="38" t="s">
        <v>108</v>
      </c>
      <c r="X724" s="38" t="s">
        <v>175</v>
      </c>
      <c r="Y724" s="38" t="s">
        <v>165</v>
      </c>
      <c r="Z724" s="38" t="s">
        <v>166</v>
      </c>
      <c r="AA724" s="113" t="str">
        <f t="array" ref="AA724">PROPER(G724)</f>
        <v>Offline</v>
      </c>
    </row>
    <row r="725">
      <c r="A725" s="110">
        <v>5.79463422E8</v>
      </c>
      <c r="B725" s="131">
        <v>42641.0</v>
      </c>
      <c r="C725" s="131">
        <v>42675.0</v>
      </c>
      <c r="D725" s="110" t="s">
        <v>93</v>
      </c>
      <c r="E725" s="110" t="s">
        <v>117</v>
      </c>
      <c r="F725" s="110">
        <v>4594.0</v>
      </c>
      <c r="G725" s="38" t="s">
        <v>43</v>
      </c>
      <c r="H725" s="110">
        <v>4958.0</v>
      </c>
      <c r="I725" s="132">
        <v>9.33</v>
      </c>
      <c r="J725" s="132">
        <v>6.92</v>
      </c>
      <c r="K725" s="39">
        <f t="shared" si="1"/>
        <v>46258.14</v>
      </c>
      <c r="L725" s="39">
        <f t="shared" si="2"/>
        <v>34309.36</v>
      </c>
      <c r="M725" s="39">
        <f t="shared" si="3"/>
        <v>11948.78</v>
      </c>
      <c r="N725" s="38" t="str">
        <f>VLOOKUP(F725,products!$A$2:$B$13,2,FALSE)</f>
        <v>Fruits</v>
      </c>
      <c r="O725" s="133">
        <f t="shared" si="4"/>
        <v>0.741693462</v>
      </c>
      <c r="P725" s="38" t="str">
        <f>VLOOKUP(E725,countries!A$2:E$250,3,false)</f>
        <v>Estonia</v>
      </c>
      <c r="Q725" s="38" t="str">
        <f>VLOOKUP($E725,countries!$A$2:$E$250,4,false)</f>
        <v>Europe</v>
      </c>
      <c r="R725" s="38" t="str">
        <f>VLOOKUP($E725,countries!$A$2:$E$250,5,false)</f>
        <v>Northern Europe</v>
      </c>
      <c r="S725" s="38">
        <f t="shared" si="5"/>
        <v>34</v>
      </c>
      <c r="T725" s="38" t="s">
        <v>156</v>
      </c>
      <c r="U725" s="38">
        <v>2016.0</v>
      </c>
      <c r="V725" s="38">
        <v>9.0</v>
      </c>
      <c r="W725" s="38" t="s">
        <v>117</v>
      </c>
      <c r="X725" s="38" t="s">
        <v>188</v>
      </c>
      <c r="Y725" s="38" t="s">
        <v>146</v>
      </c>
      <c r="Z725" s="38" t="s">
        <v>170</v>
      </c>
      <c r="AA725" s="113" t="str">
        <f t="array" ref="AA725">PROPER(G725)</f>
        <v>Online</v>
      </c>
    </row>
    <row r="726">
      <c r="A726" s="110">
        <v>5.80314862E8</v>
      </c>
      <c r="B726" s="131">
        <v>42496.0</v>
      </c>
      <c r="C726" s="131">
        <v>42502.0</v>
      </c>
      <c r="D726" s="110" t="s">
        <v>10</v>
      </c>
      <c r="E726" s="110" t="s">
        <v>137</v>
      </c>
      <c r="F726" s="110">
        <v>7331.0</v>
      </c>
      <c r="G726" s="38" t="s">
        <v>42</v>
      </c>
      <c r="H726" s="110">
        <v>6918.0</v>
      </c>
      <c r="I726" s="132">
        <v>255.28</v>
      </c>
      <c r="J726" s="132">
        <v>159.42</v>
      </c>
      <c r="K726" s="39">
        <f t="shared" si="1"/>
        <v>1766027.04</v>
      </c>
      <c r="L726" s="39">
        <f t="shared" si="2"/>
        <v>1102867.56</v>
      </c>
      <c r="M726" s="39">
        <f t="shared" si="3"/>
        <v>663159.48</v>
      </c>
      <c r="N726" s="38" t="str">
        <f>VLOOKUP(F726,products!$A$2:$B$13,2,FALSE)</f>
        <v>Baby Food</v>
      </c>
      <c r="O726" s="133">
        <f t="shared" si="4"/>
        <v>0.6244907552</v>
      </c>
      <c r="P726" s="38" t="str">
        <f>VLOOKUP(E726,countries!A$2:E$250,3,false)</f>
        <v>Iceland</v>
      </c>
      <c r="Q726" s="38" t="str">
        <f>VLOOKUP($E726,countries!$A$2:$E$250,4,false)</f>
        <v>Europe</v>
      </c>
      <c r="R726" s="38" t="str">
        <f>VLOOKUP($E726,countries!$A$2:$E$250,5,false)</f>
        <v>Northern Europe</v>
      </c>
      <c r="S726" s="38">
        <f t="shared" si="5"/>
        <v>6</v>
      </c>
      <c r="T726" s="38" t="s">
        <v>161</v>
      </c>
      <c r="U726" s="38">
        <v>2016.0</v>
      </c>
      <c r="V726" s="38">
        <v>5.0</v>
      </c>
      <c r="W726" s="38" t="s">
        <v>137</v>
      </c>
      <c r="X726" s="38" t="s">
        <v>207</v>
      </c>
      <c r="Y726" s="38" t="s">
        <v>146</v>
      </c>
      <c r="Z726" s="38" t="s">
        <v>170</v>
      </c>
      <c r="AA726" s="113" t="str">
        <f t="array" ref="AA726">PROPER(G726)</f>
        <v>Offline</v>
      </c>
    </row>
    <row r="727">
      <c r="A727" s="110">
        <v>5.80342328E8</v>
      </c>
      <c r="B727" s="131">
        <v>40796.0</v>
      </c>
      <c r="C727" s="131">
        <v>40830.0</v>
      </c>
      <c r="D727" s="110" t="s">
        <v>95</v>
      </c>
      <c r="E727" s="110" t="s">
        <v>101</v>
      </c>
      <c r="F727" s="110">
        <v>2103.0</v>
      </c>
      <c r="G727" s="38" t="s">
        <v>42</v>
      </c>
      <c r="H727" s="110">
        <v>5046.0</v>
      </c>
      <c r="I727" s="132">
        <v>205.7</v>
      </c>
      <c r="J727" s="132">
        <v>117.11</v>
      </c>
      <c r="K727" s="39">
        <f t="shared" si="1"/>
        <v>1037962.2</v>
      </c>
      <c r="L727" s="39">
        <f t="shared" si="2"/>
        <v>590937.06</v>
      </c>
      <c r="M727" s="39">
        <f t="shared" si="3"/>
        <v>447025.14</v>
      </c>
      <c r="N727" s="38" t="str">
        <f>VLOOKUP(F727,products!$A$2:$B$13,2,FALSE)</f>
        <v>Cereal</v>
      </c>
      <c r="O727" s="133">
        <f t="shared" si="4"/>
        <v>0.5693242586</v>
      </c>
      <c r="P727" s="38" t="str">
        <f>VLOOKUP(E727,countries!A$2:E$250,3,false)</f>
        <v>Armenia</v>
      </c>
      <c r="Q727" s="38" t="str">
        <f>VLOOKUP($E727,countries!$A$2:$E$250,4,false)</f>
        <v>Asia</v>
      </c>
      <c r="R727" s="38" t="str">
        <f>VLOOKUP($E727,countries!$A$2:$E$250,5,false)</f>
        <v>Western Asia</v>
      </c>
      <c r="S727" s="38">
        <f t="shared" si="5"/>
        <v>34</v>
      </c>
      <c r="T727" s="38" t="s">
        <v>144</v>
      </c>
      <c r="U727" s="38">
        <v>2011.0</v>
      </c>
      <c r="V727" s="38">
        <v>9.0</v>
      </c>
      <c r="W727" s="38" t="s">
        <v>101</v>
      </c>
      <c r="X727" s="38" t="s">
        <v>164</v>
      </c>
      <c r="Y727" s="38" t="s">
        <v>165</v>
      </c>
      <c r="Z727" s="38" t="s">
        <v>166</v>
      </c>
      <c r="AA727" s="113" t="str">
        <f t="array" ref="AA727">PROPER(G727)</f>
        <v>Offline</v>
      </c>
    </row>
    <row r="728">
      <c r="A728" s="110">
        <v>5.80463349E8</v>
      </c>
      <c r="B728" s="131">
        <v>40826.0</v>
      </c>
      <c r="C728" s="131">
        <v>40855.0</v>
      </c>
      <c r="D728" s="110" t="s">
        <v>10</v>
      </c>
      <c r="E728" s="110" t="s">
        <v>113</v>
      </c>
      <c r="F728" s="110">
        <v>2103.0</v>
      </c>
      <c r="G728" s="38" t="s">
        <v>42</v>
      </c>
      <c r="H728" s="110">
        <v>859.0</v>
      </c>
      <c r="I728" s="132">
        <v>205.7</v>
      </c>
      <c r="J728" s="132">
        <v>117.11</v>
      </c>
      <c r="K728" s="39">
        <f t="shared" si="1"/>
        <v>176696.3</v>
      </c>
      <c r="L728" s="39">
        <f t="shared" si="2"/>
        <v>100597.49</v>
      </c>
      <c r="M728" s="39">
        <f t="shared" si="3"/>
        <v>76098.81</v>
      </c>
      <c r="N728" s="38" t="str">
        <f>VLOOKUP(F728,products!$A$2:$B$13,2,FALSE)</f>
        <v>Cereal</v>
      </c>
      <c r="O728" s="133">
        <f t="shared" si="4"/>
        <v>0.5693242586</v>
      </c>
      <c r="P728" s="38" t="str">
        <f>VLOOKUP(E728,countries!A$2:E$250,3,false)</f>
        <v>Ukraine</v>
      </c>
      <c r="Q728" s="38" t="str">
        <f>VLOOKUP($E728,countries!$A$2:$E$250,4,false)</f>
        <v>Europe</v>
      </c>
      <c r="R728" s="38" t="str">
        <f>VLOOKUP($E728,countries!$A$2:$E$250,5,false)</f>
        <v>Eastern Europe</v>
      </c>
      <c r="S728" s="38">
        <f t="shared" si="5"/>
        <v>29</v>
      </c>
      <c r="T728" s="38" t="s">
        <v>144</v>
      </c>
      <c r="U728" s="38">
        <v>2011.0</v>
      </c>
      <c r="V728" s="38">
        <v>10.0</v>
      </c>
      <c r="W728" s="38" t="s">
        <v>113</v>
      </c>
      <c r="X728" s="38" t="s">
        <v>181</v>
      </c>
      <c r="Y728" s="38" t="s">
        <v>146</v>
      </c>
      <c r="Z728" s="38" t="s">
        <v>155</v>
      </c>
      <c r="AA728" s="113" t="str">
        <f t="array" ref="AA728">PROPER(G728)</f>
        <v>Offline</v>
      </c>
    </row>
    <row r="729">
      <c r="A729" s="110">
        <v>5.8056935E8</v>
      </c>
      <c r="B729" s="131">
        <v>40704.0</v>
      </c>
      <c r="C729" s="131">
        <v>40727.0</v>
      </c>
      <c r="D729" s="110" t="s">
        <v>89</v>
      </c>
      <c r="E729" s="110" t="s">
        <v>127</v>
      </c>
      <c r="F729" s="110">
        <v>1270.0</v>
      </c>
      <c r="G729" s="38" t="s">
        <v>42</v>
      </c>
      <c r="H729" s="110">
        <v>2227.0</v>
      </c>
      <c r="I729" s="132">
        <v>47.45</v>
      </c>
      <c r="J729" s="132">
        <v>31.79</v>
      </c>
      <c r="K729" s="39">
        <f t="shared" si="1"/>
        <v>105671.15</v>
      </c>
      <c r="L729" s="39">
        <f t="shared" si="2"/>
        <v>70796.33</v>
      </c>
      <c r="M729" s="39">
        <f t="shared" si="3"/>
        <v>34874.82</v>
      </c>
      <c r="N729" s="38" t="str">
        <f>VLOOKUP(F729,products!$A$2:$B$13,2,FALSE)</f>
        <v>Beverages</v>
      </c>
      <c r="O729" s="133">
        <f t="shared" si="4"/>
        <v>0.6699683878</v>
      </c>
      <c r="P729" s="38" t="str">
        <f>VLOOKUP(E729,countries!A$2:E$250,3,false)</f>
        <v>Ireland</v>
      </c>
      <c r="Q729" s="38" t="str">
        <f>VLOOKUP($E729,countries!$A$2:$E$250,4,false)</f>
        <v>Europe</v>
      </c>
      <c r="R729" s="38" t="str">
        <f>VLOOKUP($E729,countries!$A$2:$E$250,5,false)</f>
        <v>Northern Europe</v>
      </c>
      <c r="S729" s="38">
        <f t="shared" si="5"/>
        <v>23</v>
      </c>
      <c r="T729" s="38" t="s">
        <v>152</v>
      </c>
      <c r="U729" s="38">
        <v>2011.0</v>
      </c>
      <c r="V729" s="38">
        <v>6.0</v>
      </c>
      <c r="W729" s="38" t="s">
        <v>127</v>
      </c>
      <c r="X729" s="38" t="s">
        <v>198</v>
      </c>
      <c r="Y729" s="38" t="s">
        <v>146</v>
      </c>
      <c r="Z729" s="38" t="s">
        <v>170</v>
      </c>
      <c r="AA729" s="113" t="str">
        <f t="array" ref="AA729">PROPER(G729)</f>
        <v>Offline</v>
      </c>
    </row>
    <row r="730">
      <c r="A730" s="110">
        <v>5.8078221E8</v>
      </c>
      <c r="B730" s="131">
        <v>42051.0</v>
      </c>
      <c r="C730" s="131">
        <v>42055.0</v>
      </c>
      <c r="D730" s="110" t="s">
        <v>10</v>
      </c>
      <c r="E730" s="110" t="e">
        <v>#N/A</v>
      </c>
      <c r="F730" s="110">
        <v>8681.0</v>
      </c>
      <c r="G730" s="38" t="s">
        <v>43</v>
      </c>
      <c r="H730" s="110">
        <v>5217.0</v>
      </c>
      <c r="I730" s="132">
        <v>651.21</v>
      </c>
      <c r="J730" s="132">
        <v>524.96</v>
      </c>
      <c r="K730" s="39">
        <f t="shared" si="1"/>
        <v>3397362.57</v>
      </c>
      <c r="L730" s="39">
        <f t="shared" si="2"/>
        <v>2738716.32</v>
      </c>
      <c r="M730" s="39">
        <f t="shared" si="3"/>
        <v>658646.25</v>
      </c>
      <c r="N730" s="38" t="str">
        <f>VLOOKUP(F730,products!$A$2:$B$13,2,FALSE)</f>
        <v>Office Supplies</v>
      </c>
      <c r="O730" s="133">
        <f t="shared" si="4"/>
        <v>0.806130127</v>
      </c>
      <c r="P730" s="38" t="str">
        <f>VLOOKUP(E730,countries!A$2:E$250,3,false)</f>
        <v>#N/A</v>
      </c>
      <c r="Q730" s="38" t="str">
        <f>VLOOKUP($E730,countries!$A$2:$E$250,4,false)</f>
        <v>#N/A</v>
      </c>
      <c r="R730" s="38" t="str">
        <f>VLOOKUP($E730,countries!$A$2:$E$250,5,false)</f>
        <v>#N/A</v>
      </c>
      <c r="S730" s="38">
        <f t="shared" si="5"/>
        <v>4</v>
      </c>
      <c r="T730" s="38" t="s">
        <v>153</v>
      </c>
      <c r="U730" s="38">
        <v>2015.0</v>
      </c>
      <c r="V730" s="38">
        <v>2.0</v>
      </c>
      <c r="W730" s="38" t="s">
        <v>92</v>
      </c>
      <c r="X730" s="38" t="s">
        <v>149</v>
      </c>
      <c r="Y730" s="38" t="s">
        <v>149</v>
      </c>
      <c r="Z730" s="38" t="s">
        <v>149</v>
      </c>
      <c r="AA730" s="113" t="str">
        <f t="array" ref="AA730">PROPER(G730)</f>
        <v>Online</v>
      </c>
    </row>
    <row r="731">
      <c r="A731" s="110">
        <v>5.81193768E8</v>
      </c>
      <c r="B731" s="131">
        <v>40651.0</v>
      </c>
      <c r="C731" s="131">
        <v>40657.0</v>
      </c>
      <c r="D731" s="110" t="s">
        <v>89</v>
      </c>
      <c r="E731" s="110" t="s">
        <v>108</v>
      </c>
      <c r="F731" s="110">
        <v>8969.0</v>
      </c>
      <c r="G731" s="38" t="s">
        <v>43</v>
      </c>
      <c r="H731" s="110">
        <v>7006.0</v>
      </c>
      <c r="I731" s="132">
        <v>152.58</v>
      </c>
      <c r="J731" s="132">
        <v>97.44</v>
      </c>
      <c r="K731" s="39">
        <f t="shared" si="1"/>
        <v>1068975.48</v>
      </c>
      <c r="L731" s="39">
        <f t="shared" si="2"/>
        <v>682664.64</v>
      </c>
      <c r="M731" s="39">
        <f t="shared" si="3"/>
        <v>386310.84</v>
      </c>
      <c r="N731" s="38" t="str">
        <f>VLOOKUP(F731,products!$A$2:$B$13,2,FALSE)</f>
        <v>Snacks</v>
      </c>
      <c r="O731" s="133">
        <f t="shared" si="4"/>
        <v>0.6386158081</v>
      </c>
      <c r="P731" s="38" t="str">
        <f>VLOOKUP(E731,countries!A$2:E$250,3,false)</f>
        <v>Cyprus</v>
      </c>
      <c r="Q731" s="38" t="str">
        <f>VLOOKUP($E731,countries!$A$2:$E$250,4,false)</f>
        <v>Asia</v>
      </c>
      <c r="R731" s="38" t="str">
        <f>VLOOKUP($E731,countries!$A$2:$E$250,5,false)</f>
        <v>Western Asia</v>
      </c>
      <c r="S731" s="38">
        <f t="shared" si="5"/>
        <v>6</v>
      </c>
      <c r="T731" s="38" t="s">
        <v>182</v>
      </c>
      <c r="U731" s="38">
        <v>2011.0</v>
      </c>
      <c r="V731" s="38">
        <v>4.0</v>
      </c>
      <c r="W731" s="38" t="s">
        <v>108</v>
      </c>
      <c r="X731" s="38" t="s">
        <v>175</v>
      </c>
      <c r="Y731" s="38" t="s">
        <v>165</v>
      </c>
      <c r="Z731" s="38" t="s">
        <v>166</v>
      </c>
      <c r="AA731" s="113" t="str">
        <f t="array" ref="AA731">PROPER(G731)</f>
        <v>Online</v>
      </c>
    </row>
    <row r="732">
      <c r="A732" s="110">
        <v>5.82560193E8</v>
      </c>
      <c r="B732" s="131">
        <v>42515.0</v>
      </c>
      <c r="C732" s="131">
        <v>42518.0</v>
      </c>
      <c r="D732" s="110" t="s">
        <v>93</v>
      </c>
      <c r="E732" s="110" t="s">
        <v>99</v>
      </c>
      <c r="F732" s="110">
        <v>7940.0</v>
      </c>
      <c r="G732" s="38" t="s">
        <v>43</v>
      </c>
      <c r="H732" s="110">
        <v>1362.0</v>
      </c>
      <c r="I732" s="132">
        <v>668.27</v>
      </c>
      <c r="J732" s="132">
        <v>502.54</v>
      </c>
      <c r="K732" s="39">
        <f t="shared" si="1"/>
        <v>910183.74</v>
      </c>
      <c r="L732" s="39">
        <f t="shared" si="2"/>
        <v>684459.48</v>
      </c>
      <c r="M732" s="39">
        <f t="shared" si="3"/>
        <v>225724.26</v>
      </c>
      <c r="N732" s="38" t="str">
        <f>VLOOKUP(F732,products!$A$2:$B$13,2,FALSE)</f>
        <v>Household</v>
      </c>
      <c r="O732" s="133">
        <f t="shared" si="4"/>
        <v>0.7520014365</v>
      </c>
      <c r="P732" s="38" t="str">
        <f>VLOOKUP(E732,countries!A$2:E$250,3,false)</f>
        <v>Croatia</v>
      </c>
      <c r="Q732" s="38" t="str">
        <f>VLOOKUP($E732,countries!$A$2:$E$250,4,false)</f>
        <v>Europe</v>
      </c>
      <c r="R732" s="38" t="str">
        <f>VLOOKUP($E732,countries!$A$2:$E$250,5,false)</f>
        <v>Southern Europe</v>
      </c>
      <c r="S732" s="38">
        <f t="shared" si="5"/>
        <v>3</v>
      </c>
      <c r="T732" s="38" t="s">
        <v>148</v>
      </c>
      <c r="U732" s="38">
        <v>2016.0</v>
      </c>
      <c r="V732" s="38">
        <v>5.0</v>
      </c>
      <c r="W732" s="38" t="s">
        <v>99</v>
      </c>
      <c r="X732" s="38" t="s">
        <v>162</v>
      </c>
      <c r="Y732" s="38" t="s">
        <v>146</v>
      </c>
      <c r="Z732" s="38" t="s">
        <v>147</v>
      </c>
      <c r="AA732" s="113" t="str">
        <f t="array" ref="AA732">PROPER(G732)</f>
        <v>Online</v>
      </c>
    </row>
    <row r="733">
      <c r="A733" s="110">
        <v>5.82563626E8</v>
      </c>
      <c r="B733" s="131">
        <v>40574.0</v>
      </c>
      <c r="C733" s="131">
        <v>40593.0</v>
      </c>
      <c r="D733" s="110" t="s">
        <v>89</v>
      </c>
      <c r="E733" s="110" t="e">
        <v>#N/A</v>
      </c>
      <c r="F733" s="110">
        <v>7940.0</v>
      </c>
      <c r="G733" s="38" t="s">
        <v>43</v>
      </c>
      <c r="H733" s="110">
        <v>2378.0</v>
      </c>
      <c r="I733" s="132">
        <v>668.27</v>
      </c>
      <c r="J733" s="132">
        <v>502.54</v>
      </c>
      <c r="K733" s="39">
        <f t="shared" si="1"/>
        <v>1589146.06</v>
      </c>
      <c r="L733" s="39">
        <f t="shared" si="2"/>
        <v>1195040.12</v>
      </c>
      <c r="M733" s="39">
        <f t="shared" si="3"/>
        <v>394105.94</v>
      </c>
      <c r="N733" s="38" t="str">
        <f>VLOOKUP(F733,products!$A$2:$B$13,2,FALSE)</f>
        <v>Household</v>
      </c>
      <c r="O733" s="133">
        <f t="shared" si="4"/>
        <v>0.7520014365</v>
      </c>
      <c r="P733" s="38" t="str">
        <f>VLOOKUP(E733,countries!A$2:E$250,3,false)</f>
        <v>#N/A</v>
      </c>
      <c r="Q733" s="38" t="str">
        <f>VLOOKUP($E733,countries!$A$2:$E$250,4,false)</f>
        <v>#N/A</v>
      </c>
      <c r="R733" s="38" t="str">
        <f>VLOOKUP($E733,countries!$A$2:$E$250,5,false)</f>
        <v>#N/A</v>
      </c>
      <c r="S733" s="38">
        <f t="shared" si="5"/>
        <v>19</v>
      </c>
      <c r="T733" s="38" t="s">
        <v>148</v>
      </c>
      <c r="U733" s="38">
        <v>2011.0</v>
      </c>
      <c r="V733" s="38">
        <v>1.0</v>
      </c>
      <c r="W733" s="38" t="s">
        <v>92</v>
      </c>
      <c r="X733" s="38" t="s">
        <v>149</v>
      </c>
      <c r="Y733" s="38" t="s">
        <v>149</v>
      </c>
      <c r="Z733" s="38" t="s">
        <v>149</v>
      </c>
      <c r="AA733" s="113" t="str">
        <f t="array" ref="AA733">PROPER(G733)</f>
        <v>Online</v>
      </c>
    </row>
    <row r="734">
      <c r="A734" s="110">
        <v>5.82836139E8</v>
      </c>
      <c r="B734" s="131">
        <v>41729.0</v>
      </c>
      <c r="C734" s="131">
        <v>41734.0</v>
      </c>
      <c r="D734" s="110" t="s">
        <v>95</v>
      </c>
      <c r="E734" s="110" t="s">
        <v>128</v>
      </c>
      <c r="F734" s="110">
        <v>8681.0</v>
      </c>
      <c r="G734" s="38" t="s">
        <v>43</v>
      </c>
      <c r="H734" s="110">
        <v>3020.0</v>
      </c>
      <c r="I734" s="132">
        <v>651.21</v>
      </c>
      <c r="J734" s="132">
        <v>524.96</v>
      </c>
      <c r="K734" s="39">
        <f t="shared" si="1"/>
        <v>1966654.2</v>
      </c>
      <c r="L734" s="39">
        <f t="shared" si="2"/>
        <v>1585379.2</v>
      </c>
      <c r="M734" s="39">
        <f t="shared" si="3"/>
        <v>381275</v>
      </c>
      <c r="N734" s="38" t="str">
        <f>VLOOKUP(F734,products!$A$2:$B$13,2,FALSE)</f>
        <v>Office Supplies</v>
      </c>
      <c r="O734" s="133">
        <f t="shared" si="4"/>
        <v>0.806130127</v>
      </c>
      <c r="P734" s="38" t="str">
        <f>VLOOKUP(E734,countries!A$2:E$250,3,false)</f>
        <v>Andorra</v>
      </c>
      <c r="Q734" s="38" t="str">
        <f>VLOOKUP($E734,countries!$A$2:$E$250,4,false)</f>
        <v>Europe</v>
      </c>
      <c r="R734" s="38" t="str">
        <f>VLOOKUP($E734,countries!$A$2:$E$250,5,false)</f>
        <v>Southern Europe</v>
      </c>
      <c r="S734" s="38">
        <f t="shared" si="5"/>
        <v>5</v>
      </c>
      <c r="T734" s="38" t="s">
        <v>153</v>
      </c>
      <c r="U734" s="38">
        <v>2014.0</v>
      </c>
      <c r="V734" s="38">
        <v>3.0</v>
      </c>
      <c r="W734" s="38" t="s">
        <v>128</v>
      </c>
      <c r="X734" s="38" t="s">
        <v>199</v>
      </c>
      <c r="Y734" s="38" t="s">
        <v>146</v>
      </c>
      <c r="Z734" s="38" t="s">
        <v>147</v>
      </c>
      <c r="AA734" s="113" t="str">
        <f t="array" ref="AA734">PROPER(G734)</f>
        <v>Online</v>
      </c>
    </row>
    <row r="735">
      <c r="A735" s="110">
        <v>5.83089339E8</v>
      </c>
      <c r="B735" s="131">
        <v>40320.0</v>
      </c>
      <c r="C735" s="131">
        <v>40355.0</v>
      </c>
      <c r="D735" s="110" t="s">
        <v>10</v>
      </c>
      <c r="E735" s="110" t="s">
        <v>138</v>
      </c>
      <c r="F735" s="110">
        <v>8293.0</v>
      </c>
      <c r="G735" s="38" t="s">
        <v>43</v>
      </c>
      <c r="H735" s="110">
        <v>7948.0</v>
      </c>
      <c r="I735" s="132">
        <v>437.2</v>
      </c>
      <c r="J735" s="132">
        <v>263.33</v>
      </c>
      <c r="K735" s="39">
        <f t="shared" si="1"/>
        <v>3474865.6</v>
      </c>
      <c r="L735" s="39">
        <f t="shared" si="2"/>
        <v>2092946.84</v>
      </c>
      <c r="M735" s="39">
        <f t="shared" si="3"/>
        <v>1381918.76</v>
      </c>
      <c r="N735" s="38" t="str">
        <f>VLOOKUP(F735,products!$A$2:$B$13,2,FALSE)</f>
        <v>Cosmetics</v>
      </c>
      <c r="O735" s="133">
        <f t="shared" si="4"/>
        <v>0.6023101555</v>
      </c>
      <c r="P735" s="38" t="str">
        <f>VLOOKUP(E735,countries!A$2:E$250,3,false)</f>
        <v>Greece</v>
      </c>
      <c r="Q735" s="38" t="str">
        <f>VLOOKUP($E735,countries!$A$2:$E$250,4,false)</f>
        <v>Europe</v>
      </c>
      <c r="R735" s="38" t="str">
        <f>VLOOKUP($E735,countries!$A$2:$E$250,5,false)</f>
        <v>Southern Europe</v>
      </c>
      <c r="S735" s="38">
        <f t="shared" si="5"/>
        <v>35</v>
      </c>
      <c r="T735" s="38" t="s">
        <v>178</v>
      </c>
      <c r="U735" s="38">
        <v>2010.0</v>
      </c>
      <c r="V735" s="38">
        <v>5.0</v>
      </c>
      <c r="W735" s="38" t="s">
        <v>138</v>
      </c>
      <c r="X735" s="38" t="s">
        <v>208</v>
      </c>
      <c r="Y735" s="38" t="s">
        <v>146</v>
      </c>
      <c r="Z735" s="38" t="s">
        <v>147</v>
      </c>
      <c r="AA735" s="113" t="str">
        <f t="array" ref="AA735">PROPER(G735)</f>
        <v>Online</v>
      </c>
    </row>
    <row r="736">
      <c r="A736" s="110">
        <v>5.83451974E8</v>
      </c>
      <c r="B736" s="131">
        <v>42380.0</v>
      </c>
      <c r="C736" s="131">
        <v>42405.0</v>
      </c>
      <c r="D736" s="110" t="s">
        <v>95</v>
      </c>
      <c r="E736" s="110" t="e">
        <v>#N/A</v>
      </c>
      <c r="F736" s="110">
        <v>8969.0</v>
      </c>
      <c r="G736" s="38" t="s">
        <v>42</v>
      </c>
      <c r="H736" s="110">
        <v>5260.0</v>
      </c>
      <c r="I736" s="132">
        <v>152.58</v>
      </c>
      <c r="J736" s="132">
        <v>97.44</v>
      </c>
      <c r="K736" s="39">
        <f t="shared" si="1"/>
        <v>802570.8</v>
      </c>
      <c r="L736" s="39">
        <f t="shared" si="2"/>
        <v>512534.4</v>
      </c>
      <c r="M736" s="39">
        <f t="shared" si="3"/>
        <v>290036.4</v>
      </c>
      <c r="N736" s="38" t="str">
        <f>VLOOKUP(F736,products!$A$2:$B$13,2,FALSE)</f>
        <v>Snacks</v>
      </c>
      <c r="O736" s="133">
        <f t="shared" si="4"/>
        <v>0.6386158081</v>
      </c>
      <c r="P736" s="38" t="str">
        <f>VLOOKUP(E736,countries!A$2:E$250,3,false)</f>
        <v>#N/A</v>
      </c>
      <c r="Q736" s="38" t="str">
        <f>VLOOKUP($E736,countries!$A$2:$E$250,4,false)</f>
        <v>#N/A</v>
      </c>
      <c r="R736" s="38" t="str">
        <f>VLOOKUP($E736,countries!$A$2:$E$250,5,false)</f>
        <v>#N/A</v>
      </c>
      <c r="S736" s="38">
        <f t="shared" si="5"/>
        <v>25</v>
      </c>
      <c r="T736" s="38" t="s">
        <v>182</v>
      </c>
      <c r="U736" s="38">
        <v>2016.0</v>
      </c>
      <c r="V736" s="38">
        <v>1.0</v>
      </c>
      <c r="W736" s="38" t="s">
        <v>92</v>
      </c>
      <c r="X736" s="38" t="s">
        <v>149</v>
      </c>
      <c r="Y736" s="38" t="s">
        <v>149</v>
      </c>
      <c r="Z736" s="38" t="s">
        <v>149</v>
      </c>
      <c r="AA736" s="113" t="str">
        <f t="array" ref="AA736">PROPER(G736)</f>
        <v>Offline</v>
      </c>
    </row>
    <row r="737">
      <c r="A737" s="110">
        <v>5.83654105E8</v>
      </c>
      <c r="B737" s="131">
        <v>40458.0</v>
      </c>
      <c r="C737" s="131">
        <v>40470.0</v>
      </c>
      <c r="D737" s="110" t="s">
        <v>10</v>
      </c>
      <c r="E737" s="110" t="s">
        <v>115</v>
      </c>
      <c r="F737" s="110">
        <v>8969.0</v>
      </c>
      <c r="G737" s="38" t="s">
        <v>43</v>
      </c>
      <c r="H737" s="110">
        <v>5075.0</v>
      </c>
      <c r="I737" s="132">
        <v>152.58</v>
      </c>
      <c r="J737" s="132">
        <v>97.44</v>
      </c>
      <c r="K737" s="39">
        <f t="shared" si="1"/>
        <v>774343.5</v>
      </c>
      <c r="L737" s="39">
        <f t="shared" si="2"/>
        <v>494508</v>
      </c>
      <c r="M737" s="39">
        <f t="shared" si="3"/>
        <v>279835.5</v>
      </c>
      <c r="N737" s="38" t="str">
        <f>VLOOKUP(F737,products!$A$2:$B$13,2,FALSE)</f>
        <v>Snacks</v>
      </c>
      <c r="O737" s="133">
        <f t="shared" si="4"/>
        <v>0.6386158081</v>
      </c>
      <c r="P737" s="38" t="str">
        <f>VLOOKUP(E737,countries!A$2:E$250,3,false)</f>
        <v>Portugal</v>
      </c>
      <c r="Q737" s="38" t="str">
        <f>VLOOKUP($E737,countries!$A$2:$E$250,4,false)</f>
        <v>Europe</v>
      </c>
      <c r="R737" s="38" t="str">
        <f>VLOOKUP($E737,countries!$A$2:$E$250,5,false)</f>
        <v>Southern Europe</v>
      </c>
      <c r="S737" s="38">
        <f t="shared" si="5"/>
        <v>12</v>
      </c>
      <c r="T737" s="38" t="s">
        <v>182</v>
      </c>
      <c r="U737" s="38">
        <v>2010.0</v>
      </c>
      <c r="V737" s="38">
        <v>10.0</v>
      </c>
      <c r="W737" s="38" t="s">
        <v>115</v>
      </c>
      <c r="X737" s="38" t="s">
        <v>186</v>
      </c>
      <c r="Y737" s="38" t="s">
        <v>146</v>
      </c>
      <c r="Z737" s="38" t="s">
        <v>147</v>
      </c>
      <c r="AA737" s="113" t="str">
        <f t="array" ref="AA737">PROPER(G737)</f>
        <v>Online</v>
      </c>
    </row>
    <row r="738">
      <c r="A738" s="110">
        <v>5.85362994E8</v>
      </c>
      <c r="B738" s="131">
        <v>40229.0</v>
      </c>
      <c r="C738" s="131">
        <v>40279.0</v>
      </c>
      <c r="D738" s="110" t="s">
        <v>93</v>
      </c>
      <c r="E738" s="110" t="s">
        <v>96</v>
      </c>
      <c r="F738" s="110">
        <v>7940.0</v>
      </c>
      <c r="G738" s="38" t="s">
        <v>42</v>
      </c>
      <c r="H738" s="110">
        <v>773.0</v>
      </c>
      <c r="I738" s="132">
        <v>668.27</v>
      </c>
      <c r="J738" s="132">
        <v>502.54</v>
      </c>
      <c r="K738" s="39">
        <f t="shared" si="1"/>
        <v>516572.71</v>
      </c>
      <c r="L738" s="39">
        <f t="shared" si="2"/>
        <v>388463.42</v>
      </c>
      <c r="M738" s="39">
        <f t="shared" si="3"/>
        <v>128109.29</v>
      </c>
      <c r="N738" s="38" t="str">
        <f>VLOOKUP(F738,products!$A$2:$B$13,2,FALSE)</f>
        <v>Household</v>
      </c>
      <c r="O738" s="133">
        <f t="shared" si="4"/>
        <v>0.7520014365</v>
      </c>
      <c r="P738" s="38" t="str">
        <f>VLOOKUP(E738,countries!A$2:E$250,3,false)</f>
        <v>Slovakia</v>
      </c>
      <c r="Q738" s="38" t="str">
        <f>VLOOKUP($E738,countries!$A$2:$E$250,4,false)</f>
        <v>Europe</v>
      </c>
      <c r="R738" s="38" t="str">
        <f>VLOOKUP($E738,countries!$A$2:$E$250,5,false)</f>
        <v>Eastern Europe</v>
      </c>
      <c r="S738" s="38">
        <f t="shared" si="5"/>
        <v>50</v>
      </c>
      <c r="T738" s="38" t="s">
        <v>148</v>
      </c>
      <c r="U738" s="38">
        <v>2010.0</v>
      </c>
      <c r="V738" s="38">
        <v>2.0</v>
      </c>
      <c r="W738" s="38" t="s">
        <v>96</v>
      </c>
      <c r="X738" s="38" t="s">
        <v>154</v>
      </c>
      <c r="Y738" s="38" t="s">
        <v>146</v>
      </c>
      <c r="Z738" s="38" t="s">
        <v>155</v>
      </c>
      <c r="AA738" s="113" t="str">
        <f t="array" ref="AA738">PROPER(G738)</f>
        <v>Offline</v>
      </c>
    </row>
    <row r="739">
      <c r="A739" s="110">
        <v>5.85677134E8</v>
      </c>
      <c r="B739" s="131">
        <v>41012.0</v>
      </c>
      <c r="C739" s="131">
        <v>41033.0</v>
      </c>
      <c r="D739" s="110" t="s">
        <v>95</v>
      </c>
      <c r="E739" s="110" t="s">
        <v>135</v>
      </c>
      <c r="F739" s="110">
        <v>8969.0</v>
      </c>
      <c r="G739" s="38" t="s">
        <v>43</v>
      </c>
      <c r="H739" s="110">
        <v>3734.0</v>
      </c>
      <c r="I739" s="132">
        <v>152.58</v>
      </c>
      <c r="J739" s="132">
        <v>97.44</v>
      </c>
      <c r="K739" s="39">
        <f t="shared" si="1"/>
        <v>569733.72</v>
      </c>
      <c r="L739" s="39">
        <f t="shared" si="2"/>
        <v>363840.96</v>
      </c>
      <c r="M739" s="39">
        <f t="shared" si="3"/>
        <v>205892.76</v>
      </c>
      <c r="N739" s="38" t="str">
        <f>VLOOKUP(F739,products!$A$2:$B$13,2,FALSE)</f>
        <v>Snacks</v>
      </c>
      <c r="O739" s="133">
        <f t="shared" si="4"/>
        <v>0.6386158081</v>
      </c>
      <c r="P739" s="38" t="str">
        <f>VLOOKUP(E739,countries!A$2:E$250,3,false)</f>
        <v>Denmark</v>
      </c>
      <c r="Q739" s="38" t="str">
        <f>VLOOKUP($E739,countries!$A$2:$E$250,4,false)</f>
        <v>Europe</v>
      </c>
      <c r="R739" s="38" t="str">
        <f>VLOOKUP($E739,countries!$A$2:$E$250,5,false)</f>
        <v>Northern Europe</v>
      </c>
      <c r="S739" s="38">
        <f t="shared" si="5"/>
        <v>21</v>
      </c>
      <c r="T739" s="38" t="s">
        <v>182</v>
      </c>
      <c r="U739" s="38">
        <v>2012.0</v>
      </c>
      <c r="V739" s="38">
        <v>4.0</v>
      </c>
      <c r="W739" s="38" t="s">
        <v>135</v>
      </c>
      <c r="X739" s="38" t="s">
        <v>205</v>
      </c>
      <c r="Y739" s="38" t="s">
        <v>146</v>
      </c>
      <c r="Z739" s="38" t="s">
        <v>170</v>
      </c>
      <c r="AA739" s="113" t="str">
        <f t="array" ref="AA739">PROPER(G739)</f>
        <v>Online</v>
      </c>
    </row>
    <row r="740">
      <c r="A740" s="110">
        <v>5.86812674E8</v>
      </c>
      <c r="B740" s="131">
        <v>41348.0</v>
      </c>
      <c r="C740" s="131">
        <v>41364.0</v>
      </c>
      <c r="D740" s="110" t="s">
        <v>89</v>
      </c>
      <c r="E740" s="110" t="s">
        <v>111</v>
      </c>
      <c r="F740" s="110">
        <v>8681.0</v>
      </c>
      <c r="G740" s="38" t="s">
        <v>42</v>
      </c>
      <c r="H740" s="110">
        <v>9766.0</v>
      </c>
      <c r="I740" s="132">
        <v>651.21</v>
      </c>
      <c r="J740" s="132">
        <v>524.96</v>
      </c>
      <c r="K740" s="39">
        <f t="shared" si="1"/>
        <v>6359716.86</v>
      </c>
      <c r="L740" s="39">
        <f t="shared" si="2"/>
        <v>5126759.36</v>
      </c>
      <c r="M740" s="39">
        <f t="shared" si="3"/>
        <v>1232957.5</v>
      </c>
      <c r="N740" s="38" t="str">
        <f>VLOOKUP(F740,products!$A$2:$B$13,2,FALSE)</f>
        <v>Office Supplies</v>
      </c>
      <c r="O740" s="133">
        <f t="shared" si="4"/>
        <v>0.806130127</v>
      </c>
      <c r="P740" s="38" t="str">
        <f>VLOOKUP(E740,countries!A$2:E$250,3,false)</f>
        <v>Russia</v>
      </c>
      <c r="Q740" s="38" t="str">
        <f>VLOOKUP($E740,countries!$A$2:$E$250,4,false)</f>
        <v>Europe</v>
      </c>
      <c r="R740" s="38" t="str">
        <f>VLOOKUP($E740,countries!$A$2:$E$250,5,false)</f>
        <v>Eastern Europe</v>
      </c>
      <c r="S740" s="38">
        <f t="shared" si="5"/>
        <v>16</v>
      </c>
      <c r="T740" s="38" t="s">
        <v>153</v>
      </c>
      <c r="U740" s="38">
        <v>2013.0</v>
      </c>
      <c r="V740" s="38">
        <v>3.0</v>
      </c>
      <c r="W740" s="38" t="s">
        <v>111</v>
      </c>
      <c r="X740" s="38" t="s">
        <v>179</v>
      </c>
      <c r="Y740" s="38" t="s">
        <v>146</v>
      </c>
      <c r="Z740" s="38" t="s">
        <v>155</v>
      </c>
      <c r="AA740" s="113" t="str">
        <f t="array" ref="AA740">PROPER(G740)</f>
        <v>Offline</v>
      </c>
    </row>
    <row r="741">
      <c r="A741" s="110">
        <v>5.87598884E8</v>
      </c>
      <c r="B741" s="131">
        <v>42129.0</v>
      </c>
      <c r="C741" s="131">
        <v>42168.0</v>
      </c>
      <c r="D741" s="110" t="s">
        <v>95</v>
      </c>
      <c r="E741" s="110" t="s">
        <v>138</v>
      </c>
      <c r="F741" s="110">
        <v>2103.0</v>
      </c>
      <c r="G741" s="38" t="s">
        <v>43</v>
      </c>
      <c r="H741" s="110">
        <v>2422.0</v>
      </c>
      <c r="I741" s="132">
        <v>205.7</v>
      </c>
      <c r="J741" s="132">
        <v>117.11</v>
      </c>
      <c r="K741" s="39">
        <f t="shared" si="1"/>
        <v>498205.4</v>
      </c>
      <c r="L741" s="39">
        <f t="shared" si="2"/>
        <v>283640.42</v>
      </c>
      <c r="M741" s="39">
        <f t="shared" si="3"/>
        <v>214564.98</v>
      </c>
      <c r="N741" s="38" t="str">
        <f>VLOOKUP(F741,products!$A$2:$B$13,2,FALSE)</f>
        <v>Cereal</v>
      </c>
      <c r="O741" s="133">
        <f t="shared" si="4"/>
        <v>0.5693242586</v>
      </c>
      <c r="P741" s="38" t="str">
        <f>VLOOKUP(E741,countries!A$2:E$250,3,false)</f>
        <v>Greece</v>
      </c>
      <c r="Q741" s="38" t="str">
        <f>VLOOKUP($E741,countries!$A$2:$E$250,4,false)</f>
        <v>Europe</v>
      </c>
      <c r="R741" s="38" t="str">
        <f>VLOOKUP($E741,countries!$A$2:$E$250,5,false)</f>
        <v>Southern Europe</v>
      </c>
      <c r="S741" s="38">
        <f t="shared" si="5"/>
        <v>39</v>
      </c>
      <c r="T741" s="38" t="s">
        <v>144</v>
      </c>
      <c r="U741" s="38">
        <v>2015.0</v>
      </c>
      <c r="V741" s="38">
        <v>5.0</v>
      </c>
      <c r="W741" s="38" t="s">
        <v>138</v>
      </c>
      <c r="X741" s="38" t="s">
        <v>208</v>
      </c>
      <c r="Y741" s="38" t="s">
        <v>146</v>
      </c>
      <c r="Z741" s="38" t="s">
        <v>147</v>
      </c>
      <c r="AA741" s="113" t="str">
        <f t="array" ref="AA741">PROPER(G741)</f>
        <v>Online</v>
      </c>
    </row>
    <row r="742">
      <c r="A742" s="110">
        <v>5.87799727E8</v>
      </c>
      <c r="B742" s="131">
        <v>40589.0</v>
      </c>
      <c r="C742" s="131">
        <v>40629.0</v>
      </c>
      <c r="D742" s="110" t="s">
        <v>93</v>
      </c>
      <c r="E742" s="110" t="s">
        <v>120</v>
      </c>
      <c r="F742" s="110">
        <v>7331.0</v>
      </c>
      <c r="G742" s="38" t="s">
        <v>42</v>
      </c>
      <c r="H742" s="110">
        <v>1856.0</v>
      </c>
      <c r="I742" s="132">
        <v>255.28</v>
      </c>
      <c r="J742" s="132">
        <v>159.42</v>
      </c>
      <c r="K742" s="39">
        <f t="shared" si="1"/>
        <v>473799.68</v>
      </c>
      <c r="L742" s="39">
        <f t="shared" si="2"/>
        <v>295883.52</v>
      </c>
      <c r="M742" s="39">
        <f t="shared" si="3"/>
        <v>177916.16</v>
      </c>
      <c r="N742" s="38" t="str">
        <f>VLOOKUP(F742,products!$A$2:$B$13,2,FALSE)</f>
        <v>Baby Food</v>
      </c>
      <c r="O742" s="133">
        <f t="shared" si="4"/>
        <v>0.6244907552</v>
      </c>
      <c r="P742" s="38" t="str">
        <f>VLOOKUP(E742,countries!A$2:E$250,3,false)</f>
        <v>San Marino</v>
      </c>
      <c r="Q742" s="38" t="str">
        <f>VLOOKUP($E742,countries!$A$2:$E$250,4,false)</f>
        <v>Europe</v>
      </c>
      <c r="R742" s="38" t="str">
        <f>VLOOKUP($E742,countries!$A$2:$E$250,5,false)</f>
        <v>Southern Europe</v>
      </c>
      <c r="S742" s="38">
        <f t="shared" si="5"/>
        <v>40</v>
      </c>
      <c r="T742" s="38" t="s">
        <v>161</v>
      </c>
      <c r="U742" s="38">
        <v>2011.0</v>
      </c>
      <c r="V742" s="38">
        <v>2.0</v>
      </c>
      <c r="W742" s="38" t="s">
        <v>120</v>
      </c>
      <c r="X742" s="38" t="s">
        <v>191</v>
      </c>
      <c r="Y742" s="38" t="s">
        <v>146</v>
      </c>
      <c r="Z742" s="38" t="s">
        <v>147</v>
      </c>
      <c r="AA742" s="113" t="str">
        <f t="array" ref="AA742">PROPER(G742)</f>
        <v>Offline</v>
      </c>
    </row>
    <row r="743">
      <c r="A743" s="110">
        <v>5.87846076E8</v>
      </c>
      <c r="B743" s="131">
        <v>40659.0</v>
      </c>
      <c r="C743" s="131">
        <v>40687.0</v>
      </c>
      <c r="D743" s="110" t="s">
        <v>10</v>
      </c>
      <c r="E743" s="110" t="s">
        <v>132</v>
      </c>
      <c r="F743" s="110">
        <v>3127.0</v>
      </c>
      <c r="G743" s="38" t="s">
        <v>43</v>
      </c>
      <c r="H743" s="110">
        <v>5572.0</v>
      </c>
      <c r="I743" s="132">
        <v>81.73</v>
      </c>
      <c r="J743" s="132">
        <v>56.67</v>
      </c>
      <c r="K743" s="39">
        <f t="shared" si="1"/>
        <v>455399.56</v>
      </c>
      <c r="L743" s="39">
        <f t="shared" si="2"/>
        <v>315765.24</v>
      </c>
      <c r="M743" s="39">
        <f t="shared" si="3"/>
        <v>139634.32</v>
      </c>
      <c r="N743" s="38" t="str">
        <f>VLOOKUP(F743,products!$A$2:$B$13,2,FALSE)</f>
        <v>Personal Care</v>
      </c>
      <c r="O743" s="133">
        <f t="shared" si="4"/>
        <v>0.6933806436</v>
      </c>
      <c r="P743" s="38" t="str">
        <f>VLOOKUP(E743,countries!A$2:E$250,3,false)</f>
        <v>Sweden</v>
      </c>
      <c r="Q743" s="38" t="str">
        <f>VLOOKUP($E743,countries!$A$2:$E$250,4,false)</f>
        <v>Europe</v>
      </c>
      <c r="R743" s="38" t="str">
        <f>VLOOKUP($E743,countries!$A$2:$E$250,5,false)</f>
        <v>Northern Europe</v>
      </c>
      <c r="S743" s="38">
        <f t="shared" si="5"/>
        <v>28</v>
      </c>
      <c r="T743" s="38" t="s">
        <v>185</v>
      </c>
      <c r="U743" s="38">
        <v>2011.0</v>
      </c>
      <c r="V743" s="38">
        <v>4.0</v>
      </c>
      <c r="W743" s="38" t="s">
        <v>132</v>
      </c>
      <c r="X743" s="38" t="s">
        <v>203</v>
      </c>
      <c r="Y743" s="38" t="s">
        <v>146</v>
      </c>
      <c r="Z743" s="38" t="s">
        <v>170</v>
      </c>
      <c r="AA743" s="113" t="str">
        <f t="array" ref="AA743">PROPER(G743)</f>
        <v>Online</v>
      </c>
    </row>
    <row r="744">
      <c r="A744" s="110">
        <v>5.88528859E8</v>
      </c>
      <c r="B744" s="131">
        <v>40797.0</v>
      </c>
      <c r="C744" s="131">
        <v>40828.0</v>
      </c>
      <c r="D744" s="110" t="s">
        <v>93</v>
      </c>
      <c r="E744" s="110" t="s">
        <v>138</v>
      </c>
      <c r="F744" s="110">
        <v>3127.0</v>
      </c>
      <c r="G744" s="38" t="s">
        <v>43</v>
      </c>
      <c r="H744" s="110">
        <v>7623.0</v>
      </c>
      <c r="I744" s="132">
        <v>81.73</v>
      </c>
      <c r="J744" s="132">
        <v>56.67</v>
      </c>
      <c r="K744" s="39">
        <f t="shared" si="1"/>
        <v>623027.79</v>
      </c>
      <c r="L744" s="39">
        <f t="shared" si="2"/>
        <v>431995.41</v>
      </c>
      <c r="M744" s="39">
        <f t="shared" si="3"/>
        <v>191032.38</v>
      </c>
      <c r="N744" s="38" t="str">
        <f>VLOOKUP(F744,products!$A$2:$B$13,2,FALSE)</f>
        <v>Personal Care</v>
      </c>
      <c r="O744" s="133">
        <f t="shared" si="4"/>
        <v>0.6933806436</v>
      </c>
      <c r="P744" s="38" t="str">
        <f>VLOOKUP(E744,countries!A$2:E$250,3,false)</f>
        <v>Greece</v>
      </c>
      <c r="Q744" s="38" t="str">
        <f>VLOOKUP($E744,countries!$A$2:$E$250,4,false)</f>
        <v>Europe</v>
      </c>
      <c r="R744" s="38" t="str">
        <f>VLOOKUP($E744,countries!$A$2:$E$250,5,false)</f>
        <v>Southern Europe</v>
      </c>
      <c r="S744" s="38">
        <f t="shared" si="5"/>
        <v>31</v>
      </c>
      <c r="T744" s="38" t="s">
        <v>185</v>
      </c>
      <c r="U744" s="38">
        <v>2011.0</v>
      </c>
      <c r="V744" s="38">
        <v>9.0</v>
      </c>
      <c r="W744" s="38" t="s">
        <v>138</v>
      </c>
      <c r="X744" s="38" t="s">
        <v>208</v>
      </c>
      <c r="Y744" s="38" t="s">
        <v>146</v>
      </c>
      <c r="Z744" s="38" t="s">
        <v>147</v>
      </c>
      <c r="AA744" s="113" t="str">
        <f t="array" ref="AA744">PROPER(G744)</f>
        <v>Online</v>
      </c>
    </row>
    <row r="745">
      <c r="A745" s="110">
        <v>5.89842927E8</v>
      </c>
      <c r="B745" s="131">
        <v>42530.0</v>
      </c>
      <c r="C745" s="131">
        <v>42579.0</v>
      </c>
      <c r="D745" s="110" t="s">
        <v>89</v>
      </c>
      <c r="E745" s="110" t="s">
        <v>126</v>
      </c>
      <c r="F745" s="110">
        <v>3127.0</v>
      </c>
      <c r="G745" s="38" t="s">
        <v>42</v>
      </c>
      <c r="H745" s="110">
        <v>6485.0</v>
      </c>
      <c r="I745" s="132">
        <v>81.73</v>
      </c>
      <c r="J745" s="132">
        <v>56.67</v>
      </c>
      <c r="K745" s="39">
        <f t="shared" si="1"/>
        <v>530019.05</v>
      </c>
      <c r="L745" s="39">
        <f t="shared" si="2"/>
        <v>367504.95</v>
      </c>
      <c r="M745" s="39">
        <f t="shared" si="3"/>
        <v>162514.1</v>
      </c>
      <c r="N745" s="38" t="str">
        <f>VLOOKUP(F745,products!$A$2:$B$13,2,FALSE)</f>
        <v>Personal Care</v>
      </c>
      <c r="O745" s="133">
        <f t="shared" si="4"/>
        <v>0.6933806436</v>
      </c>
      <c r="P745" s="38" t="str">
        <f>VLOOKUP(E745,countries!A$2:E$250,3,false)</f>
        <v>Italy</v>
      </c>
      <c r="Q745" s="38" t="str">
        <f>VLOOKUP($E745,countries!$A$2:$E$250,4,false)</f>
        <v>Europe</v>
      </c>
      <c r="R745" s="38" t="str">
        <f>VLOOKUP($E745,countries!$A$2:$E$250,5,false)</f>
        <v>Southern Europe</v>
      </c>
      <c r="S745" s="38">
        <f t="shared" si="5"/>
        <v>49</v>
      </c>
      <c r="T745" s="38" t="s">
        <v>185</v>
      </c>
      <c r="U745" s="38">
        <v>2016.0</v>
      </c>
      <c r="V745" s="38">
        <v>6.0</v>
      </c>
      <c r="W745" s="38" t="s">
        <v>126</v>
      </c>
      <c r="X745" s="38" t="s">
        <v>197</v>
      </c>
      <c r="Y745" s="38" t="s">
        <v>146</v>
      </c>
      <c r="Z745" s="38" t="s">
        <v>147</v>
      </c>
      <c r="AA745" s="113" t="str">
        <f t="array" ref="AA745">PROPER(G745)</f>
        <v>Offline</v>
      </c>
    </row>
    <row r="746">
      <c r="A746" s="110">
        <v>5.91287887E8</v>
      </c>
      <c r="B746" s="131">
        <v>40441.0</v>
      </c>
      <c r="C746" s="131">
        <v>40453.0</v>
      </c>
      <c r="D746" s="110" t="s">
        <v>93</v>
      </c>
      <c r="E746" s="110" t="s">
        <v>130</v>
      </c>
      <c r="F746" s="110">
        <v>4594.0</v>
      </c>
      <c r="G746" s="38" t="s">
        <v>42</v>
      </c>
      <c r="H746" s="110">
        <v>4080.0</v>
      </c>
      <c r="I746" s="132">
        <v>9.33</v>
      </c>
      <c r="J746" s="132">
        <v>6.92</v>
      </c>
      <c r="K746" s="39">
        <f t="shared" si="1"/>
        <v>38066.4</v>
      </c>
      <c r="L746" s="39">
        <f t="shared" si="2"/>
        <v>28233.6</v>
      </c>
      <c r="M746" s="39">
        <f t="shared" si="3"/>
        <v>9832.8</v>
      </c>
      <c r="N746" s="38" t="str">
        <f>VLOOKUP(F746,products!$A$2:$B$13,2,FALSE)</f>
        <v>Fruits</v>
      </c>
      <c r="O746" s="133">
        <f t="shared" si="4"/>
        <v>0.741693462</v>
      </c>
      <c r="P746" s="38" t="str">
        <f>VLOOKUP(E746,countries!A$2:E$250,3,false)</f>
        <v>Finland</v>
      </c>
      <c r="Q746" s="38" t="str">
        <f>VLOOKUP($E746,countries!$A$2:$E$250,4,false)</f>
        <v>Europe</v>
      </c>
      <c r="R746" s="38" t="str">
        <f>VLOOKUP($E746,countries!$A$2:$E$250,5,false)</f>
        <v>Northern Europe</v>
      </c>
      <c r="S746" s="38">
        <f t="shared" si="5"/>
        <v>12</v>
      </c>
      <c r="T746" s="38" t="s">
        <v>156</v>
      </c>
      <c r="U746" s="38">
        <v>2010.0</v>
      </c>
      <c r="V746" s="38">
        <v>9.0</v>
      </c>
      <c r="W746" s="38" t="s">
        <v>130</v>
      </c>
      <c r="X746" s="38" t="s">
        <v>201</v>
      </c>
      <c r="Y746" s="38" t="s">
        <v>146</v>
      </c>
      <c r="Z746" s="38" t="s">
        <v>170</v>
      </c>
      <c r="AA746" s="113" t="str">
        <f t="array" ref="AA746">PROPER(G746)</f>
        <v>Offline</v>
      </c>
    </row>
    <row r="747">
      <c r="A747" s="110">
        <v>5.91774117E8</v>
      </c>
      <c r="B747" s="131">
        <v>41767.0</v>
      </c>
      <c r="C747" s="131">
        <v>41789.0</v>
      </c>
      <c r="D747" s="110" t="s">
        <v>89</v>
      </c>
      <c r="E747" s="110" t="s">
        <v>120</v>
      </c>
      <c r="F747" s="110">
        <v>2103.0</v>
      </c>
      <c r="G747" s="38" t="s">
        <v>43</v>
      </c>
      <c r="H747" s="110">
        <v>7967.0</v>
      </c>
      <c r="I747" s="132">
        <v>205.7</v>
      </c>
      <c r="J747" s="132">
        <v>117.11</v>
      </c>
      <c r="K747" s="39">
        <f t="shared" si="1"/>
        <v>1638811.9</v>
      </c>
      <c r="L747" s="39">
        <f t="shared" si="2"/>
        <v>933015.37</v>
      </c>
      <c r="M747" s="39">
        <f t="shared" si="3"/>
        <v>705796.53</v>
      </c>
      <c r="N747" s="38" t="str">
        <f>VLOOKUP(F747,products!$A$2:$B$13,2,FALSE)</f>
        <v>Cereal</v>
      </c>
      <c r="O747" s="133">
        <f t="shared" si="4"/>
        <v>0.5693242586</v>
      </c>
      <c r="P747" s="38" t="str">
        <f>VLOOKUP(E747,countries!A$2:E$250,3,false)</f>
        <v>San Marino</v>
      </c>
      <c r="Q747" s="38" t="str">
        <f>VLOOKUP($E747,countries!$A$2:$E$250,4,false)</f>
        <v>Europe</v>
      </c>
      <c r="R747" s="38" t="str">
        <f>VLOOKUP($E747,countries!$A$2:$E$250,5,false)</f>
        <v>Southern Europe</v>
      </c>
      <c r="S747" s="38">
        <f t="shared" si="5"/>
        <v>22</v>
      </c>
      <c r="T747" s="38" t="s">
        <v>144</v>
      </c>
      <c r="U747" s="38">
        <v>2014.0</v>
      </c>
      <c r="V747" s="38">
        <v>5.0</v>
      </c>
      <c r="W747" s="38" t="s">
        <v>120</v>
      </c>
      <c r="X747" s="38" t="s">
        <v>191</v>
      </c>
      <c r="Y747" s="38" t="s">
        <v>146</v>
      </c>
      <c r="Z747" s="38" t="s">
        <v>147</v>
      </c>
      <c r="AA747" s="113" t="str">
        <f t="array" ref="AA747">PROPER(G747)</f>
        <v>Online</v>
      </c>
    </row>
    <row r="748">
      <c r="A748" s="110">
        <v>5.93018233E8</v>
      </c>
      <c r="B748" s="131">
        <v>41218.0</v>
      </c>
      <c r="C748" s="131">
        <v>41254.0</v>
      </c>
      <c r="D748" s="110" t="s">
        <v>89</v>
      </c>
      <c r="E748" s="110" t="s">
        <v>108</v>
      </c>
      <c r="F748" s="110">
        <v>8969.0</v>
      </c>
      <c r="G748" s="38" t="s">
        <v>43</v>
      </c>
      <c r="H748" s="110">
        <v>6128.0</v>
      </c>
      <c r="I748" s="132">
        <v>152.58</v>
      </c>
      <c r="J748" s="132">
        <v>97.44</v>
      </c>
      <c r="K748" s="39">
        <f t="shared" si="1"/>
        <v>935010.24</v>
      </c>
      <c r="L748" s="39">
        <f t="shared" si="2"/>
        <v>597112.32</v>
      </c>
      <c r="M748" s="39">
        <f t="shared" si="3"/>
        <v>337897.92</v>
      </c>
      <c r="N748" s="38" t="str">
        <f>VLOOKUP(F748,products!$A$2:$B$13,2,FALSE)</f>
        <v>Snacks</v>
      </c>
      <c r="O748" s="133">
        <f t="shared" si="4"/>
        <v>0.6386158081</v>
      </c>
      <c r="P748" s="38" t="str">
        <f>VLOOKUP(E748,countries!A$2:E$250,3,false)</f>
        <v>Cyprus</v>
      </c>
      <c r="Q748" s="38" t="str">
        <f>VLOOKUP($E748,countries!$A$2:$E$250,4,false)</f>
        <v>Asia</v>
      </c>
      <c r="R748" s="38" t="str">
        <f>VLOOKUP($E748,countries!$A$2:$E$250,5,false)</f>
        <v>Western Asia</v>
      </c>
      <c r="S748" s="38">
        <f t="shared" si="5"/>
        <v>36</v>
      </c>
      <c r="T748" s="38" t="s">
        <v>182</v>
      </c>
      <c r="U748" s="38">
        <v>2012.0</v>
      </c>
      <c r="V748" s="38">
        <v>11.0</v>
      </c>
      <c r="W748" s="38" t="s">
        <v>108</v>
      </c>
      <c r="X748" s="38" t="s">
        <v>175</v>
      </c>
      <c r="Y748" s="38" t="s">
        <v>165</v>
      </c>
      <c r="Z748" s="38" t="s">
        <v>166</v>
      </c>
      <c r="AA748" s="113" t="str">
        <f t="array" ref="AA748">PROPER(G748)</f>
        <v>Online</v>
      </c>
    </row>
    <row r="749">
      <c r="A749" s="110">
        <v>5.93158566E8</v>
      </c>
      <c r="B749" s="131">
        <v>41046.0</v>
      </c>
      <c r="C749" s="131">
        <v>41085.0</v>
      </c>
      <c r="D749" s="110" t="s">
        <v>10</v>
      </c>
      <c r="E749" s="110" t="s">
        <v>108</v>
      </c>
      <c r="F749" s="110">
        <v>2455.0</v>
      </c>
      <c r="G749" s="38" t="s">
        <v>43</v>
      </c>
      <c r="H749" s="110">
        <v>7656.0</v>
      </c>
      <c r="I749" s="132">
        <v>109.28</v>
      </c>
      <c r="J749" s="132">
        <v>35.84</v>
      </c>
      <c r="K749" s="39">
        <f t="shared" si="1"/>
        <v>836647.68</v>
      </c>
      <c r="L749" s="39">
        <f t="shared" si="2"/>
        <v>274391.04</v>
      </c>
      <c r="M749" s="39">
        <f t="shared" si="3"/>
        <v>562256.64</v>
      </c>
      <c r="N749" s="38" t="str">
        <f>VLOOKUP(F749,products!$A$2:$B$13,2,FALSE)</f>
        <v>Clothes</v>
      </c>
      <c r="O749" s="133">
        <f t="shared" si="4"/>
        <v>0.3279648609</v>
      </c>
      <c r="P749" s="38" t="str">
        <f>VLOOKUP(E749,countries!A$2:E$250,3,false)</f>
        <v>Cyprus</v>
      </c>
      <c r="Q749" s="38" t="str">
        <f>VLOOKUP($E749,countries!$A$2:$E$250,4,false)</f>
        <v>Asia</v>
      </c>
      <c r="R749" s="38" t="str">
        <f>VLOOKUP($E749,countries!$A$2:$E$250,5,false)</f>
        <v>Western Asia</v>
      </c>
      <c r="S749" s="38">
        <f t="shared" si="5"/>
        <v>39</v>
      </c>
      <c r="T749" s="38" t="s">
        <v>150</v>
      </c>
      <c r="U749" s="38">
        <v>2012.0</v>
      </c>
      <c r="V749" s="38">
        <v>5.0</v>
      </c>
      <c r="W749" s="38" t="s">
        <v>108</v>
      </c>
      <c r="X749" s="38" t="s">
        <v>175</v>
      </c>
      <c r="Y749" s="38" t="s">
        <v>165</v>
      </c>
      <c r="Z749" s="38" t="s">
        <v>166</v>
      </c>
      <c r="AA749" s="113" t="str">
        <f t="array" ref="AA749">PROPER(G749)</f>
        <v>Online</v>
      </c>
    </row>
    <row r="750">
      <c r="A750" s="110">
        <v>5.94699656E8</v>
      </c>
      <c r="B750" s="131">
        <v>42688.0</v>
      </c>
      <c r="C750" s="131">
        <v>42734.0</v>
      </c>
      <c r="D750" s="110" t="s">
        <v>93</v>
      </c>
      <c r="E750" s="110" t="s">
        <v>94</v>
      </c>
      <c r="F750" s="110">
        <v>3127.0</v>
      </c>
      <c r="G750" s="38" t="s">
        <v>42</v>
      </c>
      <c r="H750" s="110">
        <v>3699.0</v>
      </c>
      <c r="I750" s="132">
        <v>81.73</v>
      </c>
      <c r="J750" s="132">
        <v>56.67</v>
      </c>
      <c r="K750" s="39">
        <f t="shared" si="1"/>
        <v>302319.27</v>
      </c>
      <c r="L750" s="39">
        <f t="shared" si="2"/>
        <v>209622.33</v>
      </c>
      <c r="M750" s="39">
        <f t="shared" si="3"/>
        <v>92696.94</v>
      </c>
      <c r="N750" s="38" t="str">
        <f>VLOOKUP(F750,products!$A$2:$B$13,2,FALSE)</f>
        <v>Personal Care</v>
      </c>
      <c r="O750" s="133">
        <f t="shared" si="4"/>
        <v>0.6933806436</v>
      </c>
      <c r="P750" s="38" t="str">
        <f>VLOOKUP(E750,countries!A$2:E$250,3,false)</f>
        <v>Montenegro</v>
      </c>
      <c r="Q750" s="38" t="str">
        <f>VLOOKUP($E750,countries!$A$2:$E$250,4,false)</f>
        <v>Europe</v>
      </c>
      <c r="R750" s="38" t="str">
        <f>VLOOKUP($E750,countries!$A$2:$E$250,5,false)</f>
        <v>Southern Europe</v>
      </c>
      <c r="S750" s="38">
        <f t="shared" si="5"/>
        <v>46</v>
      </c>
      <c r="T750" s="38" t="s">
        <v>185</v>
      </c>
      <c r="U750" s="38">
        <v>2016.0</v>
      </c>
      <c r="V750" s="38">
        <v>11.0</v>
      </c>
      <c r="W750" s="38" t="s">
        <v>94</v>
      </c>
      <c r="X750" s="38" t="s">
        <v>151</v>
      </c>
      <c r="Y750" s="38" t="s">
        <v>146</v>
      </c>
      <c r="Z750" s="38" t="s">
        <v>147</v>
      </c>
      <c r="AA750" s="113" t="str">
        <f t="array" ref="AA750">PROPER(G750)</f>
        <v>Offline</v>
      </c>
    </row>
    <row r="751">
      <c r="A751" s="110">
        <v>5.94813811E8</v>
      </c>
      <c r="B751" s="131">
        <v>41068.0</v>
      </c>
      <c r="C751" s="131">
        <v>41077.0</v>
      </c>
      <c r="D751" s="110" t="s">
        <v>89</v>
      </c>
      <c r="E751" s="110" t="s">
        <v>90</v>
      </c>
      <c r="F751" s="110">
        <v>3127.0</v>
      </c>
      <c r="G751" s="38" t="s">
        <v>42</v>
      </c>
      <c r="H751" s="110">
        <v>7480.0</v>
      </c>
      <c r="I751" s="132">
        <v>81.73</v>
      </c>
      <c r="J751" s="132">
        <v>56.67</v>
      </c>
      <c r="K751" s="39">
        <f t="shared" si="1"/>
        <v>611340.4</v>
      </c>
      <c r="L751" s="39">
        <f t="shared" si="2"/>
        <v>423891.6</v>
      </c>
      <c r="M751" s="39">
        <f t="shared" si="3"/>
        <v>187448.8</v>
      </c>
      <c r="N751" s="38" t="str">
        <f>VLOOKUP(F751,products!$A$2:$B$13,2,FALSE)</f>
        <v>Personal Care</v>
      </c>
      <c r="O751" s="133">
        <f t="shared" si="4"/>
        <v>0.6933806436</v>
      </c>
      <c r="P751" s="38" t="str">
        <f>VLOOKUP(E751,countries!A$2:E$250,3,false)</f>
        <v>Norway</v>
      </c>
      <c r="Q751" s="38" t="str">
        <f>VLOOKUP($E751,countries!$A$2:$E$250,4,false)</f>
        <v>Europe</v>
      </c>
      <c r="R751" s="38" t="str">
        <f>VLOOKUP($E751,countries!$A$2:$E$250,5,false)</f>
        <v>Northern Europe</v>
      </c>
      <c r="S751" s="38">
        <f t="shared" si="5"/>
        <v>9</v>
      </c>
      <c r="T751" s="38" t="s">
        <v>185</v>
      </c>
      <c r="U751" s="38">
        <v>2012.0</v>
      </c>
      <c r="V751" s="38">
        <v>6.0</v>
      </c>
      <c r="W751" s="38" t="s">
        <v>90</v>
      </c>
      <c r="X751" s="38" t="s">
        <v>183</v>
      </c>
      <c r="Y751" s="38" t="s">
        <v>146</v>
      </c>
      <c r="Z751" s="38" t="s">
        <v>170</v>
      </c>
      <c r="AA751" s="113" t="str">
        <f t="array" ref="AA751">PROPER(G751)</f>
        <v>Offline</v>
      </c>
    </row>
    <row r="752">
      <c r="A752" s="110">
        <v>5.94991052E8</v>
      </c>
      <c r="B752" s="131">
        <v>42847.0</v>
      </c>
      <c r="C752" s="131">
        <v>42892.0</v>
      </c>
      <c r="D752" s="110" t="s">
        <v>89</v>
      </c>
      <c r="E752" s="110" t="s">
        <v>107</v>
      </c>
      <c r="F752" s="110">
        <v>8969.0</v>
      </c>
      <c r="G752" s="38" t="s">
        <v>42</v>
      </c>
      <c r="H752" s="110">
        <v>9929.0</v>
      </c>
      <c r="I752" s="132">
        <v>152.58</v>
      </c>
      <c r="J752" s="132">
        <v>97.44</v>
      </c>
      <c r="K752" s="39">
        <f t="shared" si="1"/>
        <v>1514966.82</v>
      </c>
      <c r="L752" s="39">
        <f t="shared" si="2"/>
        <v>967481.76</v>
      </c>
      <c r="M752" s="39">
        <f t="shared" si="3"/>
        <v>547485.06</v>
      </c>
      <c r="N752" s="38" t="str">
        <f>VLOOKUP(F752,products!$A$2:$B$13,2,FALSE)</f>
        <v>Snacks</v>
      </c>
      <c r="O752" s="133">
        <f t="shared" si="4"/>
        <v>0.6386158081</v>
      </c>
      <c r="P752" s="38" t="str">
        <f>VLOOKUP(E752,countries!A$2:E$250,3,false)</f>
        <v>Luxembourg</v>
      </c>
      <c r="Q752" s="38" t="str">
        <f>VLOOKUP($E752,countries!$A$2:$E$250,4,false)</f>
        <v>Europe</v>
      </c>
      <c r="R752" s="38" t="str">
        <f>VLOOKUP($E752,countries!$A$2:$E$250,5,false)</f>
        <v>Western Europe</v>
      </c>
      <c r="S752" s="38">
        <f t="shared" si="5"/>
        <v>45</v>
      </c>
      <c r="T752" s="38" t="s">
        <v>182</v>
      </c>
      <c r="U752" s="38">
        <v>2017.0</v>
      </c>
      <c r="V752" s="38">
        <v>4.0</v>
      </c>
      <c r="W752" s="38" t="s">
        <v>107</v>
      </c>
      <c r="X752" s="38" t="s">
        <v>174</v>
      </c>
      <c r="Y752" s="38" t="s">
        <v>146</v>
      </c>
      <c r="Z752" s="38" t="s">
        <v>158</v>
      </c>
      <c r="AA752" s="113" t="str">
        <f t="array" ref="AA752">PROPER(G752)</f>
        <v>Offline</v>
      </c>
    </row>
    <row r="753">
      <c r="A753" s="110">
        <v>5.95385873E8</v>
      </c>
      <c r="B753" s="131">
        <v>40884.0</v>
      </c>
      <c r="C753" s="131">
        <v>40898.0</v>
      </c>
      <c r="D753" s="110" t="s">
        <v>89</v>
      </c>
      <c r="E753" s="110" t="s">
        <v>107</v>
      </c>
      <c r="F753" s="110">
        <v>3127.0</v>
      </c>
      <c r="G753" s="38" t="s">
        <v>42</v>
      </c>
      <c r="H753" s="110">
        <v>6765.0</v>
      </c>
      <c r="I753" s="132">
        <v>81.73</v>
      </c>
      <c r="J753" s="132">
        <v>56.67</v>
      </c>
      <c r="K753" s="39">
        <f t="shared" si="1"/>
        <v>552903.45</v>
      </c>
      <c r="L753" s="39">
        <f t="shared" si="2"/>
        <v>383372.55</v>
      </c>
      <c r="M753" s="39">
        <f t="shared" si="3"/>
        <v>169530.9</v>
      </c>
      <c r="N753" s="38" t="str">
        <f>VLOOKUP(F753,products!$A$2:$B$13,2,FALSE)</f>
        <v>Personal Care</v>
      </c>
      <c r="O753" s="133">
        <f t="shared" si="4"/>
        <v>0.6933806436</v>
      </c>
      <c r="P753" s="38" t="str">
        <f>VLOOKUP(E753,countries!A$2:E$250,3,false)</f>
        <v>Luxembourg</v>
      </c>
      <c r="Q753" s="38" t="str">
        <f>VLOOKUP($E753,countries!$A$2:$E$250,4,false)</f>
        <v>Europe</v>
      </c>
      <c r="R753" s="38" t="str">
        <f>VLOOKUP($E753,countries!$A$2:$E$250,5,false)</f>
        <v>Western Europe</v>
      </c>
      <c r="S753" s="38">
        <f t="shared" si="5"/>
        <v>14</v>
      </c>
      <c r="T753" s="38" t="s">
        <v>185</v>
      </c>
      <c r="U753" s="38">
        <v>2011.0</v>
      </c>
      <c r="V753" s="38">
        <v>12.0</v>
      </c>
      <c r="W753" s="38" t="s">
        <v>107</v>
      </c>
      <c r="X753" s="38" t="s">
        <v>174</v>
      </c>
      <c r="Y753" s="38" t="s">
        <v>146</v>
      </c>
      <c r="Z753" s="38" t="s">
        <v>158</v>
      </c>
      <c r="AA753" s="113" t="str">
        <f t="array" ref="AA753">PROPER(G753)</f>
        <v>Offline</v>
      </c>
    </row>
    <row r="754">
      <c r="A754" s="110">
        <v>5.95395314E8</v>
      </c>
      <c r="B754" s="131">
        <v>41769.0</v>
      </c>
      <c r="C754" s="131">
        <v>41789.0</v>
      </c>
      <c r="D754" s="110" t="s">
        <v>89</v>
      </c>
      <c r="E754" s="110" t="s">
        <v>120</v>
      </c>
      <c r="F754" s="110">
        <v>1270.0</v>
      </c>
      <c r="G754" s="38" t="s">
        <v>42</v>
      </c>
      <c r="H754" s="110">
        <v>9559.0</v>
      </c>
      <c r="I754" s="132">
        <v>47.45</v>
      </c>
      <c r="J754" s="132">
        <v>31.79</v>
      </c>
      <c r="K754" s="39">
        <f t="shared" si="1"/>
        <v>453574.55</v>
      </c>
      <c r="L754" s="39">
        <f t="shared" si="2"/>
        <v>303880.61</v>
      </c>
      <c r="M754" s="39">
        <f t="shared" si="3"/>
        <v>149693.94</v>
      </c>
      <c r="N754" s="38" t="str">
        <f>VLOOKUP(F754,products!$A$2:$B$13,2,FALSE)</f>
        <v>Beverages</v>
      </c>
      <c r="O754" s="133">
        <f t="shared" si="4"/>
        <v>0.6699683878</v>
      </c>
      <c r="P754" s="38" t="str">
        <f>VLOOKUP(E754,countries!A$2:E$250,3,false)</f>
        <v>San Marino</v>
      </c>
      <c r="Q754" s="38" t="str">
        <f>VLOOKUP($E754,countries!$A$2:$E$250,4,false)</f>
        <v>Europe</v>
      </c>
      <c r="R754" s="38" t="str">
        <f>VLOOKUP($E754,countries!$A$2:$E$250,5,false)</f>
        <v>Southern Europe</v>
      </c>
      <c r="S754" s="38">
        <f t="shared" si="5"/>
        <v>20</v>
      </c>
      <c r="T754" s="38" t="s">
        <v>152</v>
      </c>
      <c r="U754" s="38">
        <v>2014.0</v>
      </c>
      <c r="V754" s="38">
        <v>5.0</v>
      </c>
      <c r="W754" s="38" t="s">
        <v>120</v>
      </c>
      <c r="X754" s="38" t="s">
        <v>191</v>
      </c>
      <c r="Y754" s="38" t="s">
        <v>146</v>
      </c>
      <c r="Z754" s="38" t="s">
        <v>147</v>
      </c>
      <c r="AA754" s="113" t="str">
        <f t="array" ref="AA754">PROPER(G754)</f>
        <v>Offline</v>
      </c>
    </row>
    <row r="755">
      <c r="A755" s="110">
        <v>5.95496594E8</v>
      </c>
      <c r="B755" s="131">
        <v>41206.0</v>
      </c>
      <c r="C755" s="131">
        <v>41217.0</v>
      </c>
      <c r="D755" s="110" t="s">
        <v>95</v>
      </c>
      <c r="E755" s="110" t="s">
        <v>125</v>
      </c>
      <c r="F755" s="110">
        <v>3127.0</v>
      </c>
      <c r="G755" s="38" t="s">
        <v>42</v>
      </c>
      <c r="H755" s="110">
        <v>9530.0</v>
      </c>
      <c r="I755" s="132">
        <v>81.73</v>
      </c>
      <c r="J755" s="132">
        <v>56.67</v>
      </c>
      <c r="K755" s="39">
        <f t="shared" si="1"/>
        <v>778886.9</v>
      </c>
      <c r="L755" s="39">
        <f t="shared" si="2"/>
        <v>540065.1</v>
      </c>
      <c r="M755" s="39">
        <f t="shared" si="3"/>
        <v>238821.8</v>
      </c>
      <c r="N755" s="38" t="str">
        <f>VLOOKUP(F755,products!$A$2:$B$13,2,FALSE)</f>
        <v>Personal Care</v>
      </c>
      <c r="O755" s="133">
        <f t="shared" si="4"/>
        <v>0.6933806436</v>
      </c>
      <c r="P755" s="38" t="str">
        <f>VLOOKUP(E755,countries!A$2:E$250,3,false)</f>
        <v>Bulgaria</v>
      </c>
      <c r="Q755" s="38" t="str">
        <f>VLOOKUP($E755,countries!$A$2:$E$250,4,false)</f>
        <v>Europe</v>
      </c>
      <c r="R755" s="38" t="str">
        <f>VLOOKUP($E755,countries!$A$2:$E$250,5,false)</f>
        <v>Eastern Europe</v>
      </c>
      <c r="S755" s="38">
        <f t="shared" si="5"/>
        <v>11</v>
      </c>
      <c r="T755" s="38" t="s">
        <v>185</v>
      </c>
      <c r="U755" s="38">
        <v>2012.0</v>
      </c>
      <c r="V755" s="38">
        <v>10.0</v>
      </c>
      <c r="W755" s="38" t="s">
        <v>125</v>
      </c>
      <c r="X755" s="38" t="s">
        <v>196</v>
      </c>
      <c r="Y755" s="38" t="s">
        <v>146</v>
      </c>
      <c r="Z755" s="38" t="s">
        <v>155</v>
      </c>
      <c r="AA755" s="113" t="str">
        <f t="array" ref="AA755">PROPER(G755)</f>
        <v>Offline</v>
      </c>
    </row>
    <row r="756">
      <c r="A756" s="110">
        <v>5.95922315E8</v>
      </c>
      <c r="B756" s="131">
        <v>41133.0</v>
      </c>
      <c r="C756" s="131">
        <v>41156.0</v>
      </c>
      <c r="D756" s="110" t="s">
        <v>89</v>
      </c>
      <c r="E756" s="110" t="s">
        <v>135</v>
      </c>
      <c r="F756" s="110">
        <v>8875.0</v>
      </c>
      <c r="G756" s="38" t="s">
        <v>42</v>
      </c>
      <c r="H756" s="110">
        <v>5510.0</v>
      </c>
      <c r="I756" s="132">
        <v>421.89</v>
      </c>
      <c r="J756" s="132">
        <v>364.69</v>
      </c>
      <c r="K756" s="39">
        <f t="shared" si="1"/>
        <v>2324613.9</v>
      </c>
      <c r="L756" s="39">
        <f t="shared" si="2"/>
        <v>2009441.9</v>
      </c>
      <c r="M756" s="39">
        <f t="shared" si="3"/>
        <v>315172</v>
      </c>
      <c r="N756" s="38" t="str">
        <f>VLOOKUP(F756,products!$A$2:$B$13,2,FALSE)</f>
        <v>Meat</v>
      </c>
      <c r="O756" s="133">
        <f t="shared" si="4"/>
        <v>0.8644196354</v>
      </c>
      <c r="P756" s="38" t="str">
        <f>VLOOKUP(E756,countries!A$2:E$250,3,false)</f>
        <v>Denmark</v>
      </c>
      <c r="Q756" s="38" t="str">
        <f>VLOOKUP($E756,countries!$A$2:$E$250,4,false)</f>
        <v>Europe</v>
      </c>
      <c r="R756" s="38" t="str">
        <f>VLOOKUP($E756,countries!$A$2:$E$250,5,false)</f>
        <v>Northern Europe</v>
      </c>
      <c r="S756" s="38">
        <f t="shared" si="5"/>
        <v>23</v>
      </c>
      <c r="T756" s="38" t="s">
        <v>167</v>
      </c>
      <c r="U756" s="38">
        <v>2012.0</v>
      </c>
      <c r="V756" s="38">
        <v>8.0</v>
      </c>
      <c r="W756" s="38" t="s">
        <v>135</v>
      </c>
      <c r="X756" s="38" t="s">
        <v>205</v>
      </c>
      <c r="Y756" s="38" t="s">
        <v>146</v>
      </c>
      <c r="Z756" s="38" t="s">
        <v>170</v>
      </c>
      <c r="AA756" s="113" t="str">
        <f t="array" ref="AA756">PROPER(G756)</f>
        <v>Offline</v>
      </c>
    </row>
    <row r="757">
      <c r="A757" s="110">
        <v>5.96166074E8</v>
      </c>
      <c r="B757" s="131">
        <v>41605.0</v>
      </c>
      <c r="C757" s="131">
        <v>41652.0</v>
      </c>
      <c r="D757" s="110" t="s">
        <v>95</v>
      </c>
      <c r="E757" s="110" t="s">
        <v>100</v>
      </c>
      <c r="F757" s="110">
        <v>7331.0</v>
      </c>
      <c r="G757" s="38" t="s">
        <v>42</v>
      </c>
      <c r="H757" s="110">
        <v>7644.0</v>
      </c>
      <c r="I757" s="132">
        <v>255.28</v>
      </c>
      <c r="J757" s="132">
        <v>159.42</v>
      </c>
      <c r="K757" s="39">
        <f t="shared" si="1"/>
        <v>1951360.32</v>
      </c>
      <c r="L757" s="39">
        <f t="shared" si="2"/>
        <v>1218606.48</v>
      </c>
      <c r="M757" s="39">
        <f t="shared" si="3"/>
        <v>732753.84</v>
      </c>
      <c r="N757" s="38" t="str">
        <f>VLOOKUP(F757,products!$A$2:$B$13,2,FALSE)</f>
        <v>Baby Food</v>
      </c>
      <c r="O757" s="133">
        <f t="shared" si="4"/>
        <v>0.6244907552</v>
      </c>
      <c r="P757" s="38" t="str">
        <f>VLOOKUP(E757,countries!A$2:E$250,3,false)</f>
        <v>Germany</v>
      </c>
      <c r="Q757" s="38" t="str">
        <f>VLOOKUP($E757,countries!$A$2:$E$250,4,false)</f>
        <v>Europe</v>
      </c>
      <c r="R757" s="38" t="str">
        <f>VLOOKUP($E757,countries!$A$2:$E$250,5,false)</f>
        <v>Western Europe</v>
      </c>
      <c r="S757" s="38">
        <f t="shared" si="5"/>
        <v>47</v>
      </c>
      <c r="T757" s="38" t="s">
        <v>161</v>
      </c>
      <c r="U757" s="38">
        <v>2013.0</v>
      </c>
      <c r="V757" s="38">
        <v>11.0</v>
      </c>
      <c r="W757" s="38" t="s">
        <v>100</v>
      </c>
      <c r="X757" s="38" t="s">
        <v>163</v>
      </c>
      <c r="Y757" s="38" t="s">
        <v>146</v>
      </c>
      <c r="Z757" s="38" t="s">
        <v>158</v>
      </c>
      <c r="AA757" s="113" t="str">
        <f t="array" ref="AA757">PROPER(G757)</f>
        <v>Offline</v>
      </c>
    </row>
    <row r="758">
      <c r="A758" s="110">
        <v>5.97105491E8</v>
      </c>
      <c r="B758" s="131">
        <v>41158.0</v>
      </c>
      <c r="C758" s="131">
        <v>41202.0</v>
      </c>
      <c r="D758" s="110" t="s">
        <v>89</v>
      </c>
      <c r="E758" s="110" t="s">
        <v>119</v>
      </c>
      <c r="F758" s="110">
        <v>8969.0</v>
      </c>
      <c r="G758" s="38" t="s">
        <v>42</v>
      </c>
      <c r="H758" s="110">
        <v>5639.0</v>
      </c>
      <c r="I758" s="132">
        <v>152.58</v>
      </c>
      <c r="J758" s="132">
        <v>97.44</v>
      </c>
      <c r="K758" s="39">
        <f t="shared" si="1"/>
        <v>860398.62</v>
      </c>
      <c r="L758" s="39">
        <f t="shared" si="2"/>
        <v>549464.16</v>
      </c>
      <c r="M758" s="39">
        <f t="shared" si="3"/>
        <v>310934.46</v>
      </c>
      <c r="N758" s="38" t="str">
        <f>VLOOKUP(F758,products!$A$2:$B$13,2,FALSE)</f>
        <v>Snacks</v>
      </c>
      <c r="O758" s="133">
        <f t="shared" si="4"/>
        <v>0.6386158081</v>
      </c>
      <c r="P758" s="38" t="str">
        <f>VLOOKUP(E758,countries!A$2:E$250,3,false)</f>
        <v>Macedonia</v>
      </c>
      <c r="Q758" s="38" t="str">
        <f>VLOOKUP($E758,countries!$A$2:$E$250,4,false)</f>
        <v>Europe</v>
      </c>
      <c r="R758" s="38" t="str">
        <f>VLOOKUP($E758,countries!$A$2:$E$250,5,false)</f>
        <v>Southern Europe</v>
      </c>
      <c r="S758" s="38">
        <f t="shared" si="5"/>
        <v>44</v>
      </c>
      <c r="T758" s="38" t="s">
        <v>182</v>
      </c>
      <c r="U758" s="38">
        <v>2012.0</v>
      </c>
      <c r="V758" s="38">
        <v>9.0</v>
      </c>
      <c r="W758" s="38" t="s">
        <v>119</v>
      </c>
      <c r="X758" s="38" t="s">
        <v>190</v>
      </c>
      <c r="Y758" s="38" t="s">
        <v>146</v>
      </c>
      <c r="Z758" s="38" t="s">
        <v>147</v>
      </c>
      <c r="AA758" s="113" t="str">
        <f t="array" ref="AA758">PROPER(G758)</f>
        <v>Offline</v>
      </c>
    </row>
    <row r="759">
      <c r="A759" s="110">
        <v>5.97839343E8</v>
      </c>
      <c r="B759" s="131">
        <v>41808.0</v>
      </c>
      <c r="C759" s="131">
        <v>41846.0</v>
      </c>
      <c r="D759" s="110" t="s">
        <v>10</v>
      </c>
      <c r="E759" s="110" t="s">
        <v>135</v>
      </c>
      <c r="F759" s="110">
        <v>3127.0</v>
      </c>
      <c r="G759" s="38" t="s">
        <v>42</v>
      </c>
      <c r="H759" s="110">
        <v>2802.0</v>
      </c>
      <c r="I759" s="132">
        <v>81.73</v>
      </c>
      <c r="J759" s="132">
        <v>56.67</v>
      </c>
      <c r="K759" s="39">
        <f t="shared" si="1"/>
        <v>229007.46</v>
      </c>
      <c r="L759" s="39">
        <f t="shared" si="2"/>
        <v>158789.34</v>
      </c>
      <c r="M759" s="39">
        <f t="shared" si="3"/>
        <v>70218.12</v>
      </c>
      <c r="N759" s="38" t="str">
        <f>VLOOKUP(F759,products!$A$2:$B$13,2,FALSE)</f>
        <v>Personal Care</v>
      </c>
      <c r="O759" s="133">
        <f t="shared" si="4"/>
        <v>0.6933806436</v>
      </c>
      <c r="P759" s="38" t="str">
        <f>VLOOKUP(E759,countries!A$2:E$250,3,false)</f>
        <v>Denmark</v>
      </c>
      <c r="Q759" s="38" t="str">
        <f>VLOOKUP($E759,countries!$A$2:$E$250,4,false)</f>
        <v>Europe</v>
      </c>
      <c r="R759" s="38" t="str">
        <f>VLOOKUP($E759,countries!$A$2:$E$250,5,false)</f>
        <v>Northern Europe</v>
      </c>
      <c r="S759" s="38">
        <f t="shared" si="5"/>
        <v>38</v>
      </c>
      <c r="T759" s="38" t="s">
        <v>185</v>
      </c>
      <c r="U759" s="38">
        <v>2014.0</v>
      </c>
      <c r="V759" s="38">
        <v>6.0</v>
      </c>
      <c r="W759" s="38" t="s">
        <v>135</v>
      </c>
      <c r="X759" s="38" t="s">
        <v>205</v>
      </c>
      <c r="Y759" s="38" t="s">
        <v>146</v>
      </c>
      <c r="Z759" s="38" t="s">
        <v>170</v>
      </c>
      <c r="AA759" s="113" t="str">
        <f t="array" ref="AA759">PROPER(G759)</f>
        <v>Offline</v>
      </c>
    </row>
    <row r="760">
      <c r="A760" s="110">
        <v>5.98404109E8</v>
      </c>
      <c r="B760" s="131">
        <v>41946.0</v>
      </c>
      <c r="C760" s="131">
        <v>41961.0</v>
      </c>
      <c r="D760" s="110" t="s">
        <v>95</v>
      </c>
      <c r="E760" s="110" t="e">
        <v>#N/A</v>
      </c>
      <c r="F760" s="110">
        <v>4594.0</v>
      </c>
      <c r="G760" s="38" t="s">
        <v>43</v>
      </c>
      <c r="H760" s="110">
        <v>9929.0</v>
      </c>
      <c r="I760" s="132">
        <v>9.33</v>
      </c>
      <c r="J760" s="132">
        <v>6.92</v>
      </c>
      <c r="K760" s="39">
        <f t="shared" si="1"/>
        <v>92637.57</v>
      </c>
      <c r="L760" s="39">
        <f t="shared" si="2"/>
        <v>68708.68</v>
      </c>
      <c r="M760" s="39">
        <f t="shared" si="3"/>
        <v>23928.89</v>
      </c>
      <c r="N760" s="38" t="str">
        <f>VLOOKUP(F760,products!$A$2:$B$13,2,FALSE)</f>
        <v>Fruits</v>
      </c>
      <c r="O760" s="133">
        <f t="shared" si="4"/>
        <v>0.741693462</v>
      </c>
      <c r="P760" s="38" t="str">
        <f>VLOOKUP(E760,countries!A$2:E$250,3,false)</f>
        <v>#N/A</v>
      </c>
      <c r="Q760" s="38" t="str">
        <f>VLOOKUP($E760,countries!$A$2:$E$250,4,false)</f>
        <v>#N/A</v>
      </c>
      <c r="R760" s="38" t="str">
        <f>VLOOKUP($E760,countries!$A$2:$E$250,5,false)</f>
        <v>#N/A</v>
      </c>
      <c r="S760" s="38">
        <f t="shared" si="5"/>
        <v>15</v>
      </c>
      <c r="T760" s="38" t="s">
        <v>156</v>
      </c>
      <c r="U760" s="38">
        <v>2014.0</v>
      </c>
      <c r="V760" s="38">
        <v>11.0</v>
      </c>
      <c r="W760" s="38" t="s">
        <v>92</v>
      </c>
      <c r="X760" s="38" t="s">
        <v>149</v>
      </c>
      <c r="Y760" s="38" t="s">
        <v>149</v>
      </c>
      <c r="Z760" s="38" t="s">
        <v>149</v>
      </c>
      <c r="AA760" s="113" t="str">
        <f t="array" ref="AA760">PROPER(G760)</f>
        <v>Online</v>
      </c>
    </row>
    <row r="761">
      <c r="A761" s="110">
        <v>5.99624192E8</v>
      </c>
      <c r="B761" s="131">
        <v>41155.0</v>
      </c>
      <c r="C761" s="131">
        <v>41173.0</v>
      </c>
      <c r="D761" s="110" t="s">
        <v>93</v>
      </c>
      <c r="E761" s="110" t="s">
        <v>91</v>
      </c>
      <c r="F761" s="110">
        <v>1270.0</v>
      </c>
      <c r="G761" s="38" t="s">
        <v>43</v>
      </c>
      <c r="H761" s="110">
        <v>978.0</v>
      </c>
      <c r="I761" s="132">
        <v>47.45</v>
      </c>
      <c r="J761" s="132">
        <v>31.79</v>
      </c>
      <c r="K761" s="39">
        <f t="shared" si="1"/>
        <v>46406.1</v>
      </c>
      <c r="L761" s="39">
        <f t="shared" si="2"/>
        <v>31090.62</v>
      </c>
      <c r="M761" s="39">
        <f t="shared" si="3"/>
        <v>15315.48</v>
      </c>
      <c r="N761" s="38" t="str">
        <f>VLOOKUP(F761,products!$A$2:$B$13,2,FALSE)</f>
        <v>Beverages</v>
      </c>
      <c r="O761" s="133">
        <f t="shared" si="4"/>
        <v>0.6699683878</v>
      </c>
      <c r="P761" s="38" t="str">
        <f>VLOOKUP(E761,countries!A$2:E$250,3,false)</f>
        <v>Serbia</v>
      </c>
      <c r="Q761" s="38" t="str">
        <f>VLOOKUP($E761,countries!$A$2:$E$250,4,false)</f>
        <v>Europe</v>
      </c>
      <c r="R761" s="38" t="str">
        <f>VLOOKUP($E761,countries!$A$2:$E$250,5,false)</f>
        <v>Southern Europe</v>
      </c>
      <c r="S761" s="38">
        <f t="shared" si="5"/>
        <v>18</v>
      </c>
      <c r="T761" s="38" t="s">
        <v>152</v>
      </c>
      <c r="U761" s="38">
        <v>2012.0</v>
      </c>
      <c r="V761" s="38">
        <v>9.0</v>
      </c>
      <c r="W761" s="38" t="s">
        <v>91</v>
      </c>
      <c r="X761" s="38" t="s">
        <v>145</v>
      </c>
      <c r="Y761" s="38" t="s">
        <v>146</v>
      </c>
      <c r="Z761" s="38" t="s">
        <v>147</v>
      </c>
      <c r="AA761" s="113" t="str">
        <f t="array" ref="AA761">PROPER(G761)</f>
        <v>Online</v>
      </c>
    </row>
    <row r="762">
      <c r="A762" s="110">
        <v>5.99997556E8</v>
      </c>
      <c r="B762" s="131">
        <v>40952.0</v>
      </c>
      <c r="C762" s="131">
        <v>40953.0</v>
      </c>
      <c r="D762" s="110" t="s">
        <v>95</v>
      </c>
      <c r="E762" s="110" t="e">
        <v>#N/A</v>
      </c>
      <c r="F762" s="110">
        <v>1270.0</v>
      </c>
      <c r="G762" s="38" t="s">
        <v>42</v>
      </c>
      <c r="H762" s="110">
        <v>1465.0</v>
      </c>
      <c r="I762" s="132">
        <v>47.45</v>
      </c>
      <c r="J762" s="132">
        <v>31.79</v>
      </c>
      <c r="K762" s="39">
        <f t="shared" si="1"/>
        <v>69514.25</v>
      </c>
      <c r="L762" s="39">
        <f t="shared" si="2"/>
        <v>46572.35</v>
      </c>
      <c r="M762" s="39">
        <f t="shared" si="3"/>
        <v>22941.9</v>
      </c>
      <c r="N762" s="38" t="str">
        <f>VLOOKUP(F762,products!$A$2:$B$13,2,FALSE)</f>
        <v>Beverages</v>
      </c>
      <c r="O762" s="133">
        <f t="shared" si="4"/>
        <v>0.6699683878</v>
      </c>
      <c r="P762" s="38" t="str">
        <f>VLOOKUP(E762,countries!A$2:E$250,3,false)</f>
        <v>#N/A</v>
      </c>
      <c r="Q762" s="38" t="str">
        <f>VLOOKUP($E762,countries!$A$2:$E$250,4,false)</f>
        <v>#N/A</v>
      </c>
      <c r="R762" s="38" t="str">
        <f>VLOOKUP($E762,countries!$A$2:$E$250,5,false)</f>
        <v>#N/A</v>
      </c>
      <c r="S762" s="38">
        <f t="shared" si="5"/>
        <v>1</v>
      </c>
      <c r="T762" s="38" t="s">
        <v>152</v>
      </c>
      <c r="U762" s="38">
        <v>2012.0</v>
      </c>
      <c r="V762" s="38">
        <v>2.0</v>
      </c>
      <c r="W762" s="38" t="s">
        <v>92</v>
      </c>
      <c r="X762" s="38" t="s">
        <v>149</v>
      </c>
      <c r="Y762" s="38" t="s">
        <v>149</v>
      </c>
      <c r="Z762" s="38" t="s">
        <v>149</v>
      </c>
      <c r="AA762" s="113" t="str">
        <f t="array" ref="AA762">PROPER(G762)</f>
        <v>Offline</v>
      </c>
    </row>
    <row r="763">
      <c r="A763" s="110">
        <v>6.00515115E8</v>
      </c>
      <c r="B763" s="131">
        <v>42197.0</v>
      </c>
      <c r="C763" s="131">
        <v>42246.0</v>
      </c>
      <c r="D763" s="110" t="s">
        <v>89</v>
      </c>
      <c r="E763" s="110" t="s">
        <v>108</v>
      </c>
      <c r="F763" s="110">
        <v>4594.0</v>
      </c>
      <c r="G763" s="38" t="s">
        <v>42</v>
      </c>
      <c r="H763" s="110">
        <v>4622.0</v>
      </c>
      <c r="I763" s="132">
        <v>9.33</v>
      </c>
      <c r="J763" s="132">
        <v>6.92</v>
      </c>
      <c r="K763" s="39">
        <f t="shared" si="1"/>
        <v>43123.26</v>
      </c>
      <c r="L763" s="39">
        <f t="shared" si="2"/>
        <v>31984.24</v>
      </c>
      <c r="M763" s="39">
        <f t="shared" si="3"/>
        <v>11139.02</v>
      </c>
      <c r="N763" s="38" t="str">
        <f>VLOOKUP(F763,products!$A$2:$B$13,2,FALSE)</f>
        <v>Fruits</v>
      </c>
      <c r="O763" s="133">
        <f t="shared" si="4"/>
        <v>0.741693462</v>
      </c>
      <c r="P763" s="38" t="str">
        <f>VLOOKUP(E763,countries!A$2:E$250,3,false)</f>
        <v>Cyprus</v>
      </c>
      <c r="Q763" s="38" t="str">
        <f>VLOOKUP($E763,countries!$A$2:$E$250,4,false)</f>
        <v>Asia</v>
      </c>
      <c r="R763" s="38" t="str">
        <f>VLOOKUP($E763,countries!$A$2:$E$250,5,false)</f>
        <v>Western Asia</v>
      </c>
      <c r="S763" s="38">
        <f t="shared" si="5"/>
        <v>49</v>
      </c>
      <c r="T763" s="38" t="s">
        <v>156</v>
      </c>
      <c r="U763" s="38">
        <v>2015.0</v>
      </c>
      <c r="V763" s="38">
        <v>7.0</v>
      </c>
      <c r="W763" s="38" t="s">
        <v>108</v>
      </c>
      <c r="X763" s="38" t="s">
        <v>175</v>
      </c>
      <c r="Y763" s="38" t="s">
        <v>165</v>
      </c>
      <c r="Z763" s="38" t="s">
        <v>166</v>
      </c>
      <c r="AA763" s="113" t="str">
        <f t="array" ref="AA763">PROPER(G763)</f>
        <v>Offline</v>
      </c>
    </row>
    <row r="764">
      <c r="A764" s="110">
        <v>6.01422345E8</v>
      </c>
      <c r="B764" s="131">
        <v>40241.0</v>
      </c>
      <c r="C764" s="131">
        <v>40257.0</v>
      </c>
      <c r="D764" s="110" t="s">
        <v>10</v>
      </c>
      <c r="E764" s="110" t="s">
        <v>121</v>
      </c>
      <c r="F764" s="110">
        <v>1270.0</v>
      </c>
      <c r="G764" s="38" t="s">
        <v>43</v>
      </c>
      <c r="H764" s="110">
        <v>3092.0</v>
      </c>
      <c r="I764" s="132">
        <v>47.45</v>
      </c>
      <c r="J764" s="132">
        <v>31.79</v>
      </c>
      <c r="K764" s="39">
        <f t="shared" si="1"/>
        <v>146715.4</v>
      </c>
      <c r="L764" s="39">
        <f t="shared" si="2"/>
        <v>98294.68</v>
      </c>
      <c r="M764" s="39">
        <f t="shared" si="3"/>
        <v>48420.72</v>
      </c>
      <c r="N764" s="38" t="str">
        <f>VLOOKUP(F764,products!$A$2:$B$13,2,FALSE)</f>
        <v>Beverages</v>
      </c>
      <c r="O764" s="133">
        <f t="shared" si="4"/>
        <v>0.6699683878</v>
      </c>
      <c r="P764" s="38" t="str">
        <f>VLOOKUP(E764,countries!A$2:E$250,3,false)</f>
        <v>Netherlands</v>
      </c>
      <c r="Q764" s="38" t="str">
        <f>VLOOKUP($E764,countries!$A$2:$E$250,4,false)</f>
        <v>Europe</v>
      </c>
      <c r="R764" s="38" t="str">
        <f>VLOOKUP($E764,countries!$A$2:$E$250,5,false)</f>
        <v>Western Europe</v>
      </c>
      <c r="S764" s="38">
        <f t="shared" si="5"/>
        <v>16</v>
      </c>
      <c r="T764" s="38" t="s">
        <v>152</v>
      </c>
      <c r="U764" s="38">
        <v>2010.0</v>
      </c>
      <c r="V764" s="38">
        <v>3.0</v>
      </c>
      <c r="W764" s="38" t="s">
        <v>121</v>
      </c>
      <c r="X764" s="38" t="s">
        <v>192</v>
      </c>
      <c r="Y764" s="38" t="s">
        <v>146</v>
      </c>
      <c r="Z764" s="38" t="s">
        <v>158</v>
      </c>
      <c r="AA764" s="113" t="str">
        <f t="array" ref="AA764">PROPER(G764)</f>
        <v>Online</v>
      </c>
    </row>
    <row r="765">
      <c r="A765" s="110">
        <v>6.01588857E8</v>
      </c>
      <c r="B765" s="131">
        <v>41518.0</v>
      </c>
      <c r="C765" s="131">
        <v>41527.0</v>
      </c>
      <c r="D765" s="110" t="s">
        <v>95</v>
      </c>
      <c r="E765" s="110" t="e">
        <v>#N/A</v>
      </c>
      <c r="F765" s="110">
        <v>2455.0</v>
      </c>
      <c r="G765" s="38" t="s">
        <v>42</v>
      </c>
      <c r="H765" s="110">
        <v>2366.0</v>
      </c>
      <c r="I765" s="132">
        <v>109.28</v>
      </c>
      <c r="J765" s="132">
        <v>35.84</v>
      </c>
      <c r="K765" s="39">
        <f t="shared" si="1"/>
        <v>258556.48</v>
      </c>
      <c r="L765" s="39">
        <f t="shared" si="2"/>
        <v>84797.44</v>
      </c>
      <c r="M765" s="39">
        <f t="shared" si="3"/>
        <v>173759.04</v>
      </c>
      <c r="N765" s="38" t="str">
        <f>VLOOKUP(F765,products!$A$2:$B$13,2,FALSE)</f>
        <v>Clothes</v>
      </c>
      <c r="O765" s="133">
        <f t="shared" si="4"/>
        <v>0.3279648609</v>
      </c>
      <c r="P765" s="38" t="str">
        <f>VLOOKUP(E765,countries!A$2:E$250,3,false)</f>
        <v>#N/A</v>
      </c>
      <c r="Q765" s="38" t="str">
        <f>VLOOKUP($E765,countries!$A$2:$E$250,4,false)</f>
        <v>#N/A</v>
      </c>
      <c r="R765" s="38" t="str">
        <f>VLOOKUP($E765,countries!$A$2:$E$250,5,false)</f>
        <v>#N/A</v>
      </c>
      <c r="S765" s="38">
        <f t="shared" si="5"/>
        <v>9</v>
      </c>
      <c r="T765" s="38" t="s">
        <v>150</v>
      </c>
      <c r="U765" s="38">
        <v>2013.0</v>
      </c>
      <c r="V765" s="38">
        <v>9.0</v>
      </c>
      <c r="W765" s="38" t="s">
        <v>92</v>
      </c>
      <c r="X765" s="38" t="s">
        <v>149</v>
      </c>
      <c r="Y765" s="38" t="s">
        <v>149</v>
      </c>
      <c r="Z765" s="38" t="s">
        <v>149</v>
      </c>
      <c r="AA765" s="113" t="str">
        <f t="array" ref="AA765">PROPER(G765)</f>
        <v>Offline</v>
      </c>
    </row>
    <row r="766">
      <c r="A766" s="110">
        <v>6.0188626E8</v>
      </c>
      <c r="B766" s="131">
        <v>41738.0</v>
      </c>
      <c r="C766" s="131">
        <v>41786.0</v>
      </c>
      <c r="D766" s="110" t="s">
        <v>10</v>
      </c>
      <c r="E766" s="110" t="s">
        <v>97</v>
      </c>
      <c r="F766" s="110">
        <v>4594.0</v>
      </c>
      <c r="G766" s="38" t="s">
        <v>42</v>
      </c>
      <c r="H766" s="110">
        <v>374.0</v>
      </c>
      <c r="I766" s="132">
        <v>9.33</v>
      </c>
      <c r="J766" s="132">
        <v>6.92</v>
      </c>
      <c r="K766" s="39">
        <f t="shared" si="1"/>
        <v>3489.42</v>
      </c>
      <c r="L766" s="39">
        <f t="shared" si="2"/>
        <v>2588.08</v>
      </c>
      <c r="M766" s="39">
        <f t="shared" si="3"/>
        <v>901.34</v>
      </c>
      <c r="N766" s="38" t="str">
        <f>VLOOKUP(F766,products!$A$2:$B$13,2,FALSE)</f>
        <v>Fruits</v>
      </c>
      <c r="O766" s="133">
        <f t="shared" si="4"/>
        <v>0.741693462</v>
      </c>
      <c r="P766" s="38" t="str">
        <f>VLOOKUP(E766,countries!A$2:E$250,3,false)</f>
        <v>France</v>
      </c>
      <c r="Q766" s="38" t="str">
        <f>VLOOKUP($E766,countries!$A$2:$E$250,4,false)</f>
        <v>Europe</v>
      </c>
      <c r="R766" s="38" t="str">
        <f>VLOOKUP($E766,countries!$A$2:$E$250,5,false)</f>
        <v>Western Europe</v>
      </c>
      <c r="S766" s="38">
        <f t="shared" si="5"/>
        <v>48</v>
      </c>
      <c r="T766" s="38" t="s">
        <v>156</v>
      </c>
      <c r="U766" s="38">
        <v>2014.0</v>
      </c>
      <c r="V766" s="38">
        <v>4.0</v>
      </c>
      <c r="W766" s="38" t="s">
        <v>97</v>
      </c>
      <c r="X766" s="38" t="s">
        <v>157</v>
      </c>
      <c r="Y766" s="38" t="s">
        <v>146</v>
      </c>
      <c r="Z766" s="38" t="s">
        <v>158</v>
      </c>
      <c r="AA766" s="113" t="str">
        <f t="array" ref="AA766">PROPER(G766)</f>
        <v>Offline</v>
      </c>
    </row>
    <row r="767">
      <c r="A767" s="110">
        <v>6.01894414E8</v>
      </c>
      <c r="B767" s="131">
        <v>40239.0</v>
      </c>
      <c r="C767" s="131">
        <v>40256.0</v>
      </c>
      <c r="D767" s="110" t="s">
        <v>89</v>
      </c>
      <c r="E767" s="110" t="s">
        <v>96</v>
      </c>
      <c r="F767" s="110">
        <v>8681.0</v>
      </c>
      <c r="G767" s="38" t="s">
        <v>42</v>
      </c>
      <c r="H767" s="110">
        <v>2787.0</v>
      </c>
      <c r="I767" s="132">
        <v>651.21</v>
      </c>
      <c r="J767" s="132">
        <v>524.96</v>
      </c>
      <c r="K767" s="39">
        <f t="shared" si="1"/>
        <v>1814922.27</v>
      </c>
      <c r="L767" s="39">
        <f t="shared" si="2"/>
        <v>1463063.52</v>
      </c>
      <c r="M767" s="39">
        <f t="shared" si="3"/>
        <v>351858.75</v>
      </c>
      <c r="N767" s="38" t="str">
        <f>VLOOKUP(F767,products!$A$2:$B$13,2,FALSE)</f>
        <v>Office Supplies</v>
      </c>
      <c r="O767" s="133">
        <f t="shared" si="4"/>
        <v>0.806130127</v>
      </c>
      <c r="P767" s="38" t="str">
        <f>VLOOKUP(E767,countries!A$2:E$250,3,false)</f>
        <v>Slovakia</v>
      </c>
      <c r="Q767" s="38" t="str">
        <f>VLOOKUP($E767,countries!$A$2:$E$250,4,false)</f>
        <v>Europe</v>
      </c>
      <c r="R767" s="38" t="str">
        <f>VLOOKUP($E767,countries!$A$2:$E$250,5,false)</f>
        <v>Eastern Europe</v>
      </c>
      <c r="S767" s="38">
        <f t="shared" si="5"/>
        <v>17</v>
      </c>
      <c r="T767" s="38" t="s">
        <v>153</v>
      </c>
      <c r="U767" s="38">
        <v>2010.0</v>
      </c>
      <c r="V767" s="38">
        <v>3.0</v>
      </c>
      <c r="W767" s="38" t="s">
        <v>96</v>
      </c>
      <c r="X767" s="38" t="s">
        <v>154</v>
      </c>
      <c r="Y767" s="38" t="s">
        <v>146</v>
      </c>
      <c r="Z767" s="38" t="s">
        <v>155</v>
      </c>
      <c r="AA767" s="113" t="str">
        <f t="array" ref="AA767">PROPER(G767)</f>
        <v>Offline</v>
      </c>
    </row>
    <row r="768">
      <c r="A768" s="110">
        <v>6.02264344E8</v>
      </c>
      <c r="B768" s="131">
        <v>41977.0</v>
      </c>
      <c r="C768" s="131">
        <v>42011.0</v>
      </c>
      <c r="D768" s="110" t="s">
        <v>95</v>
      </c>
      <c r="E768" s="110" t="s">
        <v>112</v>
      </c>
      <c r="F768" s="110">
        <v>8681.0</v>
      </c>
      <c r="G768" s="38" t="s">
        <v>42</v>
      </c>
      <c r="H768" s="110">
        <v>2258.0</v>
      </c>
      <c r="I768" s="132">
        <v>651.21</v>
      </c>
      <c r="J768" s="132">
        <v>524.96</v>
      </c>
      <c r="K768" s="39">
        <f t="shared" si="1"/>
        <v>1470432.18</v>
      </c>
      <c r="L768" s="39">
        <f t="shared" si="2"/>
        <v>1185359.68</v>
      </c>
      <c r="M768" s="39">
        <f t="shared" si="3"/>
        <v>285072.5</v>
      </c>
      <c r="N768" s="38" t="str">
        <f>VLOOKUP(F768,products!$A$2:$B$13,2,FALSE)</f>
        <v>Office Supplies</v>
      </c>
      <c r="O768" s="133">
        <f t="shared" si="4"/>
        <v>0.806130127</v>
      </c>
      <c r="P768" s="38" t="str">
        <f>VLOOKUP(E768,countries!A$2:E$250,3,false)</f>
        <v>Malta</v>
      </c>
      <c r="Q768" s="38" t="str">
        <f>VLOOKUP($E768,countries!$A$2:$E$250,4,false)</f>
        <v>Europe</v>
      </c>
      <c r="R768" s="38" t="str">
        <f>VLOOKUP($E768,countries!$A$2:$E$250,5,false)</f>
        <v>Southern Europe</v>
      </c>
      <c r="S768" s="38">
        <f t="shared" si="5"/>
        <v>34</v>
      </c>
      <c r="T768" s="38" t="s">
        <v>153</v>
      </c>
      <c r="U768" s="38">
        <v>2014.0</v>
      </c>
      <c r="V768" s="38">
        <v>12.0</v>
      </c>
      <c r="W768" s="38" t="s">
        <v>112</v>
      </c>
      <c r="X768" s="38" t="s">
        <v>180</v>
      </c>
      <c r="Y768" s="38" t="s">
        <v>146</v>
      </c>
      <c r="Z768" s="38" t="s">
        <v>147</v>
      </c>
      <c r="AA768" s="113" t="str">
        <f t="array" ref="AA768">PROPER(G768)</f>
        <v>Offline</v>
      </c>
    </row>
    <row r="769">
      <c r="A769" s="110">
        <v>6.02301251E8</v>
      </c>
      <c r="B769" s="131">
        <v>41163.0</v>
      </c>
      <c r="C769" s="131">
        <v>41179.0</v>
      </c>
      <c r="D769" s="110" t="s">
        <v>89</v>
      </c>
      <c r="E769" s="110" t="s">
        <v>126</v>
      </c>
      <c r="F769" s="110">
        <v>2455.0</v>
      </c>
      <c r="G769" s="38" t="s">
        <v>42</v>
      </c>
      <c r="H769" s="110">
        <v>3180.0</v>
      </c>
      <c r="I769" s="132">
        <v>109.28</v>
      </c>
      <c r="J769" s="132">
        <v>35.84</v>
      </c>
      <c r="K769" s="39">
        <f t="shared" si="1"/>
        <v>347510.4</v>
      </c>
      <c r="L769" s="39">
        <f t="shared" si="2"/>
        <v>113971.2</v>
      </c>
      <c r="M769" s="39">
        <f t="shared" si="3"/>
        <v>233539.2</v>
      </c>
      <c r="N769" s="38" t="str">
        <f>VLOOKUP(F769,products!$A$2:$B$13,2,FALSE)</f>
        <v>Clothes</v>
      </c>
      <c r="O769" s="133">
        <f t="shared" si="4"/>
        <v>0.3279648609</v>
      </c>
      <c r="P769" s="38" t="str">
        <f>VLOOKUP(E769,countries!A$2:E$250,3,false)</f>
        <v>Italy</v>
      </c>
      <c r="Q769" s="38" t="str">
        <f>VLOOKUP($E769,countries!$A$2:$E$250,4,false)</f>
        <v>Europe</v>
      </c>
      <c r="R769" s="38" t="str">
        <f>VLOOKUP($E769,countries!$A$2:$E$250,5,false)</f>
        <v>Southern Europe</v>
      </c>
      <c r="S769" s="38">
        <f t="shared" si="5"/>
        <v>16</v>
      </c>
      <c r="T769" s="38" t="s">
        <v>150</v>
      </c>
      <c r="U769" s="38">
        <v>2012.0</v>
      </c>
      <c r="V769" s="38">
        <v>9.0</v>
      </c>
      <c r="W769" s="38" t="s">
        <v>126</v>
      </c>
      <c r="X769" s="38" t="s">
        <v>197</v>
      </c>
      <c r="Y769" s="38" t="s">
        <v>146</v>
      </c>
      <c r="Z769" s="38" t="s">
        <v>147</v>
      </c>
      <c r="AA769" s="113" t="str">
        <f t="array" ref="AA769">PROPER(G769)</f>
        <v>Offline</v>
      </c>
    </row>
    <row r="770">
      <c r="A770" s="110">
        <v>6.02357041E8</v>
      </c>
      <c r="B770" s="131">
        <v>42118.0</v>
      </c>
      <c r="C770" s="131">
        <v>42129.0</v>
      </c>
      <c r="D770" s="110" t="s">
        <v>93</v>
      </c>
      <c r="E770" s="110" t="s">
        <v>111</v>
      </c>
      <c r="F770" s="110">
        <v>3127.0</v>
      </c>
      <c r="G770" s="38" t="s">
        <v>43</v>
      </c>
      <c r="H770" s="110">
        <v>9689.0</v>
      </c>
      <c r="I770" s="132">
        <v>81.73</v>
      </c>
      <c r="J770" s="132">
        <v>56.67</v>
      </c>
      <c r="K770" s="39">
        <f t="shared" si="1"/>
        <v>791881.97</v>
      </c>
      <c r="L770" s="39">
        <f t="shared" si="2"/>
        <v>549075.63</v>
      </c>
      <c r="M770" s="39">
        <f t="shared" si="3"/>
        <v>242806.34</v>
      </c>
      <c r="N770" s="38" t="str">
        <f>VLOOKUP(F770,products!$A$2:$B$13,2,FALSE)</f>
        <v>Personal Care</v>
      </c>
      <c r="O770" s="133">
        <f t="shared" si="4"/>
        <v>0.6933806436</v>
      </c>
      <c r="P770" s="38" t="str">
        <f>VLOOKUP(E770,countries!A$2:E$250,3,false)</f>
        <v>Russia</v>
      </c>
      <c r="Q770" s="38" t="str">
        <f>VLOOKUP($E770,countries!$A$2:$E$250,4,false)</f>
        <v>Europe</v>
      </c>
      <c r="R770" s="38" t="str">
        <f>VLOOKUP($E770,countries!$A$2:$E$250,5,false)</f>
        <v>Eastern Europe</v>
      </c>
      <c r="S770" s="38">
        <f t="shared" si="5"/>
        <v>11</v>
      </c>
      <c r="T770" s="38" t="s">
        <v>185</v>
      </c>
      <c r="U770" s="38">
        <v>2015.0</v>
      </c>
      <c r="V770" s="38">
        <v>4.0</v>
      </c>
      <c r="W770" s="38" t="s">
        <v>111</v>
      </c>
      <c r="X770" s="38" t="s">
        <v>179</v>
      </c>
      <c r="Y770" s="38" t="s">
        <v>146</v>
      </c>
      <c r="Z770" s="38" t="s">
        <v>155</v>
      </c>
      <c r="AA770" s="113" t="str">
        <f t="array" ref="AA770">PROPER(G770)</f>
        <v>Online</v>
      </c>
    </row>
    <row r="771">
      <c r="A771" s="110">
        <v>6.04124295E8</v>
      </c>
      <c r="B771" s="131">
        <v>42079.0</v>
      </c>
      <c r="C771" s="131">
        <v>42096.0</v>
      </c>
      <c r="D771" s="110" t="s">
        <v>10</v>
      </c>
      <c r="E771" s="110" t="s">
        <v>119</v>
      </c>
      <c r="F771" s="110">
        <v>8875.0</v>
      </c>
      <c r="G771" s="38" t="s">
        <v>43</v>
      </c>
      <c r="H771" s="110">
        <v>2659.0</v>
      </c>
      <c r="I771" s="132">
        <v>421.89</v>
      </c>
      <c r="J771" s="132">
        <v>364.69</v>
      </c>
      <c r="K771" s="39">
        <f t="shared" si="1"/>
        <v>1121805.51</v>
      </c>
      <c r="L771" s="39">
        <f t="shared" si="2"/>
        <v>969710.71</v>
      </c>
      <c r="M771" s="39">
        <f t="shared" si="3"/>
        <v>152094.8</v>
      </c>
      <c r="N771" s="38" t="str">
        <f>VLOOKUP(F771,products!$A$2:$B$13,2,FALSE)</f>
        <v>Meat</v>
      </c>
      <c r="O771" s="133">
        <f t="shared" si="4"/>
        <v>0.8644196354</v>
      </c>
      <c r="P771" s="38" t="str">
        <f>VLOOKUP(E771,countries!A$2:E$250,3,false)</f>
        <v>Macedonia</v>
      </c>
      <c r="Q771" s="38" t="str">
        <f>VLOOKUP($E771,countries!$A$2:$E$250,4,false)</f>
        <v>Europe</v>
      </c>
      <c r="R771" s="38" t="str">
        <f>VLOOKUP($E771,countries!$A$2:$E$250,5,false)</f>
        <v>Southern Europe</v>
      </c>
      <c r="S771" s="38">
        <f t="shared" si="5"/>
        <v>17</v>
      </c>
      <c r="T771" s="38" t="s">
        <v>167</v>
      </c>
      <c r="U771" s="38">
        <v>2015.0</v>
      </c>
      <c r="V771" s="38">
        <v>3.0</v>
      </c>
      <c r="W771" s="38" t="s">
        <v>119</v>
      </c>
      <c r="X771" s="38" t="s">
        <v>190</v>
      </c>
      <c r="Y771" s="38" t="s">
        <v>146</v>
      </c>
      <c r="Z771" s="38" t="s">
        <v>147</v>
      </c>
      <c r="AA771" s="113" t="str">
        <f t="array" ref="AA771">PROPER(G771)</f>
        <v>Online</v>
      </c>
    </row>
    <row r="772">
      <c r="A772" s="110">
        <v>6.04494225E8</v>
      </c>
      <c r="B772" s="131">
        <v>41051.0</v>
      </c>
      <c r="C772" s="131">
        <v>41085.0</v>
      </c>
      <c r="D772" s="110" t="s">
        <v>93</v>
      </c>
      <c r="E772" s="110" t="s">
        <v>102</v>
      </c>
      <c r="F772" s="110">
        <v>3127.0</v>
      </c>
      <c r="G772" s="38" t="s">
        <v>42</v>
      </c>
      <c r="H772" s="110">
        <v>2129.0</v>
      </c>
      <c r="I772" s="132">
        <v>81.73</v>
      </c>
      <c r="J772" s="132">
        <v>56.67</v>
      </c>
      <c r="K772" s="39">
        <f t="shared" si="1"/>
        <v>174003.17</v>
      </c>
      <c r="L772" s="39">
        <f t="shared" si="2"/>
        <v>120650.43</v>
      </c>
      <c r="M772" s="39">
        <f t="shared" si="3"/>
        <v>53352.74</v>
      </c>
      <c r="N772" s="38" t="str">
        <f>VLOOKUP(F772,products!$A$2:$B$13,2,FALSE)</f>
        <v>Personal Care</v>
      </c>
      <c r="O772" s="133">
        <f t="shared" si="4"/>
        <v>0.6933806436</v>
      </c>
      <c r="P772" s="38" t="str">
        <f>VLOOKUP(E772,countries!A$2:E$250,3,false)</f>
        <v>Georgia</v>
      </c>
      <c r="Q772" s="38" t="str">
        <f>VLOOKUP($E772,countries!$A$2:$E$250,4,false)</f>
        <v>Asia</v>
      </c>
      <c r="R772" s="38" t="str">
        <f>VLOOKUP($E772,countries!$A$2:$E$250,5,false)</f>
        <v>Western Asia</v>
      </c>
      <c r="S772" s="38">
        <f t="shared" si="5"/>
        <v>34</v>
      </c>
      <c r="T772" s="38" t="s">
        <v>185</v>
      </c>
      <c r="U772" s="38">
        <v>2012.0</v>
      </c>
      <c r="V772" s="38">
        <v>5.0</v>
      </c>
      <c r="W772" s="38" t="s">
        <v>102</v>
      </c>
      <c r="X772" s="38" t="s">
        <v>168</v>
      </c>
      <c r="Y772" s="38" t="s">
        <v>165</v>
      </c>
      <c r="Z772" s="38" t="s">
        <v>166</v>
      </c>
      <c r="AA772" s="113" t="str">
        <f t="array" ref="AA772">PROPER(G772)</f>
        <v>Offline</v>
      </c>
    </row>
    <row r="773">
      <c r="A773" s="110">
        <v>6.0502938E8</v>
      </c>
      <c r="B773" s="131">
        <v>41682.0</v>
      </c>
      <c r="C773" s="131">
        <v>41688.0</v>
      </c>
      <c r="D773" s="110" t="s">
        <v>95</v>
      </c>
      <c r="E773" s="110" t="s">
        <v>97</v>
      </c>
      <c r="F773" s="110">
        <v>4594.0</v>
      </c>
      <c r="G773" s="38" t="s">
        <v>42</v>
      </c>
      <c r="H773" s="110">
        <v>493.0</v>
      </c>
      <c r="I773" s="132">
        <v>9.33</v>
      </c>
      <c r="J773" s="132">
        <v>6.92</v>
      </c>
      <c r="K773" s="39">
        <f t="shared" si="1"/>
        <v>4599.69</v>
      </c>
      <c r="L773" s="39">
        <f t="shared" si="2"/>
        <v>3411.56</v>
      </c>
      <c r="M773" s="39">
        <f t="shared" si="3"/>
        <v>1188.13</v>
      </c>
      <c r="N773" s="38" t="str">
        <f>VLOOKUP(F773,products!$A$2:$B$13,2,FALSE)</f>
        <v>Fruits</v>
      </c>
      <c r="O773" s="133">
        <f t="shared" si="4"/>
        <v>0.741693462</v>
      </c>
      <c r="P773" s="38" t="str">
        <f>VLOOKUP(E773,countries!A$2:E$250,3,false)</f>
        <v>France</v>
      </c>
      <c r="Q773" s="38" t="str">
        <f>VLOOKUP($E773,countries!$A$2:$E$250,4,false)</f>
        <v>Europe</v>
      </c>
      <c r="R773" s="38" t="str">
        <f>VLOOKUP($E773,countries!$A$2:$E$250,5,false)</f>
        <v>Western Europe</v>
      </c>
      <c r="S773" s="38">
        <f t="shared" si="5"/>
        <v>6</v>
      </c>
      <c r="T773" s="38" t="s">
        <v>156</v>
      </c>
      <c r="U773" s="38">
        <v>2014.0</v>
      </c>
      <c r="V773" s="38">
        <v>2.0</v>
      </c>
      <c r="W773" s="38" t="s">
        <v>97</v>
      </c>
      <c r="X773" s="38" t="s">
        <v>157</v>
      </c>
      <c r="Y773" s="38" t="s">
        <v>146</v>
      </c>
      <c r="Z773" s="38" t="s">
        <v>158</v>
      </c>
      <c r="AA773" s="113" t="str">
        <f t="array" ref="AA773">PROPER(G773)</f>
        <v>Offline</v>
      </c>
    </row>
    <row r="774">
      <c r="A774" s="110">
        <v>6.06118571E8</v>
      </c>
      <c r="B774" s="131">
        <v>41949.0</v>
      </c>
      <c r="C774" s="131">
        <v>41961.0</v>
      </c>
      <c r="D774" s="110" t="s">
        <v>95</v>
      </c>
      <c r="E774" s="110" t="s">
        <v>105</v>
      </c>
      <c r="F774" s="110">
        <v>5988.0</v>
      </c>
      <c r="G774" s="38" t="s">
        <v>42</v>
      </c>
      <c r="H774" s="110">
        <v>2809.0</v>
      </c>
      <c r="I774" s="132">
        <v>154.06</v>
      </c>
      <c r="J774" s="132">
        <v>90.93</v>
      </c>
      <c r="K774" s="39">
        <f t="shared" si="1"/>
        <v>432754.54</v>
      </c>
      <c r="L774" s="39">
        <f t="shared" si="2"/>
        <v>255422.37</v>
      </c>
      <c r="M774" s="39">
        <f t="shared" si="3"/>
        <v>177332.17</v>
      </c>
      <c r="N774" s="38" t="str">
        <f>VLOOKUP(F774,products!$A$2:$B$13,2,FALSE)</f>
        <v>Vegetables</v>
      </c>
      <c r="O774" s="133">
        <f t="shared" si="4"/>
        <v>0.5902245878</v>
      </c>
      <c r="P774" s="38" t="str">
        <f>VLOOKUP(E774,countries!A$2:E$250,3,false)</f>
        <v>Romania</v>
      </c>
      <c r="Q774" s="38" t="str">
        <f>VLOOKUP($E774,countries!$A$2:$E$250,4,false)</f>
        <v>Europe</v>
      </c>
      <c r="R774" s="38" t="str">
        <f>VLOOKUP($E774,countries!$A$2:$E$250,5,false)</f>
        <v>Eastern Europe</v>
      </c>
      <c r="S774" s="38">
        <f t="shared" si="5"/>
        <v>12</v>
      </c>
      <c r="T774" s="38" t="s">
        <v>159</v>
      </c>
      <c r="U774" s="38">
        <v>2014.0</v>
      </c>
      <c r="V774" s="38">
        <v>11.0</v>
      </c>
      <c r="W774" s="38" t="s">
        <v>105</v>
      </c>
      <c r="X774" s="38" t="s">
        <v>172</v>
      </c>
      <c r="Y774" s="38" t="s">
        <v>146</v>
      </c>
      <c r="Z774" s="38" t="s">
        <v>155</v>
      </c>
      <c r="AA774" s="113" t="str">
        <f t="array" ref="AA774">PROPER(G774)</f>
        <v>Offline</v>
      </c>
    </row>
    <row r="775">
      <c r="A775" s="110">
        <v>6.06224572E8</v>
      </c>
      <c r="B775" s="131">
        <v>41828.0</v>
      </c>
      <c r="C775" s="131">
        <v>41835.0</v>
      </c>
      <c r="D775" s="110" t="s">
        <v>89</v>
      </c>
      <c r="E775" s="110" t="s">
        <v>135</v>
      </c>
      <c r="F775" s="110">
        <v>8293.0</v>
      </c>
      <c r="G775" s="38" t="s">
        <v>42</v>
      </c>
      <c r="H775" s="110">
        <v>4177.0</v>
      </c>
      <c r="I775" s="132">
        <v>437.2</v>
      </c>
      <c r="J775" s="132">
        <v>263.33</v>
      </c>
      <c r="K775" s="39">
        <f t="shared" si="1"/>
        <v>1826184.4</v>
      </c>
      <c r="L775" s="39">
        <f t="shared" si="2"/>
        <v>1099929.41</v>
      </c>
      <c r="M775" s="39">
        <f t="shared" si="3"/>
        <v>726254.99</v>
      </c>
      <c r="N775" s="38" t="str">
        <f>VLOOKUP(F775,products!$A$2:$B$13,2,FALSE)</f>
        <v>Cosmetics</v>
      </c>
      <c r="O775" s="133">
        <f t="shared" si="4"/>
        <v>0.6023101555</v>
      </c>
      <c r="P775" s="38" t="str">
        <f>VLOOKUP(E775,countries!A$2:E$250,3,false)</f>
        <v>Denmark</v>
      </c>
      <c r="Q775" s="38" t="str">
        <f>VLOOKUP($E775,countries!$A$2:$E$250,4,false)</f>
        <v>Europe</v>
      </c>
      <c r="R775" s="38" t="str">
        <f>VLOOKUP($E775,countries!$A$2:$E$250,5,false)</f>
        <v>Northern Europe</v>
      </c>
      <c r="S775" s="38">
        <f t="shared" si="5"/>
        <v>7</v>
      </c>
      <c r="T775" s="38" t="s">
        <v>178</v>
      </c>
      <c r="U775" s="38">
        <v>2014.0</v>
      </c>
      <c r="V775" s="38">
        <v>7.0</v>
      </c>
      <c r="W775" s="38" t="s">
        <v>135</v>
      </c>
      <c r="X775" s="38" t="s">
        <v>205</v>
      </c>
      <c r="Y775" s="38" t="s">
        <v>146</v>
      </c>
      <c r="Z775" s="38" t="s">
        <v>170</v>
      </c>
      <c r="AA775" s="113" t="str">
        <f t="array" ref="AA775">PROPER(G775)</f>
        <v>Offline</v>
      </c>
    </row>
    <row r="776">
      <c r="A776" s="110">
        <v>6.07620608E8</v>
      </c>
      <c r="B776" s="131">
        <v>40433.0</v>
      </c>
      <c r="C776" s="131">
        <v>40441.0</v>
      </c>
      <c r="D776" s="110" t="s">
        <v>95</v>
      </c>
      <c r="E776" s="110" t="e">
        <v>#N/A</v>
      </c>
      <c r="F776" s="110">
        <v>1270.0</v>
      </c>
      <c r="G776" s="38" t="s">
        <v>43</v>
      </c>
      <c r="H776" s="110">
        <v>7296.0</v>
      </c>
      <c r="I776" s="132">
        <v>47.45</v>
      </c>
      <c r="J776" s="132">
        <v>31.79</v>
      </c>
      <c r="K776" s="39">
        <f t="shared" si="1"/>
        <v>346195.2</v>
      </c>
      <c r="L776" s="39">
        <f t="shared" si="2"/>
        <v>231939.84</v>
      </c>
      <c r="M776" s="39">
        <f t="shared" si="3"/>
        <v>114255.36</v>
      </c>
      <c r="N776" s="38" t="str">
        <f>VLOOKUP(F776,products!$A$2:$B$13,2,FALSE)</f>
        <v>Beverages</v>
      </c>
      <c r="O776" s="133">
        <f t="shared" si="4"/>
        <v>0.6699683878</v>
      </c>
      <c r="P776" s="38" t="str">
        <f>VLOOKUP(E776,countries!A$2:E$250,3,false)</f>
        <v>#N/A</v>
      </c>
      <c r="Q776" s="38" t="str">
        <f>VLOOKUP($E776,countries!$A$2:$E$250,4,false)</f>
        <v>#N/A</v>
      </c>
      <c r="R776" s="38" t="str">
        <f>VLOOKUP($E776,countries!$A$2:$E$250,5,false)</f>
        <v>#N/A</v>
      </c>
      <c r="S776" s="38">
        <f t="shared" si="5"/>
        <v>8</v>
      </c>
      <c r="T776" s="38" t="s">
        <v>152</v>
      </c>
      <c r="U776" s="38">
        <v>2010.0</v>
      </c>
      <c r="V776" s="38">
        <v>9.0</v>
      </c>
      <c r="W776" s="38" t="s">
        <v>92</v>
      </c>
      <c r="X776" s="38" t="s">
        <v>149</v>
      </c>
      <c r="Y776" s="38" t="s">
        <v>149</v>
      </c>
      <c r="Z776" s="38" t="s">
        <v>149</v>
      </c>
      <c r="AA776" s="113" t="str">
        <f t="array" ref="AA776">PROPER(G776)</f>
        <v>Online</v>
      </c>
    </row>
    <row r="777">
      <c r="A777" s="110">
        <v>6.07756221E8</v>
      </c>
      <c r="B777" s="131">
        <v>42585.0</v>
      </c>
      <c r="C777" s="131">
        <v>42593.0</v>
      </c>
      <c r="D777" s="110" t="s">
        <v>95</v>
      </c>
      <c r="E777" s="110" t="s">
        <v>124</v>
      </c>
      <c r="F777" s="110">
        <v>7940.0</v>
      </c>
      <c r="G777" s="38" t="s">
        <v>43</v>
      </c>
      <c r="H777" s="110">
        <v>7426.0</v>
      </c>
      <c r="I777" s="132">
        <v>668.27</v>
      </c>
      <c r="J777" s="132">
        <v>502.54</v>
      </c>
      <c r="K777" s="39">
        <f t="shared" si="1"/>
        <v>4962573.02</v>
      </c>
      <c r="L777" s="39">
        <f t="shared" si="2"/>
        <v>3731862.04</v>
      </c>
      <c r="M777" s="39">
        <f t="shared" si="3"/>
        <v>1230710.98</v>
      </c>
      <c r="N777" s="38" t="str">
        <f>VLOOKUP(F777,products!$A$2:$B$13,2,FALSE)</f>
        <v>Household</v>
      </c>
      <c r="O777" s="133">
        <f t="shared" si="4"/>
        <v>0.7520014365</v>
      </c>
      <c r="P777" s="38" t="str">
        <f>VLOOKUP(E777,countries!A$2:E$250,3,false)</f>
        <v>Latvia</v>
      </c>
      <c r="Q777" s="38" t="str">
        <f>VLOOKUP($E777,countries!$A$2:$E$250,4,false)</f>
        <v>Europe</v>
      </c>
      <c r="R777" s="38" t="str">
        <f>VLOOKUP($E777,countries!$A$2:$E$250,5,false)</f>
        <v>Northern Europe</v>
      </c>
      <c r="S777" s="38">
        <f t="shared" si="5"/>
        <v>8</v>
      </c>
      <c r="T777" s="38" t="s">
        <v>148</v>
      </c>
      <c r="U777" s="38">
        <v>2016.0</v>
      </c>
      <c r="V777" s="38">
        <v>8.0</v>
      </c>
      <c r="W777" s="38" t="s">
        <v>124</v>
      </c>
      <c r="X777" s="38" t="s">
        <v>195</v>
      </c>
      <c r="Y777" s="38" t="s">
        <v>146</v>
      </c>
      <c r="Z777" s="38" t="s">
        <v>170</v>
      </c>
      <c r="AA777" s="113" t="str">
        <f t="array" ref="AA777">PROPER(G777)</f>
        <v>Online</v>
      </c>
    </row>
    <row r="778">
      <c r="A778" s="110">
        <v>6.08374631E8</v>
      </c>
      <c r="B778" s="131">
        <v>42471.0</v>
      </c>
      <c r="C778" s="131">
        <v>42472.0</v>
      </c>
      <c r="D778" s="110" t="s">
        <v>89</v>
      </c>
      <c r="E778" s="110" t="s">
        <v>126</v>
      </c>
      <c r="F778" s="110">
        <v>5988.0</v>
      </c>
      <c r="G778" s="38" t="s">
        <v>42</v>
      </c>
      <c r="H778" s="110">
        <v>428.0</v>
      </c>
      <c r="I778" s="132">
        <v>154.06</v>
      </c>
      <c r="J778" s="132">
        <v>90.93</v>
      </c>
      <c r="K778" s="39">
        <f t="shared" si="1"/>
        <v>65937.68</v>
      </c>
      <c r="L778" s="39">
        <f t="shared" si="2"/>
        <v>38918.04</v>
      </c>
      <c r="M778" s="39">
        <f t="shared" si="3"/>
        <v>27019.64</v>
      </c>
      <c r="N778" s="38" t="str">
        <f>VLOOKUP(F778,products!$A$2:$B$13,2,FALSE)</f>
        <v>Vegetables</v>
      </c>
      <c r="O778" s="133">
        <f t="shared" si="4"/>
        <v>0.5902245878</v>
      </c>
      <c r="P778" s="38" t="str">
        <f>VLOOKUP(E778,countries!A$2:E$250,3,false)</f>
        <v>Italy</v>
      </c>
      <c r="Q778" s="38" t="str">
        <f>VLOOKUP($E778,countries!$A$2:$E$250,4,false)</f>
        <v>Europe</v>
      </c>
      <c r="R778" s="38" t="str">
        <f>VLOOKUP($E778,countries!$A$2:$E$250,5,false)</f>
        <v>Southern Europe</v>
      </c>
      <c r="S778" s="38">
        <f t="shared" si="5"/>
        <v>1</v>
      </c>
      <c r="T778" s="38" t="s">
        <v>159</v>
      </c>
      <c r="U778" s="38">
        <v>2016.0</v>
      </c>
      <c r="V778" s="38">
        <v>4.0</v>
      </c>
      <c r="W778" s="38" t="s">
        <v>126</v>
      </c>
      <c r="X778" s="38" t="s">
        <v>197</v>
      </c>
      <c r="Y778" s="38" t="s">
        <v>146</v>
      </c>
      <c r="Z778" s="38" t="s">
        <v>147</v>
      </c>
      <c r="AA778" s="113" t="str">
        <f t="array" ref="AA778">PROPER(G778)</f>
        <v>Offline</v>
      </c>
    </row>
    <row r="779">
      <c r="A779" s="110">
        <v>6.08451879E8</v>
      </c>
      <c r="B779" s="131">
        <v>41666.0</v>
      </c>
      <c r="C779" s="131">
        <v>41699.0</v>
      </c>
      <c r="D779" s="110" t="s">
        <v>10</v>
      </c>
      <c r="E779" s="110" t="e">
        <v>#N/A</v>
      </c>
      <c r="F779" s="110">
        <v>7331.0</v>
      </c>
      <c r="G779" s="38" t="s">
        <v>43</v>
      </c>
      <c r="H779" s="110">
        <v>3287.0</v>
      </c>
      <c r="I779" s="132">
        <v>255.28</v>
      </c>
      <c r="J779" s="132">
        <v>159.42</v>
      </c>
      <c r="K779" s="39">
        <f t="shared" si="1"/>
        <v>839105.36</v>
      </c>
      <c r="L779" s="39">
        <f t="shared" si="2"/>
        <v>524013.54</v>
      </c>
      <c r="M779" s="39">
        <f t="shared" si="3"/>
        <v>315091.82</v>
      </c>
      <c r="N779" s="38" t="str">
        <f>VLOOKUP(F779,products!$A$2:$B$13,2,FALSE)</f>
        <v>Baby Food</v>
      </c>
      <c r="O779" s="133">
        <f t="shared" si="4"/>
        <v>0.6244907552</v>
      </c>
      <c r="P779" s="38" t="str">
        <f>VLOOKUP(E779,countries!A$2:E$250,3,false)</f>
        <v>#N/A</v>
      </c>
      <c r="Q779" s="38" t="str">
        <f>VLOOKUP($E779,countries!$A$2:$E$250,4,false)</f>
        <v>#N/A</v>
      </c>
      <c r="R779" s="38" t="str">
        <f>VLOOKUP($E779,countries!$A$2:$E$250,5,false)</f>
        <v>#N/A</v>
      </c>
      <c r="S779" s="38">
        <f t="shared" si="5"/>
        <v>33</v>
      </c>
      <c r="T779" s="38" t="s">
        <v>161</v>
      </c>
      <c r="U779" s="38">
        <v>2014.0</v>
      </c>
      <c r="V779" s="38">
        <v>1.0</v>
      </c>
      <c r="W779" s="38" t="s">
        <v>92</v>
      </c>
      <c r="X779" s="38" t="s">
        <v>149</v>
      </c>
      <c r="Y779" s="38" t="s">
        <v>149</v>
      </c>
      <c r="Z779" s="38" t="s">
        <v>149</v>
      </c>
      <c r="AA779" s="113" t="str">
        <f t="array" ref="AA779">PROPER(G779)</f>
        <v>Online</v>
      </c>
    </row>
    <row r="780">
      <c r="A780" s="110">
        <v>6.09939754E8</v>
      </c>
      <c r="B780" s="131">
        <v>41588.0</v>
      </c>
      <c r="C780" s="131">
        <v>41608.0</v>
      </c>
      <c r="D780" s="110" t="s">
        <v>89</v>
      </c>
      <c r="E780" s="110" t="s">
        <v>109</v>
      </c>
      <c r="F780" s="110">
        <v>4594.0</v>
      </c>
      <c r="G780" s="38" t="s">
        <v>43</v>
      </c>
      <c r="H780" s="110">
        <v>3582.0</v>
      </c>
      <c r="I780" s="132">
        <v>9.33</v>
      </c>
      <c r="J780" s="132">
        <v>6.92</v>
      </c>
      <c r="K780" s="39">
        <f t="shared" si="1"/>
        <v>33420.06</v>
      </c>
      <c r="L780" s="39">
        <f t="shared" si="2"/>
        <v>24787.44</v>
      </c>
      <c r="M780" s="39">
        <f t="shared" si="3"/>
        <v>8632.62</v>
      </c>
      <c r="N780" s="38" t="str">
        <f>VLOOKUP(F780,products!$A$2:$B$13,2,FALSE)</f>
        <v>Fruits</v>
      </c>
      <c r="O780" s="133">
        <f t="shared" si="4"/>
        <v>0.741693462</v>
      </c>
      <c r="P780" s="38" t="str">
        <f>VLOOKUP(E780,countries!A$2:E$250,3,false)</f>
        <v>Belgium</v>
      </c>
      <c r="Q780" s="38" t="str">
        <f>VLOOKUP($E780,countries!$A$2:$E$250,4,false)</f>
        <v>Europe</v>
      </c>
      <c r="R780" s="38" t="str">
        <f>VLOOKUP($E780,countries!$A$2:$E$250,5,false)</f>
        <v>Western Europe</v>
      </c>
      <c r="S780" s="38">
        <f t="shared" si="5"/>
        <v>20</v>
      </c>
      <c r="T780" s="38" t="s">
        <v>156</v>
      </c>
      <c r="U780" s="38">
        <v>2013.0</v>
      </c>
      <c r="V780" s="38">
        <v>11.0</v>
      </c>
      <c r="W780" s="38" t="s">
        <v>109</v>
      </c>
      <c r="X780" s="38" t="s">
        <v>176</v>
      </c>
      <c r="Y780" s="38" t="s">
        <v>146</v>
      </c>
      <c r="Z780" s="38" t="s">
        <v>158</v>
      </c>
      <c r="AA780" s="113" t="str">
        <f t="array" ref="AA780">PROPER(G780)</f>
        <v>Online</v>
      </c>
    </row>
    <row r="781">
      <c r="A781" s="110">
        <v>6.09952628E8</v>
      </c>
      <c r="B781" s="131">
        <v>40532.0</v>
      </c>
      <c r="C781" s="131">
        <v>40574.0</v>
      </c>
      <c r="D781" s="110" t="s">
        <v>89</v>
      </c>
      <c r="E781" s="110" t="s">
        <v>111</v>
      </c>
      <c r="F781" s="110">
        <v>8875.0</v>
      </c>
      <c r="G781" s="38" t="s">
        <v>43</v>
      </c>
      <c r="H781" s="110">
        <v>7392.0</v>
      </c>
      <c r="I781" s="132">
        <v>421.89</v>
      </c>
      <c r="J781" s="132">
        <v>364.69</v>
      </c>
      <c r="K781" s="39">
        <f t="shared" si="1"/>
        <v>3118610.88</v>
      </c>
      <c r="L781" s="39">
        <f t="shared" si="2"/>
        <v>2695788.48</v>
      </c>
      <c r="M781" s="39">
        <f t="shared" si="3"/>
        <v>422822.4</v>
      </c>
      <c r="N781" s="38" t="str">
        <f>VLOOKUP(F781,products!$A$2:$B$13,2,FALSE)</f>
        <v>Meat</v>
      </c>
      <c r="O781" s="133">
        <f t="shared" si="4"/>
        <v>0.8644196354</v>
      </c>
      <c r="P781" s="38" t="str">
        <f>VLOOKUP(E781,countries!A$2:E$250,3,false)</f>
        <v>Russia</v>
      </c>
      <c r="Q781" s="38" t="str">
        <f>VLOOKUP($E781,countries!$A$2:$E$250,4,false)</f>
        <v>Europe</v>
      </c>
      <c r="R781" s="38" t="str">
        <f>VLOOKUP($E781,countries!$A$2:$E$250,5,false)</f>
        <v>Eastern Europe</v>
      </c>
      <c r="S781" s="38">
        <f t="shared" si="5"/>
        <v>42</v>
      </c>
      <c r="T781" s="38" t="s">
        <v>167</v>
      </c>
      <c r="U781" s="38">
        <v>2010.0</v>
      </c>
      <c r="V781" s="38">
        <v>12.0</v>
      </c>
      <c r="W781" s="38" t="s">
        <v>111</v>
      </c>
      <c r="X781" s="38" t="s">
        <v>179</v>
      </c>
      <c r="Y781" s="38" t="s">
        <v>146</v>
      </c>
      <c r="Z781" s="38" t="s">
        <v>155</v>
      </c>
      <c r="AA781" s="113" t="str">
        <f t="array" ref="AA781">PROPER(G781)</f>
        <v>Online</v>
      </c>
    </row>
    <row r="782">
      <c r="A782" s="110">
        <v>6.11766231E8</v>
      </c>
      <c r="B782" s="131">
        <v>40564.0</v>
      </c>
      <c r="C782" s="131">
        <v>40600.0</v>
      </c>
      <c r="D782" s="110" t="s">
        <v>10</v>
      </c>
      <c r="E782" s="110" t="s">
        <v>121</v>
      </c>
      <c r="F782" s="110">
        <v>7331.0</v>
      </c>
      <c r="G782" s="38" t="s">
        <v>42</v>
      </c>
      <c r="H782" s="110">
        <v>4077.0</v>
      </c>
      <c r="I782" s="132">
        <v>255.28</v>
      </c>
      <c r="J782" s="132">
        <v>159.42</v>
      </c>
      <c r="K782" s="39">
        <f t="shared" si="1"/>
        <v>1040776.56</v>
      </c>
      <c r="L782" s="39">
        <f t="shared" si="2"/>
        <v>649955.34</v>
      </c>
      <c r="M782" s="39">
        <f t="shared" si="3"/>
        <v>390821.22</v>
      </c>
      <c r="N782" s="38" t="str">
        <f>VLOOKUP(F782,products!$A$2:$B$13,2,FALSE)</f>
        <v>Baby Food</v>
      </c>
      <c r="O782" s="133">
        <f t="shared" si="4"/>
        <v>0.6244907552</v>
      </c>
      <c r="P782" s="38" t="str">
        <f>VLOOKUP(E782,countries!A$2:E$250,3,false)</f>
        <v>Netherlands</v>
      </c>
      <c r="Q782" s="38" t="str">
        <f>VLOOKUP($E782,countries!$A$2:$E$250,4,false)</f>
        <v>Europe</v>
      </c>
      <c r="R782" s="38" t="str">
        <f>VLOOKUP($E782,countries!$A$2:$E$250,5,false)</f>
        <v>Western Europe</v>
      </c>
      <c r="S782" s="38">
        <f t="shared" si="5"/>
        <v>36</v>
      </c>
      <c r="T782" s="38" t="s">
        <v>161</v>
      </c>
      <c r="U782" s="38">
        <v>2011.0</v>
      </c>
      <c r="V782" s="38">
        <v>1.0</v>
      </c>
      <c r="W782" s="38" t="s">
        <v>121</v>
      </c>
      <c r="X782" s="38" t="s">
        <v>192</v>
      </c>
      <c r="Y782" s="38" t="s">
        <v>146</v>
      </c>
      <c r="Z782" s="38" t="s">
        <v>158</v>
      </c>
      <c r="AA782" s="113" t="str">
        <f t="array" ref="AA782">PROPER(G782)</f>
        <v>Offline</v>
      </c>
    </row>
    <row r="783">
      <c r="A783" s="110">
        <v>6.11791121E8</v>
      </c>
      <c r="B783" s="131">
        <v>42394.0</v>
      </c>
      <c r="C783" s="131">
        <v>42432.0</v>
      </c>
      <c r="D783" s="110" t="s">
        <v>10</v>
      </c>
      <c r="E783" s="110" t="s">
        <v>113</v>
      </c>
      <c r="F783" s="110">
        <v>8969.0</v>
      </c>
      <c r="G783" s="38" t="s">
        <v>42</v>
      </c>
      <c r="H783" s="110">
        <v>1443.0</v>
      </c>
      <c r="I783" s="132">
        <v>152.58</v>
      </c>
      <c r="J783" s="132">
        <v>97.44</v>
      </c>
      <c r="K783" s="39">
        <f t="shared" si="1"/>
        <v>220172.94</v>
      </c>
      <c r="L783" s="39">
        <f t="shared" si="2"/>
        <v>140605.92</v>
      </c>
      <c r="M783" s="39">
        <f t="shared" si="3"/>
        <v>79567.02</v>
      </c>
      <c r="N783" s="38" t="str">
        <f>VLOOKUP(F783,products!$A$2:$B$13,2,FALSE)</f>
        <v>Snacks</v>
      </c>
      <c r="O783" s="133">
        <f t="shared" si="4"/>
        <v>0.6386158081</v>
      </c>
      <c r="P783" s="38" t="str">
        <f>VLOOKUP(E783,countries!A$2:E$250,3,false)</f>
        <v>Ukraine</v>
      </c>
      <c r="Q783" s="38" t="str">
        <f>VLOOKUP($E783,countries!$A$2:$E$250,4,false)</f>
        <v>Europe</v>
      </c>
      <c r="R783" s="38" t="str">
        <f>VLOOKUP($E783,countries!$A$2:$E$250,5,false)</f>
        <v>Eastern Europe</v>
      </c>
      <c r="S783" s="38">
        <f t="shared" si="5"/>
        <v>38</v>
      </c>
      <c r="T783" s="38" t="s">
        <v>182</v>
      </c>
      <c r="U783" s="38">
        <v>2016.0</v>
      </c>
      <c r="V783" s="38">
        <v>1.0</v>
      </c>
      <c r="W783" s="38" t="s">
        <v>113</v>
      </c>
      <c r="X783" s="38" t="s">
        <v>181</v>
      </c>
      <c r="Y783" s="38" t="s">
        <v>146</v>
      </c>
      <c r="Z783" s="38" t="s">
        <v>155</v>
      </c>
      <c r="AA783" s="113" t="str">
        <f t="array" ref="AA783">PROPER(G783)</f>
        <v>Offline</v>
      </c>
    </row>
    <row r="784">
      <c r="A784" s="110">
        <v>6.13166129E8</v>
      </c>
      <c r="B784" s="131">
        <v>40788.0</v>
      </c>
      <c r="C784" s="131">
        <v>40837.0</v>
      </c>
      <c r="D784" s="110" t="s">
        <v>89</v>
      </c>
      <c r="E784" s="110" t="s">
        <v>116</v>
      </c>
      <c r="F784" s="110">
        <v>8293.0</v>
      </c>
      <c r="G784" s="38" t="s">
        <v>42</v>
      </c>
      <c r="H784" s="110">
        <v>8338.0</v>
      </c>
      <c r="I784" s="132">
        <v>437.2</v>
      </c>
      <c r="J784" s="132">
        <v>263.33</v>
      </c>
      <c r="K784" s="39">
        <f t="shared" si="1"/>
        <v>3645373.6</v>
      </c>
      <c r="L784" s="39">
        <f t="shared" si="2"/>
        <v>2195645.54</v>
      </c>
      <c r="M784" s="39">
        <f t="shared" si="3"/>
        <v>1449728.06</v>
      </c>
      <c r="N784" s="38" t="str">
        <f>VLOOKUP(F784,products!$A$2:$B$13,2,FALSE)</f>
        <v>Cosmetics</v>
      </c>
      <c r="O784" s="133">
        <f t="shared" si="4"/>
        <v>0.6023101555</v>
      </c>
      <c r="P784" s="38" t="str">
        <f>VLOOKUP(E784,countries!A$2:E$250,3,false)</f>
        <v>Belarus</v>
      </c>
      <c r="Q784" s="38" t="str">
        <f>VLOOKUP($E784,countries!$A$2:$E$250,4,false)</f>
        <v>Europe</v>
      </c>
      <c r="R784" s="38" t="str">
        <f>VLOOKUP($E784,countries!$A$2:$E$250,5,false)</f>
        <v>Eastern Europe</v>
      </c>
      <c r="S784" s="38">
        <f t="shared" si="5"/>
        <v>49</v>
      </c>
      <c r="T784" s="38" t="s">
        <v>178</v>
      </c>
      <c r="U784" s="38">
        <v>2011.0</v>
      </c>
      <c r="V784" s="38">
        <v>9.0</v>
      </c>
      <c r="W784" s="38" t="s">
        <v>116</v>
      </c>
      <c r="X784" s="38" t="s">
        <v>187</v>
      </c>
      <c r="Y784" s="38" t="s">
        <v>146</v>
      </c>
      <c r="Z784" s="38" t="s">
        <v>155</v>
      </c>
      <c r="AA784" s="113" t="str">
        <f t="array" ref="AA784">PROPER(G784)</f>
        <v>Offline</v>
      </c>
    </row>
    <row r="785">
      <c r="A785" s="110">
        <v>6.14054477E8</v>
      </c>
      <c r="B785" s="131">
        <v>42594.0</v>
      </c>
      <c r="C785" s="131">
        <v>42598.0</v>
      </c>
      <c r="D785" s="110" t="s">
        <v>10</v>
      </c>
      <c r="E785" s="110" t="s">
        <v>116</v>
      </c>
      <c r="F785" s="110">
        <v>5988.0</v>
      </c>
      <c r="G785" s="38" t="s">
        <v>43</v>
      </c>
      <c r="H785" s="110">
        <v>1220.0</v>
      </c>
      <c r="I785" s="132">
        <v>154.06</v>
      </c>
      <c r="J785" s="132">
        <v>90.93</v>
      </c>
      <c r="K785" s="39">
        <f t="shared" si="1"/>
        <v>187953.2</v>
      </c>
      <c r="L785" s="39">
        <f t="shared" si="2"/>
        <v>110934.6</v>
      </c>
      <c r="M785" s="39">
        <f t="shared" si="3"/>
        <v>77018.6</v>
      </c>
      <c r="N785" s="38" t="str">
        <f>VLOOKUP(F785,products!$A$2:$B$13,2,FALSE)</f>
        <v>Vegetables</v>
      </c>
      <c r="O785" s="133">
        <f t="shared" si="4"/>
        <v>0.5902245878</v>
      </c>
      <c r="P785" s="38" t="str">
        <f>VLOOKUP(E785,countries!A$2:E$250,3,false)</f>
        <v>Belarus</v>
      </c>
      <c r="Q785" s="38" t="str">
        <f>VLOOKUP($E785,countries!$A$2:$E$250,4,false)</f>
        <v>Europe</v>
      </c>
      <c r="R785" s="38" t="str">
        <f>VLOOKUP($E785,countries!$A$2:$E$250,5,false)</f>
        <v>Eastern Europe</v>
      </c>
      <c r="S785" s="38">
        <f t="shared" si="5"/>
        <v>4</v>
      </c>
      <c r="T785" s="38" t="s">
        <v>159</v>
      </c>
      <c r="U785" s="38">
        <v>2016.0</v>
      </c>
      <c r="V785" s="38">
        <v>8.0</v>
      </c>
      <c r="W785" s="38" t="s">
        <v>116</v>
      </c>
      <c r="X785" s="38" t="s">
        <v>187</v>
      </c>
      <c r="Y785" s="38" t="s">
        <v>146</v>
      </c>
      <c r="Z785" s="38" t="s">
        <v>155</v>
      </c>
      <c r="AA785" s="113" t="str">
        <f t="array" ref="AA785">PROPER(G785)</f>
        <v>Online</v>
      </c>
    </row>
    <row r="786">
      <c r="A786" s="110">
        <v>6.14321839E8</v>
      </c>
      <c r="B786" s="131">
        <v>42513.0</v>
      </c>
      <c r="C786" s="131">
        <v>42556.0</v>
      </c>
      <c r="D786" s="110" t="s">
        <v>95</v>
      </c>
      <c r="E786" s="110" t="s">
        <v>120</v>
      </c>
      <c r="F786" s="110">
        <v>8875.0</v>
      </c>
      <c r="G786" s="38" t="s">
        <v>43</v>
      </c>
      <c r="H786" s="110">
        <v>339.0</v>
      </c>
      <c r="I786" s="132">
        <v>421.89</v>
      </c>
      <c r="J786" s="132">
        <v>364.69</v>
      </c>
      <c r="K786" s="39">
        <f t="shared" si="1"/>
        <v>143020.71</v>
      </c>
      <c r="L786" s="39">
        <f t="shared" si="2"/>
        <v>123629.91</v>
      </c>
      <c r="M786" s="39">
        <f t="shared" si="3"/>
        <v>19390.8</v>
      </c>
      <c r="N786" s="38" t="str">
        <f>VLOOKUP(F786,products!$A$2:$B$13,2,FALSE)</f>
        <v>Meat</v>
      </c>
      <c r="O786" s="133">
        <f t="shared" si="4"/>
        <v>0.8644196354</v>
      </c>
      <c r="P786" s="38" t="str">
        <f>VLOOKUP(E786,countries!A$2:E$250,3,false)</f>
        <v>San Marino</v>
      </c>
      <c r="Q786" s="38" t="str">
        <f>VLOOKUP($E786,countries!$A$2:$E$250,4,false)</f>
        <v>Europe</v>
      </c>
      <c r="R786" s="38" t="str">
        <f>VLOOKUP($E786,countries!$A$2:$E$250,5,false)</f>
        <v>Southern Europe</v>
      </c>
      <c r="S786" s="38">
        <f t="shared" si="5"/>
        <v>43</v>
      </c>
      <c r="T786" s="38" t="s">
        <v>167</v>
      </c>
      <c r="U786" s="38">
        <v>2016.0</v>
      </c>
      <c r="V786" s="38">
        <v>5.0</v>
      </c>
      <c r="W786" s="38" t="s">
        <v>120</v>
      </c>
      <c r="X786" s="38" t="s">
        <v>191</v>
      </c>
      <c r="Y786" s="38" t="s">
        <v>146</v>
      </c>
      <c r="Z786" s="38" t="s">
        <v>147</v>
      </c>
      <c r="AA786" s="113" t="str">
        <f t="array" ref="AA786">PROPER(G786)</f>
        <v>Online</v>
      </c>
    </row>
    <row r="787">
      <c r="A787" s="110">
        <v>6.14597785E8</v>
      </c>
      <c r="B787" s="131">
        <v>41727.0</v>
      </c>
      <c r="C787" s="131">
        <v>41773.0</v>
      </c>
      <c r="D787" s="110" t="s">
        <v>10</v>
      </c>
      <c r="E787" s="110" t="s">
        <v>94</v>
      </c>
      <c r="F787" s="110">
        <v>8293.0</v>
      </c>
      <c r="G787" s="38" t="s">
        <v>42</v>
      </c>
      <c r="H787" s="110">
        <v>1997.0</v>
      </c>
      <c r="I787" s="132">
        <v>437.2</v>
      </c>
      <c r="J787" s="132">
        <v>263.33</v>
      </c>
      <c r="K787" s="39">
        <f t="shared" si="1"/>
        <v>873088.4</v>
      </c>
      <c r="L787" s="39">
        <f t="shared" si="2"/>
        <v>525870.01</v>
      </c>
      <c r="M787" s="39">
        <f t="shared" si="3"/>
        <v>347218.39</v>
      </c>
      <c r="N787" s="38" t="str">
        <f>VLOOKUP(F787,products!$A$2:$B$13,2,FALSE)</f>
        <v>Cosmetics</v>
      </c>
      <c r="O787" s="133">
        <f t="shared" si="4"/>
        <v>0.6023101555</v>
      </c>
      <c r="P787" s="38" t="str">
        <f>VLOOKUP(E787,countries!A$2:E$250,3,false)</f>
        <v>Montenegro</v>
      </c>
      <c r="Q787" s="38" t="str">
        <f>VLOOKUP($E787,countries!$A$2:$E$250,4,false)</f>
        <v>Europe</v>
      </c>
      <c r="R787" s="38" t="str">
        <f>VLOOKUP($E787,countries!$A$2:$E$250,5,false)</f>
        <v>Southern Europe</v>
      </c>
      <c r="S787" s="38">
        <f t="shared" si="5"/>
        <v>46</v>
      </c>
      <c r="T787" s="38" t="s">
        <v>178</v>
      </c>
      <c r="U787" s="38">
        <v>2014.0</v>
      </c>
      <c r="V787" s="38">
        <v>3.0</v>
      </c>
      <c r="W787" s="38" t="s">
        <v>94</v>
      </c>
      <c r="X787" s="38" t="s">
        <v>151</v>
      </c>
      <c r="Y787" s="38" t="s">
        <v>146</v>
      </c>
      <c r="Z787" s="38" t="s">
        <v>147</v>
      </c>
      <c r="AA787" s="113" t="str">
        <f t="array" ref="AA787">PROPER(G787)</f>
        <v>Offline</v>
      </c>
    </row>
    <row r="788">
      <c r="A788" s="110">
        <v>6.15080583E8</v>
      </c>
      <c r="B788" s="131">
        <v>42227.0</v>
      </c>
      <c r="C788" s="131">
        <v>42266.0</v>
      </c>
      <c r="D788" s="110" t="s">
        <v>10</v>
      </c>
      <c r="E788" s="110" t="s">
        <v>115</v>
      </c>
      <c r="F788" s="110">
        <v>2103.0</v>
      </c>
      <c r="G788" s="38" t="s">
        <v>43</v>
      </c>
      <c r="H788" s="110">
        <v>4868.0</v>
      </c>
      <c r="I788" s="132">
        <v>205.7</v>
      </c>
      <c r="J788" s="132">
        <v>117.11</v>
      </c>
      <c r="K788" s="39">
        <f t="shared" si="1"/>
        <v>1001347.6</v>
      </c>
      <c r="L788" s="39">
        <f t="shared" si="2"/>
        <v>570091.48</v>
      </c>
      <c r="M788" s="39">
        <f t="shared" si="3"/>
        <v>431256.12</v>
      </c>
      <c r="N788" s="38" t="str">
        <f>VLOOKUP(F788,products!$A$2:$B$13,2,FALSE)</f>
        <v>Cereal</v>
      </c>
      <c r="O788" s="133">
        <f t="shared" si="4"/>
        <v>0.5693242586</v>
      </c>
      <c r="P788" s="38" t="str">
        <f>VLOOKUP(E788,countries!A$2:E$250,3,false)</f>
        <v>Portugal</v>
      </c>
      <c r="Q788" s="38" t="str">
        <f>VLOOKUP($E788,countries!$A$2:$E$250,4,false)</f>
        <v>Europe</v>
      </c>
      <c r="R788" s="38" t="str">
        <f>VLOOKUP($E788,countries!$A$2:$E$250,5,false)</f>
        <v>Southern Europe</v>
      </c>
      <c r="S788" s="38">
        <f t="shared" si="5"/>
        <v>39</v>
      </c>
      <c r="T788" s="38" t="s">
        <v>144</v>
      </c>
      <c r="U788" s="38">
        <v>2015.0</v>
      </c>
      <c r="V788" s="38">
        <v>8.0</v>
      </c>
      <c r="W788" s="38" t="s">
        <v>115</v>
      </c>
      <c r="X788" s="38" t="s">
        <v>186</v>
      </c>
      <c r="Y788" s="38" t="s">
        <v>146</v>
      </c>
      <c r="Z788" s="38" t="s">
        <v>147</v>
      </c>
      <c r="AA788" s="113" t="str">
        <f t="array" ref="AA788">PROPER(G788)</f>
        <v>Online</v>
      </c>
    </row>
    <row r="789">
      <c r="A789" s="110">
        <v>6.15290009E8</v>
      </c>
      <c r="B789" s="131">
        <v>42749.0</v>
      </c>
      <c r="C789" s="131">
        <v>42753.0</v>
      </c>
      <c r="D789" s="110" t="s">
        <v>89</v>
      </c>
      <c r="E789" s="110" t="s">
        <v>100</v>
      </c>
      <c r="F789" s="110">
        <v>8875.0</v>
      </c>
      <c r="G789" s="38" t="s">
        <v>42</v>
      </c>
      <c r="H789" s="110">
        <v>6842.0</v>
      </c>
      <c r="I789" s="132">
        <v>421.89</v>
      </c>
      <c r="J789" s="132">
        <v>364.69</v>
      </c>
      <c r="K789" s="39">
        <f t="shared" si="1"/>
        <v>2886571.38</v>
      </c>
      <c r="L789" s="39">
        <f t="shared" si="2"/>
        <v>2495208.98</v>
      </c>
      <c r="M789" s="39">
        <f t="shared" si="3"/>
        <v>391362.4</v>
      </c>
      <c r="N789" s="38" t="str">
        <f>VLOOKUP(F789,products!$A$2:$B$13,2,FALSE)</f>
        <v>Meat</v>
      </c>
      <c r="O789" s="133">
        <f t="shared" si="4"/>
        <v>0.8644196354</v>
      </c>
      <c r="P789" s="38" t="str">
        <f>VLOOKUP(E789,countries!A$2:E$250,3,false)</f>
        <v>Germany</v>
      </c>
      <c r="Q789" s="38" t="str">
        <f>VLOOKUP($E789,countries!$A$2:$E$250,4,false)</f>
        <v>Europe</v>
      </c>
      <c r="R789" s="38" t="str">
        <f>VLOOKUP($E789,countries!$A$2:$E$250,5,false)</f>
        <v>Western Europe</v>
      </c>
      <c r="S789" s="38">
        <f t="shared" si="5"/>
        <v>4</v>
      </c>
      <c r="T789" s="38" t="s">
        <v>167</v>
      </c>
      <c r="U789" s="38">
        <v>2017.0</v>
      </c>
      <c r="V789" s="38">
        <v>1.0</v>
      </c>
      <c r="W789" s="38" t="s">
        <v>100</v>
      </c>
      <c r="X789" s="38" t="s">
        <v>163</v>
      </c>
      <c r="Y789" s="38" t="s">
        <v>146</v>
      </c>
      <c r="Z789" s="38" t="s">
        <v>158</v>
      </c>
      <c r="AA789" s="113" t="str">
        <f t="array" ref="AA789">PROPER(G789)</f>
        <v>Offline</v>
      </c>
    </row>
    <row r="790">
      <c r="A790" s="110">
        <v>6.1677531E8</v>
      </c>
      <c r="B790" s="131">
        <v>40670.0</v>
      </c>
      <c r="C790" s="131">
        <v>40687.0</v>
      </c>
      <c r="D790" s="110" t="s">
        <v>10</v>
      </c>
      <c r="E790" s="110" t="e">
        <v>#N/A</v>
      </c>
      <c r="F790" s="110">
        <v>8681.0</v>
      </c>
      <c r="G790" s="38" t="s">
        <v>42</v>
      </c>
      <c r="H790" s="110">
        <v>6375.0</v>
      </c>
      <c r="I790" s="132">
        <v>651.21</v>
      </c>
      <c r="J790" s="132">
        <v>524.96</v>
      </c>
      <c r="K790" s="39">
        <f t="shared" si="1"/>
        <v>4151463.75</v>
      </c>
      <c r="L790" s="39">
        <f t="shared" si="2"/>
        <v>3346620</v>
      </c>
      <c r="M790" s="39">
        <f t="shared" si="3"/>
        <v>804843.75</v>
      </c>
      <c r="N790" s="38" t="str">
        <f>VLOOKUP(F790,products!$A$2:$B$13,2,FALSE)</f>
        <v>Office Supplies</v>
      </c>
      <c r="O790" s="133">
        <f t="shared" si="4"/>
        <v>0.806130127</v>
      </c>
      <c r="P790" s="38" t="str">
        <f>VLOOKUP(E790,countries!A$2:E$250,3,false)</f>
        <v>#N/A</v>
      </c>
      <c r="Q790" s="38" t="str">
        <f>VLOOKUP($E790,countries!$A$2:$E$250,4,false)</f>
        <v>#N/A</v>
      </c>
      <c r="R790" s="38" t="str">
        <f>VLOOKUP($E790,countries!$A$2:$E$250,5,false)</f>
        <v>#N/A</v>
      </c>
      <c r="S790" s="38">
        <f t="shared" si="5"/>
        <v>17</v>
      </c>
      <c r="T790" s="38" t="s">
        <v>153</v>
      </c>
      <c r="U790" s="38">
        <v>2011.0</v>
      </c>
      <c r="V790" s="38">
        <v>5.0</v>
      </c>
      <c r="W790" s="38" t="s">
        <v>92</v>
      </c>
      <c r="X790" s="38" t="s">
        <v>149</v>
      </c>
      <c r="Y790" s="38" t="s">
        <v>149</v>
      </c>
      <c r="Z790" s="38" t="s">
        <v>149</v>
      </c>
      <c r="AA790" s="113" t="str">
        <f t="array" ref="AA790">PROPER(G790)</f>
        <v>Offline</v>
      </c>
    </row>
    <row r="791">
      <c r="A791" s="110">
        <v>6.21577537E8</v>
      </c>
      <c r="B791" s="131">
        <v>42256.0</v>
      </c>
      <c r="C791" s="131">
        <v>42263.0</v>
      </c>
      <c r="D791" s="110" t="s">
        <v>93</v>
      </c>
      <c r="E791" s="110" t="s">
        <v>101</v>
      </c>
      <c r="F791" s="110">
        <v>7940.0</v>
      </c>
      <c r="G791" s="38" t="s">
        <v>42</v>
      </c>
      <c r="H791" s="110">
        <v>7461.0</v>
      </c>
      <c r="I791" s="132">
        <v>668.27</v>
      </c>
      <c r="J791" s="132">
        <v>502.54</v>
      </c>
      <c r="K791" s="39">
        <f t="shared" si="1"/>
        <v>4985962.47</v>
      </c>
      <c r="L791" s="39">
        <f t="shared" si="2"/>
        <v>3749450.94</v>
      </c>
      <c r="M791" s="39">
        <f t="shared" si="3"/>
        <v>1236511.53</v>
      </c>
      <c r="N791" s="38" t="str">
        <f>VLOOKUP(F791,products!$A$2:$B$13,2,FALSE)</f>
        <v>Household</v>
      </c>
      <c r="O791" s="133">
        <f t="shared" si="4"/>
        <v>0.7520014365</v>
      </c>
      <c r="P791" s="38" t="str">
        <f>VLOOKUP(E791,countries!A$2:E$250,3,false)</f>
        <v>Armenia</v>
      </c>
      <c r="Q791" s="38" t="str">
        <f>VLOOKUP($E791,countries!$A$2:$E$250,4,false)</f>
        <v>Asia</v>
      </c>
      <c r="R791" s="38" t="str">
        <f>VLOOKUP($E791,countries!$A$2:$E$250,5,false)</f>
        <v>Western Asia</v>
      </c>
      <c r="S791" s="38">
        <f t="shared" si="5"/>
        <v>7</v>
      </c>
      <c r="T791" s="38" t="s">
        <v>148</v>
      </c>
      <c r="U791" s="38">
        <v>2015.0</v>
      </c>
      <c r="V791" s="38">
        <v>9.0</v>
      </c>
      <c r="W791" s="38" t="s">
        <v>101</v>
      </c>
      <c r="X791" s="38" t="s">
        <v>164</v>
      </c>
      <c r="Y791" s="38" t="s">
        <v>165</v>
      </c>
      <c r="Z791" s="38" t="s">
        <v>166</v>
      </c>
      <c r="AA791" s="113" t="str">
        <f t="array" ref="AA791">PROPER(G791)</f>
        <v>Offline</v>
      </c>
    </row>
    <row r="792">
      <c r="A792" s="110">
        <v>6.22441852E8</v>
      </c>
      <c r="B792" s="131">
        <v>41055.0</v>
      </c>
      <c r="C792" s="131">
        <v>41057.0</v>
      </c>
      <c r="D792" s="110" t="s">
        <v>93</v>
      </c>
      <c r="E792" s="110" t="s">
        <v>104</v>
      </c>
      <c r="F792" s="110">
        <v>2455.0</v>
      </c>
      <c r="G792" s="38" t="s">
        <v>43</v>
      </c>
      <c r="H792" s="110">
        <v>3231.0</v>
      </c>
      <c r="I792" s="132">
        <v>109.28</v>
      </c>
      <c r="J792" s="132">
        <v>35.84</v>
      </c>
      <c r="K792" s="39">
        <f t="shared" si="1"/>
        <v>353083.68</v>
      </c>
      <c r="L792" s="39">
        <f t="shared" si="2"/>
        <v>115799.04</v>
      </c>
      <c r="M792" s="39">
        <f t="shared" si="3"/>
        <v>237284.64</v>
      </c>
      <c r="N792" s="38" t="str">
        <f>VLOOKUP(F792,products!$A$2:$B$13,2,FALSE)</f>
        <v>Clothes</v>
      </c>
      <c r="O792" s="133">
        <f t="shared" si="4"/>
        <v>0.3279648609</v>
      </c>
      <c r="P792" s="38" t="str">
        <f>VLOOKUP(E792,countries!A$2:E$250,3,false)</f>
        <v>Slovenia</v>
      </c>
      <c r="Q792" s="38" t="str">
        <f>VLOOKUP($E792,countries!$A$2:$E$250,4,false)</f>
        <v>Europe</v>
      </c>
      <c r="R792" s="38" t="str">
        <f>VLOOKUP($E792,countries!$A$2:$E$250,5,false)</f>
        <v>Southern Europe</v>
      </c>
      <c r="S792" s="38">
        <f t="shared" si="5"/>
        <v>2</v>
      </c>
      <c r="T792" s="38" t="s">
        <v>150</v>
      </c>
      <c r="U792" s="38">
        <v>2012.0</v>
      </c>
      <c r="V792" s="38">
        <v>5.0</v>
      </c>
      <c r="W792" s="38" t="s">
        <v>104</v>
      </c>
      <c r="X792" s="38" t="s">
        <v>171</v>
      </c>
      <c r="Y792" s="38" t="s">
        <v>146</v>
      </c>
      <c r="Z792" s="38" t="s">
        <v>147</v>
      </c>
      <c r="AA792" s="113" t="str">
        <f t="array" ref="AA792">PROPER(G792)</f>
        <v>Online</v>
      </c>
    </row>
    <row r="793">
      <c r="A793" s="110">
        <v>6.2382158E8</v>
      </c>
      <c r="B793" s="131">
        <v>42658.0</v>
      </c>
      <c r="C793" s="131">
        <v>42674.0</v>
      </c>
      <c r="D793" s="110" t="s">
        <v>93</v>
      </c>
      <c r="E793" s="110" t="s">
        <v>133</v>
      </c>
      <c r="F793" s="110">
        <v>4594.0</v>
      </c>
      <c r="G793" s="38" t="s">
        <v>42</v>
      </c>
      <c r="H793" s="110">
        <v>1523.0</v>
      </c>
      <c r="I793" s="132">
        <v>9.33</v>
      </c>
      <c r="J793" s="132">
        <v>6.92</v>
      </c>
      <c r="K793" s="39">
        <f t="shared" si="1"/>
        <v>14209.59</v>
      </c>
      <c r="L793" s="39">
        <f t="shared" si="2"/>
        <v>10539.16</v>
      </c>
      <c r="M793" s="39">
        <f t="shared" si="3"/>
        <v>3670.43</v>
      </c>
      <c r="N793" s="38" t="str">
        <f>VLOOKUP(F793,products!$A$2:$B$13,2,FALSE)</f>
        <v>Fruits</v>
      </c>
      <c r="O793" s="133">
        <f t="shared" si="4"/>
        <v>0.741693462</v>
      </c>
      <c r="P793" s="38" t="str">
        <f>VLOOKUP(E793,countries!A$2:E$250,3,false)</f>
        <v>Bosnia and Herzegovina</v>
      </c>
      <c r="Q793" s="38" t="str">
        <f>VLOOKUP($E793,countries!$A$2:$E$250,4,false)</f>
        <v>Europe</v>
      </c>
      <c r="R793" s="38" t="str">
        <f>VLOOKUP($E793,countries!$A$2:$E$250,5,false)</f>
        <v>Southern Europe</v>
      </c>
      <c r="S793" s="38">
        <f t="shared" si="5"/>
        <v>16</v>
      </c>
      <c r="T793" s="38" t="s">
        <v>156</v>
      </c>
      <c r="U793" s="38">
        <v>2016.0</v>
      </c>
      <c r="V793" s="38">
        <v>10.0</v>
      </c>
      <c r="W793" s="38" t="s">
        <v>133</v>
      </c>
      <c r="X793" s="38" t="s">
        <v>204</v>
      </c>
      <c r="Y793" s="38" t="s">
        <v>146</v>
      </c>
      <c r="Z793" s="38" t="s">
        <v>147</v>
      </c>
      <c r="AA793" s="113" t="str">
        <f t="array" ref="AA793">PROPER(G793)</f>
        <v>Offline</v>
      </c>
    </row>
    <row r="794">
      <c r="A794" s="110">
        <v>6.24348151E8</v>
      </c>
      <c r="B794" s="131">
        <v>41227.0</v>
      </c>
      <c r="C794" s="131">
        <v>41251.0</v>
      </c>
      <c r="D794" s="110" t="s">
        <v>10</v>
      </c>
      <c r="E794" s="110" t="s">
        <v>113</v>
      </c>
      <c r="F794" s="110">
        <v>8681.0</v>
      </c>
      <c r="G794" s="38" t="s">
        <v>43</v>
      </c>
      <c r="H794" s="110">
        <v>7347.0</v>
      </c>
      <c r="I794" s="132">
        <v>651.21</v>
      </c>
      <c r="J794" s="132">
        <v>524.96</v>
      </c>
      <c r="K794" s="39">
        <f t="shared" si="1"/>
        <v>4784439.87</v>
      </c>
      <c r="L794" s="39">
        <f t="shared" si="2"/>
        <v>3856881.12</v>
      </c>
      <c r="M794" s="39">
        <f t="shared" si="3"/>
        <v>927558.75</v>
      </c>
      <c r="N794" s="38" t="str">
        <f>VLOOKUP(F794,products!$A$2:$B$13,2,FALSE)</f>
        <v>Office Supplies</v>
      </c>
      <c r="O794" s="133">
        <f t="shared" si="4"/>
        <v>0.806130127</v>
      </c>
      <c r="P794" s="38" t="str">
        <f>VLOOKUP(E794,countries!A$2:E$250,3,false)</f>
        <v>Ukraine</v>
      </c>
      <c r="Q794" s="38" t="str">
        <f>VLOOKUP($E794,countries!$A$2:$E$250,4,false)</f>
        <v>Europe</v>
      </c>
      <c r="R794" s="38" t="str">
        <f>VLOOKUP($E794,countries!$A$2:$E$250,5,false)</f>
        <v>Eastern Europe</v>
      </c>
      <c r="S794" s="38">
        <f t="shared" si="5"/>
        <v>24</v>
      </c>
      <c r="T794" s="38" t="s">
        <v>153</v>
      </c>
      <c r="U794" s="38">
        <v>2012.0</v>
      </c>
      <c r="V794" s="38">
        <v>11.0</v>
      </c>
      <c r="W794" s="38" t="s">
        <v>113</v>
      </c>
      <c r="X794" s="38" t="s">
        <v>181</v>
      </c>
      <c r="Y794" s="38" t="s">
        <v>146</v>
      </c>
      <c r="Z794" s="38" t="s">
        <v>155</v>
      </c>
      <c r="AA794" s="113" t="str">
        <f t="array" ref="AA794">PROPER(G794)</f>
        <v>Online</v>
      </c>
    </row>
    <row r="795">
      <c r="A795" s="110">
        <v>6.24398362E8</v>
      </c>
      <c r="B795" s="131">
        <v>42916.0</v>
      </c>
      <c r="C795" s="131">
        <v>42940.0</v>
      </c>
      <c r="D795" s="110" t="s">
        <v>10</v>
      </c>
      <c r="E795" s="110" t="s">
        <v>116</v>
      </c>
      <c r="F795" s="110">
        <v>8681.0</v>
      </c>
      <c r="G795" s="38" t="s">
        <v>42</v>
      </c>
      <c r="H795" s="110">
        <v>2206.0</v>
      </c>
      <c r="I795" s="132">
        <v>651.21</v>
      </c>
      <c r="J795" s="132">
        <v>524.96</v>
      </c>
      <c r="K795" s="39">
        <f t="shared" si="1"/>
        <v>1436569.26</v>
      </c>
      <c r="L795" s="39">
        <f t="shared" si="2"/>
        <v>1158061.76</v>
      </c>
      <c r="M795" s="39">
        <f t="shared" si="3"/>
        <v>278507.5</v>
      </c>
      <c r="N795" s="38" t="str">
        <f>VLOOKUP(F795,products!$A$2:$B$13,2,FALSE)</f>
        <v>Office Supplies</v>
      </c>
      <c r="O795" s="133">
        <f t="shared" si="4"/>
        <v>0.806130127</v>
      </c>
      <c r="P795" s="38" t="str">
        <f>VLOOKUP(E795,countries!A$2:E$250,3,false)</f>
        <v>Belarus</v>
      </c>
      <c r="Q795" s="38" t="str">
        <f>VLOOKUP($E795,countries!$A$2:$E$250,4,false)</f>
        <v>Europe</v>
      </c>
      <c r="R795" s="38" t="str">
        <f>VLOOKUP($E795,countries!$A$2:$E$250,5,false)</f>
        <v>Eastern Europe</v>
      </c>
      <c r="S795" s="38">
        <f t="shared" si="5"/>
        <v>24</v>
      </c>
      <c r="T795" s="38" t="s">
        <v>153</v>
      </c>
      <c r="U795" s="38">
        <v>2017.0</v>
      </c>
      <c r="V795" s="38">
        <v>6.0</v>
      </c>
      <c r="W795" s="38" t="s">
        <v>116</v>
      </c>
      <c r="X795" s="38" t="s">
        <v>187</v>
      </c>
      <c r="Y795" s="38" t="s">
        <v>146</v>
      </c>
      <c r="Z795" s="38" t="s">
        <v>155</v>
      </c>
      <c r="AA795" s="113" t="str">
        <f t="array" ref="AA795">PROPER(G795)</f>
        <v>Offline</v>
      </c>
    </row>
    <row r="796">
      <c r="A796" s="110">
        <v>6.24940383E8</v>
      </c>
      <c r="B796" s="131">
        <v>42431.0</v>
      </c>
      <c r="C796" s="131">
        <v>42459.0</v>
      </c>
      <c r="D796" s="110" t="s">
        <v>95</v>
      </c>
      <c r="E796" s="110" t="s">
        <v>103</v>
      </c>
      <c r="F796" s="110">
        <v>8293.0</v>
      </c>
      <c r="G796" s="38" t="s">
        <v>42</v>
      </c>
      <c r="H796" s="110">
        <v>2602.0</v>
      </c>
      <c r="I796" s="132">
        <v>437.2</v>
      </c>
      <c r="J796" s="132">
        <v>263.33</v>
      </c>
      <c r="K796" s="39">
        <f t="shared" si="1"/>
        <v>1137594.4</v>
      </c>
      <c r="L796" s="39">
        <f t="shared" si="2"/>
        <v>685184.66</v>
      </c>
      <c r="M796" s="39">
        <f t="shared" si="3"/>
        <v>452409.74</v>
      </c>
      <c r="N796" s="38" t="str">
        <f>VLOOKUP(F796,products!$A$2:$B$13,2,FALSE)</f>
        <v>Cosmetics</v>
      </c>
      <c r="O796" s="133">
        <f t="shared" si="4"/>
        <v>0.6023101555</v>
      </c>
      <c r="P796" s="38" t="str">
        <f>VLOOKUP(E796,countries!A$2:E$250,3,false)</f>
        <v>United Kingdom</v>
      </c>
      <c r="Q796" s="38" t="str">
        <f>VLOOKUP($E796,countries!$A$2:$E$250,4,false)</f>
        <v>Europe</v>
      </c>
      <c r="R796" s="38" t="str">
        <f>VLOOKUP($E796,countries!$A$2:$E$250,5,false)</f>
        <v>Northern Europe</v>
      </c>
      <c r="S796" s="38">
        <f t="shared" si="5"/>
        <v>28</v>
      </c>
      <c r="T796" s="38" t="s">
        <v>178</v>
      </c>
      <c r="U796" s="38">
        <v>2016.0</v>
      </c>
      <c r="V796" s="38">
        <v>3.0</v>
      </c>
      <c r="W796" s="38" t="s">
        <v>103</v>
      </c>
      <c r="X796" s="38" t="s">
        <v>169</v>
      </c>
      <c r="Y796" s="38" t="s">
        <v>146</v>
      </c>
      <c r="Z796" s="38" t="s">
        <v>170</v>
      </c>
      <c r="AA796" s="113" t="str">
        <f t="array" ref="AA796">PROPER(G796)</f>
        <v>Offline</v>
      </c>
    </row>
    <row r="797">
      <c r="A797" s="110">
        <v>6.25751483E8</v>
      </c>
      <c r="B797" s="131">
        <v>42276.0</v>
      </c>
      <c r="C797" s="131">
        <v>42278.0</v>
      </c>
      <c r="D797" s="110" t="s">
        <v>95</v>
      </c>
      <c r="E797" s="110" t="s">
        <v>120</v>
      </c>
      <c r="F797" s="110">
        <v>3127.0</v>
      </c>
      <c r="G797" s="38" t="s">
        <v>42</v>
      </c>
      <c r="H797" s="110">
        <v>2624.0</v>
      </c>
      <c r="I797" s="132">
        <v>81.73</v>
      </c>
      <c r="J797" s="132">
        <v>56.67</v>
      </c>
      <c r="K797" s="39">
        <f t="shared" si="1"/>
        <v>214459.52</v>
      </c>
      <c r="L797" s="39">
        <f t="shared" si="2"/>
        <v>148702.08</v>
      </c>
      <c r="M797" s="39">
        <f t="shared" si="3"/>
        <v>65757.44</v>
      </c>
      <c r="N797" s="38" t="str">
        <f>VLOOKUP(F797,products!$A$2:$B$13,2,FALSE)</f>
        <v>Personal Care</v>
      </c>
      <c r="O797" s="133">
        <f t="shared" si="4"/>
        <v>0.6933806436</v>
      </c>
      <c r="P797" s="38" t="str">
        <f>VLOOKUP(E797,countries!A$2:E$250,3,false)</f>
        <v>San Marino</v>
      </c>
      <c r="Q797" s="38" t="str">
        <f>VLOOKUP($E797,countries!$A$2:$E$250,4,false)</f>
        <v>Europe</v>
      </c>
      <c r="R797" s="38" t="str">
        <f>VLOOKUP($E797,countries!$A$2:$E$250,5,false)</f>
        <v>Southern Europe</v>
      </c>
      <c r="S797" s="38">
        <f t="shared" si="5"/>
        <v>2</v>
      </c>
      <c r="T797" s="38" t="s">
        <v>185</v>
      </c>
      <c r="U797" s="38">
        <v>2015.0</v>
      </c>
      <c r="V797" s="38">
        <v>9.0</v>
      </c>
      <c r="W797" s="38" t="s">
        <v>120</v>
      </c>
      <c r="X797" s="38" t="s">
        <v>191</v>
      </c>
      <c r="Y797" s="38" t="s">
        <v>146</v>
      </c>
      <c r="Z797" s="38" t="s">
        <v>147</v>
      </c>
      <c r="AA797" s="113" t="str">
        <f t="array" ref="AA797">PROPER(G797)</f>
        <v>Offline</v>
      </c>
    </row>
    <row r="798">
      <c r="A798" s="110">
        <v>6.26011979E8</v>
      </c>
      <c r="B798" s="131">
        <v>40545.0</v>
      </c>
      <c r="C798" s="131">
        <v>40554.0</v>
      </c>
      <c r="D798" s="110" t="s">
        <v>93</v>
      </c>
      <c r="E798" s="110" t="s">
        <v>136</v>
      </c>
      <c r="F798" s="110">
        <v>2455.0</v>
      </c>
      <c r="G798" s="38" t="s">
        <v>42</v>
      </c>
      <c r="H798" s="110">
        <v>9711.0</v>
      </c>
      <c r="I798" s="132">
        <v>109.28</v>
      </c>
      <c r="J798" s="132">
        <v>35.84</v>
      </c>
      <c r="K798" s="39">
        <f t="shared" si="1"/>
        <v>1061218.08</v>
      </c>
      <c r="L798" s="39">
        <f t="shared" si="2"/>
        <v>348042.24</v>
      </c>
      <c r="M798" s="39">
        <f t="shared" si="3"/>
        <v>713175.84</v>
      </c>
      <c r="N798" s="38" t="str">
        <f>VLOOKUP(F798,products!$A$2:$B$13,2,FALSE)</f>
        <v>Clothes</v>
      </c>
      <c r="O798" s="133">
        <f t="shared" si="4"/>
        <v>0.3279648609</v>
      </c>
      <c r="P798" s="38" t="str">
        <f>VLOOKUP(E798,countries!A$2:E$250,3,false)</f>
        <v>Monaco</v>
      </c>
      <c r="Q798" s="38" t="str">
        <f>VLOOKUP($E798,countries!$A$2:$E$250,4,false)</f>
        <v>Europe</v>
      </c>
      <c r="R798" s="38" t="str">
        <f>VLOOKUP($E798,countries!$A$2:$E$250,5,false)</f>
        <v>Western Europe</v>
      </c>
      <c r="S798" s="38">
        <f t="shared" si="5"/>
        <v>9</v>
      </c>
      <c r="T798" s="38" t="s">
        <v>150</v>
      </c>
      <c r="U798" s="38">
        <v>2011.0</v>
      </c>
      <c r="V798" s="38">
        <v>1.0</v>
      </c>
      <c r="W798" s="38" t="s">
        <v>136</v>
      </c>
      <c r="X798" s="38" t="s">
        <v>206</v>
      </c>
      <c r="Y798" s="38" t="s">
        <v>146</v>
      </c>
      <c r="Z798" s="38" t="s">
        <v>158</v>
      </c>
      <c r="AA798" s="113" t="str">
        <f t="array" ref="AA798">PROPER(G798)</f>
        <v>Offline</v>
      </c>
    </row>
    <row r="799">
      <c r="A799" s="110">
        <v>6.26109397E8</v>
      </c>
      <c r="B799" s="131">
        <v>41128.0</v>
      </c>
      <c r="C799" s="131">
        <v>41167.0</v>
      </c>
      <c r="D799" s="110" t="s">
        <v>10</v>
      </c>
      <c r="E799" s="110" t="s">
        <v>113</v>
      </c>
      <c r="F799" s="110">
        <v>2103.0</v>
      </c>
      <c r="G799" s="38" t="s">
        <v>43</v>
      </c>
      <c r="H799" s="110">
        <v>8539.0</v>
      </c>
      <c r="I799" s="132">
        <v>205.7</v>
      </c>
      <c r="J799" s="132">
        <v>117.11</v>
      </c>
      <c r="K799" s="39">
        <f t="shared" si="1"/>
        <v>1756472.3</v>
      </c>
      <c r="L799" s="39">
        <f t="shared" si="2"/>
        <v>1000002.29</v>
      </c>
      <c r="M799" s="39">
        <f t="shared" si="3"/>
        <v>756470.01</v>
      </c>
      <c r="N799" s="38" t="str">
        <f>VLOOKUP(F799,products!$A$2:$B$13,2,FALSE)</f>
        <v>Cereal</v>
      </c>
      <c r="O799" s="133">
        <f t="shared" si="4"/>
        <v>0.5693242586</v>
      </c>
      <c r="P799" s="38" t="str">
        <f>VLOOKUP(E799,countries!A$2:E$250,3,false)</f>
        <v>Ukraine</v>
      </c>
      <c r="Q799" s="38" t="str">
        <f>VLOOKUP($E799,countries!$A$2:$E$250,4,false)</f>
        <v>Europe</v>
      </c>
      <c r="R799" s="38" t="str">
        <f>VLOOKUP($E799,countries!$A$2:$E$250,5,false)</f>
        <v>Eastern Europe</v>
      </c>
      <c r="S799" s="38">
        <f t="shared" si="5"/>
        <v>39</v>
      </c>
      <c r="T799" s="38" t="s">
        <v>144</v>
      </c>
      <c r="U799" s="38">
        <v>2012.0</v>
      </c>
      <c r="V799" s="38">
        <v>8.0</v>
      </c>
      <c r="W799" s="38" t="s">
        <v>113</v>
      </c>
      <c r="X799" s="38" t="s">
        <v>181</v>
      </c>
      <c r="Y799" s="38" t="s">
        <v>146</v>
      </c>
      <c r="Z799" s="38" t="s">
        <v>155</v>
      </c>
      <c r="AA799" s="113" t="str">
        <f t="array" ref="AA799">PROPER(G799)</f>
        <v>Online</v>
      </c>
    </row>
    <row r="800">
      <c r="A800" s="110">
        <v>6.26322257E8</v>
      </c>
      <c r="B800" s="131">
        <v>42475.0</v>
      </c>
      <c r="C800" s="131">
        <v>42495.0</v>
      </c>
      <c r="D800" s="110" t="s">
        <v>89</v>
      </c>
      <c r="E800" s="110" t="e">
        <v>#N/A</v>
      </c>
      <c r="F800" s="110">
        <v>3127.0</v>
      </c>
      <c r="G800" s="38" t="s">
        <v>42</v>
      </c>
      <c r="H800" s="110">
        <v>1529.0</v>
      </c>
      <c r="I800" s="132">
        <v>81.73</v>
      </c>
      <c r="J800" s="132">
        <v>56.67</v>
      </c>
      <c r="K800" s="39">
        <f t="shared" si="1"/>
        <v>124965.17</v>
      </c>
      <c r="L800" s="39">
        <f t="shared" si="2"/>
        <v>86648.43</v>
      </c>
      <c r="M800" s="39">
        <f t="shared" si="3"/>
        <v>38316.74</v>
      </c>
      <c r="N800" s="38" t="str">
        <f>VLOOKUP(F800,products!$A$2:$B$13,2,FALSE)</f>
        <v>Personal Care</v>
      </c>
      <c r="O800" s="133">
        <f t="shared" si="4"/>
        <v>0.6933806436</v>
      </c>
      <c r="P800" s="38" t="str">
        <f>VLOOKUP(E800,countries!A$2:E$250,3,false)</f>
        <v>#N/A</v>
      </c>
      <c r="Q800" s="38" t="str">
        <f>VLOOKUP($E800,countries!$A$2:$E$250,4,false)</f>
        <v>#N/A</v>
      </c>
      <c r="R800" s="38" t="str">
        <f>VLOOKUP($E800,countries!$A$2:$E$250,5,false)</f>
        <v>#N/A</v>
      </c>
      <c r="S800" s="38">
        <f t="shared" si="5"/>
        <v>20</v>
      </c>
      <c r="T800" s="38" t="s">
        <v>185</v>
      </c>
      <c r="U800" s="38">
        <v>2016.0</v>
      </c>
      <c r="V800" s="38">
        <v>4.0</v>
      </c>
      <c r="W800" s="38" t="s">
        <v>92</v>
      </c>
      <c r="X800" s="38" t="s">
        <v>149</v>
      </c>
      <c r="Y800" s="38" t="s">
        <v>149</v>
      </c>
      <c r="Z800" s="38" t="s">
        <v>149</v>
      </c>
      <c r="AA800" s="113" t="str">
        <f t="array" ref="AA800">PROPER(G800)</f>
        <v>Offline</v>
      </c>
    </row>
    <row r="801">
      <c r="A801" s="110">
        <v>6.26453149E8</v>
      </c>
      <c r="B801" s="131">
        <v>41418.0</v>
      </c>
      <c r="C801" s="131">
        <v>41435.0</v>
      </c>
      <c r="D801" s="110" t="s">
        <v>10</v>
      </c>
      <c r="E801" s="110" t="s">
        <v>115</v>
      </c>
      <c r="F801" s="110">
        <v>8293.0</v>
      </c>
      <c r="G801" s="38" t="s">
        <v>42</v>
      </c>
      <c r="H801" s="110">
        <v>263.0</v>
      </c>
      <c r="I801" s="132">
        <v>437.2</v>
      </c>
      <c r="J801" s="132">
        <v>263.33</v>
      </c>
      <c r="K801" s="39">
        <f t="shared" si="1"/>
        <v>114983.6</v>
      </c>
      <c r="L801" s="39">
        <f t="shared" si="2"/>
        <v>69255.79</v>
      </c>
      <c r="M801" s="39">
        <f t="shared" si="3"/>
        <v>45727.81</v>
      </c>
      <c r="N801" s="38" t="str">
        <f>VLOOKUP(F801,products!$A$2:$B$13,2,FALSE)</f>
        <v>Cosmetics</v>
      </c>
      <c r="O801" s="133">
        <f t="shared" si="4"/>
        <v>0.6023101555</v>
      </c>
      <c r="P801" s="38" t="str">
        <f>VLOOKUP(E801,countries!A$2:E$250,3,false)</f>
        <v>Portugal</v>
      </c>
      <c r="Q801" s="38" t="str">
        <f>VLOOKUP($E801,countries!$A$2:$E$250,4,false)</f>
        <v>Europe</v>
      </c>
      <c r="R801" s="38" t="str">
        <f>VLOOKUP($E801,countries!$A$2:$E$250,5,false)</f>
        <v>Southern Europe</v>
      </c>
      <c r="S801" s="38">
        <f t="shared" si="5"/>
        <v>17</v>
      </c>
      <c r="T801" s="38" t="s">
        <v>178</v>
      </c>
      <c r="U801" s="38">
        <v>2013.0</v>
      </c>
      <c r="V801" s="38">
        <v>5.0</v>
      </c>
      <c r="W801" s="38" t="s">
        <v>115</v>
      </c>
      <c r="X801" s="38" t="s">
        <v>186</v>
      </c>
      <c r="Y801" s="38" t="s">
        <v>146</v>
      </c>
      <c r="Z801" s="38" t="s">
        <v>147</v>
      </c>
      <c r="AA801" s="113" t="str">
        <f t="array" ref="AA801">PROPER(G801)</f>
        <v>Offline</v>
      </c>
    </row>
    <row r="802">
      <c r="A802" s="110">
        <v>6.27003753E8</v>
      </c>
      <c r="B802" s="131">
        <v>40228.0</v>
      </c>
      <c r="C802" s="131">
        <v>40263.0</v>
      </c>
      <c r="D802" s="110" t="s">
        <v>89</v>
      </c>
      <c r="E802" s="110" t="s">
        <v>105</v>
      </c>
      <c r="F802" s="110">
        <v>8875.0</v>
      </c>
      <c r="G802" s="38" t="s">
        <v>42</v>
      </c>
      <c r="H802" s="110">
        <v>3199.0</v>
      </c>
      <c r="I802" s="132">
        <v>421.89</v>
      </c>
      <c r="J802" s="132">
        <v>364.69</v>
      </c>
      <c r="K802" s="39">
        <f t="shared" si="1"/>
        <v>1349626.11</v>
      </c>
      <c r="L802" s="39">
        <f t="shared" si="2"/>
        <v>1166643.31</v>
      </c>
      <c r="M802" s="39">
        <f t="shared" si="3"/>
        <v>182982.8</v>
      </c>
      <c r="N802" s="38" t="str">
        <f>VLOOKUP(F802,products!$A$2:$B$13,2,FALSE)</f>
        <v>Meat</v>
      </c>
      <c r="O802" s="133">
        <f t="shared" si="4"/>
        <v>0.8644196354</v>
      </c>
      <c r="P802" s="38" t="str">
        <f>VLOOKUP(E802,countries!A$2:E$250,3,false)</f>
        <v>Romania</v>
      </c>
      <c r="Q802" s="38" t="str">
        <f>VLOOKUP($E802,countries!$A$2:$E$250,4,false)</f>
        <v>Europe</v>
      </c>
      <c r="R802" s="38" t="str">
        <f>VLOOKUP($E802,countries!$A$2:$E$250,5,false)</f>
        <v>Eastern Europe</v>
      </c>
      <c r="S802" s="38">
        <f t="shared" si="5"/>
        <v>35</v>
      </c>
      <c r="T802" s="38" t="s">
        <v>167</v>
      </c>
      <c r="U802" s="38">
        <v>2010.0</v>
      </c>
      <c r="V802" s="38">
        <v>2.0</v>
      </c>
      <c r="W802" s="38" t="s">
        <v>105</v>
      </c>
      <c r="X802" s="38" t="s">
        <v>172</v>
      </c>
      <c r="Y802" s="38" t="s">
        <v>146</v>
      </c>
      <c r="Z802" s="38" t="s">
        <v>155</v>
      </c>
      <c r="AA802" s="113" t="str">
        <f t="array" ref="AA802">PROPER(G802)</f>
        <v>Offline</v>
      </c>
    </row>
    <row r="803">
      <c r="A803" s="110">
        <v>6.27432048E8</v>
      </c>
      <c r="B803" s="131">
        <v>42157.0</v>
      </c>
      <c r="C803" s="131">
        <v>42178.0</v>
      </c>
      <c r="D803" s="110" t="s">
        <v>10</v>
      </c>
      <c r="E803" s="110" t="s">
        <v>108</v>
      </c>
      <c r="F803" s="110">
        <v>3127.0</v>
      </c>
      <c r="G803" s="38" t="s">
        <v>43</v>
      </c>
      <c r="H803" s="110">
        <v>9941.0</v>
      </c>
      <c r="I803" s="132">
        <v>81.73</v>
      </c>
      <c r="J803" s="132">
        <v>56.67</v>
      </c>
      <c r="K803" s="39">
        <f t="shared" si="1"/>
        <v>812477.93</v>
      </c>
      <c r="L803" s="39">
        <f t="shared" si="2"/>
        <v>563356.47</v>
      </c>
      <c r="M803" s="39">
        <f t="shared" si="3"/>
        <v>249121.46</v>
      </c>
      <c r="N803" s="38" t="str">
        <f>VLOOKUP(F803,products!$A$2:$B$13,2,FALSE)</f>
        <v>Personal Care</v>
      </c>
      <c r="O803" s="133">
        <f t="shared" si="4"/>
        <v>0.6933806436</v>
      </c>
      <c r="P803" s="38" t="str">
        <f>VLOOKUP(E803,countries!A$2:E$250,3,false)</f>
        <v>Cyprus</v>
      </c>
      <c r="Q803" s="38" t="str">
        <f>VLOOKUP($E803,countries!$A$2:$E$250,4,false)</f>
        <v>Asia</v>
      </c>
      <c r="R803" s="38" t="str">
        <f>VLOOKUP($E803,countries!$A$2:$E$250,5,false)</f>
        <v>Western Asia</v>
      </c>
      <c r="S803" s="38">
        <f t="shared" si="5"/>
        <v>21</v>
      </c>
      <c r="T803" s="38" t="s">
        <v>185</v>
      </c>
      <c r="U803" s="38">
        <v>2015.0</v>
      </c>
      <c r="V803" s="38">
        <v>6.0</v>
      </c>
      <c r="W803" s="38" t="s">
        <v>108</v>
      </c>
      <c r="X803" s="38" t="s">
        <v>175</v>
      </c>
      <c r="Y803" s="38" t="s">
        <v>165</v>
      </c>
      <c r="Z803" s="38" t="s">
        <v>166</v>
      </c>
      <c r="AA803" s="113" t="str">
        <f t="array" ref="AA803">PROPER(G803)</f>
        <v>Online</v>
      </c>
    </row>
    <row r="804">
      <c r="A804" s="110">
        <v>6.28055179E8</v>
      </c>
      <c r="B804" s="131">
        <v>42486.0</v>
      </c>
      <c r="C804" s="131">
        <v>42503.0</v>
      </c>
      <c r="D804" s="110" t="s">
        <v>89</v>
      </c>
      <c r="E804" s="110" t="s">
        <v>117</v>
      </c>
      <c r="F804" s="110">
        <v>8681.0</v>
      </c>
      <c r="G804" s="38" t="s">
        <v>42</v>
      </c>
      <c r="H804" s="110">
        <v>4339.0</v>
      </c>
      <c r="I804" s="132">
        <v>651.21</v>
      </c>
      <c r="J804" s="132">
        <v>524.96</v>
      </c>
      <c r="K804" s="39">
        <f t="shared" si="1"/>
        <v>2825600.19</v>
      </c>
      <c r="L804" s="39">
        <f t="shared" si="2"/>
        <v>2277801.44</v>
      </c>
      <c r="M804" s="39">
        <f t="shared" si="3"/>
        <v>547798.75</v>
      </c>
      <c r="N804" s="38" t="str">
        <f>VLOOKUP(F804,products!$A$2:$B$13,2,FALSE)</f>
        <v>Office Supplies</v>
      </c>
      <c r="O804" s="133">
        <f t="shared" si="4"/>
        <v>0.806130127</v>
      </c>
      <c r="P804" s="38" t="str">
        <f>VLOOKUP(E804,countries!A$2:E$250,3,false)</f>
        <v>Estonia</v>
      </c>
      <c r="Q804" s="38" t="str">
        <f>VLOOKUP($E804,countries!$A$2:$E$250,4,false)</f>
        <v>Europe</v>
      </c>
      <c r="R804" s="38" t="str">
        <f>VLOOKUP($E804,countries!$A$2:$E$250,5,false)</f>
        <v>Northern Europe</v>
      </c>
      <c r="S804" s="38">
        <f t="shared" si="5"/>
        <v>17</v>
      </c>
      <c r="T804" s="38" t="s">
        <v>153</v>
      </c>
      <c r="U804" s="38">
        <v>2016.0</v>
      </c>
      <c r="V804" s="38">
        <v>4.0</v>
      </c>
      <c r="W804" s="38" t="s">
        <v>117</v>
      </c>
      <c r="X804" s="38" t="s">
        <v>188</v>
      </c>
      <c r="Y804" s="38" t="s">
        <v>146</v>
      </c>
      <c r="Z804" s="38" t="s">
        <v>170</v>
      </c>
      <c r="AA804" s="113" t="str">
        <f t="array" ref="AA804">PROPER(G804)</f>
        <v>Offline</v>
      </c>
    </row>
    <row r="805">
      <c r="A805" s="110">
        <v>6.28515231E8</v>
      </c>
      <c r="B805" s="131">
        <v>42363.0</v>
      </c>
      <c r="C805" s="131">
        <v>42401.0</v>
      </c>
      <c r="D805" s="110" t="s">
        <v>93</v>
      </c>
      <c r="E805" s="110" t="s">
        <v>96</v>
      </c>
      <c r="F805" s="110">
        <v>5988.0</v>
      </c>
      <c r="G805" s="38" t="s">
        <v>43</v>
      </c>
      <c r="H805" s="110">
        <v>479.0</v>
      </c>
      <c r="I805" s="132">
        <v>154.06</v>
      </c>
      <c r="J805" s="132">
        <v>90.93</v>
      </c>
      <c r="K805" s="39">
        <f t="shared" si="1"/>
        <v>73794.74</v>
      </c>
      <c r="L805" s="39">
        <f t="shared" si="2"/>
        <v>43555.47</v>
      </c>
      <c r="M805" s="39">
        <f t="shared" si="3"/>
        <v>30239.27</v>
      </c>
      <c r="N805" s="38" t="str">
        <f>VLOOKUP(F805,products!$A$2:$B$13,2,FALSE)</f>
        <v>Vegetables</v>
      </c>
      <c r="O805" s="133">
        <f t="shared" si="4"/>
        <v>0.5902245878</v>
      </c>
      <c r="P805" s="38" t="str">
        <f>VLOOKUP(E805,countries!A$2:E$250,3,false)</f>
        <v>Slovakia</v>
      </c>
      <c r="Q805" s="38" t="str">
        <f>VLOOKUP($E805,countries!$A$2:$E$250,4,false)</f>
        <v>Europe</v>
      </c>
      <c r="R805" s="38" t="str">
        <f>VLOOKUP($E805,countries!$A$2:$E$250,5,false)</f>
        <v>Eastern Europe</v>
      </c>
      <c r="S805" s="38">
        <f t="shared" si="5"/>
        <v>38</v>
      </c>
      <c r="T805" s="38" t="s">
        <v>159</v>
      </c>
      <c r="U805" s="38">
        <v>2015.0</v>
      </c>
      <c r="V805" s="38">
        <v>12.0</v>
      </c>
      <c r="W805" s="38" t="s">
        <v>96</v>
      </c>
      <c r="X805" s="38" t="s">
        <v>154</v>
      </c>
      <c r="Y805" s="38" t="s">
        <v>146</v>
      </c>
      <c r="Z805" s="38" t="s">
        <v>155</v>
      </c>
      <c r="AA805" s="113" t="str">
        <f t="array" ref="AA805">PROPER(G805)</f>
        <v>Online</v>
      </c>
    </row>
    <row r="806">
      <c r="A806" s="110">
        <v>6.28595054E8</v>
      </c>
      <c r="B806" s="131">
        <v>40794.0</v>
      </c>
      <c r="C806" s="131">
        <v>40837.0</v>
      </c>
      <c r="D806" s="110" t="s">
        <v>89</v>
      </c>
      <c r="E806" s="110" t="s">
        <v>123</v>
      </c>
      <c r="F806" s="110">
        <v>4594.0</v>
      </c>
      <c r="G806" s="38" t="s">
        <v>42</v>
      </c>
      <c r="H806" s="110">
        <v>4100.0</v>
      </c>
      <c r="I806" s="132">
        <v>9.33</v>
      </c>
      <c r="J806" s="132">
        <v>6.92</v>
      </c>
      <c r="K806" s="39">
        <f t="shared" si="1"/>
        <v>38253</v>
      </c>
      <c r="L806" s="39">
        <f t="shared" si="2"/>
        <v>28372</v>
      </c>
      <c r="M806" s="39">
        <f t="shared" si="3"/>
        <v>9881</v>
      </c>
      <c r="N806" s="38" t="str">
        <f>VLOOKUP(F806,products!$A$2:$B$13,2,FALSE)</f>
        <v>Fruits</v>
      </c>
      <c r="O806" s="133">
        <f t="shared" si="4"/>
        <v>0.741693462</v>
      </c>
      <c r="P806" s="38" t="str">
        <f>VLOOKUP(E806,countries!A$2:E$250,3,false)</f>
        <v>Hungary</v>
      </c>
      <c r="Q806" s="38" t="str">
        <f>VLOOKUP($E806,countries!$A$2:$E$250,4,false)</f>
        <v>Europe</v>
      </c>
      <c r="R806" s="38" t="str">
        <f>VLOOKUP($E806,countries!$A$2:$E$250,5,false)</f>
        <v>Eastern Europe</v>
      </c>
      <c r="S806" s="38">
        <f t="shared" si="5"/>
        <v>43</v>
      </c>
      <c r="T806" s="38" t="s">
        <v>156</v>
      </c>
      <c r="U806" s="38">
        <v>2011.0</v>
      </c>
      <c r="V806" s="38">
        <v>9.0</v>
      </c>
      <c r="W806" s="38" t="s">
        <v>123</v>
      </c>
      <c r="X806" s="38" t="s">
        <v>194</v>
      </c>
      <c r="Y806" s="38" t="s">
        <v>146</v>
      </c>
      <c r="Z806" s="38" t="s">
        <v>155</v>
      </c>
      <c r="AA806" s="113" t="str">
        <f t="array" ref="AA806">PROPER(G806)</f>
        <v>Offline</v>
      </c>
    </row>
    <row r="807">
      <c r="A807" s="110">
        <v>6.2930144E8</v>
      </c>
      <c r="B807" s="131">
        <v>40378.0</v>
      </c>
      <c r="C807" s="131">
        <v>40388.0</v>
      </c>
      <c r="D807" s="110" t="s">
        <v>93</v>
      </c>
      <c r="E807" s="110" t="s">
        <v>127</v>
      </c>
      <c r="F807" s="110">
        <v>7331.0</v>
      </c>
      <c r="G807" s="38" t="s">
        <v>42</v>
      </c>
      <c r="H807" s="110">
        <v>3135.0</v>
      </c>
      <c r="I807" s="132">
        <v>255.28</v>
      </c>
      <c r="J807" s="132">
        <v>159.42</v>
      </c>
      <c r="K807" s="39">
        <f t="shared" si="1"/>
        <v>800302.8</v>
      </c>
      <c r="L807" s="39">
        <f t="shared" si="2"/>
        <v>499781.7</v>
      </c>
      <c r="M807" s="39">
        <f t="shared" si="3"/>
        <v>300521.1</v>
      </c>
      <c r="N807" s="38" t="str">
        <f>VLOOKUP(F807,products!$A$2:$B$13,2,FALSE)</f>
        <v>Baby Food</v>
      </c>
      <c r="O807" s="133">
        <f t="shared" si="4"/>
        <v>0.6244907552</v>
      </c>
      <c r="P807" s="38" t="str">
        <f>VLOOKUP(E807,countries!A$2:E$250,3,false)</f>
        <v>Ireland</v>
      </c>
      <c r="Q807" s="38" t="str">
        <f>VLOOKUP($E807,countries!$A$2:$E$250,4,false)</f>
        <v>Europe</v>
      </c>
      <c r="R807" s="38" t="str">
        <f>VLOOKUP($E807,countries!$A$2:$E$250,5,false)</f>
        <v>Northern Europe</v>
      </c>
      <c r="S807" s="38">
        <f t="shared" si="5"/>
        <v>10</v>
      </c>
      <c r="T807" s="38" t="s">
        <v>161</v>
      </c>
      <c r="U807" s="38">
        <v>2010.0</v>
      </c>
      <c r="V807" s="38">
        <v>7.0</v>
      </c>
      <c r="W807" s="38" t="s">
        <v>127</v>
      </c>
      <c r="X807" s="38" t="s">
        <v>198</v>
      </c>
      <c r="Y807" s="38" t="s">
        <v>146</v>
      </c>
      <c r="Z807" s="38" t="s">
        <v>170</v>
      </c>
      <c r="AA807" s="113" t="str">
        <f t="array" ref="AA807">PROPER(G807)</f>
        <v>Offline</v>
      </c>
    </row>
    <row r="808">
      <c r="A808" s="110">
        <v>6.30219399E8</v>
      </c>
      <c r="B808" s="131">
        <v>41691.0</v>
      </c>
      <c r="C808" s="131">
        <v>41712.0</v>
      </c>
      <c r="D808" s="110" t="s">
        <v>93</v>
      </c>
      <c r="E808" s="110" t="s">
        <v>91</v>
      </c>
      <c r="F808" s="110">
        <v>7331.0</v>
      </c>
      <c r="G808" s="38" t="s">
        <v>42</v>
      </c>
      <c r="H808" s="110">
        <v>4780.0</v>
      </c>
      <c r="I808" s="132">
        <v>255.28</v>
      </c>
      <c r="J808" s="132">
        <v>159.42</v>
      </c>
      <c r="K808" s="39">
        <f t="shared" si="1"/>
        <v>1220238.4</v>
      </c>
      <c r="L808" s="39">
        <f t="shared" si="2"/>
        <v>762027.6</v>
      </c>
      <c r="M808" s="39">
        <f t="shared" si="3"/>
        <v>458210.8</v>
      </c>
      <c r="N808" s="38" t="str">
        <f>VLOOKUP(F808,products!$A$2:$B$13,2,FALSE)</f>
        <v>Baby Food</v>
      </c>
      <c r="O808" s="133">
        <f t="shared" si="4"/>
        <v>0.6244907552</v>
      </c>
      <c r="P808" s="38" t="str">
        <f>VLOOKUP(E808,countries!A$2:E$250,3,false)</f>
        <v>Serbia</v>
      </c>
      <c r="Q808" s="38" t="str">
        <f>VLOOKUP($E808,countries!$A$2:$E$250,4,false)</f>
        <v>Europe</v>
      </c>
      <c r="R808" s="38" t="str">
        <f>VLOOKUP($E808,countries!$A$2:$E$250,5,false)</f>
        <v>Southern Europe</v>
      </c>
      <c r="S808" s="38">
        <f t="shared" si="5"/>
        <v>21</v>
      </c>
      <c r="T808" s="38" t="s">
        <v>161</v>
      </c>
      <c r="U808" s="38">
        <v>2014.0</v>
      </c>
      <c r="V808" s="38">
        <v>2.0</v>
      </c>
      <c r="W808" s="38" t="s">
        <v>91</v>
      </c>
      <c r="X808" s="38" t="s">
        <v>145</v>
      </c>
      <c r="Y808" s="38" t="s">
        <v>146</v>
      </c>
      <c r="Z808" s="38" t="s">
        <v>147</v>
      </c>
      <c r="AA808" s="113" t="str">
        <f t="array" ref="AA808">PROPER(G808)</f>
        <v>Offline</v>
      </c>
    </row>
    <row r="809">
      <c r="A809" s="110">
        <v>6.30931794E8</v>
      </c>
      <c r="B809" s="131">
        <v>41336.0</v>
      </c>
      <c r="C809" s="131">
        <v>41365.0</v>
      </c>
      <c r="D809" s="110" t="s">
        <v>95</v>
      </c>
      <c r="E809" s="110" t="s">
        <v>94</v>
      </c>
      <c r="F809" s="110">
        <v>7331.0</v>
      </c>
      <c r="G809" s="38" t="s">
        <v>42</v>
      </c>
      <c r="H809" s="110">
        <v>5593.0</v>
      </c>
      <c r="I809" s="132">
        <v>255.28</v>
      </c>
      <c r="J809" s="132">
        <v>159.42</v>
      </c>
      <c r="K809" s="39">
        <f t="shared" si="1"/>
        <v>1427781.04</v>
      </c>
      <c r="L809" s="39">
        <f t="shared" si="2"/>
        <v>891636.06</v>
      </c>
      <c r="M809" s="39">
        <f t="shared" si="3"/>
        <v>536144.98</v>
      </c>
      <c r="N809" s="38" t="str">
        <f>VLOOKUP(F809,products!$A$2:$B$13,2,FALSE)</f>
        <v>Baby Food</v>
      </c>
      <c r="O809" s="133">
        <f t="shared" si="4"/>
        <v>0.6244907552</v>
      </c>
      <c r="P809" s="38" t="str">
        <f>VLOOKUP(E809,countries!A$2:E$250,3,false)</f>
        <v>Montenegro</v>
      </c>
      <c r="Q809" s="38" t="str">
        <f>VLOOKUP($E809,countries!$A$2:$E$250,4,false)</f>
        <v>Europe</v>
      </c>
      <c r="R809" s="38" t="str">
        <f>VLOOKUP($E809,countries!$A$2:$E$250,5,false)</f>
        <v>Southern Europe</v>
      </c>
      <c r="S809" s="38">
        <f t="shared" si="5"/>
        <v>29</v>
      </c>
      <c r="T809" s="38" t="s">
        <v>161</v>
      </c>
      <c r="U809" s="38">
        <v>2013.0</v>
      </c>
      <c r="V809" s="38">
        <v>3.0</v>
      </c>
      <c r="W809" s="38" t="s">
        <v>94</v>
      </c>
      <c r="X809" s="38" t="s">
        <v>151</v>
      </c>
      <c r="Y809" s="38" t="s">
        <v>146</v>
      </c>
      <c r="Z809" s="38" t="s">
        <v>147</v>
      </c>
      <c r="AA809" s="113" t="str">
        <f t="array" ref="AA809">PROPER(G809)</f>
        <v>Offline</v>
      </c>
    </row>
    <row r="810">
      <c r="A810" s="110">
        <v>6.3117212E8</v>
      </c>
      <c r="B810" s="131">
        <v>40983.0</v>
      </c>
      <c r="C810" s="131">
        <v>41019.0</v>
      </c>
      <c r="D810" s="110" t="s">
        <v>10</v>
      </c>
      <c r="E810" s="110" t="s">
        <v>102</v>
      </c>
      <c r="F810" s="110">
        <v>8875.0</v>
      </c>
      <c r="G810" s="38" t="s">
        <v>42</v>
      </c>
      <c r="H810" s="110">
        <v>6711.0</v>
      </c>
      <c r="I810" s="132">
        <v>421.89</v>
      </c>
      <c r="J810" s="132">
        <v>364.69</v>
      </c>
      <c r="K810" s="39">
        <f t="shared" si="1"/>
        <v>2831303.79</v>
      </c>
      <c r="L810" s="39">
        <f t="shared" si="2"/>
        <v>2447434.59</v>
      </c>
      <c r="M810" s="39">
        <f t="shared" si="3"/>
        <v>383869.2</v>
      </c>
      <c r="N810" s="38" t="str">
        <f>VLOOKUP(F810,products!$A$2:$B$13,2,FALSE)</f>
        <v>Meat</v>
      </c>
      <c r="O810" s="133">
        <f t="shared" si="4"/>
        <v>0.8644196354</v>
      </c>
      <c r="P810" s="38" t="str">
        <f>VLOOKUP(E810,countries!A$2:E$250,3,false)</f>
        <v>Georgia</v>
      </c>
      <c r="Q810" s="38" t="str">
        <f>VLOOKUP($E810,countries!$A$2:$E$250,4,false)</f>
        <v>Asia</v>
      </c>
      <c r="R810" s="38" t="str">
        <f>VLOOKUP($E810,countries!$A$2:$E$250,5,false)</f>
        <v>Western Asia</v>
      </c>
      <c r="S810" s="38">
        <f t="shared" si="5"/>
        <v>36</v>
      </c>
      <c r="T810" s="38" t="s">
        <v>167</v>
      </c>
      <c r="U810" s="38">
        <v>2012.0</v>
      </c>
      <c r="V810" s="38">
        <v>3.0</v>
      </c>
      <c r="W810" s="38" t="s">
        <v>102</v>
      </c>
      <c r="X810" s="38" t="s">
        <v>168</v>
      </c>
      <c r="Y810" s="38" t="s">
        <v>165</v>
      </c>
      <c r="Z810" s="38" t="s">
        <v>166</v>
      </c>
      <c r="AA810" s="113" t="str">
        <f t="array" ref="AA810">PROPER(G810)</f>
        <v>Offline</v>
      </c>
    </row>
    <row r="811">
      <c r="A811" s="110">
        <v>6.3146094E8</v>
      </c>
      <c r="B811" s="131">
        <v>41907.0</v>
      </c>
      <c r="C811" s="131">
        <v>41917.0</v>
      </c>
      <c r="D811" s="110" t="s">
        <v>89</v>
      </c>
      <c r="E811" s="110" t="s">
        <v>104</v>
      </c>
      <c r="F811" s="110">
        <v>8875.0</v>
      </c>
      <c r="G811" s="38" t="s">
        <v>42</v>
      </c>
      <c r="H811" s="110">
        <v>2180.0</v>
      </c>
      <c r="I811" s="132">
        <v>421.89</v>
      </c>
      <c r="J811" s="132">
        <v>364.69</v>
      </c>
      <c r="K811" s="39">
        <f t="shared" si="1"/>
        <v>919720.2</v>
      </c>
      <c r="L811" s="39">
        <f t="shared" si="2"/>
        <v>795024.2</v>
      </c>
      <c r="M811" s="39">
        <f t="shared" si="3"/>
        <v>124696</v>
      </c>
      <c r="N811" s="38" t="str">
        <f>VLOOKUP(F811,products!$A$2:$B$13,2,FALSE)</f>
        <v>Meat</v>
      </c>
      <c r="O811" s="133">
        <f t="shared" si="4"/>
        <v>0.8644196354</v>
      </c>
      <c r="P811" s="38" t="str">
        <f>VLOOKUP(E811,countries!A$2:E$250,3,false)</f>
        <v>Slovenia</v>
      </c>
      <c r="Q811" s="38" t="str">
        <f>VLOOKUP($E811,countries!$A$2:$E$250,4,false)</f>
        <v>Europe</v>
      </c>
      <c r="R811" s="38" t="str">
        <f>VLOOKUP($E811,countries!$A$2:$E$250,5,false)</f>
        <v>Southern Europe</v>
      </c>
      <c r="S811" s="38">
        <f t="shared" si="5"/>
        <v>10</v>
      </c>
      <c r="T811" s="38" t="s">
        <v>167</v>
      </c>
      <c r="U811" s="38">
        <v>2014.0</v>
      </c>
      <c r="V811" s="38">
        <v>9.0</v>
      </c>
      <c r="W811" s="38" t="s">
        <v>104</v>
      </c>
      <c r="X811" s="38" t="s">
        <v>171</v>
      </c>
      <c r="Y811" s="38" t="s">
        <v>146</v>
      </c>
      <c r="Z811" s="38" t="s">
        <v>147</v>
      </c>
      <c r="AA811" s="113" t="str">
        <f t="array" ref="AA811">PROPER(G811)</f>
        <v>Offline</v>
      </c>
    </row>
    <row r="812">
      <c r="A812" s="110">
        <v>6.31463515E8</v>
      </c>
      <c r="B812" s="131">
        <v>41142.0</v>
      </c>
      <c r="C812" s="131">
        <v>41177.0</v>
      </c>
      <c r="D812" s="110" t="s">
        <v>93</v>
      </c>
      <c r="E812" s="110" t="s">
        <v>114</v>
      </c>
      <c r="F812" s="110">
        <v>2455.0</v>
      </c>
      <c r="G812" s="38" t="s">
        <v>42</v>
      </c>
      <c r="H812" s="110">
        <v>2942.0</v>
      </c>
      <c r="I812" s="132">
        <v>109.28</v>
      </c>
      <c r="J812" s="132">
        <v>35.84</v>
      </c>
      <c r="K812" s="39">
        <f t="shared" si="1"/>
        <v>321501.76</v>
      </c>
      <c r="L812" s="39">
        <f t="shared" si="2"/>
        <v>105441.28</v>
      </c>
      <c r="M812" s="39">
        <f t="shared" si="3"/>
        <v>216060.48</v>
      </c>
      <c r="N812" s="38" t="str">
        <f>VLOOKUP(F812,products!$A$2:$B$13,2,FALSE)</f>
        <v>Clothes</v>
      </c>
      <c r="O812" s="133">
        <f t="shared" si="4"/>
        <v>0.3279648609</v>
      </c>
      <c r="P812" s="38" t="str">
        <f>VLOOKUP(E812,countries!A$2:E$250,3,false)</f>
        <v>Czech Republic</v>
      </c>
      <c r="Q812" s="38" t="str">
        <f>VLOOKUP($E812,countries!$A$2:$E$250,4,false)</f>
        <v>Europe</v>
      </c>
      <c r="R812" s="38" t="str">
        <f>VLOOKUP($E812,countries!$A$2:$E$250,5,false)</f>
        <v>Eastern Europe</v>
      </c>
      <c r="S812" s="38">
        <f t="shared" si="5"/>
        <v>35</v>
      </c>
      <c r="T812" s="38" t="s">
        <v>150</v>
      </c>
      <c r="U812" s="38">
        <v>2012.0</v>
      </c>
      <c r="V812" s="38">
        <v>8.0</v>
      </c>
      <c r="W812" s="38" t="s">
        <v>114</v>
      </c>
      <c r="X812" s="38" t="s">
        <v>184</v>
      </c>
      <c r="Y812" s="38" t="s">
        <v>146</v>
      </c>
      <c r="Z812" s="38" t="s">
        <v>155</v>
      </c>
      <c r="AA812" s="113" t="str">
        <f t="array" ref="AA812">PROPER(G812)</f>
        <v>Offline</v>
      </c>
    </row>
    <row r="813">
      <c r="A813" s="110">
        <v>6.33312737E8</v>
      </c>
      <c r="B813" s="131">
        <v>40741.0</v>
      </c>
      <c r="C813" s="131">
        <v>40766.0</v>
      </c>
      <c r="D813" s="110" t="s">
        <v>93</v>
      </c>
      <c r="E813" s="110" t="s">
        <v>97</v>
      </c>
      <c r="F813" s="110">
        <v>8875.0</v>
      </c>
      <c r="G813" s="38" t="s">
        <v>42</v>
      </c>
      <c r="H813" s="110">
        <v>167.0</v>
      </c>
      <c r="I813" s="132">
        <v>421.89</v>
      </c>
      <c r="J813" s="132">
        <v>364.69</v>
      </c>
      <c r="K813" s="39">
        <f t="shared" si="1"/>
        <v>70455.63</v>
      </c>
      <c r="L813" s="39">
        <f t="shared" si="2"/>
        <v>60903.23</v>
      </c>
      <c r="M813" s="39">
        <f t="shared" si="3"/>
        <v>9552.4</v>
      </c>
      <c r="N813" s="38" t="str">
        <f>VLOOKUP(F813,products!$A$2:$B$13,2,FALSE)</f>
        <v>Meat</v>
      </c>
      <c r="O813" s="133">
        <f t="shared" si="4"/>
        <v>0.8644196354</v>
      </c>
      <c r="P813" s="38" t="str">
        <f>VLOOKUP(E813,countries!A$2:E$250,3,false)</f>
        <v>France</v>
      </c>
      <c r="Q813" s="38" t="str">
        <f>VLOOKUP($E813,countries!$A$2:$E$250,4,false)</f>
        <v>Europe</v>
      </c>
      <c r="R813" s="38" t="str">
        <f>VLOOKUP($E813,countries!$A$2:$E$250,5,false)</f>
        <v>Western Europe</v>
      </c>
      <c r="S813" s="38">
        <f t="shared" si="5"/>
        <v>25</v>
      </c>
      <c r="T813" s="38" t="s">
        <v>167</v>
      </c>
      <c r="U813" s="38">
        <v>2011.0</v>
      </c>
      <c r="V813" s="38">
        <v>7.0</v>
      </c>
      <c r="W813" s="38" t="s">
        <v>97</v>
      </c>
      <c r="X813" s="38" t="s">
        <v>157</v>
      </c>
      <c r="Y813" s="38" t="s">
        <v>146</v>
      </c>
      <c r="Z813" s="38" t="s">
        <v>158</v>
      </c>
      <c r="AA813" s="113" t="str">
        <f t="array" ref="AA813">PROPER(G813)</f>
        <v>Offline</v>
      </c>
    </row>
    <row r="814">
      <c r="A814" s="110">
        <v>6.33806264E8</v>
      </c>
      <c r="B814" s="131">
        <v>41744.0</v>
      </c>
      <c r="C814" s="131">
        <v>41755.0</v>
      </c>
      <c r="D814" s="110" t="s">
        <v>89</v>
      </c>
      <c r="E814" s="110" t="s">
        <v>97</v>
      </c>
      <c r="F814" s="110">
        <v>2455.0</v>
      </c>
      <c r="G814" s="38" t="s">
        <v>43</v>
      </c>
      <c r="H814" s="110">
        <v>6213.0</v>
      </c>
      <c r="I814" s="132">
        <v>109.28</v>
      </c>
      <c r="J814" s="132">
        <v>35.84</v>
      </c>
      <c r="K814" s="39">
        <f t="shared" si="1"/>
        <v>678956.64</v>
      </c>
      <c r="L814" s="39">
        <f t="shared" si="2"/>
        <v>222673.92</v>
      </c>
      <c r="M814" s="39">
        <f t="shared" si="3"/>
        <v>456282.72</v>
      </c>
      <c r="N814" s="38" t="str">
        <f>VLOOKUP(F814,products!$A$2:$B$13,2,FALSE)</f>
        <v>Clothes</v>
      </c>
      <c r="O814" s="133">
        <f t="shared" si="4"/>
        <v>0.3279648609</v>
      </c>
      <c r="P814" s="38" t="str">
        <f>VLOOKUP(E814,countries!A$2:E$250,3,false)</f>
        <v>France</v>
      </c>
      <c r="Q814" s="38" t="str">
        <f>VLOOKUP($E814,countries!$A$2:$E$250,4,false)</f>
        <v>Europe</v>
      </c>
      <c r="R814" s="38" t="str">
        <f>VLOOKUP($E814,countries!$A$2:$E$250,5,false)</f>
        <v>Western Europe</v>
      </c>
      <c r="S814" s="38">
        <f t="shared" si="5"/>
        <v>11</v>
      </c>
      <c r="T814" s="38" t="s">
        <v>150</v>
      </c>
      <c r="U814" s="38">
        <v>2014.0</v>
      </c>
      <c r="V814" s="38">
        <v>4.0</v>
      </c>
      <c r="W814" s="38" t="s">
        <v>97</v>
      </c>
      <c r="X814" s="38" t="s">
        <v>157</v>
      </c>
      <c r="Y814" s="38" t="s">
        <v>146</v>
      </c>
      <c r="Z814" s="38" t="s">
        <v>158</v>
      </c>
      <c r="AA814" s="113" t="str">
        <f t="array" ref="AA814">PROPER(G814)</f>
        <v>Online</v>
      </c>
    </row>
    <row r="815">
      <c r="A815" s="110">
        <v>6.33992946E8</v>
      </c>
      <c r="B815" s="131">
        <v>41643.0</v>
      </c>
      <c r="C815" s="131">
        <v>41645.0</v>
      </c>
      <c r="D815" s="110" t="s">
        <v>95</v>
      </c>
      <c r="E815" s="110" t="s">
        <v>123</v>
      </c>
      <c r="F815" s="110">
        <v>4594.0</v>
      </c>
      <c r="G815" s="38" t="s">
        <v>42</v>
      </c>
      <c r="H815" s="110">
        <v>1456.0</v>
      </c>
      <c r="I815" s="132">
        <v>9.33</v>
      </c>
      <c r="J815" s="132">
        <v>6.92</v>
      </c>
      <c r="K815" s="39">
        <f t="shared" si="1"/>
        <v>13584.48</v>
      </c>
      <c r="L815" s="39">
        <f t="shared" si="2"/>
        <v>10075.52</v>
      </c>
      <c r="M815" s="39">
        <f t="shared" si="3"/>
        <v>3508.96</v>
      </c>
      <c r="N815" s="38" t="str">
        <f>VLOOKUP(F815,products!$A$2:$B$13,2,FALSE)</f>
        <v>Fruits</v>
      </c>
      <c r="O815" s="133">
        <f t="shared" si="4"/>
        <v>0.741693462</v>
      </c>
      <c r="P815" s="38" t="str">
        <f>VLOOKUP(E815,countries!A$2:E$250,3,false)</f>
        <v>Hungary</v>
      </c>
      <c r="Q815" s="38" t="str">
        <f>VLOOKUP($E815,countries!$A$2:$E$250,4,false)</f>
        <v>Europe</v>
      </c>
      <c r="R815" s="38" t="str">
        <f>VLOOKUP($E815,countries!$A$2:$E$250,5,false)</f>
        <v>Eastern Europe</v>
      </c>
      <c r="S815" s="38">
        <f t="shared" si="5"/>
        <v>2</v>
      </c>
      <c r="T815" s="38" t="s">
        <v>156</v>
      </c>
      <c r="U815" s="38">
        <v>2014.0</v>
      </c>
      <c r="V815" s="38">
        <v>1.0</v>
      </c>
      <c r="W815" s="38" t="s">
        <v>123</v>
      </c>
      <c r="X815" s="38" t="s">
        <v>194</v>
      </c>
      <c r="Y815" s="38" t="s">
        <v>146</v>
      </c>
      <c r="Z815" s="38" t="s">
        <v>155</v>
      </c>
      <c r="AA815" s="113" t="str">
        <f t="array" ref="AA815">PROPER(G815)</f>
        <v>Offline</v>
      </c>
    </row>
    <row r="816">
      <c r="A816" s="110">
        <v>6.34033286E8</v>
      </c>
      <c r="B816" s="131">
        <v>41653.0</v>
      </c>
      <c r="C816" s="131">
        <v>41654.0</v>
      </c>
      <c r="D816" s="110" t="s">
        <v>89</v>
      </c>
      <c r="E816" s="110" t="s">
        <v>90</v>
      </c>
      <c r="F816" s="110">
        <v>3127.0</v>
      </c>
      <c r="G816" s="38" t="s">
        <v>42</v>
      </c>
      <c r="H816" s="110">
        <v>3394.0</v>
      </c>
      <c r="I816" s="132">
        <v>81.73</v>
      </c>
      <c r="J816" s="132">
        <v>56.67</v>
      </c>
      <c r="K816" s="39">
        <f t="shared" si="1"/>
        <v>277391.62</v>
      </c>
      <c r="L816" s="39">
        <f t="shared" si="2"/>
        <v>192337.98</v>
      </c>
      <c r="M816" s="39">
        <f t="shared" si="3"/>
        <v>85053.64</v>
      </c>
      <c r="N816" s="38" t="str">
        <f>VLOOKUP(F816,products!$A$2:$B$13,2,FALSE)</f>
        <v>Personal Care</v>
      </c>
      <c r="O816" s="133">
        <f t="shared" si="4"/>
        <v>0.6933806436</v>
      </c>
      <c r="P816" s="38" t="str">
        <f>VLOOKUP(E816,countries!A$2:E$250,3,false)</f>
        <v>Norway</v>
      </c>
      <c r="Q816" s="38" t="str">
        <f>VLOOKUP($E816,countries!$A$2:$E$250,4,false)</f>
        <v>Europe</v>
      </c>
      <c r="R816" s="38" t="str">
        <f>VLOOKUP($E816,countries!$A$2:$E$250,5,false)</f>
        <v>Northern Europe</v>
      </c>
      <c r="S816" s="38">
        <f t="shared" si="5"/>
        <v>1</v>
      </c>
      <c r="T816" s="38" t="s">
        <v>185</v>
      </c>
      <c r="U816" s="38">
        <v>2014.0</v>
      </c>
      <c r="V816" s="38">
        <v>1.0</v>
      </c>
      <c r="W816" s="38" t="s">
        <v>90</v>
      </c>
      <c r="X816" s="38" t="s">
        <v>183</v>
      </c>
      <c r="Y816" s="38" t="s">
        <v>146</v>
      </c>
      <c r="Z816" s="38" t="s">
        <v>170</v>
      </c>
      <c r="AA816" s="113" t="str">
        <f t="array" ref="AA816">PROPER(G816)</f>
        <v>Offline</v>
      </c>
    </row>
    <row r="817">
      <c r="A817" s="110">
        <v>6.36278617E8</v>
      </c>
      <c r="B817" s="131">
        <v>41672.0</v>
      </c>
      <c r="C817" s="131">
        <v>41720.0</v>
      </c>
      <c r="D817" s="110" t="s">
        <v>95</v>
      </c>
      <c r="E817" s="110" t="s">
        <v>126</v>
      </c>
      <c r="F817" s="110">
        <v>4594.0</v>
      </c>
      <c r="G817" s="38" t="s">
        <v>43</v>
      </c>
      <c r="H817" s="110">
        <v>7837.0</v>
      </c>
      <c r="I817" s="132">
        <v>9.33</v>
      </c>
      <c r="J817" s="132">
        <v>6.92</v>
      </c>
      <c r="K817" s="39">
        <f t="shared" si="1"/>
        <v>73119.21</v>
      </c>
      <c r="L817" s="39">
        <f t="shared" si="2"/>
        <v>54232.04</v>
      </c>
      <c r="M817" s="39">
        <f t="shared" si="3"/>
        <v>18887.17</v>
      </c>
      <c r="N817" s="38" t="str">
        <f>VLOOKUP(F817,products!$A$2:$B$13,2,FALSE)</f>
        <v>Fruits</v>
      </c>
      <c r="O817" s="133">
        <f t="shared" si="4"/>
        <v>0.741693462</v>
      </c>
      <c r="P817" s="38" t="str">
        <f>VLOOKUP(E817,countries!A$2:E$250,3,false)</f>
        <v>Italy</v>
      </c>
      <c r="Q817" s="38" t="str">
        <f>VLOOKUP($E817,countries!$A$2:$E$250,4,false)</f>
        <v>Europe</v>
      </c>
      <c r="R817" s="38" t="str">
        <f>VLOOKUP($E817,countries!$A$2:$E$250,5,false)</f>
        <v>Southern Europe</v>
      </c>
      <c r="S817" s="38">
        <f t="shared" si="5"/>
        <v>48</v>
      </c>
      <c r="T817" s="38" t="s">
        <v>156</v>
      </c>
      <c r="U817" s="38">
        <v>2014.0</v>
      </c>
      <c r="V817" s="38">
        <v>2.0</v>
      </c>
      <c r="W817" s="38" t="s">
        <v>126</v>
      </c>
      <c r="X817" s="38" t="s">
        <v>197</v>
      </c>
      <c r="Y817" s="38" t="s">
        <v>146</v>
      </c>
      <c r="Z817" s="38" t="s">
        <v>147</v>
      </c>
      <c r="AA817" s="113" t="str">
        <f t="array" ref="AA817">PROPER(G817)</f>
        <v>Online</v>
      </c>
    </row>
    <row r="818">
      <c r="A818" s="110">
        <v>6.36360585E8</v>
      </c>
      <c r="B818" s="131">
        <v>41310.0</v>
      </c>
      <c r="C818" s="131">
        <v>41341.0</v>
      </c>
      <c r="D818" s="110" t="s">
        <v>95</v>
      </c>
      <c r="E818" s="110" t="s">
        <v>115</v>
      </c>
      <c r="F818" s="110">
        <v>2103.0</v>
      </c>
      <c r="G818" s="38" t="s">
        <v>42</v>
      </c>
      <c r="H818" s="110">
        <v>2093.0</v>
      </c>
      <c r="I818" s="132">
        <v>205.7</v>
      </c>
      <c r="J818" s="132">
        <v>117.11</v>
      </c>
      <c r="K818" s="39">
        <f t="shared" si="1"/>
        <v>430530.1</v>
      </c>
      <c r="L818" s="39">
        <f t="shared" si="2"/>
        <v>245111.23</v>
      </c>
      <c r="M818" s="39">
        <f t="shared" si="3"/>
        <v>185418.87</v>
      </c>
      <c r="N818" s="38" t="str">
        <f>VLOOKUP(F818,products!$A$2:$B$13,2,FALSE)</f>
        <v>Cereal</v>
      </c>
      <c r="O818" s="133">
        <f t="shared" si="4"/>
        <v>0.5693242586</v>
      </c>
      <c r="P818" s="38" t="str">
        <f>VLOOKUP(E818,countries!A$2:E$250,3,false)</f>
        <v>Portugal</v>
      </c>
      <c r="Q818" s="38" t="str">
        <f>VLOOKUP($E818,countries!$A$2:$E$250,4,false)</f>
        <v>Europe</v>
      </c>
      <c r="R818" s="38" t="str">
        <f>VLOOKUP($E818,countries!$A$2:$E$250,5,false)</f>
        <v>Southern Europe</v>
      </c>
      <c r="S818" s="38">
        <f t="shared" si="5"/>
        <v>31</v>
      </c>
      <c r="T818" s="38" t="s">
        <v>144</v>
      </c>
      <c r="U818" s="38">
        <v>2013.0</v>
      </c>
      <c r="V818" s="38">
        <v>2.0</v>
      </c>
      <c r="W818" s="38" t="s">
        <v>115</v>
      </c>
      <c r="X818" s="38" t="s">
        <v>186</v>
      </c>
      <c r="Y818" s="38" t="s">
        <v>146</v>
      </c>
      <c r="Z818" s="38" t="s">
        <v>147</v>
      </c>
      <c r="AA818" s="113" t="str">
        <f t="array" ref="AA818">PROPER(G818)</f>
        <v>Offline</v>
      </c>
    </row>
    <row r="819">
      <c r="A819" s="110">
        <v>6.36907756E8</v>
      </c>
      <c r="B819" s="131">
        <v>42061.0</v>
      </c>
      <c r="C819" s="131">
        <v>42095.0</v>
      </c>
      <c r="D819" s="110" t="s">
        <v>10</v>
      </c>
      <c r="E819" s="110" t="s">
        <v>102</v>
      </c>
      <c r="F819" s="110">
        <v>5988.0</v>
      </c>
      <c r="G819" s="38" t="s">
        <v>43</v>
      </c>
      <c r="H819" s="110">
        <v>4013.0</v>
      </c>
      <c r="I819" s="132">
        <v>154.06</v>
      </c>
      <c r="J819" s="132">
        <v>90.93</v>
      </c>
      <c r="K819" s="39">
        <f t="shared" si="1"/>
        <v>618242.78</v>
      </c>
      <c r="L819" s="39">
        <f t="shared" si="2"/>
        <v>364902.09</v>
      </c>
      <c r="M819" s="39">
        <f t="shared" si="3"/>
        <v>253340.69</v>
      </c>
      <c r="N819" s="38" t="str">
        <f>VLOOKUP(F819,products!$A$2:$B$13,2,FALSE)</f>
        <v>Vegetables</v>
      </c>
      <c r="O819" s="133">
        <f t="shared" si="4"/>
        <v>0.5902245878</v>
      </c>
      <c r="P819" s="38" t="str">
        <f>VLOOKUP(E819,countries!A$2:E$250,3,false)</f>
        <v>Georgia</v>
      </c>
      <c r="Q819" s="38" t="str">
        <f>VLOOKUP($E819,countries!$A$2:$E$250,4,false)</f>
        <v>Asia</v>
      </c>
      <c r="R819" s="38" t="str">
        <f>VLOOKUP($E819,countries!$A$2:$E$250,5,false)</f>
        <v>Western Asia</v>
      </c>
      <c r="S819" s="38">
        <f t="shared" si="5"/>
        <v>34</v>
      </c>
      <c r="T819" s="38" t="s">
        <v>159</v>
      </c>
      <c r="U819" s="38">
        <v>2015.0</v>
      </c>
      <c r="V819" s="38">
        <v>2.0</v>
      </c>
      <c r="W819" s="38" t="s">
        <v>102</v>
      </c>
      <c r="X819" s="38" t="s">
        <v>168</v>
      </c>
      <c r="Y819" s="38" t="s">
        <v>165</v>
      </c>
      <c r="Z819" s="38" t="s">
        <v>166</v>
      </c>
      <c r="AA819" s="113" t="str">
        <f t="array" ref="AA819">PROPER(G819)</f>
        <v>Online</v>
      </c>
    </row>
    <row r="820">
      <c r="A820" s="110">
        <v>6.37040793E8</v>
      </c>
      <c r="B820" s="131">
        <v>42211.0</v>
      </c>
      <c r="C820" s="131">
        <v>42220.0</v>
      </c>
      <c r="D820" s="110" t="s">
        <v>93</v>
      </c>
      <c r="E820" s="110" t="s">
        <v>96</v>
      </c>
      <c r="F820" s="110">
        <v>8969.0</v>
      </c>
      <c r="G820" s="38" t="s">
        <v>43</v>
      </c>
      <c r="H820" s="110">
        <v>3382.0</v>
      </c>
      <c r="I820" s="132">
        <v>152.58</v>
      </c>
      <c r="J820" s="132">
        <v>97.44</v>
      </c>
      <c r="K820" s="39">
        <f t="shared" si="1"/>
        <v>516025.56</v>
      </c>
      <c r="L820" s="39">
        <f t="shared" si="2"/>
        <v>329542.08</v>
      </c>
      <c r="M820" s="39">
        <f t="shared" si="3"/>
        <v>186483.48</v>
      </c>
      <c r="N820" s="38" t="str">
        <f>VLOOKUP(F820,products!$A$2:$B$13,2,FALSE)</f>
        <v>Snacks</v>
      </c>
      <c r="O820" s="133">
        <f t="shared" si="4"/>
        <v>0.6386158081</v>
      </c>
      <c r="P820" s="38" t="str">
        <f>VLOOKUP(E820,countries!A$2:E$250,3,false)</f>
        <v>Slovakia</v>
      </c>
      <c r="Q820" s="38" t="str">
        <f>VLOOKUP($E820,countries!$A$2:$E$250,4,false)</f>
        <v>Europe</v>
      </c>
      <c r="R820" s="38" t="str">
        <f>VLOOKUP($E820,countries!$A$2:$E$250,5,false)</f>
        <v>Eastern Europe</v>
      </c>
      <c r="S820" s="38">
        <f t="shared" si="5"/>
        <v>9</v>
      </c>
      <c r="T820" s="38" t="s">
        <v>182</v>
      </c>
      <c r="U820" s="38">
        <v>2015.0</v>
      </c>
      <c r="V820" s="38">
        <v>7.0</v>
      </c>
      <c r="W820" s="38" t="s">
        <v>96</v>
      </c>
      <c r="X820" s="38" t="s">
        <v>154</v>
      </c>
      <c r="Y820" s="38" t="s">
        <v>146</v>
      </c>
      <c r="Z820" s="38" t="s">
        <v>155</v>
      </c>
      <c r="AA820" s="113" t="str">
        <f t="array" ref="AA820">PROPER(G820)</f>
        <v>Online</v>
      </c>
    </row>
    <row r="821">
      <c r="A821" s="110">
        <v>6.37188422E8</v>
      </c>
      <c r="B821" s="131">
        <v>41718.0</v>
      </c>
      <c r="C821" s="131">
        <v>41758.0</v>
      </c>
      <c r="D821" s="110" t="s">
        <v>10</v>
      </c>
      <c r="E821" s="110" t="s">
        <v>97</v>
      </c>
      <c r="F821" s="110">
        <v>8293.0</v>
      </c>
      <c r="G821" s="38" t="s">
        <v>43</v>
      </c>
      <c r="H821" s="110">
        <v>7069.0</v>
      </c>
      <c r="I821" s="132">
        <v>437.2</v>
      </c>
      <c r="J821" s="132">
        <v>263.33</v>
      </c>
      <c r="K821" s="39">
        <f t="shared" si="1"/>
        <v>3090566.8</v>
      </c>
      <c r="L821" s="39">
        <f t="shared" si="2"/>
        <v>1861479.77</v>
      </c>
      <c r="M821" s="39">
        <f t="shared" si="3"/>
        <v>1229087.03</v>
      </c>
      <c r="N821" s="38" t="str">
        <f>VLOOKUP(F821,products!$A$2:$B$13,2,FALSE)</f>
        <v>Cosmetics</v>
      </c>
      <c r="O821" s="133">
        <f t="shared" si="4"/>
        <v>0.6023101555</v>
      </c>
      <c r="P821" s="38" t="str">
        <f>VLOOKUP(E821,countries!A$2:E$250,3,false)</f>
        <v>France</v>
      </c>
      <c r="Q821" s="38" t="str">
        <f>VLOOKUP($E821,countries!$A$2:$E$250,4,false)</f>
        <v>Europe</v>
      </c>
      <c r="R821" s="38" t="str">
        <f>VLOOKUP($E821,countries!$A$2:$E$250,5,false)</f>
        <v>Western Europe</v>
      </c>
      <c r="S821" s="38">
        <f t="shared" si="5"/>
        <v>40</v>
      </c>
      <c r="T821" s="38" t="s">
        <v>178</v>
      </c>
      <c r="U821" s="38">
        <v>2014.0</v>
      </c>
      <c r="V821" s="38">
        <v>3.0</v>
      </c>
      <c r="W821" s="38" t="s">
        <v>97</v>
      </c>
      <c r="X821" s="38" t="s">
        <v>157</v>
      </c>
      <c r="Y821" s="38" t="s">
        <v>146</v>
      </c>
      <c r="Z821" s="38" t="s">
        <v>158</v>
      </c>
      <c r="AA821" s="113" t="str">
        <f t="array" ref="AA821">PROPER(G821)</f>
        <v>Online</v>
      </c>
    </row>
    <row r="822">
      <c r="A822" s="110">
        <v>6.3804115E8</v>
      </c>
      <c r="B822" s="131">
        <v>41191.0</v>
      </c>
      <c r="C822" s="131">
        <v>41241.0</v>
      </c>
      <c r="D822" s="110" t="s">
        <v>93</v>
      </c>
      <c r="E822" s="110" t="s">
        <v>133</v>
      </c>
      <c r="F822" s="110">
        <v>7331.0</v>
      </c>
      <c r="G822" s="38" t="s">
        <v>43</v>
      </c>
      <c r="H822" s="110">
        <v>9410.0</v>
      </c>
      <c r="I822" s="132">
        <v>255.28</v>
      </c>
      <c r="J822" s="132">
        <v>159.42</v>
      </c>
      <c r="K822" s="39">
        <f t="shared" si="1"/>
        <v>2402184.8</v>
      </c>
      <c r="L822" s="39">
        <f t="shared" si="2"/>
        <v>1500142.2</v>
      </c>
      <c r="M822" s="39">
        <f t="shared" si="3"/>
        <v>902042.6</v>
      </c>
      <c r="N822" s="38" t="str">
        <f>VLOOKUP(F822,products!$A$2:$B$13,2,FALSE)</f>
        <v>Baby Food</v>
      </c>
      <c r="O822" s="133">
        <f t="shared" si="4"/>
        <v>0.6244907552</v>
      </c>
      <c r="P822" s="38" t="str">
        <f>VLOOKUP(E822,countries!A$2:E$250,3,false)</f>
        <v>Bosnia and Herzegovina</v>
      </c>
      <c r="Q822" s="38" t="str">
        <f>VLOOKUP($E822,countries!$A$2:$E$250,4,false)</f>
        <v>Europe</v>
      </c>
      <c r="R822" s="38" t="str">
        <f>VLOOKUP($E822,countries!$A$2:$E$250,5,false)</f>
        <v>Southern Europe</v>
      </c>
      <c r="S822" s="38">
        <f t="shared" si="5"/>
        <v>50</v>
      </c>
      <c r="T822" s="38" t="s">
        <v>161</v>
      </c>
      <c r="U822" s="38">
        <v>2012.0</v>
      </c>
      <c r="V822" s="38">
        <v>10.0</v>
      </c>
      <c r="W822" s="38" t="s">
        <v>133</v>
      </c>
      <c r="X822" s="38" t="s">
        <v>204</v>
      </c>
      <c r="Y822" s="38" t="s">
        <v>146</v>
      </c>
      <c r="Z822" s="38" t="s">
        <v>147</v>
      </c>
      <c r="AA822" s="113" t="str">
        <f t="array" ref="AA822">PROPER(G822)</f>
        <v>Online</v>
      </c>
    </row>
    <row r="823">
      <c r="A823" s="110">
        <v>6.38314521E8</v>
      </c>
      <c r="B823" s="131">
        <v>41169.0</v>
      </c>
      <c r="C823" s="131">
        <v>41197.0</v>
      </c>
      <c r="D823" s="110" t="s">
        <v>95</v>
      </c>
      <c r="E823" s="110" t="e">
        <v>#N/A</v>
      </c>
      <c r="F823" s="110">
        <v>8875.0</v>
      </c>
      <c r="G823" s="38" t="s">
        <v>43</v>
      </c>
      <c r="H823" s="110">
        <v>306.0</v>
      </c>
      <c r="I823" s="132">
        <v>421.89</v>
      </c>
      <c r="J823" s="132">
        <v>364.69</v>
      </c>
      <c r="K823" s="39">
        <f t="shared" si="1"/>
        <v>129098.34</v>
      </c>
      <c r="L823" s="39">
        <f t="shared" si="2"/>
        <v>111595.14</v>
      </c>
      <c r="M823" s="39">
        <f t="shared" si="3"/>
        <v>17503.2</v>
      </c>
      <c r="N823" s="38" t="str">
        <f>VLOOKUP(F823,products!$A$2:$B$13,2,FALSE)</f>
        <v>Meat</v>
      </c>
      <c r="O823" s="133">
        <f t="shared" si="4"/>
        <v>0.8644196354</v>
      </c>
      <c r="P823" s="38" t="str">
        <f>VLOOKUP(E823,countries!A$2:E$250,3,false)</f>
        <v>#N/A</v>
      </c>
      <c r="Q823" s="38" t="str">
        <f>VLOOKUP($E823,countries!$A$2:$E$250,4,false)</f>
        <v>#N/A</v>
      </c>
      <c r="R823" s="38" t="str">
        <f>VLOOKUP($E823,countries!$A$2:$E$250,5,false)</f>
        <v>#N/A</v>
      </c>
      <c r="S823" s="38">
        <f t="shared" si="5"/>
        <v>28</v>
      </c>
      <c r="T823" s="38" t="s">
        <v>167</v>
      </c>
      <c r="U823" s="38">
        <v>2012.0</v>
      </c>
      <c r="V823" s="38">
        <v>9.0</v>
      </c>
      <c r="W823" s="38" t="s">
        <v>92</v>
      </c>
      <c r="X823" s="38" t="s">
        <v>149</v>
      </c>
      <c r="Y823" s="38" t="s">
        <v>149</v>
      </c>
      <c r="Z823" s="38" t="s">
        <v>149</v>
      </c>
      <c r="AA823" s="113" t="str">
        <f t="array" ref="AA823">PROPER(G823)</f>
        <v>Online</v>
      </c>
    </row>
    <row r="824">
      <c r="A824" s="110">
        <v>6.385939E8</v>
      </c>
      <c r="B824" s="131">
        <v>41208.0</v>
      </c>
      <c r="C824" s="131">
        <v>41255.0</v>
      </c>
      <c r="D824" s="110" t="s">
        <v>93</v>
      </c>
      <c r="E824" s="110" t="s">
        <v>132</v>
      </c>
      <c r="F824" s="110">
        <v>8293.0</v>
      </c>
      <c r="G824" s="38" t="s">
        <v>43</v>
      </c>
      <c r="H824" s="110">
        <v>2981.0</v>
      </c>
      <c r="I824" s="132">
        <v>437.2</v>
      </c>
      <c r="J824" s="132">
        <v>263.33</v>
      </c>
      <c r="K824" s="39">
        <f t="shared" si="1"/>
        <v>1303293.2</v>
      </c>
      <c r="L824" s="39">
        <f t="shared" si="2"/>
        <v>784986.73</v>
      </c>
      <c r="M824" s="39">
        <f t="shared" si="3"/>
        <v>518306.47</v>
      </c>
      <c r="N824" s="38" t="str">
        <f>VLOOKUP(F824,products!$A$2:$B$13,2,FALSE)</f>
        <v>Cosmetics</v>
      </c>
      <c r="O824" s="133">
        <f t="shared" si="4"/>
        <v>0.6023101555</v>
      </c>
      <c r="P824" s="38" t="str">
        <f>VLOOKUP(E824,countries!A$2:E$250,3,false)</f>
        <v>Sweden</v>
      </c>
      <c r="Q824" s="38" t="str">
        <f>VLOOKUP($E824,countries!$A$2:$E$250,4,false)</f>
        <v>Europe</v>
      </c>
      <c r="R824" s="38" t="str">
        <f>VLOOKUP($E824,countries!$A$2:$E$250,5,false)</f>
        <v>Northern Europe</v>
      </c>
      <c r="S824" s="38">
        <f t="shared" si="5"/>
        <v>47</v>
      </c>
      <c r="T824" s="38" t="s">
        <v>178</v>
      </c>
      <c r="U824" s="38">
        <v>2012.0</v>
      </c>
      <c r="V824" s="38">
        <v>10.0</v>
      </c>
      <c r="W824" s="38" t="s">
        <v>132</v>
      </c>
      <c r="X824" s="38" t="s">
        <v>203</v>
      </c>
      <c r="Y824" s="38" t="s">
        <v>146</v>
      </c>
      <c r="Z824" s="38" t="s">
        <v>170</v>
      </c>
      <c r="AA824" s="113" t="str">
        <f t="array" ref="AA824">PROPER(G824)</f>
        <v>Online</v>
      </c>
    </row>
    <row r="825">
      <c r="A825" s="110">
        <v>6.38856971E8</v>
      </c>
      <c r="B825" s="131">
        <v>41479.0</v>
      </c>
      <c r="C825" s="131">
        <v>41507.0</v>
      </c>
      <c r="D825" s="110" t="s">
        <v>89</v>
      </c>
      <c r="E825" s="110" t="s">
        <v>116</v>
      </c>
      <c r="F825" s="110">
        <v>3127.0</v>
      </c>
      <c r="G825" s="38" t="s">
        <v>43</v>
      </c>
      <c r="H825" s="110">
        <v>829.0</v>
      </c>
      <c r="I825" s="132">
        <v>81.73</v>
      </c>
      <c r="J825" s="132">
        <v>56.67</v>
      </c>
      <c r="K825" s="39">
        <f t="shared" si="1"/>
        <v>67754.17</v>
      </c>
      <c r="L825" s="39">
        <f t="shared" si="2"/>
        <v>46979.43</v>
      </c>
      <c r="M825" s="39">
        <f t="shared" si="3"/>
        <v>20774.74</v>
      </c>
      <c r="N825" s="38" t="str">
        <f>VLOOKUP(F825,products!$A$2:$B$13,2,FALSE)</f>
        <v>Personal Care</v>
      </c>
      <c r="O825" s="133">
        <f t="shared" si="4"/>
        <v>0.6933806436</v>
      </c>
      <c r="P825" s="38" t="str">
        <f>VLOOKUP(E825,countries!A$2:E$250,3,false)</f>
        <v>Belarus</v>
      </c>
      <c r="Q825" s="38" t="str">
        <f>VLOOKUP($E825,countries!$A$2:$E$250,4,false)</f>
        <v>Europe</v>
      </c>
      <c r="R825" s="38" t="str">
        <f>VLOOKUP($E825,countries!$A$2:$E$250,5,false)</f>
        <v>Eastern Europe</v>
      </c>
      <c r="S825" s="38">
        <f t="shared" si="5"/>
        <v>28</v>
      </c>
      <c r="T825" s="38" t="s">
        <v>185</v>
      </c>
      <c r="U825" s="38">
        <v>2013.0</v>
      </c>
      <c r="V825" s="38">
        <v>7.0</v>
      </c>
      <c r="W825" s="38" t="s">
        <v>116</v>
      </c>
      <c r="X825" s="38" t="s">
        <v>187</v>
      </c>
      <c r="Y825" s="38" t="s">
        <v>146</v>
      </c>
      <c r="Z825" s="38" t="s">
        <v>155</v>
      </c>
      <c r="AA825" s="113" t="str">
        <f t="array" ref="AA825">PROPER(G825)</f>
        <v>Online</v>
      </c>
    </row>
    <row r="826">
      <c r="A826" s="110">
        <v>6.38937652E8</v>
      </c>
      <c r="B826" s="131">
        <v>41498.0</v>
      </c>
      <c r="C826" s="131">
        <v>41523.0</v>
      </c>
      <c r="D826" s="110" t="s">
        <v>93</v>
      </c>
      <c r="E826" s="110" t="s">
        <v>90</v>
      </c>
      <c r="F826" s="110">
        <v>4594.0</v>
      </c>
      <c r="G826" s="38" t="s">
        <v>42</v>
      </c>
      <c r="H826" s="110">
        <v>4705.0</v>
      </c>
      <c r="I826" s="132">
        <v>9.33</v>
      </c>
      <c r="J826" s="132">
        <v>6.92</v>
      </c>
      <c r="K826" s="39">
        <f t="shared" si="1"/>
        <v>43897.65</v>
      </c>
      <c r="L826" s="39">
        <f t="shared" si="2"/>
        <v>32558.6</v>
      </c>
      <c r="M826" s="39">
        <f t="shared" si="3"/>
        <v>11339.05</v>
      </c>
      <c r="N826" s="38" t="str">
        <f>VLOOKUP(F826,products!$A$2:$B$13,2,FALSE)</f>
        <v>Fruits</v>
      </c>
      <c r="O826" s="133">
        <f t="shared" si="4"/>
        <v>0.741693462</v>
      </c>
      <c r="P826" s="38" t="str">
        <f>VLOOKUP(E826,countries!A$2:E$250,3,false)</f>
        <v>Norway</v>
      </c>
      <c r="Q826" s="38" t="str">
        <f>VLOOKUP($E826,countries!$A$2:$E$250,4,false)</f>
        <v>Europe</v>
      </c>
      <c r="R826" s="38" t="str">
        <f>VLOOKUP($E826,countries!$A$2:$E$250,5,false)</f>
        <v>Northern Europe</v>
      </c>
      <c r="S826" s="38">
        <f t="shared" si="5"/>
        <v>25</v>
      </c>
      <c r="T826" s="38" t="s">
        <v>156</v>
      </c>
      <c r="U826" s="38">
        <v>2013.0</v>
      </c>
      <c r="V826" s="38">
        <v>8.0</v>
      </c>
      <c r="W826" s="38" t="s">
        <v>90</v>
      </c>
      <c r="X826" s="38" t="s">
        <v>183</v>
      </c>
      <c r="Y826" s="38" t="s">
        <v>146</v>
      </c>
      <c r="Z826" s="38" t="s">
        <v>170</v>
      </c>
      <c r="AA826" s="113" t="str">
        <f t="array" ref="AA826">PROPER(G826)</f>
        <v>Offline</v>
      </c>
    </row>
    <row r="827">
      <c r="A827" s="110">
        <v>6.38957822E8</v>
      </c>
      <c r="B827" s="131">
        <v>42886.0</v>
      </c>
      <c r="C827" s="131">
        <v>42910.0</v>
      </c>
      <c r="D827" s="110" t="s">
        <v>89</v>
      </c>
      <c r="E827" s="110" t="s">
        <v>96</v>
      </c>
      <c r="F827" s="110">
        <v>1270.0</v>
      </c>
      <c r="G827" s="38" t="s">
        <v>43</v>
      </c>
      <c r="H827" s="110">
        <v>673.0</v>
      </c>
      <c r="I827" s="132">
        <v>47.45</v>
      </c>
      <c r="J827" s="132">
        <v>31.79</v>
      </c>
      <c r="K827" s="39">
        <f t="shared" si="1"/>
        <v>31933.85</v>
      </c>
      <c r="L827" s="39">
        <f t="shared" si="2"/>
        <v>21394.67</v>
      </c>
      <c r="M827" s="39">
        <f t="shared" si="3"/>
        <v>10539.18</v>
      </c>
      <c r="N827" s="38" t="str">
        <f>VLOOKUP(F827,products!$A$2:$B$13,2,FALSE)</f>
        <v>Beverages</v>
      </c>
      <c r="O827" s="133">
        <f t="shared" si="4"/>
        <v>0.6699683878</v>
      </c>
      <c r="P827" s="38" t="str">
        <f>VLOOKUP(E827,countries!A$2:E$250,3,false)</f>
        <v>Slovakia</v>
      </c>
      <c r="Q827" s="38" t="str">
        <f>VLOOKUP($E827,countries!$A$2:$E$250,4,false)</f>
        <v>Europe</v>
      </c>
      <c r="R827" s="38" t="str">
        <f>VLOOKUP($E827,countries!$A$2:$E$250,5,false)</f>
        <v>Eastern Europe</v>
      </c>
      <c r="S827" s="38">
        <f t="shared" si="5"/>
        <v>24</v>
      </c>
      <c r="T827" s="38" t="s">
        <v>152</v>
      </c>
      <c r="U827" s="38">
        <v>2017.0</v>
      </c>
      <c r="V827" s="38">
        <v>5.0</v>
      </c>
      <c r="W827" s="38" t="s">
        <v>96</v>
      </c>
      <c r="X827" s="38" t="s">
        <v>154</v>
      </c>
      <c r="Y827" s="38" t="s">
        <v>146</v>
      </c>
      <c r="Z827" s="38" t="s">
        <v>155</v>
      </c>
      <c r="AA827" s="113" t="str">
        <f t="array" ref="AA827">PROPER(G827)</f>
        <v>Online</v>
      </c>
    </row>
    <row r="828">
      <c r="A828" s="110">
        <v>6.39126908E8</v>
      </c>
      <c r="B828" s="131">
        <v>40632.0</v>
      </c>
      <c r="C828" s="131">
        <v>40673.0</v>
      </c>
      <c r="D828" s="110" t="s">
        <v>10</v>
      </c>
      <c r="E828" s="110" t="s">
        <v>133</v>
      </c>
      <c r="F828" s="110">
        <v>2103.0</v>
      </c>
      <c r="G828" s="38" t="s">
        <v>43</v>
      </c>
      <c r="H828" s="110">
        <v>710.0</v>
      </c>
      <c r="I828" s="132">
        <v>205.7</v>
      </c>
      <c r="J828" s="132">
        <v>117.11</v>
      </c>
      <c r="K828" s="39">
        <f t="shared" si="1"/>
        <v>146047</v>
      </c>
      <c r="L828" s="39">
        <f t="shared" si="2"/>
        <v>83148.1</v>
      </c>
      <c r="M828" s="39">
        <f t="shared" si="3"/>
        <v>62898.9</v>
      </c>
      <c r="N828" s="38" t="str">
        <f>VLOOKUP(F828,products!$A$2:$B$13,2,FALSE)</f>
        <v>Cereal</v>
      </c>
      <c r="O828" s="133">
        <f t="shared" si="4"/>
        <v>0.5693242586</v>
      </c>
      <c r="P828" s="38" t="str">
        <f>VLOOKUP(E828,countries!A$2:E$250,3,false)</f>
        <v>Bosnia and Herzegovina</v>
      </c>
      <c r="Q828" s="38" t="str">
        <f>VLOOKUP($E828,countries!$A$2:$E$250,4,false)</f>
        <v>Europe</v>
      </c>
      <c r="R828" s="38" t="str">
        <f>VLOOKUP($E828,countries!$A$2:$E$250,5,false)</f>
        <v>Southern Europe</v>
      </c>
      <c r="S828" s="38">
        <f t="shared" si="5"/>
        <v>41</v>
      </c>
      <c r="T828" s="38" t="s">
        <v>144</v>
      </c>
      <c r="U828" s="38">
        <v>2011.0</v>
      </c>
      <c r="V828" s="38">
        <v>3.0</v>
      </c>
      <c r="W828" s="38" t="s">
        <v>133</v>
      </c>
      <c r="X828" s="38" t="s">
        <v>204</v>
      </c>
      <c r="Y828" s="38" t="s">
        <v>146</v>
      </c>
      <c r="Z828" s="38" t="s">
        <v>147</v>
      </c>
      <c r="AA828" s="113" t="str">
        <f t="array" ref="AA828">PROPER(G828)</f>
        <v>Online</v>
      </c>
    </row>
    <row r="829">
      <c r="A829" s="110">
        <v>6.40295922E8</v>
      </c>
      <c r="B829" s="131">
        <v>42095.0</v>
      </c>
      <c r="C829" s="131">
        <v>42097.0</v>
      </c>
      <c r="D829" s="110" t="s">
        <v>89</v>
      </c>
      <c r="E829" s="110" t="s">
        <v>133</v>
      </c>
      <c r="F829" s="110">
        <v>7331.0</v>
      </c>
      <c r="G829" s="38" t="s">
        <v>43</v>
      </c>
      <c r="H829" s="110">
        <v>6647.0</v>
      </c>
      <c r="I829" s="132">
        <v>255.28</v>
      </c>
      <c r="J829" s="132">
        <v>159.42</v>
      </c>
      <c r="K829" s="39">
        <f t="shared" si="1"/>
        <v>1696846.16</v>
      </c>
      <c r="L829" s="39">
        <f t="shared" si="2"/>
        <v>1059664.74</v>
      </c>
      <c r="M829" s="39">
        <f t="shared" si="3"/>
        <v>637181.42</v>
      </c>
      <c r="N829" s="38" t="str">
        <f>VLOOKUP(F829,products!$A$2:$B$13,2,FALSE)</f>
        <v>Baby Food</v>
      </c>
      <c r="O829" s="133">
        <f t="shared" si="4"/>
        <v>0.6244907552</v>
      </c>
      <c r="P829" s="38" t="str">
        <f>VLOOKUP(E829,countries!A$2:E$250,3,false)</f>
        <v>Bosnia and Herzegovina</v>
      </c>
      <c r="Q829" s="38" t="str">
        <f>VLOOKUP($E829,countries!$A$2:$E$250,4,false)</f>
        <v>Europe</v>
      </c>
      <c r="R829" s="38" t="str">
        <f>VLOOKUP($E829,countries!$A$2:$E$250,5,false)</f>
        <v>Southern Europe</v>
      </c>
      <c r="S829" s="38">
        <f t="shared" si="5"/>
        <v>2</v>
      </c>
      <c r="T829" s="38" t="s">
        <v>161</v>
      </c>
      <c r="U829" s="38">
        <v>2015.0</v>
      </c>
      <c r="V829" s="38">
        <v>4.0</v>
      </c>
      <c r="W829" s="38" t="s">
        <v>133</v>
      </c>
      <c r="X829" s="38" t="s">
        <v>204</v>
      </c>
      <c r="Y829" s="38" t="s">
        <v>146</v>
      </c>
      <c r="Z829" s="38" t="s">
        <v>147</v>
      </c>
      <c r="AA829" s="113" t="str">
        <f t="array" ref="AA829">PROPER(G829)</f>
        <v>Online</v>
      </c>
    </row>
    <row r="830">
      <c r="A830" s="110">
        <v>6.40394628E8</v>
      </c>
      <c r="B830" s="131">
        <v>42296.0</v>
      </c>
      <c r="C830" s="131">
        <v>42315.0</v>
      </c>
      <c r="D830" s="110" t="s">
        <v>95</v>
      </c>
      <c r="E830" s="110" t="s">
        <v>133</v>
      </c>
      <c r="F830" s="110">
        <v>8681.0</v>
      </c>
      <c r="G830" s="38" t="s">
        <v>42</v>
      </c>
      <c r="H830" s="110">
        <v>5856.0</v>
      </c>
      <c r="I830" s="132">
        <v>651.21</v>
      </c>
      <c r="J830" s="132">
        <v>524.96</v>
      </c>
      <c r="K830" s="39">
        <f t="shared" si="1"/>
        <v>3813485.76</v>
      </c>
      <c r="L830" s="39">
        <f t="shared" si="2"/>
        <v>3074165.76</v>
      </c>
      <c r="M830" s="39">
        <f t="shared" si="3"/>
        <v>739320</v>
      </c>
      <c r="N830" s="38" t="str">
        <f>VLOOKUP(F830,products!$A$2:$B$13,2,FALSE)</f>
        <v>Office Supplies</v>
      </c>
      <c r="O830" s="133">
        <f t="shared" si="4"/>
        <v>0.806130127</v>
      </c>
      <c r="P830" s="38" t="str">
        <f>VLOOKUP(E830,countries!A$2:E$250,3,false)</f>
        <v>Bosnia and Herzegovina</v>
      </c>
      <c r="Q830" s="38" t="str">
        <f>VLOOKUP($E830,countries!$A$2:$E$250,4,false)</f>
        <v>Europe</v>
      </c>
      <c r="R830" s="38" t="str">
        <f>VLOOKUP($E830,countries!$A$2:$E$250,5,false)</f>
        <v>Southern Europe</v>
      </c>
      <c r="S830" s="38">
        <f t="shared" si="5"/>
        <v>19</v>
      </c>
      <c r="T830" s="38" t="s">
        <v>153</v>
      </c>
      <c r="U830" s="38">
        <v>2015.0</v>
      </c>
      <c r="V830" s="38">
        <v>10.0</v>
      </c>
      <c r="W830" s="38" t="s">
        <v>133</v>
      </c>
      <c r="X830" s="38" t="s">
        <v>204</v>
      </c>
      <c r="Y830" s="38" t="s">
        <v>146</v>
      </c>
      <c r="Z830" s="38" t="s">
        <v>147</v>
      </c>
      <c r="AA830" s="113" t="str">
        <f t="array" ref="AA830">PROPER(G830)</f>
        <v>Offline</v>
      </c>
    </row>
    <row r="831">
      <c r="A831" s="110">
        <v>6.40476596E8</v>
      </c>
      <c r="B831" s="131">
        <v>41933.0</v>
      </c>
      <c r="C831" s="131">
        <v>41936.0</v>
      </c>
      <c r="D831" s="110" t="s">
        <v>95</v>
      </c>
      <c r="E831" s="110" t="s">
        <v>137</v>
      </c>
      <c r="F831" s="110">
        <v>4594.0</v>
      </c>
      <c r="G831" s="38" t="s">
        <v>43</v>
      </c>
      <c r="H831" s="110">
        <v>112.0</v>
      </c>
      <c r="I831" s="132">
        <v>9.33</v>
      </c>
      <c r="J831" s="132">
        <v>6.92</v>
      </c>
      <c r="K831" s="39">
        <f t="shared" si="1"/>
        <v>1044.96</v>
      </c>
      <c r="L831" s="39">
        <f t="shared" si="2"/>
        <v>775.04</v>
      </c>
      <c r="M831" s="39">
        <f t="shared" si="3"/>
        <v>269.92</v>
      </c>
      <c r="N831" s="38" t="str">
        <f>VLOOKUP(F831,products!$A$2:$B$13,2,FALSE)</f>
        <v>Fruits</v>
      </c>
      <c r="O831" s="133">
        <f t="shared" si="4"/>
        <v>0.741693462</v>
      </c>
      <c r="P831" s="38" t="str">
        <f>VLOOKUP(E831,countries!A$2:E$250,3,false)</f>
        <v>Iceland</v>
      </c>
      <c r="Q831" s="38" t="str">
        <f>VLOOKUP($E831,countries!$A$2:$E$250,4,false)</f>
        <v>Europe</v>
      </c>
      <c r="R831" s="38" t="str">
        <f>VLOOKUP($E831,countries!$A$2:$E$250,5,false)</f>
        <v>Northern Europe</v>
      </c>
      <c r="S831" s="38">
        <f t="shared" si="5"/>
        <v>3</v>
      </c>
      <c r="T831" s="38" t="s">
        <v>156</v>
      </c>
      <c r="U831" s="38">
        <v>2014.0</v>
      </c>
      <c r="V831" s="38">
        <v>10.0</v>
      </c>
      <c r="W831" s="38" t="s">
        <v>137</v>
      </c>
      <c r="X831" s="38" t="s">
        <v>207</v>
      </c>
      <c r="Y831" s="38" t="s">
        <v>146</v>
      </c>
      <c r="Z831" s="38" t="s">
        <v>170</v>
      </c>
      <c r="AA831" s="113" t="str">
        <f t="array" ref="AA831">PROPER(G831)</f>
        <v>Online</v>
      </c>
    </row>
    <row r="832">
      <c r="A832" s="110">
        <v>6.41537463E8</v>
      </c>
      <c r="B832" s="131">
        <v>42310.0</v>
      </c>
      <c r="C832" s="131">
        <v>42352.0</v>
      </c>
      <c r="D832" s="110" t="s">
        <v>95</v>
      </c>
      <c r="E832" s="110" t="s">
        <v>125</v>
      </c>
      <c r="F832" s="110">
        <v>8681.0</v>
      </c>
      <c r="G832" s="38" t="s">
        <v>43</v>
      </c>
      <c r="H832" s="110">
        <v>4047.0</v>
      </c>
      <c r="I832" s="132">
        <v>651.21</v>
      </c>
      <c r="J832" s="132">
        <v>524.96</v>
      </c>
      <c r="K832" s="39">
        <f t="shared" si="1"/>
        <v>2635446.87</v>
      </c>
      <c r="L832" s="39">
        <f t="shared" si="2"/>
        <v>2124513.12</v>
      </c>
      <c r="M832" s="39">
        <f t="shared" si="3"/>
        <v>510933.75</v>
      </c>
      <c r="N832" s="38" t="str">
        <f>VLOOKUP(F832,products!$A$2:$B$13,2,FALSE)</f>
        <v>Office Supplies</v>
      </c>
      <c r="O832" s="133">
        <f t="shared" si="4"/>
        <v>0.806130127</v>
      </c>
      <c r="P832" s="38" t="str">
        <f>VLOOKUP(E832,countries!A$2:E$250,3,false)</f>
        <v>Bulgaria</v>
      </c>
      <c r="Q832" s="38" t="str">
        <f>VLOOKUP($E832,countries!$A$2:$E$250,4,false)</f>
        <v>Europe</v>
      </c>
      <c r="R832" s="38" t="str">
        <f>VLOOKUP($E832,countries!$A$2:$E$250,5,false)</f>
        <v>Eastern Europe</v>
      </c>
      <c r="S832" s="38">
        <f t="shared" si="5"/>
        <v>42</v>
      </c>
      <c r="T832" s="38" t="s">
        <v>153</v>
      </c>
      <c r="U832" s="38">
        <v>2015.0</v>
      </c>
      <c r="V832" s="38">
        <v>11.0</v>
      </c>
      <c r="W832" s="38" t="s">
        <v>125</v>
      </c>
      <c r="X832" s="38" t="s">
        <v>196</v>
      </c>
      <c r="Y832" s="38" t="s">
        <v>146</v>
      </c>
      <c r="Z832" s="38" t="s">
        <v>155</v>
      </c>
      <c r="AA832" s="113" t="str">
        <f t="array" ref="AA832">PROPER(G832)</f>
        <v>Online</v>
      </c>
    </row>
    <row r="833">
      <c r="A833" s="110">
        <v>6.42123687E8</v>
      </c>
      <c r="B833" s="131">
        <v>40688.0</v>
      </c>
      <c r="C833" s="131">
        <v>40693.0</v>
      </c>
      <c r="D833" s="110" t="s">
        <v>89</v>
      </c>
      <c r="E833" s="110" t="s">
        <v>138</v>
      </c>
      <c r="F833" s="110">
        <v>1270.0</v>
      </c>
      <c r="G833" s="38" t="s">
        <v>43</v>
      </c>
      <c r="H833" s="110">
        <v>7523.0</v>
      </c>
      <c r="I833" s="132">
        <v>47.45</v>
      </c>
      <c r="J833" s="132">
        <v>31.79</v>
      </c>
      <c r="K833" s="39">
        <f t="shared" si="1"/>
        <v>356966.35</v>
      </c>
      <c r="L833" s="39">
        <f t="shared" si="2"/>
        <v>239156.17</v>
      </c>
      <c r="M833" s="39">
        <f t="shared" si="3"/>
        <v>117810.18</v>
      </c>
      <c r="N833" s="38" t="str">
        <f>VLOOKUP(F833,products!$A$2:$B$13,2,FALSE)</f>
        <v>Beverages</v>
      </c>
      <c r="O833" s="133">
        <f t="shared" si="4"/>
        <v>0.6699683878</v>
      </c>
      <c r="P833" s="38" t="str">
        <f>VLOOKUP(E833,countries!A$2:E$250,3,false)</f>
        <v>Greece</v>
      </c>
      <c r="Q833" s="38" t="str">
        <f>VLOOKUP($E833,countries!$A$2:$E$250,4,false)</f>
        <v>Europe</v>
      </c>
      <c r="R833" s="38" t="str">
        <f>VLOOKUP($E833,countries!$A$2:$E$250,5,false)</f>
        <v>Southern Europe</v>
      </c>
      <c r="S833" s="38">
        <f t="shared" si="5"/>
        <v>5</v>
      </c>
      <c r="T833" s="38" t="s">
        <v>152</v>
      </c>
      <c r="U833" s="38">
        <v>2011.0</v>
      </c>
      <c r="V833" s="38">
        <v>5.0</v>
      </c>
      <c r="W833" s="38" t="s">
        <v>138</v>
      </c>
      <c r="X833" s="38" t="s">
        <v>208</v>
      </c>
      <c r="Y833" s="38" t="s">
        <v>146</v>
      </c>
      <c r="Z833" s="38" t="s">
        <v>147</v>
      </c>
      <c r="AA833" s="113" t="str">
        <f t="array" ref="AA833">PROPER(G833)</f>
        <v>Online</v>
      </c>
    </row>
    <row r="834">
      <c r="A834" s="110">
        <v>6.4295367E8</v>
      </c>
      <c r="B834" s="131">
        <v>42304.0</v>
      </c>
      <c r="C834" s="131">
        <v>42347.0</v>
      </c>
      <c r="D834" s="110" t="s">
        <v>89</v>
      </c>
      <c r="E834" s="110" t="s">
        <v>121</v>
      </c>
      <c r="F834" s="110">
        <v>1270.0</v>
      </c>
      <c r="G834" s="38" t="s">
        <v>42</v>
      </c>
      <c r="H834" s="110">
        <v>3134.0</v>
      </c>
      <c r="I834" s="132">
        <v>47.45</v>
      </c>
      <c r="J834" s="132">
        <v>31.79</v>
      </c>
      <c r="K834" s="39">
        <f t="shared" si="1"/>
        <v>148708.3</v>
      </c>
      <c r="L834" s="39">
        <f t="shared" si="2"/>
        <v>99629.86</v>
      </c>
      <c r="M834" s="39">
        <f t="shared" si="3"/>
        <v>49078.44</v>
      </c>
      <c r="N834" s="38" t="str">
        <f>VLOOKUP(F834,products!$A$2:$B$13,2,FALSE)</f>
        <v>Beverages</v>
      </c>
      <c r="O834" s="133">
        <f t="shared" si="4"/>
        <v>0.6699683878</v>
      </c>
      <c r="P834" s="38" t="str">
        <f>VLOOKUP(E834,countries!A$2:E$250,3,false)</f>
        <v>Netherlands</v>
      </c>
      <c r="Q834" s="38" t="str">
        <f>VLOOKUP($E834,countries!$A$2:$E$250,4,false)</f>
        <v>Europe</v>
      </c>
      <c r="R834" s="38" t="str">
        <f>VLOOKUP($E834,countries!$A$2:$E$250,5,false)</f>
        <v>Western Europe</v>
      </c>
      <c r="S834" s="38">
        <f t="shared" si="5"/>
        <v>43</v>
      </c>
      <c r="T834" s="38" t="s">
        <v>152</v>
      </c>
      <c r="U834" s="38">
        <v>2015.0</v>
      </c>
      <c r="V834" s="38">
        <v>10.0</v>
      </c>
      <c r="W834" s="38" t="s">
        <v>121</v>
      </c>
      <c r="X834" s="38" t="s">
        <v>192</v>
      </c>
      <c r="Y834" s="38" t="s">
        <v>146</v>
      </c>
      <c r="Z834" s="38" t="s">
        <v>158</v>
      </c>
      <c r="AA834" s="113" t="str">
        <f t="array" ref="AA834">PROPER(G834)</f>
        <v>Offline</v>
      </c>
    </row>
    <row r="835">
      <c r="A835" s="110">
        <v>6.43027484E8</v>
      </c>
      <c r="B835" s="131">
        <v>40674.0</v>
      </c>
      <c r="C835" s="131">
        <v>40681.0</v>
      </c>
      <c r="D835" s="110" t="s">
        <v>95</v>
      </c>
      <c r="E835" s="110" t="s">
        <v>137</v>
      </c>
      <c r="F835" s="110">
        <v>8875.0</v>
      </c>
      <c r="G835" s="38" t="s">
        <v>43</v>
      </c>
      <c r="H835" s="110">
        <v>4977.0</v>
      </c>
      <c r="I835" s="132">
        <v>421.89</v>
      </c>
      <c r="J835" s="132">
        <v>364.69</v>
      </c>
      <c r="K835" s="39">
        <f t="shared" si="1"/>
        <v>2099746.53</v>
      </c>
      <c r="L835" s="39">
        <f t="shared" si="2"/>
        <v>1815062.13</v>
      </c>
      <c r="M835" s="39">
        <f t="shared" si="3"/>
        <v>284684.4</v>
      </c>
      <c r="N835" s="38" t="str">
        <f>VLOOKUP(F835,products!$A$2:$B$13,2,FALSE)</f>
        <v>Meat</v>
      </c>
      <c r="O835" s="133">
        <f t="shared" si="4"/>
        <v>0.8644196354</v>
      </c>
      <c r="P835" s="38" t="str">
        <f>VLOOKUP(E835,countries!A$2:E$250,3,false)</f>
        <v>Iceland</v>
      </c>
      <c r="Q835" s="38" t="str">
        <f>VLOOKUP($E835,countries!$A$2:$E$250,4,false)</f>
        <v>Europe</v>
      </c>
      <c r="R835" s="38" t="str">
        <f>VLOOKUP($E835,countries!$A$2:$E$250,5,false)</f>
        <v>Northern Europe</v>
      </c>
      <c r="S835" s="38">
        <f t="shared" si="5"/>
        <v>7</v>
      </c>
      <c r="T835" s="38" t="s">
        <v>167</v>
      </c>
      <c r="U835" s="38">
        <v>2011.0</v>
      </c>
      <c r="V835" s="38">
        <v>5.0</v>
      </c>
      <c r="W835" s="38" t="s">
        <v>137</v>
      </c>
      <c r="X835" s="38" t="s">
        <v>207</v>
      </c>
      <c r="Y835" s="38" t="s">
        <v>146</v>
      </c>
      <c r="Z835" s="38" t="s">
        <v>170</v>
      </c>
      <c r="AA835" s="113" t="str">
        <f t="array" ref="AA835">PROPER(G835)</f>
        <v>Online</v>
      </c>
    </row>
    <row r="836">
      <c r="A836" s="110">
        <v>6.43259227E8</v>
      </c>
      <c r="B836" s="131">
        <v>41025.0</v>
      </c>
      <c r="C836" s="131">
        <v>41025.0</v>
      </c>
      <c r="D836" s="110" t="s">
        <v>93</v>
      </c>
      <c r="E836" s="110" t="s">
        <v>122</v>
      </c>
      <c r="F836" s="110">
        <v>8875.0</v>
      </c>
      <c r="G836" s="38" t="s">
        <v>42</v>
      </c>
      <c r="H836" s="110">
        <v>3555.0</v>
      </c>
      <c r="I836" s="132">
        <v>421.89</v>
      </c>
      <c r="J836" s="132">
        <v>364.69</v>
      </c>
      <c r="K836" s="39">
        <f t="shared" si="1"/>
        <v>1499818.95</v>
      </c>
      <c r="L836" s="39">
        <f t="shared" si="2"/>
        <v>1296472.95</v>
      </c>
      <c r="M836" s="39">
        <f t="shared" si="3"/>
        <v>203346</v>
      </c>
      <c r="N836" s="38" t="str">
        <f>VLOOKUP(F836,products!$A$2:$B$13,2,FALSE)</f>
        <v>Meat</v>
      </c>
      <c r="O836" s="133">
        <f t="shared" si="4"/>
        <v>0.8644196354</v>
      </c>
      <c r="P836" s="38" t="str">
        <f>VLOOKUP(E836,countries!A$2:E$250,3,false)</f>
        <v>Switzerland</v>
      </c>
      <c r="Q836" s="38" t="str">
        <f>VLOOKUP($E836,countries!$A$2:$E$250,4,false)</f>
        <v>Europe</v>
      </c>
      <c r="R836" s="38" t="str">
        <f>VLOOKUP($E836,countries!$A$2:$E$250,5,false)</f>
        <v>Western Europe</v>
      </c>
      <c r="S836" s="38">
        <f t="shared" si="5"/>
        <v>0</v>
      </c>
      <c r="T836" s="38" t="s">
        <v>167</v>
      </c>
      <c r="U836" s="38">
        <v>2012.0</v>
      </c>
      <c r="V836" s="38">
        <v>4.0</v>
      </c>
      <c r="W836" s="38" t="s">
        <v>122</v>
      </c>
      <c r="X836" s="38" t="s">
        <v>193</v>
      </c>
      <c r="Y836" s="38" t="s">
        <v>146</v>
      </c>
      <c r="Z836" s="38" t="s">
        <v>158</v>
      </c>
      <c r="AA836" s="113" t="str">
        <f t="array" ref="AA836">PROPER(G836)</f>
        <v>Offline</v>
      </c>
    </row>
    <row r="837">
      <c r="A837" s="110">
        <v>6.43448483E8</v>
      </c>
      <c r="B837" s="131">
        <v>42925.0</v>
      </c>
      <c r="C837" s="131">
        <v>42941.0</v>
      </c>
      <c r="D837" s="110" t="s">
        <v>93</v>
      </c>
      <c r="E837" s="110" t="s">
        <v>138</v>
      </c>
      <c r="F837" s="110">
        <v>4594.0</v>
      </c>
      <c r="G837" s="38" t="s">
        <v>43</v>
      </c>
      <c r="H837" s="110">
        <v>9560.0</v>
      </c>
      <c r="I837" s="132">
        <v>9.33</v>
      </c>
      <c r="J837" s="132">
        <v>6.92</v>
      </c>
      <c r="K837" s="39">
        <f t="shared" si="1"/>
        <v>89194.8</v>
      </c>
      <c r="L837" s="39">
        <f t="shared" si="2"/>
        <v>66155.2</v>
      </c>
      <c r="M837" s="39">
        <f t="shared" si="3"/>
        <v>23039.6</v>
      </c>
      <c r="N837" s="38" t="str">
        <f>VLOOKUP(F837,products!$A$2:$B$13,2,FALSE)</f>
        <v>Fruits</v>
      </c>
      <c r="O837" s="133">
        <f t="shared" si="4"/>
        <v>0.741693462</v>
      </c>
      <c r="P837" s="38" t="str">
        <f>VLOOKUP(E837,countries!A$2:E$250,3,false)</f>
        <v>Greece</v>
      </c>
      <c r="Q837" s="38" t="str">
        <f>VLOOKUP($E837,countries!$A$2:$E$250,4,false)</f>
        <v>Europe</v>
      </c>
      <c r="R837" s="38" t="str">
        <f>VLOOKUP($E837,countries!$A$2:$E$250,5,false)</f>
        <v>Southern Europe</v>
      </c>
      <c r="S837" s="38">
        <f t="shared" si="5"/>
        <v>16</v>
      </c>
      <c r="T837" s="38" t="s">
        <v>156</v>
      </c>
      <c r="U837" s="38">
        <v>2017.0</v>
      </c>
      <c r="V837" s="38">
        <v>7.0</v>
      </c>
      <c r="W837" s="38" t="s">
        <v>138</v>
      </c>
      <c r="X837" s="38" t="s">
        <v>208</v>
      </c>
      <c r="Y837" s="38" t="s">
        <v>146</v>
      </c>
      <c r="Z837" s="38" t="s">
        <v>147</v>
      </c>
      <c r="AA837" s="113" t="str">
        <f t="array" ref="AA837">PROPER(G837)</f>
        <v>Online</v>
      </c>
    </row>
    <row r="838">
      <c r="A838" s="110">
        <v>6.43770778E8</v>
      </c>
      <c r="B838" s="131">
        <v>42209.0</v>
      </c>
      <c r="C838" s="131">
        <v>42216.0</v>
      </c>
      <c r="D838" s="110" t="s">
        <v>93</v>
      </c>
      <c r="E838" s="110" t="s">
        <v>102</v>
      </c>
      <c r="F838" s="110">
        <v>3127.0</v>
      </c>
      <c r="G838" s="38" t="s">
        <v>42</v>
      </c>
      <c r="H838" s="110">
        <v>4934.0</v>
      </c>
      <c r="I838" s="132">
        <v>81.73</v>
      </c>
      <c r="J838" s="132">
        <v>56.67</v>
      </c>
      <c r="K838" s="39">
        <f t="shared" si="1"/>
        <v>403255.82</v>
      </c>
      <c r="L838" s="39">
        <f t="shared" si="2"/>
        <v>279609.78</v>
      </c>
      <c r="M838" s="39">
        <f t="shared" si="3"/>
        <v>123646.04</v>
      </c>
      <c r="N838" s="38" t="str">
        <f>VLOOKUP(F838,products!$A$2:$B$13,2,FALSE)</f>
        <v>Personal Care</v>
      </c>
      <c r="O838" s="133">
        <f t="shared" si="4"/>
        <v>0.6933806436</v>
      </c>
      <c r="P838" s="38" t="str">
        <f>VLOOKUP(E838,countries!A$2:E$250,3,false)</f>
        <v>Georgia</v>
      </c>
      <c r="Q838" s="38" t="str">
        <f>VLOOKUP($E838,countries!$A$2:$E$250,4,false)</f>
        <v>Asia</v>
      </c>
      <c r="R838" s="38" t="str">
        <f>VLOOKUP($E838,countries!$A$2:$E$250,5,false)</f>
        <v>Western Asia</v>
      </c>
      <c r="S838" s="38">
        <f t="shared" si="5"/>
        <v>7</v>
      </c>
      <c r="T838" s="38" t="s">
        <v>185</v>
      </c>
      <c r="U838" s="38">
        <v>2015.0</v>
      </c>
      <c r="V838" s="38">
        <v>7.0</v>
      </c>
      <c r="W838" s="38" t="s">
        <v>102</v>
      </c>
      <c r="X838" s="38" t="s">
        <v>168</v>
      </c>
      <c r="Y838" s="38" t="s">
        <v>165</v>
      </c>
      <c r="Z838" s="38" t="s">
        <v>166</v>
      </c>
      <c r="AA838" s="113" t="str">
        <f t="array" ref="AA838">PROPER(G838)</f>
        <v>Offline</v>
      </c>
    </row>
    <row r="839">
      <c r="A839" s="110">
        <v>6.44592607E8</v>
      </c>
      <c r="B839" s="131">
        <v>42557.0</v>
      </c>
      <c r="C839" s="131">
        <v>42582.0</v>
      </c>
      <c r="D839" s="110" t="s">
        <v>95</v>
      </c>
      <c r="E839" s="110" t="s">
        <v>116</v>
      </c>
      <c r="F839" s="110">
        <v>8681.0</v>
      </c>
      <c r="G839" s="38" t="s">
        <v>42</v>
      </c>
      <c r="H839" s="110">
        <v>8131.0</v>
      </c>
      <c r="I839" s="132">
        <v>651.21</v>
      </c>
      <c r="J839" s="132">
        <v>524.96</v>
      </c>
      <c r="K839" s="39">
        <f t="shared" si="1"/>
        <v>5294988.51</v>
      </c>
      <c r="L839" s="39">
        <f t="shared" si="2"/>
        <v>4268449.76</v>
      </c>
      <c r="M839" s="39">
        <f t="shared" si="3"/>
        <v>1026538.75</v>
      </c>
      <c r="N839" s="38" t="str">
        <f>VLOOKUP(F839,products!$A$2:$B$13,2,FALSE)</f>
        <v>Office Supplies</v>
      </c>
      <c r="O839" s="133">
        <f t="shared" si="4"/>
        <v>0.806130127</v>
      </c>
      <c r="P839" s="38" t="str">
        <f>VLOOKUP(E839,countries!A$2:E$250,3,false)</f>
        <v>Belarus</v>
      </c>
      <c r="Q839" s="38" t="str">
        <f>VLOOKUP($E839,countries!$A$2:$E$250,4,false)</f>
        <v>Europe</v>
      </c>
      <c r="R839" s="38" t="str">
        <f>VLOOKUP($E839,countries!$A$2:$E$250,5,false)</f>
        <v>Eastern Europe</v>
      </c>
      <c r="S839" s="38">
        <f t="shared" si="5"/>
        <v>25</v>
      </c>
      <c r="T839" s="38" t="s">
        <v>153</v>
      </c>
      <c r="U839" s="38">
        <v>2016.0</v>
      </c>
      <c r="V839" s="38">
        <v>7.0</v>
      </c>
      <c r="W839" s="38" t="s">
        <v>116</v>
      </c>
      <c r="X839" s="38" t="s">
        <v>187</v>
      </c>
      <c r="Y839" s="38" t="s">
        <v>146</v>
      </c>
      <c r="Z839" s="38" t="s">
        <v>155</v>
      </c>
      <c r="AA839" s="113" t="str">
        <f t="array" ref="AA839">PROPER(G839)</f>
        <v>Offline</v>
      </c>
    </row>
    <row r="840">
      <c r="A840" s="110">
        <v>6.45111024E8</v>
      </c>
      <c r="B840" s="131">
        <v>42625.0</v>
      </c>
      <c r="C840" s="131">
        <v>42639.0</v>
      </c>
      <c r="D840" s="110" t="s">
        <v>10</v>
      </c>
      <c r="E840" s="110" t="s">
        <v>138</v>
      </c>
      <c r="F840" s="110">
        <v>8875.0</v>
      </c>
      <c r="G840" s="38" t="s">
        <v>42</v>
      </c>
      <c r="H840" s="110">
        <v>1543.0</v>
      </c>
      <c r="I840" s="132">
        <v>421.89</v>
      </c>
      <c r="J840" s="132">
        <v>364.69</v>
      </c>
      <c r="K840" s="39">
        <f t="shared" si="1"/>
        <v>650976.27</v>
      </c>
      <c r="L840" s="39">
        <f t="shared" si="2"/>
        <v>562716.67</v>
      </c>
      <c r="M840" s="39">
        <f t="shared" si="3"/>
        <v>88259.6</v>
      </c>
      <c r="N840" s="38" t="str">
        <f>VLOOKUP(F840,products!$A$2:$B$13,2,FALSE)</f>
        <v>Meat</v>
      </c>
      <c r="O840" s="133">
        <f t="shared" si="4"/>
        <v>0.8644196354</v>
      </c>
      <c r="P840" s="38" t="str">
        <f>VLOOKUP(E840,countries!A$2:E$250,3,false)</f>
        <v>Greece</v>
      </c>
      <c r="Q840" s="38" t="str">
        <f>VLOOKUP($E840,countries!$A$2:$E$250,4,false)</f>
        <v>Europe</v>
      </c>
      <c r="R840" s="38" t="str">
        <f>VLOOKUP($E840,countries!$A$2:$E$250,5,false)</f>
        <v>Southern Europe</v>
      </c>
      <c r="S840" s="38">
        <f t="shared" si="5"/>
        <v>14</v>
      </c>
      <c r="T840" s="38" t="s">
        <v>167</v>
      </c>
      <c r="U840" s="38">
        <v>2016.0</v>
      </c>
      <c r="V840" s="38">
        <v>9.0</v>
      </c>
      <c r="W840" s="38" t="s">
        <v>138</v>
      </c>
      <c r="X840" s="38" t="s">
        <v>208</v>
      </c>
      <c r="Y840" s="38" t="s">
        <v>146</v>
      </c>
      <c r="Z840" s="38" t="s">
        <v>147</v>
      </c>
      <c r="AA840" s="113" t="str">
        <f t="array" ref="AA840">PROPER(G840)</f>
        <v>Offline</v>
      </c>
    </row>
    <row r="841">
      <c r="A841" s="110">
        <v>6.45309722E8</v>
      </c>
      <c r="B841" s="131">
        <v>42644.0</v>
      </c>
      <c r="C841" s="131">
        <v>42680.0</v>
      </c>
      <c r="D841" s="110" t="s">
        <v>10</v>
      </c>
      <c r="E841" s="110" t="s">
        <v>101</v>
      </c>
      <c r="F841" s="110">
        <v>8875.0</v>
      </c>
      <c r="G841" s="38" t="s">
        <v>42</v>
      </c>
      <c r="H841" s="110">
        <v>342.0</v>
      </c>
      <c r="I841" s="132">
        <v>421.89</v>
      </c>
      <c r="J841" s="132">
        <v>364.69</v>
      </c>
      <c r="K841" s="39">
        <f t="shared" si="1"/>
        <v>144286.38</v>
      </c>
      <c r="L841" s="39">
        <f t="shared" si="2"/>
        <v>124723.98</v>
      </c>
      <c r="M841" s="39">
        <f t="shared" si="3"/>
        <v>19562.4</v>
      </c>
      <c r="N841" s="38" t="str">
        <f>VLOOKUP(F841,products!$A$2:$B$13,2,FALSE)</f>
        <v>Meat</v>
      </c>
      <c r="O841" s="133">
        <f t="shared" si="4"/>
        <v>0.8644196354</v>
      </c>
      <c r="P841" s="38" t="str">
        <f>VLOOKUP(E841,countries!A$2:E$250,3,false)</f>
        <v>Armenia</v>
      </c>
      <c r="Q841" s="38" t="str">
        <f>VLOOKUP($E841,countries!$A$2:$E$250,4,false)</f>
        <v>Asia</v>
      </c>
      <c r="R841" s="38" t="str">
        <f>VLOOKUP($E841,countries!$A$2:$E$250,5,false)</f>
        <v>Western Asia</v>
      </c>
      <c r="S841" s="38">
        <f t="shared" si="5"/>
        <v>36</v>
      </c>
      <c r="T841" s="38" t="s">
        <v>167</v>
      </c>
      <c r="U841" s="38">
        <v>2016.0</v>
      </c>
      <c r="V841" s="38">
        <v>10.0</v>
      </c>
      <c r="W841" s="38" t="s">
        <v>101</v>
      </c>
      <c r="X841" s="38" t="s">
        <v>164</v>
      </c>
      <c r="Y841" s="38" t="s">
        <v>165</v>
      </c>
      <c r="Z841" s="38" t="s">
        <v>166</v>
      </c>
      <c r="AA841" s="113" t="str">
        <f t="array" ref="AA841">PROPER(G841)</f>
        <v>Offline</v>
      </c>
    </row>
    <row r="842">
      <c r="A842" s="110">
        <v>6.45701968E8</v>
      </c>
      <c r="B842" s="131">
        <v>41445.0</v>
      </c>
      <c r="C842" s="131">
        <v>41476.0</v>
      </c>
      <c r="D842" s="110" t="s">
        <v>93</v>
      </c>
      <c r="E842" s="110" t="s">
        <v>90</v>
      </c>
      <c r="F842" s="110">
        <v>2103.0</v>
      </c>
      <c r="G842" s="38" t="s">
        <v>42</v>
      </c>
      <c r="H842" s="110">
        <v>6416.0</v>
      </c>
      <c r="I842" s="132">
        <v>205.7</v>
      </c>
      <c r="J842" s="132">
        <v>117.11</v>
      </c>
      <c r="K842" s="39">
        <f t="shared" si="1"/>
        <v>1319771.2</v>
      </c>
      <c r="L842" s="39">
        <f t="shared" si="2"/>
        <v>751377.76</v>
      </c>
      <c r="M842" s="39">
        <f t="shared" si="3"/>
        <v>568393.44</v>
      </c>
      <c r="N842" s="38" t="str">
        <f>VLOOKUP(F842,products!$A$2:$B$13,2,FALSE)</f>
        <v>Cereal</v>
      </c>
      <c r="O842" s="133">
        <f t="shared" si="4"/>
        <v>0.5693242586</v>
      </c>
      <c r="P842" s="38" t="str">
        <f>VLOOKUP(E842,countries!A$2:E$250,3,false)</f>
        <v>Norway</v>
      </c>
      <c r="Q842" s="38" t="str">
        <f>VLOOKUP($E842,countries!$A$2:$E$250,4,false)</f>
        <v>Europe</v>
      </c>
      <c r="R842" s="38" t="str">
        <f>VLOOKUP($E842,countries!$A$2:$E$250,5,false)</f>
        <v>Northern Europe</v>
      </c>
      <c r="S842" s="38">
        <f t="shared" si="5"/>
        <v>31</v>
      </c>
      <c r="T842" s="38" t="s">
        <v>144</v>
      </c>
      <c r="U842" s="38">
        <v>2013.0</v>
      </c>
      <c r="V842" s="38">
        <v>6.0</v>
      </c>
      <c r="W842" s="38" t="s">
        <v>90</v>
      </c>
      <c r="X842" s="38" t="s">
        <v>183</v>
      </c>
      <c r="Y842" s="38" t="s">
        <v>146</v>
      </c>
      <c r="Z842" s="38" t="s">
        <v>170</v>
      </c>
      <c r="AA842" s="113" t="str">
        <f t="array" ref="AA842">PROPER(G842)</f>
        <v>Offline</v>
      </c>
    </row>
    <row r="843">
      <c r="A843" s="110">
        <v>6.45956456E8</v>
      </c>
      <c r="B843" s="131">
        <v>42420.0</v>
      </c>
      <c r="C843" s="131">
        <v>42468.0</v>
      </c>
      <c r="D843" s="110" t="s">
        <v>95</v>
      </c>
      <c r="E843" s="110" t="s">
        <v>106</v>
      </c>
      <c r="F843" s="110">
        <v>7331.0</v>
      </c>
      <c r="G843" s="38" t="s">
        <v>42</v>
      </c>
      <c r="H843" s="110">
        <v>1725.0</v>
      </c>
      <c r="I843" s="132">
        <v>255.28</v>
      </c>
      <c r="J843" s="132">
        <v>159.42</v>
      </c>
      <c r="K843" s="39">
        <f t="shared" si="1"/>
        <v>440358</v>
      </c>
      <c r="L843" s="39">
        <f t="shared" si="2"/>
        <v>274999.5</v>
      </c>
      <c r="M843" s="39">
        <f t="shared" si="3"/>
        <v>165358.5</v>
      </c>
      <c r="N843" s="38" t="str">
        <f>VLOOKUP(F843,products!$A$2:$B$13,2,FALSE)</f>
        <v>Baby Food</v>
      </c>
      <c r="O843" s="133">
        <f t="shared" si="4"/>
        <v>0.6244907552</v>
      </c>
      <c r="P843" s="38" t="str">
        <f>VLOOKUP(E843,countries!A$2:E$250,3,false)</f>
        <v>Poland</v>
      </c>
      <c r="Q843" s="38" t="str">
        <f>VLOOKUP($E843,countries!$A$2:$E$250,4,false)</f>
        <v>Europe</v>
      </c>
      <c r="R843" s="38" t="str">
        <f>VLOOKUP($E843,countries!$A$2:$E$250,5,false)</f>
        <v>Eastern Europe</v>
      </c>
      <c r="S843" s="38">
        <f t="shared" si="5"/>
        <v>48</v>
      </c>
      <c r="T843" s="38" t="s">
        <v>161</v>
      </c>
      <c r="U843" s="38">
        <v>2016.0</v>
      </c>
      <c r="V843" s="38">
        <v>2.0</v>
      </c>
      <c r="W843" s="38" t="s">
        <v>106</v>
      </c>
      <c r="X843" s="38" t="s">
        <v>173</v>
      </c>
      <c r="Y843" s="38" t="s">
        <v>146</v>
      </c>
      <c r="Z843" s="38" t="s">
        <v>155</v>
      </c>
      <c r="AA843" s="113" t="str">
        <f t="array" ref="AA843">PROPER(G843)</f>
        <v>Offline</v>
      </c>
    </row>
    <row r="844">
      <c r="A844" s="110">
        <v>6.46691596E8</v>
      </c>
      <c r="B844" s="131">
        <v>42688.0</v>
      </c>
      <c r="C844" s="131">
        <v>42717.0</v>
      </c>
      <c r="D844" s="110" t="s">
        <v>95</v>
      </c>
      <c r="E844" s="110" t="s">
        <v>118</v>
      </c>
      <c r="F844" s="110">
        <v>1270.0</v>
      </c>
      <c r="G844" s="38" t="s">
        <v>43</v>
      </c>
      <c r="H844" s="110">
        <v>9269.0</v>
      </c>
      <c r="I844" s="132">
        <v>47.45</v>
      </c>
      <c r="J844" s="132">
        <v>31.79</v>
      </c>
      <c r="K844" s="39">
        <f t="shared" si="1"/>
        <v>439814.05</v>
      </c>
      <c r="L844" s="39">
        <f t="shared" si="2"/>
        <v>294661.51</v>
      </c>
      <c r="M844" s="39">
        <f t="shared" si="3"/>
        <v>145152.54</v>
      </c>
      <c r="N844" s="38" t="str">
        <f>VLOOKUP(F844,products!$A$2:$B$13,2,FALSE)</f>
        <v>Beverages</v>
      </c>
      <c r="O844" s="133">
        <f t="shared" si="4"/>
        <v>0.6699683878</v>
      </c>
      <c r="P844" s="38" t="str">
        <f>VLOOKUP(E844,countries!A$2:E$250,3,false)</f>
        <v>Austria</v>
      </c>
      <c r="Q844" s="38" t="str">
        <f>VLOOKUP($E844,countries!$A$2:$E$250,4,false)</f>
        <v>Europe</v>
      </c>
      <c r="R844" s="38" t="str">
        <f>VLOOKUP($E844,countries!$A$2:$E$250,5,false)</f>
        <v>Western Europe</v>
      </c>
      <c r="S844" s="38">
        <f t="shared" si="5"/>
        <v>29</v>
      </c>
      <c r="T844" s="38" t="s">
        <v>152</v>
      </c>
      <c r="U844" s="38">
        <v>2016.0</v>
      </c>
      <c r="V844" s="38">
        <v>11.0</v>
      </c>
      <c r="W844" s="38" t="s">
        <v>118</v>
      </c>
      <c r="X844" s="38" t="s">
        <v>189</v>
      </c>
      <c r="Y844" s="38" t="s">
        <v>146</v>
      </c>
      <c r="Z844" s="38" t="s">
        <v>158</v>
      </c>
      <c r="AA844" s="113" t="str">
        <f t="array" ref="AA844">PROPER(G844)</f>
        <v>Online</v>
      </c>
    </row>
    <row r="845">
      <c r="A845" s="110">
        <v>6.46981704E8</v>
      </c>
      <c r="B845" s="131">
        <v>40464.0</v>
      </c>
      <c r="C845" s="131">
        <v>40505.0</v>
      </c>
      <c r="D845" s="110" t="s">
        <v>89</v>
      </c>
      <c r="E845" s="110" t="s">
        <v>130</v>
      </c>
      <c r="F845" s="110">
        <v>7331.0</v>
      </c>
      <c r="G845" s="38" t="s">
        <v>43</v>
      </c>
      <c r="H845" s="110">
        <v>5118.0</v>
      </c>
      <c r="I845" s="132">
        <v>255.28</v>
      </c>
      <c r="J845" s="132">
        <v>159.42</v>
      </c>
      <c r="K845" s="39">
        <f t="shared" si="1"/>
        <v>1306523.04</v>
      </c>
      <c r="L845" s="39">
        <f t="shared" si="2"/>
        <v>815911.56</v>
      </c>
      <c r="M845" s="39">
        <f t="shared" si="3"/>
        <v>490611.48</v>
      </c>
      <c r="N845" s="38" t="str">
        <f>VLOOKUP(F845,products!$A$2:$B$13,2,FALSE)</f>
        <v>Baby Food</v>
      </c>
      <c r="O845" s="133">
        <f t="shared" si="4"/>
        <v>0.6244907552</v>
      </c>
      <c r="P845" s="38" t="str">
        <f>VLOOKUP(E845,countries!A$2:E$250,3,false)</f>
        <v>Finland</v>
      </c>
      <c r="Q845" s="38" t="str">
        <f>VLOOKUP($E845,countries!$A$2:$E$250,4,false)</f>
        <v>Europe</v>
      </c>
      <c r="R845" s="38" t="str">
        <f>VLOOKUP($E845,countries!$A$2:$E$250,5,false)</f>
        <v>Northern Europe</v>
      </c>
      <c r="S845" s="38">
        <f t="shared" si="5"/>
        <v>41</v>
      </c>
      <c r="T845" s="38" t="s">
        <v>161</v>
      </c>
      <c r="U845" s="38">
        <v>2010.0</v>
      </c>
      <c r="V845" s="38">
        <v>10.0</v>
      </c>
      <c r="W845" s="38" t="s">
        <v>130</v>
      </c>
      <c r="X845" s="38" t="s">
        <v>201</v>
      </c>
      <c r="Y845" s="38" t="s">
        <v>146</v>
      </c>
      <c r="Z845" s="38" t="s">
        <v>170</v>
      </c>
      <c r="AA845" s="113" t="str">
        <f t="array" ref="AA845">PROPER(G845)</f>
        <v>Online</v>
      </c>
    </row>
    <row r="846">
      <c r="A846" s="110">
        <v>6.47943866E8</v>
      </c>
      <c r="B846" s="131">
        <v>40640.0</v>
      </c>
      <c r="C846" s="131">
        <v>40651.0</v>
      </c>
      <c r="D846" s="110" t="s">
        <v>89</v>
      </c>
      <c r="E846" s="110" t="s">
        <v>131</v>
      </c>
      <c r="F846" s="110">
        <v>2455.0</v>
      </c>
      <c r="G846" s="38" t="s">
        <v>43</v>
      </c>
      <c r="H846" s="110">
        <v>9843.0</v>
      </c>
      <c r="I846" s="132">
        <v>109.28</v>
      </c>
      <c r="J846" s="132">
        <v>35.84</v>
      </c>
      <c r="K846" s="39">
        <f t="shared" si="1"/>
        <v>1075643.04</v>
      </c>
      <c r="L846" s="39">
        <f t="shared" si="2"/>
        <v>352773.12</v>
      </c>
      <c r="M846" s="39">
        <f t="shared" si="3"/>
        <v>722869.92</v>
      </c>
      <c r="N846" s="38" t="str">
        <f>VLOOKUP(F846,products!$A$2:$B$13,2,FALSE)</f>
        <v>Clothes</v>
      </c>
      <c r="O846" s="133">
        <f t="shared" si="4"/>
        <v>0.3279648609</v>
      </c>
      <c r="P846" s="38" t="str">
        <f>VLOOKUP(E846,countries!A$2:E$250,3,false)</f>
        <v>Albania</v>
      </c>
      <c r="Q846" s="38" t="str">
        <f>VLOOKUP($E846,countries!$A$2:$E$250,4,false)</f>
        <v>Europe</v>
      </c>
      <c r="R846" s="38" t="str">
        <f>VLOOKUP($E846,countries!$A$2:$E$250,5,false)</f>
        <v>Southern Europe</v>
      </c>
      <c r="S846" s="38">
        <f t="shared" si="5"/>
        <v>11</v>
      </c>
      <c r="T846" s="38" t="s">
        <v>150</v>
      </c>
      <c r="U846" s="38">
        <v>2011.0</v>
      </c>
      <c r="V846" s="38">
        <v>4.0</v>
      </c>
      <c r="W846" s="38" t="s">
        <v>131</v>
      </c>
      <c r="X846" s="38" t="s">
        <v>202</v>
      </c>
      <c r="Y846" s="38" t="s">
        <v>146</v>
      </c>
      <c r="Z846" s="38" t="s">
        <v>147</v>
      </c>
      <c r="AA846" s="113" t="str">
        <f t="array" ref="AA846">PROPER(G846)</f>
        <v>Online</v>
      </c>
    </row>
    <row r="847">
      <c r="A847" s="110">
        <v>6.50078475E8</v>
      </c>
      <c r="B847" s="131">
        <v>40338.0</v>
      </c>
      <c r="C847" s="131">
        <v>40347.0</v>
      </c>
      <c r="D847" s="110" t="s">
        <v>95</v>
      </c>
      <c r="E847" s="110" t="s">
        <v>99</v>
      </c>
      <c r="F847" s="110">
        <v>8681.0</v>
      </c>
      <c r="G847" s="38" t="s">
        <v>43</v>
      </c>
      <c r="H847" s="110">
        <v>1522.0</v>
      </c>
      <c r="I847" s="132">
        <v>651.21</v>
      </c>
      <c r="J847" s="132">
        <v>524.96</v>
      </c>
      <c r="K847" s="39">
        <f t="shared" si="1"/>
        <v>991141.62</v>
      </c>
      <c r="L847" s="39">
        <f t="shared" si="2"/>
        <v>798989.12</v>
      </c>
      <c r="M847" s="39">
        <f t="shared" si="3"/>
        <v>192152.5</v>
      </c>
      <c r="N847" s="38" t="str">
        <f>VLOOKUP(F847,products!$A$2:$B$13,2,FALSE)</f>
        <v>Office Supplies</v>
      </c>
      <c r="O847" s="133">
        <f t="shared" si="4"/>
        <v>0.806130127</v>
      </c>
      <c r="P847" s="38" t="str">
        <f>VLOOKUP(E847,countries!A$2:E$250,3,false)</f>
        <v>Croatia</v>
      </c>
      <c r="Q847" s="38" t="str">
        <f>VLOOKUP($E847,countries!$A$2:$E$250,4,false)</f>
        <v>Europe</v>
      </c>
      <c r="R847" s="38" t="str">
        <f>VLOOKUP($E847,countries!$A$2:$E$250,5,false)</f>
        <v>Southern Europe</v>
      </c>
      <c r="S847" s="38">
        <f t="shared" si="5"/>
        <v>9</v>
      </c>
      <c r="T847" s="38" t="s">
        <v>153</v>
      </c>
      <c r="U847" s="38">
        <v>2010.0</v>
      </c>
      <c r="V847" s="38">
        <v>6.0</v>
      </c>
      <c r="W847" s="38" t="s">
        <v>99</v>
      </c>
      <c r="X847" s="38" t="s">
        <v>162</v>
      </c>
      <c r="Y847" s="38" t="s">
        <v>146</v>
      </c>
      <c r="Z847" s="38" t="s">
        <v>147</v>
      </c>
      <c r="AA847" s="113" t="str">
        <f t="array" ref="AA847">PROPER(G847)</f>
        <v>Online</v>
      </c>
    </row>
    <row r="848">
      <c r="A848" s="110">
        <v>6.50208079E8</v>
      </c>
      <c r="B848" s="131">
        <v>42429.0</v>
      </c>
      <c r="C848" s="131">
        <v>42448.0</v>
      </c>
      <c r="D848" s="110" t="s">
        <v>95</v>
      </c>
      <c r="E848" s="110" t="s">
        <v>117</v>
      </c>
      <c r="F848" s="110">
        <v>1270.0</v>
      </c>
      <c r="G848" s="38" t="s">
        <v>43</v>
      </c>
      <c r="H848" s="110">
        <v>9875.0</v>
      </c>
      <c r="I848" s="132">
        <v>47.45</v>
      </c>
      <c r="J848" s="132">
        <v>31.79</v>
      </c>
      <c r="K848" s="39">
        <f t="shared" si="1"/>
        <v>468568.75</v>
      </c>
      <c r="L848" s="39">
        <f t="shared" si="2"/>
        <v>313926.25</v>
      </c>
      <c r="M848" s="39">
        <f t="shared" si="3"/>
        <v>154642.5</v>
      </c>
      <c r="N848" s="38" t="str">
        <f>VLOOKUP(F848,products!$A$2:$B$13,2,FALSE)</f>
        <v>Beverages</v>
      </c>
      <c r="O848" s="133">
        <f t="shared" si="4"/>
        <v>0.6699683878</v>
      </c>
      <c r="P848" s="38" t="str">
        <f>VLOOKUP(E848,countries!A$2:E$250,3,false)</f>
        <v>Estonia</v>
      </c>
      <c r="Q848" s="38" t="str">
        <f>VLOOKUP($E848,countries!$A$2:$E$250,4,false)</f>
        <v>Europe</v>
      </c>
      <c r="R848" s="38" t="str">
        <f>VLOOKUP($E848,countries!$A$2:$E$250,5,false)</f>
        <v>Northern Europe</v>
      </c>
      <c r="S848" s="38">
        <f t="shared" si="5"/>
        <v>19</v>
      </c>
      <c r="T848" s="38" t="s">
        <v>152</v>
      </c>
      <c r="U848" s="38">
        <v>2016.0</v>
      </c>
      <c r="V848" s="38">
        <v>2.0</v>
      </c>
      <c r="W848" s="38" t="s">
        <v>117</v>
      </c>
      <c r="X848" s="38" t="s">
        <v>188</v>
      </c>
      <c r="Y848" s="38" t="s">
        <v>146</v>
      </c>
      <c r="Z848" s="38" t="s">
        <v>170</v>
      </c>
      <c r="AA848" s="113" t="str">
        <f t="array" ref="AA848">PROPER(G848)</f>
        <v>Online</v>
      </c>
    </row>
    <row r="849">
      <c r="A849" s="110">
        <v>6.51247489E8</v>
      </c>
      <c r="B849" s="131">
        <v>41801.0</v>
      </c>
      <c r="C849" s="131">
        <v>41822.0</v>
      </c>
      <c r="D849" s="110" t="s">
        <v>10</v>
      </c>
      <c r="E849" s="110" t="s">
        <v>125</v>
      </c>
      <c r="F849" s="110">
        <v>5988.0</v>
      </c>
      <c r="G849" s="38" t="s">
        <v>42</v>
      </c>
      <c r="H849" s="110">
        <v>7459.0</v>
      </c>
      <c r="I849" s="132">
        <v>154.06</v>
      </c>
      <c r="J849" s="132">
        <v>90.93</v>
      </c>
      <c r="K849" s="39">
        <f t="shared" si="1"/>
        <v>1149133.54</v>
      </c>
      <c r="L849" s="39">
        <f t="shared" si="2"/>
        <v>678246.87</v>
      </c>
      <c r="M849" s="39">
        <f t="shared" si="3"/>
        <v>470886.67</v>
      </c>
      <c r="N849" s="38" t="str">
        <f>VLOOKUP(F849,products!$A$2:$B$13,2,FALSE)</f>
        <v>Vegetables</v>
      </c>
      <c r="O849" s="133">
        <f t="shared" si="4"/>
        <v>0.5902245878</v>
      </c>
      <c r="P849" s="38" t="str">
        <f>VLOOKUP(E849,countries!A$2:E$250,3,false)</f>
        <v>Bulgaria</v>
      </c>
      <c r="Q849" s="38" t="str">
        <f>VLOOKUP($E849,countries!$A$2:$E$250,4,false)</f>
        <v>Europe</v>
      </c>
      <c r="R849" s="38" t="str">
        <f>VLOOKUP($E849,countries!$A$2:$E$250,5,false)</f>
        <v>Eastern Europe</v>
      </c>
      <c r="S849" s="38">
        <f t="shared" si="5"/>
        <v>21</v>
      </c>
      <c r="T849" s="38" t="s">
        <v>159</v>
      </c>
      <c r="U849" s="38">
        <v>2014.0</v>
      </c>
      <c r="V849" s="38">
        <v>6.0</v>
      </c>
      <c r="W849" s="38" t="s">
        <v>125</v>
      </c>
      <c r="X849" s="38" t="s">
        <v>196</v>
      </c>
      <c r="Y849" s="38" t="s">
        <v>146</v>
      </c>
      <c r="Z849" s="38" t="s">
        <v>155</v>
      </c>
      <c r="AA849" s="113" t="str">
        <f t="array" ref="AA849">PROPER(G849)</f>
        <v>Offline</v>
      </c>
    </row>
    <row r="850">
      <c r="A850" s="110">
        <v>6.51895511E8</v>
      </c>
      <c r="B850" s="131">
        <v>41194.0</v>
      </c>
      <c r="C850" s="131">
        <v>41214.0</v>
      </c>
      <c r="D850" s="110" t="s">
        <v>93</v>
      </c>
      <c r="E850" s="110" t="s">
        <v>129</v>
      </c>
      <c r="F850" s="110">
        <v>7331.0</v>
      </c>
      <c r="G850" s="38" t="s">
        <v>42</v>
      </c>
      <c r="H850" s="110">
        <v>9223.0</v>
      </c>
      <c r="I850" s="132">
        <v>255.28</v>
      </c>
      <c r="J850" s="132">
        <v>159.42</v>
      </c>
      <c r="K850" s="39">
        <f t="shared" si="1"/>
        <v>2354447.44</v>
      </c>
      <c r="L850" s="39">
        <f t="shared" si="2"/>
        <v>1470330.66</v>
      </c>
      <c r="M850" s="39">
        <f t="shared" si="3"/>
        <v>884116.78</v>
      </c>
      <c r="N850" s="38" t="str">
        <f>VLOOKUP(F850,products!$A$2:$B$13,2,FALSE)</f>
        <v>Baby Food</v>
      </c>
      <c r="O850" s="133">
        <f t="shared" si="4"/>
        <v>0.6244907552</v>
      </c>
      <c r="P850" s="38" t="str">
        <f>VLOOKUP(E850,countries!A$2:E$250,3,false)</f>
        <v>Liechtenstein</v>
      </c>
      <c r="Q850" s="38" t="str">
        <f>VLOOKUP($E850,countries!$A$2:$E$250,4,false)</f>
        <v>Europe</v>
      </c>
      <c r="R850" s="38" t="str">
        <f>VLOOKUP($E850,countries!$A$2:$E$250,5,false)</f>
        <v>Western Europe</v>
      </c>
      <c r="S850" s="38">
        <f t="shared" si="5"/>
        <v>20</v>
      </c>
      <c r="T850" s="38" t="s">
        <v>161</v>
      </c>
      <c r="U850" s="38">
        <v>2012.0</v>
      </c>
      <c r="V850" s="38">
        <v>10.0</v>
      </c>
      <c r="W850" s="38" t="s">
        <v>129</v>
      </c>
      <c r="X850" s="38" t="s">
        <v>200</v>
      </c>
      <c r="Y850" s="38" t="s">
        <v>146</v>
      </c>
      <c r="Z850" s="38" t="s">
        <v>158</v>
      </c>
      <c r="AA850" s="113" t="str">
        <f t="array" ref="AA850">PROPER(G850)</f>
        <v>Offline</v>
      </c>
    </row>
    <row r="851">
      <c r="A851" s="110">
        <v>6.52252137E8</v>
      </c>
      <c r="B851" s="131">
        <v>40428.0</v>
      </c>
      <c r="C851" s="131">
        <v>40447.0</v>
      </c>
      <c r="D851" s="110" t="s">
        <v>93</v>
      </c>
      <c r="E851" s="110" t="s">
        <v>103</v>
      </c>
      <c r="F851" s="110">
        <v>5988.0</v>
      </c>
      <c r="G851" s="38" t="s">
        <v>43</v>
      </c>
      <c r="H851" s="110">
        <v>4757.0</v>
      </c>
      <c r="I851" s="132">
        <v>154.06</v>
      </c>
      <c r="J851" s="132">
        <v>90.93</v>
      </c>
      <c r="K851" s="39">
        <f t="shared" si="1"/>
        <v>732863.42</v>
      </c>
      <c r="L851" s="39">
        <f t="shared" si="2"/>
        <v>432554.01</v>
      </c>
      <c r="M851" s="39">
        <f t="shared" si="3"/>
        <v>300309.41</v>
      </c>
      <c r="N851" s="38" t="str">
        <f>VLOOKUP(F851,products!$A$2:$B$13,2,FALSE)</f>
        <v>Vegetables</v>
      </c>
      <c r="O851" s="133">
        <f t="shared" si="4"/>
        <v>0.5902245878</v>
      </c>
      <c r="P851" s="38" t="str">
        <f>VLOOKUP(E851,countries!A$2:E$250,3,false)</f>
        <v>United Kingdom</v>
      </c>
      <c r="Q851" s="38" t="str">
        <f>VLOOKUP($E851,countries!$A$2:$E$250,4,false)</f>
        <v>Europe</v>
      </c>
      <c r="R851" s="38" t="str">
        <f>VLOOKUP($E851,countries!$A$2:$E$250,5,false)</f>
        <v>Northern Europe</v>
      </c>
      <c r="S851" s="38">
        <f t="shared" si="5"/>
        <v>19</v>
      </c>
      <c r="T851" s="38" t="s">
        <v>159</v>
      </c>
      <c r="U851" s="38">
        <v>2010.0</v>
      </c>
      <c r="V851" s="38">
        <v>9.0</v>
      </c>
      <c r="W851" s="38" t="s">
        <v>103</v>
      </c>
      <c r="X851" s="38" t="s">
        <v>169</v>
      </c>
      <c r="Y851" s="38" t="s">
        <v>146</v>
      </c>
      <c r="Z851" s="38" t="s">
        <v>170</v>
      </c>
      <c r="AA851" s="113" t="str">
        <f t="array" ref="AA851">PROPER(G851)</f>
        <v>Online</v>
      </c>
    </row>
    <row r="852">
      <c r="A852" s="110">
        <v>6.52501904E8</v>
      </c>
      <c r="B852" s="131">
        <v>40960.0</v>
      </c>
      <c r="C852" s="131">
        <v>40993.0</v>
      </c>
      <c r="D852" s="110" t="s">
        <v>89</v>
      </c>
      <c r="E852" s="110" t="s">
        <v>104</v>
      </c>
      <c r="F852" s="110">
        <v>2103.0</v>
      </c>
      <c r="G852" s="38" t="s">
        <v>43</v>
      </c>
      <c r="H852" s="110">
        <v>8668.0</v>
      </c>
      <c r="I852" s="132">
        <v>205.7</v>
      </c>
      <c r="J852" s="132">
        <v>117.11</v>
      </c>
      <c r="K852" s="39">
        <f t="shared" si="1"/>
        <v>1783007.6</v>
      </c>
      <c r="L852" s="39">
        <f t="shared" si="2"/>
        <v>1015109.48</v>
      </c>
      <c r="M852" s="39">
        <f t="shared" si="3"/>
        <v>767898.12</v>
      </c>
      <c r="N852" s="38" t="str">
        <f>VLOOKUP(F852,products!$A$2:$B$13,2,FALSE)</f>
        <v>Cereal</v>
      </c>
      <c r="O852" s="133">
        <f t="shared" si="4"/>
        <v>0.5693242586</v>
      </c>
      <c r="P852" s="38" t="str">
        <f>VLOOKUP(E852,countries!A$2:E$250,3,false)</f>
        <v>Slovenia</v>
      </c>
      <c r="Q852" s="38" t="str">
        <f>VLOOKUP($E852,countries!$A$2:$E$250,4,false)</f>
        <v>Europe</v>
      </c>
      <c r="R852" s="38" t="str">
        <f>VLOOKUP($E852,countries!$A$2:$E$250,5,false)</f>
        <v>Southern Europe</v>
      </c>
      <c r="S852" s="38">
        <f t="shared" si="5"/>
        <v>33</v>
      </c>
      <c r="T852" s="38" t="s">
        <v>144</v>
      </c>
      <c r="U852" s="38">
        <v>2012.0</v>
      </c>
      <c r="V852" s="38">
        <v>2.0</v>
      </c>
      <c r="W852" s="38" t="s">
        <v>104</v>
      </c>
      <c r="X852" s="38" t="s">
        <v>171</v>
      </c>
      <c r="Y852" s="38" t="s">
        <v>146</v>
      </c>
      <c r="Z852" s="38" t="s">
        <v>147</v>
      </c>
      <c r="AA852" s="113" t="str">
        <f t="array" ref="AA852">PROPER(G852)</f>
        <v>Online</v>
      </c>
    </row>
    <row r="853">
      <c r="A853" s="110">
        <v>6.5308727E8</v>
      </c>
      <c r="B853" s="131">
        <v>40514.0</v>
      </c>
      <c r="C853" s="131">
        <v>40519.0</v>
      </c>
      <c r="D853" s="110" t="s">
        <v>95</v>
      </c>
      <c r="E853" s="110" t="s">
        <v>131</v>
      </c>
      <c r="F853" s="110">
        <v>8969.0</v>
      </c>
      <c r="G853" s="38" t="s">
        <v>43</v>
      </c>
      <c r="H853" s="110">
        <v>1891.0</v>
      </c>
      <c r="I853" s="132">
        <v>152.58</v>
      </c>
      <c r="J853" s="132">
        <v>97.44</v>
      </c>
      <c r="K853" s="39">
        <f t="shared" si="1"/>
        <v>288528.78</v>
      </c>
      <c r="L853" s="39">
        <f t="shared" si="2"/>
        <v>184259.04</v>
      </c>
      <c r="M853" s="39">
        <f t="shared" si="3"/>
        <v>104269.74</v>
      </c>
      <c r="N853" s="38" t="str">
        <f>VLOOKUP(F853,products!$A$2:$B$13,2,FALSE)</f>
        <v>Snacks</v>
      </c>
      <c r="O853" s="133">
        <f t="shared" si="4"/>
        <v>0.6386158081</v>
      </c>
      <c r="P853" s="38" t="str">
        <f>VLOOKUP(E853,countries!A$2:E$250,3,false)</f>
        <v>Albania</v>
      </c>
      <c r="Q853" s="38" t="str">
        <f>VLOOKUP($E853,countries!$A$2:$E$250,4,false)</f>
        <v>Europe</v>
      </c>
      <c r="R853" s="38" t="str">
        <f>VLOOKUP($E853,countries!$A$2:$E$250,5,false)</f>
        <v>Southern Europe</v>
      </c>
      <c r="S853" s="38">
        <f t="shared" si="5"/>
        <v>5</v>
      </c>
      <c r="T853" s="38" t="s">
        <v>182</v>
      </c>
      <c r="U853" s="38">
        <v>2010.0</v>
      </c>
      <c r="V853" s="38">
        <v>12.0</v>
      </c>
      <c r="W853" s="38" t="s">
        <v>131</v>
      </c>
      <c r="X853" s="38" t="s">
        <v>202</v>
      </c>
      <c r="Y853" s="38" t="s">
        <v>146</v>
      </c>
      <c r="Z853" s="38" t="s">
        <v>147</v>
      </c>
      <c r="AA853" s="113" t="str">
        <f t="array" ref="AA853">PROPER(G853)</f>
        <v>Online</v>
      </c>
    </row>
    <row r="854">
      <c r="A854" s="110">
        <v>6.53152501E8</v>
      </c>
      <c r="B854" s="131">
        <v>42355.0</v>
      </c>
      <c r="C854" s="131">
        <v>42360.0</v>
      </c>
      <c r="D854" s="110" t="s">
        <v>89</v>
      </c>
      <c r="E854" s="110" t="s">
        <v>119</v>
      </c>
      <c r="F854" s="110">
        <v>1270.0</v>
      </c>
      <c r="G854" s="38" t="s">
        <v>42</v>
      </c>
      <c r="H854" s="110">
        <v>1194.0</v>
      </c>
      <c r="I854" s="132">
        <v>47.45</v>
      </c>
      <c r="J854" s="132">
        <v>31.79</v>
      </c>
      <c r="K854" s="39">
        <f t="shared" si="1"/>
        <v>56655.3</v>
      </c>
      <c r="L854" s="39">
        <f t="shared" si="2"/>
        <v>37957.26</v>
      </c>
      <c r="M854" s="39">
        <f t="shared" si="3"/>
        <v>18698.04</v>
      </c>
      <c r="N854" s="38" t="str">
        <f>VLOOKUP(F854,products!$A$2:$B$13,2,FALSE)</f>
        <v>Beverages</v>
      </c>
      <c r="O854" s="133">
        <f t="shared" si="4"/>
        <v>0.6699683878</v>
      </c>
      <c r="P854" s="38" t="str">
        <f>VLOOKUP(E854,countries!A$2:E$250,3,false)</f>
        <v>Macedonia</v>
      </c>
      <c r="Q854" s="38" t="str">
        <f>VLOOKUP($E854,countries!$A$2:$E$250,4,false)</f>
        <v>Europe</v>
      </c>
      <c r="R854" s="38" t="str">
        <f>VLOOKUP($E854,countries!$A$2:$E$250,5,false)</f>
        <v>Southern Europe</v>
      </c>
      <c r="S854" s="38">
        <f t="shared" si="5"/>
        <v>5</v>
      </c>
      <c r="T854" s="38" t="s">
        <v>152</v>
      </c>
      <c r="U854" s="38">
        <v>2015.0</v>
      </c>
      <c r="V854" s="38">
        <v>12.0</v>
      </c>
      <c r="W854" s="38" t="s">
        <v>119</v>
      </c>
      <c r="X854" s="38" t="s">
        <v>190</v>
      </c>
      <c r="Y854" s="38" t="s">
        <v>146</v>
      </c>
      <c r="Z854" s="38" t="s">
        <v>147</v>
      </c>
      <c r="AA854" s="113" t="str">
        <f t="array" ref="AA854">PROPER(G854)</f>
        <v>Offline</v>
      </c>
    </row>
    <row r="855">
      <c r="A855" s="110">
        <v>6.5354861E8</v>
      </c>
      <c r="B855" s="131">
        <v>42775.0</v>
      </c>
      <c r="C855" s="131">
        <v>42787.0</v>
      </c>
      <c r="D855" s="110" t="s">
        <v>10</v>
      </c>
      <c r="E855" s="110" t="s">
        <v>117</v>
      </c>
      <c r="F855" s="110">
        <v>1270.0</v>
      </c>
      <c r="G855" s="38" t="s">
        <v>42</v>
      </c>
      <c r="H855" s="110">
        <v>8412.0</v>
      </c>
      <c r="I855" s="132">
        <v>47.45</v>
      </c>
      <c r="J855" s="132">
        <v>31.79</v>
      </c>
      <c r="K855" s="39">
        <f t="shared" si="1"/>
        <v>399149.4</v>
      </c>
      <c r="L855" s="39">
        <f t="shared" si="2"/>
        <v>267417.48</v>
      </c>
      <c r="M855" s="39">
        <f t="shared" si="3"/>
        <v>131731.92</v>
      </c>
      <c r="N855" s="38" t="str">
        <f>VLOOKUP(F855,products!$A$2:$B$13,2,FALSE)</f>
        <v>Beverages</v>
      </c>
      <c r="O855" s="133">
        <f t="shared" si="4"/>
        <v>0.6699683878</v>
      </c>
      <c r="P855" s="38" t="str">
        <f>VLOOKUP(E855,countries!A$2:E$250,3,false)</f>
        <v>Estonia</v>
      </c>
      <c r="Q855" s="38" t="str">
        <f>VLOOKUP($E855,countries!$A$2:$E$250,4,false)</f>
        <v>Europe</v>
      </c>
      <c r="R855" s="38" t="str">
        <f>VLOOKUP($E855,countries!$A$2:$E$250,5,false)</f>
        <v>Northern Europe</v>
      </c>
      <c r="S855" s="38">
        <f t="shared" si="5"/>
        <v>12</v>
      </c>
      <c r="T855" s="38" t="s">
        <v>152</v>
      </c>
      <c r="U855" s="38">
        <v>2017.0</v>
      </c>
      <c r="V855" s="38">
        <v>2.0</v>
      </c>
      <c r="W855" s="38" t="s">
        <v>117</v>
      </c>
      <c r="X855" s="38" t="s">
        <v>188</v>
      </c>
      <c r="Y855" s="38" t="s">
        <v>146</v>
      </c>
      <c r="Z855" s="38" t="s">
        <v>170</v>
      </c>
      <c r="AA855" s="113" t="str">
        <f t="array" ref="AA855">PROPER(G855)</f>
        <v>Offline</v>
      </c>
    </row>
    <row r="856">
      <c r="A856" s="110">
        <v>6.53800523E8</v>
      </c>
      <c r="B856" s="131">
        <v>41748.0</v>
      </c>
      <c r="C856" s="131">
        <v>41752.0</v>
      </c>
      <c r="D856" s="110" t="s">
        <v>95</v>
      </c>
      <c r="E856" s="110" t="s">
        <v>122</v>
      </c>
      <c r="F856" s="110">
        <v>3127.0</v>
      </c>
      <c r="G856" s="38" t="s">
        <v>42</v>
      </c>
      <c r="H856" s="110">
        <v>2958.0</v>
      </c>
      <c r="I856" s="132">
        <v>81.73</v>
      </c>
      <c r="J856" s="132">
        <v>56.67</v>
      </c>
      <c r="K856" s="39">
        <f t="shared" si="1"/>
        <v>241757.34</v>
      </c>
      <c r="L856" s="39">
        <f t="shared" si="2"/>
        <v>167629.86</v>
      </c>
      <c r="M856" s="39">
        <f t="shared" si="3"/>
        <v>74127.48</v>
      </c>
      <c r="N856" s="38" t="str">
        <f>VLOOKUP(F856,products!$A$2:$B$13,2,FALSE)</f>
        <v>Personal Care</v>
      </c>
      <c r="O856" s="133">
        <f t="shared" si="4"/>
        <v>0.6933806436</v>
      </c>
      <c r="P856" s="38" t="str">
        <f>VLOOKUP(E856,countries!A$2:E$250,3,false)</f>
        <v>Switzerland</v>
      </c>
      <c r="Q856" s="38" t="str">
        <f>VLOOKUP($E856,countries!$A$2:$E$250,4,false)</f>
        <v>Europe</v>
      </c>
      <c r="R856" s="38" t="str">
        <f>VLOOKUP($E856,countries!$A$2:$E$250,5,false)</f>
        <v>Western Europe</v>
      </c>
      <c r="S856" s="38">
        <f t="shared" si="5"/>
        <v>4</v>
      </c>
      <c r="T856" s="38" t="s">
        <v>185</v>
      </c>
      <c r="U856" s="38">
        <v>2014.0</v>
      </c>
      <c r="V856" s="38">
        <v>4.0</v>
      </c>
      <c r="W856" s="38" t="s">
        <v>122</v>
      </c>
      <c r="X856" s="38" t="s">
        <v>193</v>
      </c>
      <c r="Y856" s="38" t="s">
        <v>146</v>
      </c>
      <c r="Z856" s="38" t="s">
        <v>158</v>
      </c>
      <c r="AA856" s="113" t="str">
        <f t="array" ref="AA856">PROPER(G856)</f>
        <v>Offline</v>
      </c>
    </row>
    <row r="857">
      <c r="A857" s="110">
        <v>6.53909957E8</v>
      </c>
      <c r="B857" s="131">
        <v>42452.0</v>
      </c>
      <c r="C857" s="131">
        <v>42466.0</v>
      </c>
      <c r="D857" s="110" t="s">
        <v>89</v>
      </c>
      <c r="E857" s="110" t="s">
        <v>96</v>
      </c>
      <c r="F857" s="110">
        <v>8681.0</v>
      </c>
      <c r="G857" s="38" t="s">
        <v>43</v>
      </c>
      <c r="H857" s="110">
        <v>5342.0</v>
      </c>
      <c r="I857" s="132">
        <v>651.21</v>
      </c>
      <c r="J857" s="132">
        <v>524.96</v>
      </c>
      <c r="K857" s="39">
        <f t="shared" si="1"/>
        <v>3478763.82</v>
      </c>
      <c r="L857" s="39">
        <f t="shared" si="2"/>
        <v>2804336.32</v>
      </c>
      <c r="M857" s="39">
        <f t="shared" si="3"/>
        <v>674427.5</v>
      </c>
      <c r="N857" s="38" t="str">
        <f>VLOOKUP(F857,products!$A$2:$B$13,2,FALSE)</f>
        <v>Office Supplies</v>
      </c>
      <c r="O857" s="133">
        <f t="shared" si="4"/>
        <v>0.806130127</v>
      </c>
      <c r="P857" s="38" t="str">
        <f>VLOOKUP(E857,countries!A$2:E$250,3,false)</f>
        <v>Slovakia</v>
      </c>
      <c r="Q857" s="38" t="str">
        <f>VLOOKUP($E857,countries!$A$2:$E$250,4,false)</f>
        <v>Europe</v>
      </c>
      <c r="R857" s="38" t="str">
        <f>VLOOKUP($E857,countries!$A$2:$E$250,5,false)</f>
        <v>Eastern Europe</v>
      </c>
      <c r="S857" s="38">
        <f t="shared" si="5"/>
        <v>14</v>
      </c>
      <c r="T857" s="38" t="s">
        <v>153</v>
      </c>
      <c r="U857" s="38">
        <v>2016.0</v>
      </c>
      <c r="V857" s="38">
        <v>3.0</v>
      </c>
      <c r="W857" s="38" t="s">
        <v>96</v>
      </c>
      <c r="X857" s="38" t="s">
        <v>154</v>
      </c>
      <c r="Y857" s="38" t="s">
        <v>146</v>
      </c>
      <c r="Z857" s="38" t="s">
        <v>155</v>
      </c>
      <c r="AA857" s="113" t="str">
        <f t="array" ref="AA857">PROPER(G857)</f>
        <v>Online</v>
      </c>
    </row>
    <row r="858">
      <c r="A858" s="110">
        <v>6.53920686E8</v>
      </c>
      <c r="B858" s="131">
        <v>40189.0</v>
      </c>
      <c r="C858" s="131">
        <v>40196.0</v>
      </c>
      <c r="D858" s="110" t="s">
        <v>10</v>
      </c>
      <c r="E858" s="110" t="s">
        <v>105</v>
      </c>
      <c r="F858" s="110">
        <v>8969.0</v>
      </c>
      <c r="G858" s="38" t="s">
        <v>43</v>
      </c>
      <c r="H858" s="110">
        <v>8517.0</v>
      </c>
      <c r="I858" s="132">
        <v>152.58</v>
      </c>
      <c r="J858" s="132">
        <v>97.44</v>
      </c>
      <c r="K858" s="39">
        <f t="shared" si="1"/>
        <v>1299523.86</v>
      </c>
      <c r="L858" s="39">
        <f t="shared" si="2"/>
        <v>829896.48</v>
      </c>
      <c r="M858" s="39">
        <f t="shared" si="3"/>
        <v>469627.38</v>
      </c>
      <c r="N858" s="38" t="str">
        <f>VLOOKUP(F858,products!$A$2:$B$13,2,FALSE)</f>
        <v>Snacks</v>
      </c>
      <c r="O858" s="133">
        <f t="shared" si="4"/>
        <v>0.6386158081</v>
      </c>
      <c r="P858" s="38" t="str">
        <f>VLOOKUP(E858,countries!A$2:E$250,3,false)</f>
        <v>Romania</v>
      </c>
      <c r="Q858" s="38" t="str">
        <f>VLOOKUP($E858,countries!$A$2:$E$250,4,false)</f>
        <v>Europe</v>
      </c>
      <c r="R858" s="38" t="str">
        <f>VLOOKUP($E858,countries!$A$2:$E$250,5,false)</f>
        <v>Eastern Europe</v>
      </c>
      <c r="S858" s="38">
        <f t="shared" si="5"/>
        <v>7</v>
      </c>
      <c r="T858" s="38" t="s">
        <v>182</v>
      </c>
      <c r="U858" s="38">
        <v>2010.0</v>
      </c>
      <c r="V858" s="38">
        <v>1.0</v>
      </c>
      <c r="W858" s="38" t="s">
        <v>105</v>
      </c>
      <c r="X858" s="38" t="s">
        <v>172</v>
      </c>
      <c r="Y858" s="38" t="s">
        <v>146</v>
      </c>
      <c r="Z858" s="38" t="s">
        <v>155</v>
      </c>
      <c r="AA858" s="113" t="str">
        <f t="array" ref="AA858">PROPER(G858)</f>
        <v>Online</v>
      </c>
    </row>
    <row r="859">
      <c r="A859" s="110">
        <v>6.5528711E8</v>
      </c>
      <c r="B859" s="131">
        <v>42053.0</v>
      </c>
      <c r="C859" s="131">
        <v>42057.0</v>
      </c>
      <c r="D859" s="110" t="s">
        <v>95</v>
      </c>
      <c r="E859" s="110" t="s">
        <v>115</v>
      </c>
      <c r="F859" s="110">
        <v>7940.0</v>
      </c>
      <c r="G859" s="38" t="s">
        <v>42</v>
      </c>
      <c r="H859" s="110">
        <v>2873.0</v>
      </c>
      <c r="I859" s="132">
        <v>668.27</v>
      </c>
      <c r="J859" s="132">
        <v>502.54</v>
      </c>
      <c r="K859" s="39">
        <f t="shared" si="1"/>
        <v>1919939.71</v>
      </c>
      <c r="L859" s="39">
        <f t="shared" si="2"/>
        <v>1443797.42</v>
      </c>
      <c r="M859" s="39">
        <f t="shared" si="3"/>
        <v>476142.29</v>
      </c>
      <c r="N859" s="38" t="str">
        <f>VLOOKUP(F859,products!$A$2:$B$13,2,FALSE)</f>
        <v>Household</v>
      </c>
      <c r="O859" s="133">
        <f t="shared" si="4"/>
        <v>0.7520014365</v>
      </c>
      <c r="P859" s="38" t="str">
        <f>VLOOKUP(E859,countries!A$2:E$250,3,false)</f>
        <v>Portugal</v>
      </c>
      <c r="Q859" s="38" t="str">
        <f>VLOOKUP($E859,countries!$A$2:$E$250,4,false)</f>
        <v>Europe</v>
      </c>
      <c r="R859" s="38" t="str">
        <f>VLOOKUP($E859,countries!$A$2:$E$250,5,false)</f>
        <v>Southern Europe</v>
      </c>
      <c r="S859" s="38">
        <f t="shared" si="5"/>
        <v>4</v>
      </c>
      <c r="T859" s="38" t="s">
        <v>148</v>
      </c>
      <c r="U859" s="38">
        <v>2015.0</v>
      </c>
      <c r="V859" s="38">
        <v>2.0</v>
      </c>
      <c r="W859" s="38" t="s">
        <v>115</v>
      </c>
      <c r="X859" s="38" t="s">
        <v>186</v>
      </c>
      <c r="Y859" s="38" t="s">
        <v>146</v>
      </c>
      <c r="Z859" s="38" t="s">
        <v>147</v>
      </c>
      <c r="AA859" s="113" t="str">
        <f t="array" ref="AA859">PROPER(G859)</f>
        <v>Offline</v>
      </c>
    </row>
    <row r="860">
      <c r="A860" s="110">
        <v>6.55328738E8</v>
      </c>
      <c r="B860" s="131">
        <v>41680.0</v>
      </c>
      <c r="C860" s="131">
        <v>41720.0</v>
      </c>
      <c r="D860" s="110" t="s">
        <v>10</v>
      </c>
      <c r="E860" s="110" t="s">
        <v>106</v>
      </c>
      <c r="F860" s="110">
        <v>2103.0</v>
      </c>
      <c r="G860" s="38" t="s">
        <v>42</v>
      </c>
      <c r="H860" s="110">
        <v>5191.0</v>
      </c>
      <c r="I860" s="132">
        <v>205.7</v>
      </c>
      <c r="J860" s="132">
        <v>117.11</v>
      </c>
      <c r="K860" s="39">
        <f t="shared" si="1"/>
        <v>1067788.7</v>
      </c>
      <c r="L860" s="39">
        <f t="shared" si="2"/>
        <v>607918.01</v>
      </c>
      <c r="M860" s="39">
        <f t="shared" si="3"/>
        <v>459870.69</v>
      </c>
      <c r="N860" s="38" t="str">
        <f>VLOOKUP(F860,products!$A$2:$B$13,2,FALSE)</f>
        <v>Cereal</v>
      </c>
      <c r="O860" s="133">
        <f t="shared" si="4"/>
        <v>0.5693242586</v>
      </c>
      <c r="P860" s="38" t="str">
        <f>VLOOKUP(E860,countries!A$2:E$250,3,false)</f>
        <v>Poland</v>
      </c>
      <c r="Q860" s="38" t="str">
        <f>VLOOKUP($E860,countries!$A$2:$E$250,4,false)</f>
        <v>Europe</v>
      </c>
      <c r="R860" s="38" t="str">
        <f>VLOOKUP($E860,countries!$A$2:$E$250,5,false)</f>
        <v>Eastern Europe</v>
      </c>
      <c r="S860" s="38">
        <f t="shared" si="5"/>
        <v>40</v>
      </c>
      <c r="T860" s="38" t="s">
        <v>144</v>
      </c>
      <c r="U860" s="38">
        <v>2014.0</v>
      </c>
      <c r="V860" s="38">
        <v>2.0</v>
      </c>
      <c r="W860" s="38" t="s">
        <v>106</v>
      </c>
      <c r="X860" s="38" t="s">
        <v>173</v>
      </c>
      <c r="Y860" s="38" t="s">
        <v>146</v>
      </c>
      <c r="Z860" s="38" t="s">
        <v>155</v>
      </c>
      <c r="AA860" s="113" t="str">
        <f t="array" ref="AA860">PROPER(G860)</f>
        <v>Offline</v>
      </c>
    </row>
    <row r="861">
      <c r="A861" s="110">
        <v>6.56244552E8</v>
      </c>
      <c r="B861" s="131">
        <v>41787.0</v>
      </c>
      <c r="C861" s="131">
        <v>41809.0</v>
      </c>
      <c r="D861" s="110" t="s">
        <v>10</v>
      </c>
      <c r="E861" s="110" t="s">
        <v>138</v>
      </c>
      <c r="F861" s="110">
        <v>4594.0</v>
      </c>
      <c r="G861" s="38" t="s">
        <v>42</v>
      </c>
      <c r="H861" s="110">
        <v>6201.0</v>
      </c>
      <c r="I861" s="132">
        <v>9.33</v>
      </c>
      <c r="J861" s="132">
        <v>6.92</v>
      </c>
      <c r="K861" s="39">
        <f t="shared" si="1"/>
        <v>57855.33</v>
      </c>
      <c r="L861" s="39">
        <f t="shared" si="2"/>
        <v>42910.92</v>
      </c>
      <c r="M861" s="39">
        <f t="shared" si="3"/>
        <v>14944.41</v>
      </c>
      <c r="N861" s="38" t="str">
        <f>VLOOKUP(F861,products!$A$2:$B$13,2,FALSE)</f>
        <v>Fruits</v>
      </c>
      <c r="O861" s="133">
        <f t="shared" si="4"/>
        <v>0.741693462</v>
      </c>
      <c r="P861" s="38" t="str">
        <f>VLOOKUP(E861,countries!A$2:E$250,3,false)</f>
        <v>Greece</v>
      </c>
      <c r="Q861" s="38" t="str">
        <f>VLOOKUP($E861,countries!$A$2:$E$250,4,false)</f>
        <v>Europe</v>
      </c>
      <c r="R861" s="38" t="str">
        <f>VLOOKUP($E861,countries!$A$2:$E$250,5,false)</f>
        <v>Southern Europe</v>
      </c>
      <c r="S861" s="38">
        <f t="shared" si="5"/>
        <v>22</v>
      </c>
      <c r="T861" s="38" t="s">
        <v>156</v>
      </c>
      <c r="U861" s="38">
        <v>2014.0</v>
      </c>
      <c r="V861" s="38">
        <v>5.0</v>
      </c>
      <c r="W861" s="38" t="s">
        <v>138</v>
      </c>
      <c r="X861" s="38" t="s">
        <v>208</v>
      </c>
      <c r="Y861" s="38" t="s">
        <v>146</v>
      </c>
      <c r="Z861" s="38" t="s">
        <v>147</v>
      </c>
      <c r="AA861" s="113" t="str">
        <f t="array" ref="AA861">PROPER(G861)</f>
        <v>Offline</v>
      </c>
    </row>
    <row r="862">
      <c r="A862" s="110">
        <v>6.56689155E8</v>
      </c>
      <c r="B862" s="131">
        <v>40718.0</v>
      </c>
      <c r="C862" s="131">
        <v>40764.0</v>
      </c>
      <c r="D862" s="110" t="s">
        <v>10</v>
      </c>
      <c r="E862" s="110" t="s">
        <v>132</v>
      </c>
      <c r="F862" s="110">
        <v>7940.0</v>
      </c>
      <c r="G862" s="38" t="s">
        <v>42</v>
      </c>
      <c r="H862" s="110">
        <v>7769.0</v>
      </c>
      <c r="I862" s="132">
        <v>668.27</v>
      </c>
      <c r="J862" s="132">
        <v>502.54</v>
      </c>
      <c r="K862" s="39">
        <f t="shared" si="1"/>
        <v>5191789.63</v>
      </c>
      <c r="L862" s="39">
        <f t="shared" si="2"/>
        <v>3904233.26</v>
      </c>
      <c r="M862" s="39">
        <f t="shared" si="3"/>
        <v>1287556.37</v>
      </c>
      <c r="N862" s="38" t="str">
        <f>VLOOKUP(F862,products!$A$2:$B$13,2,FALSE)</f>
        <v>Household</v>
      </c>
      <c r="O862" s="133">
        <f t="shared" si="4"/>
        <v>0.7520014365</v>
      </c>
      <c r="P862" s="38" t="str">
        <f>VLOOKUP(E862,countries!A$2:E$250,3,false)</f>
        <v>Sweden</v>
      </c>
      <c r="Q862" s="38" t="str">
        <f>VLOOKUP($E862,countries!$A$2:$E$250,4,false)</f>
        <v>Europe</v>
      </c>
      <c r="R862" s="38" t="str">
        <f>VLOOKUP($E862,countries!$A$2:$E$250,5,false)</f>
        <v>Northern Europe</v>
      </c>
      <c r="S862" s="38">
        <f t="shared" si="5"/>
        <v>46</v>
      </c>
      <c r="T862" s="38" t="s">
        <v>148</v>
      </c>
      <c r="U862" s="38">
        <v>2011.0</v>
      </c>
      <c r="V862" s="38">
        <v>6.0</v>
      </c>
      <c r="W862" s="38" t="s">
        <v>132</v>
      </c>
      <c r="X862" s="38" t="s">
        <v>203</v>
      </c>
      <c r="Y862" s="38" t="s">
        <v>146</v>
      </c>
      <c r="Z862" s="38" t="s">
        <v>170</v>
      </c>
      <c r="AA862" s="113" t="str">
        <f t="array" ref="AA862">PROPER(G862)</f>
        <v>Offline</v>
      </c>
    </row>
    <row r="863">
      <c r="A863" s="110">
        <v>6.59193694E8</v>
      </c>
      <c r="B863" s="131">
        <v>42155.0</v>
      </c>
      <c r="C863" s="131">
        <v>42166.0</v>
      </c>
      <c r="D863" s="110" t="s">
        <v>89</v>
      </c>
      <c r="E863" s="110" t="s">
        <v>91</v>
      </c>
      <c r="F863" s="110">
        <v>8681.0</v>
      </c>
      <c r="G863" s="38" t="s">
        <v>43</v>
      </c>
      <c r="H863" s="110">
        <v>8918.0</v>
      </c>
      <c r="I863" s="132">
        <v>651.21</v>
      </c>
      <c r="J863" s="132">
        <v>524.96</v>
      </c>
      <c r="K863" s="39">
        <f t="shared" si="1"/>
        <v>5807490.78</v>
      </c>
      <c r="L863" s="39">
        <f t="shared" si="2"/>
        <v>4681593.28</v>
      </c>
      <c r="M863" s="39">
        <f t="shared" si="3"/>
        <v>1125897.5</v>
      </c>
      <c r="N863" s="38" t="str">
        <f>VLOOKUP(F863,products!$A$2:$B$13,2,FALSE)</f>
        <v>Office Supplies</v>
      </c>
      <c r="O863" s="133">
        <f t="shared" si="4"/>
        <v>0.806130127</v>
      </c>
      <c r="P863" s="38" t="str">
        <f>VLOOKUP(E863,countries!A$2:E$250,3,false)</f>
        <v>Serbia</v>
      </c>
      <c r="Q863" s="38" t="str">
        <f>VLOOKUP($E863,countries!$A$2:$E$250,4,false)</f>
        <v>Europe</v>
      </c>
      <c r="R863" s="38" t="str">
        <f>VLOOKUP($E863,countries!$A$2:$E$250,5,false)</f>
        <v>Southern Europe</v>
      </c>
      <c r="S863" s="38">
        <f t="shared" si="5"/>
        <v>11</v>
      </c>
      <c r="T863" s="38" t="s">
        <v>153</v>
      </c>
      <c r="U863" s="38">
        <v>2015.0</v>
      </c>
      <c r="V863" s="38">
        <v>5.0</v>
      </c>
      <c r="W863" s="38" t="s">
        <v>91</v>
      </c>
      <c r="X863" s="38" t="s">
        <v>145</v>
      </c>
      <c r="Y863" s="38" t="s">
        <v>146</v>
      </c>
      <c r="Z863" s="38" t="s">
        <v>147</v>
      </c>
      <c r="AA863" s="113" t="str">
        <f t="array" ref="AA863">PROPER(G863)</f>
        <v>Online</v>
      </c>
    </row>
    <row r="864">
      <c r="A864" s="110">
        <v>6.59196269E8</v>
      </c>
      <c r="B864" s="131">
        <v>41390.0</v>
      </c>
      <c r="C864" s="131">
        <v>41426.0</v>
      </c>
      <c r="D864" s="110" t="s">
        <v>93</v>
      </c>
      <c r="E864" s="110" t="s">
        <v>99</v>
      </c>
      <c r="F864" s="110">
        <v>7940.0</v>
      </c>
      <c r="G864" s="38" t="s">
        <v>43</v>
      </c>
      <c r="H864" s="110">
        <v>9680.0</v>
      </c>
      <c r="I864" s="132">
        <v>668.27</v>
      </c>
      <c r="J864" s="132">
        <v>502.54</v>
      </c>
      <c r="K864" s="39">
        <f t="shared" si="1"/>
        <v>6468853.6</v>
      </c>
      <c r="L864" s="39">
        <f t="shared" si="2"/>
        <v>4864587.2</v>
      </c>
      <c r="M864" s="39">
        <f t="shared" si="3"/>
        <v>1604266.4</v>
      </c>
      <c r="N864" s="38" t="str">
        <f>VLOOKUP(F864,products!$A$2:$B$13,2,FALSE)</f>
        <v>Household</v>
      </c>
      <c r="O864" s="133">
        <f t="shared" si="4"/>
        <v>0.7520014365</v>
      </c>
      <c r="P864" s="38" t="str">
        <f>VLOOKUP(E864,countries!A$2:E$250,3,false)</f>
        <v>Croatia</v>
      </c>
      <c r="Q864" s="38" t="str">
        <f>VLOOKUP($E864,countries!$A$2:$E$250,4,false)</f>
        <v>Europe</v>
      </c>
      <c r="R864" s="38" t="str">
        <f>VLOOKUP($E864,countries!$A$2:$E$250,5,false)</f>
        <v>Southern Europe</v>
      </c>
      <c r="S864" s="38">
        <f t="shared" si="5"/>
        <v>36</v>
      </c>
      <c r="T864" s="38" t="s">
        <v>148</v>
      </c>
      <c r="U864" s="38">
        <v>2013.0</v>
      </c>
      <c r="V864" s="38">
        <v>4.0</v>
      </c>
      <c r="W864" s="38" t="s">
        <v>99</v>
      </c>
      <c r="X864" s="38" t="s">
        <v>162</v>
      </c>
      <c r="Y864" s="38" t="s">
        <v>146</v>
      </c>
      <c r="Z864" s="38" t="s">
        <v>147</v>
      </c>
      <c r="AA864" s="113" t="str">
        <f t="array" ref="AA864">PROPER(G864)</f>
        <v>Online</v>
      </c>
    </row>
    <row r="865">
      <c r="A865" s="110">
        <v>6.59671771E8</v>
      </c>
      <c r="B865" s="131">
        <v>42213.0</v>
      </c>
      <c r="C865" s="131">
        <v>42214.0</v>
      </c>
      <c r="D865" s="110" t="s">
        <v>10</v>
      </c>
      <c r="E865" s="110" t="s">
        <v>111</v>
      </c>
      <c r="F865" s="110">
        <v>8293.0</v>
      </c>
      <c r="G865" s="38" t="s">
        <v>42</v>
      </c>
      <c r="H865" s="110">
        <v>391.0</v>
      </c>
      <c r="I865" s="132">
        <v>437.2</v>
      </c>
      <c r="J865" s="132">
        <v>263.33</v>
      </c>
      <c r="K865" s="39">
        <f t="shared" si="1"/>
        <v>170945.2</v>
      </c>
      <c r="L865" s="39">
        <f t="shared" si="2"/>
        <v>102962.03</v>
      </c>
      <c r="M865" s="39">
        <f t="shared" si="3"/>
        <v>67983.17</v>
      </c>
      <c r="N865" s="38" t="str">
        <f>VLOOKUP(F865,products!$A$2:$B$13,2,FALSE)</f>
        <v>Cosmetics</v>
      </c>
      <c r="O865" s="133">
        <f t="shared" si="4"/>
        <v>0.6023101555</v>
      </c>
      <c r="P865" s="38" t="str">
        <f>VLOOKUP(E865,countries!A$2:E$250,3,false)</f>
        <v>Russia</v>
      </c>
      <c r="Q865" s="38" t="str">
        <f>VLOOKUP($E865,countries!$A$2:$E$250,4,false)</f>
        <v>Europe</v>
      </c>
      <c r="R865" s="38" t="str">
        <f>VLOOKUP($E865,countries!$A$2:$E$250,5,false)</f>
        <v>Eastern Europe</v>
      </c>
      <c r="S865" s="38">
        <f t="shared" si="5"/>
        <v>1</v>
      </c>
      <c r="T865" s="38" t="s">
        <v>178</v>
      </c>
      <c r="U865" s="38">
        <v>2015.0</v>
      </c>
      <c r="V865" s="38">
        <v>7.0</v>
      </c>
      <c r="W865" s="38" t="s">
        <v>111</v>
      </c>
      <c r="X865" s="38" t="s">
        <v>179</v>
      </c>
      <c r="Y865" s="38" t="s">
        <v>146</v>
      </c>
      <c r="Z865" s="38" t="s">
        <v>155</v>
      </c>
      <c r="AA865" s="113" t="str">
        <f t="array" ref="AA865">PROPER(G865)</f>
        <v>Offline</v>
      </c>
    </row>
    <row r="866">
      <c r="A866" s="110">
        <v>6.60312926E8</v>
      </c>
      <c r="B866" s="131">
        <v>42722.0</v>
      </c>
      <c r="C866" s="131">
        <v>42740.0</v>
      </c>
      <c r="D866" s="110" t="s">
        <v>10</v>
      </c>
      <c r="E866" s="110" t="s">
        <v>117</v>
      </c>
      <c r="F866" s="110">
        <v>2455.0</v>
      </c>
      <c r="G866" s="38" t="s">
        <v>42</v>
      </c>
      <c r="H866" s="110">
        <v>123.0</v>
      </c>
      <c r="I866" s="132">
        <v>109.28</v>
      </c>
      <c r="J866" s="132">
        <v>35.84</v>
      </c>
      <c r="K866" s="39">
        <f t="shared" si="1"/>
        <v>13441.44</v>
      </c>
      <c r="L866" s="39">
        <f t="shared" si="2"/>
        <v>4408.32</v>
      </c>
      <c r="M866" s="39">
        <f t="shared" si="3"/>
        <v>9033.12</v>
      </c>
      <c r="N866" s="38" t="str">
        <f>VLOOKUP(F866,products!$A$2:$B$13,2,FALSE)</f>
        <v>Clothes</v>
      </c>
      <c r="O866" s="133">
        <f t="shared" si="4"/>
        <v>0.3279648609</v>
      </c>
      <c r="P866" s="38" t="str">
        <f>VLOOKUP(E866,countries!A$2:E$250,3,false)</f>
        <v>Estonia</v>
      </c>
      <c r="Q866" s="38" t="str">
        <f>VLOOKUP($E866,countries!$A$2:$E$250,4,false)</f>
        <v>Europe</v>
      </c>
      <c r="R866" s="38" t="str">
        <f>VLOOKUP($E866,countries!$A$2:$E$250,5,false)</f>
        <v>Northern Europe</v>
      </c>
      <c r="S866" s="38">
        <f t="shared" si="5"/>
        <v>18</v>
      </c>
      <c r="T866" s="38" t="s">
        <v>150</v>
      </c>
      <c r="U866" s="38">
        <v>2016.0</v>
      </c>
      <c r="V866" s="38">
        <v>12.0</v>
      </c>
      <c r="W866" s="38" t="s">
        <v>117</v>
      </c>
      <c r="X866" s="38" t="s">
        <v>188</v>
      </c>
      <c r="Y866" s="38" t="s">
        <v>146</v>
      </c>
      <c r="Z866" s="38" t="s">
        <v>170</v>
      </c>
      <c r="AA866" s="113" t="str">
        <f t="array" ref="AA866">PROPER(G866)</f>
        <v>Offline</v>
      </c>
    </row>
    <row r="867">
      <c r="A867" s="110">
        <v>6.60481584E8</v>
      </c>
      <c r="B867" s="131">
        <v>42440.0</v>
      </c>
      <c r="C867" s="131">
        <v>42480.0</v>
      </c>
      <c r="D867" s="110" t="s">
        <v>89</v>
      </c>
      <c r="E867" s="110" t="s">
        <v>113</v>
      </c>
      <c r="F867" s="110">
        <v>8681.0</v>
      </c>
      <c r="G867" s="38" t="s">
        <v>42</v>
      </c>
      <c r="H867" s="110">
        <v>33.0</v>
      </c>
      <c r="I867" s="132">
        <v>651.21</v>
      </c>
      <c r="J867" s="132">
        <v>524.96</v>
      </c>
      <c r="K867" s="39">
        <f t="shared" si="1"/>
        <v>21489.93</v>
      </c>
      <c r="L867" s="39">
        <f t="shared" si="2"/>
        <v>17323.68</v>
      </c>
      <c r="M867" s="39">
        <f t="shared" si="3"/>
        <v>4166.25</v>
      </c>
      <c r="N867" s="38" t="str">
        <f>VLOOKUP(F867,products!$A$2:$B$13,2,FALSE)</f>
        <v>Office Supplies</v>
      </c>
      <c r="O867" s="133">
        <f t="shared" si="4"/>
        <v>0.806130127</v>
      </c>
      <c r="P867" s="38" t="str">
        <f>VLOOKUP(E867,countries!A$2:E$250,3,false)</f>
        <v>Ukraine</v>
      </c>
      <c r="Q867" s="38" t="str">
        <f>VLOOKUP($E867,countries!$A$2:$E$250,4,false)</f>
        <v>Europe</v>
      </c>
      <c r="R867" s="38" t="str">
        <f>VLOOKUP($E867,countries!$A$2:$E$250,5,false)</f>
        <v>Eastern Europe</v>
      </c>
      <c r="S867" s="38">
        <f t="shared" si="5"/>
        <v>40</v>
      </c>
      <c r="T867" s="38" t="s">
        <v>153</v>
      </c>
      <c r="U867" s="38">
        <v>2016.0</v>
      </c>
      <c r="V867" s="38">
        <v>3.0</v>
      </c>
      <c r="W867" s="38" t="s">
        <v>113</v>
      </c>
      <c r="X867" s="38" t="s">
        <v>181</v>
      </c>
      <c r="Y867" s="38" t="s">
        <v>146</v>
      </c>
      <c r="Z867" s="38" t="s">
        <v>155</v>
      </c>
      <c r="AA867" s="113" t="str">
        <f t="array" ref="AA867">PROPER(G867)</f>
        <v>Offline</v>
      </c>
    </row>
    <row r="868">
      <c r="A868" s="110">
        <v>6.62623488E8</v>
      </c>
      <c r="B868" s="131">
        <v>41816.0</v>
      </c>
      <c r="C868" s="131">
        <v>41831.0</v>
      </c>
      <c r="D868" s="110" t="s">
        <v>10</v>
      </c>
      <c r="E868" s="110" t="s">
        <v>112</v>
      </c>
      <c r="F868" s="110">
        <v>8875.0</v>
      </c>
      <c r="G868" s="38" t="s">
        <v>42</v>
      </c>
      <c r="H868" s="110">
        <v>3870.0</v>
      </c>
      <c r="I868" s="132">
        <v>421.89</v>
      </c>
      <c r="J868" s="132">
        <v>364.69</v>
      </c>
      <c r="K868" s="39">
        <f t="shared" si="1"/>
        <v>1632714.3</v>
      </c>
      <c r="L868" s="39">
        <f t="shared" si="2"/>
        <v>1411350.3</v>
      </c>
      <c r="M868" s="39">
        <f t="shared" si="3"/>
        <v>221364</v>
      </c>
      <c r="N868" s="38" t="str">
        <f>VLOOKUP(F868,products!$A$2:$B$13,2,FALSE)</f>
        <v>Meat</v>
      </c>
      <c r="O868" s="133">
        <f t="shared" si="4"/>
        <v>0.8644196354</v>
      </c>
      <c r="P868" s="38" t="str">
        <f>VLOOKUP(E868,countries!A$2:E$250,3,false)</f>
        <v>Malta</v>
      </c>
      <c r="Q868" s="38" t="str">
        <f>VLOOKUP($E868,countries!$A$2:$E$250,4,false)</f>
        <v>Europe</v>
      </c>
      <c r="R868" s="38" t="str">
        <f>VLOOKUP($E868,countries!$A$2:$E$250,5,false)</f>
        <v>Southern Europe</v>
      </c>
      <c r="S868" s="38">
        <f t="shared" si="5"/>
        <v>15</v>
      </c>
      <c r="T868" s="38" t="s">
        <v>167</v>
      </c>
      <c r="U868" s="38">
        <v>2014.0</v>
      </c>
      <c r="V868" s="38">
        <v>6.0</v>
      </c>
      <c r="W868" s="38" t="s">
        <v>112</v>
      </c>
      <c r="X868" s="38" t="s">
        <v>180</v>
      </c>
      <c r="Y868" s="38" t="s">
        <v>146</v>
      </c>
      <c r="Z868" s="38" t="s">
        <v>147</v>
      </c>
      <c r="AA868" s="113" t="str">
        <f t="array" ref="AA868">PROPER(G868)</f>
        <v>Offline</v>
      </c>
    </row>
    <row r="869">
      <c r="A869" s="110">
        <v>6.63080108E8</v>
      </c>
      <c r="B869" s="131">
        <v>40868.0</v>
      </c>
      <c r="C869" s="131">
        <v>40887.0</v>
      </c>
      <c r="D869" s="110" t="s">
        <v>95</v>
      </c>
      <c r="E869" s="110" t="s">
        <v>115</v>
      </c>
      <c r="F869" s="110">
        <v>8875.0</v>
      </c>
      <c r="G869" s="38" t="s">
        <v>43</v>
      </c>
      <c r="H869" s="110">
        <v>8994.0</v>
      </c>
      <c r="I869" s="132">
        <v>421.89</v>
      </c>
      <c r="J869" s="132">
        <v>364.69</v>
      </c>
      <c r="K869" s="39">
        <f t="shared" si="1"/>
        <v>3794478.66</v>
      </c>
      <c r="L869" s="39">
        <f t="shared" si="2"/>
        <v>3280021.86</v>
      </c>
      <c r="M869" s="39">
        <f t="shared" si="3"/>
        <v>514456.8</v>
      </c>
      <c r="N869" s="38" t="str">
        <f>VLOOKUP(F869,products!$A$2:$B$13,2,FALSE)</f>
        <v>Meat</v>
      </c>
      <c r="O869" s="133">
        <f t="shared" si="4"/>
        <v>0.8644196354</v>
      </c>
      <c r="P869" s="38" t="str">
        <f>VLOOKUP(E869,countries!A$2:E$250,3,false)</f>
        <v>Portugal</v>
      </c>
      <c r="Q869" s="38" t="str">
        <f>VLOOKUP($E869,countries!$A$2:$E$250,4,false)</f>
        <v>Europe</v>
      </c>
      <c r="R869" s="38" t="str">
        <f>VLOOKUP($E869,countries!$A$2:$E$250,5,false)</f>
        <v>Southern Europe</v>
      </c>
      <c r="S869" s="38">
        <f t="shared" si="5"/>
        <v>19</v>
      </c>
      <c r="T869" s="38" t="s">
        <v>167</v>
      </c>
      <c r="U869" s="38">
        <v>2011.0</v>
      </c>
      <c r="V869" s="38">
        <v>11.0</v>
      </c>
      <c r="W869" s="38" t="s">
        <v>115</v>
      </c>
      <c r="X869" s="38" t="s">
        <v>186</v>
      </c>
      <c r="Y869" s="38" t="s">
        <v>146</v>
      </c>
      <c r="Z869" s="38" t="s">
        <v>147</v>
      </c>
      <c r="AA869" s="113" t="str">
        <f t="array" ref="AA869">PROPER(G869)</f>
        <v>Online</v>
      </c>
    </row>
    <row r="870">
      <c r="A870" s="110">
        <v>6.65786778E8</v>
      </c>
      <c r="B870" s="131">
        <v>40383.0</v>
      </c>
      <c r="C870" s="131">
        <v>40405.0</v>
      </c>
      <c r="D870" s="110" t="s">
        <v>93</v>
      </c>
      <c r="E870" s="110" t="s">
        <v>105</v>
      </c>
      <c r="F870" s="110">
        <v>4594.0</v>
      </c>
      <c r="G870" s="38" t="s">
        <v>42</v>
      </c>
      <c r="H870" s="110">
        <v>9958.0</v>
      </c>
      <c r="I870" s="132">
        <v>9.33</v>
      </c>
      <c r="J870" s="132">
        <v>6.92</v>
      </c>
      <c r="K870" s="39">
        <f t="shared" si="1"/>
        <v>92908.14</v>
      </c>
      <c r="L870" s="39">
        <f t="shared" si="2"/>
        <v>68909.36</v>
      </c>
      <c r="M870" s="39">
        <f t="shared" si="3"/>
        <v>23998.78</v>
      </c>
      <c r="N870" s="38" t="str">
        <f>VLOOKUP(F870,products!$A$2:$B$13,2,FALSE)</f>
        <v>Fruits</v>
      </c>
      <c r="O870" s="133">
        <f t="shared" si="4"/>
        <v>0.741693462</v>
      </c>
      <c r="P870" s="38" t="str">
        <f>VLOOKUP(E870,countries!A$2:E$250,3,false)</f>
        <v>Romania</v>
      </c>
      <c r="Q870" s="38" t="str">
        <f>VLOOKUP($E870,countries!$A$2:$E$250,4,false)</f>
        <v>Europe</v>
      </c>
      <c r="R870" s="38" t="str">
        <f>VLOOKUP($E870,countries!$A$2:$E$250,5,false)</f>
        <v>Eastern Europe</v>
      </c>
      <c r="S870" s="38">
        <f t="shared" si="5"/>
        <v>22</v>
      </c>
      <c r="T870" s="38" t="s">
        <v>156</v>
      </c>
      <c r="U870" s="38">
        <v>2010.0</v>
      </c>
      <c r="V870" s="38">
        <v>7.0</v>
      </c>
      <c r="W870" s="38" t="s">
        <v>105</v>
      </c>
      <c r="X870" s="38" t="s">
        <v>172</v>
      </c>
      <c r="Y870" s="38" t="s">
        <v>146</v>
      </c>
      <c r="Z870" s="38" t="s">
        <v>155</v>
      </c>
      <c r="AA870" s="113" t="str">
        <f t="array" ref="AA870">PROPER(G870)</f>
        <v>Offline</v>
      </c>
    </row>
    <row r="871">
      <c r="A871" s="110">
        <v>6.65817677E8</v>
      </c>
      <c r="B871" s="131">
        <v>42273.0</v>
      </c>
      <c r="C871" s="131">
        <v>42287.0</v>
      </c>
      <c r="D871" s="110" t="s">
        <v>10</v>
      </c>
      <c r="E871" s="110" t="s">
        <v>91</v>
      </c>
      <c r="F871" s="110">
        <v>4594.0</v>
      </c>
      <c r="G871" s="38" t="s">
        <v>43</v>
      </c>
      <c r="H871" s="110">
        <v>9102.0</v>
      </c>
      <c r="I871" s="132">
        <v>9.33</v>
      </c>
      <c r="J871" s="132">
        <v>6.92</v>
      </c>
      <c r="K871" s="39">
        <f t="shared" si="1"/>
        <v>84921.66</v>
      </c>
      <c r="L871" s="39">
        <f t="shared" si="2"/>
        <v>62985.84</v>
      </c>
      <c r="M871" s="39">
        <f t="shared" si="3"/>
        <v>21935.82</v>
      </c>
      <c r="N871" s="38" t="str">
        <f>VLOOKUP(F871,products!$A$2:$B$13,2,FALSE)</f>
        <v>Fruits</v>
      </c>
      <c r="O871" s="133">
        <f t="shared" si="4"/>
        <v>0.741693462</v>
      </c>
      <c r="P871" s="38" t="str">
        <f>VLOOKUP(E871,countries!A$2:E$250,3,false)</f>
        <v>Serbia</v>
      </c>
      <c r="Q871" s="38" t="str">
        <f>VLOOKUP($E871,countries!$A$2:$E$250,4,false)</f>
        <v>Europe</v>
      </c>
      <c r="R871" s="38" t="str">
        <f>VLOOKUP($E871,countries!$A$2:$E$250,5,false)</f>
        <v>Southern Europe</v>
      </c>
      <c r="S871" s="38">
        <f t="shared" si="5"/>
        <v>14</v>
      </c>
      <c r="T871" s="38" t="s">
        <v>156</v>
      </c>
      <c r="U871" s="38">
        <v>2015.0</v>
      </c>
      <c r="V871" s="38">
        <v>9.0</v>
      </c>
      <c r="W871" s="38" t="s">
        <v>91</v>
      </c>
      <c r="X871" s="38" t="s">
        <v>145</v>
      </c>
      <c r="Y871" s="38" t="s">
        <v>146</v>
      </c>
      <c r="Z871" s="38" t="s">
        <v>147</v>
      </c>
      <c r="AA871" s="113" t="str">
        <f t="array" ref="AA871">PROPER(G871)</f>
        <v>Online</v>
      </c>
    </row>
    <row r="872">
      <c r="A872" s="110">
        <v>6.66483724E8</v>
      </c>
      <c r="B872" s="131">
        <v>41848.0</v>
      </c>
      <c r="C872" s="131">
        <v>41882.0</v>
      </c>
      <c r="D872" s="110" t="s">
        <v>10</v>
      </c>
      <c r="E872" s="110" t="s">
        <v>119</v>
      </c>
      <c r="F872" s="110">
        <v>7940.0</v>
      </c>
      <c r="G872" s="38" t="s">
        <v>43</v>
      </c>
      <c r="H872" s="110">
        <v>6199.0</v>
      </c>
      <c r="I872" s="132">
        <v>668.27</v>
      </c>
      <c r="J872" s="132">
        <v>502.54</v>
      </c>
      <c r="K872" s="39">
        <f t="shared" si="1"/>
        <v>4142605.73</v>
      </c>
      <c r="L872" s="39">
        <f t="shared" si="2"/>
        <v>3115245.46</v>
      </c>
      <c r="M872" s="39">
        <f t="shared" si="3"/>
        <v>1027360.27</v>
      </c>
      <c r="N872" s="38" t="str">
        <f>VLOOKUP(F872,products!$A$2:$B$13,2,FALSE)</f>
        <v>Household</v>
      </c>
      <c r="O872" s="133">
        <f t="shared" si="4"/>
        <v>0.7520014365</v>
      </c>
      <c r="P872" s="38" t="str">
        <f>VLOOKUP(E872,countries!A$2:E$250,3,false)</f>
        <v>Macedonia</v>
      </c>
      <c r="Q872" s="38" t="str">
        <f>VLOOKUP($E872,countries!$A$2:$E$250,4,false)</f>
        <v>Europe</v>
      </c>
      <c r="R872" s="38" t="str">
        <f>VLOOKUP($E872,countries!$A$2:$E$250,5,false)</f>
        <v>Southern Europe</v>
      </c>
      <c r="S872" s="38">
        <f t="shared" si="5"/>
        <v>34</v>
      </c>
      <c r="T872" s="38" t="s">
        <v>148</v>
      </c>
      <c r="U872" s="38">
        <v>2014.0</v>
      </c>
      <c r="V872" s="38">
        <v>7.0</v>
      </c>
      <c r="W872" s="38" t="s">
        <v>119</v>
      </c>
      <c r="X872" s="38" t="s">
        <v>190</v>
      </c>
      <c r="Y872" s="38" t="s">
        <v>146</v>
      </c>
      <c r="Z872" s="38" t="s">
        <v>147</v>
      </c>
      <c r="AA872" s="113" t="str">
        <f t="array" ref="AA872">PROPER(G872)</f>
        <v>Online</v>
      </c>
    </row>
    <row r="873">
      <c r="A873" s="110">
        <v>6.6692146E8</v>
      </c>
      <c r="B873" s="131">
        <v>41896.0</v>
      </c>
      <c r="C873" s="131">
        <v>41922.0</v>
      </c>
      <c r="D873" s="110" t="s">
        <v>95</v>
      </c>
      <c r="E873" s="110" t="s">
        <v>135</v>
      </c>
      <c r="F873" s="110">
        <v>2103.0</v>
      </c>
      <c r="G873" s="38" t="s">
        <v>43</v>
      </c>
      <c r="H873" s="110">
        <v>5735.0</v>
      </c>
      <c r="I873" s="132">
        <v>205.7</v>
      </c>
      <c r="J873" s="132">
        <v>117.11</v>
      </c>
      <c r="K873" s="39">
        <f t="shared" si="1"/>
        <v>1179689.5</v>
      </c>
      <c r="L873" s="39">
        <f t="shared" si="2"/>
        <v>671625.85</v>
      </c>
      <c r="M873" s="39">
        <f t="shared" si="3"/>
        <v>508063.65</v>
      </c>
      <c r="N873" s="38" t="str">
        <f>VLOOKUP(F873,products!$A$2:$B$13,2,FALSE)</f>
        <v>Cereal</v>
      </c>
      <c r="O873" s="133">
        <f t="shared" si="4"/>
        <v>0.5693242586</v>
      </c>
      <c r="P873" s="38" t="str">
        <f>VLOOKUP(E873,countries!A$2:E$250,3,false)</f>
        <v>Denmark</v>
      </c>
      <c r="Q873" s="38" t="str">
        <f>VLOOKUP($E873,countries!$A$2:$E$250,4,false)</f>
        <v>Europe</v>
      </c>
      <c r="R873" s="38" t="str">
        <f>VLOOKUP($E873,countries!$A$2:$E$250,5,false)</f>
        <v>Northern Europe</v>
      </c>
      <c r="S873" s="38">
        <f t="shared" si="5"/>
        <v>26</v>
      </c>
      <c r="T873" s="38" t="s">
        <v>144</v>
      </c>
      <c r="U873" s="38">
        <v>2014.0</v>
      </c>
      <c r="V873" s="38">
        <v>9.0</v>
      </c>
      <c r="W873" s="38" t="s">
        <v>135</v>
      </c>
      <c r="X873" s="38" t="s">
        <v>205</v>
      </c>
      <c r="Y873" s="38" t="s">
        <v>146</v>
      </c>
      <c r="Z873" s="38" t="s">
        <v>170</v>
      </c>
      <c r="AA873" s="113" t="str">
        <f t="array" ref="AA873">PROPER(G873)</f>
        <v>Online</v>
      </c>
    </row>
    <row r="874">
      <c r="A874" s="110">
        <v>6.67054498E8</v>
      </c>
      <c r="B874" s="131">
        <v>42046.0</v>
      </c>
      <c r="C874" s="131">
        <v>42047.0</v>
      </c>
      <c r="D874" s="110" t="s">
        <v>95</v>
      </c>
      <c r="E874" s="110" t="s">
        <v>115</v>
      </c>
      <c r="F874" s="110">
        <v>3127.0</v>
      </c>
      <c r="G874" s="38" t="s">
        <v>43</v>
      </c>
      <c r="H874" s="110">
        <v>5104.0</v>
      </c>
      <c r="I874" s="132">
        <v>81.73</v>
      </c>
      <c r="J874" s="132">
        <v>56.67</v>
      </c>
      <c r="K874" s="39">
        <f t="shared" si="1"/>
        <v>417149.92</v>
      </c>
      <c r="L874" s="39">
        <f t="shared" si="2"/>
        <v>289243.68</v>
      </c>
      <c r="M874" s="39">
        <f t="shared" si="3"/>
        <v>127906.24</v>
      </c>
      <c r="N874" s="38" t="str">
        <f>VLOOKUP(F874,products!$A$2:$B$13,2,FALSE)</f>
        <v>Personal Care</v>
      </c>
      <c r="O874" s="133">
        <f t="shared" si="4"/>
        <v>0.6933806436</v>
      </c>
      <c r="P874" s="38" t="str">
        <f>VLOOKUP(E874,countries!A$2:E$250,3,false)</f>
        <v>Portugal</v>
      </c>
      <c r="Q874" s="38" t="str">
        <f>VLOOKUP($E874,countries!$A$2:$E$250,4,false)</f>
        <v>Europe</v>
      </c>
      <c r="R874" s="38" t="str">
        <f>VLOOKUP($E874,countries!$A$2:$E$250,5,false)</f>
        <v>Southern Europe</v>
      </c>
      <c r="S874" s="38">
        <f t="shared" si="5"/>
        <v>1</v>
      </c>
      <c r="T874" s="38" t="s">
        <v>185</v>
      </c>
      <c r="U874" s="38">
        <v>2015.0</v>
      </c>
      <c r="V874" s="38">
        <v>2.0</v>
      </c>
      <c r="W874" s="38" t="s">
        <v>115</v>
      </c>
      <c r="X874" s="38" t="s">
        <v>186</v>
      </c>
      <c r="Y874" s="38" t="s">
        <v>146</v>
      </c>
      <c r="Z874" s="38" t="s">
        <v>147</v>
      </c>
      <c r="AA874" s="113" t="str">
        <f t="array" ref="AA874">PROPER(G874)</f>
        <v>Online</v>
      </c>
    </row>
    <row r="875">
      <c r="A875" s="110">
        <v>6.67324435E8</v>
      </c>
      <c r="B875" s="131">
        <v>41200.0</v>
      </c>
      <c r="C875" s="131">
        <v>41213.0</v>
      </c>
      <c r="D875" s="110" t="s">
        <v>93</v>
      </c>
      <c r="E875" s="110" t="s">
        <v>120</v>
      </c>
      <c r="F875" s="110">
        <v>7331.0</v>
      </c>
      <c r="G875" s="38" t="s">
        <v>43</v>
      </c>
      <c r="H875" s="110">
        <v>4985.0</v>
      </c>
      <c r="I875" s="132">
        <v>255.28</v>
      </c>
      <c r="J875" s="132">
        <v>159.42</v>
      </c>
      <c r="K875" s="39">
        <f t="shared" si="1"/>
        <v>1272570.8</v>
      </c>
      <c r="L875" s="39">
        <f t="shared" si="2"/>
        <v>794708.7</v>
      </c>
      <c r="M875" s="39">
        <f t="shared" si="3"/>
        <v>477862.1</v>
      </c>
      <c r="N875" s="38" t="str">
        <f>VLOOKUP(F875,products!$A$2:$B$13,2,FALSE)</f>
        <v>Baby Food</v>
      </c>
      <c r="O875" s="133">
        <f t="shared" si="4"/>
        <v>0.6244907552</v>
      </c>
      <c r="P875" s="38" t="str">
        <f>VLOOKUP(E875,countries!A$2:E$250,3,false)</f>
        <v>San Marino</v>
      </c>
      <c r="Q875" s="38" t="str">
        <f>VLOOKUP($E875,countries!$A$2:$E$250,4,false)</f>
        <v>Europe</v>
      </c>
      <c r="R875" s="38" t="str">
        <f>VLOOKUP($E875,countries!$A$2:$E$250,5,false)</f>
        <v>Southern Europe</v>
      </c>
      <c r="S875" s="38">
        <f t="shared" si="5"/>
        <v>13</v>
      </c>
      <c r="T875" s="38" t="s">
        <v>161</v>
      </c>
      <c r="U875" s="38">
        <v>2012.0</v>
      </c>
      <c r="V875" s="38">
        <v>10.0</v>
      </c>
      <c r="W875" s="38" t="s">
        <v>120</v>
      </c>
      <c r="X875" s="38" t="s">
        <v>191</v>
      </c>
      <c r="Y875" s="38" t="s">
        <v>146</v>
      </c>
      <c r="Z875" s="38" t="s">
        <v>147</v>
      </c>
      <c r="AA875" s="113" t="str">
        <f t="array" ref="AA875">PROPER(G875)</f>
        <v>Online</v>
      </c>
    </row>
    <row r="876">
      <c r="A876" s="110">
        <v>6.67420995E8</v>
      </c>
      <c r="B876" s="131">
        <v>40194.0</v>
      </c>
      <c r="C876" s="131">
        <v>40196.0</v>
      </c>
      <c r="D876" s="110" t="s">
        <v>10</v>
      </c>
      <c r="E876" s="110" t="s">
        <v>101</v>
      </c>
      <c r="F876" s="110">
        <v>3127.0</v>
      </c>
      <c r="G876" s="38" t="s">
        <v>43</v>
      </c>
      <c r="H876" s="110">
        <v>3559.0</v>
      </c>
      <c r="I876" s="132">
        <v>81.73</v>
      </c>
      <c r="J876" s="132">
        <v>56.67</v>
      </c>
      <c r="K876" s="39">
        <f t="shared" si="1"/>
        <v>290877.07</v>
      </c>
      <c r="L876" s="39">
        <f t="shared" si="2"/>
        <v>201688.53</v>
      </c>
      <c r="M876" s="39">
        <f t="shared" si="3"/>
        <v>89188.54</v>
      </c>
      <c r="N876" s="38" t="str">
        <f>VLOOKUP(F876,products!$A$2:$B$13,2,FALSE)</f>
        <v>Personal Care</v>
      </c>
      <c r="O876" s="133">
        <f t="shared" si="4"/>
        <v>0.6933806436</v>
      </c>
      <c r="P876" s="38" t="str">
        <f>VLOOKUP(E876,countries!A$2:E$250,3,false)</f>
        <v>Armenia</v>
      </c>
      <c r="Q876" s="38" t="str">
        <f>VLOOKUP($E876,countries!$A$2:$E$250,4,false)</f>
        <v>Asia</v>
      </c>
      <c r="R876" s="38" t="str">
        <f>VLOOKUP($E876,countries!$A$2:$E$250,5,false)</f>
        <v>Western Asia</v>
      </c>
      <c r="S876" s="38">
        <f t="shared" si="5"/>
        <v>2</v>
      </c>
      <c r="T876" s="38" t="s">
        <v>185</v>
      </c>
      <c r="U876" s="38">
        <v>2010.0</v>
      </c>
      <c r="V876" s="38">
        <v>1.0</v>
      </c>
      <c r="W876" s="38" t="s">
        <v>101</v>
      </c>
      <c r="X876" s="38" t="s">
        <v>164</v>
      </c>
      <c r="Y876" s="38" t="s">
        <v>165</v>
      </c>
      <c r="Z876" s="38" t="s">
        <v>166</v>
      </c>
      <c r="AA876" s="113" t="str">
        <f t="array" ref="AA876">PROPER(G876)</f>
        <v>Online</v>
      </c>
    </row>
    <row r="877">
      <c r="A877" s="110">
        <v>6.68280589E8</v>
      </c>
      <c r="B877" s="131">
        <v>41316.0</v>
      </c>
      <c r="C877" s="131">
        <v>41361.0</v>
      </c>
      <c r="D877" s="110" t="s">
        <v>93</v>
      </c>
      <c r="E877" s="110" t="s">
        <v>115</v>
      </c>
      <c r="F877" s="110">
        <v>8875.0</v>
      </c>
      <c r="G877" s="38" t="s">
        <v>43</v>
      </c>
      <c r="H877" s="110">
        <v>7932.0</v>
      </c>
      <c r="I877" s="132">
        <v>421.89</v>
      </c>
      <c r="J877" s="132">
        <v>364.69</v>
      </c>
      <c r="K877" s="39">
        <f t="shared" si="1"/>
        <v>3346431.48</v>
      </c>
      <c r="L877" s="39">
        <f t="shared" si="2"/>
        <v>2892721.08</v>
      </c>
      <c r="M877" s="39">
        <f t="shared" si="3"/>
        <v>453710.4</v>
      </c>
      <c r="N877" s="38" t="str">
        <f>VLOOKUP(F877,products!$A$2:$B$13,2,FALSE)</f>
        <v>Meat</v>
      </c>
      <c r="O877" s="133">
        <f t="shared" si="4"/>
        <v>0.8644196354</v>
      </c>
      <c r="P877" s="38" t="str">
        <f>VLOOKUP(E877,countries!A$2:E$250,3,false)</f>
        <v>Portugal</v>
      </c>
      <c r="Q877" s="38" t="str">
        <f>VLOOKUP($E877,countries!$A$2:$E$250,4,false)</f>
        <v>Europe</v>
      </c>
      <c r="R877" s="38" t="str">
        <f>VLOOKUP($E877,countries!$A$2:$E$250,5,false)</f>
        <v>Southern Europe</v>
      </c>
      <c r="S877" s="38">
        <f t="shared" si="5"/>
        <v>45</v>
      </c>
      <c r="T877" s="38" t="s">
        <v>167</v>
      </c>
      <c r="U877" s="38">
        <v>2013.0</v>
      </c>
      <c r="V877" s="38">
        <v>2.0</v>
      </c>
      <c r="W877" s="38" t="s">
        <v>115</v>
      </c>
      <c r="X877" s="38" t="s">
        <v>186</v>
      </c>
      <c r="Y877" s="38" t="s">
        <v>146</v>
      </c>
      <c r="Z877" s="38" t="s">
        <v>147</v>
      </c>
      <c r="AA877" s="113" t="str">
        <f t="array" ref="AA877">PROPER(G877)</f>
        <v>Online</v>
      </c>
    </row>
    <row r="878">
      <c r="A878" s="110">
        <v>6.69353473E8</v>
      </c>
      <c r="B878" s="131">
        <v>41814.0</v>
      </c>
      <c r="C878" s="131">
        <v>41827.0</v>
      </c>
      <c r="D878" s="110" t="s">
        <v>10</v>
      </c>
      <c r="E878" s="110" t="s">
        <v>116</v>
      </c>
      <c r="F878" s="110">
        <v>4594.0</v>
      </c>
      <c r="G878" s="38" t="s">
        <v>43</v>
      </c>
      <c r="H878" s="110">
        <v>5422.0</v>
      </c>
      <c r="I878" s="132">
        <v>9.33</v>
      </c>
      <c r="J878" s="132">
        <v>6.92</v>
      </c>
      <c r="K878" s="39">
        <f t="shared" si="1"/>
        <v>50587.26</v>
      </c>
      <c r="L878" s="39">
        <f t="shared" si="2"/>
        <v>37520.24</v>
      </c>
      <c r="M878" s="39">
        <f t="shared" si="3"/>
        <v>13067.02</v>
      </c>
      <c r="N878" s="38" t="str">
        <f>VLOOKUP(F878,products!$A$2:$B$13,2,FALSE)</f>
        <v>Fruits</v>
      </c>
      <c r="O878" s="133">
        <f t="shared" si="4"/>
        <v>0.741693462</v>
      </c>
      <c r="P878" s="38" t="str">
        <f>VLOOKUP(E878,countries!A$2:E$250,3,false)</f>
        <v>Belarus</v>
      </c>
      <c r="Q878" s="38" t="str">
        <f>VLOOKUP($E878,countries!$A$2:$E$250,4,false)</f>
        <v>Europe</v>
      </c>
      <c r="R878" s="38" t="str">
        <f>VLOOKUP($E878,countries!$A$2:$E$250,5,false)</f>
        <v>Eastern Europe</v>
      </c>
      <c r="S878" s="38">
        <f t="shared" si="5"/>
        <v>13</v>
      </c>
      <c r="T878" s="38" t="s">
        <v>156</v>
      </c>
      <c r="U878" s="38">
        <v>2014.0</v>
      </c>
      <c r="V878" s="38">
        <v>6.0</v>
      </c>
      <c r="W878" s="38" t="s">
        <v>116</v>
      </c>
      <c r="X878" s="38" t="s">
        <v>187</v>
      </c>
      <c r="Y878" s="38" t="s">
        <v>146</v>
      </c>
      <c r="Z878" s="38" t="s">
        <v>155</v>
      </c>
      <c r="AA878" s="113" t="str">
        <f t="array" ref="AA878">PROPER(G878)</f>
        <v>Online</v>
      </c>
    </row>
    <row r="879">
      <c r="A879" s="110">
        <v>6.69550883E8</v>
      </c>
      <c r="B879" s="131">
        <v>42215.0</v>
      </c>
      <c r="C879" s="131">
        <v>42263.0</v>
      </c>
      <c r="D879" s="110" t="s">
        <v>95</v>
      </c>
      <c r="E879" s="110" t="s">
        <v>116</v>
      </c>
      <c r="F879" s="110">
        <v>8293.0</v>
      </c>
      <c r="G879" s="38" t="s">
        <v>42</v>
      </c>
      <c r="H879" s="110">
        <v>3840.0</v>
      </c>
      <c r="I879" s="132">
        <v>437.2</v>
      </c>
      <c r="J879" s="132">
        <v>263.33</v>
      </c>
      <c r="K879" s="39">
        <f t="shared" si="1"/>
        <v>1678848</v>
      </c>
      <c r="L879" s="39">
        <f t="shared" si="2"/>
        <v>1011187.2</v>
      </c>
      <c r="M879" s="39">
        <f t="shared" si="3"/>
        <v>667660.8</v>
      </c>
      <c r="N879" s="38" t="str">
        <f>VLOOKUP(F879,products!$A$2:$B$13,2,FALSE)</f>
        <v>Cosmetics</v>
      </c>
      <c r="O879" s="133">
        <f t="shared" si="4"/>
        <v>0.6023101555</v>
      </c>
      <c r="P879" s="38" t="str">
        <f>VLOOKUP(E879,countries!A$2:E$250,3,false)</f>
        <v>Belarus</v>
      </c>
      <c r="Q879" s="38" t="str">
        <f>VLOOKUP($E879,countries!$A$2:$E$250,4,false)</f>
        <v>Europe</v>
      </c>
      <c r="R879" s="38" t="str">
        <f>VLOOKUP($E879,countries!$A$2:$E$250,5,false)</f>
        <v>Eastern Europe</v>
      </c>
      <c r="S879" s="38">
        <f t="shared" si="5"/>
        <v>48</v>
      </c>
      <c r="T879" s="38" t="s">
        <v>178</v>
      </c>
      <c r="U879" s="38">
        <v>2015.0</v>
      </c>
      <c r="V879" s="38">
        <v>7.0</v>
      </c>
      <c r="W879" s="38" t="s">
        <v>116</v>
      </c>
      <c r="X879" s="38" t="s">
        <v>187</v>
      </c>
      <c r="Y879" s="38" t="s">
        <v>146</v>
      </c>
      <c r="Z879" s="38" t="s">
        <v>155</v>
      </c>
      <c r="AA879" s="113" t="str">
        <f t="array" ref="AA879">PROPER(G879)</f>
        <v>Offline</v>
      </c>
    </row>
    <row r="880">
      <c r="A880" s="110">
        <v>6.70274865E8</v>
      </c>
      <c r="B880" s="131">
        <v>41186.0</v>
      </c>
      <c r="C880" s="131">
        <v>41226.0</v>
      </c>
      <c r="D880" s="110" t="s">
        <v>10</v>
      </c>
      <c r="E880" s="110" t="s">
        <v>122</v>
      </c>
      <c r="F880" s="110">
        <v>5988.0</v>
      </c>
      <c r="G880" s="38" t="s">
        <v>43</v>
      </c>
      <c r="H880" s="110">
        <v>8082.0</v>
      </c>
      <c r="I880" s="132">
        <v>154.06</v>
      </c>
      <c r="J880" s="132">
        <v>90.93</v>
      </c>
      <c r="K880" s="39">
        <f t="shared" si="1"/>
        <v>1245112.92</v>
      </c>
      <c r="L880" s="39">
        <f t="shared" si="2"/>
        <v>734896.26</v>
      </c>
      <c r="M880" s="39">
        <f t="shared" si="3"/>
        <v>510216.66</v>
      </c>
      <c r="N880" s="38" t="str">
        <f>VLOOKUP(F880,products!$A$2:$B$13,2,FALSE)</f>
        <v>Vegetables</v>
      </c>
      <c r="O880" s="133">
        <f t="shared" si="4"/>
        <v>0.5902245878</v>
      </c>
      <c r="P880" s="38" t="str">
        <f>VLOOKUP(E880,countries!A$2:E$250,3,false)</f>
        <v>Switzerland</v>
      </c>
      <c r="Q880" s="38" t="str">
        <f>VLOOKUP($E880,countries!$A$2:$E$250,4,false)</f>
        <v>Europe</v>
      </c>
      <c r="R880" s="38" t="str">
        <f>VLOOKUP($E880,countries!$A$2:$E$250,5,false)</f>
        <v>Western Europe</v>
      </c>
      <c r="S880" s="38">
        <f t="shared" si="5"/>
        <v>40</v>
      </c>
      <c r="T880" s="38" t="s">
        <v>159</v>
      </c>
      <c r="U880" s="38">
        <v>2012.0</v>
      </c>
      <c r="V880" s="38">
        <v>10.0</v>
      </c>
      <c r="W880" s="38" t="s">
        <v>122</v>
      </c>
      <c r="X880" s="38" t="s">
        <v>193</v>
      </c>
      <c r="Y880" s="38" t="s">
        <v>146</v>
      </c>
      <c r="Z880" s="38" t="s">
        <v>158</v>
      </c>
      <c r="AA880" s="113" t="str">
        <f t="array" ref="AA880">PROPER(G880)</f>
        <v>Online</v>
      </c>
    </row>
    <row r="881">
      <c r="A881" s="110">
        <v>6.71616399E8</v>
      </c>
      <c r="B881" s="131">
        <v>41219.0</v>
      </c>
      <c r="C881" s="131">
        <v>41253.0</v>
      </c>
      <c r="D881" s="110" t="s">
        <v>10</v>
      </c>
      <c r="E881" s="110" t="s">
        <v>136</v>
      </c>
      <c r="F881" s="110">
        <v>5988.0</v>
      </c>
      <c r="G881" s="38" t="s">
        <v>42</v>
      </c>
      <c r="H881" s="110">
        <v>5072.0</v>
      </c>
      <c r="I881" s="132">
        <v>154.06</v>
      </c>
      <c r="J881" s="132">
        <v>90.93</v>
      </c>
      <c r="K881" s="39">
        <f t="shared" si="1"/>
        <v>781392.32</v>
      </c>
      <c r="L881" s="39">
        <f t="shared" si="2"/>
        <v>461196.96</v>
      </c>
      <c r="M881" s="39">
        <f t="shared" si="3"/>
        <v>320195.36</v>
      </c>
      <c r="N881" s="38" t="str">
        <f>VLOOKUP(F881,products!$A$2:$B$13,2,FALSE)</f>
        <v>Vegetables</v>
      </c>
      <c r="O881" s="133">
        <f t="shared" si="4"/>
        <v>0.5902245878</v>
      </c>
      <c r="P881" s="38" t="str">
        <f>VLOOKUP(E881,countries!A$2:E$250,3,false)</f>
        <v>Monaco</v>
      </c>
      <c r="Q881" s="38" t="str">
        <f>VLOOKUP($E881,countries!$A$2:$E$250,4,false)</f>
        <v>Europe</v>
      </c>
      <c r="R881" s="38" t="str">
        <f>VLOOKUP($E881,countries!$A$2:$E$250,5,false)</f>
        <v>Western Europe</v>
      </c>
      <c r="S881" s="38">
        <f t="shared" si="5"/>
        <v>34</v>
      </c>
      <c r="T881" s="38" t="s">
        <v>159</v>
      </c>
      <c r="U881" s="38">
        <v>2012.0</v>
      </c>
      <c r="V881" s="38">
        <v>11.0</v>
      </c>
      <c r="W881" s="38" t="s">
        <v>136</v>
      </c>
      <c r="X881" s="38" t="s">
        <v>206</v>
      </c>
      <c r="Y881" s="38" t="s">
        <v>146</v>
      </c>
      <c r="Z881" s="38" t="s">
        <v>158</v>
      </c>
      <c r="AA881" s="113" t="str">
        <f t="array" ref="AA881">PROPER(G881)</f>
        <v>Offline</v>
      </c>
    </row>
    <row r="882">
      <c r="A882" s="110">
        <v>6.72330081E8</v>
      </c>
      <c r="B882" s="131">
        <v>40482.0</v>
      </c>
      <c r="C882" s="131">
        <v>40511.0</v>
      </c>
      <c r="D882" s="110" t="s">
        <v>93</v>
      </c>
      <c r="E882" s="110" t="s">
        <v>125</v>
      </c>
      <c r="F882" s="110">
        <v>8681.0</v>
      </c>
      <c r="G882" s="38" t="s">
        <v>43</v>
      </c>
      <c r="H882" s="110">
        <v>6266.0</v>
      </c>
      <c r="I882" s="132">
        <v>651.21</v>
      </c>
      <c r="J882" s="132">
        <v>524.96</v>
      </c>
      <c r="K882" s="39">
        <f t="shared" si="1"/>
        <v>4080481.86</v>
      </c>
      <c r="L882" s="39">
        <f t="shared" si="2"/>
        <v>3289399.36</v>
      </c>
      <c r="M882" s="39">
        <f t="shared" si="3"/>
        <v>791082.5</v>
      </c>
      <c r="N882" s="38" t="str">
        <f>VLOOKUP(F882,products!$A$2:$B$13,2,FALSE)</f>
        <v>Office Supplies</v>
      </c>
      <c r="O882" s="133">
        <f t="shared" si="4"/>
        <v>0.806130127</v>
      </c>
      <c r="P882" s="38" t="str">
        <f>VLOOKUP(E882,countries!A$2:E$250,3,false)</f>
        <v>Bulgaria</v>
      </c>
      <c r="Q882" s="38" t="str">
        <f>VLOOKUP($E882,countries!$A$2:$E$250,4,false)</f>
        <v>Europe</v>
      </c>
      <c r="R882" s="38" t="str">
        <f>VLOOKUP($E882,countries!$A$2:$E$250,5,false)</f>
        <v>Eastern Europe</v>
      </c>
      <c r="S882" s="38">
        <f t="shared" si="5"/>
        <v>29</v>
      </c>
      <c r="T882" s="38" t="s">
        <v>153</v>
      </c>
      <c r="U882" s="38">
        <v>2010.0</v>
      </c>
      <c r="V882" s="38">
        <v>10.0</v>
      </c>
      <c r="W882" s="38" t="s">
        <v>125</v>
      </c>
      <c r="X882" s="38" t="s">
        <v>196</v>
      </c>
      <c r="Y882" s="38" t="s">
        <v>146</v>
      </c>
      <c r="Z882" s="38" t="s">
        <v>155</v>
      </c>
      <c r="AA882" s="113" t="str">
        <f t="array" ref="AA882">PROPER(G882)</f>
        <v>Online</v>
      </c>
    </row>
    <row r="883">
      <c r="A883" s="110">
        <v>6.72856652E8</v>
      </c>
      <c r="B883" s="131">
        <v>41817.0</v>
      </c>
      <c r="C883" s="131">
        <v>41854.0</v>
      </c>
      <c r="D883" s="110" t="s">
        <v>10</v>
      </c>
      <c r="E883" s="110" t="e">
        <v>#N/A</v>
      </c>
      <c r="F883" s="110">
        <v>7940.0</v>
      </c>
      <c r="G883" s="38" t="s">
        <v>43</v>
      </c>
      <c r="H883" s="110">
        <v>2091.0</v>
      </c>
      <c r="I883" s="132">
        <v>668.27</v>
      </c>
      <c r="J883" s="132">
        <v>502.54</v>
      </c>
      <c r="K883" s="39">
        <f t="shared" si="1"/>
        <v>1397352.57</v>
      </c>
      <c r="L883" s="39">
        <f t="shared" si="2"/>
        <v>1050811.14</v>
      </c>
      <c r="M883" s="39">
        <f t="shared" si="3"/>
        <v>346541.43</v>
      </c>
      <c r="N883" s="38" t="str">
        <f>VLOOKUP(F883,products!$A$2:$B$13,2,FALSE)</f>
        <v>Household</v>
      </c>
      <c r="O883" s="133">
        <f t="shared" si="4"/>
        <v>0.7520014365</v>
      </c>
      <c r="P883" s="38" t="str">
        <f>VLOOKUP(E883,countries!A$2:E$250,3,false)</f>
        <v>#N/A</v>
      </c>
      <c r="Q883" s="38" t="str">
        <f>VLOOKUP($E883,countries!$A$2:$E$250,4,false)</f>
        <v>#N/A</v>
      </c>
      <c r="R883" s="38" t="str">
        <f>VLOOKUP($E883,countries!$A$2:$E$250,5,false)</f>
        <v>#N/A</v>
      </c>
      <c r="S883" s="38">
        <f t="shared" si="5"/>
        <v>37</v>
      </c>
      <c r="T883" s="38" t="s">
        <v>148</v>
      </c>
      <c r="U883" s="38">
        <v>2014.0</v>
      </c>
      <c r="V883" s="38">
        <v>6.0</v>
      </c>
      <c r="W883" s="38" t="s">
        <v>92</v>
      </c>
      <c r="X883" s="38" t="s">
        <v>149</v>
      </c>
      <c r="Y883" s="38" t="s">
        <v>149</v>
      </c>
      <c r="Z883" s="38" t="s">
        <v>149</v>
      </c>
      <c r="AA883" s="113" t="str">
        <f t="array" ref="AA883">PROPER(G883)</f>
        <v>Online</v>
      </c>
    </row>
    <row r="884">
      <c r="A884" s="110">
        <v>6.74060428E8</v>
      </c>
      <c r="B884" s="131">
        <v>41258.0</v>
      </c>
      <c r="C884" s="131">
        <v>41260.0</v>
      </c>
      <c r="D884" s="110" t="s">
        <v>93</v>
      </c>
      <c r="E884" s="110" t="s">
        <v>116</v>
      </c>
      <c r="F884" s="110">
        <v>2103.0</v>
      </c>
      <c r="G884" s="38" t="s">
        <v>43</v>
      </c>
      <c r="H884" s="110">
        <v>8315.0</v>
      </c>
      <c r="I884" s="132">
        <v>205.7</v>
      </c>
      <c r="J884" s="132">
        <v>117.11</v>
      </c>
      <c r="K884" s="39">
        <f t="shared" si="1"/>
        <v>1710395.5</v>
      </c>
      <c r="L884" s="39">
        <f t="shared" si="2"/>
        <v>973769.65</v>
      </c>
      <c r="M884" s="39">
        <f t="shared" si="3"/>
        <v>736625.85</v>
      </c>
      <c r="N884" s="38" t="str">
        <f>VLOOKUP(F884,products!$A$2:$B$13,2,FALSE)</f>
        <v>Cereal</v>
      </c>
      <c r="O884" s="133">
        <f t="shared" si="4"/>
        <v>0.5693242586</v>
      </c>
      <c r="P884" s="38" t="str">
        <f>VLOOKUP(E884,countries!A$2:E$250,3,false)</f>
        <v>Belarus</v>
      </c>
      <c r="Q884" s="38" t="str">
        <f>VLOOKUP($E884,countries!$A$2:$E$250,4,false)</f>
        <v>Europe</v>
      </c>
      <c r="R884" s="38" t="str">
        <f>VLOOKUP($E884,countries!$A$2:$E$250,5,false)</f>
        <v>Eastern Europe</v>
      </c>
      <c r="S884" s="38">
        <f t="shared" si="5"/>
        <v>2</v>
      </c>
      <c r="T884" s="38" t="s">
        <v>144</v>
      </c>
      <c r="U884" s="38">
        <v>2012.0</v>
      </c>
      <c r="V884" s="38">
        <v>12.0</v>
      </c>
      <c r="W884" s="38" t="s">
        <v>116</v>
      </c>
      <c r="X884" s="38" t="s">
        <v>187</v>
      </c>
      <c r="Y884" s="38" t="s">
        <v>146</v>
      </c>
      <c r="Z884" s="38" t="s">
        <v>155</v>
      </c>
      <c r="AA884" s="113" t="str">
        <f t="array" ref="AA884">PROPER(G884)</f>
        <v>Online</v>
      </c>
    </row>
    <row r="885">
      <c r="A885" s="110">
        <v>6.77851569E8</v>
      </c>
      <c r="B885" s="131">
        <v>40596.0</v>
      </c>
      <c r="C885" s="131">
        <v>40604.0</v>
      </c>
      <c r="D885" s="110" t="s">
        <v>89</v>
      </c>
      <c r="E885" s="110" t="s">
        <v>126</v>
      </c>
      <c r="F885" s="110">
        <v>7940.0</v>
      </c>
      <c r="G885" s="38" t="s">
        <v>42</v>
      </c>
      <c r="H885" s="110">
        <v>198.0</v>
      </c>
      <c r="I885" s="132">
        <v>668.27</v>
      </c>
      <c r="J885" s="132">
        <v>502.54</v>
      </c>
      <c r="K885" s="39">
        <f t="shared" si="1"/>
        <v>132317.46</v>
      </c>
      <c r="L885" s="39">
        <f t="shared" si="2"/>
        <v>99502.92</v>
      </c>
      <c r="M885" s="39">
        <f t="shared" si="3"/>
        <v>32814.54</v>
      </c>
      <c r="N885" s="38" t="str">
        <f>VLOOKUP(F885,products!$A$2:$B$13,2,FALSE)</f>
        <v>Household</v>
      </c>
      <c r="O885" s="133">
        <f t="shared" si="4"/>
        <v>0.7520014365</v>
      </c>
      <c r="P885" s="38" t="str">
        <f>VLOOKUP(E885,countries!A$2:E$250,3,false)</f>
        <v>Italy</v>
      </c>
      <c r="Q885" s="38" t="str">
        <f>VLOOKUP($E885,countries!$A$2:$E$250,4,false)</f>
        <v>Europe</v>
      </c>
      <c r="R885" s="38" t="str">
        <f>VLOOKUP($E885,countries!$A$2:$E$250,5,false)</f>
        <v>Southern Europe</v>
      </c>
      <c r="S885" s="38">
        <f t="shared" si="5"/>
        <v>8</v>
      </c>
      <c r="T885" s="38" t="s">
        <v>148</v>
      </c>
      <c r="U885" s="38">
        <v>2011.0</v>
      </c>
      <c r="V885" s="38">
        <v>2.0</v>
      </c>
      <c r="W885" s="38" t="s">
        <v>126</v>
      </c>
      <c r="X885" s="38" t="s">
        <v>197</v>
      </c>
      <c r="Y885" s="38" t="s">
        <v>146</v>
      </c>
      <c r="Z885" s="38" t="s">
        <v>147</v>
      </c>
      <c r="AA885" s="113" t="str">
        <f t="array" ref="AA885">PROPER(G885)</f>
        <v>Offline</v>
      </c>
    </row>
    <row r="886">
      <c r="A886" s="110">
        <v>6.79039466E8</v>
      </c>
      <c r="B886" s="131">
        <v>41063.0</v>
      </c>
      <c r="C886" s="131">
        <v>41095.0</v>
      </c>
      <c r="D886" s="110" t="s">
        <v>95</v>
      </c>
      <c r="E886" s="110" t="s">
        <v>132</v>
      </c>
      <c r="F886" s="110">
        <v>8293.0</v>
      </c>
      <c r="G886" s="38" t="s">
        <v>42</v>
      </c>
      <c r="H886" s="110">
        <v>1723.0</v>
      </c>
      <c r="I886" s="132">
        <v>437.2</v>
      </c>
      <c r="J886" s="132">
        <v>263.33</v>
      </c>
      <c r="K886" s="39">
        <f t="shared" si="1"/>
        <v>753295.6</v>
      </c>
      <c r="L886" s="39">
        <f t="shared" si="2"/>
        <v>453717.59</v>
      </c>
      <c r="M886" s="39">
        <f t="shared" si="3"/>
        <v>299578.01</v>
      </c>
      <c r="N886" s="38" t="str">
        <f>VLOOKUP(F886,products!$A$2:$B$13,2,FALSE)</f>
        <v>Cosmetics</v>
      </c>
      <c r="O886" s="133">
        <f t="shared" si="4"/>
        <v>0.6023101555</v>
      </c>
      <c r="P886" s="38" t="str">
        <f>VLOOKUP(E886,countries!A$2:E$250,3,false)</f>
        <v>Sweden</v>
      </c>
      <c r="Q886" s="38" t="str">
        <f>VLOOKUP($E886,countries!$A$2:$E$250,4,false)</f>
        <v>Europe</v>
      </c>
      <c r="R886" s="38" t="str">
        <f>VLOOKUP($E886,countries!$A$2:$E$250,5,false)</f>
        <v>Northern Europe</v>
      </c>
      <c r="S886" s="38">
        <f t="shared" si="5"/>
        <v>32</v>
      </c>
      <c r="T886" s="38" t="s">
        <v>178</v>
      </c>
      <c r="U886" s="38">
        <v>2012.0</v>
      </c>
      <c r="V886" s="38">
        <v>6.0</v>
      </c>
      <c r="W886" s="38" t="s">
        <v>132</v>
      </c>
      <c r="X886" s="38" t="s">
        <v>203</v>
      </c>
      <c r="Y886" s="38" t="s">
        <v>146</v>
      </c>
      <c r="Z886" s="38" t="s">
        <v>170</v>
      </c>
      <c r="AA886" s="113" t="str">
        <f t="array" ref="AA886">PROPER(G886)</f>
        <v>Offline</v>
      </c>
    </row>
    <row r="887">
      <c r="A887" s="110">
        <v>6.7910856E8</v>
      </c>
      <c r="B887" s="131">
        <v>41756.0</v>
      </c>
      <c r="C887" s="131">
        <v>41801.0</v>
      </c>
      <c r="D887" s="110" t="s">
        <v>89</v>
      </c>
      <c r="E887" s="110" t="s">
        <v>129</v>
      </c>
      <c r="F887" s="110">
        <v>7940.0</v>
      </c>
      <c r="G887" s="38" t="s">
        <v>43</v>
      </c>
      <c r="H887" s="110">
        <v>2169.0</v>
      </c>
      <c r="I887" s="132">
        <v>668.27</v>
      </c>
      <c r="J887" s="132">
        <v>502.54</v>
      </c>
      <c r="K887" s="39">
        <f t="shared" si="1"/>
        <v>1449477.63</v>
      </c>
      <c r="L887" s="39">
        <f t="shared" si="2"/>
        <v>1090009.26</v>
      </c>
      <c r="M887" s="39">
        <f t="shared" si="3"/>
        <v>359468.37</v>
      </c>
      <c r="N887" s="38" t="str">
        <f>VLOOKUP(F887,products!$A$2:$B$13,2,FALSE)</f>
        <v>Household</v>
      </c>
      <c r="O887" s="133">
        <f t="shared" si="4"/>
        <v>0.7520014365</v>
      </c>
      <c r="P887" s="38" t="str">
        <f>VLOOKUP(E887,countries!A$2:E$250,3,false)</f>
        <v>Liechtenstein</v>
      </c>
      <c r="Q887" s="38" t="str">
        <f>VLOOKUP($E887,countries!$A$2:$E$250,4,false)</f>
        <v>Europe</v>
      </c>
      <c r="R887" s="38" t="str">
        <f>VLOOKUP($E887,countries!$A$2:$E$250,5,false)</f>
        <v>Western Europe</v>
      </c>
      <c r="S887" s="38">
        <f t="shared" si="5"/>
        <v>45</v>
      </c>
      <c r="T887" s="38" t="s">
        <v>148</v>
      </c>
      <c r="U887" s="38">
        <v>2014.0</v>
      </c>
      <c r="V887" s="38">
        <v>4.0</v>
      </c>
      <c r="W887" s="38" t="s">
        <v>129</v>
      </c>
      <c r="X887" s="38" t="s">
        <v>200</v>
      </c>
      <c r="Y887" s="38" t="s">
        <v>146</v>
      </c>
      <c r="Z887" s="38" t="s">
        <v>158</v>
      </c>
      <c r="AA887" s="113" t="str">
        <f t="array" ref="AA887">PROPER(G887)</f>
        <v>Online</v>
      </c>
    </row>
    <row r="888">
      <c r="A888" s="110">
        <v>6.8032521E8</v>
      </c>
      <c r="B888" s="131">
        <v>42907.0</v>
      </c>
      <c r="C888" s="131">
        <v>42939.0</v>
      </c>
      <c r="D888" s="110" t="s">
        <v>10</v>
      </c>
      <c r="E888" s="110" t="s">
        <v>130</v>
      </c>
      <c r="F888" s="110">
        <v>5988.0</v>
      </c>
      <c r="G888" s="38" t="s">
        <v>43</v>
      </c>
      <c r="H888" s="110">
        <v>2203.0</v>
      </c>
      <c r="I888" s="132">
        <v>154.06</v>
      </c>
      <c r="J888" s="132">
        <v>90.93</v>
      </c>
      <c r="K888" s="39">
        <f t="shared" si="1"/>
        <v>339394.18</v>
      </c>
      <c r="L888" s="39">
        <f t="shared" si="2"/>
        <v>200318.79</v>
      </c>
      <c r="M888" s="39">
        <f t="shared" si="3"/>
        <v>139075.39</v>
      </c>
      <c r="N888" s="38" t="str">
        <f>VLOOKUP(F888,products!$A$2:$B$13,2,FALSE)</f>
        <v>Vegetables</v>
      </c>
      <c r="O888" s="133">
        <f t="shared" si="4"/>
        <v>0.5902245878</v>
      </c>
      <c r="P888" s="38" t="str">
        <f>VLOOKUP(E888,countries!A$2:E$250,3,false)</f>
        <v>Finland</v>
      </c>
      <c r="Q888" s="38" t="str">
        <f>VLOOKUP($E888,countries!$A$2:$E$250,4,false)</f>
        <v>Europe</v>
      </c>
      <c r="R888" s="38" t="str">
        <f>VLOOKUP($E888,countries!$A$2:$E$250,5,false)</f>
        <v>Northern Europe</v>
      </c>
      <c r="S888" s="38">
        <f t="shared" si="5"/>
        <v>32</v>
      </c>
      <c r="T888" s="38" t="s">
        <v>159</v>
      </c>
      <c r="U888" s="38">
        <v>2017.0</v>
      </c>
      <c r="V888" s="38">
        <v>6.0</v>
      </c>
      <c r="W888" s="38" t="s">
        <v>130</v>
      </c>
      <c r="X888" s="38" t="s">
        <v>201</v>
      </c>
      <c r="Y888" s="38" t="s">
        <v>146</v>
      </c>
      <c r="Z888" s="38" t="s">
        <v>170</v>
      </c>
      <c r="AA888" s="113" t="str">
        <f t="array" ref="AA888">PROPER(G888)</f>
        <v>Online</v>
      </c>
    </row>
    <row r="889">
      <c r="A889" s="110">
        <v>6.81713092E8</v>
      </c>
      <c r="B889" s="131">
        <v>40245.0</v>
      </c>
      <c r="C889" s="131">
        <v>40259.0</v>
      </c>
      <c r="D889" s="110" t="s">
        <v>95</v>
      </c>
      <c r="E889" s="110" t="s">
        <v>116</v>
      </c>
      <c r="F889" s="110">
        <v>1270.0</v>
      </c>
      <c r="G889" s="38" t="s">
        <v>43</v>
      </c>
      <c r="H889" s="110">
        <v>2908.0</v>
      </c>
      <c r="I889" s="132">
        <v>47.45</v>
      </c>
      <c r="J889" s="132">
        <v>31.79</v>
      </c>
      <c r="K889" s="39">
        <f t="shared" si="1"/>
        <v>137984.6</v>
      </c>
      <c r="L889" s="39">
        <f t="shared" si="2"/>
        <v>92445.32</v>
      </c>
      <c r="M889" s="39">
        <f t="shared" si="3"/>
        <v>45539.28</v>
      </c>
      <c r="N889" s="38" t="str">
        <f>VLOOKUP(F889,products!$A$2:$B$13,2,FALSE)</f>
        <v>Beverages</v>
      </c>
      <c r="O889" s="133">
        <f t="shared" si="4"/>
        <v>0.6699683878</v>
      </c>
      <c r="P889" s="38" t="str">
        <f>VLOOKUP(E889,countries!A$2:E$250,3,false)</f>
        <v>Belarus</v>
      </c>
      <c r="Q889" s="38" t="str">
        <f>VLOOKUP($E889,countries!$A$2:$E$250,4,false)</f>
        <v>Europe</v>
      </c>
      <c r="R889" s="38" t="str">
        <f>VLOOKUP($E889,countries!$A$2:$E$250,5,false)</f>
        <v>Eastern Europe</v>
      </c>
      <c r="S889" s="38">
        <f t="shared" si="5"/>
        <v>14</v>
      </c>
      <c r="T889" s="38" t="s">
        <v>152</v>
      </c>
      <c r="U889" s="38">
        <v>2010.0</v>
      </c>
      <c r="V889" s="38">
        <v>3.0</v>
      </c>
      <c r="W889" s="38" t="s">
        <v>116</v>
      </c>
      <c r="X889" s="38" t="s">
        <v>187</v>
      </c>
      <c r="Y889" s="38" t="s">
        <v>146</v>
      </c>
      <c r="Z889" s="38" t="s">
        <v>155</v>
      </c>
      <c r="AA889" s="113" t="str">
        <f t="array" ref="AA889">PROPER(G889)</f>
        <v>Online</v>
      </c>
    </row>
    <row r="890">
      <c r="A890" s="110">
        <v>6.82066285E8</v>
      </c>
      <c r="B890" s="131">
        <v>41420.0</v>
      </c>
      <c r="C890" s="131">
        <v>41468.0</v>
      </c>
      <c r="D890" s="110" t="s">
        <v>95</v>
      </c>
      <c r="E890" s="110" t="s">
        <v>109</v>
      </c>
      <c r="F890" s="110">
        <v>5988.0</v>
      </c>
      <c r="G890" s="38" t="s">
        <v>43</v>
      </c>
      <c r="H890" s="110">
        <v>7426.0</v>
      </c>
      <c r="I890" s="132">
        <v>154.06</v>
      </c>
      <c r="J890" s="132">
        <v>90.93</v>
      </c>
      <c r="K890" s="39">
        <f t="shared" si="1"/>
        <v>1144049.56</v>
      </c>
      <c r="L890" s="39">
        <f t="shared" si="2"/>
        <v>675246.18</v>
      </c>
      <c r="M890" s="39">
        <f t="shared" si="3"/>
        <v>468803.38</v>
      </c>
      <c r="N890" s="38" t="str">
        <f>VLOOKUP(F890,products!$A$2:$B$13,2,FALSE)</f>
        <v>Vegetables</v>
      </c>
      <c r="O890" s="133">
        <f t="shared" si="4"/>
        <v>0.5902245878</v>
      </c>
      <c r="P890" s="38" t="str">
        <f>VLOOKUP(E890,countries!A$2:E$250,3,false)</f>
        <v>Belgium</v>
      </c>
      <c r="Q890" s="38" t="str">
        <f>VLOOKUP($E890,countries!$A$2:$E$250,4,false)</f>
        <v>Europe</v>
      </c>
      <c r="R890" s="38" t="str">
        <f>VLOOKUP($E890,countries!$A$2:$E$250,5,false)</f>
        <v>Western Europe</v>
      </c>
      <c r="S890" s="38">
        <f t="shared" si="5"/>
        <v>48</v>
      </c>
      <c r="T890" s="38" t="s">
        <v>159</v>
      </c>
      <c r="U890" s="38">
        <v>2013.0</v>
      </c>
      <c r="V890" s="38">
        <v>5.0</v>
      </c>
      <c r="W890" s="38" t="s">
        <v>109</v>
      </c>
      <c r="X890" s="38" t="s">
        <v>176</v>
      </c>
      <c r="Y890" s="38" t="s">
        <v>146</v>
      </c>
      <c r="Z890" s="38" t="s">
        <v>158</v>
      </c>
      <c r="AA890" s="113" t="str">
        <f t="array" ref="AA890">PROPER(G890)</f>
        <v>Online</v>
      </c>
    </row>
    <row r="891">
      <c r="A891" s="110">
        <v>6.82162415E8</v>
      </c>
      <c r="B891" s="131">
        <v>42385.0</v>
      </c>
      <c r="C891" s="131">
        <v>42426.0</v>
      </c>
      <c r="D891" s="110" t="s">
        <v>10</v>
      </c>
      <c r="E891" s="110" t="s">
        <v>105</v>
      </c>
      <c r="F891" s="110">
        <v>8875.0</v>
      </c>
      <c r="G891" s="38" t="s">
        <v>42</v>
      </c>
      <c r="H891" s="110">
        <v>5873.0</v>
      </c>
      <c r="I891" s="132">
        <v>421.89</v>
      </c>
      <c r="J891" s="132">
        <v>364.69</v>
      </c>
      <c r="K891" s="39">
        <f t="shared" si="1"/>
        <v>2477759.97</v>
      </c>
      <c r="L891" s="39">
        <f t="shared" si="2"/>
        <v>2141824.37</v>
      </c>
      <c r="M891" s="39">
        <f t="shared" si="3"/>
        <v>335935.6</v>
      </c>
      <c r="N891" s="38" t="str">
        <f>VLOOKUP(F891,products!$A$2:$B$13,2,FALSE)</f>
        <v>Meat</v>
      </c>
      <c r="O891" s="133">
        <f t="shared" si="4"/>
        <v>0.8644196354</v>
      </c>
      <c r="P891" s="38" t="str">
        <f>VLOOKUP(E891,countries!A$2:E$250,3,false)</f>
        <v>Romania</v>
      </c>
      <c r="Q891" s="38" t="str">
        <f>VLOOKUP($E891,countries!$A$2:$E$250,4,false)</f>
        <v>Europe</v>
      </c>
      <c r="R891" s="38" t="str">
        <f>VLOOKUP($E891,countries!$A$2:$E$250,5,false)</f>
        <v>Eastern Europe</v>
      </c>
      <c r="S891" s="38">
        <f t="shared" si="5"/>
        <v>41</v>
      </c>
      <c r="T891" s="38" t="s">
        <v>167</v>
      </c>
      <c r="U891" s="38">
        <v>2016.0</v>
      </c>
      <c r="V891" s="38">
        <v>1.0</v>
      </c>
      <c r="W891" s="38" t="s">
        <v>105</v>
      </c>
      <c r="X891" s="38" t="s">
        <v>172</v>
      </c>
      <c r="Y891" s="38" t="s">
        <v>146</v>
      </c>
      <c r="Z891" s="38" t="s">
        <v>155</v>
      </c>
      <c r="AA891" s="113" t="str">
        <f t="array" ref="AA891">PROPER(G891)</f>
        <v>Offline</v>
      </c>
    </row>
    <row r="892">
      <c r="A892" s="110">
        <v>6.82314765E8</v>
      </c>
      <c r="B892" s="131">
        <v>42334.0</v>
      </c>
      <c r="C892" s="131">
        <v>42358.0</v>
      </c>
      <c r="D892" s="110" t="s">
        <v>93</v>
      </c>
      <c r="E892" s="110" t="s">
        <v>100</v>
      </c>
      <c r="F892" s="110">
        <v>1270.0</v>
      </c>
      <c r="G892" s="38" t="s">
        <v>42</v>
      </c>
      <c r="H892" s="110">
        <v>956.0</v>
      </c>
      <c r="I892" s="132">
        <v>47.45</v>
      </c>
      <c r="J892" s="132">
        <v>31.79</v>
      </c>
      <c r="K892" s="39">
        <f t="shared" si="1"/>
        <v>45362.2</v>
      </c>
      <c r="L892" s="39">
        <f t="shared" si="2"/>
        <v>30391.24</v>
      </c>
      <c r="M892" s="39">
        <f t="shared" si="3"/>
        <v>14970.96</v>
      </c>
      <c r="N892" s="38" t="str">
        <f>VLOOKUP(F892,products!$A$2:$B$13,2,FALSE)</f>
        <v>Beverages</v>
      </c>
      <c r="O892" s="133">
        <f t="shared" si="4"/>
        <v>0.6699683878</v>
      </c>
      <c r="P892" s="38" t="str">
        <f>VLOOKUP(E892,countries!A$2:E$250,3,false)</f>
        <v>Germany</v>
      </c>
      <c r="Q892" s="38" t="str">
        <f>VLOOKUP($E892,countries!$A$2:$E$250,4,false)</f>
        <v>Europe</v>
      </c>
      <c r="R892" s="38" t="str">
        <f>VLOOKUP($E892,countries!$A$2:$E$250,5,false)</f>
        <v>Western Europe</v>
      </c>
      <c r="S892" s="38">
        <f t="shared" si="5"/>
        <v>24</v>
      </c>
      <c r="T892" s="38" t="s">
        <v>152</v>
      </c>
      <c r="U892" s="38">
        <v>2015.0</v>
      </c>
      <c r="V892" s="38">
        <v>11.0</v>
      </c>
      <c r="W892" s="38" t="s">
        <v>100</v>
      </c>
      <c r="X892" s="38" t="s">
        <v>163</v>
      </c>
      <c r="Y892" s="38" t="s">
        <v>146</v>
      </c>
      <c r="Z892" s="38" t="s">
        <v>158</v>
      </c>
      <c r="AA892" s="113" t="str">
        <f t="array" ref="AA892">PROPER(G892)</f>
        <v>Offline</v>
      </c>
    </row>
    <row r="893">
      <c r="A893" s="110">
        <v>6.84239947E8</v>
      </c>
      <c r="B893" s="131">
        <v>41510.0</v>
      </c>
      <c r="C893" s="131">
        <v>41517.0</v>
      </c>
      <c r="D893" s="110" t="s">
        <v>93</v>
      </c>
      <c r="E893" s="110" t="s">
        <v>132</v>
      </c>
      <c r="F893" s="110">
        <v>8293.0</v>
      </c>
      <c r="G893" s="38" t="s">
        <v>43</v>
      </c>
      <c r="H893" s="110">
        <v>661.0</v>
      </c>
      <c r="I893" s="132">
        <v>437.2</v>
      </c>
      <c r="J893" s="132">
        <v>263.33</v>
      </c>
      <c r="K893" s="39">
        <f t="shared" si="1"/>
        <v>288989.2</v>
      </c>
      <c r="L893" s="39">
        <f t="shared" si="2"/>
        <v>174061.13</v>
      </c>
      <c r="M893" s="39">
        <f t="shared" si="3"/>
        <v>114928.07</v>
      </c>
      <c r="N893" s="38" t="str">
        <f>VLOOKUP(F893,products!$A$2:$B$13,2,FALSE)</f>
        <v>Cosmetics</v>
      </c>
      <c r="O893" s="133">
        <f t="shared" si="4"/>
        <v>0.6023101555</v>
      </c>
      <c r="P893" s="38" t="str">
        <f>VLOOKUP(E893,countries!A$2:E$250,3,false)</f>
        <v>Sweden</v>
      </c>
      <c r="Q893" s="38" t="str">
        <f>VLOOKUP($E893,countries!$A$2:$E$250,4,false)</f>
        <v>Europe</v>
      </c>
      <c r="R893" s="38" t="str">
        <f>VLOOKUP($E893,countries!$A$2:$E$250,5,false)</f>
        <v>Northern Europe</v>
      </c>
      <c r="S893" s="38">
        <f t="shared" si="5"/>
        <v>7</v>
      </c>
      <c r="T893" s="38" t="s">
        <v>178</v>
      </c>
      <c r="U893" s="38">
        <v>2013.0</v>
      </c>
      <c r="V893" s="38">
        <v>8.0</v>
      </c>
      <c r="W893" s="38" t="s">
        <v>132</v>
      </c>
      <c r="X893" s="38" t="s">
        <v>203</v>
      </c>
      <c r="Y893" s="38" t="s">
        <v>146</v>
      </c>
      <c r="Z893" s="38" t="s">
        <v>170</v>
      </c>
      <c r="AA893" s="113" t="str">
        <f t="array" ref="AA893">PROPER(G893)</f>
        <v>Online</v>
      </c>
    </row>
    <row r="894">
      <c r="A894" s="110">
        <v>6.84853637E8</v>
      </c>
      <c r="B894" s="131">
        <v>40954.0</v>
      </c>
      <c r="C894" s="131">
        <v>41002.0</v>
      </c>
      <c r="D894" s="110" t="s">
        <v>95</v>
      </c>
      <c r="E894" s="110" t="s">
        <v>115</v>
      </c>
      <c r="F894" s="110">
        <v>2455.0</v>
      </c>
      <c r="G894" s="38" t="s">
        <v>42</v>
      </c>
      <c r="H894" s="110">
        <v>2265.0</v>
      </c>
      <c r="I894" s="132">
        <v>109.28</v>
      </c>
      <c r="J894" s="132">
        <v>35.84</v>
      </c>
      <c r="K894" s="39">
        <f t="shared" si="1"/>
        <v>247519.2</v>
      </c>
      <c r="L894" s="39">
        <f t="shared" si="2"/>
        <v>81177.6</v>
      </c>
      <c r="M894" s="39">
        <f t="shared" si="3"/>
        <v>166341.6</v>
      </c>
      <c r="N894" s="38" t="str">
        <f>VLOOKUP(F894,products!$A$2:$B$13,2,FALSE)</f>
        <v>Clothes</v>
      </c>
      <c r="O894" s="133">
        <f t="shared" si="4"/>
        <v>0.3279648609</v>
      </c>
      <c r="P894" s="38" t="str">
        <f>VLOOKUP(E894,countries!A$2:E$250,3,false)</f>
        <v>Portugal</v>
      </c>
      <c r="Q894" s="38" t="str">
        <f>VLOOKUP($E894,countries!$A$2:$E$250,4,false)</f>
        <v>Europe</v>
      </c>
      <c r="R894" s="38" t="str">
        <f>VLOOKUP($E894,countries!$A$2:$E$250,5,false)</f>
        <v>Southern Europe</v>
      </c>
      <c r="S894" s="38">
        <f t="shared" si="5"/>
        <v>48</v>
      </c>
      <c r="T894" s="38" t="s">
        <v>150</v>
      </c>
      <c r="U894" s="38">
        <v>2012.0</v>
      </c>
      <c r="V894" s="38">
        <v>2.0</v>
      </c>
      <c r="W894" s="38" t="s">
        <v>115</v>
      </c>
      <c r="X894" s="38" t="s">
        <v>186</v>
      </c>
      <c r="Y894" s="38" t="s">
        <v>146</v>
      </c>
      <c r="Z894" s="38" t="s">
        <v>147</v>
      </c>
      <c r="AA894" s="113" t="str">
        <f t="array" ref="AA894">PROPER(G894)</f>
        <v>Offline</v>
      </c>
    </row>
    <row r="895">
      <c r="A895" s="110">
        <v>6.85233008E8</v>
      </c>
      <c r="B895" s="131">
        <v>40812.0</v>
      </c>
      <c r="C895" s="131">
        <v>40833.0</v>
      </c>
      <c r="D895" s="110" t="s">
        <v>10</v>
      </c>
      <c r="E895" s="110" t="s">
        <v>106</v>
      </c>
      <c r="F895" s="110">
        <v>7331.0</v>
      </c>
      <c r="G895" s="38" t="s">
        <v>43</v>
      </c>
      <c r="H895" s="110">
        <v>4529.0</v>
      </c>
      <c r="I895" s="132">
        <v>255.28</v>
      </c>
      <c r="J895" s="132">
        <v>159.42</v>
      </c>
      <c r="K895" s="39">
        <f t="shared" si="1"/>
        <v>1156163.12</v>
      </c>
      <c r="L895" s="39">
        <f t="shared" si="2"/>
        <v>722013.18</v>
      </c>
      <c r="M895" s="39">
        <f t="shared" si="3"/>
        <v>434149.94</v>
      </c>
      <c r="N895" s="38" t="str">
        <f>VLOOKUP(F895,products!$A$2:$B$13,2,FALSE)</f>
        <v>Baby Food</v>
      </c>
      <c r="O895" s="133">
        <f t="shared" si="4"/>
        <v>0.6244907552</v>
      </c>
      <c r="P895" s="38" t="str">
        <f>VLOOKUP(E895,countries!A$2:E$250,3,false)</f>
        <v>Poland</v>
      </c>
      <c r="Q895" s="38" t="str">
        <f>VLOOKUP($E895,countries!$A$2:$E$250,4,false)</f>
        <v>Europe</v>
      </c>
      <c r="R895" s="38" t="str">
        <f>VLOOKUP($E895,countries!$A$2:$E$250,5,false)</f>
        <v>Eastern Europe</v>
      </c>
      <c r="S895" s="38">
        <f t="shared" si="5"/>
        <v>21</v>
      </c>
      <c r="T895" s="38" t="s">
        <v>161</v>
      </c>
      <c r="U895" s="38">
        <v>2011.0</v>
      </c>
      <c r="V895" s="38">
        <v>9.0</v>
      </c>
      <c r="W895" s="38" t="s">
        <v>106</v>
      </c>
      <c r="X895" s="38" t="s">
        <v>173</v>
      </c>
      <c r="Y895" s="38" t="s">
        <v>146</v>
      </c>
      <c r="Z895" s="38" t="s">
        <v>155</v>
      </c>
      <c r="AA895" s="113" t="str">
        <f t="array" ref="AA895">PROPER(G895)</f>
        <v>Online</v>
      </c>
    </row>
    <row r="896">
      <c r="A896" s="110">
        <v>6.8559693E8</v>
      </c>
      <c r="B896" s="131">
        <v>42489.0</v>
      </c>
      <c r="C896" s="131">
        <v>42537.0</v>
      </c>
      <c r="D896" s="110" t="s">
        <v>93</v>
      </c>
      <c r="E896" s="110" t="s">
        <v>94</v>
      </c>
      <c r="F896" s="110">
        <v>2455.0</v>
      </c>
      <c r="G896" s="38" t="s">
        <v>43</v>
      </c>
      <c r="H896" s="110">
        <v>2222.0</v>
      </c>
      <c r="I896" s="132">
        <v>109.28</v>
      </c>
      <c r="J896" s="132">
        <v>35.84</v>
      </c>
      <c r="K896" s="39">
        <f t="shared" si="1"/>
        <v>242820.16</v>
      </c>
      <c r="L896" s="39">
        <f t="shared" si="2"/>
        <v>79636.48</v>
      </c>
      <c r="M896" s="39">
        <f t="shared" si="3"/>
        <v>163183.68</v>
      </c>
      <c r="N896" s="38" t="str">
        <f>VLOOKUP(F896,products!$A$2:$B$13,2,FALSE)</f>
        <v>Clothes</v>
      </c>
      <c r="O896" s="133">
        <f t="shared" si="4"/>
        <v>0.3279648609</v>
      </c>
      <c r="P896" s="38" t="str">
        <f>VLOOKUP(E896,countries!A$2:E$250,3,false)</f>
        <v>Montenegro</v>
      </c>
      <c r="Q896" s="38" t="str">
        <f>VLOOKUP($E896,countries!$A$2:$E$250,4,false)</f>
        <v>Europe</v>
      </c>
      <c r="R896" s="38" t="str">
        <f>VLOOKUP($E896,countries!$A$2:$E$250,5,false)</f>
        <v>Southern Europe</v>
      </c>
      <c r="S896" s="38">
        <f t="shared" si="5"/>
        <v>48</v>
      </c>
      <c r="T896" s="38" t="s">
        <v>150</v>
      </c>
      <c r="U896" s="38">
        <v>2016.0</v>
      </c>
      <c r="V896" s="38">
        <v>4.0</v>
      </c>
      <c r="W896" s="38" t="s">
        <v>94</v>
      </c>
      <c r="X896" s="38" t="s">
        <v>151</v>
      </c>
      <c r="Y896" s="38" t="s">
        <v>146</v>
      </c>
      <c r="Z896" s="38" t="s">
        <v>147</v>
      </c>
      <c r="AA896" s="113" t="str">
        <f t="array" ref="AA896">PROPER(G896)</f>
        <v>Online</v>
      </c>
    </row>
    <row r="897">
      <c r="A897" s="110">
        <v>6.87374913E8</v>
      </c>
      <c r="B897" s="131">
        <v>40188.0</v>
      </c>
      <c r="C897" s="131">
        <v>40235.0</v>
      </c>
      <c r="D897" s="110" t="s">
        <v>89</v>
      </c>
      <c r="E897" s="110" t="s">
        <v>138</v>
      </c>
      <c r="F897" s="110">
        <v>2103.0</v>
      </c>
      <c r="G897" s="38" t="s">
        <v>43</v>
      </c>
      <c r="H897" s="110">
        <v>8367.0</v>
      </c>
      <c r="I897" s="132">
        <v>205.7</v>
      </c>
      <c r="J897" s="132">
        <v>117.11</v>
      </c>
      <c r="K897" s="39">
        <f t="shared" si="1"/>
        <v>1721091.9</v>
      </c>
      <c r="L897" s="39">
        <f t="shared" si="2"/>
        <v>979859.37</v>
      </c>
      <c r="M897" s="39">
        <f t="shared" si="3"/>
        <v>741232.53</v>
      </c>
      <c r="N897" s="38" t="str">
        <f>VLOOKUP(F897,products!$A$2:$B$13,2,FALSE)</f>
        <v>Cereal</v>
      </c>
      <c r="O897" s="133">
        <f t="shared" si="4"/>
        <v>0.5693242586</v>
      </c>
      <c r="P897" s="38" t="str">
        <f>VLOOKUP(E897,countries!A$2:E$250,3,false)</f>
        <v>Greece</v>
      </c>
      <c r="Q897" s="38" t="str">
        <f>VLOOKUP($E897,countries!$A$2:$E$250,4,false)</f>
        <v>Europe</v>
      </c>
      <c r="R897" s="38" t="str">
        <f>VLOOKUP($E897,countries!$A$2:$E$250,5,false)</f>
        <v>Southern Europe</v>
      </c>
      <c r="S897" s="38">
        <f t="shared" si="5"/>
        <v>47</v>
      </c>
      <c r="T897" s="38" t="s">
        <v>144</v>
      </c>
      <c r="U897" s="38">
        <v>2010.0</v>
      </c>
      <c r="V897" s="38">
        <v>1.0</v>
      </c>
      <c r="W897" s="38" t="s">
        <v>138</v>
      </c>
      <c r="X897" s="38" t="s">
        <v>208</v>
      </c>
      <c r="Y897" s="38" t="s">
        <v>146</v>
      </c>
      <c r="Z897" s="38" t="s">
        <v>147</v>
      </c>
      <c r="AA897" s="113" t="str">
        <f t="array" ref="AA897">PROPER(G897)</f>
        <v>Online</v>
      </c>
    </row>
    <row r="898">
      <c r="A898" s="110">
        <v>6.88650786E8</v>
      </c>
      <c r="B898" s="131">
        <v>40352.0</v>
      </c>
      <c r="C898" s="131">
        <v>40397.0</v>
      </c>
      <c r="D898" s="110" t="s">
        <v>95</v>
      </c>
      <c r="E898" s="110" t="s">
        <v>132</v>
      </c>
      <c r="F898" s="110">
        <v>7940.0</v>
      </c>
      <c r="G898" s="38" t="s">
        <v>42</v>
      </c>
      <c r="H898" s="110">
        <v>5926.0</v>
      </c>
      <c r="I898" s="132">
        <v>668.27</v>
      </c>
      <c r="J898" s="132">
        <v>502.54</v>
      </c>
      <c r="K898" s="39">
        <f t="shared" si="1"/>
        <v>3960168.02</v>
      </c>
      <c r="L898" s="39">
        <f t="shared" si="2"/>
        <v>2978052.04</v>
      </c>
      <c r="M898" s="39">
        <f t="shared" si="3"/>
        <v>982115.98</v>
      </c>
      <c r="N898" s="38" t="str">
        <f>VLOOKUP(F898,products!$A$2:$B$13,2,FALSE)</f>
        <v>Household</v>
      </c>
      <c r="O898" s="133">
        <f t="shared" si="4"/>
        <v>0.7520014365</v>
      </c>
      <c r="P898" s="38" t="str">
        <f>VLOOKUP(E898,countries!A$2:E$250,3,false)</f>
        <v>Sweden</v>
      </c>
      <c r="Q898" s="38" t="str">
        <f>VLOOKUP($E898,countries!$A$2:$E$250,4,false)</f>
        <v>Europe</v>
      </c>
      <c r="R898" s="38" t="str">
        <f>VLOOKUP($E898,countries!$A$2:$E$250,5,false)</f>
        <v>Northern Europe</v>
      </c>
      <c r="S898" s="38">
        <f t="shared" si="5"/>
        <v>45</v>
      </c>
      <c r="T898" s="38" t="s">
        <v>148</v>
      </c>
      <c r="U898" s="38">
        <v>2010.0</v>
      </c>
      <c r="V898" s="38">
        <v>6.0</v>
      </c>
      <c r="W898" s="38" t="s">
        <v>132</v>
      </c>
      <c r="X898" s="38" t="s">
        <v>203</v>
      </c>
      <c r="Y898" s="38" t="s">
        <v>146</v>
      </c>
      <c r="Z898" s="38" t="s">
        <v>170</v>
      </c>
      <c r="AA898" s="113" t="str">
        <f t="array" ref="AA898">PROPER(G898)</f>
        <v>Offline</v>
      </c>
    </row>
    <row r="899">
      <c r="A899" s="110">
        <v>6.88698422E8</v>
      </c>
      <c r="B899" s="131">
        <v>42806.0</v>
      </c>
      <c r="C899" s="131">
        <v>42826.0</v>
      </c>
      <c r="D899" s="110" t="s">
        <v>95</v>
      </c>
      <c r="E899" s="110" t="s">
        <v>121</v>
      </c>
      <c r="F899" s="110">
        <v>5988.0</v>
      </c>
      <c r="G899" s="38" t="s">
        <v>42</v>
      </c>
      <c r="H899" s="110">
        <v>22.0</v>
      </c>
      <c r="I899" s="132">
        <v>154.06</v>
      </c>
      <c r="J899" s="132">
        <v>90.93</v>
      </c>
      <c r="K899" s="39">
        <f t="shared" si="1"/>
        <v>3389.32</v>
      </c>
      <c r="L899" s="39">
        <f t="shared" si="2"/>
        <v>2000.46</v>
      </c>
      <c r="M899" s="39">
        <f t="shared" si="3"/>
        <v>1388.86</v>
      </c>
      <c r="N899" s="38" t="str">
        <f>VLOOKUP(F899,products!$A$2:$B$13,2,FALSE)</f>
        <v>Vegetables</v>
      </c>
      <c r="O899" s="133">
        <f t="shared" si="4"/>
        <v>0.5902245878</v>
      </c>
      <c r="P899" s="38" t="str">
        <f>VLOOKUP(E899,countries!A$2:E$250,3,false)</f>
        <v>Netherlands</v>
      </c>
      <c r="Q899" s="38" t="str">
        <f>VLOOKUP($E899,countries!$A$2:$E$250,4,false)</f>
        <v>Europe</v>
      </c>
      <c r="R899" s="38" t="str">
        <f>VLOOKUP($E899,countries!$A$2:$E$250,5,false)</f>
        <v>Western Europe</v>
      </c>
      <c r="S899" s="38">
        <f t="shared" si="5"/>
        <v>20</v>
      </c>
      <c r="T899" s="38" t="s">
        <v>159</v>
      </c>
      <c r="U899" s="38">
        <v>2017.0</v>
      </c>
      <c r="V899" s="38">
        <v>3.0</v>
      </c>
      <c r="W899" s="38" t="s">
        <v>121</v>
      </c>
      <c r="X899" s="38" t="s">
        <v>192</v>
      </c>
      <c r="Y899" s="38" t="s">
        <v>146</v>
      </c>
      <c r="Z899" s="38" t="s">
        <v>158</v>
      </c>
      <c r="AA899" s="113" t="str">
        <f t="array" ref="AA899">PROPER(G899)</f>
        <v>Offline</v>
      </c>
    </row>
    <row r="900">
      <c r="A900" s="110">
        <v>6.88903129E8</v>
      </c>
      <c r="B900" s="131">
        <v>42886.0</v>
      </c>
      <c r="C900" s="131">
        <v>42918.0</v>
      </c>
      <c r="D900" s="110" t="s">
        <v>89</v>
      </c>
      <c r="E900" s="110" t="s">
        <v>125</v>
      </c>
      <c r="F900" s="110">
        <v>7940.0</v>
      </c>
      <c r="G900" s="38" t="s">
        <v>43</v>
      </c>
      <c r="H900" s="110">
        <v>600.0</v>
      </c>
      <c r="I900" s="132">
        <v>668.27</v>
      </c>
      <c r="J900" s="132">
        <v>502.54</v>
      </c>
      <c r="K900" s="39">
        <f t="shared" si="1"/>
        <v>400962</v>
      </c>
      <c r="L900" s="39">
        <f t="shared" si="2"/>
        <v>301524</v>
      </c>
      <c r="M900" s="39">
        <f t="shared" si="3"/>
        <v>99438</v>
      </c>
      <c r="N900" s="38" t="str">
        <f>VLOOKUP(F900,products!$A$2:$B$13,2,FALSE)</f>
        <v>Household</v>
      </c>
      <c r="O900" s="133">
        <f t="shared" si="4"/>
        <v>0.7520014365</v>
      </c>
      <c r="P900" s="38" t="str">
        <f>VLOOKUP(E900,countries!A$2:E$250,3,false)</f>
        <v>Bulgaria</v>
      </c>
      <c r="Q900" s="38" t="str">
        <f>VLOOKUP($E900,countries!$A$2:$E$250,4,false)</f>
        <v>Europe</v>
      </c>
      <c r="R900" s="38" t="str">
        <f>VLOOKUP($E900,countries!$A$2:$E$250,5,false)</f>
        <v>Eastern Europe</v>
      </c>
      <c r="S900" s="38">
        <f t="shared" si="5"/>
        <v>32</v>
      </c>
      <c r="T900" s="38" t="s">
        <v>148</v>
      </c>
      <c r="U900" s="38">
        <v>2017.0</v>
      </c>
      <c r="V900" s="38">
        <v>5.0</v>
      </c>
      <c r="W900" s="38" t="s">
        <v>125</v>
      </c>
      <c r="X900" s="38" t="s">
        <v>196</v>
      </c>
      <c r="Y900" s="38" t="s">
        <v>146</v>
      </c>
      <c r="Z900" s="38" t="s">
        <v>155</v>
      </c>
      <c r="AA900" s="113" t="str">
        <f t="array" ref="AA900">PROPER(G900)</f>
        <v>Online</v>
      </c>
    </row>
    <row r="901">
      <c r="A901" s="110">
        <v>6.89349019E8</v>
      </c>
      <c r="B901" s="131">
        <v>41435.0</v>
      </c>
      <c r="C901" s="131">
        <v>41478.0</v>
      </c>
      <c r="D901" s="110" t="s">
        <v>95</v>
      </c>
      <c r="E901" s="110" t="s">
        <v>123</v>
      </c>
      <c r="F901" s="110">
        <v>8293.0</v>
      </c>
      <c r="G901" s="38" t="s">
        <v>42</v>
      </c>
      <c r="H901" s="110">
        <v>2548.0</v>
      </c>
      <c r="I901" s="132">
        <v>437.2</v>
      </c>
      <c r="J901" s="132">
        <v>263.33</v>
      </c>
      <c r="K901" s="39">
        <f t="shared" si="1"/>
        <v>1113985.6</v>
      </c>
      <c r="L901" s="39">
        <f t="shared" si="2"/>
        <v>670964.84</v>
      </c>
      <c r="M901" s="39">
        <f t="shared" si="3"/>
        <v>443020.76</v>
      </c>
      <c r="N901" s="38" t="str">
        <f>VLOOKUP(F901,products!$A$2:$B$13,2,FALSE)</f>
        <v>Cosmetics</v>
      </c>
      <c r="O901" s="133">
        <f t="shared" si="4"/>
        <v>0.6023101555</v>
      </c>
      <c r="P901" s="38" t="str">
        <f>VLOOKUP(E901,countries!A$2:E$250,3,false)</f>
        <v>Hungary</v>
      </c>
      <c r="Q901" s="38" t="str">
        <f>VLOOKUP($E901,countries!$A$2:$E$250,4,false)</f>
        <v>Europe</v>
      </c>
      <c r="R901" s="38" t="str">
        <f>VLOOKUP($E901,countries!$A$2:$E$250,5,false)</f>
        <v>Eastern Europe</v>
      </c>
      <c r="S901" s="38">
        <f t="shared" si="5"/>
        <v>43</v>
      </c>
      <c r="T901" s="38" t="s">
        <v>178</v>
      </c>
      <c r="U901" s="38">
        <v>2013.0</v>
      </c>
      <c r="V901" s="38">
        <v>6.0</v>
      </c>
      <c r="W901" s="38" t="s">
        <v>123</v>
      </c>
      <c r="X901" s="38" t="s">
        <v>194</v>
      </c>
      <c r="Y901" s="38" t="s">
        <v>146</v>
      </c>
      <c r="Z901" s="38" t="s">
        <v>155</v>
      </c>
      <c r="AA901" s="113" t="str">
        <f t="array" ref="AA901">PROPER(G901)</f>
        <v>Offline</v>
      </c>
    </row>
    <row r="902">
      <c r="A902" s="110">
        <v>6.89421546E8</v>
      </c>
      <c r="B902" s="131">
        <v>40188.0</v>
      </c>
      <c r="C902" s="131">
        <v>40209.0</v>
      </c>
      <c r="D902" s="110" t="s">
        <v>95</v>
      </c>
      <c r="E902" s="110" t="s">
        <v>126</v>
      </c>
      <c r="F902" s="110">
        <v>2455.0</v>
      </c>
      <c r="G902" s="38" t="s">
        <v>43</v>
      </c>
      <c r="H902" s="110">
        <v>4011.0</v>
      </c>
      <c r="I902" s="132">
        <v>109.28</v>
      </c>
      <c r="J902" s="132">
        <v>35.84</v>
      </c>
      <c r="K902" s="39">
        <f t="shared" si="1"/>
        <v>438322.08</v>
      </c>
      <c r="L902" s="39">
        <f t="shared" si="2"/>
        <v>143754.24</v>
      </c>
      <c r="M902" s="39">
        <f t="shared" si="3"/>
        <v>294567.84</v>
      </c>
      <c r="N902" s="38" t="str">
        <f>VLOOKUP(F902,products!$A$2:$B$13,2,FALSE)</f>
        <v>Clothes</v>
      </c>
      <c r="O902" s="133">
        <f t="shared" si="4"/>
        <v>0.3279648609</v>
      </c>
      <c r="P902" s="38" t="str">
        <f>VLOOKUP(E902,countries!A$2:E$250,3,false)</f>
        <v>Italy</v>
      </c>
      <c r="Q902" s="38" t="str">
        <f>VLOOKUP($E902,countries!$A$2:$E$250,4,false)</f>
        <v>Europe</v>
      </c>
      <c r="R902" s="38" t="str">
        <f>VLOOKUP($E902,countries!$A$2:$E$250,5,false)</f>
        <v>Southern Europe</v>
      </c>
      <c r="S902" s="38">
        <f t="shared" si="5"/>
        <v>21</v>
      </c>
      <c r="T902" s="38" t="s">
        <v>150</v>
      </c>
      <c r="U902" s="38">
        <v>2010.0</v>
      </c>
      <c r="V902" s="38">
        <v>1.0</v>
      </c>
      <c r="W902" s="38" t="s">
        <v>126</v>
      </c>
      <c r="X902" s="38" t="s">
        <v>197</v>
      </c>
      <c r="Y902" s="38" t="s">
        <v>146</v>
      </c>
      <c r="Z902" s="38" t="s">
        <v>147</v>
      </c>
      <c r="AA902" s="113" t="str">
        <f t="array" ref="AA902">PROPER(G902)</f>
        <v>Online</v>
      </c>
    </row>
    <row r="903">
      <c r="A903" s="110">
        <v>6.9022063E8</v>
      </c>
      <c r="B903" s="131">
        <v>42678.0</v>
      </c>
      <c r="C903" s="131">
        <v>42693.0</v>
      </c>
      <c r="D903" s="110" t="s">
        <v>10</v>
      </c>
      <c r="E903" s="110" t="s">
        <v>121</v>
      </c>
      <c r="F903" s="110">
        <v>7940.0</v>
      </c>
      <c r="G903" s="38" t="s">
        <v>43</v>
      </c>
      <c r="H903" s="110">
        <v>477.0</v>
      </c>
      <c r="I903" s="132">
        <v>668.27</v>
      </c>
      <c r="J903" s="132">
        <v>502.54</v>
      </c>
      <c r="K903" s="39">
        <f t="shared" si="1"/>
        <v>318764.79</v>
      </c>
      <c r="L903" s="39">
        <f t="shared" si="2"/>
        <v>239711.58</v>
      </c>
      <c r="M903" s="39">
        <f t="shared" si="3"/>
        <v>79053.21</v>
      </c>
      <c r="N903" s="38" t="str">
        <f>VLOOKUP(F903,products!$A$2:$B$13,2,FALSE)</f>
        <v>Household</v>
      </c>
      <c r="O903" s="133">
        <f t="shared" si="4"/>
        <v>0.7520014365</v>
      </c>
      <c r="P903" s="38" t="str">
        <f>VLOOKUP(E903,countries!A$2:E$250,3,false)</f>
        <v>Netherlands</v>
      </c>
      <c r="Q903" s="38" t="str">
        <f>VLOOKUP($E903,countries!$A$2:$E$250,4,false)</f>
        <v>Europe</v>
      </c>
      <c r="R903" s="38" t="str">
        <f>VLOOKUP($E903,countries!$A$2:$E$250,5,false)</f>
        <v>Western Europe</v>
      </c>
      <c r="S903" s="38">
        <f t="shared" si="5"/>
        <v>15</v>
      </c>
      <c r="T903" s="38" t="s">
        <v>148</v>
      </c>
      <c r="U903" s="38">
        <v>2016.0</v>
      </c>
      <c r="V903" s="38">
        <v>11.0</v>
      </c>
      <c r="W903" s="38" t="s">
        <v>121</v>
      </c>
      <c r="X903" s="38" t="s">
        <v>192</v>
      </c>
      <c r="Y903" s="38" t="s">
        <v>146</v>
      </c>
      <c r="Z903" s="38" t="s">
        <v>158</v>
      </c>
      <c r="AA903" s="113" t="str">
        <f t="array" ref="AA903">PROPER(G903)</f>
        <v>Online</v>
      </c>
    </row>
    <row r="904">
      <c r="A904" s="110">
        <v>6.91383635E8</v>
      </c>
      <c r="B904" s="131">
        <v>41315.0</v>
      </c>
      <c r="C904" s="131">
        <v>41352.0</v>
      </c>
      <c r="D904" s="110" t="s">
        <v>89</v>
      </c>
      <c r="E904" s="110" t="s">
        <v>104</v>
      </c>
      <c r="F904" s="110">
        <v>5988.0</v>
      </c>
      <c r="G904" s="38" t="s">
        <v>42</v>
      </c>
      <c r="H904" s="110">
        <v>4637.0</v>
      </c>
      <c r="I904" s="132">
        <v>154.06</v>
      </c>
      <c r="J904" s="132">
        <v>90.93</v>
      </c>
      <c r="K904" s="39">
        <f t="shared" si="1"/>
        <v>714376.22</v>
      </c>
      <c r="L904" s="39">
        <f t="shared" si="2"/>
        <v>421642.41</v>
      </c>
      <c r="M904" s="39">
        <f t="shared" si="3"/>
        <v>292733.81</v>
      </c>
      <c r="N904" s="38" t="str">
        <f>VLOOKUP(F904,products!$A$2:$B$13,2,FALSE)</f>
        <v>Vegetables</v>
      </c>
      <c r="O904" s="133">
        <f t="shared" si="4"/>
        <v>0.5902245878</v>
      </c>
      <c r="P904" s="38" t="str">
        <f>VLOOKUP(E904,countries!A$2:E$250,3,false)</f>
        <v>Slovenia</v>
      </c>
      <c r="Q904" s="38" t="str">
        <f>VLOOKUP($E904,countries!$A$2:$E$250,4,false)</f>
        <v>Europe</v>
      </c>
      <c r="R904" s="38" t="str">
        <f>VLOOKUP($E904,countries!$A$2:$E$250,5,false)</f>
        <v>Southern Europe</v>
      </c>
      <c r="S904" s="38">
        <f t="shared" si="5"/>
        <v>37</v>
      </c>
      <c r="T904" s="38" t="s">
        <v>159</v>
      </c>
      <c r="U904" s="38">
        <v>2013.0</v>
      </c>
      <c r="V904" s="38">
        <v>2.0</v>
      </c>
      <c r="W904" s="38" t="s">
        <v>104</v>
      </c>
      <c r="X904" s="38" t="s">
        <v>171</v>
      </c>
      <c r="Y904" s="38" t="s">
        <v>146</v>
      </c>
      <c r="Z904" s="38" t="s">
        <v>147</v>
      </c>
      <c r="AA904" s="113" t="str">
        <f t="array" ref="AA904">PROPER(G904)</f>
        <v>Offline</v>
      </c>
    </row>
    <row r="905">
      <c r="A905" s="110">
        <v>6.91760861E8</v>
      </c>
      <c r="B905" s="131">
        <v>42731.0</v>
      </c>
      <c r="C905" s="131">
        <v>42763.0</v>
      </c>
      <c r="D905" s="110" t="s">
        <v>10</v>
      </c>
      <c r="E905" s="110" t="s">
        <v>116</v>
      </c>
      <c r="F905" s="110">
        <v>2455.0</v>
      </c>
      <c r="G905" s="38" t="s">
        <v>42</v>
      </c>
      <c r="H905" s="110">
        <v>6266.0</v>
      </c>
      <c r="I905" s="132">
        <v>109.28</v>
      </c>
      <c r="J905" s="132">
        <v>35.84</v>
      </c>
      <c r="K905" s="39">
        <f t="shared" si="1"/>
        <v>684748.48</v>
      </c>
      <c r="L905" s="39">
        <f t="shared" si="2"/>
        <v>224573.44</v>
      </c>
      <c r="M905" s="39">
        <f t="shared" si="3"/>
        <v>460175.04</v>
      </c>
      <c r="N905" s="38" t="str">
        <f>VLOOKUP(F905,products!$A$2:$B$13,2,FALSE)</f>
        <v>Clothes</v>
      </c>
      <c r="O905" s="133">
        <f t="shared" si="4"/>
        <v>0.3279648609</v>
      </c>
      <c r="P905" s="38" t="str">
        <f>VLOOKUP(E905,countries!A$2:E$250,3,false)</f>
        <v>Belarus</v>
      </c>
      <c r="Q905" s="38" t="str">
        <f>VLOOKUP($E905,countries!$A$2:$E$250,4,false)</f>
        <v>Europe</v>
      </c>
      <c r="R905" s="38" t="str">
        <f>VLOOKUP($E905,countries!$A$2:$E$250,5,false)</f>
        <v>Eastern Europe</v>
      </c>
      <c r="S905" s="38">
        <f t="shared" si="5"/>
        <v>32</v>
      </c>
      <c r="T905" s="38" t="s">
        <v>150</v>
      </c>
      <c r="U905" s="38">
        <v>2016.0</v>
      </c>
      <c r="V905" s="38">
        <v>12.0</v>
      </c>
      <c r="W905" s="38" t="s">
        <v>116</v>
      </c>
      <c r="X905" s="38" t="s">
        <v>187</v>
      </c>
      <c r="Y905" s="38" t="s">
        <v>146</v>
      </c>
      <c r="Z905" s="38" t="s">
        <v>155</v>
      </c>
      <c r="AA905" s="113" t="str">
        <f t="array" ref="AA905">PROPER(G905)</f>
        <v>Offline</v>
      </c>
    </row>
    <row r="906">
      <c r="A906" s="110">
        <v>6.92555224E8</v>
      </c>
      <c r="B906" s="131">
        <v>42013.0</v>
      </c>
      <c r="C906" s="131">
        <v>42036.0</v>
      </c>
      <c r="D906" s="110" t="s">
        <v>89</v>
      </c>
      <c r="E906" s="110" t="s">
        <v>114</v>
      </c>
      <c r="F906" s="110">
        <v>8875.0</v>
      </c>
      <c r="G906" s="38" t="s">
        <v>43</v>
      </c>
      <c r="H906" s="110">
        <v>1336.0</v>
      </c>
      <c r="I906" s="132">
        <v>421.89</v>
      </c>
      <c r="J906" s="132">
        <v>364.69</v>
      </c>
      <c r="K906" s="39">
        <f t="shared" si="1"/>
        <v>563645.04</v>
      </c>
      <c r="L906" s="39">
        <f t="shared" si="2"/>
        <v>487225.84</v>
      </c>
      <c r="M906" s="39">
        <f t="shared" si="3"/>
        <v>76419.2</v>
      </c>
      <c r="N906" s="38" t="str">
        <f>VLOOKUP(F906,products!$A$2:$B$13,2,FALSE)</f>
        <v>Meat</v>
      </c>
      <c r="O906" s="133">
        <f t="shared" si="4"/>
        <v>0.8644196354</v>
      </c>
      <c r="P906" s="38" t="str">
        <f>VLOOKUP(E906,countries!A$2:E$250,3,false)</f>
        <v>Czech Republic</v>
      </c>
      <c r="Q906" s="38" t="str">
        <f>VLOOKUP($E906,countries!$A$2:$E$250,4,false)</f>
        <v>Europe</v>
      </c>
      <c r="R906" s="38" t="str">
        <f>VLOOKUP($E906,countries!$A$2:$E$250,5,false)</f>
        <v>Eastern Europe</v>
      </c>
      <c r="S906" s="38">
        <f t="shared" si="5"/>
        <v>23</v>
      </c>
      <c r="T906" s="38" t="s">
        <v>167</v>
      </c>
      <c r="U906" s="38">
        <v>2015.0</v>
      </c>
      <c r="V906" s="38">
        <v>1.0</v>
      </c>
      <c r="W906" s="38" t="s">
        <v>114</v>
      </c>
      <c r="X906" s="38" t="s">
        <v>184</v>
      </c>
      <c r="Y906" s="38" t="s">
        <v>146</v>
      </c>
      <c r="Z906" s="38" t="s">
        <v>155</v>
      </c>
      <c r="AA906" s="113" t="str">
        <f t="array" ref="AA906">PROPER(G906)</f>
        <v>Online</v>
      </c>
    </row>
    <row r="907">
      <c r="A907" s="110">
        <v>6.92704999E8</v>
      </c>
      <c r="B907" s="131">
        <v>42727.0</v>
      </c>
      <c r="C907" s="131">
        <v>42759.0</v>
      </c>
      <c r="D907" s="110" t="s">
        <v>10</v>
      </c>
      <c r="E907" s="110" t="s">
        <v>126</v>
      </c>
      <c r="F907" s="110">
        <v>7940.0</v>
      </c>
      <c r="G907" s="38" t="s">
        <v>43</v>
      </c>
      <c r="H907" s="110">
        <v>5657.0</v>
      </c>
      <c r="I907" s="132">
        <v>668.27</v>
      </c>
      <c r="J907" s="132">
        <v>502.54</v>
      </c>
      <c r="K907" s="39">
        <f t="shared" si="1"/>
        <v>3780403.39</v>
      </c>
      <c r="L907" s="39">
        <f t="shared" si="2"/>
        <v>2842868.78</v>
      </c>
      <c r="M907" s="39">
        <f t="shared" si="3"/>
        <v>937534.61</v>
      </c>
      <c r="N907" s="38" t="str">
        <f>VLOOKUP(F907,products!$A$2:$B$13,2,FALSE)</f>
        <v>Household</v>
      </c>
      <c r="O907" s="133">
        <f t="shared" si="4"/>
        <v>0.7520014365</v>
      </c>
      <c r="P907" s="38" t="str">
        <f>VLOOKUP(E907,countries!A$2:E$250,3,false)</f>
        <v>Italy</v>
      </c>
      <c r="Q907" s="38" t="str">
        <f>VLOOKUP($E907,countries!$A$2:$E$250,4,false)</f>
        <v>Europe</v>
      </c>
      <c r="R907" s="38" t="str">
        <f>VLOOKUP($E907,countries!$A$2:$E$250,5,false)</f>
        <v>Southern Europe</v>
      </c>
      <c r="S907" s="38">
        <f t="shared" si="5"/>
        <v>32</v>
      </c>
      <c r="T907" s="38" t="s">
        <v>148</v>
      </c>
      <c r="U907" s="38">
        <v>2016.0</v>
      </c>
      <c r="V907" s="38">
        <v>12.0</v>
      </c>
      <c r="W907" s="38" t="s">
        <v>126</v>
      </c>
      <c r="X907" s="38" t="s">
        <v>197</v>
      </c>
      <c r="Y907" s="38" t="s">
        <v>146</v>
      </c>
      <c r="Z907" s="38" t="s">
        <v>147</v>
      </c>
      <c r="AA907" s="113" t="str">
        <f t="array" ref="AA907">PROPER(G907)</f>
        <v>Online</v>
      </c>
    </row>
    <row r="908">
      <c r="A908" s="110">
        <v>6.92757356E8</v>
      </c>
      <c r="B908" s="131">
        <v>42857.0</v>
      </c>
      <c r="C908" s="131">
        <v>42867.0</v>
      </c>
      <c r="D908" s="110" t="s">
        <v>95</v>
      </c>
      <c r="E908" s="110" t="s">
        <v>100</v>
      </c>
      <c r="F908" s="110">
        <v>8875.0</v>
      </c>
      <c r="G908" s="38" t="s">
        <v>42</v>
      </c>
      <c r="H908" s="110">
        <v>1151.0</v>
      </c>
      <c r="I908" s="132">
        <v>421.89</v>
      </c>
      <c r="J908" s="132">
        <v>364.69</v>
      </c>
      <c r="K908" s="39">
        <f t="shared" si="1"/>
        <v>485595.39</v>
      </c>
      <c r="L908" s="39">
        <f t="shared" si="2"/>
        <v>419758.19</v>
      </c>
      <c r="M908" s="39">
        <f t="shared" si="3"/>
        <v>65837.2</v>
      </c>
      <c r="N908" s="38" t="str">
        <f>VLOOKUP(F908,products!$A$2:$B$13,2,FALSE)</f>
        <v>Meat</v>
      </c>
      <c r="O908" s="133">
        <f t="shared" si="4"/>
        <v>0.8644196354</v>
      </c>
      <c r="P908" s="38" t="str">
        <f>VLOOKUP(E908,countries!A$2:E$250,3,false)</f>
        <v>Germany</v>
      </c>
      <c r="Q908" s="38" t="str">
        <f>VLOOKUP($E908,countries!$A$2:$E$250,4,false)</f>
        <v>Europe</v>
      </c>
      <c r="R908" s="38" t="str">
        <f>VLOOKUP($E908,countries!$A$2:$E$250,5,false)</f>
        <v>Western Europe</v>
      </c>
      <c r="S908" s="38">
        <f t="shared" si="5"/>
        <v>10</v>
      </c>
      <c r="T908" s="38" t="s">
        <v>167</v>
      </c>
      <c r="U908" s="38">
        <v>2017.0</v>
      </c>
      <c r="V908" s="38">
        <v>5.0</v>
      </c>
      <c r="W908" s="38" t="s">
        <v>100</v>
      </c>
      <c r="X908" s="38" t="s">
        <v>163</v>
      </c>
      <c r="Y908" s="38" t="s">
        <v>146</v>
      </c>
      <c r="Z908" s="38" t="s">
        <v>158</v>
      </c>
      <c r="AA908" s="113" t="str">
        <f t="array" ref="AA908">PROPER(G908)</f>
        <v>Offline</v>
      </c>
    </row>
    <row r="909">
      <c r="A909" s="110">
        <v>6.92952191E8</v>
      </c>
      <c r="B909" s="131">
        <v>41257.0</v>
      </c>
      <c r="C909" s="131">
        <v>41278.0</v>
      </c>
      <c r="D909" s="110" t="s">
        <v>89</v>
      </c>
      <c r="E909" s="110" t="s">
        <v>103</v>
      </c>
      <c r="F909" s="110">
        <v>8293.0</v>
      </c>
      <c r="G909" s="38" t="s">
        <v>43</v>
      </c>
      <c r="H909" s="110">
        <v>8807.0</v>
      </c>
      <c r="I909" s="132">
        <v>437.2</v>
      </c>
      <c r="J909" s="132">
        <v>263.33</v>
      </c>
      <c r="K909" s="39">
        <f t="shared" si="1"/>
        <v>3850420.4</v>
      </c>
      <c r="L909" s="39">
        <f t="shared" si="2"/>
        <v>2319147.31</v>
      </c>
      <c r="M909" s="39">
        <f t="shared" si="3"/>
        <v>1531273.09</v>
      </c>
      <c r="N909" s="38" t="str">
        <f>VLOOKUP(F909,products!$A$2:$B$13,2,FALSE)</f>
        <v>Cosmetics</v>
      </c>
      <c r="O909" s="133">
        <f t="shared" si="4"/>
        <v>0.6023101555</v>
      </c>
      <c r="P909" s="38" t="str">
        <f>VLOOKUP(E909,countries!A$2:E$250,3,false)</f>
        <v>United Kingdom</v>
      </c>
      <c r="Q909" s="38" t="str">
        <f>VLOOKUP($E909,countries!$A$2:$E$250,4,false)</f>
        <v>Europe</v>
      </c>
      <c r="R909" s="38" t="str">
        <f>VLOOKUP($E909,countries!$A$2:$E$250,5,false)</f>
        <v>Northern Europe</v>
      </c>
      <c r="S909" s="38">
        <f t="shared" si="5"/>
        <v>21</v>
      </c>
      <c r="T909" s="38" t="s">
        <v>178</v>
      </c>
      <c r="U909" s="38">
        <v>2012.0</v>
      </c>
      <c r="V909" s="38">
        <v>12.0</v>
      </c>
      <c r="W909" s="38" t="s">
        <v>103</v>
      </c>
      <c r="X909" s="38" t="s">
        <v>169</v>
      </c>
      <c r="Y909" s="38" t="s">
        <v>146</v>
      </c>
      <c r="Z909" s="38" t="s">
        <v>170</v>
      </c>
      <c r="AA909" s="113" t="str">
        <f t="array" ref="AA909">PROPER(G909)</f>
        <v>Online</v>
      </c>
    </row>
    <row r="910">
      <c r="A910" s="110">
        <v>6.93210542E8</v>
      </c>
      <c r="B910" s="131">
        <v>41085.0</v>
      </c>
      <c r="C910" s="131">
        <v>41134.0</v>
      </c>
      <c r="D910" s="110" t="s">
        <v>93</v>
      </c>
      <c r="E910" s="110" t="s">
        <v>101</v>
      </c>
      <c r="F910" s="110">
        <v>8875.0</v>
      </c>
      <c r="G910" s="38" t="s">
        <v>43</v>
      </c>
      <c r="H910" s="110">
        <v>5259.0</v>
      </c>
      <c r="I910" s="132">
        <v>421.89</v>
      </c>
      <c r="J910" s="132">
        <v>364.69</v>
      </c>
      <c r="K910" s="39">
        <f t="shared" si="1"/>
        <v>2218719.51</v>
      </c>
      <c r="L910" s="39">
        <f t="shared" si="2"/>
        <v>1917904.71</v>
      </c>
      <c r="M910" s="39">
        <f t="shared" si="3"/>
        <v>300814.8</v>
      </c>
      <c r="N910" s="38" t="str">
        <f>VLOOKUP(F910,products!$A$2:$B$13,2,FALSE)</f>
        <v>Meat</v>
      </c>
      <c r="O910" s="133">
        <f t="shared" si="4"/>
        <v>0.8644196354</v>
      </c>
      <c r="P910" s="38" t="str">
        <f>VLOOKUP(E910,countries!A$2:E$250,3,false)</f>
        <v>Armenia</v>
      </c>
      <c r="Q910" s="38" t="str">
        <f>VLOOKUP($E910,countries!$A$2:$E$250,4,false)</f>
        <v>Asia</v>
      </c>
      <c r="R910" s="38" t="str">
        <f>VLOOKUP($E910,countries!$A$2:$E$250,5,false)</f>
        <v>Western Asia</v>
      </c>
      <c r="S910" s="38">
        <f t="shared" si="5"/>
        <v>49</v>
      </c>
      <c r="T910" s="38" t="s">
        <v>167</v>
      </c>
      <c r="U910" s="38">
        <v>2012.0</v>
      </c>
      <c r="V910" s="38">
        <v>6.0</v>
      </c>
      <c r="W910" s="38" t="s">
        <v>101</v>
      </c>
      <c r="X910" s="38" t="s">
        <v>164</v>
      </c>
      <c r="Y910" s="38" t="s">
        <v>165</v>
      </c>
      <c r="Z910" s="38" t="s">
        <v>166</v>
      </c>
      <c r="AA910" s="113" t="str">
        <f t="array" ref="AA910">PROPER(G910)</f>
        <v>Online</v>
      </c>
    </row>
    <row r="911">
      <c r="A911" s="110">
        <v>6.93583905E8</v>
      </c>
      <c r="B911" s="131">
        <v>40882.0</v>
      </c>
      <c r="C911" s="131">
        <v>40914.0</v>
      </c>
      <c r="D911" s="110" t="s">
        <v>89</v>
      </c>
      <c r="E911" s="110" t="s">
        <v>114</v>
      </c>
      <c r="F911" s="110">
        <v>8875.0</v>
      </c>
      <c r="G911" s="38" t="s">
        <v>42</v>
      </c>
      <c r="H911" s="110">
        <v>5745.0</v>
      </c>
      <c r="I911" s="132">
        <v>421.89</v>
      </c>
      <c r="J911" s="132">
        <v>364.69</v>
      </c>
      <c r="K911" s="39">
        <f t="shared" si="1"/>
        <v>2423758.05</v>
      </c>
      <c r="L911" s="39">
        <f t="shared" si="2"/>
        <v>2095144.05</v>
      </c>
      <c r="M911" s="39">
        <f t="shared" si="3"/>
        <v>328614</v>
      </c>
      <c r="N911" s="38" t="str">
        <f>VLOOKUP(F911,products!$A$2:$B$13,2,FALSE)</f>
        <v>Meat</v>
      </c>
      <c r="O911" s="133">
        <f t="shared" si="4"/>
        <v>0.8644196354</v>
      </c>
      <c r="P911" s="38" t="str">
        <f>VLOOKUP(E911,countries!A$2:E$250,3,false)</f>
        <v>Czech Republic</v>
      </c>
      <c r="Q911" s="38" t="str">
        <f>VLOOKUP($E911,countries!$A$2:$E$250,4,false)</f>
        <v>Europe</v>
      </c>
      <c r="R911" s="38" t="str">
        <f>VLOOKUP($E911,countries!$A$2:$E$250,5,false)</f>
        <v>Eastern Europe</v>
      </c>
      <c r="S911" s="38">
        <f t="shared" si="5"/>
        <v>32</v>
      </c>
      <c r="T911" s="38" t="s">
        <v>167</v>
      </c>
      <c r="U911" s="38">
        <v>2011.0</v>
      </c>
      <c r="V911" s="38">
        <v>12.0</v>
      </c>
      <c r="W911" s="38" t="s">
        <v>114</v>
      </c>
      <c r="X911" s="38" t="s">
        <v>184</v>
      </c>
      <c r="Y911" s="38" t="s">
        <v>146</v>
      </c>
      <c r="Z911" s="38" t="s">
        <v>155</v>
      </c>
      <c r="AA911" s="113" t="str">
        <f t="array" ref="AA911">PROPER(G911)</f>
        <v>Offline</v>
      </c>
    </row>
    <row r="912">
      <c r="A912" s="110">
        <v>6.93831098E8</v>
      </c>
      <c r="B912" s="131">
        <v>42178.0</v>
      </c>
      <c r="C912" s="131">
        <v>42199.0</v>
      </c>
      <c r="D912" s="110" t="s">
        <v>95</v>
      </c>
      <c r="E912" s="110" t="s">
        <v>105</v>
      </c>
      <c r="F912" s="110">
        <v>7331.0</v>
      </c>
      <c r="G912" s="38" t="s">
        <v>42</v>
      </c>
      <c r="H912" s="110">
        <v>8895.0</v>
      </c>
      <c r="I912" s="132">
        <v>255.28</v>
      </c>
      <c r="J912" s="132">
        <v>159.42</v>
      </c>
      <c r="K912" s="39">
        <f t="shared" si="1"/>
        <v>2270715.6</v>
      </c>
      <c r="L912" s="39">
        <f t="shared" si="2"/>
        <v>1418040.9</v>
      </c>
      <c r="M912" s="39">
        <f t="shared" si="3"/>
        <v>852674.7</v>
      </c>
      <c r="N912" s="38" t="str">
        <f>VLOOKUP(F912,products!$A$2:$B$13,2,FALSE)</f>
        <v>Baby Food</v>
      </c>
      <c r="O912" s="133">
        <f t="shared" si="4"/>
        <v>0.6244907552</v>
      </c>
      <c r="P912" s="38" t="str">
        <f>VLOOKUP(E912,countries!A$2:E$250,3,false)</f>
        <v>Romania</v>
      </c>
      <c r="Q912" s="38" t="str">
        <f>VLOOKUP($E912,countries!$A$2:$E$250,4,false)</f>
        <v>Europe</v>
      </c>
      <c r="R912" s="38" t="str">
        <f>VLOOKUP($E912,countries!$A$2:$E$250,5,false)</f>
        <v>Eastern Europe</v>
      </c>
      <c r="S912" s="38">
        <f t="shared" si="5"/>
        <v>21</v>
      </c>
      <c r="T912" s="38" t="s">
        <v>161</v>
      </c>
      <c r="U912" s="38">
        <v>2015.0</v>
      </c>
      <c r="V912" s="38">
        <v>6.0</v>
      </c>
      <c r="W912" s="38" t="s">
        <v>105</v>
      </c>
      <c r="X912" s="38" t="s">
        <v>172</v>
      </c>
      <c r="Y912" s="38" t="s">
        <v>146</v>
      </c>
      <c r="Z912" s="38" t="s">
        <v>155</v>
      </c>
      <c r="AA912" s="113" t="str">
        <f t="array" ref="AA912">PROPER(G912)</f>
        <v>Offline</v>
      </c>
    </row>
    <row r="913">
      <c r="A913" s="110">
        <v>6.94771802E8</v>
      </c>
      <c r="B913" s="131">
        <v>41349.0</v>
      </c>
      <c r="C913" s="131">
        <v>41354.0</v>
      </c>
      <c r="D913" s="110" t="s">
        <v>95</v>
      </c>
      <c r="E913" s="110" t="s">
        <v>121</v>
      </c>
      <c r="F913" s="110">
        <v>7331.0</v>
      </c>
      <c r="G913" s="38" t="s">
        <v>42</v>
      </c>
      <c r="H913" s="110">
        <v>7270.0</v>
      </c>
      <c r="I913" s="132">
        <v>255.28</v>
      </c>
      <c r="J913" s="132">
        <v>159.42</v>
      </c>
      <c r="K913" s="39">
        <f t="shared" si="1"/>
        <v>1855885.6</v>
      </c>
      <c r="L913" s="39">
        <f t="shared" si="2"/>
        <v>1158983.4</v>
      </c>
      <c r="M913" s="39">
        <f t="shared" si="3"/>
        <v>696902.2</v>
      </c>
      <c r="N913" s="38" t="str">
        <f>VLOOKUP(F913,products!$A$2:$B$13,2,FALSE)</f>
        <v>Baby Food</v>
      </c>
      <c r="O913" s="133">
        <f t="shared" si="4"/>
        <v>0.6244907552</v>
      </c>
      <c r="P913" s="38" t="str">
        <f>VLOOKUP(E913,countries!A$2:E$250,3,false)</f>
        <v>Netherlands</v>
      </c>
      <c r="Q913" s="38" t="str">
        <f>VLOOKUP($E913,countries!$A$2:$E$250,4,false)</f>
        <v>Europe</v>
      </c>
      <c r="R913" s="38" t="str">
        <f>VLOOKUP($E913,countries!$A$2:$E$250,5,false)</f>
        <v>Western Europe</v>
      </c>
      <c r="S913" s="38">
        <f t="shared" si="5"/>
        <v>5</v>
      </c>
      <c r="T913" s="38" t="s">
        <v>161</v>
      </c>
      <c r="U913" s="38">
        <v>2013.0</v>
      </c>
      <c r="V913" s="38">
        <v>3.0</v>
      </c>
      <c r="W913" s="38" t="s">
        <v>121</v>
      </c>
      <c r="X913" s="38" t="s">
        <v>192</v>
      </c>
      <c r="Y913" s="38" t="s">
        <v>146</v>
      </c>
      <c r="Z913" s="38" t="s">
        <v>158</v>
      </c>
      <c r="AA913" s="113" t="str">
        <f t="array" ref="AA913">PROPER(G913)</f>
        <v>Offline</v>
      </c>
    </row>
    <row r="914">
      <c r="A914" s="110">
        <v>6.9491471E8</v>
      </c>
      <c r="B914" s="131">
        <v>40413.0</v>
      </c>
      <c r="C914" s="131">
        <v>40446.0</v>
      </c>
      <c r="D914" s="110" t="s">
        <v>10</v>
      </c>
      <c r="E914" s="110" t="s">
        <v>131</v>
      </c>
      <c r="F914" s="110">
        <v>8293.0</v>
      </c>
      <c r="G914" s="38" t="s">
        <v>42</v>
      </c>
      <c r="H914" s="110">
        <v>9560.0</v>
      </c>
      <c r="I914" s="132">
        <v>437.2</v>
      </c>
      <c r="J914" s="132">
        <v>263.33</v>
      </c>
      <c r="K914" s="39">
        <f t="shared" si="1"/>
        <v>4179632</v>
      </c>
      <c r="L914" s="39">
        <f t="shared" si="2"/>
        <v>2517434.8</v>
      </c>
      <c r="M914" s="39">
        <f t="shared" si="3"/>
        <v>1662197.2</v>
      </c>
      <c r="N914" s="38" t="str">
        <f>VLOOKUP(F914,products!$A$2:$B$13,2,FALSE)</f>
        <v>Cosmetics</v>
      </c>
      <c r="O914" s="133">
        <f t="shared" si="4"/>
        <v>0.6023101555</v>
      </c>
      <c r="P914" s="38" t="str">
        <f>VLOOKUP(E914,countries!A$2:E$250,3,false)</f>
        <v>Albania</v>
      </c>
      <c r="Q914" s="38" t="str">
        <f>VLOOKUP($E914,countries!$A$2:$E$250,4,false)</f>
        <v>Europe</v>
      </c>
      <c r="R914" s="38" t="str">
        <f>VLOOKUP($E914,countries!$A$2:$E$250,5,false)</f>
        <v>Southern Europe</v>
      </c>
      <c r="S914" s="38">
        <f t="shared" si="5"/>
        <v>33</v>
      </c>
      <c r="T914" s="38" t="s">
        <v>178</v>
      </c>
      <c r="U914" s="38">
        <v>2010.0</v>
      </c>
      <c r="V914" s="38">
        <v>8.0</v>
      </c>
      <c r="W914" s="38" t="s">
        <v>131</v>
      </c>
      <c r="X914" s="38" t="s">
        <v>202</v>
      </c>
      <c r="Y914" s="38" t="s">
        <v>146</v>
      </c>
      <c r="Z914" s="38" t="s">
        <v>147</v>
      </c>
      <c r="AA914" s="113" t="str">
        <f t="array" ref="AA914">PROPER(G914)</f>
        <v>Offline</v>
      </c>
    </row>
    <row r="915">
      <c r="A915" s="110">
        <v>6.95059764E8</v>
      </c>
      <c r="B915" s="131">
        <v>40684.0</v>
      </c>
      <c r="C915" s="131">
        <v>40723.0</v>
      </c>
      <c r="D915" s="110" t="s">
        <v>10</v>
      </c>
      <c r="E915" s="110" t="s">
        <v>109</v>
      </c>
      <c r="F915" s="110">
        <v>8293.0</v>
      </c>
      <c r="G915" s="38" t="s">
        <v>42</v>
      </c>
      <c r="H915" s="110">
        <v>2485.0</v>
      </c>
      <c r="I915" s="132">
        <v>437.2</v>
      </c>
      <c r="J915" s="132">
        <v>263.33</v>
      </c>
      <c r="K915" s="39">
        <f t="shared" si="1"/>
        <v>1086442</v>
      </c>
      <c r="L915" s="39">
        <f t="shared" si="2"/>
        <v>654375.05</v>
      </c>
      <c r="M915" s="39">
        <f t="shared" si="3"/>
        <v>432066.95</v>
      </c>
      <c r="N915" s="38" t="str">
        <f>VLOOKUP(F915,products!$A$2:$B$13,2,FALSE)</f>
        <v>Cosmetics</v>
      </c>
      <c r="O915" s="133">
        <f t="shared" si="4"/>
        <v>0.6023101555</v>
      </c>
      <c r="P915" s="38" t="str">
        <f>VLOOKUP(E915,countries!A$2:E$250,3,false)</f>
        <v>Belgium</v>
      </c>
      <c r="Q915" s="38" t="str">
        <f>VLOOKUP($E915,countries!$A$2:$E$250,4,false)</f>
        <v>Europe</v>
      </c>
      <c r="R915" s="38" t="str">
        <f>VLOOKUP($E915,countries!$A$2:$E$250,5,false)</f>
        <v>Western Europe</v>
      </c>
      <c r="S915" s="38">
        <f t="shared" si="5"/>
        <v>39</v>
      </c>
      <c r="T915" s="38" t="s">
        <v>178</v>
      </c>
      <c r="U915" s="38">
        <v>2011.0</v>
      </c>
      <c r="V915" s="38">
        <v>5.0</v>
      </c>
      <c r="W915" s="38" t="s">
        <v>109</v>
      </c>
      <c r="X915" s="38" t="s">
        <v>176</v>
      </c>
      <c r="Y915" s="38" t="s">
        <v>146</v>
      </c>
      <c r="Z915" s="38" t="s">
        <v>158</v>
      </c>
      <c r="AA915" s="113" t="str">
        <f t="array" ref="AA915">PROPER(G915)</f>
        <v>Offline</v>
      </c>
    </row>
    <row r="916">
      <c r="A916" s="110">
        <v>6.96197879E8</v>
      </c>
      <c r="B916" s="131">
        <v>40256.0</v>
      </c>
      <c r="C916" s="131">
        <v>40263.0</v>
      </c>
      <c r="D916" s="110" t="s">
        <v>95</v>
      </c>
      <c r="E916" s="110" t="s">
        <v>128</v>
      </c>
      <c r="F916" s="110">
        <v>2103.0</v>
      </c>
      <c r="G916" s="38" t="s">
        <v>43</v>
      </c>
      <c r="H916" s="110">
        <v>9278.0</v>
      </c>
      <c r="I916" s="132">
        <v>205.7</v>
      </c>
      <c r="J916" s="132">
        <v>117.11</v>
      </c>
      <c r="K916" s="39">
        <f t="shared" si="1"/>
        <v>1908484.6</v>
      </c>
      <c r="L916" s="39">
        <f t="shared" si="2"/>
        <v>1086546.58</v>
      </c>
      <c r="M916" s="39">
        <f t="shared" si="3"/>
        <v>821938.02</v>
      </c>
      <c r="N916" s="38" t="str">
        <f>VLOOKUP(F916,products!$A$2:$B$13,2,FALSE)</f>
        <v>Cereal</v>
      </c>
      <c r="O916" s="133">
        <f t="shared" si="4"/>
        <v>0.5693242586</v>
      </c>
      <c r="P916" s="38" t="str">
        <f>VLOOKUP(E916,countries!A$2:E$250,3,false)</f>
        <v>Andorra</v>
      </c>
      <c r="Q916" s="38" t="str">
        <f>VLOOKUP($E916,countries!$A$2:$E$250,4,false)</f>
        <v>Europe</v>
      </c>
      <c r="R916" s="38" t="str">
        <f>VLOOKUP($E916,countries!$A$2:$E$250,5,false)</f>
        <v>Southern Europe</v>
      </c>
      <c r="S916" s="38">
        <f t="shared" si="5"/>
        <v>7</v>
      </c>
      <c r="T916" s="38" t="s">
        <v>144</v>
      </c>
      <c r="U916" s="38">
        <v>2010.0</v>
      </c>
      <c r="V916" s="38">
        <v>3.0</v>
      </c>
      <c r="W916" s="38" t="s">
        <v>128</v>
      </c>
      <c r="X916" s="38" t="s">
        <v>199</v>
      </c>
      <c r="Y916" s="38" t="s">
        <v>146</v>
      </c>
      <c r="Z916" s="38" t="s">
        <v>147</v>
      </c>
      <c r="AA916" s="113" t="str">
        <f t="array" ref="AA916">PROPER(G916)</f>
        <v>Online</v>
      </c>
    </row>
    <row r="917">
      <c r="A917" s="110">
        <v>6.96839892E8</v>
      </c>
      <c r="B917" s="131">
        <v>42355.0</v>
      </c>
      <c r="C917" s="131">
        <v>42371.0</v>
      </c>
      <c r="D917" s="110" t="s">
        <v>10</v>
      </c>
      <c r="E917" s="110" t="s">
        <v>119</v>
      </c>
      <c r="F917" s="110">
        <v>8681.0</v>
      </c>
      <c r="G917" s="38" t="s">
        <v>42</v>
      </c>
      <c r="H917" s="110">
        <v>9264.0</v>
      </c>
      <c r="I917" s="132">
        <v>651.21</v>
      </c>
      <c r="J917" s="132">
        <v>524.96</v>
      </c>
      <c r="K917" s="39">
        <f t="shared" si="1"/>
        <v>6032809.44</v>
      </c>
      <c r="L917" s="39">
        <f t="shared" si="2"/>
        <v>4863229.44</v>
      </c>
      <c r="M917" s="39">
        <f t="shared" si="3"/>
        <v>1169580</v>
      </c>
      <c r="N917" s="38" t="str">
        <f>VLOOKUP(F917,products!$A$2:$B$13,2,FALSE)</f>
        <v>Office Supplies</v>
      </c>
      <c r="O917" s="133">
        <f t="shared" si="4"/>
        <v>0.806130127</v>
      </c>
      <c r="P917" s="38" t="str">
        <f>VLOOKUP(E917,countries!A$2:E$250,3,false)</f>
        <v>Macedonia</v>
      </c>
      <c r="Q917" s="38" t="str">
        <f>VLOOKUP($E917,countries!$A$2:$E$250,4,false)</f>
        <v>Europe</v>
      </c>
      <c r="R917" s="38" t="str">
        <f>VLOOKUP($E917,countries!$A$2:$E$250,5,false)</f>
        <v>Southern Europe</v>
      </c>
      <c r="S917" s="38">
        <f t="shared" si="5"/>
        <v>16</v>
      </c>
      <c r="T917" s="38" t="s">
        <v>153</v>
      </c>
      <c r="U917" s="38">
        <v>2015.0</v>
      </c>
      <c r="V917" s="38">
        <v>12.0</v>
      </c>
      <c r="W917" s="38" t="s">
        <v>119</v>
      </c>
      <c r="X917" s="38" t="s">
        <v>190</v>
      </c>
      <c r="Y917" s="38" t="s">
        <v>146</v>
      </c>
      <c r="Z917" s="38" t="s">
        <v>147</v>
      </c>
      <c r="AA917" s="113" t="str">
        <f t="array" ref="AA917">PROPER(G917)</f>
        <v>Offline</v>
      </c>
    </row>
    <row r="918">
      <c r="A918" s="110">
        <v>6.96844613E8</v>
      </c>
      <c r="B918" s="131">
        <v>42797.0</v>
      </c>
      <c r="C918" s="131">
        <v>42816.0</v>
      </c>
      <c r="D918" s="110" t="s">
        <v>89</v>
      </c>
      <c r="E918" s="110" t="s">
        <v>90</v>
      </c>
      <c r="F918" s="110">
        <v>8875.0</v>
      </c>
      <c r="G918" s="38" t="s">
        <v>43</v>
      </c>
      <c r="H918" s="110">
        <v>661.0</v>
      </c>
      <c r="I918" s="132">
        <v>421.89</v>
      </c>
      <c r="J918" s="132">
        <v>364.69</v>
      </c>
      <c r="K918" s="39">
        <f t="shared" si="1"/>
        <v>278869.29</v>
      </c>
      <c r="L918" s="39">
        <f t="shared" si="2"/>
        <v>241060.09</v>
      </c>
      <c r="M918" s="39">
        <f t="shared" si="3"/>
        <v>37809.2</v>
      </c>
      <c r="N918" s="38" t="str">
        <f>VLOOKUP(F918,products!$A$2:$B$13,2,FALSE)</f>
        <v>Meat</v>
      </c>
      <c r="O918" s="133">
        <f t="shared" si="4"/>
        <v>0.8644196354</v>
      </c>
      <c r="P918" s="38" t="str">
        <f>VLOOKUP(E918,countries!A$2:E$250,3,false)</f>
        <v>Norway</v>
      </c>
      <c r="Q918" s="38" t="str">
        <f>VLOOKUP($E918,countries!$A$2:$E$250,4,false)</f>
        <v>Europe</v>
      </c>
      <c r="R918" s="38" t="str">
        <f>VLOOKUP($E918,countries!$A$2:$E$250,5,false)</f>
        <v>Northern Europe</v>
      </c>
      <c r="S918" s="38">
        <f t="shared" si="5"/>
        <v>19</v>
      </c>
      <c r="T918" s="38" t="s">
        <v>167</v>
      </c>
      <c r="U918" s="38">
        <v>2017.0</v>
      </c>
      <c r="V918" s="38">
        <v>3.0</v>
      </c>
      <c r="W918" s="38" t="s">
        <v>90</v>
      </c>
      <c r="X918" s="38" t="s">
        <v>183</v>
      </c>
      <c r="Y918" s="38" t="s">
        <v>146</v>
      </c>
      <c r="Z918" s="38" t="s">
        <v>170</v>
      </c>
      <c r="AA918" s="113" t="str">
        <f t="array" ref="AA918">PROPER(G918)</f>
        <v>Online</v>
      </c>
    </row>
    <row r="919">
      <c r="A919" s="110">
        <v>6.97617518E8</v>
      </c>
      <c r="B919" s="131">
        <v>41073.0</v>
      </c>
      <c r="C919" s="131">
        <v>41097.0</v>
      </c>
      <c r="D919" s="110" t="s">
        <v>89</v>
      </c>
      <c r="E919" s="110" t="e">
        <v>#N/A</v>
      </c>
      <c r="F919" s="110">
        <v>8875.0</v>
      </c>
      <c r="G919" s="38" t="s">
        <v>42</v>
      </c>
      <c r="H919" s="110">
        <v>9381.0</v>
      </c>
      <c r="I919" s="132">
        <v>421.89</v>
      </c>
      <c r="J919" s="132">
        <v>364.69</v>
      </c>
      <c r="K919" s="39">
        <f t="shared" si="1"/>
        <v>3957750.09</v>
      </c>
      <c r="L919" s="39">
        <f t="shared" si="2"/>
        <v>3421156.89</v>
      </c>
      <c r="M919" s="39">
        <f t="shared" si="3"/>
        <v>536593.2</v>
      </c>
      <c r="N919" s="38" t="str">
        <f>VLOOKUP(F919,products!$A$2:$B$13,2,FALSE)</f>
        <v>Meat</v>
      </c>
      <c r="O919" s="133">
        <f t="shared" si="4"/>
        <v>0.8644196354</v>
      </c>
      <c r="P919" s="38" t="str">
        <f>VLOOKUP(E919,countries!A$2:E$250,3,false)</f>
        <v>#N/A</v>
      </c>
      <c r="Q919" s="38" t="str">
        <f>VLOOKUP($E919,countries!$A$2:$E$250,4,false)</f>
        <v>#N/A</v>
      </c>
      <c r="R919" s="38" t="str">
        <f>VLOOKUP($E919,countries!$A$2:$E$250,5,false)</f>
        <v>#N/A</v>
      </c>
      <c r="S919" s="38">
        <f t="shared" si="5"/>
        <v>24</v>
      </c>
      <c r="T919" s="38" t="s">
        <v>167</v>
      </c>
      <c r="U919" s="38">
        <v>2012.0</v>
      </c>
      <c r="V919" s="38">
        <v>6.0</v>
      </c>
      <c r="W919" s="38" t="s">
        <v>92</v>
      </c>
      <c r="X919" s="38" t="s">
        <v>149</v>
      </c>
      <c r="Y919" s="38" t="s">
        <v>149</v>
      </c>
      <c r="Z919" s="38" t="s">
        <v>149</v>
      </c>
      <c r="AA919" s="113" t="str">
        <f t="array" ref="AA919">PROPER(G919)</f>
        <v>Offline</v>
      </c>
    </row>
    <row r="920">
      <c r="A920" s="110">
        <v>6.97638976E8</v>
      </c>
      <c r="B920" s="131">
        <v>42079.0</v>
      </c>
      <c r="C920" s="131">
        <v>42089.0</v>
      </c>
      <c r="D920" s="110" t="s">
        <v>93</v>
      </c>
      <c r="E920" s="110" t="s">
        <v>91</v>
      </c>
      <c r="F920" s="110">
        <v>5988.0</v>
      </c>
      <c r="G920" s="38" t="s">
        <v>42</v>
      </c>
      <c r="H920" s="110">
        <v>5731.0</v>
      </c>
      <c r="I920" s="132">
        <v>154.06</v>
      </c>
      <c r="J920" s="132">
        <v>90.93</v>
      </c>
      <c r="K920" s="39">
        <f t="shared" si="1"/>
        <v>882917.86</v>
      </c>
      <c r="L920" s="39">
        <f t="shared" si="2"/>
        <v>521119.83</v>
      </c>
      <c r="M920" s="39">
        <f t="shared" si="3"/>
        <v>361798.03</v>
      </c>
      <c r="N920" s="38" t="str">
        <f>VLOOKUP(F920,products!$A$2:$B$13,2,FALSE)</f>
        <v>Vegetables</v>
      </c>
      <c r="O920" s="133">
        <f t="shared" si="4"/>
        <v>0.5902245878</v>
      </c>
      <c r="P920" s="38" t="str">
        <f>VLOOKUP(E920,countries!A$2:E$250,3,false)</f>
        <v>Serbia</v>
      </c>
      <c r="Q920" s="38" t="str">
        <f>VLOOKUP($E920,countries!$A$2:$E$250,4,false)</f>
        <v>Europe</v>
      </c>
      <c r="R920" s="38" t="str">
        <f>VLOOKUP($E920,countries!$A$2:$E$250,5,false)</f>
        <v>Southern Europe</v>
      </c>
      <c r="S920" s="38">
        <f t="shared" si="5"/>
        <v>10</v>
      </c>
      <c r="T920" s="38" t="s">
        <v>159</v>
      </c>
      <c r="U920" s="38">
        <v>2015.0</v>
      </c>
      <c r="V920" s="38">
        <v>3.0</v>
      </c>
      <c r="W920" s="38" t="s">
        <v>91</v>
      </c>
      <c r="X920" s="38" t="s">
        <v>145</v>
      </c>
      <c r="Y920" s="38" t="s">
        <v>146</v>
      </c>
      <c r="Z920" s="38" t="s">
        <v>147</v>
      </c>
      <c r="AA920" s="113" t="str">
        <f t="array" ref="AA920">PROPER(G920)</f>
        <v>Offline</v>
      </c>
    </row>
    <row r="921">
      <c r="A921" s="110">
        <v>7.00069701E8</v>
      </c>
      <c r="B921" s="131">
        <v>42379.0</v>
      </c>
      <c r="C921" s="131">
        <v>42390.0</v>
      </c>
      <c r="D921" s="110" t="s">
        <v>93</v>
      </c>
      <c r="E921" s="110" t="e">
        <v>#N/A</v>
      </c>
      <c r="F921" s="110">
        <v>5988.0</v>
      </c>
      <c r="G921" s="38" t="s">
        <v>42</v>
      </c>
      <c r="H921" s="110">
        <v>5037.0</v>
      </c>
      <c r="I921" s="132">
        <v>154.06</v>
      </c>
      <c r="J921" s="132">
        <v>90.93</v>
      </c>
      <c r="K921" s="39">
        <f t="shared" si="1"/>
        <v>776000.22</v>
      </c>
      <c r="L921" s="39">
        <f t="shared" si="2"/>
        <v>458014.41</v>
      </c>
      <c r="M921" s="39">
        <f t="shared" si="3"/>
        <v>317985.81</v>
      </c>
      <c r="N921" s="38" t="str">
        <f>VLOOKUP(F921,products!$A$2:$B$13,2,FALSE)</f>
        <v>Vegetables</v>
      </c>
      <c r="O921" s="133">
        <f t="shared" si="4"/>
        <v>0.5902245878</v>
      </c>
      <c r="P921" s="38" t="str">
        <f>VLOOKUP(E921,countries!A$2:E$250,3,false)</f>
        <v>#N/A</v>
      </c>
      <c r="Q921" s="38" t="str">
        <f>VLOOKUP($E921,countries!$A$2:$E$250,4,false)</f>
        <v>#N/A</v>
      </c>
      <c r="R921" s="38" t="str">
        <f>VLOOKUP($E921,countries!$A$2:$E$250,5,false)</f>
        <v>#N/A</v>
      </c>
      <c r="S921" s="38">
        <f t="shared" si="5"/>
        <v>11</v>
      </c>
      <c r="T921" s="38" t="s">
        <v>159</v>
      </c>
      <c r="U921" s="38">
        <v>2016.0</v>
      </c>
      <c r="V921" s="38">
        <v>1.0</v>
      </c>
      <c r="W921" s="38" t="s">
        <v>92</v>
      </c>
      <c r="X921" s="38" t="s">
        <v>149</v>
      </c>
      <c r="Y921" s="38" t="s">
        <v>149</v>
      </c>
      <c r="Z921" s="38" t="s">
        <v>149</v>
      </c>
      <c r="AA921" s="113" t="str">
        <f t="array" ref="AA921">PROPER(G921)</f>
        <v>Offline</v>
      </c>
    </row>
    <row r="922">
      <c r="A922" s="110">
        <v>7.00304019E8</v>
      </c>
      <c r="B922" s="131">
        <v>41966.0</v>
      </c>
      <c r="C922" s="131">
        <v>41994.0</v>
      </c>
      <c r="D922" s="110" t="s">
        <v>89</v>
      </c>
      <c r="E922" s="110" t="s">
        <v>104</v>
      </c>
      <c r="F922" s="110">
        <v>3127.0</v>
      </c>
      <c r="G922" s="38" t="s">
        <v>42</v>
      </c>
      <c r="H922" s="110">
        <v>4376.0</v>
      </c>
      <c r="I922" s="132">
        <v>81.73</v>
      </c>
      <c r="J922" s="132">
        <v>56.67</v>
      </c>
      <c r="K922" s="39">
        <f t="shared" si="1"/>
        <v>357650.48</v>
      </c>
      <c r="L922" s="39">
        <f t="shared" si="2"/>
        <v>247987.92</v>
      </c>
      <c r="M922" s="39">
        <f t="shared" si="3"/>
        <v>109662.56</v>
      </c>
      <c r="N922" s="38" t="str">
        <f>VLOOKUP(F922,products!$A$2:$B$13,2,FALSE)</f>
        <v>Personal Care</v>
      </c>
      <c r="O922" s="133">
        <f t="shared" si="4"/>
        <v>0.6933806436</v>
      </c>
      <c r="P922" s="38" t="str">
        <f>VLOOKUP(E922,countries!A$2:E$250,3,false)</f>
        <v>Slovenia</v>
      </c>
      <c r="Q922" s="38" t="str">
        <f>VLOOKUP($E922,countries!$A$2:$E$250,4,false)</f>
        <v>Europe</v>
      </c>
      <c r="R922" s="38" t="str">
        <f>VLOOKUP($E922,countries!$A$2:$E$250,5,false)</f>
        <v>Southern Europe</v>
      </c>
      <c r="S922" s="38">
        <f t="shared" si="5"/>
        <v>28</v>
      </c>
      <c r="T922" s="38" t="s">
        <v>185</v>
      </c>
      <c r="U922" s="38">
        <v>2014.0</v>
      </c>
      <c r="V922" s="38">
        <v>11.0</v>
      </c>
      <c r="W922" s="38" t="s">
        <v>104</v>
      </c>
      <c r="X922" s="38" t="s">
        <v>171</v>
      </c>
      <c r="Y922" s="38" t="s">
        <v>146</v>
      </c>
      <c r="Z922" s="38" t="s">
        <v>147</v>
      </c>
      <c r="AA922" s="113" t="str">
        <f t="array" ref="AA922">PROPER(G922)</f>
        <v>Offline</v>
      </c>
    </row>
    <row r="923">
      <c r="A923" s="110">
        <v>7.01298367E8</v>
      </c>
      <c r="B923" s="131">
        <v>40885.0</v>
      </c>
      <c r="C923" s="131">
        <v>40914.0</v>
      </c>
      <c r="D923" s="110" t="s">
        <v>89</v>
      </c>
      <c r="E923" s="110" t="s">
        <v>138</v>
      </c>
      <c r="F923" s="110">
        <v>3127.0</v>
      </c>
      <c r="G923" s="38" t="s">
        <v>42</v>
      </c>
      <c r="H923" s="110">
        <v>8626.0</v>
      </c>
      <c r="I923" s="132">
        <v>81.73</v>
      </c>
      <c r="J923" s="132">
        <v>56.67</v>
      </c>
      <c r="K923" s="39">
        <f t="shared" si="1"/>
        <v>705002.98</v>
      </c>
      <c r="L923" s="39">
        <f t="shared" si="2"/>
        <v>488835.42</v>
      </c>
      <c r="M923" s="39">
        <f t="shared" si="3"/>
        <v>216167.56</v>
      </c>
      <c r="N923" s="38" t="str">
        <f>VLOOKUP(F923,products!$A$2:$B$13,2,FALSE)</f>
        <v>Personal Care</v>
      </c>
      <c r="O923" s="133">
        <f t="shared" si="4"/>
        <v>0.6933806436</v>
      </c>
      <c r="P923" s="38" t="str">
        <f>VLOOKUP(E923,countries!A$2:E$250,3,false)</f>
        <v>Greece</v>
      </c>
      <c r="Q923" s="38" t="str">
        <f>VLOOKUP($E923,countries!$A$2:$E$250,4,false)</f>
        <v>Europe</v>
      </c>
      <c r="R923" s="38" t="str">
        <f>VLOOKUP($E923,countries!$A$2:$E$250,5,false)</f>
        <v>Southern Europe</v>
      </c>
      <c r="S923" s="38">
        <f t="shared" si="5"/>
        <v>29</v>
      </c>
      <c r="T923" s="38" t="s">
        <v>185</v>
      </c>
      <c r="U923" s="38">
        <v>2011.0</v>
      </c>
      <c r="V923" s="38">
        <v>12.0</v>
      </c>
      <c r="W923" s="38" t="s">
        <v>138</v>
      </c>
      <c r="X923" s="38" t="s">
        <v>208</v>
      </c>
      <c r="Y923" s="38" t="s">
        <v>146</v>
      </c>
      <c r="Z923" s="38" t="s">
        <v>147</v>
      </c>
      <c r="AA923" s="113" t="str">
        <f t="array" ref="AA923">PROPER(G923)</f>
        <v>Offline</v>
      </c>
    </row>
    <row r="924">
      <c r="A924" s="110">
        <v>7.02357947E8</v>
      </c>
      <c r="B924" s="131">
        <v>41644.0</v>
      </c>
      <c r="C924" s="131">
        <v>41674.0</v>
      </c>
      <c r="D924" s="110" t="s">
        <v>93</v>
      </c>
      <c r="E924" s="110" t="s">
        <v>127</v>
      </c>
      <c r="F924" s="110">
        <v>3127.0</v>
      </c>
      <c r="G924" s="38" t="s">
        <v>42</v>
      </c>
      <c r="H924" s="110">
        <v>2179.0</v>
      </c>
      <c r="I924" s="132">
        <v>81.73</v>
      </c>
      <c r="J924" s="132">
        <v>56.67</v>
      </c>
      <c r="K924" s="39">
        <f t="shared" si="1"/>
        <v>178089.67</v>
      </c>
      <c r="L924" s="39">
        <f t="shared" si="2"/>
        <v>123483.93</v>
      </c>
      <c r="M924" s="39">
        <f t="shared" si="3"/>
        <v>54605.74</v>
      </c>
      <c r="N924" s="38" t="str">
        <f>VLOOKUP(F924,products!$A$2:$B$13,2,FALSE)</f>
        <v>Personal Care</v>
      </c>
      <c r="O924" s="133">
        <f t="shared" si="4"/>
        <v>0.6933806436</v>
      </c>
      <c r="P924" s="38" t="str">
        <f>VLOOKUP(E924,countries!A$2:E$250,3,false)</f>
        <v>Ireland</v>
      </c>
      <c r="Q924" s="38" t="str">
        <f>VLOOKUP($E924,countries!$A$2:$E$250,4,false)</f>
        <v>Europe</v>
      </c>
      <c r="R924" s="38" t="str">
        <f>VLOOKUP($E924,countries!$A$2:$E$250,5,false)</f>
        <v>Northern Europe</v>
      </c>
      <c r="S924" s="38">
        <f t="shared" si="5"/>
        <v>30</v>
      </c>
      <c r="T924" s="38" t="s">
        <v>185</v>
      </c>
      <c r="U924" s="38">
        <v>2014.0</v>
      </c>
      <c r="V924" s="38">
        <v>1.0</v>
      </c>
      <c r="W924" s="38" t="s">
        <v>127</v>
      </c>
      <c r="X924" s="38" t="s">
        <v>198</v>
      </c>
      <c r="Y924" s="38" t="s">
        <v>146</v>
      </c>
      <c r="Z924" s="38" t="s">
        <v>170</v>
      </c>
      <c r="AA924" s="113" t="str">
        <f t="array" ref="AA924">PROPER(G924)</f>
        <v>Offline</v>
      </c>
    </row>
    <row r="925">
      <c r="A925" s="110">
        <v>7.02815854E8</v>
      </c>
      <c r="B925" s="131">
        <v>40314.0</v>
      </c>
      <c r="C925" s="131">
        <v>40335.0</v>
      </c>
      <c r="D925" s="110" t="s">
        <v>93</v>
      </c>
      <c r="E925" s="110" t="s">
        <v>135</v>
      </c>
      <c r="F925" s="110">
        <v>7940.0</v>
      </c>
      <c r="G925" s="38" t="s">
        <v>43</v>
      </c>
      <c r="H925" s="110">
        <v>7684.0</v>
      </c>
      <c r="I925" s="132">
        <v>668.27</v>
      </c>
      <c r="J925" s="132">
        <v>502.54</v>
      </c>
      <c r="K925" s="39">
        <f t="shared" si="1"/>
        <v>5134986.68</v>
      </c>
      <c r="L925" s="39">
        <f t="shared" si="2"/>
        <v>3861517.36</v>
      </c>
      <c r="M925" s="39">
        <f t="shared" si="3"/>
        <v>1273469.32</v>
      </c>
      <c r="N925" s="38" t="str">
        <f>VLOOKUP(F925,products!$A$2:$B$13,2,FALSE)</f>
        <v>Household</v>
      </c>
      <c r="O925" s="133">
        <f t="shared" si="4"/>
        <v>0.7520014365</v>
      </c>
      <c r="P925" s="38" t="str">
        <f>VLOOKUP(E925,countries!A$2:E$250,3,false)</f>
        <v>Denmark</v>
      </c>
      <c r="Q925" s="38" t="str">
        <f>VLOOKUP($E925,countries!$A$2:$E$250,4,false)</f>
        <v>Europe</v>
      </c>
      <c r="R925" s="38" t="str">
        <f>VLOOKUP($E925,countries!$A$2:$E$250,5,false)</f>
        <v>Northern Europe</v>
      </c>
      <c r="S925" s="38">
        <f t="shared" si="5"/>
        <v>21</v>
      </c>
      <c r="T925" s="38" t="s">
        <v>148</v>
      </c>
      <c r="U925" s="38">
        <v>2010.0</v>
      </c>
      <c r="V925" s="38">
        <v>5.0</v>
      </c>
      <c r="W925" s="38" t="s">
        <v>135</v>
      </c>
      <c r="X925" s="38" t="s">
        <v>205</v>
      </c>
      <c r="Y925" s="38" t="s">
        <v>146</v>
      </c>
      <c r="Z925" s="38" t="s">
        <v>170</v>
      </c>
      <c r="AA925" s="113" t="str">
        <f t="array" ref="AA925">PROPER(G925)</f>
        <v>Online</v>
      </c>
    </row>
    <row r="926">
      <c r="A926" s="110">
        <v>7.03966844E8</v>
      </c>
      <c r="B926" s="131">
        <v>41596.0</v>
      </c>
      <c r="C926" s="131">
        <v>41608.0</v>
      </c>
      <c r="D926" s="110" t="s">
        <v>10</v>
      </c>
      <c r="E926" s="110" t="s">
        <v>91</v>
      </c>
      <c r="F926" s="110">
        <v>8969.0</v>
      </c>
      <c r="G926" s="38" t="s">
        <v>42</v>
      </c>
      <c r="H926" s="110">
        <v>8288.0</v>
      </c>
      <c r="I926" s="132">
        <v>152.58</v>
      </c>
      <c r="J926" s="132">
        <v>97.44</v>
      </c>
      <c r="K926" s="39">
        <f t="shared" si="1"/>
        <v>1264583.04</v>
      </c>
      <c r="L926" s="39">
        <f t="shared" si="2"/>
        <v>807582.72</v>
      </c>
      <c r="M926" s="39">
        <f t="shared" si="3"/>
        <v>457000.32</v>
      </c>
      <c r="N926" s="38" t="str">
        <f>VLOOKUP(F926,products!$A$2:$B$13,2,FALSE)</f>
        <v>Snacks</v>
      </c>
      <c r="O926" s="133">
        <f t="shared" si="4"/>
        <v>0.6386158081</v>
      </c>
      <c r="P926" s="38" t="str">
        <f>VLOOKUP(E926,countries!A$2:E$250,3,false)</f>
        <v>Serbia</v>
      </c>
      <c r="Q926" s="38" t="str">
        <f>VLOOKUP($E926,countries!$A$2:$E$250,4,false)</f>
        <v>Europe</v>
      </c>
      <c r="R926" s="38" t="str">
        <f>VLOOKUP($E926,countries!$A$2:$E$250,5,false)</f>
        <v>Southern Europe</v>
      </c>
      <c r="S926" s="38">
        <f t="shared" si="5"/>
        <v>12</v>
      </c>
      <c r="T926" s="38" t="s">
        <v>182</v>
      </c>
      <c r="U926" s="38">
        <v>2013.0</v>
      </c>
      <c r="V926" s="38">
        <v>11.0</v>
      </c>
      <c r="W926" s="38" t="s">
        <v>91</v>
      </c>
      <c r="X926" s="38" t="s">
        <v>145</v>
      </c>
      <c r="Y926" s="38" t="s">
        <v>146</v>
      </c>
      <c r="Z926" s="38" t="s">
        <v>147</v>
      </c>
      <c r="AA926" s="113" t="str">
        <f t="array" ref="AA926">PROPER(G926)</f>
        <v>Offline</v>
      </c>
    </row>
    <row r="927">
      <c r="A927" s="110">
        <v>7.04139363E8</v>
      </c>
      <c r="B927" s="131">
        <v>42933.0</v>
      </c>
      <c r="C927" s="131">
        <v>42978.0</v>
      </c>
      <c r="D927" s="110" t="s">
        <v>89</v>
      </c>
      <c r="E927" s="110" t="s">
        <v>119</v>
      </c>
      <c r="F927" s="110">
        <v>1270.0</v>
      </c>
      <c r="G927" s="38" t="s">
        <v>42</v>
      </c>
      <c r="H927" s="110">
        <v>9340.0</v>
      </c>
      <c r="I927" s="132">
        <v>47.45</v>
      </c>
      <c r="J927" s="132">
        <v>31.79</v>
      </c>
      <c r="K927" s="39">
        <f t="shared" si="1"/>
        <v>443183</v>
      </c>
      <c r="L927" s="39">
        <f t="shared" si="2"/>
        <v>296918.6</v>
      </c>
      <c r="M927" s="39">
        <f t="shared" si="3"/>
        <v>146264.4</v>
      </c>
      <c r="N927" s="38" t="str">
        <f>VLOOKUP(F927,products!$A$2:$B$13,2,FALSE)</f>
        <v>Beverages</v>
      </c>
      <c r="O927" s="133">
        <f t="shared" si="4"/>
        <v>0.6699683878</v>
      </c>
      <c r="P927" s="38" t="str">
        <f>VLOOKUP(E927,countries!A$2:E$250,3,false)</f>
        <v>Macedonia</v>
      </c>
      <c r="Q927" s="38" t="str">
        <f>VLOOKUP($E927,countries!$A$2:$E$250,4,false)</f>
        <v>Europe</v>
      </c>
      <c r="R927" s="38" t="str">
        <f>VLOOKUP($E927,countries!$A$2:$E$250,5,false)</f>
        <v>Southern Europe</v>
      </c>
      <c r="S927" s="38">
        <f t="shared" si="5"/>
        <v>45</v>
      </c>
      <c r="T927" s="38" t="s">
        <v>152</v>
      </c>
      <c r="U927" s="38">
        <v>2017.0</v>
      </c>
      <c r="V927" s="38">
        <v>7.0</v>
      </c>
      <c r="W927" s="38" t="s">
        <v>119</v>
      </c>
      <c r="X927" s="38" t="s">
        <v>190</v>
      </c>
      <c r="Y927" s="38" t="s">
        <v>146</v>
      </c>
      <c r="Z927" s="38" t="s">
        <v>147</v>
      </c>
      <c r="AA927" s="113" t="str">
        <f t="array" ref="AA927">PROPER(G927)</f>
        <v>Offline</v>
      </c>
    </row>
    <row r="928">
      <c r="A928" s="110">
        <v>7.04233348E8</v>
      </c>
      <c r="B928" s="131">
        <v>42691.0</v>
      </c>
      <c r="C928" s="131">
        <v>42700.0</v>
      </c>
      <c r="D928" s="110" t="s">
        <v>93</v>
      </c>
      <c r="E928" s="110" t="s">
        <v>126</v>
      </c>
      <c r="F928" s="110">
        <v>4594.0</v>
      </c>
      <c r="G928" s="38" t="s">
        <v>42</v>
      </c>
      <c r="H928" s="110">
        <v>7152.0</v>
      </c>
      <c r="I928" s="132">
        <v>9.33</v>
      </c>
      <c r="J928" s="132">
        <v>6.92</v>
      </c>
      <c r="K928" s="39">
        <f t="shared" si="1"/>
        <v>66728.16</v>
      </c>
      <c r="L928" s="39">
        <f t="shared" si="2"/>
        <v>49491.84</v>
      </c>
      <c r="M928" s="39">
        <f t="shared" si="3"/>
        <v>17236.32</v>
      </c>
      <c r="N928" s="38" t="str">
        <f>VLOOKUP(F928,products!$A$2:$B$13,2,FALSE)</f>
        <v>Fruits</v>
      </c>
      <c r="O928" s="133">
        <f t="shared" si="4"/>
        <v>0.741693462</v>
      </c>
      <c r="P928" s="38" t="str">
        <f>VLOOKUP(E928,countries!A$2:E$250,3,false)</f>
        <v>Italy</v>
      </c>
      <c r="Q928" s="38" t="str">
        <f>VLOOKUP($E928,countries!$A$2:$E$250,4,false)</f>
        <v>Europe</v>
      </c>
      <c r="R928" s="38" t="str">
        <f>VLOOKUP($E928,countries!$A$2:$E$250,5,false)</f>
        <v>Southern Europe</v>
      </c>
      <c r="S928" s="38">
        <f t="shared" si="5"/>
        <v>9</v>
      </c>
      <c r="T928" s="38" t="s">
        <v>156</v>
      </c>
      <c r="U928" s="38">
        <v>2016.0</v>
      </c>
      <c r="V928" s="38">
        <v>11.0</v>
      </c>
      <c r="W928" s="38" t="s">
        <v>126</v>
      </c>
      <c r="X928" s="38" t="s">
        <v>197</v>
      </c>
      <c r="Y928" s="38" t="s">
        <v>146</v>
      </c>
      <c r="Z928" s="38" t="s">
        <v>147</v>
      </c>
      <c r="AA928" s="113" t="str">
        <f t="array" ref="AA928">PROPER(G928)</f>
        <v>Offline</v>
      </c>
    </row>
    <row r="929">
      <c r="A929" s="110">
        <v>7.04361665E8</v>
      </c>
      <c r="B929" s="131">
        <v>42399.0</v>
      </c>
      <c r="C929" s="131">
        <v>42430.0</v>
      </c>
      <c r="D929" s="110" t="s">
        <v>10</v>
      </c>
      <c r="E929" s="110" t="s">
        <v>96</v>
      </c>
      <c r="F929" s="110">
        <v>7940.0</v>
      </c>
      <c r="G929" s="38" t="s">
        <v>43</v>
      </c>
      <c r="H929" s="110">
        <v>5124.0</v>
      </c>
      <c r="I929" s="132">
        <v>668.27</v>
      </c>
      <c r="J929" s="132">
        <v>502.54</v>
      </c>
      <c r="K929" s="39">
        <f t="shared" si="1"/>
        <v>3424215.48</v>
      </c>
      <c r="L929" s="39">
        <f t="shared" si="2"/>
        <v>2575014.96</v>
      </c>
      <c r="M929" s="39">
        <f t="shared" si="3"/>
        <v>849200.52</v>
      </c>
      <c r="N929" s="38" t="str">
        <f>VLOOKUP(F929,products!$A$2:$B$13,2,FALSE)</f>
        <v>Household</v>
      </c>
      <c r="O929" s="133">
        <f t="shared" si="4"/>
        <v>0.7520014365</v>
      </c>
      <c r="P929" s="38" t="str">
        <f>VLOOKUP(E929,countries!A$2:E$250,3,false)</f>
        <v>Slovakia</v>
      </c>
      <c r="Q929" s="38" t="str">
        <f>VLOOKUP($E929,countries!$A$2:$E$250,4,false)</f>
        <v>Europe</v>
      </c>
      <c r="R929" s="38" t="str">
        <f>VLOOKUP($E929,countries!$A$2:$E$250,5,false)</f>
        <v>Eastern Europe</v>
      </c>
      <c r="S929" s="38">
        <f t="shared" si="5"/>
        <v>31</v>
      </c>
      <c r="T929" s="38" t="s">
        <v>148</v>
      </c>
      <c r="U929" s="38">
        <v>2016.0</v>
      </c>
      <c r="V929" s="38">
        <v>1.0</v>
      </c>
      <c r="W929" s="38" t="s">
        <v>96</v>
      </c>
      <c r="X929" s="38" t="s">
        <v>154</v>
      </c>
      <c r="Y929" s="38" t="s">
        <v>146</v>
      </c>
      <c r="Z929" s="38" t="s">
        <v>155</v>
      </c>
      <c r="AA929" s="113" t="str">
        <f t="array" ref="AA929">PROPER(G929)</f>
        <v>Online</v>
      </c>
    </row>
    <row r="930">
      <c r="A930" s="110">
        <v>7.06176555E8</v>
      </c>
      <c r="B930" s="131">
        <v>42048.0</v>
      </c>
      <c r="C930" s="131">
        <v>42061.0</v>
      </c>
      <c r="D930" s="110" t="s">
        <v>10</v>
      </c>
      <c r="E930" s="110" t="s">
        <v>137</v>
      </c>
      <c r="F930" s="110">
        <v>5988.0</v>
      </c>
      <c r="G930" s="38" t="s">
        <v>42</v>
      </c>
      <c r="H930" s="110">
        <v>2190.0</v>
      </c>
      <c r="I930" s="132">
        <v>154.06</v>
      </c>
      <c r="J930" s="132">
        <v>90.93</v>
      </c>
      <c r="K930" s="39">
        <f t="shared" si="1"/>
        <v>337391.4</v>
      </c>
      <c r="L930" s="39">
        <f t="shared" si="2"/>
        <v>199136.7</v>
      </c>
      <c r="M930" s="39">
        <f t="shared" si="3"/>
        <v>138254.7</v>
      </c>
      <c r="N930" s="38" t="str">
        <f>VLOOKUP(F930,products!$A$2:$B$13,2,FALSE)</f>
        <v>Vegetables</v>
      </c>
      <c r="O930" s="133">
        <f t="shared" si="4"/>
        <v>0.5902245878</v>
      </c>
      <c r="P930" s="38" t="str">
        <f>VLOOKUP(E930,countries!A$2:E$250,3,false)</f>
        <v>Iceland</v>
      </c>
      <c r="Q930" s="38" t="str">
        <f>VLOOKUP($E930,countries!$A$2:$E$250,4,false)</f>
        <v>Europe</v>
      </c>
      <c r="R930" s="38" t="str">
        <f>VLOOKUP($E930,countries!$A$2:$E$250,5,false)</f>
        <v>Northern Europe</v>
      </c>
      <c r="S930" s="38">
        <f t="shared" si="5"/>
        <v>13</v>
      </c>
      <c r="T930" s="38" t="s">
        <v>159</v>
      </c>
      <c r="U930" s="38">
        <v>2015.0</v>
      </c>
      <c r="V930" s="38">
        <v>2.0</v>
      </c>
      <c r="W930" s="38" t="s">
        <v>137</v>
      </c>
      <c r="X930" s="38" t="s">
        <v>207</v>
      </c>
      <c r="Y930" s="38" t="s">
        <v>146</v>
      </c>
      <c r="Z930" s="38" t="s">
        <v>170</v>
      </c>
      <c r="AA930" s="113" t="str">
        <f t="array" ref="AA930">PROPER(G930)</f>
        <v>Offline</v>
      </c>
    </row>
    <row r="931">
      <c r="A931" s="110">
        <v>7.06301438E8</v>
      </c>
      <c r="B931" s="131">
        <v>40931.0</v>
      </c>
      <c r="C931" s="131">
        <v>40950.0</v>
      </c>
      <c r="D931" s="110" t="s">
        <v>89</v>
      </c>
      <c r="E931" s="110" t="s">
        <v>138</v>
      </c>
      <c r="F931" s="110">
        <v>7940.0</v>
      </c>
      <c r="G931" s="38" t="s">
        <v>42</v>
      </c>
      <c r="H931" s="110">
        <v>9146.0</v>
      </c>
      <c r="I931" s="132">
        <v>668.27</v>
      </c>
      <c r="J931" s="132">
        <v>502.54</v>
      </c>
      <c r="K931" s="39">
        <f t="shared" si="1"/>
        <v>6111997.42</v>
      </c>
      <c r="L931" s="39">
        <f t="shared" si="2"/>
        <v>4596230.84</v>
      </c>
      <c r="M931" s="39">
        <f t="shared" si="3"/>
        <v>1515766.58</v>
      </c>
      <c r="N931" s="38" t="str">
        <f>VLOOKUP(F931,products!$A$2:$B$13,2,FALSE)</f>
        <v>Household</v>
      </c>
      <c r="O931" s="133">
        <f t="shared" si="4"/>
        <v>0.7520014365</v>
      </c>
      <c r="P931" s="38" t="str">
        <f>VLOOKUP(E931,countries!A$2:E$250,3,false)</f>
        <v>Greece</v>
      </c>
      <c r="Q931" s="38" t="str">
        <f>VLOOKUP($E931,countries!$A$2:$E$250,4,false)</f>
        <v>Europe</v>
      </c>
      <c r="R931" s="38" t="str">
        <f>VLOOKUP($E931,countries!$A$2:$E$250,5,false)</f>
        <v>Southern Europe</v>
      </c>
      <c r="S931" s="38">
        <f t="shared" si="5"/>
        <v>19</v>
      </c>
      <c r="T931" s="38" t="s">
        <v>148</v>
      </c>
      <c r="U931" s="38">
        <v>2012.0</v>
      </c>
      <c r="V931" s="38">
        <v>1.0</v>
      </c>
      <c r="W931" s="38" t="s">
        <v>138</v>
      </c>
      <c r="X931" s="38" t="s">
        <v>208</v>
      </c>
      <c r="Y931" s="38" t="s">
        <v>146</v>
      </c>
      <c r="Z931" s="38" t="s">
        <v>147</v>
      </c>
      <c r="AA931" s="113" t="str">
        <f t="array" ref="AA931">PROPER(G931)</f>
        <v>Offline</v>
      </c>
    </row>
    <row r="932">
      <c r="A932" s="110">
        <v>7.07661855E8</v>
      </c>
      <c r="B932" s="131">
        <v>42735.0</v>
      </c>
      <c r="C932" s="131">
        <v>42761.0</v>
      </c>
      <c r="D932" s="110" t="s">
        <v>89</v>
      </c>
      <c r="E932" s="110" t="s">
        <v>107</v>
      </c>
      <c r="F932" s="110">
        <v>4594.0</v>
      </c>
      <c r="G932" s="38" t="s">
        <v>42</v>
      </c>
      <c r="H932" s="110">
        <v>1723.0</v>
      </c>
      <c r="I932" s="132">
        <v>9.33</v>
      </c>
      <c r="J932" s="132">
        <v>6.92</v>
      </c>
      <c r="K932" s="39">
        <f t="shared" si="1"/>
        <v>16075.59</v>
      </c>
      <c r="L932" s="39">
        <f t="shared" si="2"/>
        <v>11923.16</v>
      </c>
      <c r="M932" s="39">
        <f t="shared" si="3"/>
        <v>4152.43</v>
      </c>
      <c r="N932" s="38" t="str">
        <f>VLOOKUP(F932,products!$A$2:$B$13,2,FALSE)</f>
        <v>Fruits</v>
      </c>
      <c r="O932" s="133">
        <f t="shared" si="4"/>
        <v>0.741693462</v>
      </c>
      <c r="P932" s="38" t="str">
        <f>VLOOKUP(E932,countries!A$2:E$250,3,false)</f>
        <v>Luxembourg</v>
      </c>
      <c r="Q932" s="38" t="str">
        <f>VLOOKUP($E932,countries!$A$2:$E$250,4,false)</f>
        <v>Europe</v>
      </c>
      <c r="R932" s="38" t="str">
        <f>VLOOKUP($E932,countries!$A$2:$E$250,5,false)</f>
        <v>Western Europe</v>
      </c>
      <c r="S932" s="38">
        <f t="shared" si="5"/>
        <v>26</v>
      </c>
      <c r="T932" s="38" t="s">
        <v>156</v>
      </c>
      <c r="U932" s="38">
        <v>2016.0</v>
      </c>
      <c r="V932" s="38">
        <v>12.0</v>
      </c>
      <c r="W932" s="38" t="s">
        <v>107</v>
      </c>
      <c r="X932" s="38" t="s">
        <v>174</v>
      </c>
      <c r="Y932" s="38" t="s">
        <v>146</v>
      </c>
      <c r="Z932" s="38" t="s">
        <v>158</v>
      </c>
      <c r="AA932" s="113" t="str">
        <f t="array" ref="AA932">PROPER(G932)</f>
        <v>Offline</v>
      </c>
    </row>
    <row r="933">
      <c r="A933" s="110">
        <v>7.07718932E8</v>
      </c>
      <c r="B933" s="131">
        <v>40542.0</v>
      </c>
      <c r="C933" s="131">
        <v>40549.0</v>
      </c>
      <c r="D933" s="110" t="s">
        <v>89</v>
      </c>
      <c r="E933" s="110" t="s">
        <v>119</v>
      </c>
      <c r="F933" s="110">
        <v>4594.0</v>
      </c>
      <c r="G933" s="38" t="s">
        <v>43</v>
      </c>
      <c r="H933" s="110">
        <v>8614.0</v>
      </c>
      <c r="I933" s="132">
        <v>9.33</v>
      </c>
      <c r="J933" s="132">
        <v>6.92</v>
      </c>
      <c r="K933" s="39">
        <f t="shared" si="1"/>
        <v>80368.62</v>
      </c>
      <c r="L933" s="39">
        <f t="shared" si="2"/>
        <v>59608.88</v>
      </c>
      <c r="M933" s="39">
        <f t="shared" si="3"/>
        <v>20759.74</v>
      </c>
      <c r="N933" s="38" t="str">
        <f>VLOOKUP(F933,products!$A$2:$B$13,2,FALSE)</f>
        <v>Fruits</v>
      </c>
      <c r="O933" s="133">
        <f t="shared" si="4"/>
        <v>0.741693462</v>
      </c>
      <c r="P933" s="38" t="str">
        <f>VLOOKUP(E933,countries!A$2:E$250,3,false)</f>
        <v>Macedonia</v>
      </c>
      <c r="Q933" s="38" t="str">
        <f>VLOOKUP($E933,countries!$A$2:$E$250,4,false)</f>
        <v>Europe</v>
      </c>
      <c r="R933" s="38" t="str">
        <f>VLOOKUP($E933,countries!$A$2:$E$250,5,false)</f>
        <v>Southern Europe</v>
      </c>
      <c r="S933" s="38">
        <f t="shared" si="5"/>
        <v>7</v>
      </c>
      <c r="T933" s="38" t="s">
        <v>156</v>
      </c>
      <c r="U933" s="38">
        <v>2010.0</v>
      </c>
      <c r="V933" s="38">
        <v>12.0</v>
      </c>
      <c r="W933" s="38" t="s">
        <v>119</v>
      </c>
      <c r="X933" s="38" t="s">
        <v>190</v>
      </c>
      <c r="Y933" s="38" t="s">
        <v>146</v>
      </c>
      <c r="Z933" s="38" t="s">
        <v>147</v>
      </c>
      <c r="AA933" s="113" t="str">
        <f t="array" ref="AA933">PROPER(G933)</f>
        <v>Online</v>
      </c>
    </row>
    <row r="934">
      <c r="A934" s="110">
        <v>7.08320605E8</v>
      </c>
      <c r="B934" s="131">
        <v>42631.0</v>
      </c>
      <c r="C934" s="131">
        <v>42648.0</v>
      </c>
      <c r="D934" s="110" t="s">
        <v>93</v>
      </c>
      <c r="E934" s="110" t="s">
        <v>120</v>
      </c>
      <c r="F934" s="110">
        <v>4594.0</v>
      </c>
      <c r="G934" s="38" t="s">
        <v>42</v>
      </c>
      <c r="H934" s="110">
        <v>6662.0</v>
      </c>
      <c r="I934" s="132">
        <v>9.33</v>
      </c>
      <c r="J934" s="132">
        <v>6.92</v>
      </c>
      <c r="K934" s="39">
        <f t="shared" si="1"/>
        <v>62156.46</v>
      </c>
      <c r="L934" s="39">
        <f t="shared" si="2"/>
        <v>46101.04</v>
      </c>
      <c r="M934" s="39">
        <f t="shared" si="3"/>
        <v>16055.42</v>
      </c>
      <c r="N934" s="38" t="str">
        <f>VLOOKUP(F934,products!$A$2:$B$13,2,FALSE)</f>
        <v>Fruits</v>
      </c>
      <c r="O934" s="133">
        <f t="shared" si="4"/>
        <v>0.741693462</v>
      </c>
      <c r="P934" s="38" t="str">
        <f>VLOOKUP(E934,countries!A$2:E$250,3,false)</f>
        <v>San Marino</v>
      </c>
      <c r="Q934" s="38" t="str">
        <f>VLOOKUP($E934,countries!$A$2:$E$250,4,false)</f>
        <v>Europe</v>
      </c>
      <c r="R934" s="38" t="str">
        <f>VLOOKUP($E934,countries!$A$2:$E$250,5,false)</f>
        <v>Southern Europe</v>
      </c>
      <c r="S934" s="38">
        <f t="shared" si="5"/>
        <v>17</v>
      </c>
      <c r="T934" s="38" t="s">
        <v>156</v>
      </c>
      <c r="U934" s="38">
        <v>2016.0</v>
      </c>
      <c r="V934" s="38">
        <v>9.0</v>
      </c>
      <c r="W934" s="38" t="s">
        <v>120</v>
      </c>
      <c r="X934" s="38" t="s">
        <v>191</v>
      </c>
      <c r="Y934" s="38" t="s">
        <v>146</v>
      </c>
      <c r="Z934" s="38" t="s">
        <v>147</v>
      </c>
      <c r="AA934" s="113" t="str">
        <f t="array" ref="AA934">PROPER(G934)</f>
        <v>Offline</v>
      </c>
    </row>
    <row r="935">
      <c r="A935" s="110">
        <v>7.09071195E8</v>
      </c>
      <c r="B935" s="131">
        <v>41078.0</v>
      </c>
      <c r="C935" s="131">
        <v>41123.0</v>
      </c>
      <c r="D935" s="110" t="s">
        <v>10</v>
      </c>
      <c r="E935" s="110" t="s">
        <v>108</v>
      </c>
      <c r="F935" s="110">
        <v>7940.0</v>
      </c>
      <c r="G935" s="38" t="s">
        <v>43</v>
      </c>
      <c r="H935" s="110">
        <v>8778.0</v>
      </c>
      <c r="I935" s="132">
        <v>668.27</v>
      </c>
      <c r="J935" s="132">
        <v>502.54</v>
      </c>
      <c r="K935" s="39">
        <f t="shared" si="1"/>
        <v>5866074.06</v>
      </c>
      <c r="L935" s="39">
        <f t="shared" si="2"/>
        <v>4411296.12</v>
      </c>
      <c r="M935" s="39">
        <f t="shared" si="3"/>
        <v>1454777.94</v>
      </c>
      <c r="N935" s="38" t="str">
        <f>VLOOKUP(F935,products!$A$2:$B$13,2,FALSE)</f>
        <v>Household</v>
      </c>
      <c r="O935" s="133">
        <f t="shared" si="4"/>
        <v>0.7520014365</v>
      </c>
      <c r="P935" s="38" t="str">
        <f>VLOOKUP(E935,countries!A$2:E$250,3,false)</f>
        <v>Cyprus</v>
      </c>
      <c r="Q935" s="38" t="str">
        <f>VLOOKUP($E935,countries!$A$2:$E$250,4,false)</f>
        <v>Asia</v>
      </c>
      <c r="R935" s="38" t="str">
        <f>VLOOKUP($E935,countries!$A$2:$E$250,5,false)</f>
        <v>Western Asia</v>
      </c>
      <c r="S935" s="38">
        <f t="shared" si="5"/>
        <v>45</v>
      </c>
      <c r="T935" s="38" t="s">
        <v>148</v>
      </c>
      <c r="U935" s="38">
        <v>2012.0</v>
      </c>
      <c r="V935" s="38">
        <v>6.0</v>
      </c>
      <c r="W935" s="38" t="s">
        <v>108</v>
      </c>
      <c r="X935" s="38" t="s">
        <v>175</v>
      </c>
      <c r="Y935" s="38" t="s">
        <v>165</v>
      </c>
      <c r="Z935" s="38" t="s">
        <v>166</v>
      </c>
      <c r="AA935" s="113" t="str">
        <f t="array" ref="AA935">PROPER(G935)</f>
        <v>Online</v>
      </c>
    </row>
    <row r="936">
      <c r="A936" s="110">
        <v>7.09105527E8</v>
      </c>
      <c r="B936" s="131">
        <v>41028.0</v>
      </c>
      <c r="C936" s="131">
        <v>41030.0</v>
      </c>
      <c r="D936" s="110" t="s">
        <v>10</v>
      </c>
      <c r="E936" s="110" t="s">
        <v>90</v>
      </c>
      <c r="F936" s="110">
        <v>2455.0</v>
      </c>
      <c r="G936" s="38" t="s">
        <v>43</v>
      </c>
      <c r="H936" s="110">
        <v>8938.0</v>
      </c>
      <c r="I936" s="132">
        <v>109.28</v>
      </c>
      <c r="J936" s="132">
        <v>35.84</v>
      </c>
      <c r="K936" s="39">
        <f t="shared" si="1"/>
        <v>976744.64</v>
      </c>
      <c r="L936" s="39">
        <f t="shared" si="2"/>
        <v>320337.92</v>
      </c>
      <c r="M936" s="39">
        <f t="shared" si="3"/>
        <v>656406.72</v>
      </c>
      <c r="N936" s="38" t="str">
        <f>VLOOKUP(F936,products!$A$2:$B$13,2,FALSE)</f>
        <v>Clothes</v>
      </c>
      <c r="O936" s="133">
        <f t="shared" si="4"/>
        <v>0.3279648609</v>
      </c>
      <c r="P936" s="38" t="str">
        <f>VLOOKUP(E936,countries!A$2:E$250,3,false)</f>
        <v>Norway</v>
      </c>
      <c r="Q936" s="38" t="str">
        <f>VLOOKUP($E936,countries!$A$2:$E$250,4,false)</f>
        <v>Europe</v>
      </c>
      <c r="R936" s="38" t="str">
        <f>VLOOKUP($E936,countries!$A$2:$E$250,5,false)</f>
        <v>Northern Europe</v>
      </c>
      <c r="S936" s="38">
        <f t="shared" si="5"/>
        <v>2</v>
      </c>
      <c r="T936" s="38" t="s">
        <v>150</v>
      </c>
      <c r="U936" s="38">
        <v>2012.0</v>
      </c>
      <c r="V936" s="38">
        <v>4.0</v>
      </c>
      <c r="W936" s="38" t="s">
        <v>90</v>
      </c>
      <c r="X936" s="38" t="s">
        <v>183</v>
      </c>
      <c r="Y936" s="38" t="s">
        <v>146</v>
      </c>
      <c r="Z936" s="38" t="s">
        <v>170</v>
      </c>
      <c r="AA936" s="113" t="str">
        <f t="array" ref="AA936">PROPER(G936)</f>
        <v>Online</v>
      </c>
    </row>
    <row r="937">
      <c r="A937" s="110">
        <v>7.09276759E8</v>
      </c>
      <c r="B937" s="131">
        <v>42747.0</v>
      </c>
      <c r="C937" s="131">
        <v>42795.0</v>
      </c>
      <c r="D937" s="110" t="s">
        <v>93</v>
      </c>
      <c r="E937" s="110" t="s">
        <v>105</v>
      </c>
      <c r="F937" s="110">
        <v>2455.0</v>
      </c>
      <c r="G937" s="38" t="s">
        <v>42</v>
      </c>
      <c r="H937" s="110">
        <v>9610.0</v>
      </c>
      <c r="I937" s="132">
        <v>109.28</v>
      </c>
      <c r="J937" s="132">
        <v>35.84</v>
      </c>
      <c r="K937" s="39">
        <f t="shared" si="1"/>
        <v>1050180.8</v>
      </c>
      <c r="L937" s="39">
        <f t="shared" si="2"/>
        <v>344422.4</v>
      </c>
      <c r="M937" s="39">
        <f t="shared" si="3"/>
        <v>705758.4</v>
      </c>
      <c r="N937" s="38" t="str">
        <f>VLOOKUP(F937,products!$A$2:$B$13,2,FALSE)</f>
        <v>Clothes</v>
      </c>
      <c r="O937" s="133">
        <f t="shared" si="4"/>
        <v>0.3279648609</v>
      </c>
      <c r="P937" s="38" t="str">
        <f>VLOOKUP(E937,countries!A$2:E$250,3,false)</f>
        <v>Romania</v>
      </c>
      <c r="Q937" s="38" t="str">
        <f>VLOOKUP($E937,countries!$A$2:$E$250,4,false)</f>
        <v>Europe</v>
      </c>
      <c r="R937" s="38" t="str">
        <f>VLOOKUP($E937,countries!$A$2:$E$250,5,false)</f>
        <v>Eastern Europe</v>
      </c>
      <c r="S937" s="38">
        <f t="shared" si="5"/>
        <v>48</v>
      </c>
      <c r="T937" s="38" t="s">
        <v>150</v>
      </c>
      <c r="U937" s="38">
        <v>2017.0</v>
      </c>
      <c r="V937" s="38">
        <v>1.0</v>
      </c>
      <c r="W937" s="38" t="s">
        <v>105</v>
      </c>
      <c r="X937" s="38" t="s">
        <v>172</v>
      </c>
      <c r="Y937" s="38" t="s">
        <v>146</v>
      </c>
      <c r="Z937" s="38" t="s">
        <v>155</v>
      </c>
      <c r="AA937" s="113" t="str">
        <f t="array" ref="AA937">PROPER(G937)</f>
        <v>Offline</v>
      </c>
    </row>
    <row r="938">
      <c r="A938" s="110">
        <v>7.12595832E8</v>
      </c>
      <c r="B938" s="131">
        <v>42087.0</v>
      </c>
      <c r="C938" s="131">
        <v>42091.0</v>
      </c>
      <c r="D938" s="110" t="s">
        <v>95</v>
      </c>
      <c r="E938" s="110" t="s">
        <v>113</v>
      </c>
      <c r="F938" s="110">
        <v>1270.0</v>
      </c>
      <c r="G938" s="38" t="s">
        <v>43</v>
      </c>
      <c r="H938" s="110">
        <v>1797.0</v>
      </c>
      <c r="I938" s="132">
        <v>47.45</v>
      </c>
      <c r="J938" s="132">
        <v>31.79</v>
      </c>
      <c r="K938" s="39">
        <f t="shared" si="1"/>
        <v>85267.65</v>
      </c>
      <c r="L938" s="39">
        <f t="shared" si="2"/>
        <v>57126.63</v>
      </c>
      <c r="M938" s="39">
        <f t="shared" si="3"/>
        <v>28141.02</v>
      </c>
      <c r="N938" s="38" t="str">
        <f>VLOOKUP(F938,products!$A$2:$B$13,2,FALSE)</f>
        <v>Beverages</v>
      </c>
      <c r="O938" s="133">
        <f t="shared" si="4"/>
        <v>0.6699683878</v>
      </c>
      <c r="P938" s="38" t="str">
        <f>VLOOKUP(E938,countries!A$2:E$250,3,false)</f>
        <v>Ukraine</v>
      </c>
      <c r="Q938" s="38" t="str">
        <f>VLOOKUP($E938,countries!$A$2:$E$250,4,false)</f>
        <v>Europe</v>
      </c>
      <c r="R938" s="38" t="str">
        <f>VLOOKUP($E938,countries!$A$2:$E$250,5,false)</f>
        <v>Eastern Europe</v>
      </c>
      <c r="S938" s="38">
        <f t="shared" si="5"/>
        <v>4</v>
      </c>
      <c r="T938" s="38" t="s">
        <v>152</v>
      </c>
      <c r="U938" s="38">
        <v>2015.0</v>
      </c>
      <c r="V938" s="38">
        <v>3.0</v>
      </c>
      <c r="W938" s="38" t="s">
        <v>113</v>
      </c>
      <c r="X938" s="38" t="s">
        <v>181</v>
      </c>
      <c r="Y938" s="38" t="s">
        <v>146</v>
      </c>
      <c r="Z938" s="38" t="s">
        <v>155</v>
      </c>
      <c r="AA938" s="113" t="str">
        <f t="array" ref="AA938">PROPER(G938)</f>
        <v>Online</v>
      </c>
    </row>
    <row r="939">
      <c r="A939" s="110">
        <v>7.13009965E8</v>
      </c>
      <c r="B939" s="131">
        <v>42689.0</v>
      </c>
      <c r="C939" s="131">
        <v>42720.0</v>
      </c>
      <c r="D939" s="110" t="s">
        <v>95</v>
      </c>
      <c r="E939" s="110" t="s">
        <v>128</v>
      </c>
      <c r="F939" s="110">
        <v>7940.0</v>
      </c>
      <c r="G939" s="38" t="s">
        <v>43</v>
      </c>
      <c r="H939" s="110">
        <v>4348.0</v>
      </c>
      <c r="I939" s="132">
        <v>668.27</v>
      </c>
      <c r="J939" s="132">
        <v>502.54</v>
      </c>
      <c r="K939" s="39">
        <f t="shared" si="1"/>
        <v>2905637.96</v>
      </c>
      <c r="L939" s="39">
        <f t="shared" si="2"/>
        <v>2185043.92</v>
      </c>
      <c r="M939" s="39">
        <f t="shared" si="3"/>
        <v>720594.04</v>
      </c>
      <c r="N939" s="38" t="str">
        <f>VLOOKUP(F939,products!$A$2:$B$13,2,FALSE)</f>
        <v>Household</v>
      </c>
      <c r="O939" s="133">
        <f t="shared" si="4"/>
        <v>0.7520014365</v>
      </c>
      <c r="P939" s="38" t="str">
        <f>VLOOKUP(E939,countries!A$2:E$250,3,false)</f>
        <v>Andorra</v>
      </c>
      <c r="Q939" s="38" t="str">
        <f>VLOOKUP($E939,countries!$A$2:$E$250,4,false)</f>
        <v>Europe</v>
      </c>
      <c r="R939" s="38" t="str">
        <f>VLOOKUP($E939,countries!$A$2:$E$250,5,false)</f>
        <v>Southern Europe</v>
      </c>
      <c r="S939" s="38">
        <f t="shared" si="5"/>
        <v>31</v>
      </c>
      <c r="T939" s="38" t="s">
        <v>148</v>
      </c>
      <c r="U939" s="38">
        <v>2016.0</v>
      </c>
      <c r="V939" s="38">
        <v>11.0</v>
      </c>
      <c r="W939" s="38" t="s">
        <v>128</v>
      </c>
      <c r="X939" s="38" t="s">
        <v>199</v>
      </c>
      <c r="Y939" s="38" t="s">
        <v>146</v>
      </c>
      <c r="Z939" s="38" t="s">
        <v>147</v>
      </c>
      <c r="AA939" s="113" t="str">
        <f t="array" ref="AA939">PROPER(G939)</f>
        <v>Online</v>
      </c>
    </row>
    <row r="940">
      <c r="A940" s="110">
        <v>7.1335715E8</v>
      </c>
      <c r="B940" s="131">
        <v>41038.0</v>
      </c>
      <c r="C940" s="131">
        <v>41063.0</v>
      </c>
      <c r="D940" s="110" t="s">
        <v>95</v>
      </c>
      <c r="E940" s="110" t="s">
        <v>135</v>
      </c>
      <c r="F940" s="110">
        <v>2455.0</v>
      </c>
      <c r="G940" s="38" t="s">
        <v>42</v>
      </c>
      <c r="H940" s="110">
        <v>7088.0</v>
      </c>
      <c r="I940" s="132">
        <v>109.28</v>
      </c>
      <c r="J940" s="132">
        <v>35.84</v>
      </c>
      <c r="K940" s="39">
        <f t="shared" si="1"/>
        <v>774576.64</v>
      </c>
      <c r="L940" s="39">
        <f t="shared" si="2"/>
        <v>254033.92</v>
      </c>
      <c r="M940" s="39">
        <f t="shared" si="3"/>
        <v>520542.72</v>
      </c>
      <c r="N940" s="38" t="str">
        <f>VLOOKUP(F940,products!$A$2:$B$13,2,FALSE)</f>
        <v>Clothes</v>
      </c>
      <c r="O940" s="133">
        <f t="shared" si="4"/>
        <v>0.3279648609</v>
      </c>
      <c r="P940" s="38" t="str">
        <f>VLOOKUP(E940,countries!A$2:E$250,3,false)</f>
        <v>Denmark</v>
      </c>
      <c r="Q940" s="38" t="str">
        <f>VLOOKUP($E940,countries!$A$2:$E$250,4,false)</f>
        <v>Europe</v>
      </c>
      <c r="R940" s="38" t="str">
        <f>VLOOKUP($E940,countries!$A$2:$E$250,5,false)</f>
        <v>Northern Europe</v>
      </c>
      <c r="S940" s="38">
        <f t="shared" si="5"/>
        <v>25</v>
      </c>
      <c r="T940" s="38" t="s">
        <v>150</v>
      </c>
      <c r="U940" s="38">
        <v>2012.0</v>
      </c>
      <c r="V940" s="38">
        <v>5.0</v>
      </c>
      <c r="W940" s="38" t="s">
        <v>135</v>
      </c>
      <c r="X940" s="38" t="s">
        <v>205</v>
      </c>
      <c r="Y940" s="38" t="s">
        <v>146</v>
      </c>
      <c r="Z940" s="38" t="s">
        <v>170</v>
      </c>
      <c r="AA940" s="113" t="str">
        <f t="array" ref="AA940">PROPER(G940)</f>
        <v>Offline</v>
      </c>
    </row>
    <row r="941">
      <c r="A941" s="110">
        <v>7.14165675E8</v>
      </c>
      <c r="B941" s="131">
        <v>41647.0</v>
      </c>
      <c r="C941" s="131">
        <v>41672.0</v>
      </c>
      <c r="D941" s="110" t="s">
        <v>10</v>
      </c>
      <c r="E941" s="110" t="s">
        <v>106</v>
      </c>
      <c r="F941" s="110">
        <v>1270.0</v>
      </c>
      <c r="G941" s="38" t="s">
        <v>42</v>
      </c>
      <c r="H941" s="110">
        <v>6348.0</v>
      </c>
      <c r="I941" s="132">
        <v>47.45</v>
      </c>
      <c r="J941" s="132">
        <v>31.79</v>
      </c>
      <c r="K941" s="39">
        <f t="shared" si="1"/>
        <v>301212.6</v>
      </c>
      <c r="L941" s="39">
        <f t="shared" si="2"/>
        <v>201802.92</v>
      </c>
      <c r="M941" s="39">
        <f t="shared" si="3"/>
        <v>99409.68</v>
      </c>
      <c r="N941" s="38" t="str">
        <f>VLOOKUP(F941,products!$A$2:$B$13,2,FALSE)</f>
        <v>Beverages</v>
      </c>
      <c r="O941" s="133">
        <f t="shared" si="4"/>
        <v>0.6699683878</v>
      </c>
      <c r="P941" s="38" t="str">
        <f>VLOOKUP(E941,countries!A$2:E$250,3,false)</f>
        <v>Poland</v>
      </c>
      <c r="Q941" s="38" t="str">
        <f>VLOOKUP($E941,countries!$A$2:$E$250,4,false)</f>
        <v>Europe</v>
      </c>
      <c r="R941" s="38" t="str">
        <f>VLOOKUP($E941,countries!$A$2:$E$250,5,false)</f>
        <v>Eastern Europe</v>
      </c>
      <c r="S941" s="38">
        <f t="shared" si="5"/>
        <v>25</v>
      </c>
      <c r="T941" s="38" t="s">
        <v>152</v>
      </c>
      <c r="U941" s="38">
        <v>2014.0</v>
      </c>
      <c r="V941" s="38">
        <v>1.0</v>
      </c>
      <c r="W941" s="38" t="s">
        <v>106</v>
      </c>
      <c r="X941" s="38" t="s">
        <v>173</v>
      </c>
      <c r="Y941" s="38" t="s">
        <v>146</v>
      </c>
      <c r="Z941" s="38" t="s">
        <v>155</v>
      </c>
      <c r="AA941" s="113" t="str">
        <f t="array" ref="AA941">PROPER(G941)</f>
        <v>Offline</v>
      </c>
    </row>
    <row r="942">
      <c r="A942" s="110">
        <v>7.15309798E8</v>
      </c>
      <c r="B942" s="131">
        <v>41280.0</v>
      </c>
      <c r="C942" s="131">
        <v>41315.0</v>
      </c>
      <c r="D942" s="110" t="s">
        <v>89</v>
      </c>
      <c r="E942" s="110" t="s">
        <v>126</v>
      </c>
      <c r="F942" s="110">
        <v>2103.0</v>
      </c>
      <c r="G942" s="38" t="s">
        <v>43</v>
      </c>
      <c r="H942" s="110">
        <v>4920.0</v>
      </c>
      <c r="I942" s="132">
        <v>205.7</v>
      </c>
      <c r="J942" s="132">
        <v>117.11</v>
      </c>
      <c r="K942" s="39">
        <f t="shared" si="1"/>
        <v>1012044</v>
      </c>
      <c r="L942" s="39">
        <f t="shared" si="2"/>
        <v>576181.2</v>
      </c>
      <c r="M942" s="39">
        <f t="shared" si="3"/>
        <v>435862.8</v>
      </c>
      <c r="N942" s="38" t="str">
        <f>VLOOKUP(F942,products!$A$2:$B$13,2,FALSE)</f>
        <v>Cereal</v>
      </c>
      <c r="O942" s="133">
        <f t="shared" si="4"/>
        <v>0.5693242586</v>
      </c>
      <c r="P942" s="38" t="str">
        <f>VLOOKUP(E942,countries!A$2:E$250,3,false)</f>
        <v>Italy</v>
      </c>
      <c r="Q942" s="38" t="str">
        <f>VLOOKUP($E942,countries!$A$2:$E$250,4,false)</f>
        <v>Europe</v>
      </c>
      <c r="R942" s="38" t="str">
        <f>VLOOKUP($E942,countries!$A$2:$E$250,5,false)</f>
        <v>Southern Europe</v>
      </c>
      <c r="S942" s="38">
        <f t="shared" si="5"/>
        <v>35</v>
      </c>
      <c r="T942" s="38" t="s">
        <v>144</v>
      </c>
      <c r="U942" s="38">
        <v>2013.0</v>
      </c>
      <c r="V942" s="38">
        <v>1.0</v>
      </c>
      <c r="W942" s="38" t="s">
        <v>126</v>
      </c>
      <c r="X942" s="38" t="s">
        <v>197</v>
      </c>
      <c r="Y942" s="38" t="s">
        <v>146</v>
      </c>
      <c r="Z942" s="38" t="s">
        <v>147</v>
      </c>
      <c r="AA942" s="113" t="str">
        <f t="array" ref="AA942">PROPER(G942)</f>
        <v>Online</v>
      </c>
    </row>
    <row r="943">
      <c r="A943" s="110">
        <v>7.15863835E8</v>
      </c>
      <c r="B943" s="131">
        <v>40915.0</v>
      </c>
      <c r="C943" s="131">
        <v>40934.0</v>
      </c>
      <c r="D943" s="110" t="s">
        <v>10</v>
      </c>
      <c r="E943" s="110" t="s">
        <v>132</v>
      </c>
      <c r="F943" s="110">
        <v>5988.0</v>
      </c>
      <c r="G943" s="38" t="s">
        <v>43</v>
      </c>
      <c r="H943" s="110">
        <v>8872.0</v>
      </c>
      <c r="I943" s="132">
        <v>154.06</v>
      </c>
      <c r="J943" s="132">
        <v>90.93</v>
      </c>
      <c r="K943" s="39">
        <f t="shared" si="1"/>
        <v>1366820.32</v>
      </c>
      <c r="L943" s="39">
        <f t="shared" si="2"/>
        <v>806730.96</v>
      </c>
      <c r="M943" s="39">
        <f t="shared" si="3"/>
        <v>560089.36</v>
      </c>
      <c r="N943" s="38" t="str">
        <f>VLOOKUP(F943,products!$A$2:$B$13,2,FALSE)</f>
        <v>Vegetables</v>
      </c>
      <c r="O943" s="133">
        <f t="shared" si="4"/>
        <v>0.5902245878</v>
      </c>
      <c r="P943" s="38" t="str">
        <f>VLOOKUP(E943,countries!A$2:E$250,3,false)</f>
        <v>Sweden</v>
      </c>
      <c r="Q943" s="38" t="str">
        <f>VLOOKUP($E943,countries!$A$2:$E$250,4,false)</f>
        <v>Europe</v>
      </c>
      <c r="R943" s="38" t="str">
        <f>VLOOKUP($E943,countries!$A$2:$E$250,5,false)</f>
        <v>Northern Europe</v>
      </c>
      <c r="S943" s="38">
        <f t="shared" si="5"/>
        <v>19</v>
      </c>
      <c r="T943" s="38" t="s">
        <v>159</v>
      </c>
      <c r="U943" s="38">
        <v>2012.0</v>
      </c>
      <c r="V943" s="38">
        <v>1.0</v>
      </c>
      <c r="W943" s="38" t="s">
        <v>132</v>
      </c>
      <c r="X943" s="38" t="s">
        <v>203</v>
      </c>
      <c r="Y943" s="38" t="s">
        <v>146</v>
      </c>
      <c r="Z943" s="38" t="s">
        <v>170</v>
      </c>
      <c r="AA943" s="113" t="str">
        <f t="array" ref="AA943">PROPER(G943)</f>
        <v>Online</v>
      </c>
    </row>
    <row r="944">
      <c r="A944" s="110">
        <v>7.16054379E8</v>
      </c>
      <c r="B944" s="131">
        <v>42433.0</v>
      </c>
      <c r="C944" s="131">
        <v>42455.0</v>
      </c>
      <c r="D944" s="110" t="s">
        <v>93</v>
      </c>
      <c r="E944" s="110" t="s">
        <v>128</v>
      </c>
      <c r="F944" s="110">
        <v>4594.0</v>
      </c>
      <c r="G944" s="38" t="s">
        <v>42</v>
      </c>
      <c r="H944" s="110">
        <v>5258.0</v>
      </c>
      <c r="I944" s="132">
        <v>9.33</v>
      </c>
      <c r="J944" s="132">
        <v>6.92</v>
      </c>
      <c r="K944" s="39">
        <f t="shared" si="1"/>
        <v>49057.14</v>
      </c>
      <c r="L944" s="39">
        <f t="shared" si="2"/>
        <v>36385.36</v>
      </c>
      <c r="M944" s="39">
        <f t="shared" si="3"/>
        <v>12671.78</v>
      </c>
      <c r="N944" s="38" t="str">
        <f>VLOOKUP(F944,products!$A$2:$B$13,2,FALSE)</f>
        <v>Fruits</v>
      </c>
      <c r="O944" s="133">
        <f t="shared" si="4"/>
        <v>0.741693462</v>
      </c>
      <c r="P944" s="38" t="str">
        <f>VLOOKUP(E944,countries!A$2:E$250,3,false)</f>
        <v>Andorra</v>
      </c>
      <c r="Q944" s="38" t="str">
        <f>VLOOKUP($E944,countries!$A$2:$E$250,4,false)</f>
        <v>Europe</v>
      </c>
      <c r="R944" s="38" t="str">
        <f>VLOOKUP($E944,countries!$A$2:$E$250,5,false)</f>
        <v>Southern Europe</v>
      </c>
      <c r="S944" s="38">
        <f t="shared" si="5"/>
        <v>22</v>
      </c>
      <c r="T944" s="38" t="s">
        <v>156</v>
      </c>
      <c r="U944" s="38">
        <v>2016.0</v>
      </c>
      <c r="V944" s="38">
        <v>3.0</v>
      </c>
      <c r="W944" s="38" t="s">
        <v>128</v>
      </c>
      <c r="X944" s="38" t="s">
        <v>199</v>
      </c>
      <c r="Y944" s="38" t="s">
        <v>146</v>
      </c>
      <c r="Z944" s="38" t="s">
        <v>147</v>
      </c>
      <c r="AA944" s="113" t="str">
        <f t="array" ref="AA944">PROPER(G944)</f>
        <v>Offline</v>
      </c>
    </row>
    <row r="945">
      <c r="A945" s="110">
        <v>7.16411006E8</v>
      </c>
      <c r="B945" s="131">
        <v>41666.0</v>
      </c>
      <c r="C945" s="131">
        <v>41687.0</v>
      </c>
      <c r="D945" s="110" t="s">
        <v>93</v>
      </c>
      <c r="E945" s="110" t="s">
        <v>124</v>
      </c>
      <c r="F945" s="110">
        <v>3127.0</v>
      </c>
      <c r="G945" s="38" t="s">
        <v>43</v>
      </c>
      <c r="H945" s="110">
        <v>792.0</v>
      </c>
      <c r="I945" s="132">
        <v>81.73</v>
      </c>
      <c r="J945" s="132">
        <v>56.67</v>
      </c>
      <c r="K945" s="39">
        <f t="shared" si="1"/>
        <v>64730.16</v>
      </c>
      <c r="L945" s="39">
        <f t="shared" si="2"/>
        <v>44882.64</v>
      </c>
      <c r="M945" s="39">
        <f t="shared" si="3"/>
        <v>19847.52</v>
      </c>
      <c r="N945" s="38" t="str">
        <f>VLOOKUP(F945,products!$A$2:$B$13,2,FALSE)</f>
        <v>Personal Care</v>
      </c>
      <c r="O945" s="133">
        <f t="shared" si="4"/>
        <v>0.6933806436</v>
      </c>
      <c r="P945" s="38" t="str">
        <f>VLOOKUP(E945,countries!A$2:E$250,3,false)</f>
        <v>Latvia</v>
      </c>
      <c r="Q945" s="38" t="str">
        <f>VLOOKUP($E945,countries!$A$2:$E$250,4,false)</f>
        <v>Europe</v>
      </c>
      <c r="R945" s="38" t="str">
        <f>VLOOKUP($E945,countries!$A$2:$E$250,5,false)</f>
        <v>Northern Europe</v>
      </c>
      <c r="S945" s="38">
        <f t="shared" si="5"/>
        <v>21</v>
      </c>
      <c r="T945" s="38" t="s">
        <v>185</v>
      </c>
      <c r="U945" s="38">
        <v>2014.0</v>
      </c>
      <c r="V945" s="38">
        <v>1.0</v>
      </c>
      <c r="W945" s="38" t="s">
        <v>124</v>
      </c>
      <c r="X945" s="38" t="s">
        <v>195</v>
      </c>
      <c r="Y945" s="38" t="s">
        <v>146</v>
      </c>
      <c r="Z945" s="38" t="s">
        <v>170</v>
      </c>
      <c r="AA945" s="113" t="str">
        <f t="array" ref="AA945">PROPER(G945)</f>
        <v>Online</v>
      </c>
    </row>
    <row r="946">
      <c r="A946" s="110">
        <v>7.1783322E8</v>
      </c>
      <c r="B946" s="131">
        <v>41720.0</v>
      </c>
      <c r="C946" s="131">
        <v>41732.0</v>
      </c>
      <c r="D946" s="110" t="s">
        <v>10</v>
      </c>
      <c r="E946" s="110" t="s">
        <v>91</v>
      </c>
      <c r="F946" s="110">
        <v>5988.0</v>
      </c>
      <c r="G946" s="38" t="s">
        <v>42</v>
      </c>
      <c r="H946" s="110">
        <v>1657.0</v>
      </c>
      <c r="I946" s="132">
        <v>154.06</v>
      </c>
      <c r="J946" s="132">
        <v>90.93</v>
      </c>
      <c r="K946" s="39">
        <f t="shared" si="1"/>
        <v>255277.42</v>
      </c>
      <c r="L946" s="39">
        <f t="shared" si="2"/>
        <v>150671.01</v>
      </c>
      <c r="M946" s="39">
        <f t="shared" si="3"/>
        <v>104606.41</v>
      </c>
      <c r="N946" s="38" t="str">
        <f>VLOOKUP(F946,products!$A$2:$B$13,2,FALSE)</f>
        <v>Vegetables</v>
      </c>
      <c r="O946" s="133">
        <f t="shared" si="4"/>
        <v>0.5902245878</v>
      </c>
      <c r="P946" s="38" t="str">
        <f>VLOOKUP(E946,countries!A$2:E$250,3,false)</f>
        <v>Serbia</v>
      </c>
      <c r="Q946" s="38" t="str">
        <f>VLOOKUP($E946,countries!$A$2:$E$250,4,false)</f>
        <v>Europe</v>
      </c>
      <c r="R946" s="38" t="str">
        <f>VLOOKUP($E946,countries!$A$2:$E$250,5,false)</f>
        <v>Southern Europe</v>
      </c>
      <c r="S946" s="38">
        <f t="shared" si="5"/>
        <v>12</v>
      </c>
      <c r="T946" s="38" t="s">
        <v>159</v>
      </c>
      <c r="U946" s="38">
        <v>2014.0</v>
      </c>
      <c r="V946" s="38">
        <v>3.0</v>
      </c>
      <c r="W946" s="38" t="s">
        <v>91</v>
      </c>
      <c r="X946" s="38" t="s">
        <v>145</v>
      </c>
      <c r="Y946" s="38" t="s">
        <v>146</v>
      </c>
      <c r="Z946" s="38" t="s">
        <v>147</v>
      </c>
      <c r="AA946" s="113" t="str">
        <f t="array" ref="AA946">PROPER(G946)</f>
        <v>Offline</v>
      </c>
    </row>
    <row r="947">
      <c r="A947" s="110">
        <v>7.1929363E8</v>
      </c>
      <c r="B947" s="131">
        <v>40576.0</v>
      </c>
      <c r="C947" s="131">
        <v>40599.0</v>
      </c>
      <c r="D947" s="110" t="s">
        <v>89</v>
      </c>
      <c r="E947" s="110" t="s">
        <v>121</v>
      </c>
      <c r="F947" s="110">
        <v>8681.0</v>
      </c>
      <c r="G947" s="38" t="s">
        <v>42</v>
      </c>
      <c r="H947" s="110">
        <v>3824.0</v>
      </c>
      <c r="I947" s="132">
        <v>651.21</v>
      </c>
      <c r="J947" s="132">
        <v>524.96</v>
      </c>
      <c r="K947" s="39">
        <f t="shared" si="1"/>
        <v>2490227.04</v>
      </c>
      <c r="L947" s="39">
        <f t="shared" si="2"/>
        <v>2007447.04</v>
      </c>
      <c r="M947" s="39">
        <f t="shared" si="3"/>
        <v>482780</v>
      </c>
      <c r="N947" s="38" t="str">
        <f>VLOOKUP(F947,products!$A$2:$B$13,2,FALSE)</f>
        <v>Office Supplies</v>
      </c>
      <c r="O947" s="133">
        <f t="shared" si="4"/>
        <v>0.806130127</v>
      </c>
      <c r="P947" s="38" t="str">
        <f>VLOOKUP(E947,countries!A$2:E$250,3,false)</f>
        <v>Netherlands</v>
      </c>
      <c r="Q947" s="38" t="str">
        <f>VLOOKUP($E947,countries!$A$2:$E$250,4,false)</f>
        <v>Europe</v>
      </c>
      <c r="R947" s="38" t="str">
        <f>VLOOKUP($E947,countries!$A$2:$E$250,5,false)</f>
        <v>Western Europe</v>
      </c>
      <c r="S947" s="38">
        <f t="shared" si="5"/>
        <v>23</v>
      </c>
      <c r="T947" s="38" t="s">
        <v>153</v>
      </c>
      <c r="U947" s="38">
        <v>2011.0</v>
      </c>
      <c r="V947" s="38">
        <v>2.0</v>
      </c>
      <c r="W947" s="38" t="s">
        <v>121</v>
      </c>
      <c r="X947" s="38" t="s">
        <v>192</v>
      </c>
      <c r="Y947" s="38" t="s">
        <v>146</v>
      </c>
      <c r="Z947" s="38" t="s">
        <v>158</v>
      </c>
      <c r="AA947" s="113" t="str">
        <f t="array" ref="AA947">PROPER(G947)</f>
        <v>Offline</v>
      </c>
    </row>
    <row r="948">
      <c r="A948" s="110">
        <v>7.19404351E8</v>
      </c>
      <c r="B948" s="131">
        <v>40898.0</v>
      </c>
      <c r="C948" s="131">
        <v>40918.0</v>
      </c>
      <c r="D948" s="110" t="s">
        <v>95</v>
      </c>
      <c r="E948" s="110" t="s">
        <v>130</v>
      </c>
      <c r="F948" s="110">
        <v>8681.0</v>
      </c>
      <c r="G948" s="38" t="s">
        <v>43</v>
      </c>
      <c r="H948" s="110">
        <v>6589.0</v>
      </c>
      <c r="I948" s="132">
        <v>651.21</v>
      </c>
      <c r="J948" s="132">
        <v>524.96</v>
      </c>
      <c r="K948" s="39">
        <f t="shared" si="1"/>
        <v>4290822.69</v>
      </c>
      <c r="L948" s="39">
        <f t="shared" si="2"/>
        <v>3458961.44</v>
      </c>
      <c r="M948" s="39">
        <f t="shared" si="3"/>
        <v>831861.25</v>
      </c>
      <c r="N948" s="38" t="str">
        <f>VLOOKUP(F948,products!$A$2:$B$13,2,FALSE)</f>
        <v>Office Supplies</v>
      </c>
      <c r="O948" s="133">
        <f t="shared" si="4"/>
        <v>0.806130127</v>
      </c>
      <c r="P948" s="38" t="str">
        <f>VLOOKUP(E948,countries!A$2:E$250,3,false)</f>
        <v>Finland</v>
      </c>
      <c r="Q948" s="38" t="str">
        <f>VLOOKUP($E948,countries!$A$2:$E$250,4,false)</f>
        <v>Europe</v>
      </c>
      <c r="R948" s="38" t="str">
        <f>VLOOKUP($E948,countries!$A$2:$E$250,5,false)</f>
        <v>Northern Europe</v>
      </c>
      <c r="S948" s="38">
        <f t="shared" si="5"/>
        <v>20</v>
      </c>
      <c r="T948" s="38" t="s">
        <v>153</v>
      </c>
      <c r="U948" s="38">
        <v>2011.0</v>
      </c>
      <c r="V948" s="38">
        <v>12.0</v>
      </c>
      <c r="W948" s="38" t="s">
        <v>130</v>
      </c>
      <c r="X948" s="38" t="s">
        <v>201</v>
      </c>
      <c r="Y948" s="38" t="s">
        <v>146</v>
      </c>
      <c r="Z948" s="38" t="s">
        <v>170</v>
      </c>
      <c r="AA948" s="113" t="str">
        <f t="array" ref="AA948">PROPER(G948)</f>
        <v>Online</v>
      </c>
    </row>
    <row r="949">
      <c r="A949" s="110">
        <v>7.19730079E8</v>
      </c>
      <c r="B949" s="131">
        <v>41007.0</v>
      </c>
      <c r="C949" s="131">
        <v>41035.0</v>
      </c>
      <c r="D949" s="110" t="s">
        <v>95</v>
      </c>
      <c r="E949" s="110" t="s">
        <v>121</v>
      </c>
      <c r="F949" s="110">
        <v>2455.0</v>
      </c>
      <c r="G949" s="38" t="s">
        <v>42</v>
      </c>
      <c r="H949" s="110">
        <v>2979.0</v>
      </c>
      <c r="I949" s="132">
        <v>109.28</v>
      </c>
      <c r="J949" s="132">
        <v>35.84</v>
      </c>
      <c r="K949" s="39">
        <f t="shared" si="1"/>
        <v>325545.12</v>
      </c>
      <c r="L949" s="39">
        <f t="shared" si="2"/>
        <v>106767.36</v>
      </c>
      <c r="M949" s="39">
        <f t="shared" si="3"/>
        <v>218777.76</v>
      </c>
      <c r="N949" s="38" t="str">
        <f>VLOOKUP(F949,products!$A$2:$B$13,2,FALSE)</f>
        <v>Clothes</v>
      </c>
      <c r="O949" s="133">
        <f t="shared" si="4"/>
        <v>0.3279648609</v>
      </c>
      <c r="P949" s="38" t="str">
        <f>VLOOKUP(E949,countries!A$2:E$250,3,false)</f>
        <v>Netherlands</v>
      </c>
      <c r="Q949" s="38" t="str">
        <f>VLOOKUP($E949,countries!$A$2:$E$250,4,false)</f>
        <v>Europe</v>
      </c>
      <c r="R949" s="38" t="str">
        <f>VLOOKUP($E949,countries!$A$2:$E$250,5,false)</f>
        <v>Western Europe</v>
      </c>
      <c r="S949" s="38">
        <f t="shared" si="5"/>
        <v>28</v>
      </c>
      <c r="T949" s="38" t="s">
        <v>150</v>
      </c>
      <c r="U949" s="38">
        <v>2012.0</v>
      </c>
      <c r="V949" s="38">
        <v>4.0</v>
      </c>
      <c r="W949" s="38" t="s">
        <v>121</v>
      </c>
      <c r="X949" s="38" t="s">
        <v>192</v>
      </c>
      <c r="Y949" s="38" t="s">
        <v>146</v>
      </c>
      <c r="Z949" s="38" t="s">
        <v>158</v>
      </c>
      <c r="AA949" s="113" t="str">
        <f t="array" ref="AA949">PROPER(G949)</f>
        <v>Offline</v>
      </c>
    </row>
    <row r="950">
      <c r="A950" s="110">
        <v>7.20229613E8</v>
      </c>
      <c r="B950" s="131">
        <v>42070.0</v>
      </c>
      <c r="C950" s="131">
        <v>42074.0</v>
      </c>
      <c r="D950" s="110" t="s">
        <v>10</v>
      </c>
      <c r="E950" s="110" t="e">
        <v>#N/A</v>
      </c>
      <c r="F950" s="110">
        <v>4594.0</v>
      </c>
      <c r="G950" s="38" t="s">
        <v>43</v>
      </c>
      <c r="H950" s="110">
        <v>803.0</v>
      </c>
      <c r="I950" s="132">
        <v>9.33</v>
      </c>
      <c r="J950" s="132">
        <v>6.92</v>
      </c>
      <c r="K950" s="39">
        <f t="shared" si="1"/>
        <v>7491.99</v>
      </c>
      <c r="L950" s="39">
        <f t="shared" si="2"/>
        <v>5556.76</v>
      </c>
      <c r="M950" s="39">
        <f t="shared" si="3"/>
        <v>1935.23</v>
      </c>
      <c r="N950" s="38" t="str">
        <f>VLOOKUP(F950,products!$A$2:$B$13,2,FALSE)</f>
        <v>Fruits</v>
      </c>
      <c r="O950" s="133">
        <f t="shared" si="4"/>
        <v>0.741693462</v>
      </c>
      <c r="P950" s="38" t="str">
        <f>VLOOKUP(E950,countries!A$2:E$250,3,false)</f>
        <v>#N/A</v>
      </c>
      <c r="Q950" s="38" t="str">
        <f>VLOOKUP($E950,countries!$A$2:$E$250,4,false)</f>
        <v>#N/A</v>
      </c>
      <c r="R950" s="38" t="str">
        <f>VLOOKUP($E950,countries!$A$2:$E$250,5,false)</f>
        <v>#N/A</v>
      </c>
      <c r="S950" s="38">
        <f t="shared" si="5"/>
        <v>4</v>
      </c>
      <c r="T950" s="38" t="s">
        <v>156</v>
      </c>
      <c r="U950" s="38">
        <v>2015.0</v>
      </c>
      <c r="V950" s="38">
        <v>3.0</v>
      </c>
      <c r="W950" s="38" t="s">
        <v>92</v>
      </c>
      <c r="X950" s="38" t="s">
        <v>149</v>
      </c>
      <c r="Y950" s="38" t="s">
        <v>149</v>
      </c>
      <c r="Z950" s="38" t="s">
        <v>149</v>
      </c>
      <c r="AA950" s="113" t="str">
        <f t="array" ref="AA950">PROPER(G950)</f>
        <v>Online</v>
      </c>
    </row>
    <row r="951">
      <c r="A951" s="110">
        <v>7.20878922E8</v>
      </c>
      <c r="B951" s="131">
        <v>41082.0</v>
      </c>
      <c r="C951" s="131">
        <v>41122.0</v>
      </c>
      <c r="D951" s="110" t="s">
        <v>95</v>
      </c>
      <c r="E951" s="110" t="s">
        <v>129</v>
      </c>
      <c r="F951" s="110">
        <v>7331.0</v>
      </c>
      <c r="G951" s="38" t="s">
        <v>43</v>
      </c>
      <c r="H951" s="110">
        <v>2948.0</v>
      </c>
      <c r="I951" s="132">
        <v>255.28</v>
      </c>
      <c r="J951" s="132">
        <v>159.42</v>
      </c>
      <c r="K951" s="39">
        <f t="shared" si="1"/>
        <v>752565.44</v>
      </c>
      <c r="L951" s="39">
        <f t="shared" si="2"/>
        <v>469970.16</v>
      </c>
      <c r="M951" s="39">
        <f t="shared" si="3"/>
        <v>282595.28</v>
      </c>
      <c r="N951" s="38" t="str">
        <f>VLOOKUP(F951,products!$A$2:$B$13,2,FALSE)</f>
        <v>Baby Food</v>
      </c>
      <c r="O951" s="133">
        <f t="shared" si="4"/>
        <v>0.6244907552</v>
      </c>
      <c r="P951" s="38" t="str">
        <f>VLOOKUP(E951,countries!A$2:E$250,3,false)</f>
        <v>Liechtenstein</v>
      </c>
      <c r="Q951" s="38" t="str">
        <f>VLOOKUP($E951,countries!$A$2:$E$250,4,false)</f>
        <v>Europe</v>
      </c>
      <c r="R951" s="38" t="str">
        <f>VLOOKUP($E951,countries!$A$2:$E$250,5,false)</f>
        <v>Western Europe</v>
      </c>
      <c r="S951" s="38">
        <f t="shared" si="5"/>
        <v>40</v>
      </c>
      <c r="T951" s="38" t="s">
        <v>161</v>
      </c>
      <c r="U951" s="38">
        <v>2012.0</v>
      </c>
      <c r="V951" s="38">
        <v>6.0</v>
      </c>
      <c r="W951" s="38" t="s">
        <v>129</v>
      </c>
      <c r="X951" s="38" t="s">
        <v>200</v>
      </c>
      <c r="Y951" s="38" t="s">
        <v>146</v>
      </c>
      <c r="Z951" s="38" t="s">
        <v>158</v>
      </c>
      <c r="AA951" s="113" t="str">
        <f t="array" ref="AA951">PROPER(G951)</f>
        <v>Online</v>
      </c>
    </row>
    <row r="952">
      <c r="A952" s="110">
        <v>7.20931279E8</v>
      </c>
      <c r="B952" s="131">
        <v>41212.0</v>
      </c>
      <c r="C952" s="131">
        <v>41231.0</v>
      </c>
      <c r="D952" s="110" t="s">
        <v>93</v>
      </c>
      <c r="E952" s="110" t="s">
        <v>137</v>
      </c>
      <c r="F952" s="110">
        <v>8969.0</v>
      </c>
      <c r="G952" s="38" t="s">
        <v>42</v>
      </c>
      <c r="H952" s="110">
        <v>8441.0</v>
      </c>
      <c r="I952" s="132">
        <v>152.58</v>
      </c>
      <c r="J952" s="132">
        <v>97.44</v>
      </c>
      <c r="K952" s="39">
        <f t="shared" si="1"/>
        <v>1287927.78</v>
      </c>
      <c r="L952" s="39">
        <f t="shared" si="2"/>
        <v>822491.04</v>
      </c>
      <c r="M952" s="39">
        <f t="shared" si="3"/>
        <v>465436.74</v>
      </c>
      <c r="N952" s="38" t="str">
        <f>VLOOKUP(F952,products!$A$2:$B$13,2,FALSE)</f>
        <v>Snacks</v>
      </c>
      <c r="O952" s="133">
        <f t="shared" si="4"/>
        <v>0.6386158081</v>
      </c>
      <c r="P952" s="38" t="str">
        <f>VLOOKUP(E952,countries!A$2:E$250,3,false)</f>
        <v>Iceland</v>
      </c>
      <c r="Q952" s="38" t="str">
        <f>VLOOKUP($E952,countries!$A$2:$E$250,4,false)</f>
        <v>Europe</v>
      </c>
      <c r="R952" s="38" t="str">
        <f>VLOOKUP($E952,countries!$A$2:$E$250,5,false)</f>
        <v>Northern Europe</v>
      </c>
      <c r="S952" s="38">
        <f t="shared" si="5"/>
        <v>19</v>
      </c>
      <c r="T952" s="38" t="s">
        <v>182</v>
      </c>
      <c r="U952" s="38">
        <v>2012.0</v>
      </c>
      <c r="V952" s="38">
        <v>10.0</v>
      </c>
      <c r="W952" s="38" t="s">
        <v>137</v>
      </c>
      <c r="X952" s="38" t="s">
        <v>207</v>
      </c>
      <c r="Y952" s="38" t="s">
        <v>146</v>
      </c>
      <c r="Z952" s="38" t="s">
        <v>170</v>
      </c>
      <c r="AA952" s="113" t="str">
        <f t="array" ref="AA952">PROPER(G952)</f>
        <v>Offline</v>
      </c>
    </row>
    <row r="953">
      <c r="A953" s="110">
        <v>7.21318805E8</v>
      </c>
      <c r="B953" s="131">
        <v>42337.0</v>
      </c>
      <c r="C953" s="131">
        <v>42347.0</v>
      </c>
      <c r="D953" s="110" t="s">
        <v>93</v>
      </c>
      <c r="E953" s="110" t="s">
        <v>122</v>
      </c>
      <c r="F953" s="110">
        <v>4594.0</v>
      </c>
      <c r="G953" s="38" t="s">
        <v>42</v>
      </c>
      <c r="H953" s="110">
        <v>3118.0</v>
      </c>
      <c r="I953" s="132">
        <v>9.33</v>
      </c>
      <c r="J953" s="132">
        <v>6.92</v>
      </c>
      <c r="K953" s="39">
        <f t="shared" si="1"/>
        <v>29090.94</v>
      </c>
      <c r="L953" s="39">
        <f t="shared" si="2"/>
        <v>21576.56</v>
      </c>
      <c r="M953" s="39">
        <f t="shared" si="3"/>
        <v>7514.38</v>
      </c>
      <c r="N953" s="38" t="str">
        <f>VLOOKUP(F953,products!$A$2:$B$13,2,FALSE)</f>
        <v>Fruits</v>
      </c>
      <c r="O953" s="133">
        <f t="shared" si="4"/>
        <v>0.741693462</v>
      </c>
      <c r="P953" s="38" t="str">
        <f>VLOOKUP(E953,countries!A$2:E$250,3,false)</f>
        <v>Switzerland</v>
      </c>
      <c r="Q953" s="38" t="str">
        <f>VLOOKUP($E953,countries!$A$2:$E$250,4,false)</f>
        <v>Europe</v>
      </c>
      <c r="R953" s="38" t="str">
        <f>VLOOKUP($E953,countries!$A$2:$E$250,5,false)</f>
        <v>Western Europe</v>
      </c>
      <c r="S953" s="38">
        <f t="shared" si="5"/>
        <v>10</v>
      </c>
      <c r="T953" s="38" t="s">
        <v>156</v>
      </c>
      <c r="U953" s="38">
        <v>2015.0</v>
      </c>
      <c r="V953" s="38">
        <v>11.0</v>
      </c>
      <c r="W953" s="38" t="s">
        <v>122</v>
      </c>
      <c r="X953" s="38" t="s">
        <v>193</v>
      </c>
      <c r="Y953" s="38" t="s">
        <v>146</v>
      </c>
      <c r="Z953" s="38" t="s">
        <v>158</v>
      </c>
      <c r="AA953" s="113" t="str">
        <f t="array" ref="AA953">PROPER(G953)</f>
        <v>Offline</v>
      </c>
    </row>
    <row r="954">
      <c r="A954" s="110">
        <v>7.22233331E8</v>
      </c>
      <c r="B954" s="131">
        <v>42825.0</v>
      </c>
      <c r="C954" s="131">
        <v>42831.0</v>
      </c>
      <c r="D954" s="110" t="s">
        <v>95</v>
      </c>
      <c r="E954" s="110" t="s">
        <v>98</v>
      </c>
      <c r="F954" s="110">
        <v>5988.0</v>
      </c>
      <c r="G954" s="38" t="s">
        <v>43</v>
      </c>
      <c r="H954" s="110">
        <v>3747.0</v>
      </c>
      <c r="I954" s="132">
        <v>154.06</v>
      </c>
      <c r="J954" s="132">
        <v>90.93</v>
      </c>
      <c r="K954" s="39">
        <f t="shared" si="1"/>
        <v>577262.82</v>
      </c>
      <c r="L954" s="39">
        <f t="shared" si="2"/>
        <v>340714.71</v>
      </c>
      <c r="M954" s="39">
        <f t="shared" si="3"/>
        <v>236548.11</v>
      </c>
      <c r="N954" s="38" t="str">
        <f>VLOOKUP(F954,products!$A$2:$B$13,2,FALSE)</f>
        <v>Vegetables</v>
      </c>
      <c r="O954" s="133">
        <f t="shared" si="4"/>
        <v>0.5902245878</v>
      </c>
      <c r="P954" s="38" t="str">
        <f>VLOOKUP(E954,countries!A$2:E$250,3,false)</f>
        <v>Spain</v>
      </c>
      <c r="Q954" s="38" t="str">
        <f>VLOOKUP($E954,countries!$A$2:$E$250,4,false)</f>
        <v>Europe</v>
      </c>
      <c r="R954" s="38" t="str">
        <f>VLOOKUP($E954,countries!$A$2:$E$250,5,false)</f>
        <v>Southern Europe</v>
      </c>
      <c r="S954" s="38">
        <f t="shared" si="5"/>
        <v>6</v>
      </c>
      <c r="T954" s="38" t="s">
        <v>159</v>
      </c>
      <c r="U954" s="38">
        <v>2017.0</v>
      </c>
      <c r="V954" s="38">
        <v>3.0</v>
      </c>
      <c r="W954" s="38" t="s">
        <v>98</v>
      </c>
      <c r="X954" s="38" t="s">
        <v>160</v>
      </c>
      <c r="Y954" s="38" t="s">
        <v>146</v>
      </c>
      <c r="Z954" s="38" t="s">
        <v>147</v>
      </c>
      <c r="AA954" s="113" t="str">
        <f t="array" ref="AA954">PROPER(G954)</f>
        <v>Online</v>
      </c>
    </row>
    <row r="955">
      <c r="A955" s="110">
        <v>7.2224878E8</v>
      </c>
      <c r="B955" s="131">
        <v>41005.0</v>
      </c>
      <c r="C955" s="131">
        <v>41007.0</v>
      </c>
      <c r="D955" s="110" t="s">
        <v>95</v>
      </c>
      <c r="E955" s="110" t="s">
        <v>122</v>
      </c>
      <c r="F955" s="110">
        <v>8969.0</v>
      </c>
      <c r="G955" s="38" t="s">
        <v>43</v>
      </c>
      <c r="H955" s="110">
        <v>8319.0</v>
      </c>
      <c r="I955" s="132">
        <v>152.58</v>
      </c>
      <c r="J955" s="132">
        <v>97.44</v>
      </c>
      <c r="K955" s="39">
        <f t="shared" si="1"/>
        <v>1269313.02</v>
      </c>
      <c r="L955" s="39">
        <f t="shared" si="2"/>
        <v>810603.36</v>
      </c>
      <c r="M955" s="39">
        <f t="shared" si="3"/>
        <v>458709.66</v>
      </c>
      <c r="N955" s="38" t="str">
        <f>VLOOKUP(F955,products!$A$2:$B$13,2,FALSE)</f>
        <v>Snacks</v>
      </c>
      <c r="O955" s="133">
        <f t="shared" si="4"/>
        <v>0.6386158081</v>
      </c>
      <c r="P955" s="38" t="str">
        <f>VLOOKUP(E955,countries!A$2:E$250,3,false)</f>
        <v>Switzerland</v>
      </c>
      <c r="Q955" s="38" t="str">
        <f>VLOOKUP($E955,countries!$A$2:$E$250,4,false)</f>
        <v>Europe</v>
      </c>
      <c r="R955" s="38" t="str">
        <f>VLOOKUP($E955,countries!$A$2:$E$250,5,false)</f>
        <v>Western Europe</v>
      </c>
      <c r="S955" s="38">
        <f t="shared" si="5"/>
        <v>2</v>
      </c>
      <c r="T955" s="38" t="s">
        <v>182</v>
      </c>
      <c r="U955" s="38">
        <v>2012.0</v>
      </c>
      <c r="V955" s="38">
        <v>4.0</v>
      </c>
      <c r="W955" s="38" t="s">
        <v>122</v>
      </c>
      <c r="X955" s="38" t="s">
        <v>193</v>
      </c>
      <c r="Y955" s="38" t="s">
        <v>146</v>
      </c>
      <c r="Z955" s="38" t="s">
        <v>158</v>
      </c>
      <c r="AA955" s="113" t="str">
        <f t="array" ref="AA955">PROPER(G955)</f>
        <v>Online</v>
      </c>
    </row>
    <row r="956">
      <c r="A956" s="110">
        <v>7.23893725E8</v>
      </c>
      <c r="B956" s="131">
        <v>41318.0</v>
      </c>
      <c r="C956" s="131">
        <v>41344.0</v>
      </c>
      <c r="D956" s="110" t="s">
        <v>10</v>
      </c>
      <c r="E956" s="110" t="s">
        <v>133</v>
      </c>
      <c r="F956" s="110">
        <v>7940.0</v>
      </c>
      <c r="G956" s="38" t="s">
        <v>43</v>
      </c>
      <c r="H956" s="110">
        <v>5095.0</v>
      </c>
      <c r="I956" s="132">
        <v>668.27</v>
      </c>
      <c r="J956" s="132">
        <v>502.54</v>
      </c>
      <c r="K956" s="39">
        <f t="shared" si="1"/>
        <v>3404835.65</v>
      </c>
      <c r="L956" s="39">
        <f t="shared" si="2"/>
        <v>2560441.3</v>
      </c>
      <c r="M956" s="39">
        <f t="shared" si="3"/>
        <v>844394.35</v>
      </c>
      <c r="N956" s="38" t="str">
        <f>VLOOKUP(F956,products!$A$2:$B$13,2,FALSE)</f>
        <v>Household</v>
      </c>
      <c r="O956" s="133">
        <f t="shared" si="4"/>
        <v>0.7520014365</v>
      </c>
      <c r="P956" s="38" t="str">
        <f>VLOOKUP(E956,countries!A$2:E$250,3,false)</f>
        <v>Bosnia and Herzegovina</v>
      </c>
      <c r="Q956" s="38" t="str">
        <f>VLOOKUP($E956,countries!$A$2:$E$250,4,false)</f>
        <v>Europe</v>
      </c>
      <c r="R956" s="38" t="str">
        <f>VLOOKUP($E956,countries!$A$2:$E$250,5,false)</f>
        <v>Southern Europe</v>
      </c>
      <c r="S956" s="38">
        <f t="shared" si="5"/>
        <v>26</v>
      </c>
      <c r="T956" s="38" t="s">
        <v>148</v>
      </c>
      <c r="U956" s="38">
        <v>2013.0</v>
      </c>
      <c r="V956" s="38">
        <v>2.0</v>
      </c>
      <c r="W956" s="38" t="s">
        <v>133</v>
      </c>
      <c r="X956" s="38" t="s">
        <v>204</v>
      </c>
      <c r="Y956" s="38" t="s">
        <v>146</v>
      </c>
      <c r="Z956" s="38" t="s">
        <v>147</v>
      </c>
      <c r="AA956" s="113" t="str">
        <f t="array" ref="AA956">PROPER(G956)</f>
        <v>Online</v>
      </c>
    </row>
    <row r="957">
      <c r="A957" s="110">
        <v>7.24085128E8</v>
      </c>
      <c r="B957" s="131">
        <v>41660.0</v>
      </c>
      <c r="C957" s="131">
        <v>41680.0</v>
      </c>
      <c r="D957" s="110" t="s">
        <v>89</v>
      </c>
      <c r="E957" s="110" t="s">
        <v>102</v>
      </c>
      <c r="F957" s="110">
        <v>4594.0</v>
      </c>
      <c r="G957" s="38" t="s">
        <v>42</v>
      </c>
      <c r="H957" s="110">
        <v>1735.0</v>
      </c>
      <c r="I957" s="132">
        <v>9.33</v>
      </c>
      <c r="J957" s="132">
        <v>6.92</v>
      </c>
      <c r="K957" s="39">
        <f t="shared" si="1"/>
        <v>16187.55</v>
      </c>
      <c r="L957" s="39">
        <f t="shared" si="2"/>
        <v>12006.2</v>
      </c>
      <c r="M957" s="39">
        <f t="shared" si="3"/>
        <v>4181.35</v>
      </c>
      <c r="N957" s="38" t="str">
        <f>VLOOKUP(F957,products!$A$2:$B$13,2,FALSE)</f>
        <v>Fruits</v>
      </c>
      <c r="O957" s="133">
        <f t="shared" si="4"/>
        <v>0.741693462</v>
      </c>
      <c r="P957" s="38" t="str">
        <f>VLOOKUP(E957,countries!A$2:E$250,3,false)</f>
        <v>Georgia</v>
      </c>
      <c r="Q957" s="38" t="str">
        <f>VLOOKUP($E957,countries!$A$2:$E$250,4,false)</f>
        <v>Asia</v>
      </c>
      <c r="R957" s="38" t="str">
        <f>VLOOKUP($E957,countries!$A$2:$E$250,5,false)</f>
        <v>Western Asia</v>
      </c>
      <c r="S957" s="38">
        <f t="shared" si="5"/>
        <v>20</v>
      </c>
      <c r="T957" s="38" t="s">
        <v>156</v>
      </c>
      <c r="U957" s="38">
        <v>2014.0</v>
      </c>
      <c r="V957" s="38">
        <v>1.0</v>
      </c>
      <c r="W957" s="38" t="s">
        <v>102</v>
      </c>
      <c r="X957" s="38" t="s">
        <v>168</v>
      </c>
      <c r="Y957" s="38" t="s">
        <v>165</v>
      </c>
      <c r="Z957" s="38" t="s">
        <v>166</v>
      </c>
      <c r="AA957" s="113" t="str">
        <f t="array" ref="AA957">PROPER(G957)</f>
        <v>Offline</v>
      </c>
    </row>
    <row r="958">
      <c r="A958" s="110">
        <v>7.2622317E8</v>
      </c>
      <c r="B958" s="131">
        <v>42182.0</v>
      </c>
      <c r="C958" s="131">
        <v>42216.0</v>
      </c>
      <c r="D958" s="110" t="s">
        <v>10</v>
      </c>
      <c r="E958" s="110" t="s">
        <v>122</v>
      </c>
      <c r="F958" s="110">
        <v>7331.0</v>
      </c>
      <c r="G958" s="38" t="s">
        <v>42</v>
      </c>
      <c r="H958" s="110">
        <v>4429.0</v>
      </c>
      <c r="I958" s="132">
        <v>255.28</v>
      </c>
      <c r="J958" s="132">
        <v>159.42</v>
      </c>
      <c r="K958" s="39">
        <f t="shared" si="1"/>
        <v>1130635.12</v>
      </c>
      <c r="L958" s="39">
        <f t="shared" si="2"/>
        <v>706071.18</v>
      </c>
      <c r="M958" s="39">
        <f t="shared" si="3"/>
        <v>424563.94</v>
      </c>
      <c r="N958" s="38" t="str">
        <f>VLOOKUP(F958,products!$A$2:$B$13,2,FALSE)</f>
        <v>Baby Food</v>
      </c>
      <c r="O958" s="133">
        <f t="shared" si="4"/>
        <v>0.6244907552</v>
      </c>
      <c r="P958" s="38" t="str">
        <f>VLOOKUP(E958,countries!A$2:E$250,3,false)</f>
        <v>Switzerland</v>
      </c>
      <c r="Q958" s="38" t="str">
        <f>VLOOKUP($E958,countries!$A$2:$E$250,4,false)</f>
        <v>Europe</v>
      </c>
      <c r="R958" s="38" t="str">
        <f>VLOOKUP($E958,countries!$A$2:$E$250,5,false)</f>
        <v>Western Europe</v>
      </c>
      <c r="S958" s="38">
        <f t="shared" si="5"/>
        <v>34</v>
      </c>
      <c r="T958" s="38" t="s">
        <v>161</v>
      </c>
      <c r="U958" s="38">
        <v>2015.0</v>
      </c>
      <c r="V958" s="38">
        <v>6.0</v>
      </c>
      <c r="W958" s="38" t="s">
        <v>122</v>
      </c>
      <c r="X958" s="38" t="s">
        <v>193</v>
      </c>
      <c r="Y958" s="38" t="s">
        <v>146</v>
      </c>
      <c r="Z958" s="38" t="s">
        <v>158</v>
      </c>
      <c r="AA958" s="113" t="str">
        <f t="array" ref="AA958">PROPER(G958)</f>
        <v>Offline</v>
      </c>
    </row>
    <row r="959">
      <c r="A959" s="110">
        <v>7.27175891E8</v>
      </c>
      <c r="B959" s="131">
        <v>41474.0</v>
      </c>
      <c r="C959" s="131">
        <v>41524.0</v>
      </c>
      <c r="D959" s="110" t="s">
        <v>95</v>
      </c>
      <c r="E959" s="110" t="s">
        <v>126</v>
      </c>
      <c r="F959" s="110">
        <v>8875.0</v>
      </c>
      <c r="G959" s="38" t="s">
        <v>42</v>
      </c>
      <c r="H959" s="110">
        <v>6360.0</v>
      </c>
      <c r="I959" s="132">
        <v>421.89</v>
      </c>
      <c r="J959" s="132">
        <v>364.69</v>
      </c>
      <c r="K959" s="39">
        <f t="shared" si="1"/>
        <v>2683220.4</v>
      </c>
      <c r="L959" s="39">
        <f t="shared" si="2"/>
        <v>2319428.4</v>
      </c>
      <c r="M959" s="39">
        <f t="shared" si="3"/>
        <v>363792</v>
      </c>
      <c r="N959" s="38" t="str">
        <f>VLOOKUP(F959,products!$A$2:$B$13,2,FALSE)</f>
        <v>Meat</v>
      </c>
      <c r="O959" s="133">
        <f t="shared" si="4"/>
        <v>0.8644196354</v>
      </c>
      <c r="P959" s="38" t="str">
        <f>VLOOKUP(E959,countries!A$2:E$250,3,false)</f>
        <v>Italy</v>
      </c>
      <c r="Q959" s="38" t="str">
        <f>VLOOKUP($E959,countries!$A$2:$E$250,4,false)</f>
        <v>Europe</v>
      </c>
      <c r="R959" s="38" t="str">
        <f>VLOOKUP($E959,countries!$A$2:$E$250,5,false)</f>
        <v>Southern Europe</v>
      </c>
      <c r="S959" s="38">
        <f t="shared" si="5"/>
        <v>50</v>
      </c>
      <c r="T959" s="38" t="s">
        <v>167</v>
      </c>
      <c r="U959" s="38">
        <v>2013.0</v>
      </c>
      <c r="V959" s="38">
        <v>7.0</v>
      </c>
      <c r="W959" s="38" t="s">
        <v>126</v>
      </c>
      <c r="X959" s="38" t="s">
        <v>197</v>
      </c>
      <c r="Y959" s="38" t="s">
        <v>146</v>
      </c>
      <c r="Z959" s="38" t="s">
        <v>147</v>
      </c>
      <c r="AA959" s="113" t="str">
        <f t="array" ref="AA959">PROPER(G959)</f>
        <v>Offline</v>
      </c>
    </row>
    <row r="960">
      <c r="A960" s="110">
        <v>7.27426946E8</v>
      </c>
      <c r="B960" s="131">
        <v>41623.0</v>
      </c>
      <c r="C960" s="131">
        <v>41673.0</v>
      </c>
      <c r="D960" s="110" t="s">
        <v>93</v>
      </c>
      <c r="E960" s="110" t="s">
        <v>128</v>
      </c>
      <c r="F960" s="110">
        <v>5988.0</v>
      </c>
      <c r="G960" s="38" t="s">
        <v>42</v>
      </c>
      <c r="H960" s="110">
        <v>653.0</v>
      </c>
      <c r="I960" s="132">
        <v>154.06</v>
      </c>
      <c r="J960" s="132">
        <v>90.93</v>
      </c>
      <c r="K960" s="39">
        <f t="shared" si="1"/>
        <v>100601.18</v>
      </c>
      <c r="L960" s="39">
        <f t="shared" si="2"/>
        <v>59377.29</v>
      </c>
      <c r="M960" s="39">
        <f t="shared" si="3"/>
        <v>41223.89</v>
      </c>
      <c r="N960" s="38" t="str">
        <f>VLOOKUP(F960,products!$A$2:$B$13,2,FALSE)</f>
        <v>Vegetables</v>
      </c>
      <c r="O960" s="133">
        <f t="shared" si="4"/>
        <v>0.5902245878</v>
      </c>
      <c r="P960" s="38" t="str">
        <f>VLOOKUP(E960,countries!A$2:E$250,3,false)</f>
        <v>Andorra</v>
      </c>
      <c r="Q960" s="38" t="str">
        <f>VLOOKUP($E960,countries!$A$2:$E$250,4,false)</f>
        <v>Europe</v>
      </c>
      <c r="R960" s="38" t="str">
        <f>VLOOKUP($E960,countries!$A$2:$E$250,5,false)</f>
        <v>Southern Europe</v>
      </c>
      <c r="S960" s="38">
        <f t="shared" si="5"/>
        <v>50</v>
      </c>
      <c r="T960" s="38" t="s">
        <v>159</v>
      </c>
      <c r="U960" s="38">
        <v>2013.0</v>
      </c>
      <c r="V960" s="38">
        <v>12.0</v>
      </c>
      <c r="W960" s="38" t="s">
        <v>128</v>
      </c>
      <c r="X960" s="38" t="s">
        <v>199</v>
      </c>
      <c r="Y960" s="38" t="s">
        <v>146</v>
      </c>
      <c r="Z960" s="38" t="s">
        <v>147</v>
      </c>
      <c r="AA960" s="113" t="str">
        <f t="array" ref="AA960">PROPER(G960)</f>
        <v>Offline</v>
      </c>
    </row>
    <row r="961">
      <c r="A961" s="110">
        <v>7.27821767E8</v>
      </c>
      <c r="B961" s="131">
        <v>42426.0</v>
      </c>
      <c r="C961" s="131">
        <v>42445.0</v>
      </c>
      <c r="D961" s="110" t="s">
        <v>93</v>
      </c>
      <c r="E961" s="110" t="s">
        <v>128</v>
      </c>
      <c r="F961" s="110">
        <v>8293.0</v>
      </c>
      <c r="G961" s="38" t="s">
        <v>43</v>
      </c>
      <c r="H961" s="110">
        <v>7489.0</v>
      </c>
      <c r="I961" s="132">
        <v>437.2</v>
      </c>
      <c r="J961" s="132">
        <v>263.33</v>
      </c>
      <c r="K961" s="39">
        <f t="shared" si="1"/>
        <v>3274190.8</v>
      </c>
      <c r="L961" s="39">
        <f t="shared" si="2"/>
        <v>1972078.37</v>
      </c>
      <c r="M961" s="39">
        <f t="shared" si="3"/>
        <v>1302112.43</v>
      </c>
      <c r="N961" s="38" t="str">
        <f>VLOOKUP(F961,products!$A$2:$B$13,2,FALSE)</f>
        <v>Cosmetics</v>
      </c>
      <c r="O961" s="133">
        <f t="shared" si="4"/>
        <v>0.6023101555</v>
      </c>
      <c r="P961" s="38" t="str">
        <f>VLOOKUP(E961,countries!A$2:E$250,3,false)</f>
        <v>Andorra</v>
      </c>
      <c r="Q961" s="38" t="str">
        <f>VLOOKUP($E961,countries!$A$2:$E$250,4,false)</f>
        <v>Europe</v>
      </c>
      <c r="R961" s="38" t="str">
        <f>VLOOKUP($E961,countries!$A$2:$E$250,5,false)</f>
        <v>Southern Europe</v>
      </c>
      <c r="S961" s="38">
        <f t="shared" si="5"/>
        <v>19</v>
      </c>
      <c r="T961" s="38" t="s">
        <v>178</v>
      </c>
      <c r="U961" s="38">
        <v>2016.0</v>
      </c>
      <c r="V961" s="38">
        <v>2.0</v>
      </c>
      <c r="W961" s="38" t="s">
        <v>128</v>
      </c>
      <c r="X961" s="38" t="s">
        <v>199</v>
      </c>
      <c r="Y961" s="38" t="s">
        <v>146</v>
      </c>
      <c r="Z961" s="38" t="s">
        <v>147</v>
      </c>
      <c r="AA961" s="113" t="str">
        <f t="array" ref="AA961">PROPER(G961)</f>
        <v>Online</v>
      </c>
    </row>
    <row r="962">
      <c r="A962" s="110">
        <v>7.2799772E8</v>
      </c>
      <c r="B962" s="131">
        <v>41822.0</v>
      </c>
      <c r="C962" s="131">
        <v>41839.0</v>
      </c>
      <c r="D962" s="110" t="s">
        <v>10</v>
      </c>
      <c r="E962" s="110" t="s">
        <v>108</v>
      </c>
      <c r="F962" s="110">
        <v>5988.0</v>
      </c>
      <c r="G962" s="38" t="s">
        <v>42</v>
      </c>
      <c r="H962" s="110">
        <v>9558.0</v>
      </c>
      <c r="I962" s="132">
        <v>154.06</v>
      </c>
      <c r="J962" s="132">
        <v>90.93</v>
      </c>
      <c r="K962" s="39">
        <f t="shared" si="1"/>
        <v>1472505.48</v>
      </c>
      <c r="L962" s="39">
        <f t="shared" si="2"/>
        <v>869108.94</v>
      </c>
      <c r="M962" s="39">
        <f t="shared" si="3"/>
        <v>603396.54</v>
      </c>
      <c r="N962" s="38" t="str">
        <f>VLOOKUP(F962,products!$A$2:$B$13,2,FALSE)</f>
        <v>Vegetables</v>
      </c>
      <c r="O962" s="133">
        <f t="shared" si="4"/>
        <v>0.5902245878</v>
      </c>
      <c r="P962" s="38" t="str">
        <f>VLOOKUP(E962,countries!A$2:E$250,3,false)</f>
        <v>Cyprus</v>
      </c>
      <c r="Q962" s="38" t="str">
        <f>VLOOKUP($E962,countries!$A$2:$E$250,4,false)</f>
        <v>Asia</v>
      </c>
      <c r="R962" s="38" t="str">
        <f>VLOOKUP($E962,countries!$A$2:$E$250,5,false)</f>
        <v>Western Asia</v>
      </c>
      <c r="S962" s="38">
        <f t="shared" si="5"/>
        <v>17</v>
      </c>
      <c r="T962" s="38" t="s">
        <v>159</v>
      </c>
      <c r="U962" s="38">
        <v>2014.0</v>
      </c>
      <c r="V962" s="38">
        <v>7.0</v>
      </c>
      <c r="W962" s="38" t="s">
        <v>108</v>
      </c>
      <c r="X962" s="38" t="s">
        <v>175</v>
      </c>
      <c r="Y962" s="38" t="s">
        <v>165</v>
      </c>
      <c r="Z962" s="38" t="s">
        <v>166</v>
      </c>
      <c r="AA962" s="113" t="str">
        <f t="array" ref="AA962">PROPER(G962)</f>
        <v>Offline</v>
      </c>
    </row>
    <row r="963">
      <c r="A963" s="110">
        <v>7.2879337E8</v>
      </c>
      <c r="B963" s="131">
        <v>40721.0</v>
      </c>
      <c r="C963" s="131">
        <v>40767.0</v>
      </c>
      <c r="D963" s="110" t="s">
        <v>93</v>
      </c>
      <c r="E963" s="110" t="s">
        <v>131</v>
      </c>
      <c r="F963" s="110">
        <v>8293.0</v>
      </c>
      <c r="G963" s="38" t="s">
        <v>42</v>
      </c>
      <c r="H963" s="110">
        <v>5009.0</v>
      </c>
      <c r="I963" s="132">
        <v>437.2</v>
      </c>
      <c r="J963" s="132">
        <v>263.33</v>
      </c>
      <c r="K963" s="39">
        <f t="shared" si="1"/>
        <v>2189934.8</v>
      </c>
      <c r="L963" s="39">
        <f t="shared" si="2"/>
        <v>1319019.97</v>
      </c>
      <c r="M963" s="39">
        <f t="shared" si="3"/>
        <v>870914.83</v>
      </c>
      <c r="N963" s="38" t="str">
        <f>VLOOKUP(F963,products!$A$2:$B$13,2,FALSE)</f>
        <v>Cosmetics</v>
      </c>
      <c r="O963" s="133">
        <f t="shared" si="4"/>
        <v>0.6023101555</v>
      </c>
      <c r="P963" s="38" t="str">
        <f>VLOOKUP(E963,countries!A$2:E$250,3,false)</f>
        <v>Albania</v>
      </c>
      <c r="Q963" s="38" t="str">
        <f>VLOOKUP($E963,countries!$A$2:$E$250,4,false)</f>
        <v>Europe</v>
      </c>
      <c r="R963" s="38" t="str">
        <f>VLOOKUP($E963,countries!$A$2:$E$250,5,false)</f>
        <v>Southern Europe</v>
      </c>
      <c r="S963" s="38">
        <f t="shared" si="5"/>
        <v>46</v>
      </c>
      <c r="T963" s="38" t="s">
        <v>178</v>
      </c>
      <c r="U963" s="38">
        <v>2011.0</v>
      </c>
      <c r="V963" s="38">
        <v>6.0</v>
      </c>
      <c r="W963" s="38" t="s">
        <v>131</v>
      </c>
      <c r="X963" s="38" t="s">
        <v>202</v>
      </c>
      <c r="Y963" s="38" t="s">
        <v>146</v>
      </c>
      <c r="Z963" s="38" t="s">
        <v>147</v>
      </c>
      <c r="AA963" s="113" t="str">
        <f t="array" ref="AA963">PROPER(G963)</f>
        <v>Offline</v>
      </c>
    </row>
    <row r="964">
      <c r="A964" s="110">
        <v>7.29373586E8</v>
      </c>
      <c r="B964" s="131">
        <v>41805.0</v>
      </c>
      <c r="C964" s="131">
        <v>41825.0</v>
      </c>
      <c r="D964" s="110" t="s">
        <v>10</v>
      </c>
      <c r="E964" s="110" t="s">
        <v>127</v>
      </c>
      <c r="F964" s="110">
        <v>8681.0</v>
      </c>
      <c r="G964" s="38" t="s">
        <v>42</v>
      </c>
      <c r="H964" s="110">
        <v>6707.0</v>
      </c>
      <c r="I964" s="132">
        <v>651.21</v>
      </c>
      <c r="J964" s="132">
        <v>524.96</v>
      </c>
      <c r="K964" s="39">
        <f t="shared" si="1"/>
        <v>4367665.47</v>
      </c>
      <c r="L964" s="39">
        <f t="shared" si="2"/>
        <v>3520906.72</v>
      </c>
      <c r="M964" s="39">
        <f t="shared" si="3"/>
        <v>846758.75</v>
      </c>
      <c r="N964" s="38" t="str">
        <f>VLOOKUP(F964,products!$A$2:$B$13,2,FALSE)</f>
        <v>Office Supplies</v>
      </c>
      <c r="O964" s="133">
        <f t="shared" si="4"/>
        <v>0.806130127</v>
      </c>
      <c r="P964" s="38" t="str">
        <f>VLOOKUP(E964,countries!A$2:E$250,3,false)</f>
        <v>Ireland</v>
      </c>
      <c r="Q964" s="38" t="str">
        <f>VLOOKUP($E964,countries!$A$2:$E$250,4,false)</f>
        <v>Europe</v>
      </c>
      <c r="R964" s="38" t="str">
        <f>VLOOKUP($E964,countries!$A$2:$E$250,5,false)</f>
        <v>Northern Europe</v>
      </c>
      <c r="S964" s="38">
        <f t="shared" si="5"/>
        <v>20</v>
      </c>
      <c r="T964" s="38" t="s">
        <v>153</v>
      </c>
      <c r="U964" s="38">
        <v>2014.0</v>
      </c>
      <c r="V964" s="38">
        <v>6.0</v>
      </c>
      <c r="W964" s="38" t="s">
        <v>127</v>
      </c>
      <c r="X964" s="38" t="s">
        <v>198</v>
      </c>
      <c r="Y964" s="38" t="s">
        <v>146</v>
      </c>
      <c r="Z964" s="38" t="s">
        <v>170</v>
      </c>
      <c r="AA964" s="113" t="str">
        <f t="array" ref="AA964">PROPER(G964)</f>
        <v>Offline</v>
      </c>
    </row>
    <row r="965">
      <c r="A965" s="110">
        <v>7.30490243E8</v>
      </c>
      <c r="B965" s="131">
        <v>40371.0</v>
      </c>
      <c r="C965" s="131">
        <v>40373.0</v>
      </c>
      <c r="D965" s="110" t="s">
        <v>95</v>
      </c>
      <c r="E965" s="110" t="s">
        <v>129</v>
      </c>
      <c r="F965" s="110">
        <v>8875.0</v>
      </c>
      <c r="G965" s="38" t="s">
        <v>43</v>
      </c>
      <c r="H965" s="110">
        <v>7151.0</v>
      </c>
      <c r="I965" s="132">
        <v>421.89</v>
      </c>
      <c r="J965" s="132">
        <v>364.69</v>
      </c>
      <c r="K965" s="39">
        <f t="shared" si="1"/>
        <v>3016935.39</v>
      </c>
      <c r="L965" s="39">
        <f t="shared" si="2"/>
        <v>2607898.19</v>
      </c>
      <c r="M965" s="39">
        <f t="shared" si="3"/>
        <v>409037.2</v>
      </c>
      <c r="N965" s="38" t="str">
        <f>VLOOKUP(F965,products!$A$2:$B$13,2,FALSE)</f>
        <v>Meat</v>
      </c>
      <c r="O965" s="133">
        <f t="shared" si="4"/>
        <v>0.8644196354</v>
      </c>
      <c r="P965" s="38" t="str">
        <f>VLOOKUP(E965,countries!A$2:E$250,3,false)</f>
        <v>Liechtenstein</v>
      </c>
      <c r="Q965" s="38" t="str">
        <f>VLOOKUP($E965,countries!$A$2:$E$250,4,false)</f>
        <v>Europe</v>
      </c>
      <c r="R965" s="38" t="str">
        <f>VLOOKUP($E965,countries!$A$2:$E$250,5,false)</f>
        <v>Western Europe</v>
      </c>
      <c r="S965" s="38">
        <f t="shared" si="5"/>
        <v>2</v>
      </c>
      <c r="T965" s="38" t="s">
        <v>167</v>
      </c>
      <c r="U965" s="38">
        <v>2010.0</v>
      </c>
      <c r="V965" s="38">
        <v>7.0</v>
      </c>
      <c r="W965" s="38" t="s">
        <v>129</v>
      </c>
      <c r="X965" s="38" t="s">
        <v>200</v>
      </c>
      <c r="Y965" s="38" t="s">
        <v>146</v>
      </c>
      <c r="Z965" s="38" t="s">
        <v>158</v>
      </c>
      <c r="AA965" s="113" t="str">
        <f t="array" ref="AA965">PROPER(G965)</f>
        <v>Online</v>
      </c>
    </row>
    <row r="966">
      <c r="A966" s="110">
        <v>7.32703387E8</v>
      </c>
      <c r="B966" s="131">
        <v>41648.0</v>
      </c>
      <c r="C966" s="131">
        <v>41667.0</v>
      </c>
      <c r="D966" s="110" t="s">
        <v>95</v>
      </c>
      <c r="E966" s="110" t="s">
        <v>110</v>
      </c>
      <c r="F966" s="110">
        <v>1270.0</v>
      </c>
      <c r="G966" s="38" t="s">
        <v>43</v>
      </c>
      <c r="H966" s="110">
        <v>2069.0</v>
      </c>
      <c r="I966" s="132">
        <v>47.45</v>
      </c>
      <c r="J966" s="132">
        <v>31.79</v>
      </c>
      <c r="K966" s="39">
        <f t="shared" si="1"/>
        <v>98174.05</v>
      </c>
      <c r="L966" s="39">
        <f t="shared" si="2"/>
        <v>65773.51</v>
      </c>
      <c r="M966" s="39">
        <f t="shared" si="3"/>
        <v>32400.54</v>
      </c>
      <c r="N966" s="38" t="str">
        <f>VLOOKUP(F966,products!$A$2:$B$13,2,FALSE)</f>
        <v>Beverages</v>
      </c>
      <c r="O966" s="133">
        <f t="shared" si="4"/>
        <v>0.6699683878</v>
      </c>
      <c r="P966" s="38" t="str">
        <f>VLOOKUP(E966,countries!A$2:E$250,3,false)</f>
        <v>Lithuania</v>
      </c>
      <c r="Q966" s="38" t="str">
        <f>VLOOKUP($E966,countries!$A$2:$E$250,4,false)</f>
        <v>Europe</v>
      </c>
      <c r="R966" s="38" t="str">
        <f>VLOOKUP($E966,countries!$A$2:$E$250,5,false)</f>
        <v>Northern Europe</v>
      </c>
      <c r="S966" s="38">
        <f t="shared" si="5"/>
        <v>19</v>
      </c>
      <c r="T966" s="38" t="s">
        <v>152</v>
      </c>
      <c r="U966" s="38">
        <v>2014.0</v>
      </c>
      <c r="V966" s="38">
        <v>1.0</v>
      </c>
      <c r="W966" s="38" t="s">
        <v>110</v>
      </c>
      <c r="X966" s="38" t="s">
        <v>177</v>
      </c>
      <c r="Y966" s="38" t="s">
        <v>146</v>
      </c>
      <c r="Z966" s="38" t="s">
        <v>170</v>
      </c>
      <c r="AA966" s="113" t="str">
        <f t="array" ref="AA966">PROPER(G966)</f>
        <v>Online</v>
      </c>
    </row>
    <row r="967">
      <c r="A967" s="110">
        <v>7.33636796E8</v>
      </c>
      <c r="B967" s="131">
        <v>41141.0</v>
      </c>
      <c r="C967" s="131">
        <v>41167.0</v>
      </c>
      <c r="D967" s="110" t="s">
        <v>89</v>
      </c>
      <c r="E967" s="110" t="s">
        <v>113</v>
      </c>
      <c r="F967" s="110">
        <v>8875.0</v>
      </c>
      <c r="G967" s="38" t="s">
        <v>43</v>
      </c>
      <c r="H967" s="110">
        <v>8286.0</v>
      </c>
      <c r="I967" s="132">
        <v>421.89</v>
      </c>
      <c r="J967" s="132">
        <v>364.69</v>
      </c>
      <c r="K967" s="39">
        <f t="shared" si="1"/>
        <v>3495780.54</v>
      </c>
      <c r="L967" s="39">
        <f t="shared" si="2"/>
        <v>3021821.34</v>
      </c>
      <c r="M967" s="39">
        <f t="shared" si="3"/>
        <v>473959.2</v>
      </c>
      <c r="N967" s="38" t="str">
        <f>VLOOKUP(F967,products!$A$2:$B$13,2,FALSE)</f>
        <v>Meat</v>
      </c>
      <c r="O967" s="133">
        <f t="shared" si="4"/>
        <v>0.8644196354</v>
      </c>
      <c r="P967" s="38" t="str">
        <f>VLOOKUP(E967,countries!A$2:E$250,3,false)</f>
        <v>Ukraine</v>
      </c>
      <c r="Q967" s="38" t="str">
        <f>VLOOKUP($E967,countries!$A$2:$E$250,4,false)</f>
        <v>Europe</v>
      </c>
      <c r="R967" s="38" t="str">
        <f>VLOOKUP($E967,countries!$A$2:$E$250,5,false)</f>
        <v>Eastern Europe</v>
      </c>
      <c r="S967" s="38">
        <f t="shared" si="5"/>
        <v>26</v>
      </c>
      <c r="T967" s="38" t="s">
        <v>167</v>
      </c>
      <c r="U967" s="38">
        <v>2012.0</v>
      </c>
      <c r="V967" s="38">
        <v>8.0</v>
      </c>
      <c r="W967" s="38" t="s">
        <v>113</v>
      </c>
      <c r="X967" s="38" t="s">
        <v>181</v>
      </c>
      <c r="Y967" s="38" t="s">
        <v>146</v>
      </c>
      <c r="Z967" s="38" t="s">
        <v>155</v>
      </c>
      <c r="AA967" s="113" t="str">
        <f t="array" ref="AA967">PROPER(G967)</f>
        <v>Online</v>
      </c>
    </row>
    <row r="968">
      <c r="A968" s="110">
        <v>7.33648812E8</v>
      </c>
      <c r="B968" s="131">
        <v>41261.0</v>
      </c>
      <c r="C968" s="131">
        <v>41267.0</v>
      </c>
      <c r="D968" s="110" t="s">
        <v>89</v>
      </c>
      <c r="E968" s="110" t="s">
        <v>107</v>
      </c>
      <c r="F968" s="110">
        <v>2103.0</v>
      </c>
      <c r="G968" s="38" t="s">
        <v>43</v>
      </c>
      <c r="H968" s="110">
        <v>1842.0</v>
      </c>
      <c r="I968" s="132">
        <v>205.7</v>
      </c>
      <c r="J968" s="132">
        <v>117.11</v>
      </c>
      <c r="K968" s="39">
        <f t="shared" si="1"/>
        <v>378899.4</v>
      </c>
      <c r="L968" s="39">
        <f t="shared" si="2"/>
        <v>215716.62</v>
      </c>
      <c r="M968" s="39">
        <f t="shared" si="3"/>
        <v>163182.78</v>
      </c>
      <c r="N968" s="38" t="str">
        <f>VLOOKUP(F968,products!$A$2:$B$13,2,FALSE)</f>
        <v>Cereal</v>
      </c>
      <c r="O968" s="133">
        <f t="shared" si="4"/>
        <v>0.5693242586</v>
      </c>
      <c r="P968" s="38" t="str">
        <f>VLOOKUP(E968,countries!A$2:E$250,3,false)</f>
        <v>Luxembourg</v>
      </c>
      <c r="Q968" s="38" t="str">
        <f>VLOOKUP($E968,countries!$A$2:$E$250,4,false)</f>
        <v>Europe</v>
      </c>
      <c r="R968" s="38" t="str">
        <f>VLOOKUP($E968,countries!$A$2:$E$250,5,false)</f>
        <v>Western Europe</v>
      </c>
      <c r="S968" s="38">
        <f t="shared" si="5"/>
        <v>6</v>
      </c>
      <c r="T968" s="38" t="s">
        <v>144</v>
      </c>
      <c r="U968" s="38">
        <v>2012.0</v>
      </c>
      <c r="V968" s="38">
        <v>12.0</v>
      </c>
      <c r="W968" s="38" t="s">
        <v>107</v>
      </c>
      <c r="X968" s="38" t="s">
        <v>174</v>
      </c>
      <c r="Y968" s="38" t="s">
        <v>146</v>
      </c>
      <c r="Z968" s="38" t="s">
        <v>158</v>
      </c>
      <c r="AA968" s="113" t="str">
        <f t="array" ref="AA968">PROPER(G968)</f>
        <v>Online</v>
      </c>
    </row>
    <row r="969">
      <c r="A969" s="110">
        <v>7.34189975E8</v>
      </c>
      <c r="B969" s="131">
        <v>41953.0</v>
      </c>
      <c r="C969" s="131">
        <v>41972.0</v>
      </c>
      <c r="D969" s="110" t="s">
        <v>95</v>
      </c>
      <c r="E969" s="110" t="s">
        <v>100</v>
      </c>
      <c r="F969" s="110">
        <v>2103.0</v>
      </c>
      <c r="G969" s="38" t="s">
        <v>43</v>
      </c>
      <c r="H969" s="110">
        <v>1984.0</v>
      </c>
      <c r="I969" s="132">
        <v>205.7</v>
      </c>
      <c r="J969" s="132">
        <v>117.11</v>
      </c>
      <c r="K969" s="39">
        <f t="shared" si="1"/>
        <v>408108.8</v>
      </c>
      <c r="L969" s="39">
        <f t="shared" si="2"/>
        <v>232346.24</v>
      </c>
      <c r="M969" s="39">
        <f t="shared" si="3"/>
        <v>175762.56</v>
      </c>
      <c r="N969" s="38" t="str">
        <f>VLOOKUP(F969,products!$A$2:$B$13,2,FALSE)</f>
        <v>Cereal</v>
      </c>
      <c r="O969" s="133">
        <f t="shared" si="4"/>
        <v>0.5693242586</v>
      </c>
      <c r="P969" s="38" t="str">
        <f>VLOOKUP(E969,countries!A$2:E$250,3,false)</f>
        <v>Germany</v>
      </c>
      <c r="Q969" s="38" t="str">
        <f>VLOOKUP($E969,countries!$A$2:$E$250,4,false)</f>
        <v>Europe</v>
      </c>
      <c r="R969" s="38" t="str">
        <f>VLOOKUP($E969,countries!$A$2:$E$250,5,false)</f>
        <v>Western Europe</v>
      </c>
      <c r="S969" s="38">
        <f t="shared" si="5"/>
        <v>19</v>
      </c>
      <c r="T969" s="38" t="s">
        <v>144</v>
      </c>
      <c r="U969" s="38">
        <v>2014.0</v>
      </c>
      <c r="V969" s="38">
        <v>11.0</v>
      </c>
      <c r="W969" s="38" t="s">
        <v>100</v>
      </c>
      <c r="X969" s="38" t="s">
        <v>163</v>
      </c>
      <c r="Y969" s="38" t="s">
        <v>146</v>
      </c>
      <c r="Z969" s="38" t="s">
        <v>158</v>
      </c>
      <c r="AA969" s="113" t="str">
        <f t="array" ref="AA969">PROPER(G969)</f>
        <v>Online</v>
      </c>
    </row>
    <row r="970">
      <c r="A970" s="110">
        <v>7.34318292E8</v>
      </c>
      <c r="B970" s="131">
        <v>41660.0</v>
      </c>
      <c r="C970" s="131">
        <v>41702.0</v>
      </c>
      <c r="D970" s="110" t="s">
        <v>89</v>
      </c>
      <c r="E970" s="110" t="s">
        <v>115</v>
      </c>
      <c r="F970" s="110">
        <v>8681.0</v>
      </c>
      <c r="G970" s="38" t="s">
        <v>43</v>
      </c>
      <c r="H970" s="110">
        <v>9956.0</v>
      </c>
      <c r="I970" s="132">
        <v>651.21</v>
      </c>
      <c r="J970" s="132">
        <v>524.96</v>
      </c>
      <c r="K970" s="39">
        <f t="shared" si="1"/>
        <v>6483446.76</v>
      </c>
      <c r="L970" s="39">
        <f t="shared" si="2"/>
        <v>5226501.76</v>
      </c>
      <c r="M970" s="39">
        <f t="shared" si="3"/>
        <v>1256945</v>
      </c>
      <c r="N970" s="38" t="str">
        <f>VLOOKUP(F970,products!$A$2:$B$13,2,FALSE)</f>
        <v>Office Supplies</v>
      </c>
      <c r="O970" s="133">
        <f t="shared" si="4"/>
        <v>0.806130127</v>
      </c>
      <c r="P970" s="38" t="str">
        <f>VLOOKUP(E970,countries!A$2:E$250,3,false)</f>
        <v>Portugal</v>
      </c>
      <c r="Q970" s="38" t="str">
        <f>VLOOKUP($E970,countries!$A$2:$E$250,4,false)</f>
        <v>Europe</v>
      </c>
      <c r="R970" s="38" t="str">
        <f>VLOOKUP($E970,countries!$A$2:$E$250,5,false)</f>
        <v>Southern Europe</v>
      </c>
      <c r="S970" s="38">
        <f t="shared" si="5"/>
        <v>42</v>
      </c>
      <c r="T970" s="38" t="s">
        <v>153</v>
      </c>
      <c r="U970" s="38">
        <v>2014.0</v>
      </c>
      <c r="V970" s="38">
        <v>1.0</v>
      </c>
      <c r="W970" s="38" t="s">
        <v>115</v>
      </c>
      <c r="X970" s="38" t="s">
        <v>186</v>
      </c>
      <c r="Y970" s="38" t="s">
        <v>146</v>
      </c>
      <c r="Z970" s="38" t="s">
        <v>147</v>
      </c>
      <c r="AA970" s="113" t="str">
        <f t="array" ref="AA970">PROPER(G970)</f>
        <v>Online</v>
      </c>
    </row>
    <row r="971">
      <c r="A971" s="110">
        <v>7.35445678E8</v>
      </c>
      <c r="B971" s="131">
        <v>40729.0</v>
      </c>
      <c r="C971" s="131">
        <v>40746.0</v>
      </c>
      <c r="D971" s="110" t="s">
        <v>95</v>
      </c>
      <c r="E971" s="110" t="s">
        <v>106</v>
      </c>
      <c r="F971" s="110">
        <v>1270.0</v>
      </c>
      <c r="G971" s="38" t="s">
        <v>42</v>
      </c>
      <c r="H971" s="110">
        <v>3574.0</v>
      </c>
      <c r="I971" s="132">
        <v>47.45</v>
      </c>
      <c r="J971" s="132">
        <v>31.79</v>
      </c>
      <c r="K971" s="39">
        <f t="shared" si="1"/>
        <v>169586.3</v>
      </c>
      <c r="L971" s="39">
        <f t="shared" si="2"/>
        <v>113617.46</v>
      </c>
      <c r="M971" s="39">
        <f t="shared" si="3"/>
        <v>55968.84</v>
      </c>
      <c r="N971" s="38" t="str">
        <f>VLOOKUP(F971,products!$A$2:$B$13,2,FALSE)</f>
        <v>Beverages</v>
      </c>
      <c r="O971" s="133">
        <f t="shared" si="4"/>
        <v>0.6699683878</v>
      </c>
      <c r="P971" s="38" t="str">
        <f>VLOOKUP(E971,countries!A$2:E$250,3,false)</f>
        <v>Poland</v>
      </c>
      <c r="Q971" s="38" t="str">
        <f>VLOOKUP($E971,countries!$A$2:$E$250,4,false)</f>
        <v>Europe</v>
      </c>
      <c r="R971" s="38" t="str">
        <f>VLOOKUP($E971,countries!$A$2:$E$250,5,false)</f>
        <v>Eastern Europe</v>
      </c>
      <c r="S971" s="38">
        <f t="shared" si="5"/>
        <v>17</v>
      </c>
      <c r="T971" s="38" t="s">
        <v>152</v>
      </c>
      <c r="U971" s="38">
        <v>2011.0</v>
      </c>
      <c r="V971" s="38">
        <v>7.0</v>
      </c>
      <c r="W971" s="38" t="s">
        <v>106</v>
      </c>
      <c r="X971" s="38" t="s">
        <v>173</v>
      </c>
      <c r="Y971" s="38" t="s">
        <v>146</v>
      </c>
      <c r="Z971" s="38" t="s">
        <v>155</v>
      </c>
      <c r="AA971" s="113" t="str">
        <f t="array" ref="AA971">PROPER(G971)</f>
        <v>Offline</v>
      </c>
    </row>
    <row r="972">
      <c r="A972" s="110">
        <v>7.36240041E8</v>
      </c>
      <c r="B972" s="131">
        <v>42777.0</v>
      </c>
      <c r="C972" s="131">
        <v>42786.0</v>
      </c>
      <c r="D972" s="110" t="s">
        <v>93</v>
      </c>
      <c r="E972" s="110" t="s">
        <v>104</v>
      </c>
      <c r="F972" s="110">
        <v>7940.0</v>
      </c>
      <c r="G972" s="38" t="s">
        <v>42</v>
      </c>
      <c r="H972" s="110">
        <v>8644.0</v>
      </c>
      <c r="I972" s="132">
        <v>668.27</v>
      </c>
      <c r="J972" s="132">
        <v>502.54</v>
      </c>
      <c r="K972" s="39">
        <f t="shared" si="1"/>
        <v>5776525.88</v>
      </c>
      <c r="L972" s="39">
        <f t="shared" si="2"/>
        <v>4343955.76</v>
      </c>
      <c r="M972" s="39">
        <f t="shared" si="3"/>
        <v>1432570.12</v>
      </c>
      <c r="N972" s="38" t="str">
        <f>VLOOKUP(F972,products!$A$2:$B$13,2,FALSE)</f>
        <v>Household</v>
      </c>
      <c r="O972" s="133">
        <f t="shared" si="4"/>
        <v>0.7520014365</v>
      </c>
      <c r="P972" s="38" t="str">
        <f>VLOOKUP(E972,countries!A$2:E$250,3,false)</f>
        <v>Slovenia</v>
      </c>
      <c r="Q972" s="38" t="str">
        <f>VLOOKUP($E972,countries!$A$2:$E$250,4,false)</f>
        <v>Europe</v>
      </c>
      <c r="R972" s="38" t="str">
        <f>VLOOKUP($E972,countries!$A$2:$E$250,5,false)</f>
        <v>Southern Europe</v>
      </c>
      <c r="S972" s="38">
        <f t="shared" si="5"/>
        <v>9</v>
      </c>
      <c r="T972" s="38" t="s">
        <v>148</v>
      </c>
      <c r="U972" s="38">
        <v>2017.0</v>
      </c>
      <c r="V972" s="38">
        <v>2.0</v>
      </c>
      <c r="W972" s="38" t="s">
        <v>104</v>
      </c>
      <c r="X972" s="38" t="s">
        <v>171</v>
      </c>
      <c r="Y972" s="38" t="s">
        <v>146</v>
      </c>
      <c r="Z972" s="38" t="s">
        <v>147</v>
      </c>
      <c r="AA972" s="113" t="str">
        <f t="array" ref="AA972">PROPER(G972)</f>
        <v>Offline</v>
      </c>
    </row>
    <row r="973">
      <c r="A973" s="110">
        <v>7.37095344E8</v>
      </c>
      <c r="B973" s="131">
        <v>41486.0</v>
      </c>
      <c r="C973" s="131">
        <v>41530.0</v>
      </c>
      <c r="D973" s="110" t="s">
        <v>93</v>
      </c>
      <c r="E973" s="110" t="s">
        <v>101</v>
      </c>
      <c r="F973" s="110">
        <v>8969.0</v>
      </c>
      <c r="G973" s="38" t="s">
        <v>42</v>
      </c>
      <c r="H973" s="110">
        <v>1747.0</v>
      </c>
      <c r="I973" s="132">
        <v>152.58</v>
      </c>
      <c r="J973" s="132">
        <v>97.44</v>
      </c>
      <c r="K973" s="39">
        <f t="shared" si="1"/>
        <v>266557.26</v>
      </c>
      <c r="L973" s="39">
        <f t="shared" si="2"/>
        <v>170227.68</v>
      </c>
      <c r="M973" s="39">
        <f t="shared" si="3"/>
        <v>96329.58</v>
      </c>
      <c r="N973" s="38" t="str">
        <f>VLOOKUP(F973,products!$A$2:$B$13,2,FALSE)</f>
        <v>Snacks</v>
      </c>
      <c r="O973" s="133">
        <f t="shared" si="4"/>
        <v>0.6386158081</v>
      </c>
      <c r="P973" s="38" t="str">
        <f>VLOOKUP(E973,countries!A$2:E$250,3,false)</f>
        <v>Armenia</v>
      </c>
      <c r="Q973" s="38" t="str">
        <f>VLOOKUP($E973,countries!$A$2:$E$250,4,false)</f>
        <v>Asia</v>
      </c>
      <c r="R973" s="38" t="str">
        <f>VLOOKUP($E973,countries!$A$2:$E$250,5,false)</f>
        <v>Western Asia</v>
      </c>
      <c r="S973" s="38">
        <f t="shared" si="5"/>
        <v>44</v>
      </c>
      <c r="T973" s="38" t="s">
        <v>182</v>
      </c>
      <c r="U973" s="38">
        <v>2013.0</v>
      </c>
      <c r="V973" s="38">
        <v>7.0</v>
      </c>
      <c r="W973" s="38" t="s">
        <v>101</v>
      </c>
      <c r="X973" s="38" t="s">
        <v>164</v>
      </c>
      <c r="Y973" s="38" t="s">
        <v>165</v>
      </c>
      <c r="Z973" s="38" t="s">
        <v>166</v>
      </c>
      <c r="AA973" s="113" t="str">
        <f t="array" ref="AA973">PROPER(G973)</f>
        <v>Offline</v>
      </c>
    </row>
    <row r="974">
      <c r="A974" s="110">
        <v>7.3773607E8</v>
      </c>
      <c r="B974" s="131">
        <v>41201.0</v>
      </c>
      <c r="C974" s="131">
        <v>41216.0</v>
      </c>
      <c r="D974" s="110" t="s">
        <v>93</v>
      </c>
      <c r="E974" s="110" t="s">
        <v>132</v>
      </c>
      <c r="F974" s="110">
        <v>2103.0</v>
      </c>
      <c r="G974" s="38" t="s">
        <v>42</v>
      </c>
      <c r="H974" s="110">
        <v>1352.0</v>
      </c>
      <c r="I974" s="132">
        <v>205.7</v>
      </c>
      <c r="J974" s="132">
        <v>117.11</v>
      </c>
      <c r="K974" s="39">
        <f t="shared" si="1"/>
        <v>278106.4</v>
      </c>
      <c r="L974" s="39">
        <f t="shared" si="2"/>
        <v>158332.72</v>
      </c>
      <c r="M974" s="39">
        <f t="shared" si="3"/>
        <v>119773.68</v>
      </c>
      <c r="N974" s="38" t="str">
        <f>VLOOKUP(F974,products!$A$2:$B$13,2,FALSE)</f>
        <v>Cereal</v>
      </c>
      <c r="O974" s="133">
        <f t="shared" si="4"/>
        <v>0.5693242586</v>
      </c>
      <c r="P974" s="38" t="str">
        <f>VLOOKUP(E974,countries!A$2:E$250,3,false)</f>
        <v>Sweden</v>
      </c>
      <c r="Q974" s="38" t="str">
        <f>VLOOKUP($E974,countries!$A$2:$E$250,4,false)</f>
        <v>Europe</v>
      </c>
      <c r="R974" s="38" t="str">
        <f>VLOOKUP($E974,countries!$A$2:$E$250,5,false)</f>
        <v>Northern Europe</v>
      </c>
      <c r="S974" s="38">
        <f t="shared" si="5"/>
        <v>15</v>
      </c>
      <c r="T974" s="38" t="s">
        <v>144</v>
      </c>
      <c r="U974" s="38">
        <v>2012.0</v>
      </c>
      <c r="V974" s="38">
        <v>10.0</v>
      </c>
      <c r="W974" s="38" t="s">
        <v>132</v>
      </c>
      <c r="X974" s="38" t="s">
        <v>203</v>
      </c>
      <c r="Y974" s="38" t="s">
        <v>146</v>
      </c>
      <c r="Z974" s="38" t="s">
        <v>170</v>
      </c>
      <c r="AA974" s="113" t="str">
        <f t="array" ref="AA974">PROPER(G974)</f>
        <v>Offline</v>
      </c>
    </row>
    <row r="975">
      <c r="A975" s="110">
        <v>7.40300261E8</v>
      </c>
      <c r="B975" s="131">
        <v>42446.0</v>
      </c>
      <c r="C975" s="131">
        <v>42483.0</v>
      </c>
      <c r="D975" s="110" t="s">
        <v>89</v>
      </c>
      <c r="E975" s="110" t="s">
        <v>108</v>
      </c>
      <c r="F975" s="110">
        <v>7331.0</v>
      </c>
      <c r="G975" s="38" t="s">
        <v>43</v>
      </c>
      <c r="H975" s="110">
        <v>153.0</v>
      </c>
      <c r="I975" s="132">
        <v>255.28</v>
      </c>
      <c r="J975" s="132">
        <v>159.42</v>
      </c>
      <c r="K975" s="39">
        <f t="shared" si="1"/>
        <v>39057.84</v>
      </c>
      <c r="L975" s="39">
        <f t="shared" si="2"/>
        <v>24391.26</v>
      </c>
      <c r="M975" s="39">
        <f t="shared" si="3"/>
        <v>14666.58</v>
      </c>
      <c r="N975" s="38" t="str">
        <f>VLOOKUP(F975,products!$A$2:$B$13,2,FALSE)</f>
        <v>Baby Food</v>
      </c>
      <c r="O975" s="133">
        <f t="shared" si="4"/>
        <v>0.6244907552</v>
      </c>
      <c r="P975" s="38" t="str">
        <f>VLOOKUP(E975,countries!A$2:E$250,3,false)</f>
        <v>Cyprus</v>
      </c>
      <c r="Q975" s="38" t="str">
        <f>VLOOKUP($E975,countries!$A$2:$E$250,4,false)</f>
        <v>Asia</v>
      </c>
      <c r="R975" s="38" t="str">
        <f>VLOOKUP($E975,countries!$A$2:$E$250,5,false)</f>
        <v>Western Asia</v>
      </c>
      <c r="S975" s="38">
        <f t="shared" si="5"/>
        <v>37</v>
      </c>
      <c r="T975" s="38" t="s">
        <v>161</v>
      </c>
      <c r="U975" s="38">
        <v>2016.0</v>
      </c>
      <c r="V975" s="38">
        <v>3.0</v>
      </c>
      <c r="W975" s="38" t="s">
        <v>108</v>
      </c>
      <c r="X975" s="38" t="s">
        <v>175</v>
      </c>
      <c r="Y975" s="38" t="s">
        <v>165</v>
      </c>
      <c r="Z975" s="38" t="s">
        <v>166</v>
      </c>
      <c r="AA975" s="113" t="str">
        <f t="array" ref="AA975">PROPER(G975)</f>
        <v>Online</v>
      </c>
    </row>
    <row r="976">
      <c r="A976" s="110">
        <v>7.41690289E8</v>
      </c>
      <c r="B976" s="131">
        <v>40991.0</v>
      </c>
      <c r="C976" s="131">
        <v>41039.0</v>
      </c>
      <c r="D976" s="110" t="s">
        <v>10</v>
      </c>
      <c r="E976" s="110" t="s">
        <v>105</v>
      </c>
      <c r="F976" s="110">
        <v>8875.0</v>
      </c>
      <c r="G976" s="38" t="s">
        <v>42</v>
      </c>
      <c r="H976" s="110">
        <v>1494.0</v>
      </c>
      <c r="I976" s="132">
        <v>421.89</v>
      </c>
      <c r="J976" s="132">
        <v>364.69</v>
      </c>
      <c r="K976" s="39">
        <f t="shared" si="1"/>
        <v>630303.66</v>
      </c>
      <c r="L976" s="39">
        <f t="shared" si="2"/>
        <v>544846.86</v>
      </c>
      <c r="M976" s="39">
        <f t="shared" si="3"/>
        <v>85456.8</v>
      </c>
      <c r="N976" s="38" t="str">
        <f>VLOOKUP(F976,products!$A$2:$B$13,2,FALSE)</f>
        <v>Meat</v>
      </c>
      <c r="O976" s="133">
        <f t="shared" si="4"/>
        <v>0.8644196354</v>
      </c>
      <c r="P976" s="38" t="str">
        <f>VLOOKUP(E976,countries!A$2:E$250,3,false)</f>
        <v>Romania</v>
      </c>
      <c r="Q976" s="38" t="str">
        <f>VLOOKUP($E976,countries!$A$2:$E$250,4,false)</f>
        <v>Europe</v>
      </c>
      <c r="R976" s="38" t="str">
        <f>VLOOKUP($E976,countries!$A$2:$E$250,5,false)</f>
        <v>Eastern Europe</v>
      </c>
      <c r="S976" s="38">
        <f t="shared" si="5"/>
        <v>48</v>
      </c>
      <c r="T976" s="38" t="s">
        <v>167</v>
      </c>
      <c r="U976" s="38">
        <v>2012.0</v>
      </c>
      <c r="V976" s="38">
        <v>3.0</v>
      </c>
      <c r="W976" s="38" t="s">
        <v>105</v>
      </c>
      <c r="X976" s="38" t="s">
        <v>172</v>
      </c>
      <c r="Y976" s="38" t="s">
        <v>146</v>
      </c>
      <c r="Z976" s="38" t="s">
        <v>155</v>
      </c>
      <c r="AA976" s="113" t="str">
        <f t="array" ref="AA976">PROPER(G976)</f>
        <v>Offline</v>
      </c>
    </row>
    <row r="977">
      <c r="A977" s="110">
        <v>7.41866242E8</v>
      </c>
      <c r="B977" s="131">
        <v>40387.0</v>
      </c>
      <c r="C977" s="131">
        <v>40434.0</v>
      </c>
      <c r="D977" s="110" t="s">
        <v>95</v>
      </c>
      <c r="E977" s="110" t="s">
        <v>113</v>
      </c>
      <c r="F977" s="110">
        <v>7940.0</v>
      </c>
      <c r="G977" s="38" t="s">
        <v>43</v>
      </c>
      <c r="H977" s="110">
        <v>3562.0</v>
      </c>
      <c r="I977" s="132">
        <v>668.27</v>
      </c>
      <c r="J977" s="132">
        <v>502.54</v>
      </c>
      <c r="K977" s="39">
        <f t="shared" si="1"/>
        <v>2380377.74</v>
      </c>
      <c r="L977" s="39">
        <f t="shared" si="2"/>
        <v>1790047.48</v>
      </c>
      <c r="M977" s="39">
        <f t="shared" si="3"/>
        <v>590330.26</v>
      </c>
      <c r="N977" s="38" t="str">
        <f>VLOOKUP(F977,products!$A$2:$B$13,2,FALSE)</f>
        <v>Household</v>
      </c>
      <c r="O977" s="133">
        <f t="shared" si="4"/>
        <v>0.7520014365</v>
      </c>
      <c r="P977" s="38" t="str">
        <f>VLOOKUP(E977,countries!A$2:E$250,3,false)</f>
        <v>Ukraine</v>
      </c>
      <c r="Q977" s="38" t="str">
        <f>VLOOKUP($E977,countries!$A$2:$E$250,4,false)</f>
        <v>Europe</v>
      </c>
      <c r="R977" s="38" t="str">
        <f>VLOOKUP($E977,countries!$A$2:$E$250,5,false)</f>
        <v>Eastern Europe</v>
      </c>
      <c r="S977" s="38">
        <f t="shared" si="5"/>
        <v>47</v>
      </c>
      <c r="T977" s="38" t="s">
        <v>148</v>
      </c>
      <c r="U977" s="38">
        <v>2010.0</v>
      </c>
      <c r="V977" s="38">
        <v>7.0</v>
      </c>
      <c r="W977" s="38" t="s">
        <v>113</v>
      </c>
      <c r="X977" s="38" t="s">
        <v>181</v>
      </c>
      <c r="Y977" s="38" t="s">
        <v>146</v>
      </c>
      <c r="Z977" s="38" t="s">
        <v>155</v>
      </c>
      <c r="AA977" s="113" t="str">
        <f t="array" ref="AA977">PROPER(G977)</f>
        <v>Online</v>
      </c>
    </row>
    <row r="978">
      <c r="A978" s="110">
        <v>7.41964948E8</v>
      </c>
      <c r="B978" s="131">
        <v>40587.0</v>
      </c>
      <c r="C978" s="131">
        <v>40600.0</v>
      </c>
      <c r="D978" s="110" t="s">
        <v>10</v>
      </c>
      <c r="E978" s="110" t="s">
        <v>113</v>
      </c>
      <c r="F978" s="110">
        <v>2103.0</v>
      </c>
      <c r="G978" s="38" t="s">
        <v>42</v>
      </c>
      <c r="H978" s="110">
        <v>2771.0</v>
      </c>
      <c r="I978" s="132">
        <v>205.7</v>
      </c>
      <c r="J978" s="132">
        <v>117.11</v>
      </c>
      <c r="K978" s="39">
        <f t="shared" si="1"/>
        <v>569994.7</v>
      </c>
      <c r="L978" s="39">
        <f t="shared" si="2"/>
        <v>324511.81</v>
      </c>
      <c r="M978" s="39">
        <f t="shared" si="3"/>
        <v>245482.89</v>
      </c>
      <c r="N978" s="38" t="str">
        <f>VLOOKUP(F978,products!$A$2:$B$13,2,FALSE)</f>
        <v>Cereal</v>
      </c>
      <c r="O978" s="133">
        <f t="shared" si="4"/>
        <v>0.5693242586</v>
      </c>
      <c r="P978" s="38" t="str">
        <f>VLOOKUP(E978,countries!A$2:E$250,3,false)</f>
        <v>Ukraine</v>
      </c>
      <c r="Q978" s="38" t="str">
        <f>VLOOKUP($E978,countries!$A$2:$E$250,4,false)</f>
        <v>Europe</v>
      </c>
      <c r="R978" s="38" t="str">
        <f>VLOOKUP($E978,countries!$A$2:$E$250,5,false)</f>
        <v>Eastern Europe</v>
      </c>
      <c r="S978" s="38">
        <f t="shared" si="5"/>
        <v>13</v>
      </c>
      <c r="T978" s="38" t="s">
        <v>144</v>
      </c>
      <c r="U978" s="38">
        <v>2011.0</v>
      </c>
      <c r="V978" s="38">
        <v>2.0</v>
      </c>
      <c r="W978" s="38" t="s">
        <v>113</v>
      </c>
      <c r="X978" s="38" t="s">
        <v>181</v>
      </c>
      <c r="Y978" s="38" t="s">
        <v>146</v>
      </c>
      <c r="Z978" s="38" t="s">
        <v>155</v>
      </c>
      <c r="AA978" s="113" t="str">
        <f t="array" ref="AA978">PROPER(G978)</f>
        <v>Offline</v>
      </c>
    </row>
    <row r="979">
      <c r="A979" s="110">
        <v>7.4210056E8</v>
      </c>
      <c r="B979" s="131">
        <v>42739.0</v>
      </c>
      <c r="C979" s="131">
        <v>42752.0</v>
      </c>
      <c r="D979" s="110" t="s">
        <v>10</v>
      </c>
      <c r="E979" s="110" t="s">
        <v>120</v>
      </c>
      <c r="F979" s="110">
        <v>8969.0</v>
      </c>
      <c r="G979" s="38" t="s">
        <v>42</v>
      </c>
      <c r="H979" s="110">
        <v>2902.0</v>
      </c>
      <c r="I979" s="132">
        <v>152.58</v>
      </c>
      <c r="J979" s="132">
        <v>97.44</v>
      </c>
      <c r="K979" s="39">
        <f t="shared" si="1"/>
        <v>442787.16</v>
      </c>
      <c r="L979" s="39">
        <f t="shared" si="2"/>
        <v>282770.88</v>
      </c>
      <c r="M979" s="39">
        <f t="shared" si="3"/>
        <v>160016.28</v>
      </c>
      <c r="N979" s="38" t="str">
        <f>VLOOKUP(F979,products!$A$2:$B$13,2,FALSE)</f>
        <v>Snacks</v>
      </c>
      <c r="O979" s="133">
        <f t="shared" si="4"/>
        <v>0.6386158081</v>
      </c>
      <c r="P979" s="38" t="str">
        <f>VLOOKUP(E979,countries!A$2:E$250,3,false)</f>
        <v>San Marino</v>
      </c>
      <c r="Q979" s="38" t="str">
        <f>VLOOKUP($E979,countries!$A$2:$E$250,4,false)</f>
        <v>Europe</v>
      </c>
      <c r="R979" s="38" t="str">
        <f>VLOOKUP($E979,countries!$A$2:$E$250,5,false)</f>
        <v>Southern Europe</v>
      </c>
      <c r="S979" s="38">
        <f t="shared" si="5"/>
        <v>13</v>
      </c>
      <c r="T979" s="38" t="s">
        <v>182</v>
      </c>
      <c r="U979" s="38">
        <v>2017.0</v>
      </c>
      <c r="V979" s="38">
        <v>1.0</v>
      </c>
      <c r="W979" s="38" t="s">
        <v>120</v>
      </c>
      <c r="X979" s="38" t="s">
        <v>191</v>
      </c>
      <c r="Y979" s="38" t="s">
        <v>146</v>
      </c>
      <c r="Z979" s="38" t="s">
        <v>147</v>
      </c>
      <c r="AA979" s="113" t="str">
        <f t="array" ref="AA979">PROPER(G979)</f>
        <v>Offline</v>
      </c>
    </row>
    <row r="980">
      <c r="A980" s="110">
        <v>7.42569196E8</v>
      </c>
      <c r="B980" s="131">
        <v>41912.0</v>
      </c>
      <c r="C980" s="131">
        <v>41960.0</v>
      </c>
      <c r="D980" s="110" t="s">
        <v>89</v>
      </c>
      <c r="E980" s="110" t="s">
        <v>107</v>
      </c>
      <c r="F980" s="110">
        <v>5988.0</v>
      </c>
      <c r="G980" s="38" t="s">
        <v>43</v>
      </c>
      <c r="H980" s="110">
        <v>1581.0</v>
      </c>
      <c r="I980" s="132">
        <v>154.06</v>
      </c>
      <c r="J980" s="132">
        <v>90.93</v>
      </c>
      <c r="K980" s="39">
        <f t="shared" si="1"/>
        <v>243568.86</v>
      </c>
      <c r="L980" s="39">
        <f t="shared" si="2"/>
        <v>143760.33</v>
      </c>
      <c r="M980" s="39">
        <f t="shared" si="3"/>
        <v>99808.53</v>
      </c>
      <c r="N980" s="38" t="str">
        <f>VLOOKUP(F980,products!$A$2:$B$13,2,FALSE)</f>
        <v>Vegetables</v>
      </c>
      <c r="O980" s="133">
        <f t="shared" si="4"/>
        <v>0.5902245878</v>
      </c>
      <c r="P980" s="38" t="str">
        <f>VLOOKUP(E980,countries!A$2:E$250,3,false)</f>
        <v>Luxembourg</v>
      </c>
      <c r="Q980" s="38" t="str">
        <f>VLOOKUP($E980,countries!$A$2:$E$250,4,false)</f>
        <v>Europe</v>
      </c>
      <c r="R980" s="38" t="str">
        <f>VLOOKUP($E980,countries!$A$2:$E$250,5,false)</f>
        <v>Western Europe</v>
      </c>
      <c r="S980" s="38">
        <f t="shared" si="5"/>
        <v>48</v>
      </c>
      <c r="T980" s="38" t="s">
        <v>159</v>
      </c>
      <c r="U980" s="38">
        <v>2014.0</v>
      </c>
      <c r="V980" s="38">
        <v>9.0</v>
      </c>
      <c r="W980" s="38" t="s">
        <v>107</v>
      </c>
      <c r="X980" s="38" t="s">
        <v>174</v>
      </c>
      <c r="Y980" s="38" t="s">
        <v>146</v>
      </c>
      <c r="Z980" s="38" t="s">
        <v>158</v>
      </c>
      <c r="AA980" s="113" t="str">
        <f t="array" ref="AA980">PROPER(G980)</f>
        <v>Online</v>
      </c>
    </row>
    <row r="981">
      <c r="A981" s="110">
        <v>7.42843854E8</v>
      </c>
      <c r="B981" s="131">
        <v>41508.0</v>
      </c>
      <c r="C981" s="131">
        <v>41521.0</v>
      </c>
      <c r="D981" s="110" t="s">
        <v>89</v>
      </c>
      <c r="E981" s="110" t="s">
        <v>106</v>
      </c>
      <c r="F981" s="110">
        <v>1270.0</v>
      </c>
      <c r="G981" s="38" t="s">
        <v>43</v>
      </c>
      <c r="H981" s="110">
        <v>2859.0</v>
      </c>
      <c r="I981" s="132">
        <v>47.45</v>
      </c>
      <c r="J981" s="132">
        <v>31.79</v>
      </c>
      <c r="K981" s="39">
        <f t="shared" si="1"/>
        <v>135659.55</v>
      </c>
      <c r="L981" s="39">
        <f t="shared" si="2"/>
        <v>90887.61</v>
      </c>
      <c r="M981" s="39">
        <f t="shared" si="3"/>
        <v>44771.94</v>
      </c>
      <c r="N981" s="38" t="str">
        <f>VLOOKUP(F981,products!$A$2:$B$13,2,FALSE)</f>
        <v>Beverages</v>
      </c>
      <c r="O981" s="133">
        <f t="shared" si="4"/>
        <v>0.6699683878</v>
      </c>
      <c r="P981" s="38" t="str">
        <f>VLOOKUP(E981,countries!A$2:E$250,3,false)</f>
        <v>Poland</v>
      </c>
      <c r="Q981" s="38" t="str">
        <f>VLOOKUP($E981,countries!$A$2:$E$250,4,false)</f>
        <v>Europe</v>
      </c>
      <c r="R981" s="38" t="str">
        <f>VLOOKUP($E981,countries!$A$2:$E$250,5,false)</f>
        <v>Eastern Europe</v>
      </c>
      <c r="S981" s="38">
        <f t="shared" si="5"/>
        <v>13</v>
      </c>
      <c r="T981" s="38" t="s">
        <v>152</v>
      </c>
      <c r="U981" s="38">
        <v>2013.0</v>
      </c>
      <c r="V981" s="38">
        <v>8.0</v>
      </c>
      <c r="W981" s="38" t="s">
        <v>106</v>
      </c>
      <c r="X981" s="38" t="s">
        <v>173</v>
      </c>
      <c r="Y981" s="38" t="s">
        <v>146</v>
      </c>
      <c r="Z981" s="38" t="s">
        <v>155</v>
      </c>
      <c r="AA981" s="113" t="str">
        <f t="array" ref="AA981">PROPER(G981)</f>
        <v>Online</v>
      </c>
    </row>
    <row r="982">
      <c r="A982" s="110">
        <v>7.43619334E8</v>
      </c>
      <c r="B982" s="131">
        <v>41786.0</v>
      </c>
      <c r="C982" s="131">
        <v>41829.0</v>
      </c>
      <c r="D982" s="110" t="s">
        <v>93</v>
      </c>
      <c r="E982" s="110" t="s">
        <v>123</v>
      </c>
      <c r="F982" s="110">
        <v>8293.0</v>
      </c>
      <c r="G982" s="38" t="s">
        <v>42</v>
      </c>
      <c r="H982" s="110">
        <v>2341.0</v>
      </c>
      <c r="I982" s="132">
        <v>437.2</v>
      </c>
      <c r="J982" s="132">
        <v>263.33</v>
      </c>
      <c r="K982" s="39">
        <f t="shared" si="1"/>
        <v>1023485.2</v>
      </c>
      <c r="L982" s="39">
        <f t="shared" si="2"/>
        <v>616455.53</v>
      </c>
      <c r="M982" s="39">
        <f t="shared" si="3"/>
        <v>407029.67</v>
      </c>
      <c r="N982" s="38" t="str">
        <f>VLOOKUP(F982,products!$A$2:$B$13,2,FALSE)</f>
        <v>Cosmetics</v>
      </c>
      <c r="O982" s="133">
        <f t="shared" si="4"/>
        <v>0.6023101555</v>
      </c>
      <c r="P982" s="38" t="str">
        <f>VLOOKUP(E982,countries!A$2:E$250,3,false)</f>
        <v>Hungary</v>
      </c>
      <c r="Q982" s="38" t="str">
        <f>VLOOKUP($E982,countries!$A$2:$E$250,4,false)</f>
        <v>Europe</v>
      </c>
      <c r="R982" s="38" t="str">
        <f>VLOOKUP($E982,countries!$A$2:$E$250,5,false)</f>
        <v>Eastern Europe</v>
      </c>
      <c r="S982" s="38">
        <f t="shared" si="5"/>
        <v>43</v>
      </c>
      <c r="T982" s="38" t="s">
        <v>178</v>
      </c>
      <c r="U982" s="38">
        <v>2014.0</v>
      </c>
      <c r="V982" s="38">
        <v>5.0</v>
      </c>
      <c r="W982" s="38" t="s">
        <v>123</v>
      </c>
      <c r="X982" s="38" t="s">
        <v>194</v>
      </c>
      <c r="Y982" s="38" t="s">
        <v>146</v>
      </c>
      <c r="Z982" s="38" t="s">
        <v>155</v>
      </c>
      <c r="AA982" s="113" t="str">
        <f t="array" ref="AA982">PROPER(G982)</f>
        <v>Offline</v>
      </c>
    </row>
    <row r="983">
      <c r="A983" s="110">
        <v>7.43769109E8</v>
      </c>
      <c r="B983" s="131">
        <v>42500.0</v>
      </c>
      <c r="C983" s="131">
        <v>42501.0</v>
      </c>
      <c r="D983" s="110" t="s">
        <v>89</v>
      </c>
      <c r="E983" s="110" t="s">
        <v>112</v>
      </c>
      <c r="F983" s="110">
        <v>5988.0</v>
      </c>
      <c r="G983" s="38" t="s">
        <v>43</v>
      </c>
      <c r="H983" s="110">
        <v>6662.0</v>
      </c>
      <c r="I983" s="132">
        <v>154.06</v>
      </c>
      <c r="J983" s="132">
        <v>90.93</v>
      </c>
      <c r="K983" s="39">
        <f t="shared" si="1"/>
        <v>1026347.72</v>
      </c>
      <c r="L983" s="39">
        <f t="shared" si="2"/>
        <v>605775.66</v>
      </c>
      <c r="M983" s="39">
        <f t="shared" si="3"/>
        <v>420572.06</v>
      </c>
      <c r="N983" s="38" t="str">
        <f>VLOOKUP(F983,products!$A$2:$B$13,2,FALSE)</f>
        <v>Vegetables</v>
      </c>
      <c r="O983" s="133">
        <f t="shared" si="4"/>
        <v>0.5902245878</v>
      </c>
      <c r="P983" s="38" t="str">
        <f>VLOOKUP(E983,countries!A$2:E$250,3,false)</f>
        <v>Malta</v>
      </c>
      <c r="Q983" s="38" t="str">
        <f>VLOOKUP($E983,countries!$A$2:$E$250,4,false)</f>
        <v>Europe</v>
      </c>
      <c r="R983" s="38" t="str">
        <f>VLOOKUP($E983,countries!$A$2:$E$250,5,false)</f>
        <v>Southern Europe</v>
      </c>
      <c r="S983" s="38">
        <f t="shared" si="5"/>
        <v>1</v>
      </c>
      <c r="T983" s="38" t="s">
        <v>159</v>
      </c>
      <c r="U983" s="38">
        <v>2016.0</v>
      </c>
      <c r="V983" s="38">
        <v>5.0</v>
      </c>
      <c r="W983" s="38" t="s">
        <v>112</v>
      </c>
      <c r="X983" s="38" t="s">
        <v>180</v>
      </c>
      <c r="Y983" s="38" t="s">
        <v>146</v>
      </c>
      <c r="Z983" s="38" t="s">
        <v>147</v>
      </c>
      <c r="AA983" s="113" t="str">
        <f t="array" ref="AA983">PROPER(G983)</f>
        <v>Online</v>
      </c>
    </row>
    <row r="984">
      <c r="A984" s="110">
        <v>7.44583642E8</v>
      </c>
      <c r="B984" s="131">
        <v>40404.0</v>
      </c>
      <c r="C984" s="131">
        <v>40447.0</v>
      </c>
      <c r="D984" s="110" t="s">
        <v>95</v>
      </c>
      <c r="E984" s="110" t="s">
        <v>98</v>
      </c>
      <c r="F984" s="110">
        <v>2455.0</v>
      </c>
      <c r="G984" s="38" t="s">
        <v>43</v>
      </c>
      <c r="H984" s="110">
        <v>7701.0</v>
      </c>
      <c r="I984" s="132">
        <v>109.28</v>
      </c>
      <c r="J984" s="132">
        <v>35.84</v>
      </c>
      <c r="K984" s="39">
        <f t="shared" si="1"/>
        <v>841565.28</v>
      </c>
      <c r="L984" s="39">
        <f t="shared" si="2"/>
        <v>276003.84</v>
      </c>
      <c r="M984" s="39">
        <f t="shared" si="3"/>
        <v>565561.44</v>
      </c>
      <c r="N984" s="38" t="str">
        <f>VLOOKUP(F984,products!$A$2:$B$13,2,FALSE)</f>
        <v>Clothes</v>
      </c>
      <c r="O984" s="133">
        <f t="shared" si="4"/>
        <v>0.3279648609</v>
      </c>
      <c r="P984" s="38" t="str">
        <f>VLOOKUP(E984,countries!A$2:E$250,3,false)</f>
        <v>Spain</v>
      </c>
      <c r="Q984" s="38" t="str">
        <f>VLOOKUP($E984,countries!$A$2:$E$250,4,false)</f>
        <v>Europe</v>
      </c>
      <c r="R984" s="38" t="str">
        <f>VLOOKUP($E984,countries!$A$2:$E$250,5,false)</f>
        <v>Southern Europe</v>
      </c>
      <c r="S984" s="38">
        <f t="shared" si="5"/>
        <v>43</v>
      </c>
      <c r="T984" s="38" t="s">
        <v>150</v>
      </c>
      <c r="U984" s="38">
        <v>2010.0</v>
      </c>
      <c r="V984" s="38">
        <v>8.0</v>
      </c>
      <c r="W984" s="38" t="s">
        <v>98</v>
      </c>
      <c r="X984" s="38" t="s">
        <v>160</v>
      </c>
      <c r="Y984" s="38" t="s">
        <v>146</v>
      </c>
      <c r="Z984" s="38" t="s">
        <v>147</v>
      </c>
      <c r="AA984" s="113" t="str">
        <f t="array" ref="AA984">PROPER(G984)</f>
        <v>Online</v>
      </c>
    </row>
    <row r="985">
      <c r="A985" s="110">
        <v>7.44683635E8</v>
      </c>
      <c r="B985" s="131">
        <v>40222.0</v>
      </c>
      <c r="C985" s="131">
        <v>40269.0</v>
      </c>
      <c r="D985" s="110" t="s">
        <v>93</v>
      </c>
      <c r="E985" s="110" t="s">
        <v>107</v>
      </c>
      <c r="F985" s="110">
        <v>5988.0</v>
      </c>
      <c r="G985" s="38" t="s">
        <v>42</v>
      </c>
      <c r="H985" s="110">
        <v>7291.0</v>
      </c>
      <c r="I985" s="132">
        <v>154.06</v>
      </c>
      <c r="J985" s="132">
        <v>90.93</v>
      </c>
      <c r="K985" s="39">
        <f t="shared" si="1"/>
        <v>1123251.46</v>
      </c>
      <c r="L985" s="39">
        <f t="shared" si="2"/>
        <v>662970.63</v>
      </c>
      <c r="M985" s="39">
        <f t="shared" si="3"/>
        <v>460280.83</v>
      </c>
      <c r="N985" s="38" t="str">
        <f>VLOOKUP(F985,products!$A$2:$B$13,2,FALSE)</f>
        <v>Vegetables</v>
      </c>
      <c r="O985" s="133">
        <f t="shared" si="4"/>
        <v>0.5902245878</v>
      </c>
      <c r="P985" s="38" t="str">
        <f>VLOOKUP(E985,countries!A$2:E$250,3,false)</f>
        <v>Luxembourg</v>
      </c>
      <c r="Q985" s="38" t="str">
        <f>VLOOKUP($E985,countries!$A$2:$E$250,4,false)</f>
        <v>Europe</v>
      </c>
      <c r="R985" s="38" t="str">
        <f>VLOOKUP($E985,countries!$A$2:$E$250,5,false)</f>
        <v>Western Europe</v>
      </c>
      <c r="S985" s="38">
        <f t="shared" si="5"/>
        <v>47</v>
      </c>
      <c r="T985" s="38" t="s">
        <v>159</v>
      </c>
      <c r="U985" s="38">
        <v>2010.0</v>
      </c>
      <c r="V985" s="38">
        <v>2.0</v>
      </c>
      <c r="W985" s="38" t="s">
        <v>107</v>
      </c>
      <c r="X985" s="38" t="s">
        <v>174</v>
      </c>
      <c r="Y985" s="38" t="s">
        <v>146</v>
      </c>
      <c r="Z985" s="38" t="s">
        <v>158</v>
      </c>
      <c r="AA985" s="113" t="str">
        <f t="array" ref="AA985">PROPER(G985)</f>
        <v>Offline</v>
      </c>
    </row>
    <row r="986">
      <c r="A986" s="110">
        <v>7.45467269E8</v>
      </c>
      <c r="B986" s="131">
        <v>41767.0</v>
      </c>
      <c r="C986" s="131">
        <v>41813.0</v>
      </c>
      <c r="D986" s="110" t="s">
        <v>89</v>
      </c>
      <c r="E986" s="110" t="s">
        <v>111</v>
      </c>
      <c r="F986" s="110">
        <v>2455.0</v>
      </c>
      <c r="G986" s="38" t="s">
        <v>42</v>
      </c>
      <c r="H986" s="110">
        <v>9186.0</v>
      </c>
      <c r="I986" s="132">
        <v>109.28</v>
      </c>
      <c r="J986" s="132">
        <v>35.84</v>
      </c>
      <c r="K986" s="39">
        <f t="shared" si="1"/>
        <v>1003846.08</v>
      </c>
      <c r="L986" s="39">
        <f t="shared" si="2"/>
        <v>329226.24</v>
      </c>
      <c r="M986" s="39">
        <f t="shared" si="3"/>
        <v>674619.84</v>
      </c>
      <c r="N986" s="38" t="str">
        <f>VLOOKUP(F986,products!$A$2:$B$13,2,FALSE)</f>
        <v>Clothes</v>
      </c>
      <c r="O986" s="133">
        <f t="shared" si="4"/>
        <v>0.3279648609</v>
      </c>
      <c r="P986" s="38" t="str">
        <f>VLOOKUP(E986,countries!A$2:E$250,3,false)</f>
        <v>Russia</v>
      </c>
      <c r="Q986" s="38" t="str">
        <f>VLOOKUP($E986,countries!$A$2:$E$250,4,false)</f>
        <v>Europe</v>
      </c>
      <c r="R986" s="38" t="str">
        <f>VLOOKUP($E986,countries!$A$2:$E$250,5,false)</f>
        <v>Eastern Europe</v>
      </c>
      <c r="S986" s="38">
        <f t="shared" si="5"/>
        <v>46</v>
      </c>
      <c r="T986" s="38" t="s">
        <v>150</v>
      </c>
      <c r="U986" s="38">
        <v>2014.0</v>
      </c>
      <c r="V986" s="38">
        <v>5.0</v>
      </c>
      <c r="W986" s="38" t="s">
        <v>111</v>
      </c>
      <c r="X986" s="38" t="s">
        <v>179</v>
      </c>
      <c r="Y986" s="38" t="s">
        <v>146</v>
      </c>
      <c r="Z986" s="38" t="s">
        <v>155</v>
      </c>
      <c r="AA986" s="113" t="str">
        <f t="array" ref="AA986">PROPER(G986)</f>
        <v>Offline</v>
      </c>
    </row>
    <row r="987">
      <c r="A987" s="110">
        <v>7.46563756E8</v>
      </c>
      <c r="B987" s="131">
        <v>41712.0</v>
      </c>
      <c r="C987" s="131">
        <v>41741.0</v>
      </c>
      <c r="D987" s="110" t="s">
        <v>10</v>
      </c>
      <c r="E987" s="110" t="s">
        <v>90</v>
      </c>
      <c r="F987" s="110">
        <v>8293.0</v>
      </c>
      <c r="G987" s="38" t="s">
        <v>42</v>
      </c>
      <c r="H987" s="110">
        <v>3661.0</v>
      </c>
      <c r="I987" s="132">
        <v>437.2</v>
      </c>
      <c r="J987" s="132">
        <v>263.33</v>
      </c>
      <c r="K987" s="39">
        <f t="shared" si="1"/>
        <v>1600589.2</v>
      </c>
      <c r="L987" s="39">
        <f t="shared" si="2"/>
        <v>964051.13</v>
      </c>
      <c r="M987" s="39">
        <f t="shared" si="3"/>
        <v>636538.07</v>
      </c>
      <c r="N987" s="38" t="str">
        <f>VLOOKUP(F987,products!$A$2:$B$13,2,FALSE)</f>
        <v>Cosmetics</v>
      </c>
      <c r="O987" s="133">
        <f t="shared" si="4"/>
        <v>0.6023101555</v>
      </c>
      <c r="P987" s="38" t="str">
        <f>VLOOKUP(E987,countries!A$2:E$250,3,false)</f>
        <v>Norway</v>
      </c>
      <c r="Q987" s="38" t="str">
        <f>VLOOKUP($E987,countries!$A$2:$E$250,4,false)</f>
        <v>Europe</v>
      </c>
      <c r="R987" s="38" t="str">
        <f>VLOOKUP($E987,countries!$A$2:$E$250,5,false)</f>
        <v>Northern Europe</v>
      </c>
      <c r="S987" s="38">
        <f t="shared" si="5"/>
        <v>29</v>
      </c>
      <c r="T987" s="38" t="s">
        <v>178</v>
      </c>
      <c r="U987" s="38">
        <v>2014.0</v>
      </c>
      <c r="V987" s="38">
        <v>3.0</v>
      </c>
      <c r="W987" s="38" t="s">
        <v>90</v>
      </c>
      <c r="X987" s="38" t="s">
        <v>183</v>
      </c>
      <c r="Y987" s="38" t="s">
        <v>146</v>
      </c>
      <c r="Z987" s="38" t="s">
        <v>170</v>
      </c>
      <c r="AA987" s="113" t="str">
        <f t="array" ref="AA987">PROPER(G987)</f>
        <v>Offline</v>
      </c>
    </row>
    <row r="988">
      <c r="A988" s="110">
        <v>7.4732722E8</v>
      </c>
      <c r="B988" s="131">
        <v>41869.0</v>
      </c>
      <c r="C988" s="131">
        <v>41897.0</v>
      </c>
      <c r="D988" s="110" t="s">
        <v>95</v>
      </c>
      <c r="E988" s="110" t="s">
        <v>105</v>
      </c>
      <c r="F988" s="110">
        <v>8969.0</v>
      </c>
      <c r="G988" s="38" t="s">
        <v>43</v>
      </c>
      <c r="H988" s="110">
        <v>9587.0</v>
      </c>
      <c r="I988" s="132">
        <v>152.58</v>
      </c>
      <c r="J988" s="132">
        <v>97.44</v>
      </c>
      <c r="K988" s="39">
        <f t="shared" si="1"/>
        <v>1462784.46</v>
      </c>
      <c r="L988" s="39">
        <f t="shared" si="2"/>
        <v>934157.28</v>
      </c>
      <c r="M988" s="39">
        <f t="shared" si="3"/>
        <v>528627.18</v>
      </c>
      <c r="N988" s="38" t="str">
        <f>VLOOKUP(F988,products!$A$2:$B$13,2,FALSE)</f>
        <v>Snacks</v>
      </c>
      <c r="O988" s="133">
        <f t="shared" si="4"/>
        <v>0.6386158081</v>
      </c>
      <c r="P988" s="38" t="str">
        <f>VLOOKUP(E988,countries!A$2:E$250,3,false)</f>
        <v>Romania</v>
      </c>
      <c r="Q988" s="38" t="str">
        <f>VLOOKUP($E988,countries!$A$2:$E$250,4,false)</f>
        <v>Europe</v>
      </c>
      <c r="R988" s="38" t="str">
        <f>VLOOKUP($E988,countries!$A$2:$E$250,5,false)</f>
        <v>Eastern Europe</v>
      </c>
      <c r="S988" s="38">
        <f t="shared" si="5"/>
        <v>28</v>
      </c>
      <c r="T988" s="38" t="s">
        <v>182</v>
      </c>
      <c r="U988" s="38">
        <v>2014.0</v>
      </c>
      <c r="V988" s="38">
        <v>8.0</v>
      </c>
      <c r="W988" s="38" t="s">
        <v>105</v>
      </c>
      <c r="X988" s="38" t="s">
        <v>172</v>
      </c>
      <c r="Y988" s="38" t="s">
        <v>146</v>
      </c>
      <c r="Z988" s="38" t="s">
        <v>155</v>
      </c>
      <c r="AA988" s="113" t="str">
        <f t="array" ref="AA988">PROPER(G988)</f>
        <v>Online</v>
      </c>
    </row>
    <row r="989">
      <c r="A989" s="110">
        <v>7.47774398E8</v>
      </c>
      <c r="B989" s="131">
        <v>42802.0</v>
      </c>
      <c r="C989" s="131">
        <v>42828.0</v>
      </c>
      <c r="D989" s="110" t="s">
        <v>89</v>
      </c>
      <c r="E989" s="110" t="s">
        <v>121</v>
      </c>
      <c r="F989" s="110">
        <v>8875.0</v>
      </c>
      <c r="G989" s="38" t="s">
        <v>42</v>
      </c>
      <c r="H989" s="110">
        <v>1916.0</v>
      </c>
      <c r="I989" s="132">
        <v>421.89</v>
      </c>
      <c r="J989" s="132">
        <v>364.69</v>
      </c>
      <c r="K989" s="39">
        <f t="shared" si="1"/>
        <v>808341.24</v>
      </c>
      <c r="L989" s="39">
        <f t="shared" si="2"/>
        <v>698746.04</v>
      </c>
      <c r="M989" s="39">
        <f t="shared" si="3"/>
        <v>109595.2</v>
      </c>
      <c r="N989" s="38" t="str">
        <f>VLOOKUP(F989,products!$A$2:$B$13,2,FALSE)</f>
        <v>Meat</v>
      </c>
      <c r="O989" s="133">
        <f t="shared" si="4"/>
        <v>0.8644196354</v>
      </c>
      <c r="P989" s="38" t="str">
        <f>VLOOKUP(E989,countries!A$2:E$250,3,false)</f>
        <v>Netherlands</v>
      </c>
      <c r="Q989" s="38" t="str">
        <f>VLOOKUP($E989,countries!$A$2:$E$250,4,false)</f>
        <v>Europe</v>
      </c>
      <c r="R989" s="38" t="str">
        <f>VLOOKUP($E989,countries!$A$2:$E$250,5,false)</f>
        <v>Western Europe</v>
      </c>
      <c r="S989" s="38">
        <f t="shared" si="5"/>
        <v>26</v>
      </c>
      <c r="T989" s="38" t="s">
        <v>167</v>
      </c>
      <c r="U989" s="38">
        <v>2017.0</v>
      </c>
      <c r="V989" s="38">
        <v>3.0</v>
      </c>
      <c r="W989" s="38" t="s">
        <v>121</v>
      </c>
      <c r="X989" s="38" t="s">
        <v>192</v>
      </c>
      <c r="Y989" s="38" t="s">
        <v>146</v>
      </c>
      <c r="Z989" s="38" t="s">
        <v>158</v>
      </c>
      <c r="AA989" s="113" t="str">
        <f t="array" ref="AA989">PROPER(G989)</f>
        <v>Offline</v>
      </c>
    </row>
    <row r="990">
      <c r="A990" s="110">
        <v>7.47826755E8</v>
      </c>
      <c r="B990" s="131">
        <v>42933.0</v>
      </c>
      <c r="C990" s="131">
        <v>42938.0</v>
      </c>
      <c r="D990" s="110" t="s">
        <v>10</v>
      </c>
      <c r="E990" s="110" t="s">
        <v>119</v>
      </c>
      <c r="F990" s="110">
        <v>8681.0</v>
      </c>
      <c r="G990" s="38" t="s">
        <v>42</v>
      </c>
      <c r="H990" s="110">
        <v>7410.0</v>
      </c>
      <c r="I990" s="132">
        <v>651.21</v>
      </c>
      <c r="J990" s="132">
        <v>524.96</v>
      </c>
      <c r="K990" s="39">
        <f t="shared" si="1"/>
        <v>4825466.1</v>
      </c>
      <c r="L990" s="39">
        <f t="shared" si="2"/>
        <v>3889953.6</v>
      </c>
      <c r="M990" s="39">
        <f t="shared" si="3"/>
        <v>935512.5</v>
      </c>
      <c r="N990" s="38" t="str">
        <f>VLOOKUP(F990,products!$A$2:$B$13,2,FALSE)</f>
        <v>Office Supplies</v>
      </c>
      <c r="O990" s="133">
        <f t="shared" si="4"/>
        <v>0.806130127</v>
      </c>
      <c r="P990" s="38" t="str">
        <f>VLOOKUP(E990,countries!A$2:E$250,3,false)</f>
        <v>Macedonia</v>
      </c>
      <c r="Q990" s="38" t="str">
        <f>VLOOKUP($E990,countries!$A$2:$E$250,4,false)</f>
        <v>Europe</v>
      </c>
      <c r="R990" s="38" t="str">
        <f>VLOOKUP($E990,countries!$A$2:$E$250,5,false)</f>
        <v>Southern Europe</v>
      </c>
      <c r="S990" s="38">
        <f t="shared" si="5"/>
        <v>5</v>
      </c>
      <c r="T990" s="38" t="s">
        <v>153</v>
      </c>
      <c r="U990" s="38">
        <v>2017.0</v>
      </c>
      <c r="V990" s="38">
        <v>7.0</v>
      </c>
      <c r="W990" s="38" t="s">
        <v>119</v>
      </c>
      <c r="X990" s="38" t="s">
        <v>190</v>
      </c>
      <c r="Y990" s="38" t="s">
        <v>146</v>
      </c>
      <c r="Z990" s="38" t="s">
        <v>147</v>
      </c>
      <c r="AA990" s="113" t="str">
        <f t="array" ref="AA990">PROPER(G990)</f>
        <v>Offline</v>
      </c>
    </row>
    <row r="991">
      <c r="A991" s="110">
        <v>7.47955071E8</v>
      </c>
      <c r="B991" s="131">
        <v>42640.0</v>
      </c>
      <c r="C991" s="131">
        <v>42668.0</v>
      </c>
      <c r="D991" s="110" t="s">
        <v>95</v>
      </c>
      <c r="E991" s="110" t="s">
        <v>113</v>
      </c>
      <c r="F991" s="110">
        <v>2455.0</v>
      </c>
      <c r="G991" s="38" t="s">
        <v>42</v>
      </c>
      <c r="H991" s="110">
        <v>5382.0</v>
      </c>
      <c r="I991" s="132">
        <v>109.28</v>
      </c>
      <c r="J991" s="132">
        <v>35.84</v>
      </c>
      <c r="K991" s="39">
        <f t="shared" si="1"/>
        <v>588144.96</v>
      </c>
      <c r="L991" s="39">
        <f t="shared" si="2"/>
        <v>192890.88</v>
      </c>
      <c r="M991" s="39">
        <f t="shared" si="3"/>
        <v>395254.08</v>
      </c>
      <c r="N991" s="38" t="str">
        <f>VLOOKUP(F991,products!$A$2:$B$13,2,FALSE)</f>
        <v>Clothes</v>
      </c>
      <c r="O991" s="133">
        <f t="shared" si="4"/>
        <v>0.3279648609</v>
      </c>
      <c r="P991" s="38" t="str">
        <f>VLOOKUP(E991,countries!A$2:E$250,3,false)</f>
        <v>Ukraine</v>
      </c>
      <c r="Q991" s="38" t="str">
        <f>VLOOKUP($E991,countries!$A$2:$E$250,4,false)</f>
        <v>Europe</v>
      </c>
      <c r="R991" s="38" t="str">
        <f>VLOOKUP($E991,countries!$A$2:$E$250,5,false)</f>
        <v>Eastern Europe</v>
      </c>
      <c r="S991" s="38">
        <f t="shared" si="5"/>
        <v>28</v>
      </c>
      <c r="T991" s="38" t="s">
        <v>150</v>
      </c>
      <c r="U991" s="38">
        <v>2016.0</v>
      </c>
      <c r="V991" s="38">
        <v>9.0</v>
      </c>
      <c r="W991" s="38" t="s">
        <v>113</v>
      </c>
      <c r="X991" s="38" t="s">
        <v>181</v>
      </c>
      <c r="Y991" s="38" t="s">
        <v>146</v>
      </c>
      <c r="Z991" s="38" t="s">
        <v>155</v>
      </c>
      <c r="AA991" s="113" t="str">
        <f t="array" ref="AA991">PROPER(G991)</f>
        <v>Offline</v>
      </c>
    </row>
    <row r="992">
      <c r="A992" s="110">
        <v>7.48357188E8</v>
      </c>
      <c r="B992" s="131">
        <v>40355.0</v>
      </c>
      <c r="C992" s="131">
        <v>40379.0</v>
      </c>
      <c r="D992" s="110" t="s">
        <v>10</v>
      </c>
      <c r="E992" s="110" t="s">
        <v>126</v>
      </c>
      <c r="F992" s="110">
        <v>7331.0</v>
      </c>
      <c r="G992" s="38" t="s">
        <v>42</v>
      </c>
      <c r="H992" s="110">
        <v>4377.0</v>
      </c>
      <c r="I992" s="132">
        <v>255.28</v>
      </c>
      <c r="J992" s="132">
        <v>159.42</v>
      </c>
      <c r="K992" s="39">
        <f t="shared" si="1"/>
        <v>1117360.56</v>
      </c>
      <c r="L992" s="39">
        <f t="shared" si="2"/>
        <v>697781.34</v>
      </c>
      <c r="M992" s="39">
        <f t="shared" si="3"/>
        <v>419579.22</v>
      </c>
      <c r="N992" s="38" t="str">
        <f>VLOOKUP(F992,products!$A$2:$B$13,2,FALSE)</f>
        <v>Baby Food</v>
      </c>
      <c r="O992" s="133">
        <f t="shared" si="4"/>
        <v>0.6244907552</v>
      </c>
      <c r="P992" s="38" t="str">
        <f>VLOOKUP(E992,countries!A$2:E$250,3,false)</f>
        <v>Italy</v>
      </c>
      <c r="Q992" s="38" t="str">
        <f>VLOOKUP($E992,countries!$A$2:$E$250,4,false)</f>
        <v>Europe</v>
      </c>
      <c r="R992" s="38" t="str">
        <f>VLOOKUP($E992,countries!$A$2:$E$250,5,false)</f>
        <v>Southern Europe</v>
      </c>
      <c r="S992" s="38">
        <f t="shared" si="5"/>
        <v>24</v>
      </c>
      <c r="T992" s="38" t="s">
        <v>161</v>
      </c>
      <c r="U992" s="38">
        <v>2010.0</v>
      </c>
      <c r="V992" s="38">
        <v>6.0</v>
      </c>
      <c r="W992" s="38" t="s">
        <v>126</v>
      </c>
      <c r="X992" s="38" t="s">
        <v>197</v>
      </c>
      <c r="Y992" s="38" t="s">
        <v>146</v>
      </c>
      <c r="Z992" s="38" t="s">
        <v>147</v>
      </c>
      <c r="AA992" s="113" t="str">
        <f t="array" ref="AA992">PROPER(G992)</f>
        <v>Offline</v>
      </c>
    </row>
    <row r="993">
      <c r="A993" s="110">
        <v>7.50047194E8</v>
      </c>
      <c r="B993" s="131">
        <v>41121.0</v>
      </c>
      <c r="C993" s="131">
        <v>41170.0</v>
      </c>
      <c r="D993" s="110" t="s">
        <v>89</v>
      </c>
      <c r="E993" s="110" t="s">
        <v>118</v>
      </c>
      <c r="F993" s="110">
        <v>4594.0</v>
      </c>
      <c r="G993" s="38" t="s">
        <v>43</v>
      </c>
      <c r="H993" s="110">
        <v>4487.0</v>
      </c>
      <c r="I993" s="132">
        <v>9.33</v>
      </c>
      <c r="J993" s="132">
        <v>6.92</v>
      </c>
      <c r="K993" s="39">
        <f t="shared" si="1"/>
        <v>41863.71</v>
      </c>
      <c r="L993" s="39">
        <f t="shared" si="2"/>
        <v>31050.04</v>
      </c>
      <c r="M993" s="39">
        <f t="shared" si="3"/>
        <v>10813.67</v>
      </c>
      <c r="N993" s="38" t="str">
        <f>VLOOKUP(F993,products!$A$2:$B$13,2,FALSE)</f>
        <v>Fruits</v>
      </c>
      <c r="O993" s="133">
        <f t="shared" si="4"/>
        <v>0.741693462</v>
      </c>
      <c r="P993" s="38" t="str">
        <f>VLOOKUP(E993,countries!A$2:E$250,3,false)</f>
        <v>Austria</v>
      </c>
      <c r="Q993" s="38" t="str">
        <f>VLOOKUP($E993,countries!$A$2:$E$250,4,false)</f>
        <v>Europe</v>
      </c>
      <c r="R993" s="38" t="str">
        <f>VLOOKUP($E993,countries!$A$2:$E$250,5,false)</f>
        <v>Western Europe</v>
      </c>
      <c r="S993" s="38">
        <f t="shared" si="5"/>
        <v>49</v>
      </c>
      <c r="T993" s="38" t="s">
        <v>156</v>
      </c>
      <c r="U993" s="38">
        <v>2012.0</v>
      </c>
      <c r="V993" s="38">
        <v>7.0</v>
      </c>
      <c r="W993" s="38" t="s">
        <v>118</v>
      </c>
      <c r="X993" s="38" t="s">
        <v>189</v>
      </c>
      <c r="Y993" s="38" t="s">
        <v>146</v>
      </c>
      <c r="Z993" s="38" t="s">
        <v>158</v>
      </c>
      <c r="AA993" s="113" t="str">
        <f t="array" ref="AA993">PROPER(G993)</f>
        <v>Online</v>
      </c>
    </row>
    <row r="994">
      <c r="A994" s="110">
        <v>7.50439441E8</v>
      </c>
      <c r="B994" s="131">
        <v>42689.0</v>
      </c>
      <c r="C994" s="131">
        <v>42733.0</v>
      </c>
      <c r="D994" s="110" t="s">
        <v>95</v>
      </c>
      <c r="E994" s="110" t="s">
        <v>90</v>
      </c>
      <c r="F994" s="110">
        <v>8969.0</v>
      </c>
      <c r="G994" s="38" t="s">
        <v>43</v>
      </c>
      <c r="H994" s="110">
        <v>562.0</v>
      </c>
      <c r="I994" s="132">
        <v>152.58</v>
      </c>
      <c r="J994" s="132">
        <v>97.44</v>
      </c>
      <c r="K994" s="39">
        <f t="shared" si="1"/>
        <v>85749.96</v>
      </c>
      <c r="L994" s="39">
        <f t="shared" si="2"/>
        <v>54761.28</v>
      </c>
      <c r="M994" s="39">
        <f t="shared" si="3"/>
        <v>30988.68</v>
      </c>
      <c r="N994" s="38" t="str">
        <f>VLOOKUP(F994,products!$A$2:$B$13,2,FALSE)</f>
        <v>Snacks</v>
      </c>
      <c r="O994" s="133">
        <f t="shared" si="4"/>
        <v>0.6386158081</v>
      </c>
      <c r="P994" s="38" t="str">
        <f>VLOOKUP(E994,countries!A$2:E$250,3,false)</f>
        <v>Norway</v>
      </c>
      <c r="Q994" s="38" t="str">
        <f>VLOOKUP($E994,countries!$A$2:$E$250,4,false)</f>
        <v>Europe</v>
      </c>
      <c r="R994" s="38" t="str">
        <f>VLOOKUP($E994,countries!$A$2:$E$250,5,false)</f>
        <v>Northern Europe</v>
      </c>
      <c r="S994" s="38">
        <f t="shared" si="5"/>
        <v>44</v>
      </c>
      <c r="T994" s="38" t="s">
        <v>182</v>
      </c>
      <c r="U994" s="38">
        <v>2016.0</v>
      </c>
      <c r="V994" s="38">
        <v>11.0</v>
      </c>
      <c r="W994" s="38" t="s">
        <v>90</v>
      </c>
      <c r="X994" s="38" t="s">
        <v>183</v>
      </c>
      <c r="Y994" s="38" t="s">
        <v>146</v>
      </c>
      <c r="Z994" s="38" t="s">
        <v>170</v>
      </c>
      <c r="AA994" s="113" t="str">
        <f t="array" ref="AA994">PROPER(G994)</f>
        <v>Online</v>
      </c>
    </row>
    <row r="995">
      <c r="A995" s="110">
        <v>7.50959146E8</v>
      </c>
      <c r="B995" s="131">
        <v>42374.0</v>
      </c>
      <c r="C995" s="131">
        <v>42394.0</v>
      </c>
      <c r="D995" s="110" t="s">
        <v>89</v>
      </c>
      <c r="E995" s="110" t="s">
        <v>94</v>
      </c>
      <c r="F995" s="110">
        <v>7331.0</v>
      </c>
      <c r="G995" s="38" t="s">
        <v>43</v>
      </c>
      <c r="H995" s="110">
        <v>4354.0</v>
      </c>
      <c r="I995" s="132">
        <v>255.28</v>
      </c>
      <c r="J995" s="132">
        <v>159.42</v>
      </c>
      <c r="K995" s="39">
        <f t="shared" si="1"/>
        <v>1111489.12</v>
      </c>
      <c r="L995" s="39">
        <f t="shared" si="2"/>
        <v>694114.68</v>
      </c>
      <c r="M995" s="39">
        <f t="shared" si="3"/>
        <v>417374.44</v>
      </c>
      <c r="N995" s="38" t="str">
        <f>VLOOKUP(F995,products!$A$2:$B$13,2,FALSE)</f>
        <v>Baby Food</v>
      </c>
      <c r="O995" s="133">
        <f t="shared" si="4"/>
        <v>0.6244907552</v>
      </c>
      <c r="P995" s="38" t="str">
        <f>VLOOKUP(E995,countries!A$2:E$250,3,false)</f>
        <v>Montenegro</v>
      </c>
      <c r="Q995" s="38" t="str">
        <f>VLOOKUP($E995,countries!$A$2:$E$250,4,false)</f>
        <v>Europe</v>
      </c>
      <c r="R995" s="38" t="str">
        <f>VLOOKUP($E995,countries!$A$2:$E$250,5,false)</f>
        <v>Southern Europe</v>
      </c>
      <c r="S995" s="38">
        <f t="shared" si="5"/>
        <v>20</v>
      </c>
      <c r="T995" s="38" t="s">
        <v>161</v>
      </c>
      <c r="U995" s="38">
        <v>2016.0</v>
      </c>
      <c r="V995" s="38">
        <v>1.0</v>
      </c>
      <c r="W995" s="38" t="s">
        <v>94</v>
      </c>
      <c r="X995" s="38" t="s">
        <v>151</v>
      </c>
      <c r="Y995" s="38" t="s">
        <v>146</v>
      </c>
      <c r="Z995" s="38" t="s">
        <v>147</v>
      </c>
      <c r="AA995" s="113" t="str">
        <f t="array" ref="AA995">PROPER(G995)</f>
        <v>Online</v>
      </c>
    </row>
    <row r="996">
      <c r="A996" s="110">
        <v>7.52792918E8</v>
      </c>
      <c r="B996" s="131">
        <v>41028.0</v>
      </c>
      <c r="C996" s="131">
        <v>41041.0</v>
      </c>
      <c r="D996" s="110" t="s">
        <v>89</v>
      </c>
      <c r="E996" s="110" t="s">
        <v>90</v>
      </c>
      <c r="F996" s="110">
        <v>4594.0</v>
      </c>
      <c r="G996" s="38" t="s">
        <v>42</v>
      </c>
      <c r="H996" s="110">
        <v>7008.0</v>
      </c>
      <c r="I996" s="132">
        <v>9.33</v>
      </c>
      <c r="J996" s="132">
        <v>6.92</v>
      </c>
      <c r="K996" s="39">
        <f t="shared" si="1"/>
        <v>65384.64</v>
      </c>
      <c r="L996" s="39">
        <f t="shared" si="2"/>
        <v>48495.36</v>
      </c>
      <c r="M996" s="39">
        <f t="shared" si="3"/>
        <v>16889.28</v>
      </c>
      <c r="N996" s="38" t="str">
        <f>VLOOKUP(F996,products!$A$2:$B$13,2,FALSE)</f>
        <v>Fruits</v>
      </c>
      <c r="O996" s="133">
        <f t="shared" si="4"/>
        <v>0.741693462</v>
      </c>
      <c r="P996" s="38" t="str">
        <f>VLOOKUP(E996,countries!A$2:E$250,3,false)</f>
        <v>Norway</v>
      </c>
      <c r="Q996" s="38" t="str">
        <f>VLOOKUP($E996,countries!$A$2:$E$250,4,false)</f>
        <v>Europe</v>
      </c>
      <c r="R996" s="38" t="str">
        <f>VLOOKUP($E996,countries!$A$2:$E$250,5,false)</f>
        <v>Northern Europe</v>
      </c>
      <c r="S996" s="38">
        <f t="shared" si="5"/>
        <v>13</v>
      </c>
      <c r="T996" s="38" t="s">
        <v>156</v>
      </c>
      <c r="U996" s="38">
        <v>2012.0</v>
      </c>
      <c r="V996" s="38">
        <v>4.0</v>
      </c>
      <c r="W996" s="38" t="s">
        <v>90</v>
      </c>
      <c r="X996" s="38" t="s">
        <v>183</v>
      </c>
      <c r="Y996" s="38" t="s">
        <v>146</v>
      </c>
      <c r="Z996" s="38" t="s">
        <v>170</v>
      </c>
      <c r="AA996" s="113" t="str">
        <f t="array" ref="AA996">PROPER(G996)</f>
        <v>Offline</v>
      </c>
    </row>
    <row r="997">
      <c r="A997" s="110">
        <v>7.53166282E8</v>
      </c>
      <c r="B997" s="131">
        <v>40825.0</v>
      </c>
      <c r="C997" s="131">
        <v>40872.0</v>
      </c>
      <c r="D997" s="110" t="s">
        <v>95</v>
      </c>
      <c r="E997" s="110" t="s">
        <v>98</v>
      </c>
      <c r="F997" s="110">
        <v>4594.0</v>
      </c>
      <c r="G997" s="38" t="s">
        <v>43</v>
      </c>
      <c r="H997" s="110">
        <v>7495.0</v>
      </c>
      <c r="I997" s="132">
        <v>9.33</v>
      </c>
      <c r="J997" s="132">
        <v>6.92</v>
      </c>
      <c r="K997" s="39">
        <f t="shared" si="1"/>
        <v>69928.35</v>
      </c>
      <c r="L997" s="39">
        <f t="shared" si="2"/>
        <v>51865.4</v>
      </c>
      <c r="M997" s="39">
        <f t="shared" si="3"/>
        <v>18062.95</v>
      </c>
      <c r="N997" s="38" t="str">
        <f>VLOOKUP(F997,products!$A$2:$B$13,2,FALSE)</f>
        <v>Fruits</v>
      </c>
      <c r="O997" s="133">
        <f t="shared" si="4"/>
        <v>0.741693462</v>
      </c>
      <c r="P997" s="38" t="str">
        <f>VLOOKUP(E997,countries!A$2:E$250,3,false)</f>
        <v>Spain</v>
      </c>
      <c r="Q997" s="38" t="str">
        <f>VLOOKUP($E997,countries!$A$2:$E$250,4,false)</f>
        <v>Europe</v>
      </c>
      <c r="R997" s="38" t="str">
        <f>VLOOKUP($E997,countries!$A$2:$E$250,5,false)</f>
        <v>Southern Europe</v>
      </c>
      <c r="S997" s="38">
        <f t="shared" si="5"/>
        <v>47</v>
      </c>
      <c r="T997" s="38" t="s">
        <v>156</v>
      </c>
      <c r="U997" s="38">
        <v>2011.0</v>
      </c>
      <c r="V997" s="38">
        <v>10.0</v>
      </c>
      <c r="W997" s="38" t="s">
        <v>98</v>
      </c>
      <c r="X997" s="38" t="s">
        <v>160</v>
      </c>
      <c r="Y997" s="38" t="s">
        <v>146</v>
      </c>
      <c r="Z997" s="38" t="s">
        <v>147</v>
      </c>
      <c r="AA997" s="113" t="str">
        <f t="array" ref="AA997">PROPER(G997)</f>
        <v>Online</v>
      </c>
    </row>
    <row r="998">
      <c r="A998" s="110">
        <v>7.54227149E8</v>
      </c>
      <c r="B998" s="131">
        <v>41202.0</v>
      </c>
      <c r="C998" s="131">
        <v>41237.0</v>
      </c>
      <c r="D998" s="110" t="s">
        <v>95</v>
      </c>
      <c r="E998" s="110" t="s">
        <v>136</v>
      </c>
      <c r="F998" s="110">
        <v>8681.0</v>
      </c>
      <c r="G998" s="38" t="s">
        <v>43</v>
      </c>
      <c r="H998" s="110">
        <v>1429.0</v>
      </c>
      <c r="I998" s="132">
        <v>651.21</v>
      </c>
      <c r="J998" s="132">
        <v>524.96</v>
      </c>
      <c r="K998" s="39">
        <f t="shared" si="1"/>
        <v>930579.09</v>
      </c>
      <c r="L998" s="39">
        <f t="shared" si="2"/>
        <v>750167.84</v>
      </c>
      <c r="M998" s="39">
        <f t="shared" si="3"/>
        <v>180411.25</v>
      </c>
      <c r="N998" s="38" t="str">
        <f>VLOOKUP(F998,products!$A$2:$B$13,2,FALSE)</f>
        <v>Office Supplies</v>
      </c>
      <c r="O998" s="133">
        <f t="shared" si="4"/>
        <v>0.806130127</v>
      </c>
      <c r="P998" s="38" t="str">
        <f>VLOOKUP(E998,countries!A$2:E$250,3,false)</f>
        <v>Monaco</v>
      </c>
      <c r="Q998" s="38" t="str">
        <f>VLOOKUP($E998,countries!$A$2:$E$250,4,false)</f>
        <v>Europe</v>
      </c>
      <c r="R998" s="38" t="str">
        <f>VLOOKUP($E998,countries!$A$2:$E$250,5,false)</f>
        <v>Western Europe</v>
      </c>
      <c r="S998" s="38">
        <f t="shared" si="5"/>
        <v>35</v>
      </c>
      <c r="T998" s="38" t="s">
        <v>153</v>
      </c>
      <c r="U998" s="38">
        <v>2012.0</v>
      </c>
      <c r="V998" s="38">
        <v>10.0</v>
      </c>
      <c r="W998" s="38" t="s">
        <v>136</v>
      </c>
      <c r="X998" s="38" t="s">
        <v>206</v>
      </c>
      <c r="Y998" s="38" t="s">
        <v>146</v>
      </c>
      <c r="Z998" s="38" t="s">
        <v>158</v>
      </c>
      <c r="AA998" s="113" t="str">
        <f t="array" ref="AA998">PROPER(G998)</f>
        <v>Online</v>
      </c>
    </row>
    <row r="999">
      <c r="A999" s="110">
        <v>7.54541289E8</v>
      </c>
      <c r="B999" s="131">
        <v>41985.0</v>
      </c>
      <c r="C999" s="131">
        <v>41992.0</v>
      </c>
      <c r="D999" s="110" t="s">
        <v>93</v>
      </c>
      <c r="E999" s="110" t="s">
        <v>128</v>
      </c>
      <c r="F999" s="110">
        <v>3127.0</v>
      </c>
      <c r="G999" s="38" t="s">
        <v>42</v>
      </c>
      <c r="H999" s="110">
        <v>4390.0</v>
      </c>
      <c r="I999" s="132">
        <v>81.73</v>
      </c>
      <c r="J999" s="132">
        <v>56.67</v>
      </c>
      <c r="K999" s="39">
        <f t="shared" si="1"/>
        <v>358794.7</v>
      </c>
      <c r="L999" s="39">
        <f t="shared" si="2"/>
        <v>248781.3</v>
      </c>
      <c r="M999" s="39">
        <f t="shared" si="3"/>
        <v>110013.4</v>
      </c>
      <c r="N999" s="38" t="str">
        <f>VLOOKUP(F999,products!$A$2:$B$13,2,FALSE)</f>
        <v>Personal Care</v>
      </c>
      <c r="O999" s="133">
        <f t="shared" si="4"/>
        <v>0.6933806436</v>
      </c>
      <c r="P999" s="38" t="str">
        <f>VLOOKUP(E999,countries!A$2:E$250,3,false)</f>
        <v>Andorra</v>
      </c>
      <c r="Q999" s="38" t="str">
        <f>VLOOKUP($E999,countries!$A$2:$E$250,4,false)</f>
        <v>Europe</v>
      </c>
      <c r="R999" s="38" t="str">
        <f>VLOOKUP($E999,countries!$A$2:$E$250,5,false)</f>
        <v>Southern Europe</v>
      </c>
      <c r="S999" s="38">
        <f t="shared" si="5"/>
        <v>7</v>
      </c>
      <c r="T999" s="38" t="s">
        <v>185</v>
      </c>
      <c r="U999" s="38">
        <v>2014.0</v>
      </c>
      <c r="V999" s="38">
        <v>12.0</v>
      </c>
      <c r="W999" s="38" t="s">
        <v>128</v>
      </c>
      <c r="X999" s="38" t="s">
        <v>199</v>
      </c>
      <c r="Y999" s="38" t="s">
        <v>146</v>
      </c>
      <c r="Z999" s="38" t="s">
        <v>147</v>
      </c>
      <c r="AA999" s="113" t="str">
        <f t="array" ref="AA999">PROPER(G999)</f>
        <v>Offline</v>
      </c>
    </row>
    <row r="1000">
      <c r="A1000" s="110">
        <v>7.55318915E8</v>
      </c>
      <c r="B1000" s="131">
        <v>40704.0</v>
      </c>
      <c r="C1000" s="131">
        <v>40719.0</v>
      </c>
      <c r="D1000" s="110" t="s">
        <v>95</v>
      </c>
      <c r="E1000" s="110" t="s">
        <v>126</v>
      </c>
      <c r="F1000" s="110">
        <v>2455.0</v>
      </c>
      <c r="G1000" s="38" t="s">
        <v>43</v>
      </c>
      <c r="H1000" s="110">
        <v>4507.0</v>
      </c>
      <c r="I1000" s="132">
        <v>109.28</v>
      </c>
      <c r="J1000" s="132">
        <v>35.84</v>
      </c>
      <c r="K1000" s="39">
        <f t="shared" si="1"/>
        <v>492524.96</v>
      </c>
      <c r="L1000" s="39">
        <f t="shared" si="2"/>
        <v>161530.88</v>
      </c>
      <c r="M1000" s="39">
        <f t="shared" si="3"/>
        <v>330994.08</v>
      </c>
      <c r="N1000" s="38" t="str">
        <f>VLOOKUP(F1000,products!$A$2:$B$13,2,FALSE)</f>
        <v>Clothes</v>
      </c>
      <c r="O1000" s="133">
        <f t="shared" si="4"/>
        <v>0.3279648609</v>
      </c>
      <c r="P1000" s="38" t="str">
        <f>VLOOKUP(E1000,countries!A$2:E$250,3,false)</f>
        <v>Italy</v>
      </c>
      <c r="Q1000" s="38" t="str">
        <f>VLOOKUP($E1000,countries!$A$2:$E$250,4,false)</f>
        <v>Europe</v>
      </c>
      <c r="R1000" s="38" t="str">
        <f>VLOOKUP($E1000,countries!$A$2:$E$250,5,false)</f>
        <v>Southern Europe</v>
      </c>
      <c r="S1000" s="38">
        <f t="shared" si="5"/>
        <v>15</v>
      </c>
      <c r="T1000" s="38" t="s">
        <v>150</v>
      </c>
      <c r="U1000" s="38">
        <v>2011.0</v>
      </c>
      <c r="V1000" s="38">
        <v>6.0</v>
      </c>
      <c r="W1000" s="38" t="s">
        <v>126</v>
      </c>
      <c r="X1000" s="38" t="s">
        <v>197</v>
      </c>
      <c r="Y1000" s="38" t="s">
        <v>146</v>
      </c>
      <c r="Z1000" s="38" t="s">
        <v>147</v>
      </c>
      <c r="AA1000" s="113" t="str">
        <f t="array" ref="AA1000">PROPER(G1000)</f>
        <v>Online</v>
      </c>
    </row>
    <row r="1001">
      <c r="A1001" s="110">
        <v>7.5560559E8</v>
      </c>
      <c r="B1001" s="131">
        <v>40421.0</v>
      </c>
      <c r="C1001" s="131">
        <v>40432.0</v>
      </c>
      <c r="D1001" s="110" t="s">
        <v>89</v>
      </c>
      <c r="E1001" s="110" t="s">
        <v>114</v>
      </c>
      <c r="F1001" s="110">
        <v>8969.0</v>
      </c>
      <c r="G1001" s="38" t="s">
        <v>43</v>
      </c>
      <c r="H1001" s="110">
        <v>9340.0</v>
      </c>
      <c r="I1001" s="132">
        <v>152.58</v>
      </c>
      <c r="J1001" s="132">
        <v>97.44</v>
      </c>
      <c r="K1001" s="39">
        <f t="shared" si="1"/>
        <v>1425097.2</v>
      </c>
      <c r="L1001" s="39">
        <f t="shared" si="2"/>
        <v>910089.6</v>
      </c>
      <c r="M1001" s="39">
        <f t="shared" si="3"/>
        <v>515007.6</v>
      </c>
      <c r="N1001" s="38" t="str">
        <f>VLOOKUP(F1001,products!$A$2:$B$13,2,FALSE)</f>
        <v>Snacks</v>
      </c>
      <c r="O1001" s="133">
        <f t="shared" si="4"/>
        <v>0.6386158081</v>
      </c>
      <c r="P1001" s="38" t="str">
        <f>VLOOKUP(E1001,countries!A$2:E$250,3,false)</f>
        <v>Czech Republic</v>
      </c>
      <c r="Q1001" s="38" t="str">
        <f>VLOOKUP($E1001,countries!$A$2:$E$250,4,false)</f>
        <v>Europe</v>
      </c>
      <c r="R1001" s="38" t="str">
        <f>VLOOKUP($E1001,countries!$A$2:$E$250,5,false)</f>
        <v>Eastern Europe</v>
      </c>
      <c r="S1001" s="38">
        <f t="shared" si="5"/>
        <v>11</v>
      </c>
      <c r="T1001" s="38" t="s">
        <v>182</v>
      </c>
      <c r="U1001" s="38">
        <v>2010.0</v>
      </c>
      <c r="V1001" s="38">
        <v>8.0</v>
      </c>
      <c r="W1001" s="38" t="s">
        <v>114</v>
      </c>
      <c r="X1001" s="38" t="s">
        <v>184</v>
      </c>
      <c r="Y1001" s="38" t="s">
        <v>146</v>
      </c>
      <c r="Z1001" s="38" t="s">
        <v>155</v>
      </c>
      <c r="AA1001" s="113" t="str">
        <f t="array" ref="AA1001">PROPER(G1001)</f>
        <v>Online</v>
      </c>
    </row>
    <row r="1002">
      <c r="A1002" s="110">
        <v>7.56252324E8</v>
      </c>
      <c r="B1002" s="131">
        <v>40196.0</v>
      </c>
      <c r="C1002" s="131">
        <v>40218.0</v>
      </c>
      <c r="D1002" s="110" t="s">
        <v>93</v>
      </c>
      <c r="E1002" s="110" t="s">
        <v>104</v>
      </c>
      <c r="F1002" s="110">
        <v>4594.0</v>
      </c>
      <c r="G1002" s="38" t="s">
        <v>43</v>
      </c>
      <c r="H1002" s="110">
        <v>723.0</v>
      </c>
      <c r="I1002" s="132">
        <v>9.33</v>
      </c>
      <c r="J1002" s="132">
        <v>6.92</v>
      </c>
      <c r="K1002" s="39">
        <f t="shared" si="1"/>
        <v>6745.59</v>
      </c>
      <c r="L1002" s="39">
        <f t="shared" si="2"/>
        <v>5003.16</v>
      </c>
      <c r="M1002" s="39">
        <f t="shared" si="3"/>
        <v>1742.43</v>
      </c>
      <c r="N1002" s="38" t="str">
        <f>VLOOKUP(F1002,products!$A$2:$B$13,2,FALSE)</f>
        <v>Fruits</v>
      </c>
      <c r="O1002" s="133">
        <f t="shared" si="4"/>
        <v>0.741693462</v>
      </c>
      <c r="P1002" s="38" t="str">
        <f>VLOOKUP(E1002,countries!A$2:E$250,3,false)</f>
        <v>Slovenia</v>
      </c>
      <c r="Q1002" s="38" t="str">
        <f>VLOOKUP($E1002,countries!$A$2:$E$250,4,false)</f>
        <v>Europe</v>
      </c>
      <c r="R1002" s="38" t="str">
        <f>VLOOKUP($E1002,countries!$A$2:$E$250,5,false)</f>
        <v>Southern Europe</v>
      </c>
      <c r="S1002" s="38">
        <f t="shared" si="5"/>
        <v>22</v>
      </c>
      <c r="T1002" s="38" t="s">
        <v>156</v>
      </c>
      <c r="U1002" s="38">
        <v>2010.0</v>
      </c>
      <c r="V1002" s="38">
        <v>1.0</v>
      </c>
      <c r="W1002" s="38" t="s">
        <v>104</v>
      </c>
      <c r="X1002" s="38" t="s">
        <v>171</v>
      </c>
      <c r="Y1002" s="38" t="s">
        <v>146</v>
      </c>
      <c r="Z1002" s="38" t="s">
        <v>147</v>
      </c>
      <c r="AA1002" s="113" t="str">
        <f t="array" ref="AA1002">PROPER(G1002)</f>
        <v>Online</v>
      </c>
    </row>
    <row r="1003">
      <c r="A1003" s="110">
        <v>7.56395232E8</v>
      </c>
      <c r="B1003" s="131">
        <v>42026.0</v>
      </c>
      <c r="C1003" s="131">
        <v>42076.0</v>
      </c>
      <c r="D1003" s="110" t="s">
        <v>95</v>
      </c>
      <c r="E1003" s="110" t="s">
        <v>114</v>
      </c>
      <c r="F1003" s="110">
        <v>8875.0</v>
      </c>
      <c r="G1003" s="38" t="s">
        <v>43</v>
      </c>
      <c r="H1003" s="110">
        <v>3013.0</v>
      </c>
      <c r="I1003" s="132">
        <v>421.89</v>
      </c>
      <c r="J1003" s="132">
        <v>364.69</v>
      </c>
      <c r="K1003" s="39">
        <f t="shared" si="1"/>
        <v>1271154.57</v>
      </c>
      <c r="L1003" s="39">
        <f t="shared" si="2"/>
        <v>1098810.97</v>
      </c>
      <c r="M1003" s="39">
        <f t="shared" si="3"/>
        <v>172343.6</v>
      </c>
      <c r="N1003" s="38" t="str">
        <f>VLOOKUP(F1003,products!$A$2:$B$13,2,FALSE)</f>
        <v>Meat</v>
      </c>
      <c r="O1003" s="133">
        <f t="shared" si="4"/>
        <v>0.8644196354</v>
      </c>
      <c r="P1003" s="38" t="str">
        <f>VLOOKUP(E1003,countries!A$2:E$250,3,false)</f>
        <v>Czech Republic</v>
      </c>
      <c r="Q1003" s="38" t="str">
        <f>VLOOKUP($E1003,countries!$A$2:$E$250,4,false)</f>
        <v>Europe</v>
      </c>
      <c r="R1003" s="38" t="str">
        <f>VLOOKUP($E1003,countries!$A$2:$E$250,5,false)</f>
        <v>Eastern Europe</v>
      </c>
      <c r="S1003" s="38">
        <f t="shared" si="5"/>
        <v>50</v>
      </c>
      <c r="T1003" s="38" t="s">
        <v>167</v>
      </c>
      <c r="U1003" s="38">
        <v>2015.0</v>
      </c>
      <c r="V1003" s="38">
        <v>1.0</v>
      </c>
      <c r="W1003" s="38" t="s">
        <v>114</v>
      </c>
      <c r="X1003" s="38" t="s">
        <v>184</v>
      </c>
      <c r="Y1003" s="38" t="s">
        <v>146</v>
      </c>
      <c r="Z1003" s="38" t="s">
        <v>155</v>
      </c>
      <c r="AA1003" s="113" t="str">
        <f t="array" ref="AA1003">PROPER(G1003)</f>
        <v>Online</v>
      </c>
    </row>
    <row r="1004">
      <c r="A1004" s="110">
        <v>7.57468974E8</v>
      </c>
      <c r="B1004" s="131">
        <v>41347.0</v>
      </c>
      <c r="C1004" s="131">
        <v>41356.0</v>
      </c>
      <c r="D1004" s="110" t="s">
        <v>95</v>
      </c>
      <c r="E1004" s="110" t="s">
        <v>136</v>
      </c>
      <c r="F1004" s="110">
        <v>1270.0</v>
      </c>
      <c r="G1004" s="38" t="s">
        <v>43</v>
      </c>
      <c r="H1004" s="110">
        <v>757.0</v>
      </c>
      <c r="I1004" s="132">
        <v>47.45</v>
      </c>
      <c r="J1004" s="132">
        <v>31.79</v>
      </c>
      <c r="K1004" s="39">
        <f t="shared" si="1"/>
        <v>35919.65</v>
      </c>
      <c r="L1004" s="39">
        <f t="shared" si="2"/>
        <v>24065.03</v>
      </c>
      <c r="M1004" s="39">
        <f t="shared" si="3"/>
        <v>11854.62</v>
      </c>
      <c r="N1004" s="38" t="str">
        <f>VLOOKUP(F1004,products!$A$2:$B$13,2,FALSE)</f>
        <v>Beverages</v>
      </c>
      <c r="O1004" s="133">
        <f t="shared" si="4"/>
        <v>0.6699683878</v>
      </c>
      <c r="P1004" s="38" t="str">
        <f>VLOOKUP(E1004,countries!A$2:E$250,3,false)</f>
        <v>Monaco</v>
      </c>
      <c r="Q1004" s="38" t="str">
        <f>VLOOKUP($E1004,countries!$A$2:$E$250,4,false)</f>
        <v>Europe</v>
      </c>
      <c r="R1004" s="38" t="str">
        <f>VLOOKUP($E1004,countries!$A$2:$E$250,5,false)</f>
        <v>Western Europe</v>
      </c>
      <c r="S1004" s="38">
        <f t="shared" si="5"/>
        <v>9</v>
      </c>
      <c r="T1004" s="38" t="s">
        <v>152</v>
      </c>
      <c r="U1004" s="38">
        <v>2013.0</v>
      </c>
      <c r="V1004" s="38">
        <v>3.0</v>
      </c>
      <c r="W1004" s="38" t="s">
        <v>136</v>
      </c>
      <c r="X1004" s="38" t="s">
        <v>206</v>
      </c>
      <c r="Y1004" s="38" t="s">
        <v>146</v>
      </c>
      <c r="Z1004" s="38" t="s">
        <v>158</v>
      </c>
      <c r="AA1004" s="113" t="str">
        <f t="array" ref="AA1004">PROPER(G1004)</f>
        <v>Online</v>
      </c>
    </row>
    <row r="1005">
      <c r="A1005" s="110">
        <v>7.59086453E8</v>
      </c>
      <c r="B1005" s="131">
        <v>40595.0</v>
      </c>
      <c r="C1005" s="131">
        <v>40601.0</v>
      </c>
      <c r="D1005" s="110" t="s">
        <v>93</v>
      </c>
      <c r="E1005" s="110" t="s">
        <v>114</v>
      </c>
      <c r="F1005" s="110">
        <v>7940.0</v>
      </c>
      <c r="G1005" s="38" t="s">
        <v>43</v>
      </c>
      <c r="H1005" s="110">
        <v>9405.0</v>
      </c>
      <c r="I1005" s="132">
        <v>668.27</v>
      </c>
      <c r="J1005" s="132">
        <v>502.54</v>
      </c>
      <c r="K1005" s="39">
        <f t="shared" si="1"/>
        <v>6285079.35</v>
      </c>
      <c r="L1005" s="39">
        <f t="shared" si="2"/>
        <v>4726388.7</v>
      </c>
      <c r="M1005" s="39">
        <f t="shared" si="3"/>
        <v>1558690.65</v>
      </c>
      <c r="N1005" s="38" t="str">
        <f>VLOOKUP(F1005,products!$A$2:$B$13,2,FALSE)</f>
        <v>Household</v>
      </c>
      <c r="O1005" s="133">
        <f t="shared" si="4"/>
        <v>0.7520014365</v>
      </c>
      <c r="P1005" s="38" t="str">
        <f>VLOOKUP(E1005,countries!A$2:E$250,3,false)</f>
        <v>Czech Republic</v>
      </c>
      <c r="Q1005" s="38" t="str">
        <f>VLOOKUP($E1005,countries!$A$2:$E$250,4,false)</f>
        <v>Europe</v>
      </c>
      <c r="R1005" s="38" t="str">
        <f>VLOOKUP($E1005,countries!$A$2:$E$250,5,false)</f>
        <v>Eastern Europe</v>
      </c>
      <c r="S1005" s="38">
        <f t="shared" si="5"/>
        <v>6</v>
      </c>
      <c r="T1005" s="38" t="s">
        <v>148</v>
      </c>
      <c r="U1005" s="38">
        <v>2011.0</v>
      </c>
      <c r="V1005" s="38">
        <v>2.0</v>
      </c>
      <c r="W1005" s="38" t="s">
        <v>114</v>
      </c>
      <c r="X1005" s="38" t="s">
        <v>184</v>
      </c>
      <c r="Y1005" s="38" t="s">
        <v>146</v>
      </c>
      <c r="Z1005" s="38" t="s">
        <v>155</v>
      </c>
      <c r="AA1005" s="113" t="str">
        <f t="array" ref="AA1005">PROPER(G1005)</f>
        <v>Online</v>
      </c>
    </row>
    <row r="1006">
      <c r="A1006" s="110">
        <v>7.59594142E8</v>
      </c>
      <c r="B1006" s="131">
        <v>42926.0</v>
      </c>
      <c r="C1006" s="131">
        <v>42928.0</v>
      </c>
      <c r="D1006" s="110" t="s">
        <v>10</v>
      </c>
      <c r="E1006" s="110" t="s">
        <v>119</v>
      </c>
      <c r="F1006" s="110">
        <v>5988.0</v>
      </c>
      <c r="G1006" s="38" t="s">
        <v>42</v>
      </c>
      <c r="H1006" s="110">
        <v>9641.0</v>
      </c>
      <c r="I1006" s="132">
        <v>154.06</v>
      </c>
      <c r="J1006" s="132">
        <v>90.93</v>
      </c>
      <c r="K1006" s="39">
        <f t="shared" si="1"/>
        <v>1485292.46</v>
      </c>
      <c r="L1006" s="39">
        <f t="shared" si="2"/>
        <v>876656.13</v>
      </c>
      <c r="M1006" s="39">
        <f t="shared" si="3"/>
        <v>608636.33</v>
      </c>
      <c r="N1006" s="38" t="str">
        <f>VLOOKUP(F1006,products!$A$2:$B$13,2,FALSE)</f>
        <v>Vegetables</v>
      </c>
      <c r="O1006" s="133">
        <f t="shared" si="4"/>
        <v>0.5902245878</v>
      </c>
      <c r="P1006" s="38" t="str">
        <f>VLOOKUP(E1006,countries!A$2:E$250,3,false)</f>
        <v>Macedonia</v>
      </c>
      <c r="Q1006" s="38" t="str">
        <f>VLOOKUP($E1006,countries!$A$2:$E$250,4,false)</f>
        <v>Europe</v>
      </c>
      <c r="R1006" s="38" t="str">
        <f>VLOOKUP($E1006,countries!$A$2:$E$250,5,false)</f>
        <v>Southern Europe</v>
      </c>
      <c r="S1006" s="38">
        <f t="shared" si="5"/>
        <v>2</v>
      </c>
      <c r="T1006" s="38" t="s">
        <v>159</v>
      </c>
      <c r="U1006" s="38">
        <v>2017.0</v>
      </c>
      <c r="V1006" s="38">
        <v>7.0</v>
      </c>
      <c r="W1006" s="38" t="s">
        <v>119</v>
      </c>
      <c r="X1006" s="38" t="s">
        <v>190</v>
      </c>
      <c r="Y1006" s="38" t="s">
        <v>146</v>
      </c>
      <c r="Z1006" s="38" t="s">
        <v>147</v>
      </c>
      <c r="AA1006" s="113" t="str">
        <f t="array" ref="AA1006">PROPER(G1006)</f>
        <v>Offline</v>
      </c>
    </row>
    <row r="1007">
      <c r="A1007" s="110">
        <v>7.60280358E8</v>
      </c>
      <c r="B1007" s="131">
        <v>41122.0</v>
      </c>
      <c r="C1007" s="131">
        <v>41142.0</v>
      </c>
      <c r="D1007" s="110" t="s">
        <v>89</v>
      </c>
      <c r="E1007" s="110" t="e">
        <v>#N/A</v>
      </c>
      <c r="F1007" s="110">
        <v>8681.0</v>
      </c>
      <c r="G1007" s="38" t="s">
        <v>42</v>
      </c>
      <c r="H1007" s="110">
        <v>2708.0</v>
      </c>
      <c r="I1007" s="132">
        <v>651.21</v>
      </c>
      <c r="J1007" s="132">
        <v>524.96</v>
      </c>
      <c r="K1007" s="39">
        <f t="shared" si="1"/>
        <v>1763476.68</v>
      </c>
      <c r="L1007" s="39">
        <f t="shared" si="2"/>
        <v>1421591.68</v>
      </c>
      <c r="M1007" s="39">
        <f t="shared" si="3"/>
        <v>341885</v>
      </c>
      <c r="N1007" s="38" t="str">
        <f>VLOOKUP(F1007,products!$A$2:$B$13,2,FALSE)</f>
        <v>Office Supplies</v>
      </c>
      <c r="O1007" s="133">
        <f t="shared" si="4"/>
        <v>0.806130127</v>
      </c>
      <c r="P1007" s="38" t="str">
        <f>VLOOKUP(E1007,countries!A$2:E$250,3,false)</f>
        <v>#N/A</v>
      </c>
      <c r="Q1007" s="38" t="str">
        <f>VLOOKUP($E1007,countries!$A$2:$E$250,4,false)</f>
        <v>#N/A</v>
      </c>
      <c r="R1007" s="38" t="str">
        <f>VLOOKUP($E1007,countries!$A$2:$E$250,5,false)</f>
        <v>#N/A</v>
      </c>
      <c r="S1007" s="38">
        <f t="shared" si="5"/>
        <v>20</v>
      </c>
      <c r="T1007" s="38" t="s">
        <v>153</v>
      </c>
      <c r="U1007" s="38">
        <v>2012.0</v>
      </c>
      <c r="V1007" s="38">
        <v>8.0</v>
      </c>
      <c r="W1007" s="38" t="s">
        <v>92</v>
      </c>
      <c r="X1007" s="38" t="s">
        <v>149</v>
      </c>
      <c r="Y1007" s="38" t="s">
        <v>149</v>
      </c>
      <c r="Z1007" s="38" t="s">
        <v>149</v>
      </c>
      <c r="AA1007" s="113" t="str">
        <f t="array" ref="AA1007">PROPER(G1007)</f>
        <v>Offline</v>
      </c>
    </row>
    <row r="1008">
      <c r="A1008" s="110">
        <v>7.60346877E8</v>
      </c>
      <c r="B1008" s="131">
        <v>42580.0</v>
      </c>
      <c r="C1008" s="131">
        <v>42588.0</v>
      </c>
      <c r="D1008" s="110" t="s">
        <v>89</v>
      </c>
      <c r="E1008" s="110" t="s">
        <v>106</v>
      </c>
      <c r="F1008" s="110">
        <v>7940.0</v>
      </c>
      <c r="G1008" s="38" t="s">
        <v>43</v>
      </c>
      <c r="H1008" s="110">
        <v>2392.0</v>
      </c>
      <c r="I1008" s="132">
        <v>668.27</v>
      </c>
      <c r="J1008" s="132">
        <v>502.54</v>
      </c>
      <c r="K1008" s="39">
        <f t="shared" si="1"/>
        <v>1598501.84</v>
      </c>
      <c r="L1008" s="39">
        <f t="shared" si="2"/>
        <v>1202075.68</v>
      </c>
      <c r="M1008" s="39">
        <f t="shared" si="3"/>
        <v>396426.16</v>
      </c>
      <c r="N1008" s="38" t="str">
        <f>VLOOKUP(F1008,products!$A$2:$B$13,2,FALSE)</f>
        <v>Household</v>
      </c>
      <c r="O1008" s="133">
        <f t="shared" si="4"/>
        <v>0.7520014365</v>
      </c>
      <c r="P1008" s="38" t="str">
        <f>VLOOKUP(E1008,countries!A$2:E$250,3,false)</f>
        <v>Poland</v>
      </c>
      <c r="Q1008" s="38" t="str">
        <f>VLOOKUP($E1008,countries!$A$2:$E$250,4,false)</f>
        <v>Europe</v>
      </c>
      <c r="R1008" s="38" t="str">
        <f>VLOOKUP($E1008,countries!$A$2:$E$250,5,false)</f>
        <v>Eastern Europe</v>
      </c>
      <c r="S1008" s="38">
        <f t="shared" si="5"/>
        <v>8</v>
      </c>
      <c r="T1008" s="38" t="s">
        <v>148</v>
      </c>
      <c r="U1008" s="38">
        <v>2016.0</v>
      </c>
      <c r="V1008" s="38">
        <v>7.0</v>
      </c>
      <c r="W1008" s="38" t="s">
        <v>106</v>
      </c>
      <c r="X1008" s="38" t="s">
        <v>173</v>
      </c>
      <c r="Y1008" s="38" t="s">
        <v>146</v>
      </c>
      <c r="Z1008" s="38" t="s">
        <v>155</v>
      </c>
      <c r="AA1008" s="113" t="str">
        <f t="array" ref="AA1008">PROPER(G1008)</f>
        <v>Online</v>
      </c>
    </row>
    <row r="1009">
      <c r="A1009" s="110">
        <v>7.6061939E8</v>
      </c>
      <c r="B1009" s="131">
        <v>40970.0</v>
      </c>
      <c r="C1009" s="131">
        <v>41015.0</v>
      </c>
      <c r="D1009" s="110" t="s">
        <v>10</v>
      </c>
      <c r="E1009" s="110" t="s">
        <v>133</v>
      </c>
      <c r="F1009" s="110">
        <v>5988.0</v>
      </c>
      <c r="G1009" s="38" t="s">
        <v>43</v>
      </c>
      <c r="H1009" s="110">
        <v>3035.0</v>
      </c>
      <c r="I1009" s="132">
        <v>154.06</v>
      </c>
      <c r="J1009" s="132">
        <v>90.93</v>
      </c>
      <c r="K1009" s="39">
        <f t="shared" si="1"/>
        <v>467572.1</v>
      </c>
      <c r="L1009" s="39">
        <f t="shared" si="2"/>
        <v>275972.55</v>
      </c>
      <c r="M1009" s="39">
        <f t="shared" si="3"/>
        <v>191599.55</v>
      </c>
      <c r="N1009" s="38" t="str">
        <f>VLOOKUP(F1009,products!$A$2:$B$13,2,FALSE)</f>
        <v>Vegetables</v>
      </c>
      <c r="O1009" s="133">
        <f t="shared" si="4"/>
        <v>0.5902245878</v>
      </c>
      <c r="P1009" s="38" t="str">
        <f>VLOOKUP(E1009,countries!A$2:E$250,3,false)</f>
        <v>Bosnia and Herzegovina</v>
      </c>
      <c r="Q1009" s="38" t="str">
        <f>VLOOKUP($E1009,countries!$A$2:$E$250,4,false)</f>
        <v>Europe</v>
      </c>
      <c r="R1009" s="38" t="str">
        <f>VLOOKUP($E1009,countries!$A$2:$E$250,5,false)</f>
        <v>Southern Europe</v>
      </c>
      <c r="S1009" s="38">
        <f t="shared" si="5"/>
        <v>45</v>
      </c>
      <c r="T1009" s="38" t="s">
        <v>159</v>
      </c>
      <c r="U1009" s="38">
        <v>2012.0</v>
      </c>
      <c r="V1009" s="38">
        <v>3.0</v>
      </c>
      <c r="W1009" s="38" t="s">
        <v>133</v>
      </c>
      <c r="X1009" s="38" t="s">
        <v>204</v>
      </c>
      <c r="Y1009" s="38" t="s">
        <v>146</v>
      </c>
      <c r="Z1009" s="38" t="s">
        <v>147</v>
      </c>
      <c r="AA1009" s="113" t="str">
        <f t="array" ref="AA1009">PROPER(G1009)</f>
        <v>Online</v>
      </c>
    </row>
    <row r="1010">
      <c r="A1010" s="110">
        <v>7.6172403E8</v>
      </c>
      <c r="B1010" s="131">
        <v>42181.0</v>
      </c>
      <c r="C1010" s="131">
        <v>42229.0</v>
      </c>
      <c r="D1010" s="110" t="s">
        <v>95</v>
      </c>
      <c r="E1010" s="110" t="e">
        <v>#N/A</v>
      </c>
      <c r="F1010" s="110">
        <v>1270.0</v>
      </c>
      <c r="G1010" s="38" t="s">
        <v>43</v>
      </c>
      <c r="H1010" s="110">
        <v>9923.0</v>
      </c>
      <c r="I1010" s="132">
        <v>47.45</v>
      </c>
      <c r="J1010" s="132">
        <v>31.79</v>
      </c>
      <c r="K1010" s="39">
        <f t="shared" si="1"/>
        <v>470846.35</v>
      </c>
      <c r="L1010" s="39">
        <f t="shared" si="2"/>
        <v>315452.17</v>
      </c>
      <c r="M1010" s="39">
        <f t="shared" si="3"/>
        <v>155394.18</v>
      </c>
      <c r="N1010" s="38" t="str">
        <f>VLOOKUP(F1010,products!$A$2:$B$13,2,FALSE)</f>
        <v>Beverages</v>
      </c>
      <c r="O1010" s="133">
        <f t="shared" si="4"/>
        <v>0.6699683878</v>
      </c>
      <c r="P1010" s="38" t="str">
        <f>VLOOKUP(E1010,countries!A$2:E$250,3,false)</f>
        <v>#N/A</v>
      </c>
      <c r="Q1010" s="38" t="str">
        <f>VLOOKUP($E1010,countries!$A$2:$E$250,4,false)</f>
        <v>#N/A</v>
      </c>
      <c r="R1010" s="38" t="str">
        <f>VLOOKUP($E1010,countries!$A$2:$E$250,5,false)</f>
        <v>#N/A</v>
      </c>
      <c r="S1010" s="38">
        <f t="shared" si="5"/>
        <v>48</v>
      </c>
      <c r="T1010" s="38" t="s">
        <v>152</v>
      </c>
      <c r="U1010" s="38">
        <v>2015.0</v>
      </c>
      <c r="V1010" s="38">
        <v>6.0</v>
      </c>
      <c r="W1010" s="38" t="s">
        <v>92</v>
      </c>
      <c r="X1010" s="38" t="s">
        <v>149</v>
      </c>
      <c r="Y1010" s="38" t="s">
        <v>149</v>
      </c>
      <c r="Z1010" s="38" t="s">
        <v>149</v>
      </c>
      <c r="AA1010" s="113" t="str">
        <f t="array" ref="AA1010">PROPER(G1010)</f>
        <v>Online</v>
      </c>
    </row>
    <row r="1011">
      <c r="A1011" s="110">
        <v>7.61887109E8</v>
      </c>
      <c r="B1011" s="131">
        <v>42633.0</v>
      </c>
      <c r="C1011" s="131">
        <v>42657.0</v>
      </c>
      <c r="D1011" s="110" t="s">
        <v>89</v>
      </c>
      <c r="E1011" s="110" t="s">
        <v>109</v>
      </c>
      <c r="F1011" s="110">
        <v>2455.0</v>
      </c>
      <c r="G1011" s="38" t="s">
        <v>42</v>
      </c>
      <c r="H1011" s="110">
        <v>8181.0</v>
      </c>
      <c r="I1011" s="132">
        <v>109.28</v>
      </c>
      <c r="J1011" s="132">
        <v>35.84</v>
      </c>
      <c r="K1011" s="39">
        <f t="shared" si="1"/>
        <v>894019.68</v>
      </c>
      <c r="L1011" s="39">
        <f t="shared" si="2"/>
        <v>293207.04</v>
      </c>
      <c r="M1011" s="39">
        <f t="shared" si="3"/>
        <v>600812.64</v>
      </c>
      <c r="N1011" s="38" t="str">
        <f>VLOOKUP(F1011,products!$A$2:$B$13,2,FALSE)</f>
        <v>Clothes</v>
      </c>
      <c r="O1011" s="133">
        <f t="shared" si="4"/>
        <v>0.3279648609</v>
      </c>
      <c r="P1011" s="38" t="str">
        <f>VLOOKUP(E1011,countries!A$2:E$250,3,false)</f>
        <v>Belgium</v>
      </c>
      <c r="Q1011" s="38" t="str">
        <f>VLOOKUP($E1011,countries!$A$2:$E$250,4,false)</f>
        <v>Europe</v>
      </c>
      <c r="R1011" s="38" t="str">
        <f>VLOOKUP($E1011,countries!$A$2:$E$250,5,false)</f>
        <v>Western Europe</v>
      </c>
      <c r="S1011" s="38">
        <f t="shared" si="5"/>
        <v>24</v>
      </c>
      <c r="T1011" s="38" t="s">
        <v>150</v>
      </c>
      <c r="U1011" s="38">
        <v>2016.0</v>
      </c>
      <c r="V1011" s="38">
        <v>9.0</v>
      </c>
      <c r="W1011" s="38" t="s">
        <v>109</v>
      </c>
      <c r="X1011" s="38" t="s">
        <v>176</v>
      </c>
      <c r="Y1011" s="38" t="s">
        <v>146</v>
      </c>
      <c r="Z1011" s="38" t="s">
        <v>158</v>
      </c>
      <c r="AA1011" s="113" t="str">
        <f t="array" ref="AA1011">PROPER(G1011)</f>
        <v>Offline</v>
      </c>
    </row>
    <row r="1012">
      <c r="A1012" s="110">
        <v>7.62117564E8</v>
      </c>
      <c r="B1012" s="131">
        <v>40600.0</v>
      </c>
      <c r="C1012" s="131">
        <v>40630.0</v>
      </c>
      <c r="D1012" s="110" t="s">
        <v>89</v>
      </c>
      <c r="E1012" s="110" t="s">
        <v>113</v>
      </c>
      <c r="F1012" s="110">
        <v>3127.0</v>
      </c>
      <c r="G1012" s="38" t="s">
        <v>43</v>
      </c>
      <c r="H1012" s="110">
        <v>6378.0</v>
      </c>
      <c r="I1012" s="132">
        <v>81.73</v>
      </c>
      <c r="J1012" s="132">
        <v>56.67</v>
      </c>
      <c r="K1012" s="39">
        <f t="shared" si="1"/>
        <v>521273.94</v>
      </c>
      <c r="L1012" s="39">
        <f t="shared" si="2"/>
        <v>361441.26</v>
      </c>
      <c r="M1012" s="39">
        <f t="shared" si="3"/>
        <v>159832.68</v>
      </c>
      <c r="N1012" s="38" t="str">
        <f>VLOOKUP(F1012,products!$A$2:$B$13,2,FALSE)</f>
        <v>Personal Care</v>
      </c>
      <c r="O1012" s="133">
        <f t="shared" si="4"/>
        <v>0.6933806436</v>
      </c>
      <c r="P1012" s="38" t="str">
        <f>VLOOKUP(E1012,countries!A$2:E$250,3,false)</f>
        <v>Ukraine</v>
      </c>
      <c r="Q1012" s="38" t="str">
        <f>VLOOKUP($E1012,countries!$A$2:$E$250,4,false)</f>
        <v>Europe</v>
      </c>
      <c r="R1012" s="38" t="str">
        <f>VLOOKUP($E1012,countries!$A$2:$E$250,5,false)</f>
        <v>Eastern Europe</v>
      </c>
      <c r="S1012" s="38">
        <f t="shared" si="5"/>
        <v>30</v>
      </c>
      <c r="T1012" s="38" t="s">
        <v>185</v>
      </c>
      <c r="U1012" s="38">
        <v>2011.0</v>
      </c>
      <c r="V1012" s="38">
        <v>2.0</v>
      </c>
      <c r="W1012" s="38" t="s">
        <v>113</v>
      </c>
      <c r="X1012" s="38" t="s">
        <v>181</v>
      </c>
      <c r="Y1012" s="38" t="s">
        <v>146</v>
      </c>
      <c r="Z1012" s="38" t="s">
        <v>155</v>
      </c>
      <c r="AA1012" s="113" t="str">
        <f t="array" ref="AA1012">PROPER(G1012)</f>
        <v>Online</v>
      </c>
    </row>
    <row r="1013">
      <c r="A1013" s="110">
        <v>7.62655293E8</v>
      </c>
      <c r="B1013" s="131">
        <v>40467.0</v>
      </c>
      <c r="C1013" s="131">
        <v>40493.0</v>
      </c>
      <c r="D1013" s="110" t="s">
        <v>95</v>
      </c>
      <c r="E1013" s="110" t="s">
        <v>97</v>
      </c>
      <c r="F1013" s="110">
        <v>3127.0</v>
      </c>
      <c r="G1013" s="38" t="s">
        <v>43</v>
      </c>
      <c r="H1013" s="110">
        <v>5504.0</v>
      </c>
      <c r="I1013" s="132">
        <v>81.73</v>
      </c>
      <c r="J1013" s="132">
        <v>56.67</v>
      </c>
      <c r="K1013" s="39">
        <f t="shared" si="1"/>
        <v>449841.92</v>
      </c>
      <c r="L1013" s="39">
        <f t="shared" si="2"/>
        <v>311911.68</v>
      </c>
      <c r="M1013" s="39">
        <f t="shared" si="3"/>
        <v>137930.24</v>
      </c>
      <c r="N1013" s="38" t="str">
        <f>VLOOKUP(F1013,products!$A$2:$B$13,2,FALSE)</f>
        <v>Personal Care</v>
      </c>
      <c r="O1013" s="133">
        <f t="shared" si="4"/>
        <v>0.6933806436</v>
      </c>
      <c r="P1013" s="38" t="str">
        <f>VLOOKUP(E1013,countries!A$2:E$250,3,false)</f>
        <v>France</v>
      </c>
      <c r="Q1013" s="38" t="str">
        <f>VLOOKUP($E1013,countries!$A$2:$E$250,4,false)</f>
        <v>Europe</v>
      </c>
      <c r="R1013" s="38" t="str">
        <f>VLOOKUP($E1013,countries!$A$2:$E$250,5,false)</f>
        <v>Western Europe</v>
      </c>
      <c r="S1013" s="38">
        <f t="shared" si="5"/>
        <v>26</v>
      </c>
      <c r="T1013" s="38" t="s">
        <v>185</v>
      </c>
      <c r="U1013" s="38">
        <v>2010.0</v>
      </c>
      <c r="V1013" s="38">
        <v>10.0</v>
      </c>
      <c r="W1013" s="38" t="s">
        <v>97</v>
      </c>
      <c r="X1013" s="38" t="s">
        <v>157</v>
      </c>
      <c r="Y1013" s="38" t="s">
        <v>146</v>
      </c>
      <c r="Z1013" s="38" t="s">
        <v>158</v>
      </c>
      <c r="AA1013" s="113" t="str">
        <f t="array" ref="AA1013">PROPER(G1013)</f>
        <v>Online</v>
      </c>
    </row>
    <row r="1014">
      <c r="A1014" s="110">
        <v>7.64483058E8</v>
      </c>
      <c r="B1014" s="131">
        <v>41826.0</v>
      </c>
      <c r="C1014" s="131">
        <v>41856.0</v>
      </c>
      <c r="D1014" s="110" t="s">
        <v>10</v>
      </c>
      <c r="E1014" s="110" t="s">
        <v>110</v>
      </c>
      <c r="F1014" s="110">
        <v>8875.0</v>
      </c>
      <c r="G1014" s="38" t="s">
        <v>42</v>
      </c>
      <c r="H1014" s="110">
        <v>6380.0</v>
      </c>
      <c r="I1014" s="132">
        <v>421.89</v>
      </c>
      <c r="J1014" s="132">
        <v>364.69</v>
      </c>
      <c r="K1014" s="39">
        <f t="shared" si="1"/>
        <v>2691658.2</v>
      </c>
      <c r="L1014" s="39">
        <f t="shared" si="2"/>
        <v>2326722.2</v>
      </c>
      <c r="M1014" s="39">
        <f t="shared" si="3"/>
        <v>364936</v>
      </c>
      <c r="N1014" s="38" t="str">
        <f>VLOOKUP(F1014,products!$A$2:$B$13,2,FALSE)</f>
        <v>Meat</v>
      </c>
      <c r="O1014" s="133">
        <f t="shared" si="4"/>
        <v>0.8644196354</v>
      </c>
      <c r="P1014" s="38" t="str">
        <f>VLOOKUP(E1014,countries!A$2:E$250,3,false)</f>
        <v>Lithuania</v>
      </c>
      <c r="Q1014" s="38" t="str">
        <f>VLOOKUP($E1014,countries!$A$2:$E$250,4,false)</f>
        <v>Europe</v>
      </c>
      <c r="R1014" s="38" t="str">
        <f>VLOOKUP($E1014,countries!$A$2:$E$250,5,false)</f>
        <v>Northern Europe</v>
      </c>
      <c r="S1014" s="38">
        <f t="shared" si="5"/>
        <v>30</v>
      </c>
      <c r="T1014" s="38" t="s">
        <v>167</v>
      </c>
      <c r="U1014" s="38">
        <v>2014.0</v>
      </c>
      <c r="V1014" s="38">
        <v>7.0</v>
      </c>
      <c r="W1014" s="38" t="s">
        <v>110</v>
      </c>
      <c r="X1014" s="38" t="s">
        <v>177</v>
      </c>
      <c r="Y1014" s="38" t="s">
        <v>146</v>
      </c>
      <c r="Z1014" s="38" t="s">
        <v>170</v>
      </c>
      <c r="AA1014" s="113" t="str">
        <f t="array" ref="AA1014">PROPER(G1014)</f>
        <v>Offline</v>
      </c>
    </row>
    <row r="1015">
      <c r="A1015" s="110">
        <v>7.64592492E8</v>
      </c>
      <c r="B1015" s="131">
        <v>42530.0</v>
      </c>
      <c r="C1015" s="131">
        <v>42570.0</v>
      </c>
      <c r="D1015" s="110" t="s">
        <v>89</v>
      </c>
      <c r="E1015" s="110" t="s">
        <v>126</v>
      </c>
      <c r="F1015" s="110">
        <v>8681.0</v>
      </c>
      <c r="G1015" s="38" t="s">
        <v>42</v>
      </c>
      <c r="H1015" s="110">
        <v>8764.0</v>
      </c>
      <c r="I1015" s="132">
        <v>651.21</v>
      </c>
      <c r="J1015" s="132">
        <v>524.96</v>
      </c>
      <c r="K1015" s="39">
        <f t="shared" si="1"/>
        <v>5707204.44</v>
      </c>
      <c r="L1015" s="39">
        <f t="shared" si="2"/>
        <v>4600749.44</v>
      </c>
      <c r="M1015" s="39">
        <f t="shared" si="3"/>
        <v>1106455</v>
      </c>
      <c r="N1015" s="38" t="str">
        <f>VLOOKUP(F1015,products!$A$2:$B$13,2,FALSE)</f>
        <v>Office Supplies</v>
      </c>
      <c r="O1015" s="133">
        <f t="shared" si="4"/>
        <v>0.806130127</v>
      </c>
      <c r="P1015" s="38" t="str">
        <f>VLOOKUP(E1015,countries!A$2:E$250,3,false)</f>
        <v>Italy</v>
      </c>
      <c r="Q1015" s="38" t="str">
        <f>VLOOKUP($E1015,countries!$A$2:$E$250,4,false)</f>
        <v>Europe</v>
      </c>
      <c r="R1015" s="38" t="str">
        <f>VLOOKUP($E1015,countries!$A$2:$E$250,5,false)</f>
        <v>Southern Europe</v>
      </c>
      <c r="S1015" s="38">
        <f t="shared" si="5"/>
        <v>40</v>
      </c>
      <c r="T1015" s="38" t="s">
        <v>153</v>
      </c>
      <c r="U1015" s="38">
        <v>2016.0</v>
      </c>
      <c r="V1015" s="38">
        <v>6.0</v>
      </c>
      <c r="W1015" s="38" t="s">
        <v>126</v>
      </c>
      <c r="X1015" s="38" t="s">
        <v>197</v>
      </c>
      <c r="Y1015" s="38" t="s">
        <v>146</v>
      </c>
      <c r="Z1015" s="38" t="s">
        <v>147</v>
      </c>
      <c r="AA1015" s="113" t="str">
        <f t="array" ref="AA1015">PROPER(G1015)</f>
        <v>Offline</v>
      </c>
    </row>
    <row r="1016">
      <c r="A1016" s="110">
        <v>7.6481136E8</v>
      </c>
      <c r="B1016" s="131">
        <v>41171.0</v>
      </c>
      <c r="C1016" s="131">
        <v>41182.0</v>
      </c>
      <c r="D1016" s="110" t="s">
        <v>10</v>
      </c>
      <c r="E1016" s="110" t="s">
        <v>97</v>
      </c>
      <c r="F1016" s="110">
        <v>2103.0</v>
      </c>
      <c r="G1016" s="38" t="s">
        <v>43</v>
      </c>
      <c r="H1016" s="110">
        <v>3532.0</v>
      </c>
      <c r="I1016" s="132">
        <v>205.7</v>
      </c>
      <c r="J1016" s="132">
        <v>117.11</v>
      </c>
      <c r="K1016" s="39">
        <f t="shared" si="1"/>
        <v>726532.4</v>
      </c>
      <c r="L1016" s="39">
        <f t="shared" si="2"/>
        <v>413632.52</v>
      </c>
      <c r="M1016" s="39">
        <f t="shared" si="3"/>
        <v>312899.88</v>
      </c>
      <c r="N1016" s="38" t="str">
        <f>VLOOKUP(F1016,products!$A$2:$B$13,2,FALSE)</f>
        <v>Cereal</v>
      </c>
      <c r="O1016" s="133">
        <f t="shared" si="4"/>
        <v>0.5693242586</v>
      </c>
      <c r="P1016" s="38" t="str">
        <f>VLOOKUP(E1016,countries!A$2:E$250,3,false)</f>
        <v>France</v>
      </c>
      <c r="Q1016" s="38" t="str">
        <f>VLOOKUP($E1016,countries!$A$2:$E$250,4,false)</f>
        <v>Europe</v>
      </c>
      <c r="R1016" s="38" t="str">
        <f>VLOOKUP($E1016,countries!$A$2:$E$250,5,false)</f>
        <v>Western Europe</v>
      </c>
      <c r="S1016" s="38">
        <f t="shared" si="5"/>
        <v>11</v>
      </c>
      <c r="T1016" s="38" t="s">
        <v>144</v>
      </c>
      <c r="U1016" s="38">
        <v>2012.0</v>
      </c>
      <c r="V1016" s="38">
        <v>9.0</v>
      </c>
      <c r="W1016" s="38" t="s">
        <v>97</v>
      </c>
      <c r="X1016" s="38" t="s">
        <v>157</v>
      </c>
      <c r="Y1016" s="38" t="s">
        <v>146</v>
      </c>
      <c r="Z1016" s="38" t="s">
        <v>158</v>
      </c>
      <c r="AA1016" s="113" t="str">
        <f t="array" ref="AA1016">PROPER(G1016)</f>
        <v>Online</v>
      </c>
    </row>
    <row r="1017">
      <c r="A1017" s="110">
        <v>7.64837539E8</v>
      </c>
      <c r="B1017" s="131">
        <v>42619.0</v>
      </c>
      <c r="C1017" s="131">
        <v>42619.0</v>
      </c>
      <c r="D1017" s="110" t="s">
        <v>93</v>
      </c>
      <c r="E1017" s="110" t="s">
        <v>135</v>
      </c>
      <c r="F1017" s="110">
        <v>7331.0</v>
      </c>
      <c r="G1017" s="38" t="s">
        <v>43</v>
      </c>
      <c r="H1017" s="110">
        <v>1279.0</v>
      </c>
      <c r="I1017" s="132">
        <v>255.28</v>
      </c>
      <c r="J1017" s="132">
        <v>159.42</v>
      </c>
      <c r="K1017" s="39">
        <f t="shared" si="1"/>
        <v>326503.12</v>
      </c>
      <c r="L1017" s="39">
        <f t="shared" si="2"/>
        <v>203898.18</v>
      </c>
      <c r="M1017" s="39">
        <f t="shared" si="3"/>
        <v>122604.94</v>
      </c>
      <c r="N1017" s="38" t="str">
        <f>VLOOKUP(F1017,products!$A$2:$B$13,2,FALSE)</f>
        <v>Baby Food</v>
      </c>
      <c r="O1017" s="133">
        <f t="shared" si="4"/>
        <v>0.6244907552</v>
      </c>
      <c r="P1017" s="38" t="str">
        <f>VLOOKUP(E1017,countries!A$2:E$250,3,false)</f>
        <v>Denmark</v>
      </c>
      <c r="Q1017" s="38" t="str">
        <f>VLOOKUP($E1017,countries!$A$2:$E$250,4,false)</f>
        <v>Europe</v>
      </c>
      <c r="R1017" s="38" t="str">
        <f>VLOOKUP($E1017,countries!$A$2:$E$250,5,false)</f>
        <v>Northern Europe</v>
      </c>
      <c r="S1017" s="38">
        <f t="shared" si="5"/>
        <v>0</v>
      </c>
      <c r="T1017" s="38" t="s">
        <v>161</v>
      </c>
      <c r="U1017" s="38">
        <v>2016.0</v>
      </c>
      <c r="V1017" s="38">
        <v>9.0</v>
      </c>
      <c r="W1017" s="38" t="s">
        <v>135</v>
      </c>
      <c r="X1017" s="38" t="s">
        <v>205</v>
      </c>
      <c r="Y1017" s="38" t="s">
        <v>146</v>
      </c>
      <c r="Z1017" s="38" t="s">
        <v>170</v>
      </c>
      <c r="AA1017" s="113" t="str">
        <f t="array" ref="AA1017">PROPER(G1017)</f>
        <v>Online</v>
      </c>
    </row>
    <row r="1018">
      <c r="A1018" s="110">
        <v>7.65101468E8</v>
      </c>
      <c r="B1018" s="131">
        <v>41712.0</v>
      </c>
      <c r="C1018" s="131">
        <v>41735.0</v>
      </c>
      <c r="D1018" s="110" t="s">
        <v>95</v>
      </c>
      <c r="E1018" s="110" t="s">
        <v>124</v>
      </c>
      <c r="F1018" s="110">
        <v>8293.0</v>
      </c>
      <c r="G1018" s="38" t="s">
        <v>43</v>
      </c>
      <c r="H1018" s="110">
        <v>9382.0</v>
      </c>
      <c r="I1018" s="132">
        <v>437.2</v>
      </c>
      <c r="J1018" s="132">
        <v>263.33</v>
      </c>
      <c r="K1018" s="39">
        <f t="shared" si="1"/>
        <v>4101810.4</v>
      </c>
      <c r="L1018" s="39">
        <f t="shared" si="2"/>
        <v>2470562.06</v>
      </c>
      <c r="M1018" s="39">
        <f t="shared" si="3"/>
        <v>1631248.34</v>
      </c>
      <c r="N1018" s="38" t="str">
        <f>VLOOKUP(F1018,products!$A$2:$B$13,2,FALSE)</f>
        <v>Cosmetics</v>
      </c>
      <c r="O1018" s="133">
        <f t="shared" si="4"/>
        <v>0.6023101555</v>
      </c>
      <c r="P1018" s="38" t="str">
        <f>VLOOKUP(E1018,countries!A$2:E$250,3,false)</f>
        <v>Latvia</v>
      </c>
      <c r="Q1018" s="38" t="str">
        <f>VLOOKUP($E1018,countries!$A$2:$E$250,4,false)</f>
        <v>Europe</v>
      </c>
      <c r="R1018" s="38" t="str">
        <f>VLOOKUP($E1018,countries!$A$2:$E$250,5,false)</f>
        <v>Northern Europe</v>
      </c>
      <c r="S1018" s="38">
        <f t="shared" si="5"/>
        <v>23</v>
      </c>
      <c r="T1018" s="38" t="s">
        <v>178</v>
      </c>
      <c r="U1018" s="38">
        <v>2014.0</v>
      </c>
      <c r="V1018" s="38">
        <v>3.0</v>
      </c>
      <c r="W1018" s="38" t="s">
        <v>124</v>
      </c>
      <c r="X1018" s="38" t="s">
        <v>195</v>
      </c>
      <c r="Y1018" s="38" t="s">
        <v>146</v>
      </c>
      <c r="Z1018" s="38" t="s">
        <v>170</v>
      </c>
      <c r="AA1018" s="113" t="str">
        <f t="array" ref="AA1018">PROPER(G1018)</f>
        <v>Online</v>
      </c>
    </row>
    <row r="1019">
      <c r="A1019" s="110">
        <v>7.65552079E8</v>
      </c>
      <c r="B1019" s="131">
        <v>40704.0</v>
      </c>
      <c r="C1019" s="131">
        <v>40741.0</v>
      </c>
      <c r="D1019" s="110" t="s">
        <v>89</v>
      </c>
      <c r="E1019" s="110" t="s">
        <v>96</v>
      </c>
      <c r="F1019" s="110">
        <v>8969.0</v>
      </c>
      <c r="G1019" s="38" t="s">
        <v>42</v>
      </c>
      <c r="H1019" s="110">
        <v>2727.0</v>
      </c>
      <c r="I1019" s="132">
        <v>152.58</v>
      </c>
      <c r="J1019" s="132">
        <v>97.44</v>
      </c>
      <c r="K1019" s="39">
        <f t="shared" si="1"/>
        <v>416085.66</v>
      </c>
      <c r="L1019" s="39">
        <f t="shared" si="2"/>
        <v>265718.88</v>
      </c>
      <c r="M1019" s="39">
        <f t="shared" si="3"/>
        <v>150366.78</v>
      </c>
      <c r="N1019" s="38" t="str">
        <f>VLOOKUP(F1019,products!$A$2:$B$13,2,FALSE)</f>
        <v>Snacks</v>
      </c>
      <c r="O1019" s="133">
        <f t="shared" si="4"/>
        <v>0.6386158081</v>
      </c>
      <c r="P1019" s="38" t="str">
        <f>VLOOKUP(E1019,countries!A$2:E$250,3,false)</f>
        <v>Slovakia</v>
      </c>
      <c r="Q1019" s="38" t="str">
        <f>VLOOKUP($E1019,countries!$A$2:$E$250,4,false)</f>
        <v>Europe</v>
      </c>
      <c r="R1019" s="38" t="str">
        <f>VLOOKUP($E1019,countries!$A$2:$E$250,5,false)</f>
        <v>Eastern Europe</v>
      </c>
      <c r="S1019" s="38">
        <f t="shared" si="5"/>
        <v>37</v>
      </c>
      <c r="T1019" s="38" t="s">
        <v>182</v>
      </c>
      <c r="U1019" s="38">
        <v>2011.0</v>
      </c>
      <c r="V1019" s="38">
        <v>6.0</v>
      </c>
      <c r="W1019" s="38" t="s">
        <v>96</v>
      </c>
      <c r="X1019" s="38" t="s">
        <v>154</v>
      </c>
      <c r="Y1019" s="38" t="s">
        <v>146</v>
      </c>
      <c r="Z1019" s="38" t="s">
        <v>155</v>
      </c>
      <c r="AA1019" s="113" t="str">
        <f t="array" ref="AA1019">PROPER(G1019)</f>
        <v>Offline</v>
      </c>
    </row>
    <row r="1020">
      <c r="A1020" s="110">
        <v>7.6573404E8</v>
      </c>
      <c r="B1020" s="131">
        <v>42926.0</v>
      </c>
      <c r="C1020" s="131">
        <v>42951.0</v>
      </c>
      <c r="D1020" s="110" t="s">
        <v>93</v>
      </c>
      <c r="E1020" s="110" t="s">
        <v>120</v>
      </c>
      <c r="F1020" s="110">
        <v>4594.0</v>
      </c>
      <c r="G1020" s="38" t="s">
        <v>43</v>
      </c>
      <c r="H1020" s="110">
        <v>6574.0</v>
      </c>
      <c r="I1020" s="132">
        <v>9.33</v>
      </c>
      <c r="J1020" s="132">
        <v>6.92</v>
      </c>
      <c r="K1020" s="39">
        <f t="shared" si="1"/>
        <v>61335.42</v>
      </c>
      <c r="L1020" s="39">
        <f t="shared" si="2"/>
        <v>45492.08</v>
      </c>
      <c r="M1020" s="39">
        <f t="shared" si="3"/>
        <v>15843.34</v>
      </c>
      <c r="N1020" s="38" t="str">
        <f>VLOOKUP(F1020,products!$A$2:$B$13,2,FALSE)</f>
        <v>Fruits</v>
      </c>
      <c r="O1020" s="133">
        <f t="shared" si="4"/>
        <v>0.741693462</v>
      </c>
      <c r="P1020" s="38" t="str">
        <f>VLOOKUP(E1020,countries!A$2:E$250,3,false)</f>
        <v>San Marino</v>
      </c>
      <c r="Q1020" s="38" t="str">
        <f>VLOOKUP($E1020,countries!$A$2:$E$250,4,false)</f>
        <v>Europe</v>
      </c>
      <c r="R1020" s="38" t="str">
        <f>VLOOKUP($E1020,countries!$A$2:$E$250,5,false)</f>
        <v>Southern Europe</v>
      </c>
      <c r="S1020" s="38">
        <f t="shared" si="5"/>
        <v>25</v>
      </c>
      <c r="T1020" s="38" t="s">
        <v>156</v>
      </c>
      <c r="U1020" s="38">
        <v>2017.0</v>
      </c>
      <c r="V1020" s="38">
        <v>7.0</v>
      </c>
      <c r="W1020" s="38" t="s">
        <v>120</v>
      </c>
      <c r="X1020" s="38" t="s">
        <v>191</v>
      </c>
      <c r="Y1020" s="38" t="s">
        <v>146</v>
      </c>
      <c r="Z1020" s="38" t="s">
        <v>147</v>
      </c>
      <c r="AA1020" s="113" t="str">
        <f t="array" ref="AA1020">PROPER(G1020)</f>
        <v>Online</v>
      </c>
    </row>
    <row r="1021">
      <c r="A1021" s="110">
        <v>7.65858924E8</v>
      </c>
      <c r="B1021" s="131">
        <v>41809.0</v>
      </c>
      <c r="C1021" s="131">
        <v>41841.0</v>
      </c>
      <c r="D1021" s="110" t="s">
        <v>95</v>
      </c>
      <c r="E1021" s="110" t="s">
        <v>105</v>
      </c>
      <c r="F1021" s="110">
        <v>7940.0</v>
      </c>
      <c r="G1021" s="38" t="s">
        <v>42</v>
      </c>
      <c r="H1021" s="110">
        <v>3530.0</v>
      </c>
      <c r="I1021" s="132">
        <v>668.27</v>
      </c>
      <c r="J1021" s="132">
        <v>502.54</v>
      </c>
      <c r="K1021" s="39">
        <f t="shared" si="1"/>
        <v>2358993.1</v>
      </c>
      <c r="L1021" s="39">
        <f t="shared" si="2"/>
        <v>1773966.2</v>
      </c>
      <c r="M1021" s="39">
        <f t="shared" si="3"/>
        <v>585026.9</v>
      </c>
      <c r="N1021" s="38" t="str">
        <f>VLOOKUP(F1021,products!$A$2:$B$13,2,FALSE)</f>
        <v>Household</v>
      </c>
      <c r="O1021" s="133">
        <f t="shared" si="4"/>
        <v>0.7520014365</v>
      </c>
      <c r="P1021" s="38" t="str">
        <f>VLOOKUP(E1021,countries!A$2:E$250,3,false)</f>
        <v>Romania</v>
      </c>
      <c r="Q1021" s="38" t="str">
        <f>VLOOKUP($E1021,countries!$A$2:$E$250,4,false)</f>
        <v>Europe</v>
      </c>
      <c r="R1021" s="38" t="str">
        <f>VLOOKUP($E1021,countries!$A$2:$E$250,5,false)</f>
        <v>Eastern Europe</v>
      </c>
      <c r="S1021" s="38">
        <f t="shared" si="5"/>
        <v>32</v>
      </c>
      <c r="T1021" s="38" t="s">
        <v>148</v>
      </c>
      <c r="U1021" s="38">
        <v>2014.0</v>
      </c>
      <c r="V1021" s="38">
        <v>6.0</v>
      </c>
      <c r="W1021" s="38" t="s">
        <v>105</v>
      </c>
      <c r="X1021" s="38" t="s">
        <v>172</v>
      </c>
      <c r="Y1021" s="38" t="s">
        <v>146</v>
      </c>
      <c r="Z1021" s="38" t="s">
        <v>155</v>
      </c>
      <c r="AA1021" s="113" t="str">
        <f t="array" ref="AA1021">PROPER(G1021)</f>
        <v>Offline</v>
      </c>
    </row>
    <row r="1022">
      <c r="A1022" s="110">
        <v>7.66118133E8</v>
      </c>
      <c r="B1022" s="131">
        <v>40460.0</v>
      </c>
      <c r="C1022" s="131">
        <v>40461.0</v>
      </c>
      <c r="D1022" s="110" t="s">
        <v>10</v>
      </c>
      <c r="E1022" s="110" t="s">
        <v>132</v>
      </c>
      <c r="F1022" s="110">
        <v>7940.0</v>
      </c>
      <c r="G1022" s="38" t="s">
        <v>42</v>
      </c>
      <c r="H1022" s="110">
        <v>235.0</v>
      </c>
      <c r="I1022" s="132">
        <v>668.27</v>
      </c>
      <c r="J1022" s="132">
        <v>502.54</v>
      </c>
      <c r="K1022" s="39">
        <f t="shared" si="1"/>
        <v>157043.45</v>
      </c>
      <c r="L1022" s="39">
        <f t="shared" si="2"/>
        <v>118096.9</v>
      </c>
      <c r="M1022" s="39">
        <f t="shared" si="3"/>
        <v>38946.55</v>
      </c>
      <c r="N1022" s="38" t="str">
        <f>VLOOKUP(F1022,products!$A$2:$B$13,2,FALSE)</f>
        <v>Household</v>
      </c>
      <c r="O1022" s="133">
        <f t="shared" si="4"/>
        <v>0.7520014365</v>
      </c>
      <c r="P1022" s="38" t="str">
        <f>VLOOKUP(E1022,countries!A$2:E$250,3,false)</f>
        <v>Sweden</v>
      </c>
      <c r="Q1022" s="38" t="str">
        <f>VLOOKUP($E1022,countries!$A$2:$E$250,4,false)</f>
        <v>Europe</v>
      </c>
      <c r="R1022" s="38" t="str">
        <f>VLOOKUP($E1022,countries!$A$2:$E$250,5,false)</f>
        <v>Northern Europe</v>
      </c>
      <c r="S1022" s="38">
        <f t="shared" si="5"/>
        <v>1</v>
      </c>
      <c r="T1022" s="38" t="s">
        <v>148</v>
      </c>
      <c r="U1022" s="38">
        <v>2010.0</v>
      </c>
      <c r="V1022" s="38">
        <v>10.0</v>
      </c>
      <c r="W1022" s="38" t="s">
        <v>132</v>
      </c>
      <c r="X1022" s="38" t="s">
        <v>203</v>
      </c>
      <c r="Y1022" s="38" t="s">
        <v>146</v>
      </c>
      <c r="Z1022" s="38" t="s">
        <v>170</v>
      </c>
      <c r="AA1022" s="113" t="str">
        <f t="array" ref="AA1022">PROPER(G1022)</f>
        <v>Offline</v>
      </c>
    </row>
    <row r="1023">
      <c r="A1023" s="110">
        <v>7.67490565E8</v>
      </c>
      <c r="B1023" s="131">
        <v>42385.0</v>
      </c>
      <c r="C1023" s="131">
        <v>42423.0</v>
      </c>
      <c r="D1023" s="110" t="s">
        <v>95</v>
      </c>
      <c r="E1023" s="110" t="s">
        <v>121</v>
      </c>
      <c r="F1023" s="110">
        <v>2455.0</v>
      </c>
      <c r="G1023" s="38" t="s">
        <v>43</v>
      </c>
      <c r="H1023" s="110">
        <v>6368.0</v>
      </c>
      <c r="I1023" s="132">
        <v>109.28</v>
      </c>
      <c r="J1023" s="132">
        <v>35.84</v>
      </c>
      <c r="K1023" s="39">
        <f t="shared" si="1"/>
        <v>695895.04</v>
      </c>
      <c r="L1023" s="39">
        <f t="shared" si="2"/>
        <v>228229.12</v>
      </c>
      <c r="M1023" s="39">
        <f t="shared" si="3"/>
        <v>467665.92</v>
      </c>
      <c r="N1023" s="38" t="str">
        <f>VLOOKUP(F1023,products!$A$2:$B$13,2,FALSE)</f>
        <v>Clothes</v>
      </c>
      <c r="O1023" s="133">
        <f t="shared" si="4"/>
        <v>0.3279648609</v>
      </c>
      <c r="P1023" s="38" t="str">
        <f>VLOOKUP(E1023,countries!A$2:E$250,3,false)</f>
        <v>Netherlands</v>
      </c>
      <c r="Q1023" s="38" t="str">
        <f>VLOOKUP($E1023,countries!$A$2:$E$250,4,false)</f>
        <v>Europe</v>
      </c>
      <c r="R1023" s="38" t="str">
        <f>VLOOKUP($E1023,countries!$A$2:$E$250,5,false)</f>
        <v>Western Europe</v>
      </c>
      <c r="S1023" s="38">
        <f t="shared" si="5"/>
        <v>38</v>
      </c>
      <c r="T1023" s="38" t="s">
        <v>150</v>
      </c>
      <c r="U1023" s="38">
        <v>2016.0</v>
      </c>
      <c r="V1023" s="38">
        <v>1.0</v>
      </c>
      <c r="W1023" s="38" t="s">
        <v>121</v>
      </c>
      <c r="X1023" s="38" t="s">
        <v>192</v>
      </c>
      <c r="Y1023" s="38" t="s">
        <v>146</v>
      </c>
      <c r="Z1023" s="38" t="s">
        <v>158</v>
      </c>
      <c r="AA1023" s="113" t="str">
        <f t="array" ref="AA1023">PROPER(G1023)</f>
        <v>Online</v>
      </c>
    </row>
    <row r="1024">
      <c r="A1024" s="110">
        <v>7.68230426E8</v>
      </c>
      <c r="B1024" s="131">
        <v>40329.0</v>
      </c>
      <c r="C1024" s="131">
        <v>40351.0</v>
      </c>
      <c r="D1024" s="110" t="s">
        <v>10</v>
      </c>
      <c r="E1024" s="110" t="s">
        <v>125</v>
      </c>
      <c r="F1024" s="110">
        <v>8969.0</v>
      </c>
      <c r="G1024" s="38" t="s">
        <v>43</v>
      </c>
      <c r="H1024" s="110">
        <v>5310.0</v>
      </c>
      <c r="I1024" s="132">
        <v>152.58</v>
      </c>
      <c r="J1024" s="132">
        <v>97.44</v>
      </c>
      <c r="K1024" s="39">
        <f t="shared" si="1"/>
        <v>810199.8</v>
      </c>
      <c r="L1024" s="39">
        <f t="shared" si="2"/>
        <v>517406.4</v>
      </c>
      <c r="M1024" s="39">
        <f t="shared" si="3"/>
        <v>292793.4</v>
      </c>
      <c r="N1024" s="38" t="str">
        <f>VLOOKUP(F1024,products!$A$2:$B$13,2,FALSE)</f>
        <v>Snacks</v>
      </c>
      <c r="O1024" s="133">
        <f t="shared" si="4"/>
        <v>0.6386158081</v>
      </c>
      <c r="P1024" s="38" t="str">
        <f>VLOOKUP(E1024,countries!A$2:E$250,3,false)</f>
        <v>Bulgaria</v>
      </c>
      <c r="Q1024" s="38" t="str">
        <f>VLOOKUP($E1024,countries!$A$2:$E$250,4,false)</f>
        <v>Europe</v>
      </c>
      <c r="R1024" s="38" t="str">
        <f>VLOOKUP($E1024,countries!$A$2:$E$250,5,false)</f>
        <v>Eastern Europe</v>
      </c>
      <c r="S1024" s="38">
        <f t="shared" si="5"/>
        <v>22</v>
      </c>
      <c r="T1024" s="38" t="s">
        <v>182</v>
      </c>
      <c r="U1024" s="38">
        <v>2010.0</v>
      </c>
      <c r="V1024" s="38">
        <v>5.0</v>
      </c>
      <c r="W1024" s="38" t="s">
        <v>125</v>
      </c>
      <c r="X1024" s="38" t="s">
        <v>196</v>
      </c>
      <c r="Y1024" s="38" t="s">
        <v>146</v>
      </c>
      <c r="Z1024" s="38" t="s">
        <v>155</v>
      </c>
      <c r="AA1024" s="113" t="str">
        <f t="array" ref="AA1024">PROPER(G1024)</f>
        <v>Online</v>
      </c>
    </row>
    <row r="1025">
      <c r="A1025" s="110">
        <v>7.68676316E8</v>
      </c>
      <c r="B1025" s="131">
        <v>41645.0</v>
      </c>
      <c r="C1025" s="131">
        <v>41678.0</v>
      </c>
      <c r="D1025" s="110" t="s">
        <v>93</v>
      </c>
      <c r="E1025" s="110" t="s">
        <v>123</v>
      </c>
      <c r="F1025" s="110">
        <v>5988.0</v>
      </c>
      <c r="G1025" s="38" t="s">
        <v>42</v>
      </c>
      <c r="H1025" s="110">
        <v>7259.0</v>
      </c>
      <c r="I1025" s="132">
        <v>154.06</v>
      </c>
      <c r="J1025" s="132">
        <v>90.93</v>
      </c>
      <c r="K1025" s="39">
        <f t="shared" si="1"/>
        <v>1118321.54</v>
      </c>
      <c r="L1025" s="39">
        <f t="shared" si="2"/>
        <v>660060.87</v>
      </c>
      <c r="M1025" s="39">
        <f t="shared" si="3"/>
        <v>458260.67</v>
      </c>
      <c r="N1025" s="38" t="str">
        <f>VLOOKUP(F1025,products!$A$2:$B$13,2,FALSE)</f>
        <v>Vegetables</v>
      </c>
      <c r="O1025" s="133">
        <f t="shared" si="4"/>
        <v>0.5902245878</v>
      </c>
      <c r="P1025" s="38" t="str">
        <f>VLOOKUP(E1025,countries!A$2:E$250,3,false)</f>
        <v>Hungary</v>
      </c>
      <c r="Q1025" s="38" t="str">
        <f>VLOOKUP($E1025,countries!$A$2:$E$250,4,false)</f>
        <v>Europe</v>
      </c>
      <c r="R1025" s="38" t="str">
        <f>VLOOKUP($E1025,countries!$A$2:$E$250,5,false)</f>
        <v>Eastern Europe</v>
      </c>
      <c r="S1025" s="38">
        <f t="shared" si="5"/>
        <v>33</v>
      </c>
      <c r="T1025" s="38" t="s">
        <v>159</v>
      </c>
      <c r="U1025" s="38">
        <v>2014.0</v>
      </c>
      <c r="V1025" s="38">
        <v>1.0</v>
      </c>
      <c r="W1025" s="38" t="s">
        <v>123</v>
      </c>
      <c r="X1025" s="38" t="s">
        <v>194</v>
      </c>
      <c r="Y1025" s="38" t="s">
        <v>146</v>
      </c>
      <c r="Z1025" s="38" t="s">
        <v>155</v>
      </c>
      <c r="AA1025" s="113" t="str">
        <f t="array" ref="AA1025">PROPER(G1025)</f>
        <v>Offline</v>
      </c>
    </row>
    <row r="1026">
      <c r="A1026" s="110">
        <v>7.70821654E8</v>
      </c>
      <c r="B1026" s="131">
        <v>41846.0</v>
      </c>
      <c r="C1026" s="131">
        <v>41870.0</v>
      </c>
      <c r="D1026" s="110" t="s">
        <v>10</v>
      </c>
      <c r="E1026" s="110" t="e">
        <v>#N/A</v>
      </c>
      <c r="F1026" s="110">
        <v>8681.0</v>
      </c>
      <c r="G1026" s="38" t="s">
        <v>42</v>
      </c>
      <c r="H1026" s="110">
        <v>2112.0</v>
      </c>
      <c r="I1026" s="132">
        <v>651.21</v>
      </c>
      <c r="J1026" s="132">
        <v>524.96</v>
      </c>
      <c r="K1026" s="39">
        <f t="shared" si="1"/>
        <v>1375355.52</v>
      </c>
      <c r="L1026" s="39">
        <f t="shared" si="2"/>
        <v>1108715.52</v>
      </c>
      <c r="M1026" s="39">
        <f t="shared" si="3"/>
        <v>266640</v>
      </c>
      <c r="N1026" s="38" t="str">
        <f>VLOOKUP(F1026,products!$A$2:$B$13,2,FALSE)</f>
        <v>Office Supplies</v>
      </c>
      <c r="O1026" s="133">
        <f t="shared" si="4"/>
        <v>0.806130127</v>
      </c>
      <c r="P1026" s="38" t="str">
        <f>VLOOKUP(E1026,countries!A$2:E$250,3,false)</f>
        <v>#N/A</v>
      </c>
      <c r="Q1026" s="38" t="str">
        <f>VLOOKUP($E1026,countries!$A$2:$E$250,4,false)</f>
        <v>#N/A</v>
      </c>
      <c r="R1026" s="38" t="str">
        <f>VLOOKUP($E1026,countries!$A$2:$E$250,5,false)</f>
        <v>#N/A</v>
      </c>
      <c r="S1026" s="38">
        <f t="shared" si="5"/>
        <v>24</v>
      </c>
      <c r="T1026" s="38" t="s">
        <v>153</v>
      </c>
      <c r="U1026" s="38">
        <v>2014.0</v>
      </c>
      <c r="V1026" s="38">
        <v>7.0</v>
      </c>
      <c r="W1026" s="38" t="s">
        <v>92</v>
      </c>
      <c r="X1026" s="38" t="s">
        <v>149</v>
      </c>
      <c r="Y1026" s="38" t="s">
        <v>149</v>
      </c>
      <c r="Z1026" s="38" t="s">
        <v>149</v>
      </c>
      <c r="AA1026" s="113" t="str">
        <f t="array" ref="AA1026">PROPER(G1026)</f>
        <v>Offline</v>
      </c>
    </row>
    <row r="1027">
      <c r="A1027" s="110">
        <v>7.71674382E8</v>
      </c>
      <c r="B1027" s="131">
        <v>41319.0</v>
      </c>
      <c r="C1027" s="131">
        <v>41354.0</v>
      </c>
      <c r="D1027" s="110" t="s">
        <v>93</v>
      </c>
      <c r="E1027" s="110" t="s">
        <v>130</v>
      </c>
      <c r="F1027" s="110">
        <v>5988.0</v>
      </c>
      <c r="G1027" s="38" t="s">
        <v>42</v>
      </c>
      <c r="H1027" s="110">
        <v>4453.0</v>
      </c>
      <c r="I1027" s="132">
        <v>154.06</v>
      </c>
      <c r="J1027" s="132">
        <v>90.93</v>
      </c>
      <c r="K1027" s="39">
        <f t="shared" si="1"/>
        <v>686029.18</v>
      </c>
      <c r="L1027" s="39">
        <f t="shared" si="2"/>
        <v>404911.29</v>
      </c>
      <c r="M1027" s="39">
        <f t="shared" si="3"/>
        <v>281117.89</v>
      </c>
      <c r="N1027" s="38" t="str">
        <f>VLOOKUP(F1027,products!$A$2:$B$13,2,FALSE)</f>
        <v>Vegetables</v>
      </c>
      <c r="O1027" s="133">
        <f t="shared" si="4"/>
        <v>0.5902245878</v>
      </c>
      <c r="P1027" s="38" t="str">
        <f>VLOOKUP(E1027,countries!A$2:E$250,3,false)</f>
        <v>Finland</v>
      </c>
      <c r="Q1027" s="38" t="str">
        <f>VLOOKUP($E1027,countries!$A$2:$E$250,4,false)</f>
        <v>Europe</v>
      </c>
      <c r="R1027" s="38" t="str">
        <f>VLOOKUP($E1027,countries!$A$2:$E$250,5,false)</f>
        <v>Northern Europe</v>
      </c>
      <c r="S1027" s="38">
        <f t="shared" si="5"/>
        <v>35</v>
      </c>
      <c r="T1027" s="38" t="s">
        <v>159</v>
      </c>
      <c r="U1027" s="38">
        <v>2013.0</v>
      </c>
      <c r="V1027" s="38">
        <v>2.0</v>
      </c>
      <c r="W1027" s="38" t="s">
        <v>130</v>
      </c>
      <c r="X1027" s="38" t="s">
        <v>201</v>
      </c>
      <c r="Y1027" s="38" t="s">
        <v>146</v>
      </c>
      <c r="Z1027" s="38" t="s">
        <v>170</v>
      </c>
      <c r="AA1027" s="113" t="str">
        <f t="array" ref="AA1027">PROPER(G1027)</f>
        <v>Offline</v>
      </c>
    </row>
    <row r="1028">
      <c r="A1028" s="110">
        <v>7.72643411E8</v>
      </c>
      <c r="B1028" s="131">
        <v>40378.0</v>
      </c>
      <c r="C1028" s="131">
        <v>40415.0</v>
      </c>
      <c r="D1028" s="110" t="s">
        <v>93</v>
      </c>
      <c r="E1028" s="110" t="s">
        <v>132</v>
      </c>
      <c r="F1028" s="110">
        <v>2103.0</v>
      </c>
      <c r="G1028" s="38" t="s">
        <v>43</v>
      </c>
      <c r="H1028" s="110">
        <v>1210.0</v>
      </c>
      <c r="I1028" s="132">
        <v>205.7</v>
      </c>
      <c r="J1028" s="132">
        <v>117.11</v>
      </c>
      <c r="K1028" s="39">
        <f t="shared" si="1"/>
        <v>248897</v>
      </c>
      <c r="L1028" s="39">
        <f t="shared" si="2"/>
        <v>141703.1</v>
      </c>
      <c r="M1028" s="39">
        <f t="shared" si="3"/>
        <v>107193.9</v>
      </c>
      <c r="N1028" s="38" t="str">
        <f>VLOOKUP(F1028,products!$A$2:$B$13,2,FALSE)</f>
        <v>Cereal</v>
      </c>
      <c r="O1028" s="133">
        <f t="shared" si="4"/>
        <v>0.5693242586</v>
      </c>
      <c r="P1028" s="38" t="str">
        <f>VLOOKUP(E1028,countries!A$2:E$250,3,false)</f>
        <v>Sweden</v>
      </c>
      <c r="Q1028" s="38" t="str">
        <f>VLOOKUP($E1028,countries!$A$2:$E$250,4,false)</f>
        <v>Europe</v>
      </c>
      <c r="R1028" s="38" t="str">
        <f>VLOOKUP($E1028,countries!$A$2:$E$250,5,false)</f>
        <v>Northern Europe</v>
      </c>
      <c r="S1028" s="38">
        <f t="shared" si="5"/>
        <v>37</v>
      </c>
      <c r="T1028" s="38" t="s">
        <v>144</v>
      </c>
      <c r="U1028" s="38">
        <v>2010.0</v>
      </c>
      <c r="V1028" s="38">
        <v>7.0</v>
      </c>
      <c r="W1028" s="38" t="s">
        <v>132</v>
      </c>
      <c r="X1028" s="38" t="s">
        <v>203</v>
      </c>
      <c r="Y1028" s="38" t="s">
        <v>146</v>
      </c>
      <c r="Z1028" s="38" t="s">
        <v>170</v>
      </c>
      <c r="AA1028" s="113" t="str">
        <f t="array" ref="AA1028">PROPER(G1028)</f>
        <v>Online</v>
      </c>
    </row>
    <row r="1029">
      <c r="A1029" s="110">
        <v>7.72893178E8</v>
      </c>
      <c r="B1029" s="131">
        <v>40910.0</v>
      </c>
      <c r="C1029" s="131">
        <v>40910.0</v>
      </c>
      <c r="D1029" s="110" t="s">
        <v>93</v>
      </c>
      <c r="E1029" s="110" t="s">
        <v>120</v>
      </c>
      <c r="F1029" s="110">
        <v>1270.0</v>
      </c>
      <c r="G1029" s="38" t="s">
        <v>42</v>
      </c>
      <c r="H1029" s="110">
        <v>5122.0</v>
      </c>
      <c r="I1029" s="132">
        <v>47.45</v>
      </c>
      <c r="J1029" s="132">
        <v>31.79</v>
      </c>
      <c r="K1029" s="39">
        <f t="shared" si="1"/>
        <v>243038.9</v>
      </c>
      <c r="L1029" s="39">
        <f t="shared" si="2"/>
        <v>162828.38</v>
      </c>
      <c r="M1029" s="39">
        <f t="shared" si="3"/>
        <v>80210.52</v>
      </c>
      <c r="N1029" s="38" t="str">
        <f>VLOOKUP(F1029,products!$A$2:$B$13,2,FALSE)</f>
        <v>Beverages</v>
      </c>
      <c r="O1029" s="133">
        <f t="shared" si="4"/>
        <v>0.6699683878</v>
      </c>
      <c r="P1029" s="38" t="str">
        <f>VLOOKUP(E1029,countries!A$2:E$250,3,false)</f>
        <v>San Marino</v>
      </c>
      <c r="Q1029" s="38" t="str">
        <f>VLOOKUP($E1029,countries!$A$2:$E$250,4,false)</f>
        <v>Europe</v>
      </c>
      <c r="R1029" s="38" t="str">
        <f>VLOOKUP($E1029,countries!$A$2:$E$250,5,false)</f>
        <v>Southern Europe</v>
      </c>
      <c r="S1029" s="38">
        <f t="shared" si="5"/>
        <v>0</v>
      </c>
      <c r="T1029" s="38" t="s">
        <v>152</v>
      </c>
      <c r="U1029" s="38">
        <v>2012.0</v>
      </c>
      <c r="V1029" s="38">
        <v>1.0</v>
      </c>
      <c r="W1029" s="38" t="s">
        <v>120</v>
      </c>
      <c r="X1029" s="38" t="s">
        <v>191</v>
      </c>
      <c r="Y1029" s="38" t="s">
        <v>146</v>
      </c>
      <c r="Z1029" s="38" t="s">
        <v>147</v>
      </c>
      <c r="AA1029" s="113" t="str">
        <f t="array" ref="AA1029">PROPER(G1029)</f>
        <v>Offline</v>
      </c>
    </row>
    <row r="1030">
      <c r="A1030" s="110">
        <v>7.73645913E8</v>
      </c>
      <c r="B1030" s="131">
        <v>40565.0</v>
      </c>
      <c r="C1030" s="131">
        <v>40571.0</v>
      </c>
      <c r="D1030" s="110" t="s">
        <v>95</v>
      </c>
      <c r="E1030" s="110" t="s">
        <v>113</v>
      </c>
      <c r="F1030" s="110">
        <v>8293.0</v>
      </c>
      <c r="G1030" s="38" t="s">
        <v>43</v>
      </c>
      <c r="H1030" s="110">
        <v>7873.0</v>
      </c>
      <c r="I1030" s="132">
        <v>437.2</v>
      </c>
      <c r="J1030" s="132">
        <v>263.33</v>
      </c>
      <c r="K1030" s="39">
        <f t="shared" si="1"/>
        <v>3442075.6</v>
      </c>
      <c r="L1030" s="39">
        <f t="shared" si="2"/>
        <v>2073197.09</v>
      </c>
      <c r="M1030" s="39">
        <f t="shared" si="3"/>
        <v>1368878.51</v>
      </c>
      <c r="N1030" s="38" t="str">
        <f>VLOOKUP(F1030,products!$A$2:$B$13,2,FALSE)</f>
        <v>Cosmetics</v>
      </c>
      <c r="O1030" s="133">
        <f t="shared" si="4"/>
        <v>0.6023101555</v>
      </c>
      <c r="P1030" s="38" t="str">
        <f>VLOOKUP(E1030,countries!A$2:E$250,3,false)</f>
        <v>Ukraine</v>
      </c>
      <c r="Q1030" s="38" t="str">
        <f>VLOOKUP($E1030,countries!$A$2:$E$250,4,false)</f>
        <v>Europe</v>
      </c>
      <c r="R1030" s="38" t="str">
        <f>VLOOKUP($E1030,countries!$A$2:$E$250,5,false)</f>
        <v>Eastern Europe</v>
      </c>
      <c r="S1030" s="38">
        <f t="shared" si="5"/>
        <v>6</v>
      </c>
      <c r="T1030" s="38" t="s">
        <v>178</v>
      </c>
      <c r="U1030" s="38">
        <v>2011.0</v>
      </c>
      <c r="V1030" s="38">
        <v>1.0</v>
      </c>
      <c r="W1030" s="38" t="s">
        <v>113</v>
      </c>
      <c r="X1030" s="38" t="s">
        <v>181</v>
      </c>
      <c r="Y1030" s="38" t="s">
        <v>146</v>
      </c>
      <c r="Z1030" s="38" t="s">
        <v>155</v>
      </c>
      <c r="AA1030" s="113" t="str">
        <f t="array" ref="AA1030">PROPER(G1030)</f>
        <v>Online</v>
      </c>
    </row>
    <row r="1031">
      <c r="A1031" s="110">
        <v>7.74698626E8</v>
      </c>
      <c r="B1031" s="131">
        <v>42441.0</v>
      </c>
      <c r="C1031" s="131">
        <v>42467.0</v>
      </c>
      <c r="D1031" s="110" t="s">
        <v>93</v>
      </c>
      <c r="E1031" s="110" t="s">
        <v>125</v>
      </c>
      <c r="F1031" s="110">
        <v>4594.0</v>
      </c>
      <c r="G1031" s="38" t="s">
        <v>43</v>
      </c>
      <c r="H1031" s="110">
        <v>9394.0</v>
      </c>
      <c r="I1031" s="132">
        <v>9.33</v>
      </c>
      <c r="J1031" s="132">
        <v>6.92</v>
      </c>
      <c r="K1031" s="39">
        <f t="shared" si="1"/>
        <v>87646.02</v>
      </c>
      <c r="L1031" s="39">
        <f t="shared" si="2"/>
        <v>65006.48</v>
      </c>
      <c r="M1031" s="39">
        <f t="shared" si="3"/>
        <v>22639.54</v>
      </c>
      <c r="N1031" s="38" t="str">
        <f>VLOOKUP(F1031,products!$A$2:$B$13,2,FALSE)</f>
        <v>Fruits</v>
      </c>
      <c r="O1031" s="133">
        <f t="shared" si="4"/>
        <v>0.741693462</v>
      </c>
      <c r="P1031" s="38" t="str">
        <f>VLOOKUP(E1031,countries!A$2:E$250,3,false)</f>
        <v>Bulgaria</v>
      </c>
      <c r="Q1031" s="38" t="str">
        <f>VLOOKUP($E1031,countries!$A$2:$E$250,4,false)</f>
        <v>Europe</v>
      </c>
      <c r="R1031" s="38" t="str">
        <f>VLOOKUP($E1031,countries!$A$2:$E$250,5,false)</f>
        <v>Eastern Europe</v>
      </c>
      <c r="S1031" s="38">
        <f t="shared" si="5"/>
        <v>26</v>
      </c>
      <c r="T1031" s="38" t="s">
        <v>156</v>
      </c>
      <c r="U1031" s="38">
        <v>2016.0</v>
      </c>
      <c r="V1031" s="38">
        <v>3.0</v>
      </c>
      <c r="W1031" s="38" t="s">
        <v>125</v>
      </c>
      <c r="X1031" s="38" t="s">
        <v>196</v>
      </c>
      <c r="Y1031" s="38" t="s">
        <v>146</v>
      </c>
      <c r="Z1031" s="38" t="s">
        <v>155</v>
      </c>
      <c r="AA1031" s="113" t="str">
        <f t="array" ref="AA1031">PROPER(G1031)</f>
        <v>Online</v>
      </c>
    </row>
    <row r="1032">
      <c r="A1032" s="110">
        <v>7.74926936E8</v>
      </c>
      <c r="B1032" s="131">
        <v>41967.0</v>
      </c>
      <c r="C1032" s="131">
        <v>41970.0</v>
      </c>
      <c r="D1032" s="110" t="s">
        <v>89</v>
      </c>
      <c r="E1032" s="110" t="s">
        <v>114</v>
      </c>
      <c r="F1032" s="110">
        <v>4594.0</v>
      </c>
      <c r="G1032" s="38" t="s">
        <v>42</v>
      </c>
      <c r="H1032" s="110">
        <v>6956.0</v>
      </c>
      <c r="I1032" s="132">
        <v>9.33</v>
      </c>
      <c r="J1032" s="132">
        <v>6.92</v>
      </c>
      <c r="K1032" s="39">
        <f t="shared" si="1"/>
        <v>64899.48</v>
      </c>
      <c r="L1032" s="39">
        <f t="shared" si="2"/>
        <v>48135.52</v>
      </c>
      <c r="M1032" s="39">
        <f t="shared" si="3"/>
        <v>16763.96</v>
      </c>
      <c r="N1032" s="38" t="str">
        <f>VLOOKUP(F1032,products!$A$2:$B$13,2,FALSE)</f>
        <v>Fruits</v>
      </c>
      <c r="O1032" s="133">
        <f t="shared" si="4"/>
        <v>0.741693462</v>
      </c>
      <c r="P1032" s="38" t="str">
        <f>VLOOKUP(E1032,countries!A$2:E$250,3,false)</f>
        <v>Czech Republic</v>
      </c>
      <c r="Q1032" s="38" t="str">
        <f>VLOOKUP($E1032,countries!$A$2:$E$250,4,false)</f>
        <v>Europe</v>
      </c>
      <c r="R1032" s="38" t="str">
        <f>VLOOKUP($E1032,countries!$A$2:$E$250,5,false)</f>
        <v>Eastern Europe</v>
      </c>
      <c r="S1032" s="38">
        <f t="shared" si="5"/>
        <v>3</v>
      </c>
      <c r="T1032" s="38" t="s">
        <v>156</v>
      </c>
      <c r="U1032" s="38">
        <v>2014.0</v>
      </c>
      <c r="V1032" s="38">
        <v>11.0</v>
      </c>
      <c r="W1032" s="38" t="s">
        <v>114</v>
      </c>
      <c r="X1032" s="38" t="s">
        <v>184</v>
      </c>
      <c r="Y1032" s="38" t="s">
        <v>146</v>
      </c>
      <c r="Z1032" s="38" t="s">
        <v>155</v>
      </c>
      <c r="AA1032" s="113" t="str">
        <f t="array" ref="AA1032">PROPER(G1032)</f>
        <v>Offline</v>
      </c>
    </row>
    <row r="1033">
      <c r="A1033" s="110">
        <v>7.75008904E8</v>
      </c>
      <c r="B1033" s="131">
        <v>41604.0</v>
      </c>
      <c r="C1033" s="131">
        <v>41641.0</v>
      </c>
      <c r="D1033" s="110" t="s">
        <v>89</v>
      </c>
      <c r="E1033" s="110" t="s">
        <v>129</v>
      </c>
      <c r="F1033" s="110">
        <v>7331.0</v>
      </c>
      <c r="G1033" s="38" t="s">
        <v>43</v>
      </c>
      <c r="H1033" s="110">
        <v>1212.0</v>
      </c>
      <c r="I1033" s="132">
        <v>255.28</v>
      </c>
      <c r="J1033" s="132">
        <v>159.42</v>
      </c>
      <c r="K1033" s="39">
        <f t="shared" si="1"/>
        <v>309399.36</v>
      </c>
      <c r="L1033" s="39">
        <f t="shared" si="2"/>
        <v>193217.04</v>
      </c>
      <c r="M1033" s="39">
        <f t="shared" si="3"/>
        <v>116182.32</v>
      </c>
      <c r="N1033" s="38" t="str">
        <f>VLOOKUP(F1033,products!$A$2:$B$13,2,FALSE)</f>
        <v>Baby Food</v>
      </c>
      <c r="O1033" s="133">
        <f t="shared" si="4"/>
        <v>0.6244907552</v>
      </c>
      <c r="P1033" s="38" t="str">
        <f>VLOOKUP(E1033,countries!A$2:E$250,3,false)</f>
        <v>Liechtenstein</v>
      </c>
      <c r="Q1033" s="38" t="str">
        <f>VLOOKUP($E1033,countries!$A$2:$E$250,4,false)</f>
        <v>Europe</v>
      </c>
      <c r="R1033" s="38" t="str">
        <f>VLOOKUP($E1033,countries!$A$2:$E$250,5,false)</f>
        <v>Western Europe</v>
      </c>
      <c r="S1033" s="38">
        <f t="shared" si="5"/>
        <v>37</v>
      </c>
      <c r="T1033" s="38" t="s">
        <v>161</v>
      </c>
      <c r="U1033" s="38">
        <v>2013.0</v>
      </c>
      <c r="V1033" s="38">
        <v>11.0</v>
      </c>
      <c r="W1033" s="38" t="s">
        <v>129</v>
      </c>
      <c r="X1033" s="38" t="s">
        <v>200</v>
      </c>
      <c r="Y1033" s="38" t="s">
        <v>146</v>
      </c>
      <c r="Z1033" s="38" t="s">
        <v>158</v>
      </c>
      <c r="AA1033" s="113" t="str">
        <f t="array" ref="AA1033">PROPER(G1033)</f>
        <v>Online</v>
      </c>
    </row>
    <row r="1034">
      <c r="A1034" s="110">
        <v>7.75347936E8</v>
      </c>
      <c r="B1034" s="131">
        <v>41452.0</v>
      </c>
      <c r="C1034" s="131">
        <v>41463.0</v>
      </c>
      <c r="D1034" s="110" t="s">
        <v>10</v>
      </c>
      <c r="E1034" s="110" t="s">
        <v>99</v>
      </c>
      <c r="F1034" s="110">
        <v>7331.0</v>
      </c>
      <c r="G1034" s="38" t="s">
        <v>42</v>
      </c>
      <c r="H1034" s="110">
        <v>1539.0</v>
      </c>
      <c r="I1034" s="132">
        <v>255.28</v>
      </c>
      <c r="J1034" s="132">
        <v>159.42</v>
      </c>
      <c r="K1034" s="39">
        <f t="shared" si="1"/>
        <v>392875.92</v>
      </c>
      <c r="L1034" s="39">
        <f t="shared" si="2"/>
        <v>245347.38</v>
      </c>
      <c r="M1034" s="39">
        <f t="shared" si="3"/>
        <v>147528.54</v>
      </c>
      <c r="N1034" s="38" t="str">
        <f>VLOOKUP(F1034,products!$A$2:$B$13,2,FALSE)</f>
        <v>Baby Food</v>
      </c>
      <c r="O1034" s="133">
        <f t="shared" si="4"/>
        <v>0.6244907552</v>
      </c>
      <c r="P1034" s="38" t="str">
        <f>VLOOKUP(E1034,countries!A$2:E$250,3,false)</f>
        <v>Croatia</v>
      </c>
      <c r="Q1034" s="38" t="str">
        <f>VLOOKUP($E1034,countries!$A$2:$E$250,4,false)</f>
        <v>Europe</v>
      </c>
      <c r="R1034" s="38" t="str">
        <f>VLOOKUP($E1034,countries!$A$2:$E$250,5,false)</f>
        <v>Southern Europe</v>
      </c>
      <c r="S1034" s="38">
        <f t="shared" si="5"/>
        <v>11</v>
      </c>
      <c r="T1034" s="38" t="s">
        <v>161</v>
      </c>
      <c r="U1034" s="38">
        <v>2013.0</v>
      </c>
      <c r="V1034" s="38">
        <v>6.0</v>
      </c>
      <c r="W1034" s="38" t="s">
        <v>99</v>
      </c>
      <c r="X1034" s="38" t="s">
        <v>162</v>
      </c>
      <c r="Y1034" s="38" t="s">
        <v>146</v>
      </c>
      <c r="Z1034" s="38" t="s">
        <v>147</v>
      </c>
      <c r="AA1034" s="113" t="str">
        <f t="array" ref="AA1034">PROPER(G1034)</f>
        <v>Offline</v>
      </c>
    </row>
    <row r="1035">
      <c r="A1035" s="110">
        <v>7.75849616E8</v>
      </c>
      <c r="B1035" s="131">
        <v>40956.0</v>
      </c>
      <c r="C1035" s="131">
        <v>40973.0</v>
      </c>
      <c r="D1035" s="110" t="s">
        <v>10</v>
      </c>
      <c r="E1035" s="110" t="s">
        <v>115</v>
      </c>
      <c r="F1035" s="110">
        <v>8681.0</v>
      </c>
      <c r="G1035" s="38" t="s">
        <v>42</v>
      </c>
      <c r="H1035" s="110">
        <v>9997.0</v>
      </c>
      <c r="I1035" s="132">
        <v>651.21</v>
      </c>
      <c r="J1035" s="132">
        <v>524.96</v>
      </c>
      <c r="K1035" s="39">
        <f t="shared" si="1"/>
        <v>6510146.37</v>
      </c>
      <c r="L1035" s="39">
        <f t="shared" si="2"/>
        <v>5248025.12</v>
      </c>
      <c r="M1035" s="39">
        <f t="shared" si="3"/>
        <v>1262121.25</v>
      </c>
      <c r="N1035" s="38" t="str">
        <f>VLOOKUP(F1035,products!$A$2:$B$13,2,FALSE)</f>
        <v>Office Supplies</v>
      </c>
      <c r="O1035" s="133">
        <f t="shared" si="4"/>
        <v>0.806130127</v>
      </c>
      <c r="P1035" s="38" t="str">
        <f>VLOOKUP(E1035,countries!A$2:E$250,3,false)</f>
        <v>Portugal</v>
      </c>
      <c r="Q1035" s="38" t="str">
        <f>VLOOKUP($E1035,countries!$A$2:$E$250,4,false)</f>
        <v>Europe</v>
      </c>
      <c r="R1035" s="38" t="str">
        <f>VLOOKUP($E1035,countries!$A$2:$E$250,5,false)</f>
        <v>Southern Europe</v>
      </c>
      <c r="S1035" s="38">
        <f t="shared" si="5"/>
        <v>17</v>
      </c>
      <c r="T1035" s="38" t="s">
        <v>153</v>
      </c>
      <c r="U1035" s="38">
        <v>2012.0</v>
      </c>
      <c r="V1035" s="38">
        <v>2.0</v>
      </c>
      <c r="W1035" s="38" t="s">
        <v>115</v>
      </c>
      <c r="X1035" s="38" t="s">
        <v>186</v>
      </c>
      <c r="Y1035" s="38" t="s">
        <v>146</v>
      </c>
      <c r="Z1035" s="38" t="s">
        <v>147</v>
      </c>
      <c r="AA1035" s="113" t="str">
        <f t="array" ref="AA1035">PROPER(G1035)</f>
        <v>Offline</v>
      </c>
    </row>
    <row r="1036">
      <c r="A1036" s="110">
        <v>7.7701863E8</v>
      </c>
      <c r="B1036" s="131">
        <v>42419.0</v>
      </c>
      <c r="C1036" s="131">
        <v>42448.0</v>
      </c>
      <c r="D1036" s="110" t="s">
        <v>93</v>
      </c>
      <c r="E1036" s="110" t="s">
        <v>106</v>
      </c>
      <c r="F1036" s="110">
        <v>5988.0</v>
      </c>
      <c r="G1036" s="38" t="s">
        <v>43</v>
      </c>
      <c r="H1036" s="110">
        <v>5935.0</v>
      </c>
      <c r="I1036" s="132">
        <v>154.06</v>
      </c>
      <c r="J1036" s="132">
        <v>90.93</v>
      </c>
      <c r="K1036" s="39">
        <f t="shared" si="1"/>
        <v>914346.1</v>
      </c>
      <c r="L1036" s="39">
        <f t="shared" si="2"/>
        <v>539669.55</v>
      </c>
      <c r="M1036" s="39">
        <f t="shared" si="3"/>
        <v>374676.55</v>
      </c>
      <c r="N1036" s="38" t="str">
        <f>VLOOKUP(F1036,products!$A$2:$B$13,2,FALSE)</f>
        <v>Vegetables</v>
      </c>
      <c r="O1036" s="133">
        <f t="shared" si="4"/>
        <v>0.5902245878</v>
      </c>
      <c r="P1036" s="38" t="str">
        <f>VLOOKUP(E1036,countries!A$2:E$250,3,false)</f>
        <v>Poland</v>
      </c>
      <c r="Q1036" s="38" t="str">
        <f>VLOOKUP($E1036,countries!$A$2:$E$250,4,false)</f>
        <v>Europe</v>
      </c>
      <c r="R1036" s="38" t="str">
        <f>VLOOKUP($E1036,countries!$A$2:$E$250,5,false)</f>
        <v>Eastern Europe</v>
      </c>
      <c r="S1036" s="38">
        <f t="shared" si="5"/>
        <v>29</v>
      </c>
      <c r="T1036" s="38" t="s">
        <v>159</v>
      </c>
      <c r="U1036" s="38">
        <v>2016.0</v>
      </c>
      <c r="V1036" s="38">
        <v>2.0</v>
      </c>
      <c r="W1036" s="38" t="s">
        <v>106</v>
      </c>
      <c r="X1036" s="38" t="s">
        <v>173</v>
      </c>
      <c r="Y1036" s="38" t="s">
        <v>146</v>
      </c>
      <c r="Z1036" s="38" t="s">
        <v>155</v>
      </c>
      <c r="AA1036" s="113" t="str">
        <f t="array" ref="AA1036">PROPER(G1036)</f>
        <v>Online</v>
      </c>
    </row>
    <row r="1037">
      <c r="A1037" s="110">
        <v>7.80590045E8</v>
      </c>
      <c r="B1037" s="131">
        <v>41527.0</v>
      </c>
      <c r="C1037" s="131">
        <v>41550.0</v>
      </c>
      <c r="D1037" s="110" t="s">
        <v>95</v>
      </c>
      <c r="E1037" s="110" t="s">
        <v>125</v>
      </c>
      <c r="F1037" s="110">
        <v>8875.0</v>
      </c>
      <c r="G1037" s="38" t="s">
        <v>42</v>
      </c>
      <c r="H1037" s="110">
        <v>2796.0</v>
      </c>
      <c r="I1037" s="132">
        <v>421.89</v>
      </c>
      <c r="J1037" s="132">
        <v>364.69</v>
      </c>
      <c r="K1037" s="39">
        <f t="shared" si="1"/>
        <v>1179604.44</v>
      </c>
      <c r="L1037" s="39">
        <f t="shared" si="2"/>
        <v>1019673.24</v>
      </c>
      <c r="M1037" s="39">
        <f t="shared" si="3"/>
        <v>159931.2</v>
      </c>
      <c r="N1037" s="38" t="str">
        <f>VLOOKUP(F1037,products!$A$2:$B$13,2,FALSE)</f>
        <v>Meat</v>
      </c>
      <c r="O1037" s="133">
        <f t="shared" si="4"/>
        <v>0.8644196354</v>
      </c>
      <c r="P1037" s="38" t="str">
        <f>VLOOKUP(E1037,countries!A$2:E$250,3,false)</f>
        <v>Bulgaria</v>
      </c>
      <c r="Q1037" s="38" t="str">
        <f>VLOOKUP($E1037,countries!$A$2:$E$250,4,false)</f>
        <v>Europe</v>
      </c>
      <c r="R1037" s="38" t="str">
        <f>VLOOKUP($E1037,countries!$A$2:$E$250,5,false)</f>
        <v>Eastern Europe</v>
      </c>
      <c r="S1037" s="38">
        <f t="shared" si="5"/>
        <v>23</v>
      </c>
      <c r="T1037" s="38" t="s">
        <v>167</v>
      </c>
      <c r="U1037" s="38">
        <v>2013.0</v>
      </c>
      <c r="V1037" s="38">
        <v>9.0</v>
      </c>
      <c r="W1037" s="38" t="s">
        <v>125</v>
      </c>
      <c r="X1037" s="38" t="s">
        <v>196</v>
      </c>
      <c r="Y1037" s="38" t="s">
        <v>146</v>
      </c>
      <c r="Z1037" s="38" t="s">
        <v>155</v>
      </c>
      <c r="AA1037" s="113" t="str">
        <f t="array" ref="AA1037">PROPER(G1037)</f>
        <v>Offline</v>
      </c>
    </row>
    <row r="1038">
      <c r="A1038" s="110">
        <v>7.80899035E8</v>
      </c>
      <c r="B1038" s="131">
        <v>41073.0</v>
      </c>
      <c r="C1038" s="131">
        <v>41120.0</v>
      </c>
      <c r="D1038" s="110" t="s">
        <v>95</v>
      </c>
      <c r="E1038" s="110" t="s">
        <v>96</v>
      </c>
      <c r="F1038" s="110">
        <v>8293.0</v>
      </c>
      <c r="G1038" s="38" t="s">
        <v>42</v>
      </c>
      <c r="H1038" s="110">
        <v>4233.0</v>
      </c>
      <c r="I1038" s="132">
        <v>437.2</v>
      </c>
      <c r="J1038" s="132">
        <v>263.33</v>
      </c>
      <c r="K1038" s="39">
        <f t="shared" si="1"/>
        <v>1850667.6</v>
      </c>
      <c r="L1038" s="39">
        <f t="shared" si="2"/>
        <v>1114675.89</v>
      </c>
      <c r="M1038" s="39">
        <f t="shared" si="3"/>
        <v>735991.71</v>
      </c>
      <c r="N1038" s="38" t="str">
        <f>VLOOKUP(F1038,products!$A$2:$B$13,2,FALSE)</f>
        <v>Cosmetics</v>
      </c>
      <c r="O1038" s="133">
        <f t="shared" si="4"/>
        <v>0.6023101555</v>
      </c>
      <c r="P1038" s="38" t="str">
        <f>VLOOKUP(E1038,countries!A$2:E$250,3,false)</f>
        <v>Slovakia</v>
      </c>
      <c r="Q1038" s="38" t="str">
        <f>VLOOKUP($E1038,countries!$A$2:$E$250,4,false)</f>
        <v>Europe</v>
      </c>
      <c r="R1038" s="38" t="str">
        <f>VLOOKUP($E1038,countries!$A$2:$E$250,5,false)</f>
        <v>Eastern Europe</v>
      </c>
      <c r="S1038" s="38">
        <f t="shared" si="5"/>
        <v>47</v>
      </c>
      <c r="T1038" s="38" t="s">
        <v>178</v>
      </c>
      <c r="U1038" s="38">
        <v>2012.0</v>
      </c>
      <c r="V1038" s="38">
        <v>6.0</v>
      </c>
      <c r="W1038" s="38" t="s">
        <v>96</v>
      </c>
      <c r="X1038" s="38" t="s">
        <v>154</v>
      </c>
      <c r="Y1038" s="38" t="s">
        <v>146</v>
      </c>
      <c r="Z1038" s="38" t="s">
        <v>155</v>
      </c>
      <c r="AA1038" s="113" t="str">
        <f t="array" ref="AA1038">PROPER(G1038)</f>
        <v>Offline</v>
      </c>
    </row>
    <row r="1039">
      <c r="A1039" s="110">
        <v>7.81083571E8</v>
      </c>
      <c r="B1039" s="131">
        <v>42530.0</v>
      </c>
      <c r="C1039" s="131">
        <v>42539.0</v>
      </c>
      <c r="D1039" s="110" t="s">
        <v>10</v>
      </c>
      <c r="E1039" s="110" t="s">
        <v>99</v>
      </c>
      <c r="F1039" s="110">
        <v>2455.0</v>
      </c>
      <c r="G1039" s="38" t="s">
        <v>43</v>
      </c>
      <c r="H1039" s="110">
        <v>8841.0</v>
      </c>
      <c r="I1039" s="132">
        <v>109.28</v>
      </c>
      <c r="J1039" s="132">
        <v>35.84</v>
      </c>
      <c r="K1039" s="39">
        <f t="shared" si="1"/>
        <v>966144.48</v>
      </c>
      <c r="L1039" s="39">
        <f t="shared" si="2"/>
        <v>316861.44</v>
      </c>
      <c r="M1039" s="39">
        <f t="shared" si="3"/>
        <v>649283.04</v>
      </c>
      <c r="N1039" s="38" t="str">
        <f>VLOOKUP(F1039,products!$A$2:$B$13,2,FALSE)</f>
        <v>Clothes</v>
      </c>
      <c r="O1039" s="133">
        <f t="shared" si="4"/>
        <v>0.3279648609</v>
      </c>
      <c r="P1039" s="38" t="str">
        <f>VLOOKUP(E1039,countries!A$2:E$250,3,false)</f>
        <v>Croatia</v>
      </c>
      <c r="Q1039" s="38" t="str">
        <f>VLOOKUP($E1039,countries!$A$2:$E$250,4,false)</f>
        <v>Europe</v>
      </c>
      <c r="R1039" s="38" t="str">
        <f>VLOOKUP($E1039,countries!$A$2:$E$250,5,false)</f>
        <v>Southern Europe</v>
      </c>
      <c r="S1039" s="38">
        <f t="shared" si="5"/>
        <v>9</v>
      </c>
      <c r="T1039" s="38" t="s">
        <v>150</v>
      </c>
      <c r="U1039" s="38">
        <v>2016.0</v>
      </c>
      <c r="V1039" s="38">
        <v>6.0</v>
      </c>
      <c r="W1039" s="38" t="s">
        <v>99</v>
      </c>
      <c r="X1039" s="38" t="s">
        <v>162</v>
      </c>
      <c r="Y1039" s="38" t="s">
        <v>146</v>
      </c>
      <c r="Z1039" s="38" t="s">
        <v>147</v>
      </c>
      <c r="AA1039" s="113" t="str">
        <f t="array" ref="AA1039">PROPER(G1039)</f>
        <v>Online</v>
      </c>
    </row>
    <row r="1040">
      <c r="A1040" s="110">
        <v>7.81416594E8</v>
      </c>
      <c r="B1040" s="131">
        <v>42317.0</v>
      </c>
      <c r="C1040" s="131">
        <v>42361.0</v>
      </c>
      <c r="D1040" s="110" t="s">
        <v>89</v>
      </c>
      <c r="E1040" s="110" t="s">
        <v>101</v>
      </c>
      <c r="F1040" s="110">
        <v>8875.0</v>
      </c>
      <c r="G1040" s="38" t="s">
        <v>42</v>
      </c>
      <c r="H1040" s="110">
        <v>7390.0</v>
      </c>
      <c r="I1040" s="132">
        <v>421.89</v>
      </c>
      <c r="J1040" s="132">
        <v>364.69</v>
      </c>
      <c r="K1040" s="39">
        <f t="shared" si="1"/>
        <v>3117767.1</v>
      </c>
      <c r="L1040" s="39">
        <f t="shared" si="2"/>
        <v>2695059.1</v>
      </c>
      <c r="M1040" s="39">
        <f t="shared" si="3"/>
        <v>422708</v>
      </c>
      <c r="N1040" s="38" t="str">
        <f>VLOOKUP(F1040,products!$A$2:$B$13,2,FALSE)</f>
        <v>Meat</v>
      </c>
      <c r="O1040" s="133">
        <f t="shared" si="4"/>
        <v>0.8644196354</v>
      </c>
      <c r="P1040" s="38" t="str">
        <f>VLOOKUP(E1040,countries!A$2:E$250,3,false)</f>
        <v>Armenia</v>
      </c>
      <c r="Q1040" s="38" t="str">
        <f>VLOOKUP($E1040,countries!$A$2:$E$250,4,false)</f>
        <v>Asia</v>
      </c>
      <c r="R1040" s="38" t="str">
        <f>VLOOKUP($E1040,countries!$A$2:$E$250,5,false)</f>
        <v>Western Asia</v>
      </c>
      <c r="S1040" s="38">
        <f t="shared" si="5"/>
        <v>44</v>
      </c>
      <c r="T1040" s="38" t="s">
        <v>167</v>
      </c>
      <c r="U1040" s="38">
        <v>2015.0</v>
      </c>
      <c r="V1040" s="38">
        <v>11.0</v>
      </c>
      <c r="W1040" s="38" t="s">
        <v>101</v>
      </c>
      <c r="X1040" s="38" t="s">
        <v>164</v>
      </c>
      <c r="Y1040" s="38" t="s">
        <v>165</v>
      </c>
      <c r="Z1040" s="38" t="s">
        <v>166</v>
      </c>
      <c r="AA1040" s="113" t="str">
        <f t="array" ref="AA1040">PROPER(G1040)</f>
        <v>Offline</v>
      </c>
    </row>
    <row r="1041">
      <c r="A1041" s="110">
        <v>7.831169E8</v>
      </c>
      <c r="B1041" s="131">
        <v>42792.0</v>
      </c>
      <c r="C1041" s="131">
        <v>42808.0</v>
      </c>
      <c r="D1041" s="110" t="s">
        <v>93</v>
      </c>
      <c r="E1041" s="110" t="s">
        <v>103</v>
      </c>
      <c r="F1041" s="110">
        <v>2455.0</v>
      </c>
      <c r="G1041" s="38" t="s">
        <v>43</v>
      </c>
      <c r="H1041" s="110">
        <v>548.0</v>
      </c>
      <c r="I1041" s="132">
        <v>109.28</v>
      </c>
      <c r="J1041" s="132">
        <v>35.84</v>
      </c>
      <c r="K1041" s="39">
        <f t="shared" si="1"/>
        <v>59885.44</v>
      </c>
      <c r="L1041" s="39">
        <f t="shared" si="2"/>
        <v>19640.32</v>
      </c>
      <c r="M1041" s="39">
        <f t="shared" si="3"/>
        <v>40245.12</v>
      </c>
      <c r="N1041" s="38" t="str">
        <f>VLOOKUP(F1041,products!$A$2:$B$13,2,FALSE)</f>
        <v>Clothes</v>
      </c>
      <c r="O1041" s="133">
        <f t="shared" si="4"/>
        <v>0.3279648609</v>
      </c>
      <c r="P1041" s="38" t="str">
        <f>VLOOKUP(E1041,countries!A$2:E$250,3,false)</f>
        <v>United Kingdom</v>
      </c>
      <c r="Q1041" s="38" t="str">
        <f>VLOOKUP($E1041,countries!$A$2:$E$250,4,false)</f>
        <v>Europe</v>
      </c>
      <c r="R1041" s="38" t="str">
        <f>VLOOKUP($E1041,countries!$A$2:$E$250,5,false)</f>
        <v>Northern Europe</v>
      </c>
      <c r="S1041" s="38">
        <f t="shared" si="5"/>
        <v>16</v>
      </c>
      <c r="T1041" s="38" t="s">
        <v>150</v>
      </c>
      <c r="U1041" s="38">
        <v>2017.0</v>
      </c>
      <c r="V1041" s="38">
        <v>2.0</v>
      </c>
      <c r="W1041" s="38" t="s">
        <v>103</v>
      </c>
      <c r="X1041" s="38" t="s">
        <v>169</v>
      </c>
      <c r="Y1041" s="38" t="s">
        <v>146</v>
      </c>
      <c r="Z1041" s="38" t="s">
        <v>170</v>
      </c>
      <c r="AA1041" s="113" t="str">
        <f t="array" ref="AA1041">PROPER(G1041)</f>
        <v>Online</v>
      </c>
    </row>
    <row r="1042">
      <c r="A1042" s="110">
        <v>7.83594977E8</v>
      </c>
      <c r="B1042" s="131">
        <v>42850.0</v>
      </c>
      <c r="C1042" s="131">
        <v>42856.0</v>
      </c>
      <c r="D1042" s="110" t="s">
        <v>95</v>
      </c>
      <c r="E1042" s="110" t="s">
        <v>113</v>
      </c>
      <c r="F1042" s="110">
        <v>8875.0</v>
      </c>
      <c r="G1042" s="38" t="s">
        <v>42</v>
      </c>
      <c r="H1042" s="110">
        <v>2022.0</v>
      </c>
      <c r="I1042" s="132">
        <v>421.89</v>
      </c>
      <c r="J1042" s="132">
        <v>364.69</v>
      </c>
      <c r="K1042" s="39">
        <f t="shared" si="1"/>
        <v>853061.58</v>
      </c>
      <c r="L1042" s="39">
        <f t="shared" si="2"/>
        <v>737403.18</v>
      </c>
      <c r="M1042" s="39">
        <f t="shared" si="3"/>
        <v>115658.4</v>
      </c>
      <c r="N1042" s="38" t="str">
        <f>VLOOKUP(F1042,products!$A$2:$B$13,2,FALSE)</f>
        <v>Meat</v>
      </c>
      <c r="O1042" s="133">
        <f t="shared" si="4"/>
        <v>0.8644196354</v>
      </c>
      <c r="P1042" s="38" t="str">
        <f>VLOOKUP(E1042,countries!A$2:E$250,3,false)</f>
        <v>Ukraine</v>
      </c>
      <c r="Q1042" s="38" t="str">
        <f>VLOOKUP($E1042,countries!$A$2:$E$250,4,false)</f>
        <v>Europe</v>
      </c>
      <c r="R1042" s="38" t="str">
        <f>VLOOKUP($E1042,countries!$A$2:$E$250,5,false)</f>
        <v>Eastern Europe</v>
      </c>
      <c r="S1042" s="38">
        <f t="shared" si="5"/>
        <v>6</v>
      </c>
      <c r="T1042" s="38" t="s">
        <v>167</v>
      </c>
      <c r="U1042" s="38">
        <v>2017.0</v>
      </c>
      <c r="V1042" s="38">
        <v>4.0</v>
      </c>
      <c r="W1042" s="38" t="s">
        <v>113</v>
      </c>
      <c r="X1042" s="38" t="s">
        <v>181</v>
      </c>
      <c r="Y1042" s="38" t="s">
        <v>146</v>
      </c>
      <c r="Z1042" s="38" t="s">
        <v>155</v>
      </c>
      <c r="AA1042" s="113" t="str">
        <f t="array" ref="AA1042">PROPER(G1042)</f>
        <v>Offline</v>
      </c>
    </row>
    <row r="1043">
      <c r="A1043" s="110">
        <v>7.83913838E8</v>
      </c>
      <c r="B1043" s="131">
        <v>41310.0</v>
      </c>
      <c r="C1043" s="131">
        <v>41342.0</v>
      </c>
      <c r="D1043" s="110" t="s">
        <v>95</v>
      </c>
      <c r="E1043" s="110" t="e">
        <v>#N/A</v>
      </c>
      <c r="F1043" s="110">
        <v>8969.0</v>
      </c>
      <c r="G1043" s="38" t="s">
        <v>43</v>
      </c>
      <c r="H1043" s="110">
        <v>6380.0</v>
      </c>
      <c r="I1043" s="132">
        <v>152.58</v>
      </c>
      <c r="J1043" s="132">
        <v>97.44</v>
      </c>
      <c r="K1043" s="39">
        <f t="shared" si="1"/>
        <v>973460.4</v>
      </c>
      <c r="L1043" s="39">
        <f t="shared" si="2"/>
        <v>621667.2</v>
      </c>
      <c r="M1043" s="39">
        <f t="shared" si="3"/>
        <v>351793.2</v>
      </c>
      <c r="N1043" s="38" t="str">
        <f>VLOOKUP(F1043,products!$A$2:$B$13,2,FALSE)</f>
        <v>Snacks</v>
      </c>
      <c r="O1043" s="133">
        <f t="shared" si="4"/>
        <v>0.6386158081</v>
      </c>
      <c r="P1043" s="38" t="str">
        <f>VLOOKUP(E1043,countries!A$2:E$250,3,false)</f>
        <v>#N/A</v>
      </c>
      <c r="Q1043" s="38" t="str">
        <f>VLOOKUP($E1043,countries!$A$2:$E$250,4,false)</f>
        <v>#N/A</v>
      </c>
      <c r="R1043" s="38" t="str">
        <f>VLOOKUP($E1043,countries!$A$2:$E$250,5,false)</f>
        <v>#N/A</v>
      </c>
      <c r="S1043" s="38">
        <f t="shared" si="5"/>
        <v>32</v>
      </c>
      <c r="T1043" s="38" t="s">
        <v>182</v>
      </c>
      <c r="U1043" s="38">
        <v>2013.0</v>
      </c>
      <c r="V1043" s="38">
        <v>2.0</v>
      </c>
      <c r="W1043" s="38" t="s">
        <v>92</v>
      </c>
      <c r="X1043" s="38" t="s">
        <v>149</v>
      </c>
      <c r="Y1043" s="38" t="s">
        <v>149</v>
      </c>
      <c r="Z1043" s="38" t="s">
        <v>149</v>
      </c>
      <c r="AA1043" s="113" t="str">
        <f t="array" ref="AA1043">PROPER(G1043)</f>
        <v>Online</v>
      </c>
    </row>
    <row r="1044">
      <c r="A1044" s="110">
        <v>7.84397923E8</v>
      </c>
      <c r="B1044" s="131">
        <v>41428.0</v>
      </c>
      <c r="C1044" s="131">
        <v>41440.0</v>
      </c>
      <c r="D1044" s="110" t="s">
        <v>10</v>
      </c>
      <c r="E1044" s="110" t="s">
        <v>135</v>
      </c>
      <c r="F1044" s="110">
        <v>8969.0</v>
      </c>
      <c r="G1044" s="38" t="s">
        <v>42</v>
      </c>
      <c r="H1044" s="110">
        <v>9631.0</v>
      </c>
      <c r="I1044" s="132">
        <v>152.58</v>
      </c>
      <c r="J1044" s="132">
        <v>97.44</v>
      </c>
      <c r="K1044" s="39">
        <f t="shared" si="1"/>
        <v>1469497.98</v>
      </c>
      <c r="L1044" s="39">
        <f t="shared" si="2"/>
        <v>938444.64</v>
      </c>
      <c r="M1044" s="39">
        <f t="shared" si="3"/>
        <v>531053.34</v>
      </c>
      <c r="N1044" s="38" t="str">
        <f>VLOOKUP(F1044,products!$A$2:$B$13,2,FALSE)</f>
        <v>Snacks</v>
      </c>
      <c r="O1044" s="133">
        <f t="shared" si="4"/>
        <v>0.6386158081</v>
      </c>
      <c r="P1044" s="38" t="str">
        <f>VLOOKUP(E1044,countries!A$2:E$250,3,false)</f>
        <v>Denmark</v>
      </c>
      <c r="Q1044" s="38" t="str">
        <f>VLOOKUP($E1044,countries!$A$2:$E$250,4,false)</f>
        <v>Europe</v>
      </c>
      <c r="R1044" s="38" t="str">
        <f>VLOOKUP($E1044,countries!$A$2:$E$250,5,false)</f>
        <v>Northern Europe</v>
      </c>
      <c r="S1044" s="38">
        <f t="shared" si="5"/>
        <v>12</v>
      </c>
      <c r="T1044" s="38" t="s">
        <v>182</v>
      </c>
      <c r="U1044" s="38">
        <v>2013.0</v>
      </c>
      <c r="V1044" s="38">
        <v>6.0</v>
      </c>
      <c r="W1044" s="38" t="s">
        <v>135</v>
      </c>
      <c r="X1044" s="38" t="s">
        <v>205</v>
      </c>
      <c r="Y1044" s="38" t="s">
        <v>146</v>
      </c>
      <c r="Z1044" s="38" t="s">
        <v>170</v>
      </c>
      <c r="AA1044" s="113" t="str">
        <f t="array" ref="AA1044">PROPER(G1044)</f>
        <v>Offline</v>
      </c>
    </row>
    <row r="1045">
      <c r="A1045" s="110">
        <v>7.85364806E8</v>
      </c>
      <c r="B1045" s="131">
        <v>42047.0</v>
      </c>
      <c r="C1045" s="131">
        <v>42084.0</v>
      </c>
      <c r="D1045" s="110" t="s">
        <v>89</v>
      </c>
      <c r="E1045" s="110" t="s">
        <v>116</v>
      </c>
      <c r="F1045" s="110">
        <v>7940.0</v>
      </c>
      <c r="G1045" s="38" t="s">
        <v>42</v>
      </c>
      <c r="H1045" s="110">
        <v>5754.0</v>
      </c>
      <c r="I1045" s="132">
        <v>668.27</v>
      </c>
      <c r="J1045" s="132">
        <v>502.54</v>
      </c>
      <c r="K1045" s="39">
        <f t="shared" si="1"/>
        <v>3845225.58</v>
      </c>
      <c r="L1045" s="39">
        <f t="shared" si="2"/>
        <v>2891615.16</v>
      </c>
      <c r="M1045" s="39">
        <f t="shared" si="3"/>
        <v>953610.42</v>
      </c>
      <c r="N1045" s="38" t="str">
        <f>VLOOKUP(F1045,products!$A$2:$B$13,2,FALSE)</f>
        <v>Household</v>
      </c>
      <c r="O1045" s="133">
        <f t="shared" si="4"/>
        <v>0.7520014365</v>
      </c>
      <c r="P1045" s="38" t="str">
        <f>VLOOKUP(E1045,countries!A$2:E$250,3,false)</f>
        <v>Belarus</v>
      </c>
      <c r="Q1045" s="38" t="str">
        <f>VLOOKUP($E1045,countries!$A$2:$E$250,4,false)</f>
        <v>Europe</v>
      </c>
      <c r="R1045" s="38" t="str">
        <f>VLOOKUP($E1045,countries!$A$2:$E$250,5,false)</f>
        <v>Eastern Europe</v>
      </c>
      <c r="S1045" s="38">
        <f t="shared" si="5"/>
        <v>37</v>
      </c>
      <c r="T1045" s="38" t="s">
        <v>148</v>
      </c>
      <c r="U1045" s="38">
        <v>2015.0</v>
      </c>
      <c r="V1045" s="38">
        <v>2.0</v>
      </c>
      <c r="W1045" s="38" t="s">
        <v>116</v>
      </c>
      <c r="X1045" s="38" t="s">
        <v>187</v>
      </c>
      <c r="Y1045" s="38" t="s">
        <v>146</v>
      </c>
      <c r="Z1045" s="38" t="s">
        <v>155</v>
      </c>
      <c r="AA1045" s="113" t="str">
        <f t="array" ref="AA1045">PROPER(G1045)</f>
        <v>Offline</v>
      </c>
    </row>
    <row r="1046">
      <c r="A1046" s="110">
        <v>7.86318385E8</v>
      </c>
      <c r="B1046" s="131">
        <v>42927.0</v>
      </c>
      <c r="C1046" s="131">
        <v>42970.0</v>
      </c>
      <c r="D1046" s="110" t="s">
        <v>89</v>
      </c>
      <c r="E1046" s="110" t="s">
        <v>121</v>
      </c>
      <c r="F1046" s="110">
        <v>1270.0</v>
      </c>
      <c r="G1046" s="38" t="s">
        <v>42</v>
      </c>
      <c r="H1046" s="110">
        <v>7939.0</v>
      </c>
      <c r="I1046" s="132">
        <v>47.45</v>
      </c>
      <c r="J1046" s="132">
        <v>31.79</v>
      </c>
      <c r="K1046" s="39">
        <f t="shared" si="1"/>
        <v>376705.55</v>
      </c>
      <c r="L1046" s="39">
        <f t="shared" si="2"/>
        <v>252380.81</v>
      </c>
      <c r="M1046" s="39">
        <f t="shared" si="3"/>
        <v>124324.74</v>
      </c>
      <c r="N1046" s="38" t="str">
        <f>VLOOKUP(F1046,products!$A$2:$B$13,2,FALSE)</f>
        <v>Beverages</v>
      </c>
      <c r="O1046" s="133">
        <f t="shared" si="4"/>
        <v>0.6699683878</v>
      </c>
      <c r="P1046" s="38" t="str">
        <f>VLOOKUP(E1046,countries!A$2:E$250,3,false)</f>
        <v>Netherlands</v>
      </c>
      <c r="Q1046" s="38" t="str">
        <f>VLOOKUP($E1046,countries!$A$2:$E$250,4,false)</f>
        <v>Europe</v>
      </c>
      <c r="R1046" s="38" t="str">
        <f>VLOOKUP($E1046,countries!$A$2:$E$250,5,false)</f>
        <v>Western Europe</v>
      </c>
      <c r="S1046" s="38">
        <f t="shared" si="5"/>
        <v>43</v>
      </c>
      <c r="T1046" s="38" t="s">
        <v>152</v>
      </c>
      <c r="U1046" s="38">
        <v>2017.0</v>
      </c>
      <c r="V1046" s="38">
        <v>7.0</v>
      </c>
      <c r="W1046" s="38" t="s">
        <v>121</v>
      </c>
      <c r="X1046" s="38" t="s">
        <v>192</v>
      </c>
      <c r="Y1046" s="38" t="s">
        <v>146</v>
      </c>
      <c r="Z1046" s="38" t="s">
        <v>158</v>
      </c>
      <c r="AA1046" s="113" t="str">
        <f t="array" ref="AA1046">PROPER(G1046)</f>
        <v>Offline</v>
      </c>
    </row>
    <row r="1047">
      <c r="A1047" s="110">
        <v>7.8948425E8</v>
      </c>
      <c r="B1047" s="131">
        <v>40729.0</v>
      </c>
      <c r="C1047" s="131">
        <v>40754.0</v>
      </c>
      <c r="D1047" s="110" t="s">
        <v>89</v>
      </c>
      <c r="E1047" s="110" t="s">
        <v>114</v>
      </c>
      <c r="F1047" s="110">
        <v>8969.0</v>
      </c>
      <c r="G1047" s="38" t="s">
        <v>43</v>
      </c>
      <c r="H1047" s="110">
        <v>4789.0</v>
      </c>
      <c r="I1047" s="132">
        <v>152.58</v>
      </c>
      <c r="J1047" s="132">
        <v>97.44</v>
      </c>
      <c r="K1047" s="39">
        <f t="shared" si="1"/>
        <v>730705.62</v>
      </c>
      <c r="L1047" s="39">
        <f t="shared" si="2"/>
        <v>466640.16</v>
      </c>
      <c r="M1047" s="39">
        <f t="shared" si="3"/>
        <v>264065.46</v>
      </c>
      <c r="N1047" s="38" t="str">
        <f>VLOOKUP(F1047,products!$A$2:$B$13,2,FALSE)</f>
        <v>Snacks</v>
      </c>
      <c r="O1047" s="133">
        <f t="shared" si="4"/>
        <v>0.6386158081</v>
      </c>
      <c r="P1047" s="38" t="str">
        <f>VLOOKUP(E1047,countries!A$2:E$250,3,false)</f>
        <v>Czech Republic</v>
      </c>
      <c r="Q1047" s="38" t="str">
        <f>VLOOKUP($E1047,countries!$A$2:$E$250,4,false)</f>
        <v>Europe</v>
      </c>
      <c r="R1047" s="38" t="str">
        <f>VLOOKUP($E1047,countries!$A$2:$E$250,5,false)</f>
        <v>Eastern Europe</v>
      </c>
      <c r="S1047" s="38">
        <f t="shared" si="5"/>
        <v>25</v>
      </c>
      <c r="T1047" s="38" t="s">
        <v>182</v>
      </c>
      <c r="U1047" s="38">
        <v>2011.0</v>
      </c>
      <c r="V1047" s="38">
        <v>7.0</v>
      </c>
      <c r="W1047" s="38" t="s">
        <v>114</v>
      </c>
      <c r="X1047" s="38" t="s">
        <v>184</v>
      </c>
      <c r="Y1047" s="38" t="s">
        <v>146</v>
      </c>
      <c r="Z1047" s="38" t="s">
        <v>155</v>
      </c>
      <c r="AA1047" s="113" t="str">
        <f t="array" ref="AA1047">PROPER(G1047)</f>
        <v>Online</v>
      </c>
    </row>
    <row r="1048">
      <c r="A1048" s="110">
        <v>7.89760196E8</v>
      </c>
      <c r="B1048" s="131">
        <v>42710.0</v>
      </c>
      <c r="C1048" s="131">
        <v>42737.0</v>
      </c>
      <c r="D1048" s="110" t="s">
        <v>10</v>
      </c>
      <c r="E1048" s="110" t="s">
        <v>101</v>
      </c>
      <c r="F1048" s="110">
        <v>3127.0</v>
      </c>
      <c r="G1048" s="38" t="s">
        <v>43</v>
      </c>
      <c r="H1048" s="110">
        <v>6447.0</v>
      </c>
      <c r="I1048" s="132">
        <v>81.73</v>
      </c>
      <c r="J1048" s="132">
        <v>56.67</v>
      </c>
      <c r="K1048" s="39">
        <f t="shared" si="1"/>
        <v>526913.31</v>
      </c>
      <c r="L1048" s="39">
        <f t="shared" si="2"/>
        <v>365351.49</v>
      </c>
      <c r="M1048" s="39">
        <f t="shared" si="3"/>
        <v>161561.82</v>
      </c>
      <c r="N1048" s="38" t="str">
        <f>VLOOKUP(F1048,products!$A$2:$B$13,2,FALSE)</f>
        <v>Personal Care</v>
      </c>
      <c r="O1048" s="133">
        <f t="shared" si="4"/>
        <v>0.6933806436</v>
      </c>
      <c r="P1048" s="38" t="str">
        <f>VLOOKUP(E1048,countries!A$2:E$250,3,false)</f>
        <v>Armenia</v>
      </c>
      <c r="Q1048" s="38" t="str">
        <f>VLOOKUP($E1048,countries!$A$2:$E$250,4,false)</f>
        <v>Asia</v>
      </c>
      <c r="R1048" s="38" t="str">
        <f>VLOOKUP($E1048,countries!$A$2:$E$250,5,false)</f>
        <v>Western Asia</v>
      </c>
      <c r="S1048" s="38">
        <f t="shared" si="5"/>
        <v>27</v>
      </c>
      <c r="T1048" s="38" t="s">
        <v>185</v>
      </c>
      <c r="U1048" s="38">
        <v>2016.0</v>
      </c>
      <c r="V1048" s="38">
        <v>12.0</v>
      </c>
      <c r="W1048" s="38" t="s">
        <v>101</v>
      </c>
      <c r="X1048" s="38" t="s">
        <v>164</v>
      </c>
      <c r="Y1048" s="38" t="s">
        <v>165</v>
      </c>
      <c r="Z1048" s="38" t="s">
        <v>166</v>
      </c>
      <c r="AA1048" s="113" t="str">
        <f t="array" ref="AA1048">PROPER(G1048)</f>
        <v>Online</v>
      </c>
    </row>
    <row r="1049">
      <c r="A1049" s="110">
        <v>7.90149009E8</v>
      </c>
      <c r="B1049" s="131">
        <v>40686.0</v>
      </c>
      <c r="C1049" s="131">
        <v>40692.0</v>
      </c>
      <c r="D1049" s="110" t="s">
        <v>10</v>
      </c>
      <c r="E1049" s="110" t="s">
        <v>117</v>
      </c>
      <c r="F1049" s="110">
        <v>8293.0</v>
      </c>
      <c r="G1049" s="38" t="s">
        <v>43</v>
      </c>
      <c r="H1049" s="110">
        <v>1505.0</v>
      </c>
      <c r="I1049" s="132">
        <v>437.2</v>
      </c>
      <c r="J1049" s="132">
        <v>263.33</v>
      </c>
      <c r="K1049" s="39">
        <f t="shared" si="1"/>
        <v>657986</v>
      </c>
      <c r="L1049" s="39">
        <f t="shared" si="2"/>
        <v>396311.65</v>
      </c>
      <c r="M1049" s="39">
        <f t="shared" si="3"/>
        <v>261674.35</v>
      </c>
      <c r="N1049" s="38" t="str">
        <f>VLOOKUP(F1049,products!$A$2:$B$13,2,FALSE)</f>
        <v>Cosmetics</v>
      </c>
      <c r="O1049" s="133">
        <f t="shared" si="4"/>
        <v>0.6023101555</v>
      </c>
      <c r="P1049" s="38" t="str">
        <f>VLOOKUP(E1049,countries!A$2:E$250,3,false)</f>
        <v>Estonia</v>
      </c>
      <c r="Q1049" s="38" t="str">
        <f>VLOOKUP($E1049,countries!$A$2:$E$250,4,false)</f>
        <v>Europe</v>
      </c>
      <c r="R1049" s="38" t="str">
        <f>VLOOKUP($E1049,countries!$A$2:$E$250,5,false)</f>
        <v>Northern Europe</v>
      </c>
      <c r="S1049" s="38">
        <f t="shared" si="5"/>
        <v>6</v>
      </c>
      <c r="T1049" s="38" t="s">
        <v>178</v>
      </c>
      <c r="U1049" s="38">
        <v>2011.0</v>
      </c>
      <c r="V1049" s="38">
        <v>5.0</v>
      </c>
      <c r="W1049" s="38" t="s">
        <v>117</v>
      </c>
      <c r="X1049" s="38" t="s">
        <v>188</v>
      </c>
      <c r="Y1049" s="38" t="s">
        <v>146</v>
      </c>
      <c r="Z1049" s="38" t="s">
        <v>170</v>
      </c>
      <c r="AA1049" s="113" t="str">
        <f t="array" ref="AA1049">PROPER(G1049)</f>
        <v>Online</v>
      </c>
    </row>
    <row r="1050">
      <c r="A1050" s="110">
        <v>7.91692674E8</v>
      </c>
      <c r="B1050" s="131">
        <v>41564.0</v>
      </c>
      <c r="C1050" s="131">
        <v>41602.0</v>
      </c>
      <c r="D1050" s="110" t="s">
        <v>93</v>
      </c>
      <c r="E1050" s="110" t="s">
        <v>109</v>
      </c>
      <c r="F1050" s="110">
        <v>4594.0</v>
      </c>
      <c r="G1050" s="38" t="s">
        <v>43</v>
      </c>
      <c r="H1050" s="110">
        <v>8310.0</v>
      </c>
      <c r="I1050" s="132">
        <v>9.33</v>
      </c>
      <c r="J1050" s="132">
        <v>6.92</v>
      </c>
      <c r="K1050" s="39">
        <f t="shared" si="1"/>
        <v>77532.3</v>
      </c>
      <c r="L1050" s="39">
        <f t="shared" si="2"/>
        <v>57505.2</v>
      </c>
      <c r="M1050" s="39">
        <f t="shared" si="3"/>
        <v>20027.1</v>
      </c>
      <c r="N1050" s="38" t="str">
        <f>VLOOKUP(F1050,products!$A$2:$B$13,2,FALSE)</f>
        <v>Fruits</v>
      </c>
      <c r="O1050" s="133">
        <f t="shared" si="4"/>
        <v>0.741693462</v>
      </c>
      <c r="P1050" s="38" t="str">
        <f>VLOOKUP(E1050,countries!A$2:E$250,3,false)</f>
        <v>Belgium</v>
      </c>
      <c r="Q1050" s="38" t="str">
        <f>VLOOKUP($E1050,countries!$A$2:$E$250,4,false)</f>
        <v>Europe</v>
      </c>
      <c r="R1050" s="38" t="str">
        <f>VLOOKUP($E1050,countries!$A$2:$E$250,5,false)</f>
        <v>Western Europe</v>
      </c>
      <c r="S1050" s="38">
        <f t="shared" si="5"/>
        <v>38</v>
      </c>
      <c r="T1050" s="38" t="s">
        <v>156</v>
      </c>
      <c r="U1050" s="38">
        <v>2013.0</v>
      </c>
      <c r="V1050" s="38">
        <v>10.0</v>
      </c>
      <c r="W1050" s="38" t="s">
        <v>109</v>
      </c>
      <c r="X1050" s="38" t="s">
        <v>176</v>
      </c>
      <c r="Y1050" s="38" t="s">
        <v>146</v>
      </c>
      <c r="Z1050" s="38" t="s">
        <v>158</v>
      </c>
      <c r="AA1050" s="113" t="str">
        <f t="array" ref="AA1050">PROPER(G1050)</f>
        <v>Online</v>
      </c>
    </row>
    <row r="1051">
      <c r="A1051" s="110">
        <v>7.91890084E8</v>
      </c>
      <c r="B1051" s="131">
        <v>41965.0</v>
      </c>
      <c r="C1051" s="131">
        <v>41988.0</v>
      </c>
      <c r="D1051" s="110" t="s">
        <v>95</v>
      </c>
      <c r="E1051" s="110" t="s">
        <v>109</v>
      </c>
      <c r="F1051" s="110">
        <v>2103.0</v>
      </c>
      <c r="G1051" s="38" t="s">
        <v>42</v>
      </c>
      <c r="H1051" s="110">
        <v>6728.0</v>
      </c>
      <c r="I1051" s="132">
        <v>205.7</v>
      </c>
      <c r="J1051" s="132">
        <v>117.11</v>
      </c>
      <c r="K1051" s="39">
        <f t="shared" si="1"/>
        <v>1383949.6</v>
      </c>
      <c r="L1051" s="39">
        <f t="shared" si="2"/>
        <v>787916.08</v>
      </c>
      <c r="M1051" s="39">
        <f t="shared" si="3"/>
        <v>596033.52</v>
      </c>
      <c r="N1051" s="38" t="str">
        <f>VLOOKUP(F1051,products!$A$2:$B$13,2,FALSE)</f>
        <v>Cereal</v>
      </c>
      <c r="O1051" s="133">
        <f t="shared" si="4"/>
        <v>0.5693242586</v>
      </c>
      <c r="P1051" s="38" t="str">
        <f>VLOOKUP(E1051,countries!A$2:E$250,3,false)</f>
        <v>Belgium</v>
      </c>
      <c r="Q1051" s="38" t="str">
        <f>VLOOKUP($E1051,countries!$A$2:$E$250,4,false)</f>
        <v>Europe</v>
      </c>
      <c r="R1051" s="38" t="str">
        <f>VLOOKUP($E1051,countries!$A$2:$E$250,5,false)</f>
        <v>Western Europe</v>
      </c>
      <c r="S1051" s="38">
        <f t="shared" si="5"/>
        <v>23</v>
      </c>
      <c r="T1051" s="38" t="s">
        <v>144</v>
      </c>
      <c r="U1051" s="38">
        <v>2014.0</v>
      </c>
      <c r="V1051" s="38">
        <v>11.0</v>
      </c>
      <c r="W1051" s="38" t="s">
        <v>109</v>
      </c>
      <c r="X1051" s="38" t="s">
        <v>176</v>
      </c>
      <c r="Y1051" s="38" t="s">
        <v>146</v>
      </c>
      <c r="Z1051" s="38" t="s">
        <v>158</v>
      </c>
      <c r="AA1051" s="113" t="str">
        <f t="array" ref="AA1051">PROPER(G1051)</f>
        <v>Offline</v>
      </c>
    </row>
    <row r="1052">
      <c r="A1052" s="110">
        <v>7.92178905E8</v>
      </c>
      <c r="B1052" s="131">
        <v>42889.0</v>
      </c>
      <c r="C1052" s="131">
        <v>42937.0</v>
      </c>
      <c r="D1052" s="110" t="s">
        <v>93</v>
      </c>
      <c r="E1052" s="110" t="s">
        <v>136</v>
      </c>
      <c r="F1052" s="110">
        <v>2103.0</v>
      </c>
      <c r="G1052" s="38" t="s">
        <v>43</v>
      </c>
      <c r="H1052" s="110">
        <v>2197.0</v>
      </c>
      <c r="I1052" s="132">
        <v>205.7</v>
      </c>
      <c r="J1052" s="132">
        <v>117.11</v>
      </c>
      <c r="K1052" s="39">
        <f t="shared" si="1"/>
        <v>451922.9</v>
      </c>
      <c r="L1052" s="39">
        <f t="shared" si="2"/>
        <v>257290.67</v>
      </c>
      <c r="M1052" s="39">
        <f t="shared" si="3"/>
        <v>194632.23</v>
      </c>
      <c r="N1052" s="38" t="str">
        <f>VLOOKUP(F1052,products!$A$2:$B$13,2,FALSE)</f>
        <v>Cereal</v>
      </c>
      <c r="O1052" s="133">
        <f t="shared" si="4"/>
        <v>0.5693242586</v>
      </c>
      <c r="P1052" s="38" t="str">
        <f>VLOOKUP(E1052,countries!A$2:E$250,3,false)</f>
        <v>Monaco</v>
      </c>
      <c r="Q1052" s="38" t="str">
        <f>VLOOKUP($E1052,countries!$A$2:$E$250,4,false)</f>
        <v>Europe</v>
      </c>
      <c r="R1052" s="38" t="str">
        <f>VLOOKUP($E1052,countries!$A$2:$E$250,5,false)</f>
        <v>Western Europe</v>
      </c>
      <c r="S1052" s="38">
        <f t="shared" si="5"/>
        <v>48</v>
      </c>
      <c r="T1052" s="38" t="s">
        <v>144</v>
      </c>
      <c r="U1052" s="38">
        <v>2017.0</v>
      </c>
      <c r="V1052" s="38">
        <v>6.0</v>
      </c>
      <c r="W1052" s="38" t="s">
        <v>136</v>
      </c>
      <c r="X1052" s="38" t="s">
        <v>206</v>
      </c>
      <c r="Y1052" s="38" t="s">
        <v>146</v>
      </c>
      <c r="Z1052" s="38" t="s">
        <v>158</v>
      </c>
      <c r="AA1052" s="113" t="str">
        <f t="array" ref="AA1052">PROPER(G1052)</f>
        <v>Online</v>
      </c>
    </row>
    <row r="1053">
      <c r="A1053" s="110">
        <v>7.92792594E8</v>
      </c>
      <c r="B1053" s="131">
        <v>42333.0</v>
      </c>
      <c r="C1053" s="131">
        <v>42371.0</v>
      </c>
      <c r="D1053" s="110" t="s">
        <v>89</v>
      </c>
      <c r="E1053" s="110" t="e">
        <v>#N/A</v>
      </c>
      <c r="F1053" s="110">
        <v>7940.0</v>
      </c>
      <c r="G1053" s="38" t="s">
        <v>42</v>
      </c>
      <c r="H1053" s="110">
        <v>3801.0</v>
      </c>
      <c r="I1053" s="132">
        <v>668.27</v>
      </c>
      <c r="J1053" s="132">
        <v>502.54</v>
      </c>
      <c r="K1053" s="39">
        <f t="shared" si="1"/>
        <v>2540094.27</v>
      </c>
      <c r="L1053" s="39">
        <f t="shared" si="2"/>
        <v>1910154.54</v>
      </c>
      <c r="M1053" s="39">
        <f t="shared" si="3"/>
        <v>629939.73</v>
      </c>
      <c r="N1053" s="38" t="str">
        <f>VLOOKUP(F1053,products!$A$2:$B$13,2,FALSE)</f>
        <v>Household</v>
      </c>
      <c r="O1053" s="133">
        <f t="shared" si="4"/>
        <v>0.7520014365</v>
      </c>
      <c r="P1053" s="38" t="str">
        <f>VLOOKUP(E1053,countries!A$2:E$250,3,false)</f>
        <v>#N/A</v>
      </c>
      <c r="Q1053" s="38" t="str">
        <f>VLOOKUP($E1053,countries!$A$2:$E$250,4,false)</f>
        <v>#N/A</v>
      </c>
      <c r="R1053" s="38" t="str">
        <f>VLOOKUP($E1053,countries!$A$2:$E$250,5,false)</f>
        <v>#N/A</v>
      </c>
      <c r="S1053" s="38">
        <f t="shared" si="5"/>
        <v>38</v>
      </c>
      <c r="T1053" s="38" t="s">
        <v>148</v>
      </c>
      <c r="U1053" s="38">
        <v>2015.0</v>
      </c>
      <c r="V1053" s="38">
        <v>11.0</v>
      </c>
      <c r="W1053" s="38" t="s">
        <v>92</v>
      </c>
      <c r="X1053" s="38" t="s">
        <v>149</v>
      </c>
      <c r="Y1053" s="38" t="s">
        <v>149</v>
      </c>
      <c r="Z1053" s="38" t="s">
        <v>149</v>
      </c>
      <c r="AA1053" s="113" t="str">
        <f t="array" ref="AA1053">PROPER(G1053)</f>
        <v>Offline</v>
      </c>
    </row>
    <row r="1054">
      <c r="A1054" s="110">
        <v>7.95141351E8</v>
      </c>
      <c r="B1054" s="131">
        <v>40229.0</v>
      </c>
      <c r="C1054" s="131">
        <v>40233.0</v>
      </c>
      <c r="D1054" s="110" t="s">
        <v>95</v>
      </c>
      <c r="E1054" s="110" t="s">
        <v>138</v>
      </c>
      <c r="F1054" s="110">
        <v>1270.0</v>
      </c>
      <c r="G1054" s="38" t="s">
        <v>42</v>
      </c>
      <c r="H1054" s="110">
        <v>8850.0</v>
      </c>
      <c r="I1054" s="132">
        <v>47.45</v>
      </c>
      <c r="J1054" s="132">
        <v>31.79</v>
      </c>
      <c r="K1054" s="39">
        <f t="shared" si="1"/>
        <v>419932.5</v>
      </c>
      <c r="L1054" s="39">
        <f t="shared" si="2"/>
        <v>281341.5</v>
      </c>
      <c r="M1054" s="39">
        <f t="shared" si="3"/>
        <v>138591</v>
      </c>
      <c r="N1054" s="38" t="str">
        <f>VLOOKUP(F1054,products!$A$2:$B$13,2,FALSE)</f>
        <v>Beverages</v>
      </c>
      <c r="O1054" s="133">
        <f t="shared" si="4"/>
        <v>0.6699683878</v>
      </c>
      <c r="P1054" s="38" t="str">
        <f>VLOOKUP(E1054,countries!A$2:E$250,3,false)</f>
        <v>Greece</v>
      </c>
      <c r="Q1054" s="38" t="str">
        <f>VLOOKUP($E1054,countries!$A$2:$E$250,4,false)</f>
        <v>Europe</v>
      </c>
      <c r="R1054" s="38" t="str">
        <f>VLOOKUP($E1054,countries!$A$2:$E$250,5,false)</f>
        <v>Southern Europe</v>
      </c>
      <c r="S1054" s="38">
        <f t="shared" si="5"/>
        <v>4</v>
      </c>
      <c r="T1054" s="38" t="s">
        <v>152</v>
      </c>
      <c r="U1054" s="38">
        <v>2010.0</v>
      </c>
      <c r="V1054" s="38">
        <v>2.0</v>
      </c>
      <c r="W1054" s="38" t="s">
        <v>138</v>
      </c>
      <c r="X1054" s="38" t="s">
        <v>208</v>
      </c>
      <c r="Y1054" s="38" t="s">
        <v>146</v>
      </c>
      <c r="Z1054" s="38" t="s">
        <v>147</v>
      </c>
      <c r="AA1054" s="113" t="str">
        <f t="array" ref="AA1054">PROPER(G1054)</f>
        <v>Offline</v>
      </c>
    </row>
    <row r="1055">
      <c r="A1055" s="110">
        <v>7.96418511E8</v>
      </c>
      <c r="B1055" s="131">
        <v>42778.0</v>
      </c>
      <c r="C1055" s="131">
        <v>42817.0</v>
      </c>
      <c r="D1055" s="110" t="s">
        <v>93</v>
      </c>
      <c r="E1055" s="110" t="s">
        <v>119</v>
      </c>
      <c r="F1055" s="110">
        <v>8875.0</v>
      </c>
      <c r="G1055" s="38" t="s">
        <v>43</v>
      </c>
      <c r="H1055" s="110">
        <v>6791.0</v>
      </c>
      <c r="I1055" s="132">
        <v>421.89</v>
      </c>
      <c r="J1055" s="132">
        <v>364.69</v>
      </c>
      <c r="K1055" s="39">
        <f t="shared" si="1"/>
        <v>2865054.99</v>
      </c>
      <c r="L1055" s="39">
        <f t="shared" si="2"/>
        <v>2476609.79</v>
      </c>
      <c r="M1055" s="39">
        <f t="shared" si="3"/>
        <v>388445.2</v>
      </c>
      <c r="N1055" s="38" t="str">
        <f>VLOOKUP(F1055,products!$A$2:$B$13,2,FALSE)</f>
        <v>Meat</v>
      </c>
      <c r="O1055" s="133">
        <f t="shared" si="4"/>
        <v>0.8644196354</v>
      </c>
      <c r="P1055" s="38" t="str">
        <f>VLOOKUP(E1055,countries!A$2:E$250,3,false)</f>
        <v>Macedonia</v>
      </c>
      <c r="Q1055" s="38" t="str">
        <f>VLOOKUP($E1055,countries!$A$2:$E$250,4,false)</f>
        <v>Europe</v>
      </c>
      <c r="R1055" s="38" t="str">
        <f>VLOOKUP($E1055,countries!$A$2:$E$250,5,false)</f>
        <v>Southern Europe</v>
      </c>
      <c r="S1055" s="38">
        <f t="shared" si="5"/>
        <v>39</v>
      </c>
      <c r="T1055" s="38" t="s">
        <v>167</v>
      </c>
      <c r="U1055" s="38">
        <v>2017.0</v>
      </c>
      <c r="V1055" s="38">
        <v>2.0</v>
      </c>
      <c r="W1055" s="38" t="s">
        <v>119</v>
      </c>
      <c r="X1055" s="38" t="s">
        <v>190</v>
      </c>
      <c r="Y1055" s="38" t="s">
        <v>146</v>
      </c>
      <c r="Z1055" s="38" t="s">
        <v>147</v>
      </c>
      <c r="AA1055" s="113" t="str">
        <f t="array" ref="AA1055">PROPER(G1055)</f>
        <v>Online</v>
      </c>
    </row>
    <row r="1056">
      <c r="A1056" s="110">
        <v>7.97202146E8</v>
      </c>
      <c r="B1056" s="131">
        <v>41557.0</v>
      </c>
      <c r="C1056" s="131">
        <v>41595.0</v>
      </c>
      <c r="D1056" s="110" t="s">
        <v>89</v>
      </c>
      <c r="E1056" s="110" t="s">
        <v>111</v>
      </c>
      <c r="F1056" s="110">
        <v>1270.0</v>
      </c>
      <c r="G1056" s="38" t="s">
        <v>43</v>
      </c>
      <c r="H1056" s="110">
        <v>8685.0</v>
      </c>
      <c r="I1056" s="132">
        <v>47.45</v>
      </c>
      <c r="J1056" s="132">
        <v>31.79</v>
      </c>
      <c r="K1056" s="39">
        <f t="shared" si="1"/>
        <v>412103.25</v>
      </c>
      <c r="L1056" s="39">
        <f t="shared" si="2"/>
        <v>276096.15</v>
      </c>
      <c r="M1056" s="39">
        <f t="shared" si="3"/>
        <v>136007.1</v>
      </c>
      <c r="N1056" s="38" t="str">
        <f>VLOOKUP(F1056,products!$A$2:$B$13,2,FALSE)</f>
        <v>Beverages</v>
      </c>
      <c r="O1056" s="133">
        <f t="shared" si="4"/>
        <v>0.6699683878</v>
      </c>
      <c r="P1056" s="38" t="str">
        <f>VLOOKUP(E1056,countries!A$2:E$250,3,false)</f>
        <v>Russia</v>
      </c>
      <c r="Q1056" s="38" t="str">
        <f>VLOOKUP($E1056,countries!$A$2:$E$250,4,false)</f>
        <v>Europe</v>
      </c>
      <c r="R1056" s="38" t="str">
        <f>VLOOKUP($E1056,countries!$A$2:$E$250,5,false)</f>
        <v>Eastern Europe</v>
      </c>
      <c r="S1056" s="38">
        <f t="shared" si="5"/>
        <v>38</v>
      </c>
      <c r="T1056" s="38" t="s">
        <v>152</v>
      </c>
      <c r="U1056" s="38">
        <v>2013.0</v>
      </c>
      <c r="V1056" s="38">
        <v>10.0</v>
      </c>
      <c r="W1056" s="38" t="s">
        <v>111</v>
      </c>
      <c r="X1056" s="38" t="s">
        <v>179</v>
      </c>
      <c r="Y1056" s="38" t="s">
        <v>146</v>
      </c>
      <c r="Z1056" s="38" t="s">
        <v>155</v>
      </c>
      <c r="AA1056" s="113" t="str">
        <f t="array" ref="AA1056">PROPER(G1056)</f>
        <v>Online</v>
      </c>
    </row>
    <row r="1057">
      <c r="A1057" s="110">
        <v>7.973163E8</v>
      </c>
      <c r="B1057" s="131">
        <v>42703.0</v>
      </c>
      <c r="C1057" s="131">
        <v>42703.0</v>
      </c>
      <c r="D1057" s="110" t="s">
        <v>95</v>
      </c>
      <c r="E1057" s="110" t="s">
        <v>91</v>
      </c>
      <c r="F1057" s="110">
        <v>1270.0</v>
      </c>
      <c r="G1057" s="38" t="s">
        <v>42</v>
      </c>
      <c r="H1057" s="110">
        <v>2466.0</v>
      </c>
      <c r="I1057" s="132">
        <v>47.45</v>
      </c>
      <c r="J1057" s="132">
        <v>31.79</v>
      </c>
      <c r="K1057" s="39">
        <f t="shared" si="1"/>
        <v>117011.7</v>
      </c>
      <c r="L1057" s="39">
        <f t="shared" si="2"/>
        <v>78394.14</v>
      </c>
      <c r="M1057" s="39">
        <f t="shared" si="3"/>
        <v>38617.56</v>
      </c>
      <c r="N1057" s="38" t="str">
        <f>VLOOKUP(F1057,products!$A$2:$B$13,2,FALSE)</f>
        <v>Beverages</v>
      </c>
      <c r="O1057" s="133">
        <f t="shared" si="4"/>
        <v>0.6699683878</v>
      </c>
      <c r="P1057" s="38" t="str">
        <f>VLOOKUP(E1057,countries!A$2:E$250,3,false)</f>
        <v>Serbia</v>
      </c>
      <c r="Q1057" s="38" t="str">
        <f>VLOOKUP($E1057,countries!$A$2:$E$250,4,false)</f>
        <v>Europe</v>
      </c>
      <c r="R1057" s="38" t="str">
        <f>VLOOKUP($E1057,countries!$A$2:$E$250,5,false)</f>
        <v>Southern Europe</v>
      </c>
      <c r="S1057" s="38">
        <f t="shared" si="5"/>
        <v>0</v>
      </c>
      <c r="T1057" s="38" t="s">
        <v>152</v>
      </c>
      <c r="U1057" s="38">
        <v>2016.0</v>
      </c>
      <c r="V1057" s="38">
        <v>11.0</v>
      </c>
      <c r="W1057" s="38" t="s">
        <v>91</v>
      </c>
      <c r="X1057" s="38" t="s">
        <v>145</v>
      </c>
      <c r="Y1057" s="38" t="s">
        <v>146</v>
      </c>
      <c r="Z1057" s="38" t="s">
        <v>147</v>
      </c>
      <c r="AA1057" s="113" t="str">
        <f t="array" ref="AA1057">PROPER(G1057)</f>
        <v>Offline</v>
      </c>
    </row>
    <row r="1058">
      <c r="A1058" s="110">
        <v>7.97461354E8</v>
      </c>
      <c r="B1058" s="131">
        <v>40208.0</v>
      </c>
      <c r="C1058" s="131">
        <v>40214.0</v>
      </c>
      <c r="D1058" s="110" t="s">
        <v>95</v>
      </c>
      <c r="E1058" s="110" t="s">
        <v>122</v>
      </c>
      <c r="F1058" s="110">
        <v>1270.0</v>
      </c>
      <c r="G1058" s="38" t="s">
        <v>43</v>
      </c>
      <c r="H1058" s="110">
        <v>5391.0</v>
      </c>
      <c r="I1058" s="132">
        <v>47.45</v>
      </c>
      <c r="J1058" s="132">
        <v>31.79</v>
      </c>
      <c r="K1058" s="39">
        <f t="shared" si="1"/>
        <v>255802.95</v>
      </c>
      <c r="L1058" s="39">
        <f t="shared" si="2"/>
        <v>171379.89</v>
      </c>
      <c r="M1058" s="39">
        <f t="shared" si="3"/>
        <v>84423.06</v>
      </c>
      <c r="N1058" s="38" t="str">
        <f>VLOOKUP(F1058,products!$A$2:$B$13,2,FALSE)</f>
        <v>Beverages</v>
      </c>
      <c r="O1058" s="133">
        <f t="shared" si="4"/>
        <v>0.6699683878</v>
      </c>
      <c r="P1058" s="38" t="str">
        <f>VLOOKUP(E1058,countries!A$2:E$250,3,false)</f>
        <v>Switzerland</v>
      </c>
      <c r="Q1058" s="38" t="str">
        <f>VLOOKUP($E1058,countries!$A$2:$E$250,4,false)</f>
        <v>Europe</v>
      </c>
      <c r="R1058" s="38" t="str">
        <f>VLOOKUP($E1058,countries!$A$2:$E$250,5,false)</f>
        <v>Western Europe</v>
      </c>
      <c r="S1058" s="38">
        <f t="shared" si="5"/>
        <v>6</v>
      </c>
      <c r="T1058" s="38" t="s">
        <v>152</v>
      </c>
      <c r="U1058" s="38">
        <v>2010.0</v>
      </c>
      <c r="V1058" s="38">
        <v>1.0</v>
      </c>
      <c r="W1058" s="38" t="s">
        <v>122</v>
      </c>
      <c r="X1058" s="38" t="s">
        <v>193</v>
      </c>
      <c r="Y1058" s="38" t="s">
        <v>146</v>
      </c>
      <c r="Z1058" s="38" t="s">
        <v>158</v>
      </c>
      <c r="AA1058" s="113" t="str">
        <f t="array" ref="AA1058">PROPER(G1058)</f>
        <v>Online</v>
      </c>
    </row>
    <row r="1059">
      <c r="A1059" s="110">
        <v>7.97718417E8</v>
      </c>
      <c r="B1059" s="131">
        <v>40418.0</v>
      </c>
      <c r="C1059" s="131">
        <v>40466.0</v>
      </c>
      <c r="D1059" s="110" t="s">
        <v>93</v>
      </c>
      <c r="E1059" s="110" t="s">
        <v>97</v>
      </c>
      <c r="F1059" s="110">
        <v>2103.0</v>
      </c>
      <c r="G1059" s="38" t="s">
        <v>42</v>
      </c>
      <c r="H1059" s="110">
        <v>1462.0</v>
      </c>
      <c r="I1059" s="132">
        <v>205.7</v>
      </c>
      <c r="J1059" s="132">
        <v>117.11</v>
      </c>
      <c r="K1059" s="39">
        <f t="shared" si="1"/>
        <v>300733.4</v>
      </c>
      <c r="L1059" s="39">
        <f t="shared" si="2"/>
        <v>171214.82</v>
      </c>
      <c r="M1059" s="39">
        <f t="shared" si="3"/>
        <v>129518.58</v>
      </c>
      <c r="N1059" s="38" t="str">
        <f>VLOOKUP(F1059,products!$A$2:$B$13,2,FALSE)</f>
        <v>Cereal</v>
      </c>
      <c r="O1059" s="133">
        <f t="shared" si="4"/>
        <v>0.5693242586</v>
      </c>
      <c r="P1059" s="38" t="str">
        <f>VLOOKUP(E1059,countries!A$2:E$250,3,false)</f>
        <v>France</v>
      </c>
      <c r="Q1059" s="38" t="str">
        <f>VLOOKUP($E1059,countries!$A$2:$E$250,4,false)</f>
        <v>Europe</v>
      </c>
      <c r="R1059" s="38" t="str">
        <f>VLOOKUP($E1059,countries!$A$2:$E$250,5,false)</f>
        <v>Western Europe</v>
      </c>
      <c r="S1059" s="38">
        <f t="shared" si="5"/>
        <v>48</v>
      </c>
      <c r="T1059" s="38" t="s">
        <v>144</v>
      </c>
      <c r="U1059" s="38">
        <v>2010.0</v>
      </c>
      <c r="V1059" s="38">
        <v>8.0</v>
      </c>
      <c r="W1059" s="38" t="s">
        <v>97</v>
      </c>
      <c r="X1059" s="38" t="s">
        <v>157</v>
      </c>
      <c r="Y1059" s="38" t="s">
        <v>146</v>
      </c>
      <c r="Z1059" s="38" t="s">
        <v>158</v>
      </c>
      <c r="AA1059" s="113" t="str">
        <f t="array" ref="AA1059">PROPER(G1059)</f>
        <v>Offline</v>
      </c>
    </row>
    <row r="1060">
      <c r="A1060" s="110">
        <v>7.97788369E8</v>
      </c>
      <c r="B1060" s="131">
        <v>42701.0</v>
      </c>
      <c r="C1060" s="131">
        <v>42702.0</v>
      </c>
      <c r="D1060" s="110" t="s">
        <v>93</v>
      </c>
      <c r="E1060" s="110" t="e">
        <v>#N/A</v>
      </c>
      <c r="F1060" s="110">
        <v>8681.0</v>
      </c>
      <c r="G1060" s="38" t="s">
        <v>43</v>
      </c>
      <c r="H1060" s="110">
        <v>2162.0</v>
      </c>
      <c r="I1060" s="132">
        <v>651.21</v>
      </c>
      <c r="J1060" s="132">
        <v>524.96</v>
      </c>
      <c r="K1060" s="39">
        <f t="shared" si="1"/>
        <v>1407916.02</v>
      </c>
      <c r="L1060" s="39">
        <f t="shared" si="2"/>
        <v>1134963.52</v>
      </c>
      <c r="M1060" s="39">
        <f t="shared" si="3"/>
        <v>272952.5</v>
      </c>
      <c r="N1060" s="38" t="str">
        <f>VLOOKUP(F1060,products!$A$2:$B$13,2,FALSE)</f>
        <v>Office Supplies</v>
      </c>
      <c r="O1060" s="133">
        <f t="shared" si="4"/>
        <v>0.806130127</v>
      </c>
      <c r="P1060" s="38" t="str">
        <f>VLOOKUP(E1060,countries!A$2:E$250,3,false)</f>
        <v>#N/A</v>
      </c>
      <c r="Q1060" s="38" t="str">
        <f>VLOOKUP($E1060,countries!$A$2:$E$250,4,false)</f>
        <v>#N/A</v>
      </c>
      <c r="R1060" s="38" t="str">
        <f>VLOOKUP($E1060,countries!$A$2:$E$250,5,false)</f>
        <v>#N/A</v>
      </c>
      <c r="S1060" s="38">
        <f t="shared" si="5"/>
        <v>1</v>
      </c>
      <c r="T1060" s="38" t="s">
        <v>153</v>
      </c>
      <c r="U1060" s="38">
        <v>2016.0</v>
      </c>
      <c r="V1060" s="38">
        <v>11.0</v>
      </c>
      <c r="W1060" s="38" t="s">
        <v>92</v>
      </c>
      <c r="X1060" s="38" t="s">
        <v>149</v>
      </c>
      <c r="Y1060" s="38" t="s">
        <v>149</v>
      </c>
      <c r="Z1060" s="38" t="s">
        <v>149</v>
      </c>
      <c r="AA1060" s="113" t="str">
        <f t="array" ref="AA1060">PROPER(G1060)</f>
        <v>Online</v>
      </c>
    </row>
    <row r="1061">
      <c r="A1061" s="110">
        <v>7.99109733E8</v>
      </c>
      <c r="B1061" s="131">
        <v>41347.0</v>
      </c>
      <c r="C1061" s="131">
        <v>41393.0</v>
      </c>
      <c r="D1061" s="110" t="s">
        <v>10</v>
      </c>
      <c r="E1061" s="110" t="s">
        <v>119</v>
      </c>
      <c r="F1061" s="110">
        <v>2455.0</v>
      </c>
      <c r="G1061" s="38" t="s">
        <v>43</v>
      </c>
      <c r="H1061" s="110">
        <v>3183.0</v>
      </c>
      <c r="I1061" s="132">
        <v>109.28</v>
      </c>
      <c r="J1061" s="132">
        <v>35.84</v>
      </c>
      <c r="K1061" s="39">
        <f t="shared" si="1"/>
        <v>347838.24</v>
      </c>
      <c r="L1061" s="39">
        <f t="shared" si="2"/>
        <v>114078.72</v>
      </c>
      <c r="M1061" s="39">
        <f t="shared" si="3"/>
        <v>233759.52</v>
      </c>
      <c r="N1061" s="38" t="str">
        <f>VLOOKUP(F1061,products!$A$2:$B$13,2,FALSE)</f>
        <v>Clothes</v>
      </c>
      <c r="O1061" s="133">
        <f t="shared" si="4"/>
        <v>0.3279648609</v>
      </c>
      <c r="P1061" s="38" t="str">
        <f>VLOOKUP(E1061,countries!A$2:E$250,3,false)</f>
        <v>Macedonia</v>
      </c>
      <c r="Q1061" s="38" t="str">
        <f>VLOOKUP($E1061,countries!$A$2:$E$250,4,false)</f>
        <v>Europe</v>
      </c>
      <c r="R1061" s="38" t="str">
        <f>VLOOKUP($E1061,countries!$A$2:$E$250,5,false)</f>
        <v>Southern Europe</v>
      </c>
      <c r="S1061" s="38">
        <f t="shared" si="5"/>
        <v>46</v>
      </c>
      <c r="T1061" s="38" t="s">
        <v>150</v>
      </c>
      <c r="U1061" s="38">
        <v>2013.0</v>
      </c>
      <c r="V1061" s="38">
        <v>3.0</v>
      </c>
      <c r="W1061" s="38" t="s">
        <v>119</v>
      </c>
      <c r="X1061" s="38" t="s">
        <v>190</v>
      </c>
      <c r="Y1061" s="38" t="s">
        <v>146</v>
      </c>
      <c r="Z1061" s="38" t="s">
        <v>147</v>
      </c>
      <c r="AA1061" s="113" t="str">
        <f t="array" ref="AA1061">PROPER(G1061)</f>
        <v>Online</v>
      </c>
    </row>
    <row r="1062">
      <c r="A1062" s="110">
        <v>7.99848306E8</v>
      </c>
      <c r="B1062" s="131">
        <v>42440.0</v>
      </c>
      <c r="C1062" s="131">
        <v>42483.0</v>
      </c>
      <c r="D1062" s="110" t="s">
        <v>10</v>
      </c>
      <c r="E1062" s="110" t="s">
        <v>138</v>
      </c>
      <c r="F1062" s="110">
        <v>7940.0</v>
      </c>
      <c r="G1062" s="38" t="s">
        <v>42</v>
      </c>
      <c r="H1062" s="110">
        <v>1743.0</v>
      </c>
      <c r="I1062" s="132">
        <v>668.27</v>
      </c>
      <c r="J1062" s="132">
        <v>502.54</v>
      </c>
      <c r="K1062" s="39">
        <f t="shared" si="1"/>
        <v>1164794.61</v>
      </c>
      <c r="L1062" s="39">
        <f t="shared" si="2"/>
        <v>875927.22</v>
      </c>
      <c r="M1062" s="39">
        <f t="shared" si="3"/>
        <v>288867.39</v>
      </c>
      <c r="N1062" s="38" t="str">
        <f>VLOOKUP(F1062,products!$A$2:$B$13,2,FALSE)</f>
        <v>Household</v>
      </c>
      <c r="O1062" s="133">
        <f t="shared" si="4"/>
        <v>0.7520014365</v>
      </c>
      <c r="P1062" s="38" t="str">
        <f>VLOOKUP(E1062,countries!A$2:E$250,3,false)</f>
        <v>Greece</v>
      </c>
      <c r="Q1062" s="38" t="str">
        <f>VLOOKUP($E1062,countries!$A$2:$E$250,4,false)</f>
        <v>Europe</v>
      </c>
      <c r="R1062" s="38" t="str">
        <f>VLOOKUP($E1062,countries!$A$2:$E$250,5,false)</f>
        <v>Southern Europe</v>
      </c>
      <c r="S1062" s="38">
        <f t="shared" si="5"/>
        <v>43</v>
      </c>
      <c r="T1062" s="38" t="s">
        <v>148</v>
      </c>
      <c r="U1062" s="38">
        <v>2016.0</v>
      </c>
      <c r="V1062" s="38">
        <v>3.0</v>
      </c>
      <c r="W1062" s="38" t="s">
        <v>138</v>
      </c>
      <c r="X1062" s="38" t="s">
        <v>208</v>
      </c>
      <c r="Y1062" s="38" t="s">
        <v>146</v>
      </c>
      <c r="Z1062" s="38" t="s">
        <v>147</v>
      </c>
      <c r="AA1062" s="113" t="str">
        <f t="array" ref="AA1062">PROPER(G1062)</f>
        <v>Offline</v>
      </c>
    </row>
    <row r="1063">
      <c r="A1063" s="110">
        <v>8.00045716E8</v>
      </c>
      <c r="B1063" s="131">
        <v>42841.0</v>
      </c>
      <c r="C1063" s="131">
        <v>42869.0</v>
      </c>
      <c r="D1063" s="110" t="s">
        <v>89</v>
      </c>
      <c r="E1063" s="110" t="s">
        <v>138</v>
      </c>
      <c r="F1063" s="110">
        <v>3127.0</v>
      </c>
      <c r="G1063" s="38" t="s">
        <v>43</v>
      </c>
      <c r="H1063" s="110">
        <v>161.0</v>
      </c>
      <c r="I1063" s="132">
        <v>81.73</v>
      </c>
      <c r="J1063" s="132">
        <v>56.67</v>
      </c>
      <c r="K1063" s="39">
        <f t="shared" si="1"/>
        <v>13158.53</v>
      </c>
      <c r="L1063" s="39">
        <f t="shared" si="2"/>
        <v>9123.87</v>
      </c>
      <c r="M1063" s="39">
        <f t="shared" si="3"/>
        <v>4034.66</v>
      </c>
      <c r="N1063" s="38" t="str">
        <f>VLOOKUP(F1063,products!$A$2:$B$13,2,FALSE)</f>
        <v>Personal Care</v>
      </c>
      <c r="O1063" s="133">
        <f t="shared" si="4"/>
        <v>0.6933806436</v>
      </c>
      <c r="P1063" s="38" t="str">
        <f>VLOOKUP(E1063,countries!A$2:E$250,3,false)</f>
        <v>Greece</v>
      </c>
      <c r="Q1063" s="38" t="str">
        <f>VLOOKUP($E1063,countries!$A$2:$E$250,4,false)</f>
        <v>Europe</v>
      </c>
      <c r="R1063" s="38" t="str">
        <f>VLOOKUP($E1063,countries!$A$2:$E$250,5,false)</f>
        <v>Southern Europe</v>
      </c>
      <c r="S1063" s="38">
        <f t="shared" si="5"/>
        <v>28</v>
      </c>
      <c r="T1063" s="38" t="s">
        <v>185</v>
      </c>
      <c r="U1063" s="38">
        <v>2017.0</v>
      </c>
      <c r="V1063" s="38">
        <v>4.0</v>
      </c>
      <c r="W1063" s="38" t="s">
        <v>138</v>
      </c>
      <c r="X1063" s="38" t="s">
        <v>208</v>
      </c>
      <c r="Y1063" s="38" t="s">
        <v>146</v>
      </c>
      <c r="Z1063" s="38" t="s">
        <v>147</v>
      </c>
      <c r="AA1063" s="113" t="str">
        <f t="array" ref="AA1063">PROPER(G1063)</f>
        <v>Online</v>
      </c>
    </row>
    <row r="1064">
      <c r="A1064" s="110">
        <v>8.00352561E8</v>
      </c>
      <c r="B1064" s="131">
        <v>41180.0</v>
      </c>
      <c r="C1064" s="131">
        <v>41203.0</v>
      </c>
      <c r="D1064" s="110" t="s">
        <v>95</v>
      </c>
      <c r="E1064" s="110" t="s">
        <v>130</v>
      </c>
      <c r="F1064" s="110">
        <v>5988.0</v>
      </c>
      <c r="G1064" s="38" t="s">
        <v>43</v>
      </c>
      <c r="H1064" s="110">
        <v>963.0</v>
      </c>
      <c r="I1064" s="132">
        <v>154.06</v>
      </c>
      <c r="J1064" s="132">
        <v>90.93</v>
      </c>
      <c r="K1064" s="39">
        <f t="shared" si="1"/>
        <v>148359.78</v>
      </c>
      <c r="L1064" s="39">
        <f t="shared" si="2"/>
        <v>87565.59</v>
      </c>
      <c r="M1064" s="39">
        <f t="shared" si="3"/>
        <v>60794.19</v>
      </c>
      <c r="N1064" s="38" t="str">
        <f>VLOOKUP(F1064,products!$A$2:$B$13,2,FALSE)</f>
        <v>Vegetables</v>
      </c>
      <c r="O1064" s="133">
        <f t="shared" si="4"/>
        <v>0.5902245878</v>
      </c>
      <c r="P1064" s="38" t="str">
        <f>VLOOKUP(E1064,countries!A$2:E$250,3,false)</f>
        <v>Finland</v>
      </c>
      <c r="Q1064" s="38" t="str">
        <f>VLOOKUP($E1064,countries!$A$2:$E$250,4,false)</f>
        <v>Europe</v>
      </c>
      <c r="R1064" s="38" t="str">
        <f>VLOOKUP($E1064,countries!$A$2:$E$250,5,false)</f>
        <v>Northern Europe</v>
      </c>
      <c r="S1064" s="38">
        <f t="shared" si="5"/>
        <v>23</v>
      </c>
      <c r="T1064" s="38" t="s">
        <v>159</v>
      </c>
      <c r="U1064" s="38">
        <v>2012.0</v>
      </c>
      <c r="V1064" s="38">
        <v>9.0</v>
      </c>
      <c r="W1064" s="38" t="s">
        <v>130</v>
      </c>
      <c r="X1064" s="38" t="s">
        <v>201</v>
      </c>
      <c r="Y1064" s="38" t="s">
        <v>146</v>
      </c>
      <c r="Z1064" s="38" t="s">
        <v>170</v>
      </c>
      <c r="AA1064" s="113" t="str">
        <f t="array" ref="AA1064">PROPER(G1064)</f>
        <v>Online</v>
      </c>
    </row>
    <row r="1065">
      <c r="A1065" s="110">
        <v>8.01352488E8</v>
      </c>
      <c r="B1065" s="131">
        <v>42130.0</v>
      </c>
      <c r="C1065" s="131">
        <v>42147.0</v>
      </c>
      <c r="D1065" s="110" t="s">
        <v>89</v>
      </c>
      <c r="E1065" s="110" t="s">
        <v>103</v>
      </c>
      <c r="F1065" s="110">
        <v>8293.0</v>
      </c>
      <c r="G1065" s="38" t="s">
        <v>42</v>
      </c>
      <c r="H1065" s="110">
        <v>6864.0</v>
      </c>
      <c r="I1065" s="132">
        <v>437.2</v>
      </c>
      <c r="J1065" s="132">
        <v>263.33</v>
      </c>
      <c r="K1065" s="39">
        <f t="shared" si="1"/>
        <v>3000940.8</v>
      </c>
      <c r="L1065" s="39">
        <f t="shared" si="2"/>
        <v>1807497.12</v>
      </c>
      <c r="M1065" s="39">
        <f t="shared" si="3"/>
        <v>1193443.68</v>
      </c>
      <c r="N1065" s="38" t="str">
        <f>VLOOKUP(F1065,products!$A$2:$B$13,2,FALSE)</f>
        <v>Cosmetics</v>
      </c>
      <c r="O1065" s="133">
        <f t="shared" si="4"/>
        <v>0.6023101555</v>
      </c>
      <c r="P1065" s="38" t="str">
        <f>VLOOKUP(E1065,countries!A$2:E$250,3,false)</f>
        <v>United Kingdom</v>
      </c>
      <c r="Q1065" s="38" t="str">
        <f>VLOOKUP($E1065,countries!$A$2:$E$250,4,false)</f>
        <v>Europe</v>
      </c>
      <c r="R1065" s="38" t="str">
        <f>VLOOKUP($E1065,countries!$A$2:$E$250,5,false)</f>
        <v>Northern Europe</v>
      </c>
      <c r="S1065" s="38">
        <f t="shared" si="5"/>
        <v>17</v>
      </c>
      <c r="T1065" s="38" t="s">
        <v>178</v>
      </c>
      <c r="U1065" s="38">
        <v>2015.0</v>
      </c>
      <c r="V1065" s="38">
        <v>5.0</v>
      </c>
      <c r="W1065" s="38" t="s">
        <v>103</v>
      </c>
      <c r="X1065" s="38" t="s">
        <v>169</v>
      </c>
      <c r="Y1065" s="38" t="s">
        <v>146</v>
      </c>
      <c r="Z1065" s="38" t="s">
        <v>170</v>
      </c>
      <c r="AA1065" s="113" t="str">
        <f t="array" ref="AA1065">PROPER(G1065)</f>
        <v>Offline</v>
      </c>
    </row>
    <row r="1066">
      <c r="A1066" s="110">
        <v>8.01925837E8</v>
      </c>
      <c r="B1066" s="131">
        <v>41564.0</v>
      </c>
      <c r="C1066" s="131">
        <v>41573.0</v>
      </c>
      <c r="D1066" s="110" t="s">
        <v>10</v>
      </c>
      <c r="E1066" s="110" t="s">
        <v>129</v>
      </c>
      <c r="F1066" s="110">
        <v>5988.0</v>
      </c>
      <c r="G1066" s="38" t="s">
        <v>42</v>
      </c>
      <c r="H1066" s="110">
        <v>6531.0</v>
      </c>
      <c r="I1066" s="132">
        <v>154.06</v>
      </c>
      <c r="J1066" s="132">
        <v>90.93</v>
      </c>
      <c r="K1066" s="39">
        <f t="shared" si="1"/>
        <v>1006165.86</v>
      </c>
      <c r="L1066" s="39">
        <f t="shared" si="2"/>
        <v>593863.83</v>
      </c>
      <c r="M1066" s="39">
        <f t="shared" si="3"/>
        <v>412302.03</v>
      </c>
      <c r="N1066" s="38" t="str">
        <f>VLOOKUP(F1066,products!$A$2:$B$13,2,FALSE)</f>
        <v>Vegetables</v>
      </c>
      <c r="O1066" s="133">
        <f t="shared" si="4"/>
        <v>0.5902245878</v>
      </c>
      <c r="P1066" s="38" t="str">
        <f>VLOOKUP(E1066,countries!A$2:E$250,3,false)</f>
        <v>Liechtenstein</v>
      </c>
      <c r="Q1066" s="38" t="str">
        <f>VLOOKUP($E1066,countries!$A$2:$E$250,4,false)</f>
        <v>Europe</v>
      </c>
      <c r="R1066" s="38" t="str">
        <f>VLOOKUP($E1066,countries!$A$2:$E$250,5,false)</f>
        <v>Western Europe</v>
      </c>
      <c r="S1066" s="38">
        <f t="shared" si="5"/>
        <v>9</v>
      </c>
      <c r="T1066" s="38" t="s">
        <v>159</v>
      </c>
      <c r="U1066" s="38">
        <v>2013.0</v>
      </c>
      <c r="V1066" s="38">
        <v>10.0</v>
      </c>
      <c r="W1066" s="38" t="s">
        <v>129</v>
      </c>
      <c r="X1066" s="38" t="s">
        <v>200</v>
      </c>
      <c r="Y1066" s="38" t="s">
        <v>146</v>
      </c>
      <c r="Z1066" s="38" t="s">
        <v>158</v>
      </c>
      <c r="AA1066" s="113" t="str">
        <f t="array" ref="AA1066">PROPER(G1066)</f>
        <v>Offline</v>
      </c>
    </row>
    <row r="1067">
      <c r="A1067" s="110">
        <v>8.05095136E8</v>
      </c>
      <c r="B1067" s="131">
        <v>40191.0</v>
      </c>
      <c r="C1067" s="131">
        <v>40198.0</v>
      </c>
      <c r="D1067" s="110" t="s">
        <v>93</v>
      </c>
      <c r="E1067" s="110" t="e">
        <v>#N/A</v>
      </c>
      <c r="F1067" s="110">
        <v>5988.0</v>
      </c>
      <c r="G1067" s="38" t="s">
        <v>43</v>
      </c>
      <c r="H1067" s="110">
        <v>4396.0</v>
      </c>
      <c r="I1067" s="132">
        <v>154.06</v>
      </c>
      <c r="J1067" s="132">
        <v>90.93</v>
      </c>
      <c r="K1067" s="39">
        <f t="shared" si="1"/>
        <v>677247.76</v>
      </c>
      <c r="L1067" s="39">
        <f t="shared" si="2"/>
        <v>399728.28</v>
      </c>
      <c r="M1067" s="39">
        <f t="shared" si="3"/>
        <v>277519.48</v>
      </c>
      <c r="N1067" s="38" t="str">
        <f>VLOOKUP(F1067,products!$A$2:$B$13,2,FALSE)</f>
        <v>Vegetables</v>
      </c>
      <c r="O1067" s="133">
        <f t="shared" si="4"/>
        <v>0.5902245878</v>
      </c>
      <c r="P1067" s="38" t="str">
        <f>VLOOKUP(E1067,countries!A$2:E$250,3,false)</f>
        <v>#N/A</v>
      </c>
      <c r="Q1067" s="38" t="str">
        <f>VLOOKUP($E1067,countries!$A$2:$E$250,4,false)</f>
        <v>#N/A</v>
      </c>
      <c r="R1067" s="38" t="str">
        <f>VLOOKUP($E1067,countries!$A$2:$E$250,5,false)</f>
        <v>#N/A</v>
      </c>
      <c r="S1067" s="38">
        <f t="shared" si="5"/>
        <v>7</v>
      </c>
      <c r="T1067" s="38" t="s">
        <v>159</v>
      </c>
      <c r="U1067" s="38">
        <v>2010.0</v>
      </c>
      <c r="V1067" s="38">
        <v>1.0</v>
      </c>
      <c r="W1067" s="38" t="s">
        <v>92</v>
      </c>
      <c r="X1067" s="38" t="s">
        <v>149</v>
      </c>
      <c r="Y1067" s="38" t="s">
        <v>149</v>
      </c>
      <c r="Z1067" s="38" t="s">
        <v>149</v>
      </c>
      <c r="AA1067" s="113" t="str">
        <f t="array" ref="AA1067">PROPER(G1067)</f>
        <v>Online</v>
      </c>
    </row>
    <row r="1068">
      <c r="A1068" s="110">
        <v>8.05974042E8</v>
      </c>
      <c r="B1068" s="131">
        <v>41112.0</v>
      </c>
      <c r="C1068" s="131">
        <v>41118.0</v>
      </c>
      <c r="D1068" s="110" t="s">
        <v>89</v>
      </c>
      <c r="E1068" s="110" t="s">
        <v>135</v>
      </c>
      <c r="F1068" s="110">
        <v>8293.0</v>
      </c>
      <c r="G1068" s="38" t="s">
        <v>42</v>
      </c>
      <c r="H1068" s="110">
        <v>4484.0</v>
      </c>
      <c r="I1068" s="132">
        <v>437.2</v>
      </c>
      <c r="J1068" s="132">
        <v>263.33</v>
      </c>
      <c r="K1068" s="39">
        <f t="shared" si="1"/>
        <v>1960404.8</v>
      </c>
      <c r="L1068" s="39">
        <f t="shared" si="2"/>
        <v>1180771.72</v>
      </c>
      <c r="M1068" s="39">
        <f t="shared" si="3"/>
        <v>779633.08</v>
      </c>
      <c r="N1068" s="38" t="str">
        <f>VLOOKUP(F1068,products!$A$2:$B$13,2,FALSE)</f>
        <v>Cosmetics</v>
      </c>
      <c r="O1068" s="133">
        <f t="shared" si="4"/>
        <v>0.6023101555</v>
      </c>
      <c r="P1068" s="38" t="str">
        <f>VLOOKUP(E1068,countries!A$2:E$250,3,false)</f>
        <v>Denmark</v>
      </c>
      <c r="Q1068" s="38" t="str">
        <f>VLOOKUP($E1068,countries!$A$2:$E$250,4,false)</f>
        <v>Europe</v>
      </c>
      <c r="R1068" s="38" t="str">
        <f>VLOOKUP($E1068,countries!$A$2:$E$250,5,false)</f>
        <v>Northern Europe</v>
      </c>
      <c r="S1068" s="38">
        <f t="shared" si="5"/>
        <v>6</v>
      </c>
      <c r="T1068" s="38" t="s">
        <v>178</v>
      </c>
      <c r="U1068" s="38">
        <v>2012.0</v>
      </c>
      <c r="V1068" s="38">
        <v>7.0</v>
      </c>
      <c r="W1068" s="38" t="s">
        <v>135</v>
      </c>
      <c r="X1068" s="38" t="s">
        <v>205</v>
      </c>
      <c r="Y1068" s="38" t="s">
        <v>146</v>
      </c>
      <c r="Z1068" s="38" t="s">
        <v>170</v>
      </c>
      <c r="AA1068" s="113" t="str">
        <f t="array" ref="AA1068">PROPER(G1068)</f>
        <v>Offline</v>
      </c>
    </row>
    <row r="1069">
      <c r="A1069" s="110">
        <v>8.06197631E8</v>
      </c>
      <c r="B1069" s="131">
        <v>40196.0</v>
      </c>
      <c r="C1069" s="131">
        <v>40227.0</v>
      </c>
      <c r="D1069" s="110" t="s">
        <v>89</v>
      </c>
      <c r="E1069" s="110" t="s">
        <v>108</v>
      </c>
      <c r="F1069" s="110">
        <v>7331.0</v>
      </c>
      <c r="G1069" s="38" t="s">
        <v>43</v>
      </c>
      <c r="H1069" s="110">
        <v>649.0</v>
      </c>
      <c r="I1069" s="132">
        <v>255.28</v>
      </c>
      <c r="J1069" s="132">
        <v>159.42</v>
      </c>
      <c r="K1069" s="39">
        <f t="shared" si="1"/>
        <v>165676.72</v>
      </c>
      <c r="L1069" s="39">
        <f t="shared" si="2"/>
        <v>103463.58</v>
      </c>
      <c r="M1069" s="39">
        <f t="shared" si="3"/>
        <v>62213.14</v>
      </c>
      <c r="N1069" s="38" t="str">
        <f>VLOOKUP(F1069,products!$A$2:$B$13,2,FALSE)</f>
        <v>Baby Food</v>
      </c>
      <c r="O1069" s="133">
        <f t="shared" si="4"/>
        <v>0.6244907552</v>
      </c>
      <c r="P1069" s="38" t="str">
        <f>VLOOKUP(E1069,countries!A$2:E$250,3,false)</f>
        <v>Cyprus</v>
      </c>
      <c r="Q1069" s="38" t="str">
        <f>VLOOKUP($E1069,countries!$A$2:$E$250,4,false)</f>
        <v>Asia</v>
      </c>
      <c r="R1069" s="38" t="str">
        <f>VLOOKUP($E1069,countries!$A$2:$E$250,5,false)</f>
        <v>Western Asia</v>
      </c>
      <c r="S1069" s="38">
        <f t="shared" si="5"/>
        <v>31</v>
      </c>
      <c r="T1069" s="38" t="s">
        <v>161</v>
      </c>
      <c r="U1069" s="38">
        <v>2010.0</v>
      </c>
      <c r="V1069" s="38">
        <v>1.0</v>
      </c>
      <c r="W1069" s="38" t="s">
        <v>108</v>
      </c>
      <c r="X1069" s="38" t="s">
        <v>175</v>
      </c>
      <c r="Y1069" s="38" t="s">
        <v>165</v>
      </c>
      <c r="Z1069" s="38" t="s">
        <v>166</v>
      </c>
      <c r="AA1069" s="113" t="str">
        <f t="array" ref="AA1069">PROPER(G1069)</f>
        <v>Online</v>
      </c>
    </row>
    <row r="1070">
      <c r="A1070" s="110">
        <v>8.06662404E8</v>
      </c>
      <c r="B1070" s="131">
        <v>40516.0</v>
      </c>
      <c r="C1070" s="131">
        <v>40519.0</v>
      </c>
      <c r="D1070" s="110" t="s">
        <v>95</v>
      </c>
      <c r="E1070" s="110" t="s">
        <v>98</v>
      </c>
      <c r="F1070" s="110">
        <v>2103.0</v>
      </c>
      <c r="G1070" s="38" t="s">
        <v>42</v>
      </c>
      <c r="H1070" s="110">
        <v>8186.0</v>
      </c>
      <c r="I1070" s="132">
        <v>205.7</v>
      </c>
      <c r="J1070" s="132">
        <v>117.11</v>
      </c>
      <c r="K1070" s="39">
        <f t="shared" si="1"/>
        <v>1683860.2</v>
      </c>
      <c r="L1070" s="39">
        <f t="shared" si="2"/>
        <v>958662.46</v>
      </c>
      <c r="M1070" s="39">
        <f t="shared" si="3"/>
        <v>725197.74</v>
      </c>
      <c r="N1070" s="38" t="str">
        <f>VLOOKUP(F1070,products!$A$2:$B$13,2,FALSE)</f>
        <v>Cereal</v>
      </c>
      <c r="O1070" s="133">
        <f t="shared" si="4"/>
        <v>0.5693242586</v>
      </c>
      <c r="P1070" s="38" t="str">
        <f>VLOOKUP(E1070,countries!A$2:E$250,3,false)</f>
        <v>Spain</v>
      </c>
      <c r="Q1070" s="38" t="str">
        <f>VLOOKUP($E1070,countries!$A$2:$E$250,4,false)</f>
        <v>Europe</v>
      </c>
      <c r="R1070" s="38" t="str">
        <f>VLOOKUP($E1070,countries!$A$2:$E$250,5,false)</f>
        <v>Southern Europe</v>
      </c>
      <c r="S1070" s="38">
        <f t="shared" si="5"/>
        <v>3</v>
      </c>
      <c r="T1070" s="38" t="s">
        <v>144</v>
      </c>
      <c r="U1070" s="38">
        <v>2010.0</v>
      </c>
      <c r="V1070" s="38">
        <v>12.0</v>
      </c>
      <c r="W1070" s="38" t="s">
        <v>98</v>
      </c>
      <c r="X1070" s="38" t="s">
        <v>160</v>
      </c>
      <c r="Y1070" s="38" t="s">
        <v>146</v>
      </c>
      <c r="Z1070" s="38" t="s">
        <v>147</v>
      </c>
      <c r="AA1070" s="113" t="str">
        <f t="array" ref="AA1070">PROPER(G1070)</f>
        <v>Offline</v>
      </c>
    </row>
    <row r="1071">
      <c r="A1071" s="110">
        <v>8.10752236E8</v>
      </c>
      <c r="B1071" s="131">
        <v>42457.0</v>
      </c>
      <c r="C1071" s="131">
        <v>42494.0</v>
      </c>
      <c r="D1071" s="110" t="s">
        <v>93</v>
      </c>
      <c r="E1071" s="110" t="e">
        <v>#N/A</v>
      </c>
      <c r="F1071" s="110">
        <v>5988.0</v>
      </c>
      <c r="G1071" s="38" t="s">
        <v>43</v>
      </c>
      <c r="H1071" s="110">
        <v>8458.0</v>
      </c>
      <c r="I1071" s="132">
        <v>154.06</v>
      </c>
      <c r="J1071" s="132">
        <v>90.93</v>
      </c>
      <c r="K1071" s="39">
        <f t="shared" si="1"/>
        <v>1303039.48</v>
      </c>
      <c r="L1071" s="39">
        <f t="shared" si="2"/>
        <v>769085.94</v>
      </c>
      <c r="M1071" s="39">
        <f t="shared" si="3"/>
        <v>533953.54</v>
      </c>
      <c r="N1071" s="38" t="str">
        <f>VLOOKUP(F1071,products!$A$2:$B$13,2,FALSE)</f>
        <v>Vegetables</v>
      </c>
      <c r="O1071" s="133">
        <f t="shared" si="4"/>
        <v>0.5902245878</v>
      </c>
      <c r="P1071" s="38" t="str">
        <f>VLOOKUP(E1071,countries!A$2:E$250,3,false)</f>
        <v>#N/A</v>
      </c>
      <c r="Q1071" s="38" t="str">
        <f>VLOOKUP($E1071,countries!$A$2:$E$250,4,false)</f>
        <v>#N/A</v>
      </c>
      <c r="R1071" s="38" t="str">
        <f>VLOOKUP($E1071,countries!$A$2:$E$250,5,false)</f>
        <v>#N/A</v>
      </c>
      <c r="S1071" s="38">
        <f t="shared" si="5"/>
        <v>37</v>
      </c>
      <c r="T1071" s="38" t="s">
        <v>159</v>
      </c>
      <c r="U1071" s="38">
        <v>2016.0</v>
      </c>
      <c r="V1071" s="38">
        <v>3.0</v>
      </c>
      <c r="W1071" s="38" t="s">
        <v>92</v>
      </c>
      <c r="X1071" s="38" t="s">
        <v>149</v>
      </c>
      <c r="Y1071" s="38" t="s">
        <v>149</v>
      </c>
      <c r="Z1071" s="38" t="s">
        <v>149</v>
      </c>
      <c r="AA1071" s="113" t="str">
        <f t="array" ref="AA1071">PROPER(G1071)</f>
        <v>Online</v>
      </c>
    </row>
    <row r="1072">
      <c r="A1072" s="110">
        <v>8.1197704E8</v>
      </c>
      <c r="B1072" s="131">
        <v>42109.0</v>
      </c>
      <c r="C1072" s="131">
        <v>42152.0</v>
      </c>
      <c r="D1072" s="110" t="s">
        <v>89</v>
      </c>
      <c r="E1072" s="110" t="s">
        <v>122</v>
      </c>
      <c r="F1072" s="110">
        <v>8293.0</v>
      </c>
      <c r="G1072" s="38" t="s">
        <v>43</v>
      </c>
      <c r="H1072" s="110">
        <v>905.0</v>
      </c>
      <c r="I1072" s="132">
        <v>437.2</v>
      </c>
      <c r="J1072" s="132">
        <v>263.33</v>
      </c>
      <c r="K1072" s="39">
        <f t="shared" si="1"/>
        <v>395666</v>
      </c>
      <c r="L1072" s="39">
        <f t="shared" si="2"/>
        <v>238313.65</v>
      </c>
      <c r="M1072" s="39">
        <f t="shared" si="3"/>
        <v>157352.35</v>
      </c>
      <c r="N1072" s="38" t="str">
        <f>VLOOKUP(F1072,products!$A$2:$B$13,2,FALSE)</f>
        <v>Cosmetics</v>
      </c>
      <c r="O1072" s="133">
        <f t="shared" si="4"/>
        <v>0.6023101555</v>
      </c>
      <c r="P1072" s="38" t="str">
        <f>VLOOKUP(E1072,countries!A$2:E$250,3,false)</f>
        <v>Switzerland</v>
      </c>
      <c r="Q1072" s="38" t="str">
        <f>VLOOKUP($E1072,countries!$A$2:$E$250,4,false)</f>
        <v>Europe</v>
      </c>
      <c r="R1072" s="38" t="str">
        <f>VLOOKUP($E1072,countries!$A$2:$E$250,5,false)</f>
        <v>Western Europe</v>
      </c>
      <c r="S1072" s="38">
        <f t="shared" si="5"/>
        <v>43</v>
      </c>
      <c r="T1072" s="38" t="s">
        <v>178</v>
      </c>
      <c r="U1072" s="38">
        <v>2015.0</v>
      </c>
      <c r="V1072" s="38">
        <v>4.0</v>
      </c>
      <c r="W1072" s="38" t="s">
        <v>122</v>
      </c>
      <c r="X1072" s="38" t="s">
        <v>193</v>
      </c>
      <c r="Y1072" s="38" t="s">
        <v>146</v>
      </c>
      <c r="Z1072" s="38" t="s">
        <v>158</v>
      </c>
      <c r="AA1072" s="113" t="str">
        <f t="array" ref="AA1072">PROPER(G1072)</f>
        <v>Online</v>
      </c>
    </row>
    <row r="1073">
      <c r="A1073" s="110">
        <v>8.12632358E8</v>
      </c>
      <c r="B1073" s="131">
        <v>41181.0</v>
      </c>
      <c r="C1073" s="131">
        <v>41199.0</v>
      </c>
      <c r="D1073" s="110" t="s">
        <v>10</v>
      </c>
      <c r="E1073" s="110" t="s">
        <v>105</v>
      </c>
      <c r="F1073" s="110">
        <v>2103.0</v>
      </c>
      <c r="G1073" s="38" t="s">
        <v>42</v>
      </c>
      <c r="H1073" s="110">
        <v>4828.0</v>
      </c>
      <c r="I1073" s="132">
        <v>205.7</v>
      </c>
      <c r="J1073" s="132">
        <v>117.11</v>
      </c>
      <c r="K1073" s="39">
        <f t="shared" si="1"/>
        <v>993119.6</v>
      </c>
      <c r="L1073" s="39">
        <f t="shared" si="2"/>
        <v>565407.08</v>
      </c>
      <c r="M1073" s="39">
        <f t="shared" si="3"/>
        <v>427712.52</v>
      </c>
      <c r="N1073" s="38" t="str">
        <f>VLOOKUP(F1073,products!$A$2:$B$13,2,FALSE)</f>
        <v>Cereal</v>
      </c>
      <c r="O1073" s="133">
        <f t="shared" si="4"/>
        <v>0.5693242586</v>
      </c>
      <c r="P1073" s="38" t="str">
        <f>VLOOKUP(E1073,countries!A$2:E$250,3,false)</f>
        <v>Romania</v>
      </c>
      <c r="Q1073" s="38" t="str">
        <f>VLOOKUP($E1073,countries!$A$2:$E$250,4,false)</f>
        <v>Europe</v>
      </c>
      <c r="R1073" s="38" t="str">
        <f>VLOOKUP($E1073,countries!$A$2:$E$250,5,false)</f>
        <v>Eastern Europe</v>
      </c>
      <c r="S1073" s="38">
        <f t="shared" si="5"/>
        <v>18</v>
      </c>
      <c r="T1073" s="38" t="s">
        <v>144</v>
      </c>
      <c r="U1073" s="38">
        <v>2012.0</v>
      </c>
      <c r="V1073" s="38">
        <v>9.0</v>
      </c>
      <c r="W1073" s="38" t="s">
        <v>105</v>
      </c>
      <c r="X1073" s="38" t="s">
        <v>172</v>
      </c>
      <c r="Y1073" s="38" t="s">
        <v>146</v>
      </c>
      <c r="Z1073" s="38" t="s">
        <v>155</v>
      </c>
      <c r="AA1073" s="113" t="str">
        <f t="array" ref="AA1073">PROPER(G1073)</f>
        <v>Offline</v>
      </c>
    </row>
    <row r="1074">
      <c r="A1074" s="110">
        <v>8.12637078E8</v>
      </c>
      <c r="B1074" s="131">
        <v>41623.0</v>
      </c>
      <c r="C1074" s="131">
        <v>41644.0</v>
      </c>
      <c r="D1074" s="110" t="s">
        <v>89</v>
      </c>
      <c r="E1074" s="110" t="s">
        <v>104</v>
      </c>
      <c r="F1074" s="110">
        <v>4594.0</v>
      </c>
      <c r="G1074" s="38" t="s">
        <v>42</v>
      </c>
      <c r="H1074" s="110">
        <v>6225.0</v>
      </c>
      <c r="I1074" s="132">
        <v>9.33</v>
      </c>
      <c r="J1074" s="132">
        <v>6.92</v>
      </c>
      <c r="K1074" s="39">
        <f t="shared" si="1"/>
        <v>58079.25</v>
      </c>
      <c r="L1074" s="39">
        <f t="shared" si="2"/>
        <v>43077</v>
      </c>
      <c r="M1074" s="39">
        <f t="shared" si="3"/>
        <v>15002.25</v>
      </c>
      <c r="N1074" s="38" t="str">
        <f>VLOOKUP(F1074,products!$A$2:$B$13,2,FALSE)</f>
        <v>Fruits</v>
      </c>
      <c r="O1074" s="133">
        <f t="shared" si="4"/>
        <v>0.741693462</v>
      </c>
      <c r="P1074" s="38" t="str">
        <f>VLOOKUP(E1074,countries!A$2:E$250,3,false)</f>
        <v>Slovenia</v>
      </c>
      <c r="Q1074" s="38" t="str">
        <f>VLOOKUP($E1074,countries!$A$2:$E$250,4,false)</f>
        <v>Europe</v>
      </c>
      <c r="R1074" s="38" t="str">
        <f>VLOOKUP($E1074,countries!$A$2:$E$250,5,false)</f>
        <v>Southern Europe</v>
      </c>
      <c r="S1074" s="38">
        <f t="shared" si="5"/>
        <v>21</v>
      </c>
      <c r="T1074" s="38" t="s">
        <v>156</v>
      </c>
      <c r="U1074" s="38">
        <v>2013.0</v>
      </c>
      <c r="V1074" s="38">
        <v>12.0</v>
      </c>
      <c r="W1074" s="38" t="s">
        <v>104</v>
      </c>
      <c r="X1074" s="38" t="s">
        <v>171</v>
      </c>
      <c r="Y1074" s="38" t="s">
        <v>146</v>
      </c>
      <c r="Z1074" s="38" t="s">
        <v>147</v>
      </c>
      <c r="AA1074" s="113" t="str">
        <f t="array" ref="AA1074">PROPER(G1074)</f>
        <v>Offline</v>
      </c>
    </row>
    <row r="1075">
      <c r="A1075" s="110">
        <v>8.13973891E8</v>
      </c>
      <c r="B1075" s="131">
        <v>41214.0</v>
      </c>
      <c r="C1075" s="131">
        <v>41226.0</v>
      </c>
      <c r="D1075" s="110" t="s">
        <v>10</v>
      </c>
      <c r="E1075" s="110" t="e">
        <v>#N/A</v>
      </c>
      <c r="F1075" s="110">
        <v>8293.0</v>
      </c>
      <c r="G1075" s="38" t="s">
        <v>42</v>
      </c>
      <c r="H1075" s="110">
        <v>1818.0</v>
      </c>
      <c r="I1075" s="132">
        <v>437.2</v>
      </c>
      <c r="J1075" s="132">
        <v>263.33</v>
      </c>
      <c r="K1075" s="39">
        <f t="shared" si="1"/>
        <v>794829.6</v>
      </c>
      <c r="L1075" s="39">
        <f t="shared" si="2"/>
        <v>478733.94</v>
      </c>
      <c r="M1075" s="39">
        <f t="shared" si="3"/>
        <v>316095.66</v>
      </c>
      <c r="N1075" s="38" t="str">
        <f>VLOOKUP(F1075,products!$A$2:$B$13,2,FALSE)</f>
        <v>Cosmetics</v>
      </c>
      <c r="O1075" s="133">
        <f t="shared" si="4"/>
        <v>0.6023101555</v>
      </c>
      <c r="P1075" s="38" t="str">
        <f>VLOOKUP(E1075,countries!A$2:E$250,3,false)</f>
        <v>#N/A</v>
      </c>
      <c r="Q1075" s="38" t="str">
        <f>VLOOKUP($E1075,countries!$A$2:$E$250,4,false)</f>
        <v>#N/A</v>
      </c>
      <c r="R1075" s="38" t="str">
        <f>VLOOKUP($E1075,countries!$A$2:$E$250,5,false)</f>
        <v>#N/A</v>
      </c>
      <c r="S1075" s="38">
        <f t="shared" si="5"/>
        <v>12</v>
      </c>
      <c r="T1075" s="38" t="s">
        <v>178</v>
      </c>
      <c r="U1075" s="38">
        <v>2012.0</v>
      </c>
      <c r="V1075" s="38">
        <v>11.0</v>
      </c>
      <c r="W1075" s="38" t="s">
        <v>92</v>
      </c>
      <c r="X1075" s="38" t="s">
        <v>149</v>
      </c>
      <c r="Y1075" s="38" t="s">
        <v>149</v>
      </c>
      <c r="Z1075" s="38" t="s">
        <v>149</v>
      </c>
      <c r="AA1075" s="113" t="str">
        <f t="array" ref="AA1075">PROPER(G1075)</f>
        <v>Offline</v>
      </c>
    </row>
    <row r="1076">
      <c r="A1076" s="110">
        <v>8.15755307E8</v>
      </c>
      <c r="B1076" s="131">
        <v>42503.0</v>
      </c>
      <c r="C1076" s="131">
        <v>42530.0</v>
      </c>
      <c r="D1076" s="110" t="s">
        <v>93</v>
      </c>
      <c r="E1076" s="110" t="e">
        <v>#N/A</v>
      </c>
      <c r="F1076" s="110">
        <v>8875.0</v>
      </c>
      <c r="G1076" s="38" t="s">
        <v>42</v>
      </c>
      <c r="H1076" s="110">
        <v>8978.0</v>
      </c>
      <c r="I1076" s="132">
        <v>421.89</v>
      </c>
      <c r="J1076" s="132">
        <v>364.69</v>
      </c>
      <c r="K1076" s="39">
        <f t="shared" si="1"/>
        <v>3787728.42</v>
      </c>
      <c r="L1076" s="39">
        <f t="shared" si="2"/>
        <v>3274186.82</v>
      </c>
      <c r="M1076" s="39">
        <f t="shared" si="3"/>
        <v>513541.6</v>
      </c>
      <c r="N1076" s="38" t="str">
        <f>VLOOKUP(F1076,products!$A$2:$B$13,2,FALSE)</f>
        <v>Meat</v>
      </c>
      <c r="O1076" s="133">
        <f t="shared" si="4"/>
        <v>0.8644196354</v>
      </c>
      <c r="P1076" s="38" t="str">
        <f>VLOOKUP(E1076,countries!A$2:E$250,3,false)</f>
        <v>#N/A</v>
      </c>
      <c r="Q1076" s="38" t="str">
        <f>VLOOKUP($E1076,countries!$A$2:$E$250,4,false)</f>
        <v>#N/A</v>
      </c>
      <c r="R1076" s="38" t="str">
        <f>VLOOKUP($E1076,countries!$A$2:$E$250,5,false)</f>
        <v>#N/A</v>
      </c>
      <c r="S1076" s="38">
        <f t="shared" si="5"/>
        <v>27</v>
      </c>
      <c r="T1076" s="38" t="s">
        <v>167</v>
      </c>
      <c r="U1076" s="38">
        <v>2016.0</v>
      </c>
      <c r="V1076" s="38">
        <v>5.0</v>
      </c>
      <c r="W1076" s="38" t="s">
        <v>92</v>
      </c>
      <c r="X1076" s="38" t="s">
        <v>149</v>
      </c>
      <c r="Y1076" s="38" t="s">
        <v>149</v>
      </c>
      <c r="Z1076" s="38" t="s">
        <v>149</v>
      </c>
      <c r="AA1076" s="113" t="str">
        <f t="array" ref="AA1076">PROPER(G1076)</f>
        <v>Offline</v>
      </c>
    </row>
    <row r="1077">
      <c r="A1077" s="110">
        <v>8.15917098E8</v>
      </c>
      <c r="B1077" s="131">
        <v>40571.0</v>
      </c>
      <c r="C1077" s="131">
        <v>40587.0</v>
      </c>
      <c r="D1077" s="110" t="s">
        <v>89</v>
      </c>
      <c r="E1077" s="110" t="s">
        <v>127</v>
      </c>
      <c r="F1077" s="110">
        <v>8293.0</v>
      </c>
      <c r="G1077" s="38" t="s">
        <v>43</v>
      </c>
      <c r="H1077" s="110">
        <v>6856.0</v>
      </c>
      <c r="I1077" s="132">
        <v>437.2</v>
      </c>
      <c r="J1077" s="132">
        <v>263.33</v>
      </c>
      <c r="K1077" s="39">
        <f t="shared" si="1"/>
        <v>2997443.2</v>
      </c>
      <c r="L1077" s="39">
        <f t="shared" si="2"/>
        <v>1805390.48</v>
      </c>
      <c r="M1077" s="39">
        <f t="shared" si="3"/>
        <v>1192052.72</v>
      </c>
      <c r="N1077" s="38" t="str">
        <f>VLOOKUP(F1077,products!$A$2:$B$13,2,FALSE)</f>
        <v>Cosmetics</v>
      </c>
      <c r="O1077" s="133">
        <f t="shared" si="4"/>
        <v>0.6023101555</v>
      </c>
      <c r="P1077" s="38" t="str">
        <f>VLOOKUP(E1077,countries!A$2:E$250,3,false)</f>
        <v>Ireland</v>
      </c>
      <c r="Q1077" s="38" t="str">
        <f>VLOOKUP($E1077,countries!$A$2:$E$250,4,false)</f>
        <v>Europe</v>
      </c>
      <c r="R1077" s="38" t="str">
        <f>VLOOKUP($E1077,countries!$A$2:$E$250,5,false)</f>
        <v>Northern Europe</v>
      </c>
      <c r="S1077" s="38">
        <f t="shared" si="5"/>
        <v>16</v>
      </c>
      <c r="T1077" s="38" t="s">
        <v>178</v>
      </c>
      <c r="U1077" s="38">
        <v>2011.0</v>
      </c>
      <c r="V1077" s="38">
        <v>1.0</v>
      </c>
      <c r="W1077" s="38" t="s">
        <v>127</v>
      </c>
      <c r="X1077" s="38" t="s">
        <v>198</v>
      </c>
      <c r="Y1077" s="38" t="s">
        <v>146</v>
      </c>
      <c r="Z1077" s="38" t="s">
        <v>170</v>
      </c>
      <c r="AA1077" s="113" t="str">
        <f t="array" ref="AA1077">PROPER(G1077)</f>
        <v>Online</v>
      </c>
    </row>
    <row r="1078">
      <c r="A1078" s="110">
        <v>8.17006289E8</v>
      </c>
      <c r="B1078" s="131">
        <v>40838.0</v>
      </c>
      <c r="C1078" s="131">
        <v>40861.0</v>
      </c>
      <c r="D1078" s="110" t="s">
        <v>95</v>
      </c>
      <c r="E1078" s="110" t="s">
        <v>98</v>
      </c>
      <c r="F1078" s="110">
        <v>4594.0</v>
      </c>
      <c r="G1078" s="38" t="s">
        <v>43</v>
      </c>
      <c r="H1078" s="110">
        <v>9172.0</v>
      </c>
      <c r="I1078" s="132">
        <v>9.33</v>
      </c>
      <c r="J1078" s="132">
        <v>6.92</v>
      </c>
      <c r="K1078" s="39">
        <f t="shared" si="1"/>
        <v>85574.76</v>
      </c>
      <c r="L1078" s="39">
        <f t="shared" si="2"/>
        <v>63470.24</v>
      </c>
      <c r="M1078" s="39">
        <f t="shared" si="3"/>
        <v>22104.52</v>
      </c>
      <c r="N1078" s="38" t="str">
        <f>VLOOKUP(F1078,products!$A$2:$B$13,2,FALSE)</f>
        <v>Fruits</v>
      </c>
      <c r="O1078" s="133">
        <f t="shared" si="4"/>
        <v>0.741693462</v>
      </c>
      <c r="P1078" s="38" t="str">
        <f>VLOOKUP(E1078,countries!A$2:E$250,3,false)</f>
        <v>Spain</v>
      </c>
      <c r="Q1078" s="38" t="str">
        <f>VLOOKUP($E1078,countries!$A$2:$E$250,4,false)</f>
        <v>Europe</v>
      </c>
      <c r="R1078" s="38" t="str">
        <f>VLOOKUP($E1078,countries!$A$2:$E$250,5,false)</f>
        <v>Southern Europe</v>
      </c>
      <c r="S1078" s="38">
        <f t="shared" si="5"/>
        <v>23</v>
      </c>
      <c r="T1078" s="38" t="s">
        <v>156</v>
      </c>
      <c r="U1078" s="38">
        <v>2011.0</v>
      </c>
      <c r="V1078" s="38">
        <v>10.0</v>
      </c>
      <c r="W1078" s="38" t="s">
        <v>98</v>
      </c>
      <c r="X1078" s="38" t="s">
        <v>160</v>
      </c>
      <c r="Y1078" s="38" t="s">
        <v>146</v>
      </c>
      <c r="Z1078" s="38" t="s">
        <v>147</v>
      </c>
      <c r="AA1078" s="113" t="str">
        <f t="array" ref="AA1078">PROPER(G1078)</f>
        <v>Online</v>
      </c>
    </row>
    <row r="1079">
      <c r="A1079" s="110">
        <v>8.17061221E8</v>
      </c>
      <c r="B1079" s="131">
        <v>40204.0</v>
      </c>
      <c r="C1079" s="131">
        <v>40230.0</v>
      </c>
      <c r="D1079" s="110" t="s">
        <v>10</v>
      </c>
      <c r="E1079" s="110" t="s">
        <v>125</v>
      </c>
      <c r="F1079" s="110">
        <v>5988.0</v>
      </c>
      <c r="G1079" s="38" t="s">
        <v>42</v>
      </c>
      <c r="H1079" s="110">
        <v>5427.0</v>
      </c>
      <c r="I1079" s="132">
        <v>154.06</v>
      </c>
      <c r="J1079" s="132">
        <v>90.93</v>
      </c>
      <c r="K1079" s="39">
        <f t="shared" si="1"/>
        <v>836083.62</v>
      </c>
      <c r="L1079" s="39">
        <f t="shared" si="2"/>
        <v>493477.11</v>
      </c>
      <c r="M1079" s="39">
        <f t="shared" si="3"/>
        <v>342606.51</v>
      </c>
      <c r="N1079" s="38" t="str">
        <f>VLOOKUP(F1079,products!$A$2:$B$13,2,FALSE)</f>
        <v>Vegetables</v>
      </c>
      <c r="O1079" s="133">
        <f t="shared" si="4"/>
        <v>0.5902245878</v>
      </c>
      <c r="P1079" s="38" t="str">
        <f>VLOOKUP(E1079,countries!A$2:E$250,3,false)</f>
        <v>Bulgaria</v>
      </c>
      <c r="Q1079" s="38" t="str">
        <f>VLOOKUP($E1079,countries!$A$2:$E$250,4,false)</f>
        <v>Europe</v>
      </c>
      <c r="R1079" s="38" t="str">
        <f>VLOOKUP($E1079,countries!$A$2:$E$250,5,false)</f>
        <v>Eastern Europe</v>
      </c>
      <c r="S1079" s="38">
        <f t="shared" si="5"/>
        <v>26</v>
      </c>
      <c r="T1079" s="38" t="s">
        <v>159</v>
      </c>
      <c r="U1079" s="38">
        <v>2010.0</v>
      </c>
      <c r="V1079" s="38">
        <v>1.0</v>
      </c>
      <c r="W1079" s="38" t="s">
        <v>125</v>
      </c>
      <c r="X1079" s="38" t="s">
        <v>196</v>
      </c>
      <c r="Y1079" s="38" t="s">
        <v>146</v>
      </c>
      <c r="Z1079" s="38" t="s">
        <v>155</v>
      </c>
      <c r="AA1079" s="113" t="str">
        <f t="array" ref="AA1079">PROPER(G1079)</f>
        <v>Offline</v>
      </c>
    </row>
    <row r="1080">
      <c r="A1080" s="110">
        <v>8.18976962E8</v>
      </c>
      <c r="B1080" s="131">
        <v>41261.0</v>
      </c>
      <c r="C1080" s="131">
        <v>41264.0</v>
      </c>
      <c r="D1080" s="110" t="s">
        <v>10</v>
      </c>
      <c r="E1080" s="110" t="e">
        <v>#N/A</v>
      </c>
      <c r="F1080" s="110">
        <v>5988.0</v>
      </c>
      <c r="G1080" s="38" t="s">
        <v>42</v>
      </c>
      <c r="H1080" s="110">
        <v>2337.0</v>
      </c>
      <c r="I1080" s="132">
        <v>154.06</v>
      </c>
      <c r="J1080" s="132">
        <v>90.93</v>
      </c>
      <c r="K1080" s="39">
        <f t="shared" si="1"/>
        <v>360038.22</v>
      </c>
      <c r="L1080" s="39">
        <f t="shared" si="2"/>
        <v>212503.41</v>
      </c>
      <c r="M1080" s="39">
        <f t="shared" si="3"/>
        <v>147534.81</v>
      </c>
      <c r="N1080" s="38" t="str">
        <f>VLOOKUP(F1080,products!$A$2:$B$13,2,FALSE)</f>
        <v>Vegetables</v>
      </c>
      <c r="O1080" s="133">
        <f t="shared" si="4"/>
        <v>0.5902245878</v>
      </c>
      <c r="P1080" s="38" t="str">
        <f>VLOOKUP(E1080,countries!A$2:E$250,3,false)</f>
        <v>#N/A</v>
      </c>
      <c r="Q1080" s="38" t="str">
        <f>VLOOKUP($E1080,countries!$A$2:$E$250,4,false)</f>
        <v>#N/A</v>
      </c>
      <c r="R1080" s="38" t="str">
        <f>VLOOKUP($E1080,countries!$A$2:$E$250,5,false)</f>
        <v>#N/A</v>
      </c>
      <c r="S1080" s="38">
        <f t="shared" si="5"/>
        <v>3</v>
      </c>
      <c r="T1080" s="38" t="s">
        <v>159</v>
      </c>
      <c r="U1080" s="38">
        <v>2012.0</v>
      </c>
      <c r="V1080" s="38">
        <v>12.0</v>
      </c>
      <c r="W1080" s="38" t="s">
        <v>92</v>
      </c>
      <c r="X1080" s="38" t="s">
        <v>149</v>
      </c>
      <c r="Y1080" s="38" t="s">
        <v>149</v>
      </c>
      <c r="Z1080" s="38" t="s">
        <v>149</v>
      </c>
      <c r="AA1080" s="113" t="str">
        <f t="array" ref="AA1080">PROPER(G1080)</f>
        <v>Offline</v>
      </c>
    </row>
    <row r="1081">
      <c r="A1081" s="110">
        <v>8.19037473E8</v>
      </c>
      <c r="B1081" s="131">
        <v>42658.0</v>
      </c>
      <c r="C1081" s="131">
        <v>42658.0</v>
      </c>
      <c r="D1081" s="110" t="s">
        <v>93</v>
      </c>
      <c r="E1081" s="110" t="s">
        <v>122</v>
      </c>
      <c r="F1081" s="110">
        <v>5988.0</v>
      </c>
      <c r="G1081" s="38" t="s">
        <v>43</v>
      </c>
      <c r="H1081" s="110">
        <v>244.0</v>
      </c>
      <c r="I1081" s="132">
        <v>154.06</v>
      </c>
      <c r="J1081" s="132">
        <v>90.93</v>
      </c>
      <c r="K1081" s="39">
        <f t="shared" si="1"/>
        <v>37590.64</v>
      </c>
      <c r="L1081" s="39">
        <f t="shared" si="2"/>
        <v>22186.92</v>
      </c>
      <c r="M1081" s="39">
        <f t="shared" si="3"/>
        <v>15403.72</v>
      </c>
      <c r="N1081" s="38" t="str">
        <f>VLOOKUP(F1081,products!$A$2:$B$13,2,FALSE)</f>
        <v>Vegetables</v>
      </c>
      <c r="O1081" s="133">
        <f t="shared" si="4"/>
        <v>0.5902245878</v>
      </c>
      <c r="P1081" s="38" t="str">
        <f>VLOOKUP(E1081,countries!A$2:E$250,3,false)</f>
        <v>Switzerland</v>
      </c>
      <c r="Q1081" s="38" t="str">
        <f>VLOOKUP($E1081,countries!$A$2:$E$250,4,false)</f>
        <v>Europe</v>
      </c>
      <c r="R1081" s="38" t="str">
        <f>VLOOKUP($E1081,countries!$A$2:$E$250,5,false)</f>
        <v>Western Europe</v>
      </c>
      <c r="S1081" s="38">
        <f t="shared" si="5"/>
        <v>0</v>
      </c>
      <c r="T1081" s="38" t="s">
        <v>159</v>
      </c>
      <c r="U1081" s="38">
        <v>2016.0</v>
      </c>
      <c r="V1081" s="38">
        <v>10.0</v>
      </c>
      <c r="W1081" s="38" t="s">
        <v>122</v>
      </c>
      <c r="X1081" s="38" t="s">
        <v>193</v>
      </c>
      <c r="Y1081" s="38" t="s">
        <v>146</v>
      </c>
      <c r="Z1081" s="38" t="s">
        <v>158</v>
      </c>
      <c r="AA1081" s="113" t="str">
        <f t="array" ref="AA1081">PROPER(G1081)</f>
        <v>Online</v>
      </c>
    </row>
    <row r="1082">
      <c r="A1082" s="110">
        <v>8.19152915E8</v>
      </c>
      <c r="B1082" s="131">
        <v>40656.0</v>
      </c>
      <c r="C1082" s="131">
        <v>40657.0</v>
      </c>
      <c r="D1082" s="110" t="s">
        <v>95</v>
      </c>
      <c r="E1082" s="110" t="s">
        <v>94</v>
      </c>
      <c r="F1082" s="110">
        <v>8681.0</v>
      </c>
      <c r="G1082" s="38" t="s">
        <v>42</v>
      </c>
      <c r="H1082" s="110">
        <v>4406.0</v>
      </c>
      <c r="I1082" s="132">
        <v>651.21</v>
      </c>
      <c r="J1082" s="132">
        <v>524.96</v>
      </c>
      <c r="K1082" s="39">
        <f t="shared" si="1"/>
        <v>2869231.26</v>
      </c>
      <c r="L1082" s="39">
        <f t="shared" si="2"/>
        <v>2312973.76</v>
      </c>
      <c r="M1082" s="39">
        <f t="shared" si="3"/>
        <v>556257.5</v>
      </c>
      <c r="N1082" s="38" t="str">
        <f>VLOOKUP(F1082,products!$A$2:$B$13,2,FALSE)</f>
        <v>Office Supplies</v>
      </c>
      <c r="O1082" s="133">
        <f t="shared" si="4"/>
        <v>0.806130127</v>
      </c>
      <c r="P1082" s="38" t="str">
        <f>VLOOKUP(E1082,countries!A$2:E$250,3,false)</f>
        <v>Montenegro</v>
      </c>
      <c r="Q1082" s="38" t="str">
        <f>VLOOKUP($E1082,countries!$A$2:$E$250,4,false)</f>
        <v>Europe</v>
      </c>
      <c r="R1082" s="38" t="str">
        <f>VLOOKUP($E1082,countries!$A$2:$E$250,5,false)</f>
        <v>Southern Europe</v>
      </c>
      <c r="S1082" s="38">
        <f t="shared" si="5"/>
        <v>1</v>
      </c>
      <c r="T1082" s="38" t="s">
        <v>153</v>
      </c>
      <c r="U1082" s="38">
        <v>2011.0</v>
      </c>
      <c r="V1082" s="38">
        <v>4.0</v>
      </c>
      <c r="W1082" s="38" t="s">
        <v>94</v>
      </c>
      <c r="X1082" s="38" t="s">
        <v>151</v>
      </c>
      <c r="Y1082" s="38" t="s">
        <v>146</v>
      </c>
      <c r="Z1082" s="38" t="s">
        <v>147</v>
      </c>
      <c r="AA1082" s="113" t="str">
        <f t="array" ref="AA1082">PROPER(G1082)</f>
        <v>Offline</v>
      </c>
    </row>
    <row r="1083">
      <c r="A1083" s="110">
        <v>8.19516837E8</v>
      </c>
      <c r="B1083" s="131">
        <v>42334.0</v>
      </c>
      <c r="C1083" s="131">
        <v>42363.0</v>
      </c>
      <c r="D1083" s="110" t="s">
        <v>10</v>
      </c>
      <c r="E1083" s="110" t="s">
        <v>112</v>
      </c>
      <c r="F1083" s="110">
        <v>8293.0</v>
      </c>
      <c r="G1083" s="38" t="s">
        <v>42</v>
      </c>
      <c r="H1083" s="110">
        <v>2098.0</v>
      </c>
      <c r="I1083" s="132">
        <v>437.2</v>
      </c>
      <c r="J1083" s="132">
        <v>263.33</v>
      </c>
      <c r="K1083" s="39">
        <f t="shared" si="1"/>
        <v>917245.6</v>
      </c>
      <c r="L1083" s="39">
        <f t="shared" si="2"/>
        <v>552466.34</v>
      </c>
      <c r="M1083" s="39">
        <f t="shared" si="3"/>
        <v>364779.26</v>
      </c>
      <c r="N1083" s="38" t="str">
        <f>VLOOKUP(F1083,products!$A$2:$B$13,2,FALSE)</f>
        <v>Cosmetics</v>
      </c>
      <c r="O1083" s="133">
        <f t="shared" si="4"/>
        <v>0.6023101555</v>
      </c>
      <c r="P1083" s="38" t="str">
        <f>VLOOKUP(E1083,countries!A$2:E$250,3,false)</f>
        <v>Malta</v>
      </c>
      <c r="Q1083" s="38" t="str">
        <f>VLOOKUP($E1083,countries!$A$2:$E$250,4,false)</f>
        <v>Europe</v>
      </c>
      <c r="R1083" s="38" t="str">
        <f>VLOOKUP($E1083,countries!$A$2:$E$250,5,false)</f>
        <v>Southern Europe</v>
      </c>
      <c r="S1083" s="38">
        <f t="shared" si="5"/>
        <v>29</v>
      </c>
      <c r="T1083" s="38" t="s">
        <v>178</v>
      </c>
      <c r="U1083" s="38">
        <v>2015.0</v>
      </c>
      <c r="V1083" s="38">
        <v>11.0</v>
      </c>
      <c r="W1083" s="38" t="s">
        <v>112</v>
      </c>
      <c r="X1083" s="38" t="s">
        <v>180</v>
      </c>
      <c r="Y1083" s="38" t="s">
        <v>146</v>
      </c>
      <c r="Z1083" s="38" t="s">
        <v>147</v>
      </c>
      <c r="AA1083" s="113" t="str">
        <f t="array" ref="AA1083">PROPER(G1083)</f>
        <v>Offline</v>
      </c>
    </row>
    <row r="1084">
      <c r="A1084" s="110">
        <v>8.20195758E8</v>
      </c>
      <c r="B1084" s="131">
        <v>40852.0</v>
      </c>
      <c r="C1084" s="131">
        <v>40871.0</v>
      </c>
      <c r="D1084" s="110" t="s">
        <v>93</v>
      </c>
      <c r="E1084" s="110" t="e">
        <v>#N/A</v>
      </c>
      <c r="F1084" s="110">
        <v>8969.0</v>
      </c>
      <c r="G1084" s="38" t="s">
        <v>42</v>
      </c>
      <c r="H1084" s="110">
        <v>3006.0</v>
      </c>
      <c r="I1084" s="132">
        <v>152.58</v>
      </c>
      <c r="J1084" s="132">
        <v>97.44</v>
      </c>
      <c r="K1084" s="39">
        <f t="shared" si="1"/>
        <v>458655.48</v>
      </c>
      <c r="L1084" s="39">
        <f t="shared" si="2"/>
        <v>292904.64</v>
      </c>
      <c r="M1084" s="39">
        <f t="shared" si="3"/>
        <v>165750.84</v>
      </c>
      <c r="N1084" s="38" t="str">
        <f>VLOOKUP(F1084,products!$A$2:$B$13,2,FALSE)</f>
        <v>Snacks</v>
      </c>
      <c r="O1084" s="133">
        <f t="shared" si="4"/>
        <v>0.6386158081</v>
      </c>
      <c r="P1084" s="38" t="str">
        <f>VLOOKUP(E1084,countries!A$2:E$250,3,false)</f>
        <v>#N/A</v>
      </c>
      <c r="Q1084" s="38" t="str">
        <f>VLOOKUP($E1084,countries!$A$2:$E$250,4,false)</f>
        <v>#N/A</v>
      </c>
      <c r="R1084" s="38" t="str">
        <f>VLOOKUP($E1084,countries!$A$2:$E$250,5,false)</f>
        <v>#N/A</v>
      </c>
      <c r="S1084" s="38">
        <f t="shared" si="5"/>
        <v>19</v>
      </c>
      <c r="T1084" s="38" t="s">
        <v>182</v>
      </c>
      <c r="U1084" s="38">
        <v>2011.0</v>
      </c>
      <c r="V1084" s="38">
        <v>11.0</v>
      </c>
      <c r="W1084" s="38" t="s">
        <v>92</v>
      </c>
      <c r="X1084" s="38" t="s">
        <v>149</v>
      </c>
      <c r="Y1084" s="38" t="s">
        <v>149</v>
      </c>
      <c r="Z1084" s="38" t="s">
        <v>149</v>
      </c>
      <c r="AA1084" s="113" t="str">
        <f t="array" ref="AA1084">PROPER(G1084)</f>
        <v>Offline</v>
      </c>
    </row>
    <row r="1085">
      <c r="A1085" s="110">
        <v>8.20437371E8</v>
      </c>
      <c r="B1085" s="131">
        <v>42883.0</v>
      </c>
      <c r="C1085" s="131">
        <v>42897.0</v>
      </c>
      <c r="D1085" s="110" t="s">
        <v>95</v>
      </c>
      <c r="E1085" s="110" t="s">
        <v>100</v>
      </c>
      <c r="F1085" s="110">
        <v>8875.0</v>
      </c>
      <c r="G1085" s="38" t="s">
        <v>43</v>
      </c>
      <c r="H1085" s="110">
        <v>4505.0</v>
      </c>
      <c r="I1085" s="132">
        <v>421.89</v>
      </c>
      <c r="J1085" s="132">
        <v>364.69</v>
      </c>
      <c r="K1085" s="39">
        <f t="shared" si="1"/>
        <v>1900614.45</v>
      </c>
      <c r="L1085" s="39">
        <f t="shared" si="2"/>
        <v>1642928.45</v>
      </c>
      <c r="M1085" s="39">
        <f t="shared" si="3"/>
        <v>257686</v>
      </c>
      <c r="N1085" s="38" t="str">
        <f>VLOOKUP(F1085,products!$A$2:$B$13,2,FALSE)</f>
        <v>Meat</v>
      </c>
      <c r="O1085" s="133">
        <f t="shared" si="4"/>
        <v>0.8644196354</v>
      </c>
      <c r="P1085" s="38" t="str">
        <f>VLOOKUP(E1085,countries!A$2:E$250,3,false)</f>
        <v>Germany</v>
      </c>
      <c r="Q1085" s="38" t="str">
        <f>VLOOKUP($E1085,countries!$A$2:$E$250,4,false)</f>
        <v>Europe</v>
      </c>
      <c r="R1085" s="38" t="str">
        <f>VLOOKUP($E1085,countries!$A$2:$E$250,5,false)</f>
        <v>Western Europe</v>
      </c>
      <c r="S1085" s="38">
        <f t="shared" si="5"/>
        <v>14</v>
      </c>
      <c r="T1085" s="38" t="s">
        <v>167</v>
      </c>
      <c r="U1085" s="38">
        <v>2017.0</v>
      </c>
      <c r="V1085" s="38">
        <v>5.0</v>
      </c>
      <c r="W1085" s="38" t="s">
        <v>100</v>
      </c>
      <c r="X1085" s="38" t="s">
        <v>163</v>
      </c>
      <c r="Y1085" s="38" t="s">
        <v>146</v>
      </c>
      <c r="Z1085" s="38" t="s">
        <v>158</v>
      </c>
      <c r="AA1085" s="113" t="str">
        <f t="array" ref="AA1085">PROPER(G1085)</f>
        <v>Online</v>
      </c>
    </row>
    <row r="1086">
      <c r="A1086" s="110">
        <v>8.21131742E8</v>
      </c>
      <c r="B1086" s="131">
        <v>42347.0</v>
      </c>
      <c r="C1086" s="131">
        <v>42347.0</v>
      </c>
      <c r="D1086" s="110" t="s">
        <v>95</v>
      </c>
      <c r="E1086" s="110" t="s">
        <v>120</v>
      </c>
      <c r="F1086" s="110">
        <v>7940.0</v>
      </c>
      <c r="G1086" s="38" t="s">
        <v>42</v>
      </c>
      <c r="H1086" s="110">
        <v>9985.0</v>
      </c>
      <c r="I1086" s="132">
        <v>668.27</v>
      </c>
      <c r="J1086" s="132">
        <v>502.54</v>
      </c>
      <c r="K1086" s="39">
        <f t="shared" si="1"/>
        <v>6672675.95</v>
      </c>
      <c r="L1086" s="39">
        <f t="shared" si="2"/>
        <v>5017861.9</v>
      </c>
      <c r="M1086" s="39">
        <f t="shared" si="3"/>
        <v>1654814.05</v>
      </c>
      <c r="N1086" s="38" t="str">
        <f>VLOOKUP(F1086,products!$A$2:$B$13,2,FALSE)</f>
        <v>Household</v>
      </c>
      <c r="O1086" s="133">
        <f t="shared" si="4"/>
        <v>0.7520014365</v>
      </c>
      <c r="P1086" s="38" t="str">
        <f>VLOOKUP(E1086,countries!A$2:E$250,3,false)</f>
        <v>San Marino</v>
      </c>
      <c r="Q1086" s="38" t="str">
        <f>VLOOKUP($E1086,countries!$A$2:$E$250,4,false)</f>
        <v>Europe</v>
      </c>
      <c r="R1086" s="38" t="str">
        <f>VLOOKUP($E1086,countries!$A$2:$E$250,5,false)</f>
        <v>Southern Europe</v>
      </c>
      <c r="S1086" s="38">
        <f t="shared" si="5"/>
        <v>0</v>
      </c>
      <c r="T1086" s="38" t="s">
        <v>148</v>
      </c>
      <c r="U1086" s="38">
        <v>2015.0</v>
      </c>
      <c r="V1086" s="38">
        <v>12.0</v>
      </c>
      <c r="W1086" s="38" t="s">
        <v>120</v>
      </c>
      <c r="X1086" s="38" t="s">
        <v>191</v>
      </c>
      <c r="Y1086" s="38" t="s">
        <v>146</v>
      </c>
      <c r="Z1086" s="38" t="s">
        <v>147</v>
      </c>
      <c r="AA1086" s="113" t="str">
        <f t="array" ref="AA1086">PROPER(G1086)</f>
        <v>Offline</v>
      </c>
    </row>
    <row r="1087">
      <c r="A1087" s="110">
        <v>8.21916663E8</v>
      </c>
      <c r="B1087" s="131">
        <v>40744.0</v>
      </c>
      <c r="C1087" s="131">
        <v>40781.0</v>
      </c>
      <c r="D1087" s="110" t="s">
        <v>93</v>
      </c>
      <c r="E1087" s="110" t="s">
        <v>90</v>
      </c>
      <c r="F1087" s="110">
        <v>8293.0</v>
      </c>
      <c r="G1087" s="38" t="s">
        <v>43</v>
      </c>
      <c r="H1087" s="110">
        <v>2260.0</v>
      </c>
      <c r="I1087" s="132">
        <v>437.2</v>
      </c>
      <c r="J1087" s="132">
        <v>263.33</v>
      </c>
      <c r="K1087" s="39">
        <f t="shared" si="1"/>
        <v>988072</v>
      </c>
      <c r="L1087" s="39">
        <f t="shared" si="2"/>
        <v>595125.8</v>
      </c>
      <c r="M1087" s="39">
        <f t="shared" si="3"/>
        <v>392946.2</v>
      </c>
      <c r="N1087" s="38" t="str">
        <f>VLOOKUP(F1087,products!$A$2:$B$13,2,FALSE)</f>
        <v>Cosmetics</v>
      </c>
      <c r="O1087" s="133">
        <f t="shared" si="4"/>
        <v>0.6023101555</v>
      </c>
      <c r="P1087" s="38" t="str">
        <f>VLOOKUP(E1087,countries!A$2:E$250,3,false)</f>
        <v>Norway</v>
      </c>
      <c r="Q1087" s="38" t="str">
        <f>VLOOKUP($E1087,countries!$A$2:$E$250,4,false)</f>
        <v>Europe</v>
      </c>
      <c r="R1087" s="38" t="str">
        <f>VLOOKUP($E1087,countries!$A$2:$E$250,5,false)</f>
        <v>Northern Europe</v>
      </c>
      <c r="S1087" s="38">
        <f t="shared" si="5"/>
        <v>37</v>
      </c>
      <c r="T1087" s="38" t="s">
        <v>178</v>
      </c>
      <c r="U1087" s="38">
        <v>2011.0</v>
      </c>
      <c r="V1087" s="38">
        <v>7.0</v>
      </c>
      <c r="W1087" s="38" t="s">
        <v>90</v>
      </c>
      <c r="X1087" s="38" t="s">
        <v>183</v>
      </c>
      <c r="Y1087" s="38" t="s">
        <v>146</v>
      </c>
      <c r="Z1087" s="38" t="s">
        <v>170</v>
      </c>
      <c r="AA1087" s="113" t="str">
        <f t="array" ref="AA1087">PROPER(G1087)</f>
        <v>Online</v>
      </c>
    </row>
    <row r="1088">
      <c r="A1088" s="110">
        <v>8.23236739E8</v>
      </c>
      <c r="B1088" s="131">
        <v>42538.0</v>
      </c>
      <c r="C1088" s="131">
        <v>42583.0</v>
      </c>
      <c r="D1088" s="110" t="s">
        <v>89</v>
      </c>
      <c r="E1088" s="110" t="s">
        <v>119</v>
      </c>
      <c r="F1088" s="110">
        <v>8681.0</v>
      </c>
      <c r="G1088" s="38" t="s">
        <v>43</v>
      </c>
      <c r="H1088" s="110">
        <v>2900.0</v>
      </c>
      <c r="I1088" s="132">
        <v>651.21</v>
      </c>
      <c r="J1088" s="132">
        <v>524.96</v>
      </c>
      <c r="K1088" s="39">
        <f t="shared" si="1"/>
        <v>1888509</v>
      </c>
      <c r="L1088" s="39">
        <f t="shared" si="2"/>
        <v>1522384</v>
      </c>
      <c r="M1088" s="39">
        <f t="shared" si="3"/>
        <v>366125</v>
      </c>
      <c r="N1088" s="38" t="str">
        <f>VLOOKUP(F1088,products!$A$2:$B$13,2,FALSE)</f>
        <v>Office Supplies</v>
      </c>
      <c r="O1088" s="133">
        <f t="shared" si="4"/>
        <v>0.806130127</v>
      </c>
      <c r="P1088" s="38" t="str">
        <f>VLOOKUP(E1088,countries!A$2:E$250,3,false)</f>
        <v>Macedonia</v>
      </c>
      <c r="Q1088" s="38" t="str">
        <f>VLOOKUP($E1088,countries!$A$2:$E$250,4,false)</f>
        <v>Europe</v>
      </c>
      <c r="R1088" s="38" t="str">
        <f>VLOOKUP($E1088,countries!$A$2:$E$250,5,false)</f>
        <v>Southern Europe</v>
      </c>
      <c r="S1088" s="38">
        <f t="shared" si="5"/>
        <v>45</v>
      </c>
      <c r="T1088" s="38" t="s">
        <v>153</v>
      </c>
      <c r="U1088" s="38">
        <v>2016.0</v>
      </c>
      <c r="V1088" s="38">
        <v>6.0</v>
      </c>
      <c r="W1088" s="38" t="s">
        <v>119</v>
      </c>
      <c r="X1088" s="38" t="s">
        <v>190</v>
      </c>
      <c r="Y1088" s="38" t="s">
        <v>146</v>
      </c>
      <c r="Z1088" s="38" t="s">
        <v>147</v>
      </c>
      <c r="AA1088" s="113" t="str">
        <f t="array" ref="AA1088">PROPER(G1088)</f>
        <v>Online</v>
      </c>
    </row>
    <row r="1089">
      <c r="A1089" s="110">
        <v>8.23505389E8</v>
      </c>
      <c r="B1089" s="131">
        <v>42074.0</v>
      </c>
      <c r="C1089" s="131">
        <v>42093.0</v>
      </c>
      <c r="D1089" s="110" t="s">
        <v>95</v>
      </c>
      <c r="E1089" s="110" t="s">
        <v>113</v>
      </c>
      <c r="F1089" s="110">
        <v>2455.0</v>
      </c>
      <c r="G1089" s="38" t="s">
        <v>43</v>
      </c>
      <c r="H1089" s="110">
        <v>2400.0</v>
      </c>
      <c r="I1089" s="132">
        <v>109.28</v>
      </c>
      <c r="J1089" s="132">
        <v>35.84</v>
      </c>
      <c r="K1089" s="39">
        <f t="shared" si="1"/>
        <v>262272</v>
      </c>
      <c r="L1089" s="39">
        <f t="shared" si="2"/>
        <v>86016</v>
      </c>
      <c r="M1089" s="39">
        <f t="shared" si="3"/>
        <v>176256</v>
      </c>
      <c r="N1089" s="38" t="str">
        <f>VLOOKUP(F1089,products!$A$2:$B$13,2,FALSE)</f>
        <v>Clothes</v>
      </c>
      <c r="O1089" s="133">
        <f t="shared" si="4"/>
        <v>0.3279648609</v>
      </c>
      <c r="P1089" s="38" t="str">
        <f>VLOOKUP(E1089,countries!A$2:E$250,3,false)</f>
        <v>Ukraine</v>
      </c>
      <c r="Q1089" s="38" t="str">
        <f>VLOOKUP($E1089,countries!$A$2:$E$250,4,false)</f>
        <v>Europe</v>
      </c>
      <c r="R1089" s="38" t="str">
        <f>VLOOKUP($E1089,countries!$A$2:$E$250,5,false)</f>
        <v>Eastern Europe</v>
      </c>
      <c r="S1089" s="38">
        <f t="shared" si="5"/>
        <v>19</v>
      </c>
      <c r="T1089" s="38" t="s">
        <v>150</v>
      </c>
      <c r="U1089" s="38">
        <v>2015.0</v>
      </c>
      <c r="V1089" s="38">
        <v>3.0</v>
      </c>
      <c r="W1089" s="38" t="s">
        <v>113</v>
      </c>
      <c r="X1089" s="38" t="s">
        <v>181</v>
      </c>
      <c r="Y1089" s="38" t="s">
        <v>146</v>
      </c>
      <c r="Z1089" s="38" t="s">
        <v>155</v>
      </c>
      <c r="AA1089" s="113" t="str">
        <f t="array" ref="AA1089">PROPER(G1089)</f>
        <v>Online</v>
      </c>
    </row>
    <row r="1090">
      <c r="A1090" s="110">
        <v>8.25065791E8</v>
      </c>
      <c r="B1090" s="131">
        <v>40748.0</v>
      </c>
      <c r="C1090" s="131">
        <v>40783.0</v>
      </c>
      <c r="D1090" s="110" t="s">
        <v>10</v>
      </c>
      <c r="E1090" s="110" t="s">
        <v>124</v>
      </c>
      <c r="F1090" s="110">
        <v>8875.0</v>
      </c>
      <c r="G1090" s="38" t="s">
        <v>42</v>
      </c>
      <c r="H1090" s="110">
        <v>4157.0</v>
      </c>
      <c r="I1090" s="132">
        <v>421.89</v>
      </c>
      <c r="J1090" s="132">
        <v>364.69</v>
      </c>
      <c r="K1090" s="39">
        <f t="shared" si="1"/>
        <v>1753796.73</v>
      </c>
      <c r="L1090" s="39">
        <f t="shared" si="2"/>
        <v>1516016.33</v>
      </c>
      <c r="M1090" s="39">
        <f t="shared" si="3"/>
        <v>237780.4</v>
      </c>
      <c r="N1090" s="38" t="str">
        <f>VLOOKUP(F1090,products!$A$2:$B$13,2,FALSE)</f>
        <v>Meat</v>
      </c>
      <c r="O1090" s="133">
        <f t="shared" si="4"/>
        <v>0.8644196354</v>
      </c>
      <c r="P1090" s="38" t="str">
        <f>VLOOKUP(E1090,countries!A$2:E$250,3,false)</f>
        <v>Latvia</v>
      </c>
      <c r="Q1090" s="38" t="str">
        <f>VLOOKUP($E1090,countries!$A$2:$E$250,4,false)</f>
        <v>Europe</v>
      </c>
      <c r="R1090" s="38" t="str">
        <f>VLOOKUP($E1090,countries!$A$2:$E$250,5,false)</f>
        <v>Northern Europe</v>
      </c>
      <c r="S1090" s="38">
        <f t="shared" si="5"/>
        <v>35</v>
      </c>
      <c r="T1090" s="38" t="s">
        <v>167</v>
      </c>
      <c r="U1090" s="38">
        <v>2011.0</v>
      </c>
      <c r="V1090" s="38">
        <v>7.0</v>
      </c>
      <c r="W1090" s="38" t="s">
        <v>124</v>
      </c>
      <c r="X1090" s="38" t="s">
        <v>195</v>
      </c>
      <c r="Y1090" s="38" t="s">
        <v>146</v>
      </c>
      <c r="Z1090" s="38" t="s">
        <v>170</v>
      </c>
      <c r="AA1090" s="113" t="str">
        <f t="array" ref="AA1090">PROPER(G1090)</f>
        <v>Offline</v>
      </c>
    </row>
    <row r="1091">
      <c r="A1091" s="110">
        <v>8.26677262E8</v>
      </c>
      <c r="B1091" s="131">
        <v>42702.0</v>
      </c>
      <c r="C1091" s="131">
        <v>42744.0</v>
      </c>
      <c r="D1091" s="110" t="s">
        <v>89</v>
      </c>
      <c r="E1091" s="110" t="s">
        <v>117</v>
      </c>
      <c r="F1091" s="110">
        <v>1270.0</v>
      </c>
      <c r="G1091" s="38" t="s">
        <v>43</v>
      </c>
      <c r="H1091" s="110">
        <v>1027.0</v>
      </c>
      <c r="I1091" s="132">
        <v>47.45</v>
      </c>
      <c r="J1091" s="132">
        <v>31.79</v>
      </c>
      <c r="K1091" s="39">
        <f t="shared" si="1"/>
        <v>48731.15</v>
      </c>
      <c r="L1091" s="39">
        <f t="shared" si="2"/>
        <v>32648.33</v>
      </c>
      <c r="M1091" s="39">
        <f t="shared" si="3"/>
        <v>16082.82</v>
      </c>
      <c r="N1091" s="38" t="str">
        <f>VLOOKUP(F1091,products!$A$2:$B$13,2,FALSE)</f>
        <v>Beverages</v>
      </c>
      <c r="O1091" s="133">
        <f t="shared" si="4"/>
        <v>0.6699683878</v>
      </c>
      <c r="P1091" s="38" t="str">
        <f>VLOOKUP(E1091,countries!A$2:E$250,3,false)</f>
        <v>Estonia</v>
      </c>
      <c r="Q1091" s="38" t="str">
        <f>VLOOKUP($E1091,countries!$A$2:$E$250,4,false)</f>
        <v>Europe</v>
      </c>
      <c r="R1091" s="38" t="str">
        <f>VLOOKUP($E1091,countries!$A$2:$E$250,5,false)</f>
        <v>Northern Europe</v>
      </c>
      <c r="S1091" s="38">
        <f t="shared" si="5"/>
        <v>42</v>
      </c>
      <c r="T1091" s="38" t="s">
        <v>152</v>
      </c>
      <c r="U1091" s="38">
        <v>2016.0</v>
      </c>
      <c r="V1091" s="38">
        <v>11.0</v>
      </c>
      <c r="W1091" s="38" t="s">
        <v>117</v>
      </c>
      <c r="X1091" s="38" t="s">
        <v>188</v>
      </c>
      <c r="Y1091" s="38" t="s">
        <v>146</v>
      </c>
      <c r="Z1091" s="38" t="s">
        <v>170</v>
      </c>
      <c r="AA1091" s="113" t="str">
        <f t="array" ref="AA1091">PROPER(G1091)</f>
        <v>Online</v>
      </c>
    </row>
    <row r="1092">
      <c r="A1092" s="110">
        <v>8.26936471E8</v>
      </c>
      <c r="B1092" s="131">
        <v>41353.0</v>
      </c>
      <c r="C1092" s="131">
        <v>41363.0</v>
      </c>
      <c r="D1092" s="110" t="s">
        <v>95</v>
      </c>
      <c r="E1092" s="110" t="s">
        <v>137</v>
      </c>
      <c r="F1092" s="110">
        <v>7331.0</v>
      </c>
      <c r="G1092" s="38" t="s">
        <v>43</v>
      </c>
      <c r="H1092" s="110">
        <v>7733.0</v>
      </c>
      <c r="I1092" s="132">
        <v>255.28</v>
      </c>
      <c r="J1092" s="132">
        <v>159.42</v>
      </c>
      <c r="K1092" s="39">
        <f t="shared" si="1"/>
        <v>1974080.24</v>
      </c>
      <c r="L1092" s="39">
        <f t="shared" si="2"/>
        <v>1232794.86</v>
      </c>
      <c r="M1092" s="39">
        <f t="shared" si="3"/>
        <v>741285.38</v>
      </c>
      <c r="N1092" s="38" t="str">
        <f>VLOOKUP(F1092,products!$A$2:$B$13,2,FALSE)</f>
        <v>Baby Food</v>
      </c>
      <c r="O1092" s="133">
        <f t="shared" si="4"/>
        <v>0.6244907552</v>
      </c>
      <c r="P1092" s="38" t="str">
        <f>VLOOKUP(E1092,countries!A$2:E$250,3,false)</f>
        <v>Iceland</v>
      </c>
      <c r="Q1092" s="38" t="str">
        <f>VLOOKUP($E1092,countries!$A$2:$E$250,4,false)</f>
        <v>Europe</v>
      </c>
      <c r="R1092" s="38" t="str">
        <f>VLOOKUP($E1092,countries!$A$2:$E$250,5,false)</f>
        <v>Northern Europe</v>
      </c>
      <c r="S1092" s="38">
        <f t="shared" si="5"/>
        <v>10</v>
      </c>
      <c r="T1092" s="38" t="s">
        <v>161</v>
      </c>
      <c r="U1092" s="38">
        <v>2013.0</v>
      </c>
      <c r="V1092" s="38">
        <v>3.0</v>
      </c>
      <c r="W1092" s="38" t="s">
        <v>137</v>
      </c>
      <c r="X1092" s="38" t="s">
        <v>207</v>
      </c>
      <c r="Y1092" s="38" t="s">
        <v>146</v>
      </c>
      <c r="Z1092" s="38" t="s">
        <v>170</v>
      </c>
      <c r="AA1092" s="113" t="str">
        <f t="array" ref="AA1092">PROPER(G1092)</f>
        <v>Online</v>
      </c>
    </row>
    <row r="1093">
      <c r="A1093" s="110">
        <v>8.26968657E8</v>
      </c>
      <c r="B1093" s="131">
        <v>42861.0</v>
      </c>
      <c r="C1093" s="131">
        <v>42901.0</v>
      </c>
      <c r="D1093" s="110" t="s">
        <v>95</v>
      </c>
      <c r="E1093" s="110" t="s">
        <v>125</v>
      </c>
      <c r="F1093" s="110">
        <v>8293.0</v>
      </c>
      <c r="G1093" s="38" t="s">
        <v>42</v>
      </c>
      <c r="H1093" s="110">
        <v>7258.0</v>
      </c>
      <c r="I1093" s="132">
        <v>437.2</v>
      </c>
      <c r="J1093" s="132">
        <v>263.33</v>
      </c>
      <c r="K1093" s="39">
        <f t="shared" si="1"/>
        <v>3173197.6</v>
      </c>
      <c r="L1093" s="39">
        <f t="shared" si="2"/>
        <v>1911249.14</v>
      </c>
      <c r="M1093" s="39">
        <f t="shared" si="3"/>
        <v>1261948.46</v>
      </c>
      <c r="N1093" s="38" t="str">
        <f>VLOOKUP(F1093,products!$A$2:$B$13,2,FALSE)</f>
        <v>Cosmetics</v>
      </c>
      <c r="O1093" s="133">
        <f t="shared" si="4"/>
        <v>0.6023101555</v>
      </c>
      <c r="P1093" s="38" t="str">
        <f>VLOOKUP(E1093,countries!A$2:E$250,3,false)</f>
        <v>Bulgaria</v>
      </c>
      <c r="Q1093" s="38" t="str">
        <f>VLOOKUP($E1093,countries!$A$2:$E$250,4,false)</f>
        <v>Europe</v>
      </c>
      <c r="R1093" s="38" t="str">
        <f>VLOOKUP($E1093,countries!$A$2:$E$250,5,false)</f>
        <v>Eastern Europe</v>
      </c>
      <c r="S1093" s="38">
        <f t="shared" si="5"/>
        <v>40</v>
      </c>
      <c r="T1093" s="38" t="s">
        <v>178</v>
      </c>
      <c r="U1093" s="38">
        <v>2017.0</v>
      </c>
      <c r="V1093" s="38">
        <v>5.0</v>
      </c>
      <c r="W1093" s="38" t="s">
        <v>125</v>
      </c>
      <c r="X1093" s="38" t="s">
        <v>196</v>
      </c>
      <c r="Y1093" s="38" t="s">
        <v>146</v>
      </c>
      <c r="Z1093" s="38" t="s">
        <v>155</v>
      </c>
      <c r="AA1093" s="113" t="str">
        <f t="array" ref="AA1093">PROPER(G1093)</f>
        <v>Offline</v>
      </c>
    </row>
    <row r="1094">
      <c r="A1094" s="110">
        <v>8.28993833E8</v>
      </c>
      <c r="B1094" s="131">
        <v>41856.0</v>
      </c>
      <c r="C1094" s="131">
        <v>41884.0</v>
      </c>
      <c r="D1094" s="110" t="s">
        <v>89</v>
      </c>
      <c r="E1094" s="110" t="s">
        <v>137</v>
      </c>
      <c r="F1094" s="110">
        <v>7331.0</v>
      </c>
      <c r="G1094" s="38" t="s">
        <v>42</v>
      </c>
      <c r="H1094" s="110">
        <v>6552.0</v>
      </c>
      <c r="I1094" s="132">
        <v>255.28</v>
      </c>
      <c r="J1094" s="132">
        <v>159.42</v>
      </c>
      <c r="K1094" s="39">
        <f t="shared" si="1"/>
        <v>1672594.56</v>
      </c>
      <c r="L1094" s="39">
        <f t="shared" si="2"/>
        <v>1044519.84</v>
      </c>
      <c r="M1094" s="39">
        <f t="shared" si="3"/>
        <v>628074.72</v>
      </c>
      <c r="N1094" s="38" t="str">
        <f>VLOOKUP(F1094,products!$A$2:$B$13,2,FALSE)</f>
        <v>Baby Food</v>
      </c>
      <c r="O1094" s="133">
        <f t="shared" si="4"/>
        <v>0.6244907552</v>
      </c>
      <c r="P1094" s="38" t="str">
        <f>VLOOKUP(E1094,countries!A$2:E$250,3,false)</f>
        <v>Iceland</v>
      </c>
      <c r="Q1094" s="38" t="str">
        <f>VLOOKUP($E1094,countries!$A$2:$E$250,4,false)</f>
        <v>Europe</v>
      </c>
      <c r="R1094" s="38" t="str">
        <f>VLOOKUP($E1094,countries!$A$2:$E$250,5,false)</f>
        <v>Northern Europe</v>
      </c>
      <c r="S1094" s="38">
        <f t="shared" si="5"/>
        <v>28</v>
      </c>
      <c r="T1094" s="38" t="s">
        <v>161</v>
      </c>
      <c r="U1094" s="38">
        <v>2014.0</v>
      </c>
      <c r="V1094" s="38">
        <v>8.0</v>
      </c>
      <c r="W1094" s="38" t="s">
        <v>137</v>
      </c>
      <c r="X1094" s="38" t="s">
        <v>207</v>
      </c>
      <c r="Y1094" s="38" t="s">
        <v>146</v>
      </c>
      <c r="Z1094" s="38" t="s">
        <v>170</v>
      </c>
      <c r="AA1094" s="113" t="str">
        <f t="array" ref="AA1094">PROPER(G1094)</f>
        <v>Offline</v>
      </c>
    </row>
    <row r="1095">
      <c r="A1095" s="110">
        <v>8.29356467E8</v>
      </c>
      <c r="B1095" s="131">
        <v>41150.0</v>
      </c>
      <c r="C1095" s="131">
        <v>41168.0</v>
      </c>
      <c r="D1095" s="110" t="s">
        <v>93</v>
      </c>
      <c r="E1095" s="110" t="s">
        <v>94</v>
      </c>
      <c r="F1095" s="110">
        <v>7940.0</v>
      </c>
      <c r="G1095" s="38" t="s">
        <v>43</v>
      </c>
      <c r="H1095" s="110">
        <v>3864.0</v>
      </c>
      <c r="I1095" s="132">
        <v>668.27</v>
      </c>
      <c r="J1095" s="132">
        <v>502.54</v>
      </c>
      <c r="K1095" s="39">
        <f t="shared" si="1"/>
        <v>2582195.28</v>
      </c>
      <c r="L1095" s="39">
        <f t="shared" si="2"/>
        <v>1941814.56</v>
      </c>
      <c r="M1095" s="39">
        <f t="shared" si="3"/>
        <v>640380.72</v>
      </c>
      <c r="N1095" s="38" t="str">
        <f>VLOOKUP(F1095,products!$A$2:$B$13,2,FALSE)</f>
        <v>Household</v>
      </c>
      <c r="O1095" s="133">
        <f t="shared" si="4"/>
        <v>0.7520014365</v>
      </c>
      <c r="P1095" s="38" t="str">
        <f>VLOOKUP(E1095,countries!A$2:E$250,3,false)</f>
        <v>Montenegro</v>
      </c>
      <c r="Q1095" s="38" t="str">
        <f>VLOOKUP($E1095,countries!$A$2:$E$250,4,false)</f>
        <v>Europe</v>
      </c>
      <c r="R1095" s="38" t="str">
        <f>VLOOKUP($E1095,countries!$A$2:$E$250,5,false)</f>
        <v>Southern Europe</v>
      </c>
      <c r="S1095" s="38">
        <f t="shared" si="5"/>
        <v>18</v>
      </c>
      <c r="T1095" s="38" t="s">
        <v>148</v>
      </c>
      <c r="U1095" s="38">
        <v>2012.0</v>
      </c>
      <c r="V1095" s="38">
        <v>8.0</v>
      </c>
      <c r="W1095" s="38" t="s">
        <v>94</v>
      </c>
      <c r="X1095" s="38" t="s">
        <v>151</v>
      </c>
      <c r="Y1095" s="38" t="s">
        <v>146</v>
      </c>
      <c r="Z1095" s="38" t="s">
        <v>147</v>
      </c>
      <c r="AA1095" s="113" t="str">
        <f t="array" ref="AA1095">PROPER(G1095)</f>
        <v>Online</v>
      </c>
    </row>
    <row r="1096">
      <c r="A1096" s="110">
        <v>8.30172288E8</v>
      </c>
      <c r="B1096" s="131">
        <v>41438.0</v>
      </c>
      <c r="C1096" s="131">
        <v>41484.0</v>
      </c>
      <c r="D1096" s="110" t="s">
        <v>95</v>
      </c>
      <c r="E1096" s="110" t="e">
        <v>#N/A</v>
      </c>
      <c r="F1096" s="110">
        <v>8293.0</v>
      </c>
      <c r="G1096" s="38" t="s">
        <v>43</v>
      </c>
      <c r="H1096" s="110">
        <v>5283.0</v>
      </c>
      <c r="I1096" s="132">
        <v>437.2</v>
      </c>
      <c r="J1096" s="132">
        <v>263.33</v>
      </c>
      <c r="K1096" s="39">
        <f t="shared" si="1"/>
        <v>2309727.6</v>
      </c>
      <c r="L1096" s="39">
        <f t="shared" si="2"/>
        <v>1391172.39</v>
      </c>
      <c r="M1096" s="39">
        <f t="shared" si="3"/>
        <v>918555.21</v>
      </c>
      <c r="N1096" s="38" t="str">
        <f>VLOOKUP(F1096,products!$A$2:$B$13,2,FALSE)</f>
        <v>Cosmetics</v>
      </c>
      <c r="O1096" s="133">
        <f t="shared" si="4"/>
        <v>0.6023101555</v>
      </c>
      <c r="P1096" s="38" t="str">
        <f>VLOOKUP(E1096,countries!A$2:E$250,3,false)</f>
        <v>#N/A</v>
      </c>
      <c r="Q1096" s="38" t="str">
        <f>VLOOKUP($E1096,countries!$A$2:$E$250,4,false)</f>
        <v>#N/A</v>
      </c>
      <c r="R1096" s="38" t="str">
        <f>VLOOKUP($E1096,countries!$A$2:$E$250,5,false)</f>
        <v>#N/A</v>
      </c>
      <c r="S1096" s="38">
        <f t="shared" si="5"/>
        <v>46</v>
      </c>
      <c r="T1096" s="38" t="s">
        <v>178</v>
      </c>
      <c r="U1096" s="38">
        <v>2013.0</v>
      </c>
      <c r="V1096" s="38">
        <v>6.0</v>
      </c>
      <c r="W1096" s="38" t="s">
        <v>92</v>
      </c>
      <c r="X1096" s="38" t="s">
        <v>149</v>
      </c>
      <c r="Y1096" s="38" t="s">
        <v>149</v>
      </c>
      <c r="Z1096" s="38" t="s">
        <v>149</v>
      </c>
      <c r="AA1096" s="113" t="str">
        <f t="array" ref="AA1096">PROPER(G1096)</f>
        <v>Online</v>
      </c>
    </row>
    <row r="1097">
      <c r="A1097" s="110">
        <v>8.31143891E8</v>
      </c>
      <c r="B1097" s="131">
        <v>42499.0</v>
      </c>
      <c r="C1097" s="131">
        <v>42522.0</v>
      </c>
      <c r="D1097" s="110" t="s">
        <v>89</v>
      </c>
      <c r="E1097" s="110" t="s">
        <v>112</v>
      </c>
      <c r="F1097" s="110">
        <v>4594.0</v>
      </c>
      <c r="G1097" s="38" t="s">
        <v>43</v>
      </c>
      <c r="H1097" s="110">
        <v>2802.0</v>
      </c>
      <c r="I1097" s="132">
        <v>9.33</v>
      </c>
      <c r="J1097" s="132">
        <v>6.92</v>
      </c>
      <c r="K1097" s="39">
        <f t="shared" si="1"/>
        <v>26142.66</v>
      </c>
      <c r="L1097" s="39">
        <f t="shared" si="2"/>
        <v>19389.84</v>
      </c>
      <c r="M1097" s="39">
        <f t="shared" si="3"/>
        <v>6752.82</v>
      </c>
      <c r="N1097" s="38" t="str">
        <f>VLOOKUP(F1097,products!$A$2:$B$13,2,FALSE)</f>
        <v>Fruits</v>
      </c>
      <c r="O1097" s="133">
        <f t="shared" si="4"/>
        <v>0.741693462</v>
      </c>
      <c r="P1097" s="38" t="str">
        <f>VLOOKUP(E1097,countries!A$2:E$250,3,false)</f>
        <v>Malta</v>
      </c>
      <c r="Q1097" s="38" t="str">
        <f>VLOOKUP($E1097,countries!$A$2:$E$250,4,false)</f>
        <v>Europe</v>
      </c>
      <c r="R1097" s="38" t="str">
        <f>VLOOKUP($E1097,countries!$A$2:$E$250,5,false)</f>
        <v>Southern Europe</v>
      </c>
      <c r="S1097" s="38">
        <f t="shared" si="5"/>
        <v>23</v>
      </c>
      <c r="T1097" s="38" t="s">
        <v>156</v>
      </c>
      <c r="U1097" s="38">
        <v>2016.0</v>
      </c>
      <c r="V1097" s="38">
        <v>5.0</v>
      </c>
      <c r="W1097" s="38" t="s">
        <v>112</v>
      </c>
      <c r="X1097" s="38" t="s">
        <v>180</v>
      </c>
      <c r="Y1097" s="38" t="s">
        <v>146</v>
      </c>
      <c r="Z1097" s="38" t="s">
        <v>147</v>
      </c>
      <c r="AA1097" s="113" t="str">
        <f t="array" ref="AA1097">PROPER(G1097)</f>
        <v>Online</v>
      </c>
    </row>
    <row r="1098">
      <c r="A1098" s="110">
        <v>8.3205713E8</v>
      </c>
      <c r="B1098" s="131">
        <v>40604.0</v>
      </c>
      <c r="C1098" s="131">
        <v>40635.0</v>
      </c>
      <c r="D1098" s="110" t="s">
        <v>10</v>
      </c>
      <c r="E1098" s="110" t="s">
        <v>98</v>
      </c>
      <c r="F1098" s="110">
        <v>8293.0</v>
      </c>
      <c r="G1098" s="38" t="s">
        <v>43</v>
      </c>
      <c r="H1098" s="110">
        <v>3050.0</v>
      </c>
      <c r="I1098" s="132">
        <v>437.2</v>
      </c>
      <c r="J1098" s="132">
        <v>263.33</v>
      </c>
      <c r="K1098" s="39">
        <f t="shared" si="1"/>
        <v>1333460</v>
      </c>
      <c r="L1098" s="39">
        <f t="shared" si="2"/>
        <v>803156.5</v>
      </c>
      <c r="M1098" s="39">
        <f t="shared" si="3"/>
        <v>530303.5</v>
      </c>
      <c r="N1098" s="38" t="str">
        <f>VLOOKUP(F1098,products!$A$2:$B$13,2,FALSE)</f>
        <v>Cosmetics</v>
      </c>
      <c r="O1098" s="133">
        <f t="shared" si="4"/>
        <v>0.6023101555</v>
      </c>
      <c r="P1098" s="38" t="str">
        <f>VLOOKUP(E1098,countries!A$2:E$250,3,false)</f>
        <v>Spain</v>
      </c>
      <c r="Q1098" s="38" t="str">
        <f>VLOOKUP($E1098,countries!$A$2:$E$250,4,false)</f>
        <v>Europe</v>
      </c>
      <c r="R1098" s="38" t="str">
        <f>VLOOKUP($E1098,countries!$A$2:$E$250,5,false)</f>
        <v>Southern Europe</v>
      </c>
      <c r="S1098" s="38">
        <f t="shared" si="5"/>
        <v>31</v>
      </c>
      <c r="T1098" s="38" t="s">
        <v>178</v>
      </c>
      <c r="U1098" s="38">
        <v>2011.0</v>
      </c>
      <c r="V1098" s="38">
        <v>3.0</v>
      </c>
      <c r="W1098" s="38" t="s">
        <v>98</v>
      </c>
      <c r="X1098" s="38" t="s">
        <v>160</v>
      </c>
      <c r="Y1098" s="38" t="s">
        <v>146</v>
      </c>
      <c r="Z1098" s="38" t="s">
        <v>147</v>
      </c>
      <c r="AA1098" s="113" t="str">
        <f t="array" ref="AA1098">PROPER(G1098)</f>
        <v>Online</v>
      </c>
    </row>
    <row r="1099">
      <c r="A1099" s="110">
        <v>8.33473765E8</v>
      </c>
      <c r="B1099" s="131">
        <v>41392.0</v>
      </c>
      <c r="C1099" s="131">
        <v>41419.0</v>
      </c>
      <c r="D1099" s="110" t="s">
        <v>95</v>
      </c>
      <c r="E1099" s="110" t="s">
        <v>131</v>
      </c>
      <c r="F1099" s="110">
        <v>1270.0</v>
      </c>
      <c r="G1099" s="38" t="s">
        <v>42</v>
      </c>
      <c r="H1099" s="110">
        <v>2264.0</v>
      </c>
      <c r="I1099" s="132">
        <v>47.45</v>
      </c>
      <c r="J1099" s="132">
        <v>31.79</v>
      </c>
      <c r="K1099" s="39">
        <f t="shared" si="1"/>
        <v>107426.8</v>
      </c>
      <c r="L1099" s="39">
        <f t="shared" si="2"/>
        <v>71972.56</v>
      </c>
      <c r="M1099" s="39">
        <f t="shared" si="3"/>
        <v>35454.24</v>
      </c>
      <c r="N1099" s="38" t="str">
        <f>VLOOKUP(F1099,products!$A$2:$B$13,2,FALSE)</f>
        <v>Beverages</v>
      </c>
      <c r="O1099" s="133">
        <f t="shared" si="4"/>
        <v>0.6699683878</v>
      </c>
      <c r="P1099" s="38" t="str">
        <f>VLOOKUP(E1099,countries!A$2:E$250,3,false)</f>
        <v>Albania</v>
      </c>
      <c r="Q1099" s="38" t="str">
        <f>VLOOKUP($E1099,countries!$A$2:$E$250,4,false)</f>
        <v>Europe</v>
      </c>
      <c r="R1099" s="38" t="str">
        <f>VLOOKUP($E1099,countries!$A$2:$E$250,5,false)</f>
        <v>Southern Europe</v>
      </c>
      <c r="S1099" s="38">
        <f t="shared" si="5"/>
        <v>27</v>
      </c>
      <c r="T1099" s="38" t="s">
        <v>152</v>
      </c>
      <c r="U1099" s="38">
        <v>2013.0</v>
      </c>
      <c r="V1099" s="38">
        <v>4.0</v>
      </c>
      <c r="W1099" s="38" t="s">
        <v>131</v>
      </c>
      <c r="X1099" s="38" t="s">
        <v>202</v>
      </c>
      <c r="Y1099" s="38" t="s">
        <v>146</v>
      </c>
      <c r="Z1099" s="38" t="s">
        <v>147</v>
      </c>
      <c r="AA1099" s="113" t="str">
        <f t="array" ref="AA1099">PROPER(G1099)</f>
        <v>Offline</v>
      </c>
    </row>
    <row r="1100">
      <c r="A1100" s="110">
        <v>8.33706796E8</v>
      </c>
      <c r="B1100" s="131">
        <v>41360.0</v>
      </c>
      <c r="C1100" s="131">
        <v>41367.0</v>
      </c>
      <c r="D1100" s="110" t="s">
        <v>89</v>
      </c>
      <c r="E1100" s="110" t="s">
        <v>108</v>
      </c>
      <c r="F1100" s="110">
        <v>2103.0</v>
      </c>
      <c r="G1100" s="38" t="s">
        <v>43</v>
      </c>
      <c r="H1100" s="110">
        <v>1223.0</v>
      </c>
      <c r="I1100" s="132">
        <v>205.7</v>
      </c>
      <c r="J1100" s="132">
        <v>117.11</v>
      </c>
      <c r="K1100" s="39">
        <f t="shared" si="1"/>
        <v>251571.1</v>
      </c>
      <c r="L1100" s="39">
        <f t="shared" si="2"/>
        <v>143225.53</v>
      </c>
      <c r="M1100" s="39">
        <f t="shared" si="3"/>
        <v>108345.57</v>
      </c>
      <c r="N1100" s="38" t="str">
        <f>VLOOKUP(F1100,products!$A$2:$B$13,2,FALSE)</f>
        <v>Cereal</v>
      </c>
      <c r="O1100" s="133">
        <f t="shared" si="4"/>
        <v>0.5693242586</v>
      </c>
      <c r="P1100" s="38" t="str">
        <f>VLOOKUP(E1100,countries!A$2:E$250,3,false)</f>
        <v>Cyprus</v>
      </c>
      <c r="Q1100" s="38" t="str">
        <f>VLOOKUP($E1100,countries!$A$2:$E$250,4,false)</f>
        <v>Asia</v>
      </c>
      <c r="R1100" s="38" t="str">
        <f>VLOOKUP($E1100,countries!$A$2:$E$250,5,false)</f>
        <v>Western Asia</v>
      </c>
      <c r="S1100" s="38">
        <f t="shared" si="5"/>
        <v>7</v>
      </c>
      <c r="T1100" s="38" t="s">
        <v>144</v>
      </c>
      <c r="U1100" s="38">
        <v>2013.0</v>
      </c>
      <c r="V1100" s="38">
        <v>3.0</v>
      </c>
      <c r="W1100" s="38" t="s">
        <v>108</v>
      </c>
      <c r="X1100" s="38" t="s">
        <v>175</v>
      </c>
      <c r="Y1100" s="38" t="s">
        <v>165</v>
      </c>
      <c r="Z1100" s="38" t="s">
        <v>166</v>
      </c>
      <c r="AA1100" s="113" t="str">
        <f t="array" ref="AA1100">PROPER(G1100)</f>
        <v>Online</v>
      </c>
    </row>
    <row r="1101">
      <c r="A1101" s="110">
        <v>8.34065997E8</v>
      </c>
      <c r="B1101" s="131">
        <v>42596.0</v>
      </c>
      <c r="C1101" s="131">
        <v>42627.0</v>
      </c>
      <c r="D1101" s="110" t="s">
        <v>93</v>
      </c>
      <c r="E1101" s="110" t="s">
        <v>128</v>
      </c>
      <c r="F1101" s="110">
        <v>7940.0</v>
      </c>
      <c r="G1101" s="38" t="s">
        <v>42</v>
      </c>
      <c r="H1101" s="110">
        <v>7518.0</v>
      </c>
      <c r="I1101" s="132">
        <v>668.27</v>
      </c>
      <c r="J1101" s="132">
        <v>502.54</v>
      </c>
      <c r="K1101" s="39">
        <f t="shared" si="1"/>
        <v>5024053.86</v>
      </c>
      <c r="L1101" s="39">
        <f t="shared" si="2"/>
        <v>3778095.72</v>
      </c>
      <c r="M1101" s="39">
        <f t="shared" si="3"/>
        <v>1245958.14</v>
      </c>
      <c r="N1101" s="38" t="str">
        <f>VLOOKUP(F1101,products!$A$2:$B$13,2,FALSE)</f>
        <v>Household</v>
      </c>
      <c r="O1101" s="133">
        <f t="shared" si="4"/>
        <v>0.7520014365</v>
      </c>
      <c r="P1101" s="38" t="str">
        <f>VLOOKUP(E1101,countries!A$2:E$250,3,false)</f>
        <v>Andorra</v>
      </c>
      <c r="Q1101" s="38" t="str">
        <f>VLOOKUP($E1101,countries!$A$2:$E$250,4,false)</f>
        <v>Europe</v>
      </c>
      <c r="R1101" s="38" t="str">
        <f>VLOOKUP($E1101,countries!$A$2:$E$250,5,false)</f>
        <v>Southern Europe</v>
      </c>
      <c r="S1101" s="38">
        <f t="shared" si="5"/>
        <v>31</v>
      </c>
      <c r="T1101" s="38" t="s">
        <v>148</v>
      </c>
      <c r="U1101" s="38">
        <v>2016.0</v>
      </c>
      <c r="V1101" s="38">
        <v>8.0</v>
      </c>
      <c r="W1101" s="38" t="s">
        <v>128</v>
      </c>
      <c r="X1101" s="38" t="s">
        <v>199</v>
      </c>
      <c r="Y1101" s="38" t="s">
        <v>146</v>
      </c>
      <c r="Z1101" s="38" t="s">
        <v>147</v>
      </c>
      <c r="AA1101" s="113" t="str">
        <f t="array" ref="AA1101">PROPER(G1101)</f>
        <v>Offline</v>
      </c>
    </row>
    <row r="1102">
      <c r="A1102" s="110">
        <v>8.3509339E8</v>
      </c>
      <c r="B1102" s="131">
        <v>41847.0</v>
      </c>
      <c r="C1102" s="131">
        <v>41849.0</v>
      </c>
      <c r="D1102" s="110" t="s">
        <v>95</v>
      </c>
      <c r="E1102" s="110" t="s">
        <v>100</v>
      </c>
      <c r="F1102" s="110">
        <v>3127.0</v>
      </c>
      <c r="G1102" s="38" t="s">
        <v>42</v>
      </c>
      <c r="H1102" s="110">
        <v>1547.0</v>
      </c>
      <c r="I1102" s="132">
        <v>81.73</v>
      </c>
      <c r="J1102" s="132">
        <v>56.67</v>
      </c>
      <c r="K1102" s="39">
        <f t="shared" si="1"/>
        <v>126436.31</v>
      </c>
      <c r="L1102" s="39">
        <f t="shared" si="2"/>
        <v>87668.49</v>
      </c>
      <c r="M1102" s="39">
        <f t="shared" si="3"/>
        <v>38767.82</v>
      </c>
      <c r="N1102" s="38" t="str">
        <f>VLOOKUP(F1102,products!$A$2:$B$13,2,FALSE)</f>
        <v>Personal Care</v>
      </c>
      <c r="O1102" s="133">
        <f t="shared" si="4"/>
        <v>0.6933806436</v>
      </c>
      <c r="P1102" s="38" t="str">
        <f>VLOOKUP(E1102,countries!A$2:E$250,3,false)</f>
        <v>Germany</v>
      </c>
      <c r="Q1102" s="38" t="str">
        <f>VLOOKUP($E1102,countries!$A$2:$E$250,4,false)</f>
        <v>Europe</v>
      </c>
      <c r="R1102" s="38" t="str">
        <f>VLOOKUP($E1102,countries!$A$2:$E$250,5,false)</f>
        <v>Western Europe</v>
      </c>
      <c r="S1102" s="38">
        <f t="shared" si="5"/>
        <v>2</v>
      </c>
      <c r="T1102" s="38" t="s">
        <v>185</v>
      </c>
      <c r="U1102" s="38">
        <v>2014.0</v>
      </c>
      <c r="V1102" s="38">
        <v>7.0</v>
      </c>
      <c r="W1102" s="38" t="s">
        <v>100</v>
      </c>
      <c r="X1102" s="38" t="s">
        <v>163</v>
      </c>
      <c r="Y1102" s="38" t="s">
        <v>146</v>
      </c>
      <c r="Z1102" s="38" t="s">
        <v>158</v>
      </c>
      <c r="AA1102" s="113" t="str">
        <f t="array" ref="AA1102">PROPER(G1102)</f>
        <v>Offline</v>
      </c>
    </row>
    <row r="1103">
      <c r="A1103" s="110">
        <v>8.3526591E8</v>
      </c>
      <c r="B1103" s="131">
        <v>40417.0</v>
      </c>
      <c r="C1103" s="131">
        <v>40452.0</v>
      </c>
      <c r="D1103" s="110" t="s">
        <v>89</v>
      </c>
      <c r="E1103" s="110" t="s">
        <v>118</v>
      </c>
      <c r="F1103" s="110">
        <v>7940.0</v>
      </c>
      <c r="G1103" s="38" t="s">
        <v>42</v>
      </c>
      <c r="H1103" s="110">
        <v>2599.0</v>
      </c>
      <c r="I1103" s="132">
        <v>668.27</v>
      </c>
      <c r="J1103" s="132">
        <v>502.54</v>
      </c>
      <c r="K1103" s="39">
        <f t="shared" si="1"/>
        <v>1736833.73</v>
      </c>
      <c r="L1103" s="39">
        <f t="shared" si="2"/>
        <v>1306101.46</v>
      </c>
      <c r="M1103" s="39">
        <f t="shared" si="3"/>
        <v>430732.27</v>
      </c>
      <c r="N1103" s="38" t="str">
        <f>VLOOKUP(F1103,products!$A$2:$B$13,2,FALSE)</f>
        <v>Household</v>
      </c>
      <c r="O1103" s="133">
        <f t="shared" si="4"/>
        <v>0.7520014365</v>
      </c>
      <c r="P1103" s="38" t="str">
        <f>VLOOKUP(E1103,countries!A$2:E$250,3,false)</f>
        <v>Austria</v>
      </c>
      <c r="Q1103" s="38" t="str">
        <f>VLOOKUP($E1103,countries!$A$2:$E$250,4,false)</f>
        <v>Europe</v>
      </c>
      <c r="R1103" s="38" t="str">
        <f>VLOOKUP($E1103,countries!$A$2:$E$250,5,false)</f>
        <v>Western Europe</v>
      </c>
      <c r="S1103" s="38">
        <f t="shared" si="5"/>
        <v>35</v>
      </c>
      <c r="T1103" s="38" t="s">
        <v>148</v>
      </c>
      <c r="U1103" s="38">
        <v>2010.0</v>
      </c>
      <c r="V1103" s="38">
        <v>8.0</v>
      </c>
      <c r="W1103" s="38" t="s">
        <v>118</v>
      </c>
      <c r="X1103" s="38" t="s">
        <v>189</v>
      </c>
      <c r="Y1103" s="38" t="s">
        <v>146</v>
      </c>
      <c r="Z1103" s="38" t="s">
        <v>158</v>
      </c>
      <c r="AA1103" s="113" t="str">
        <f t="array" ref="AA1103">PROPER(G1103)</f>
        <v>Offline</v>
      </c>
    </row>
    <row r="1104">
      <c r="A1104" s="110">
        <v>8.3534187E8</v>
      </c>
      <c r="B1104" s="131">
        <v>42761.0</v>
      </c>
      <c r="C1104" s="131">
        <v>42790.0</v>
      </c>
      <c r="D1104" s="110" t="s">
        <v>89</v>
      </c>
      <c r="E1104" s="110" t="s">
        <v>107</v>
      </c>
      <c r="F1104" s="110">
        <v>8293.0</v>
      </c>
      <c r="G1104" s="38" t="s">
        <v>43</v>
      </c>
      <c r="H1104" s="110">
        <v>5077.0</v>
      </c>
      <c r="I1104" s="132">
        <v>437.2</v>
      </c>
      <c r="J1104" s="132">
        <v>263.33</v>
      </c>
      <c r="K1104" s="39">
        <f t="shared" si="1"/>
        <v>2219664.4</v>
      </c>
      <c r="L1104" s="39">
        <f t="shared" si="2"/>
        <v>1336926.41</v>
      </c>
      <c r="M1104" s="39">
        <f t="shared" si="3"/>
        <v>882737.99</v>
      </c>
      <c r="N1104" s="38" t="str">
        <f>VLOOKUP(F1104,products!$A$2:$B$13,2,FALSE)</f>
        <v>Cosmetics</v>
      </c>
      <c r="O1104" s="133">
        <f t="shared" si="4"/>
        <v>0.6023101555</v>
      </c>
      <c r="P1104" s="38" t="str">
        <f>VLOOKUP(E1104,countries!A$2:E$250,3,false)</f>
        <v>Luxembourg</v>
      </c>
      <c r="Q1104" s="38" t="str">
        <f>VLOOKUP($E1104,countries!$A$2:$E$250,4,false)</f>
        <v>Europe</v>
      </c>
      <c r="R1104" s="38" t="str">
        <f>VLOOKUP($E1104,countries!$A$2:$E$250,5,false)</f>
        <v>Western Europe</v>
      </c>
      <c r="S1104" s="38">
        <f t="shared" si="5"/>
        <v>29</v>
      </c>
      <c r="T1104" s="38" t="s">
        <v>178</v>
      </c>
      <c r="U1104" s="38">
        <v>2017.0</v>
      </c>
      <c r="V1104" s="38">
        <v>1.0</v>
      </c>
      <c r="W1104" s="38" t="s">
        <v>107</v>
      </c>
      <c r="X1104" s="38" t="s">
        <v>174</v>
      </c>
      <c r="Y1104" s="38" t="s">
        <v>146</v>
      </c>
      <c r="Z1104" s="38" t="s">
        <v>158</v>
      </c>
      <c r="AA1104" s="113" t="str">
        <f t="array" ref="AA1104">PROPER(G1104)</f>
        <v>Online</v>
      </c>
    </row>
    <row r="1105">
      <c r="A1105" s="110">
        <v>8.37608659E8</v>
      </c>
      <c r="B1105" s="131">
        <v>41020.0</v>
      </c>
      <c r="C1105" s="131">
        <v>41031.0</v>
      </c>
      <c r="D1105" s="110" t="s">
        <v>95</v>
      </c>
      <c r="E1105" s="110" t="s">
        <v>125</v>
      </c>
      <c r="F1105" s="110">
        <v>7940.0</v>
      </c>
      <c r="G1105" s="38" t="s">
        <v>43</v>
      </c>
      <c r="H1105" s="110">
        <v>5871.0</v>
      </c>
      <c r="I1105" s="132">
        <v>668.27</v>
      </c>
      <c r="J1105" s="132">
        <v>502.54</v>
      </c>
      <c r="K1105" s="39">
        <f t="shared" si="1"/>
        <v>3923413.17</v>
      </c>
      <c r="L1105" s="39">
        <f t="shared" si="2"/>
        <v>2950412.34</v>
      </c>
      <c r="M1105" s="39">
        <f t="shared" si="3"/>
        <v>973000.83</v>
      </c>
      <c r="N1105" s="38" t="str">
        <f>VLOOKUP(F1105,products!$A$2:$B$13,2,FALSE)</f>
        <v>Household</v>
      </c>
      <c r="O1105" s="133">
        <f t="shared" si="4"/>
        <v>0.7520014365</v>
      </c>
      <c r="P1105" s="38" t="str">
        <f>VLOOKUP(E1105,countries!A$2:E$250,3,false)</f>
        <v>Bulgaria</v>
      </c>
      <c r="Q1105" s="38" t="str">
        <f>VLOOKUP($E1105,countries!$A$2:$E$250,4,false)</f>
        <v>Europe</v>
      </c>
      <c r="R1105" s="38" t="str">
        <f>VLOOKUP($E1105,countries!$A$2:$E$250,5,false)</f>
        <v>Eastern Europe</v>
      </c>
      <c r="S1105" s="38">
        <f t="shared" si="5"/>
        <v>11</v>
      </c>
      <c r="T1105" s="38" t="s">
        <v>148</v>
      </c>
      <c r="U1105" s="38">
        <v>2012.0</v>
      </c>
      <c r="V1105" s="38">
        <v>4.0</v>
      </c>
      <c r="W1105" s="38" t="s">
        <v>125</v>
      </c>
      <c r="X1105" s="38" t="s">
        <v>196</v>
      </c>
      <c r="Y1105" s="38" t="s">
        <v>146</v>
      </c>
      <c r="Z1105" s="38" t="s">
        <v>155</v>
      </c>
      <c r="AA1105" s="113" t="str">
        <f t="array" ref="AA1105">PROPER(G1105)</f>
        <v>Online</v>
      </c>
    </row>
    <row r="1106">
      <c r="A1106" s="110">
        <v>8.3790692E8</v>
      </c>
      <c r="B1106" s="131">
        <v>42829.0</v>
      </c>
      <c r="C1106" s="131">
        <v>42871.0</v>
      </c>
      <c r="D1106" s="110" t="s">
        <v>93</v>
      </c>
      <c r="E1106" s="110" t="s">
        <v>122</v>
      </c>
      <c r="F1106" s="110">
        <v>1270.0</v>
      </c>
      <c r="G1106" s="38" t="s">
        <v>43</v>
      </c>
      <c r="H1106" s="110">
        <v>4133.0</v>
      </c>
      <c r="I1106" s="132">
        <v>47.45</v>
      </c>
      <c r="J1106" s="132">
        <v>31.79</v>
      </c>
      <c r="K1106" s="39">
        <f t="shared" si="1"/>
        <v>196110.85</v>
      </c>
      <c r="L1106" s="39">
        <f t="shared" si="2"/>
        <v>131388.07</v>
      </c>
      <c r="M1106" s="39">
        <f t="shared" si="3"/>
        <v>64722.78</v>
      </c>
      <c r="N1106" s="38" t="str">
        <f>VLOOKUP(F1106,products!$A$2:$B$13,2,FALSE)</f>
        <v>Beverages</v>
      </c>
      <c r="O1106" s="133">
        <f t="shared" si="4"/>
        <v>0.6699683878</v>
      </c>
      <c r="P1106" s="38" t="str">
        <f>VLOOKUP(E1106,countries!A$2:E$250,3,false)</f>
        <v>Switzerland</v>
      </c>
      <c r="Q1106" s="38" t="str">
        <f>VLOOKUP($E1106,countries!$A$2:$E$250,4,false)</f>
        <v>Europe</v>
      </c>
      <c r="R1106" s="38" t="str">
        <f>VLOOKUP($E1106,countries!$A$2:$E$250,5,false)</f>
        <v>Western Europe</v>
      </c>
      <c r="S1106" s="38">
        <f t="shared" si="5"/>
        <v>42</v>
      </c>
      <c r="T1106" s="38" t="s">
        <v>152</v>
      </c>
      <c r="U1106" s="38">
        <v>2017.0</v>
      </c>
      <c r="V1106" s="38">
        <v>4.0</v>
      </c>
      <c r="W1106" s="38" t="s">
        <v>122</v>
      </c>
      <c r="X1106" s="38" t="s">
        <v>193</v>
      </c>
      <c r="Y1106" s="38" t="s">
        <v>146</v>
      </c>
      <c r="Z1106" s="38" t="s">
        <v>158</v>
      </c>
      <c r="AA1106" s="113" t="str">
        <f t="array" ref="AA1106">PROPER(G1106)</f>
        <v>Online</v>
      </c>
    </row>
    <row r="1107">
      <c r="A1107" s="110">
        <v>8.38788402E8</v>
      </c>
      <c r="B1107" s="131">
        <v>40219.0</v>
      </c>
      <c r="C1107" s="131">
        <v>40235.0</v>
      </c>
      <c r="D1107" s="110" t="s">
        <v>89</v>
      </c>
      <c r="E1107" s="110" t="s">
        <v>101</v>
      </c>
      <c r="F1107" s="110">
        <v>7331.0</v>
      </c>
      <c r="G1107" s="38" t="s">
        <v>42</v>
      </c>
      <c r="H1107" s="110">
        <v>4983.0</v>
      </c>
      <c r="I1107" s="132">
        <v>255.28</v>
      </c>
      <c r="J1107" s="132">
        <v>159.42</v>
      </c>
      <c r="K1107" s="39">
        <f t="shared" si="1"/>
        <v>1272060.24</v>
      </c>
      <c r="L1107" s="39">
        <f t="shared" si="2"/>
        <v>794389.86</v>
      </c>
      <c r="M1107" s="39">
        <f t="shared" si="3"/>
        <v>477670.38</v>
      </c>
      <c r="N1107" s="38" t="str">
        <f>VLOOKUP(F1107,products!$A$2:$B$13,2,FALSE)</f>
        <v>Baby Food</v>
      </c>
      <c r="O1107" s="133">
        <f t="shared" si="4"/>
        <v>0.6244907552</v>
      </c>
      <c r="P1107" s="38" t="str">
        <f>VLOOKUP(E1107,countries!A$2:E$250,3,false)</f>
        <v>Armenia</v>
      </c>
      <c r="Q1107" s="38" t="str">
        <f>VLOOKUP($E1107,countries!$A$2:$E$250,4,false)</f>
        <v>Asia</v>
      </c>
      <c r="R1107" s="38" t="str">
        <f>VLOOKUP($E1107,countries!$A$2:$E$250,5,false)</f>
        <v>Western Asia</v>
      </c>
      <c r="S1107" s="38">
        <f t="shared" si="5"/>
        <v>16</v>
      </c>
      <c r="T1107" s="38" t="s">
        <v>161</v>
      </c>
      <c r="U1107" s="38">
        <v>2010.0</v>
      </c>
      <c r="V1107" s="38">
        <v>2.0</v>
      </c>
      <c r="W1107" s="38" t="s">
        <v>101</v>
      </c>
      <c r="X1107" s="38" t="s">
        <v>164</v>
      </c>
      <c r="Y1107" s="38" t="s">
        <v>165</v>
      </c>
      <c r="Z1107" s="38" t="s">
        <v>166</v>
      </c>
      <c r="AA1107" s="113" t="str">
        <f t="array" ref="AA1107">PROPER(G1107)</f>
        <v>Offline</v>
      </c>
    </row>
    <row r="1108">
      <c r="A1108" s="110">
        <v>8.38895261E8</v>
      </c>
      <c r="B1108" s="131">
        <v>41687.0</v>
      </c>
      <c r="C1108" s="131">
        <v>41689.0</v>
      </c>
      <c r="D1108" s="110" t="s">
        <v>93</v>
      </c>
      <c r="E1108" s="110" t="e">
        <v>#N/A</v>
      </c>
      <c r="F1108" s="110">
        <v>3127.0</v>
      </c>
      <c r="G1108" s="38" t="s">
        <v>42</v>
      </c>
      <c r="H1108" s="110">
        <v>6605.0</v>
      </c>
      <c r="I1108" s="132">
        <v>81.73</v>
      </c>
      <c r="J1108" s="132">
        <v>56.67</v>
      </c>
      <c r="K1108" s="39">
        <f t="shared" si="1"/>
        <v>539826.65</v>
      </c>
      <c r="L1108" s="39">
        <f t="shared" si="2"/>
        <v>374305.35</v>
      </c>
      <c r="M1108" s="39">
        <f t="shared" si="3"/>
        <v>165521.3</v>
      </c>
      <c r="N1108" s="38" t="str">
        <f>VLOOKUP(F1108,products!$A$2:$B$13,2,FALSE)</f>
        <v>Personal Care</v>
      </c>
      <c r="O1108" s="133">
        <f t="shared" si="4"/>
        <v>0.6933806436</v>
      </c>
      <c r="P1108" s="38" t="str">
        <f>VLOOKUP(E1108,countries!A$2:E$250,3,false)</f>
        <v>#N/A</v>
      </c>
      <c r="Q1108" s="38" t="str">
        <f>VLOOKUP($E1108,countries!$A$2:$E$250,4,false)</f>
        <v>#N/A</v>
      </c>
      <c r="R1108" s="38" t="str">
        <f>VLOOKUP($E1108,countries!$A$2:$E$250,5,false)</f>
        <v>#N/A</v>
      </c>
      <c r="S1108" s="38">
        <f t="shared" si="5"/>
        <v>2</v>
      </c>
      <c r="T1108" s="38" t="s">
        <v>185</v>
      </c>
      <c r="U1108" s="38">
        <v>2014.0</v>
      </c>
      <c r="V1108" s="38">
        <v>2.0</v>
      </c>
      <c r="W1108" s="38" t="s">
        <v>92</v>
      </c>
      <c r="X1108" s="38" t="s">
        <v>149</v>
      </c>
      <c r="Y1108" s="38" t="s">
        <v>149</v>
      </c>
      <c r="Z1108" s="38" t="s">
        <v>149</v>
      </c>
      <c r="AA1108" s="113" t="str">
        <f t="array" ref="AA1108">PROPER(G1108)</f>
        <v>Offline</v>
      </c>
    </row>
    <row r="1109">
      <c r="A1109" s="110">
        <v>8.39437711E8</v>
      </c>
      <c r="B1109" s="131">
        <v>41996.0</v>
      </c>
      <c r="C1109" s="131">
        <v>41997.0</v>
      </c>
      <c r="D1109" s="110" t="s">
        <v>93</v>
      </c>
      <c r="E1109" s="110" t="s">
        <v>116</v>
      </c>
      <c r="F1109" s="110">
        <v>2455.0</v>
      </c>
      <c r="G1109" s="38" t="s">
        <v>42</v>
      </c>
      <c r="H1109" s="110">
        <v>7128.0</v>
      </c>
      <c r="I1109" s="132">
        <v>109.28</v>
      </c>
      <c r="J1109" s="132">
        <v>35.84</v>
      </c>
      <c r="K1109" s="39">
        <f t="shared" si="1"/>
        <v>778947.84</v>
      </c>
      <c r="L1109" s="39">
        <f t="shared" si="2"/>
        <v>255467.52</v>
      </c>
      <c r="M1109" s="39">
        <f t="shared" si="3"/>
        <v>523480.32</v>
      </c>
      <c r="N1109" s="38" t="str">
        <f>VLOOKUP(F1109,products!$A$2:$B$13,2,FALSE)</f>
        <v>Clothes</v>
      </c>
      <c r="O1109" s="133">
        <f t="shared" si="4"/>
        <v>0.3279648609</v>
      </c>
      <c r="P1109" s="38" t="str">
        <f>VLOOKUP(E1109,countries!A$2:E$250,3,false)</f>
        <v>Belarus</v>
      </c>
      <c r="Q1109" s="38" t="str">
        <f>VLOOKUP($E1109,countries!$A$2:$E$250,4,false)</f>
        <v>Europe</v>
      </c>
      <c r="R1109" s="38" t="str">
        <f>VLOOKUP($E1109,countries!$A$2:$E$250,5,false)</f>
        <v>Eastern Europe</v>
      </c>
      <c r="S1109" s="38">
        <f t="shared" si="5"/>
        <v>1</v>
      </c>
      <c r="T1109" s="38" t="s">
        <v>150</v>
      </c>
      <c r="U1109" s="38">
        <v>2014.0</v>
      </c>
      <c r="V1109" s="38">
        <v>12.0</v>
      </c>
      <c r="W1109" s="38" t="s">
        <v>116</v>
      </c>
      <c r="X1109" s="38" t="s">
        <v>187</v>
      </c>
      <c r="Y1109" s="38" t="s">
        <v>146</v>
      </c>
      <c r="Z1109" s="38" t="s">
        <v>155</v>
      </c>
      <c r="AA1109" s="113" t="str">
        <f t="array" ref="AA1109">PROPER(G1109)</f>
        <v>Offline</v>
      </c>
    </row>
    <row r="1110">
      <c r="A1110" s="110">
        <v>8.40747058E8</v>
      </c>
      <c r="B1110" s="131">
        <v>40522.0</v>
      </c>
      <c r="C1110" s="131">
        <v>40538.0</v>
      </c>
      <c r="D1110" s="110" t="s">
        <v>10</v>
      </c>
      <c r="E1110" s="110" t="s">
        <v>101</v>
      </c>
      <c r="F1110" s="110">
        <v>3127.0</v>
      </c>
      <c r="G1110" s="38" t="s">
        <v>43</v>
      </c>
      <c r="H1110" s="110">
        <v>4593.0</v>
      </c>
      <c r="I1110" s="132">
        <v>81.73</v>
      </c>
      <c r="J1110" s="132">
        <v>56.67</v>
      </c>
      <c r="K1110" s="39">
        <f t="shared" si="1"/>
        <v>375385.89</v>
      </c>
      <c r="L1110" s="39">
        <f t="shared" si="2"/>
        <v>260285.31</v>
      </c>
      <c r="M1110" s="39">
        <f t="shared" si="3"/>
        <v>115100.58</v>
      </c>
      <c r="N1110" s="38" t="str">
        <f>VLOOKUP(F1110,products!$A$2:$B$13,2,FALSE)</f>
        <v>Personal Care</v>
      </c>
      <c r="O1110" s="133">
        <f t="shared" si="4"/>
        <v>0.6933806436</v>
      </c>
      <c r="P1110" s="38" t="str">
        <f>VLOOKUP(E1110,countries!A$2:E$250,3,false)</f>
        <v>Armenia</v>
      </c>
      <c r="Q1110" s="38" t="str">
        <f>VLOOKUP($E1110,countries!$A$2:$E$250,4,false)</f>
        <v>Asia</v>
      </c>
      <c r="R1110" s="38" t="str">
        <f>VLOOKUP($E1110,countries!$A$2:$E$250,5,false)</f>
        <v>Western Asia</v>
      </c>
      <c r="S1110" s="38">
        <f t="shared" si="5"/>
        <v>16</v>
      </c>
      <c r="T1110" s="38" t="s">
        <v>185</v>
      </c>
      <c r="U1110" s="38">
        <v>2010.0</v>
      </c>
      <c r="V1110" s="38">
        <v>12.0</v>
      </c>
      <c r="W1110" s="38" t="s">
        <v>101</v>
      </c>
      <c r="X1110" s="38" t="s">
        <v>164</v>
      </c>
      <c r="Y1110" s="38" t="s">
        <v>165</v>
      </c>
      <c r="Z1110" s="38" t="s">
        <v>166</v>
      </c>
      <c r="AA1110" s="113" t="str">
        <f t="array" ref="AA1110">PROPER(G1110)</f>
        <v>Online</v>
      </c>
    </row>
    <row r="1111">
      <c r="A1111" s="110">
        <v>8.4078139E8</v>
      </c>
      <c r="B1111" s="131">
        <v>40471.0</v>
      </c>
      <c r="C1111" s="131">
        <v>40495.0</v>
      </c>
      <c r="D1111" s="110" t="s">
        <v>95</v>
      </c>
      <c r="E1111" s="110" t="s">
        <v>107</v>
      </c>
      <c r="F1111" s="110">
        <v>7940.0</v>
      </c>
      <c r="G1111" s="38" t="s">
        <v>43</v>
      </c>
      <c r="H1111" s="110">
        <v>4752.0</v>
      </c>
      <c r="I1111" s="132">
        <v>668.27</v>
      </c>
      <c r="J1111" s="132">
        <v>502.54</v>
      </c>
      <c r="K1111" s="39">
        <f t="shared" si="1"/>
        <v>3175619.04</v>
      </c>
      <c r="L1111" s="39">
        <f t="shared" si="2"/>
        <v>2388070.08</v>
      </c>
      <c r="M1111" s="39">
        <f t="shared" si="3"/>
        <v>787548.96</v>
      </c>
      <c r="N1111" s="38" t="str">
        <f>VLOOKUP(F1111,products!$A$2:$B$13,2,FALSE)</f>
        <v>Household</v>
      </c>
      <c r="O1111" s="133">
        <f t="shared" si="4"/>
        <v>0.7520014365</v>
      </c>
      <c r="P1111" s="38" t="str">
        <f>VLOOKUP(E1111,countries!A$2:E$250,3,false)</f>
        <v>Luxembourg</v>
      </c>
      <c r="Q1111" s="38" t="str">
        <f>VLOOKUP($E1111,countries!$A$2:$E$250,4,false)</f>
        <v>Europe</v>
      </c>
      <c r="R1111" s="38" t="str">
        <f>VLOOKUP($E1111,countries!$A$2:$E$250,5,false)</f>
        <v>Western Europe</v>
      </c>
      <c r="S1111" s="38">
        <f t="shared" si="5"/>
        <v>24</v>
      </c>
      <c r="T1111" s="38" t="s">
        <v>148</v>
      </c>
      <c r="U1111" s="38">
        <v>2010.0</v>
      </c>
      <c r="V1111" s="38">
        <v>10.0</v>
      </c>
      <c r="W1111" s="38" t="s">
        <v>107</v>
      </c>
      <c r="X1111" s="38" t="s">
        <v>174</v>
      </c>
      <c r="Y1111" s="38" t="s">
        <v>146</v>
      </c>
      <c r="Z1111" s="38" t="s">
        <v>158</v>
      </c>
      <c r="AA1111" s="113" t="str">
        <f t="array" ref="AA1111">PROPER(G1111)</f>
        <v>Online</v>
      </c>
    </row>
    <row r="1112">
      <c r="A1112" s="110">
        <v>8.4268769E8</v>
      </c>
      <c r="B1112" s="131">
        <v>40643.0</v>
      </c>
      <c r="C1112" s="131">
        <v>40689.0</v>
      </c>
      <c r="D1112" s="110" t="s">
        <v>95</v>
      </c>
      <c r="E1112" s="110" t="s">
        <v>94</v>
      </c>
      <c r="F1112" s="110">
        <v>5988.0</v>
      </c>
      <c r="G1112" s="38" t="s">
        <v>42</v>
      </c>
      <c r="H1112" s="110">
        <v>8869.0</v>
      </c>
      <c r="I1112" s="132">
        <v>154.06</v>
      </c>
      <c r="J1112" s="132">
        <v>90.93</v>
      </c>
      <c r="K1112" s="39">
        <f t="shared" si="1"/>
        <v>1366358.14</v>
      </c>
      <c r="L1112" s="39">
        <f t="shared" si="2"/>
        <v>806458.17</v>
      </c>
      <c r="M1112" s="39">
        <f t="shared" si="3"/>
        <v>559899.97</v>
      </c>
      <c r="N1112" s="38" t="str">
        <f>VLOOKUP(F1112,products!$A$2:$B$13,2,FALSE)</f>
        <v>Vegetables</v>
      </c>
      <c r="O1112" s="133">
        <f t="shared" si="4"/>
        <v>0.5902245878</v>
      </c>
      <c r="P1112" s="38" t="str">
        <f>VLOOKUP(E1112,countries!A$2:E$250,3,false)</f>
        <v>Montenegro</v>
      </c>
      <c r="Q1112" s="38" t="str">
        <f>VLOOKUP($E1112,countries!$A$2:$E$250,4,false)</f>
        <v>Europe</v>
      </c>
      <c r="R1112" s="38" t="str">
        <f>VLOOKUP($E1112,countries!$A$2:$E$250,5,false)</f>
        <v>Southern Europe</v>
      </c>
      <c r="S1112" s="38">
        <f t="shared" si="5"/>
        <v>46</v>
      </c>
      <c r="T1112" s="38" t="s">
        <v>159</v>
      </c>
      <c r="U1112" s="38">
        <v>2011.0</v>
      </c>
      <c r="V1112" s="38">
        <v>4.0</v>
      </c>
      <c r="W1112" s="38" t="s">
        <v>94</v>
      </c>
      <c r="X1112" s="38" t="s">
        <v>151</v>
      </c>
      <c r="Y1112" s="38" t="s">
        <v>146</v>
      </c>
      <c r="Z1112" s="38" t="s">
        <v>147</v>
      </c>
      <c r="AA1112" s="113" t="str">
        <f t="array" ref="AA1112">PROPER(G1112)</f>
        <v>Offline</v>
      </c>
    </row>
    <row r="1113">
      <c r="A1113" s="110">
        <v>8.42725884E8</v>
      </c>
      <c r="B1113" s="131">
        <v>42212.0</v>
      </c>
      <c r="C1113" s="131">
        <v>42227.0</v>
      </c>
      <c r="D1113" s="110" t="s">
        <v>95</v>
      </c>
      <c r="E1113" s="110" t="s">
        <v>108</v>
      </c>
      <c r="F1113" s="110">
        <v>8969.0</v>
      </c>
      <c r="G1113" s="38" t="s">
        <v>42</v>
      </c>
      <c r="H1113" s="110">
        <v>171.0</v>
      </c>
      <c r="I1113" s="132">
        <v>152.58</v>
      </c>
      <c r="J1113" s="132">
        <v>97.44</v>
      </c>
      <c r="K1113" s="39">
        <f t="shared" si="1"/>
        <v>26091.18</v>
      </c>
      <c r="L1113" s="39">
        <f t="shared" si="2"/>
        <v>16662.24</v>
      </c>
      <c r="M1113" s="39">
        <f t="shared" si="3"/>
        <v>9428.94</v>
      </c>
      <c r="N1113" s="38" t="str">
        <f>VLOOKUP(F1113,products!$A$2:$B$13,2,FALSE)</f>
        <v>Snacks</v>
      </c>
      <c r="O1113" s="133">
        <f t="shared" si="4"/>
        <v>0.6386158081</v>
      </c>
      <c r="P1113" s="38" t="str">
        <f>VLOOKUP(E1113,countries!A$2:E$250,3,false)</f>
        <v>Cyprus</v>
      </c>
      <c r="Q1113" s="38" t="str">
        <f>VLOOKUP($E1113,countries!$A$2:$E$250,4,false)</f>
        <v>Asia</v>
      </c>
      <c r="R1113" s="38" t="str">
        <f>VLOOKUP($E1113,countries!$A$2:$E$250,5,false)</f>
        <v>Western Asia</v>
      </c>
      <c r="S1113" s="38">
        <f t="shared" si="5"/>
        <v>15</v>
      </c>
      <c r="T1113" s="38" t="s">
        <v>182</v>
      </c>
      <c r="U1113" s="38">
        <v>2015.0</v>
      </c>
      <c r="V1113" s="38">
        <v>7.0</v>
      </c>
      <c r="W1113" s="38" t="s">
        <v>108</v>
      </c>
      <c r="X1113" s="38" t="s">
        <v>175</v>
      </c>
      <c r="Y1113" s="38" t="s">
        <v>165</v>
      </c>
      <c r="Z1113" s="38" t="s">
        <v>166</v>
      </c>
      <c r="AA1113" s="113" t="str">
        <f t="array" ref="AA1113">PROPER(G1113)</f>
        <v>Offline</v>
      </c>
    </row>
    <row r="1114">
      <c r="A1114" s="110">
        <v>8.44105184E8</v>
      </c>
      <c r="B1114" s="131">
        <v>40254.0</v>
      </c>
      <c r="C1114" s="131">
        <v>40288.0</v>
      </c>
      <c r="D1114" s="110" t="s">
        <v>95</v>
      </c>
      <c r="E1114" s="110" t="s">
        <v>104</v>
      </c>
      <c r="F1114" s="110">
        <v>1270.0</v>
      </c>
      <c r="G1114" s="38" t="s">
        <v>42</v>
      </c>
      <c r="H1114" s="110">
        <v>8337.0</v>
      </c>
      <c r="I1114" s="132">
        <v>47.45</v>
      </c>
      <c r="J1114" s="132">
        <v>31.79</v>
      </c>
      <c r="K1114" s="39">
        <f t="shared" si="1"/>
        <v>395590.65</v>
      </c>
      <c r="L1114" s="39">
        <f t="shared" si="2"/>
        <v>265033.23</v>
      </c>
      <c r="M1114" s="39">
        <f t="shared" si="3"/>
        <v>130557.42</v>
      </c>
      <c r="N1114" s="38" t="str">
        <f>VLOOKUP(F1114,products!$A$2:$B$13,2,FALSE)</f>
        <v>Beverages</v>
      </c>
      <c r="O1114" s="133">
        <f t="shared" si="4"/>
        <v>0.6699683878</v>
      </c>
      <c r="P1114" s="38" t="str">
        <f>VLOOKUP(E1114,countries!A$2:E$250,3,false)</f>
        <v>Slovenia</v>
      </c>
      <c r="Q1114" s="38" t="str">
        <f>VLOOKUP($E1114,countries!$A$2:$E$250,4,false)</f>
        <v>Europe</v>
      </c>
      <c r="R1114" s="38" t="str">
        <f>VLOOKUP($E1114,countries!$A$2:$E$250,5,false)</f>
        <v>Southern Europe</v>
      </c>
      <c r="S1114" s="38">
        <f t="shared" si="5"/>
        <v>34</v>
      </c>
      <c r="T1114" s="38" t="s">
        <v>152</v>
      </c>
      <c r="U1114" s="38">
        <v>2010.0</v>
      </c>
      <c r="V1114" s="38">
        <v>3.0</v>
      </c>
      <c r="W1114" s="38" t="s">
        <v>104</v>
      </c>
      <c r="X1114" s="38" t="s">
        <v>171</v>
      </c>
      <c r="Y1114" s="38" t="s">
        <v>146</v>
      </c>
      <c r="Z1114" s="38" t="s">
        <v>147</v>
      </c>
      <c r="AA1114" s="113" t="str">
        <f t="array" ref="AA1114">PROPER(G1114)</f>
        <v>Offline</v>
      </c>
    </row>
    <row r="1115">
      <c r="A1115" s="110">
        <v>8.44307315E8</v>
      </c>
      <c r="B1115" s="131">
        <v>41098.0</v>
      </c>
      <c r="C1115" s="131">
        <v>41119.0</v>
      </c>
      <c r="D1115" s="110" t="s">
        <v>95</v>
      </c>
      <c r="E1115" s="110" t="s">
        <v>103</v>
      </c>
      <c r="F1115" s="110">
        <v>7331.0</v>
      </c>
      <c r="G1115" s="38" t="s">
        <v>43</v>
      </c>
      <c r="H1115" s="110">
        <v>8152.0</v>
      </c>
      <c r="I1115" s="132">
        <v>255.28</v>
      </c>
      <c r="J1115" s="132">
        <v>159.42</v>
      </c>
      <c r="K1115" s="39">
        <f t="shared" si="1"/>
        <v>2081042.56</v>
      </c>
      <c r="L1115" s="39">
        <f t="shared" si="2"/>
        <v>1299591.84</v>
      </c>
      <c r="M1115" s="39">
        <f t="shared" si="3"/>
        <v>781450.72</v>
      </c>
      <c r="N1115" s="38" t="str">
        <f>VLOOKUP(F1115,products!$A$2:$B$13,2,FALSE)</f>
        <v>Baby Food</v>
      </c>
      <c r="O1115" s="133">
        <f t="shared" si="4"/>
        <v>0.6244907552</v>
      </c>
      <c r="P1115" s="38" t="str">
        <f>VLOOKUP(E1115,countries!A$2:E$250,3,false)</f>
        <v>United Kingdom</v>
      </c>
      <c r="Q1115" s="38" t="str">
        <f>VLOOKUP($E1115,countries!$A$2:$E$250,4,false)</f>
        <v>Europe</v>
      </c>
      <c r="R1115" s="38" t="str">
        <f>VLOOKUP($E1115,countries!$A$2:$E$250,5,false)</f>
        <v>Northern Europe</v>
      </c>
      <c r="S1115" s="38">
        <f t="shared" si="5"/>
        <v>21</v>
      </c>
      <c r="T1115" s="38" t="s">
        <v>161</v>
      </c>
      <c r="U1115" s="38">
        <v>2012.0</v>
      </c>
      <c r="V1115" s="38">
        <v>7.0</v>
      </c>
      <c r="W1115" s="38" t="s">
        <v>103</v>
      </c>
      <c r="X1115" s="38" t="s">
        <v>169</v>
      </c>
      <c r="Y1115" s="38" t="s">
        <v>146</v>
      </c>
      <c r="Z1115" s="38" t="s">
        <v>170</v>
      </c>
      <c r="AA1115" s="113" t="str">
        <f t="array" ref="AA1115">PROPER(G1115)</f>
        <v>Online</v>
      </c>
    </row>
    <row r="1116">
      <c r="A1116" s="110">
        <v>8.44575107E8</v>
      </c>
      <c r="B1116" s="131">
        <v>41811.0</v>
      </c>
      <c r="C1116" s="131">
        <v>41816.0</v>
      </c>
      <c r="D1116" s="110" t="s">
        <v>95</v>
      </c>
      <c r="E1116" s="110" t="s">
        <v>130</v>
      </c>
      <c r="F1116" s="110">
        <v>8875.0</v>
      </c>
      <c r="G1116" s="38" t="s">
        <v>43</v>
      </c>
      <c r="H1116" s="110">
        <v>7397.0</v>
      </c>
      <c r="I1116" s="132">
        <v>421.89</v>
      </c>
      <c r="J1116" s="132">
        <v>364.69</v>
      </c>
      <c r="K1116" s="39">
        <f t="shared" si="1"/>
        <v>3120720.33</v>
      </c>
      <c r="L1116" s="39">
        <f t="shared" si="2"/>
        <v>2697611.93</v>
      </c>
      <c r="M1116" s="39">
        <f t="shared" si="3"/>
        <v>423108.4</v>
      </c>
      <c r="N1116" s="38" t="str">
        <f>VLOOKUP(F1116,products!$A$2:$B$13,2,FALSE)</f>
        <v>Meat</v>
      </c>
      <c r="O1116" s="133">
        <f t="shared" si="4"/>
        <v>0.8644196354</v>
      </c>
      <c r="P1116" s="38" t="str">
        <f>VLOOKUP(E1116,countries!A$2:E$250,3,false)</f>
        <v>Finland</v>
      </c>
      <c r="Q1116" s="38" t="str">
        <f>VLOOKUP($E1116,countries!$A$2:$E$250,4,false)</f>
        <v>Europe</v>
      </c>
      <c r="R1116" s="38" t="str">
        <f>VLOOKUP($E1116,countries!$A$2:$E$250,5,false)</f>
        <v>Northern Europe</v>
      </c>
      <c r="S1116" s="38">
        <f t="shared" si="5"/>
        <v>5</v>
      </c>
      <c r="T1116" s="38" t="s">
        <v>167</v>
      </c>
      <c r="U1116" s="38">
        <v>2014.0</v>
      </c>
      <c r="V1116" s="38">
        <v>6.0</v>
      </c>
      <c r="W1116" s="38" t="s">
        <v>130</v>
      </c>
      <c r="X1116" s="38" t="s">
        <v>201</v>
      </c>
      <c r="Y1116" s="38" t="s">
        <v>146</v>
      </c>
      <c r="Z1116" s="38" t="s">
        <v>170</v>
      </c>
      <c r="AA1116" s="113" t="str">
        <f t="array" ref="AA1116">PROPER(G1116)</f>
        <v>Online</v>
      </c>
    </row>
    <row r="1117">
      <c r="A1117" s="110">
        <v>8.45067346E8</v>
      </c>
      <c r="B1117" s="131">
        <v>40430.0</v>
      </c>
      <c r="C1117" s="131">
        <v>40434.0</v>
      </c>
      <c r="D1117" s="110" t="s">
        <v>95</v>
      </c>
      <c r="E1117" s="110" t="s">
        <v>112</v>
      </c>
      <c r="F1117" s="110">
        <v>7940.0</v>
      </c>
      <c r="G1117" s="38" t="s">
        <v>43</v>
      </c>
      <c r="H1117" s="110">
        <v>3062.0</v>
      </c>
      <c r="I1117" s="132">
        <v>668.27</v>
      </c>
      <c r="J1117" s="132">
        <v>502.54</v>
      </c>
      <c r="K1117" s="39">
        <f t="shared" si="1"/>
        <v>2046242.74</v>
      </c>
      <c r="L1117" s="39">
        <f t="shared" si="2"/>
        <v>1538777.48</v>
      </c>
      <c r="M1117" s="39">
        <f t="shared" si="3"/>
        <v>507465.26</v>
      </c>
      <c r="N1117" s="38" t="str">
        <f>VLOOKUP(F1117,products!$A$2:$B$13,2,FALSE)</f>
        <v>Household</v>
      </c>
      <c r="O1117" s="133">
        <f t="shared" si="4"/>
        <v>0.7520014365</v>
      </c>
      <c r="P1117" s="38" t="str">
        <f>VLOOKUP(E1117,countries!A$2:E$250,3,false)</f>
        <v>Malta</v>
      </c>
      <c r="Q1117" s="38" t="str">
        <f>VLOOKUP($E1117,countries!$A$2:$E$250,4,false)</f>
        <v>Europe</v>
      </c>
      <c r="R1117" s="38" t="str">
        <f>VLOOKUP($E1117,countries!$A$2:$E$250,5,false)</f>
        <v>Southern Europe</v>
      </c>
      <c r="S1117" s="38">
        <f t="shared" si="5"/>
        <v>4</v>
      </c>
      <c r="T1117" s="38" t="s">
        <v>148</v>
      </c>
      <c r="U1117" s="38">
        <v>2010.0</v>
      </c>
      <c r="V1117" s="38">
        <v>9.0</v>
      </c>
      <c r="W1117" s="38" t="s">
        <v>112</v>
      </c>
      <c r="X1117" s="38" t="s">
        <v>180</v>
      </c>
      <c r="Y1117" s="38" t="s">
        <v>146</v>
      </c>
      <c r="Z1117" s="38" t="s">
        <v>147</v>
      </c>
      <c r="AA1117" s="113" t="str">
        <f t="array" ref="AA1117">PROPER(G1117)</f>
        <v>Online</v>
      </c>
    </row>
    <row r="1118">
      <c r="A1118" s="110">
        <v>8.45738112E8</v>
      </c>
      <c r="B1118" s="131">
        <v>40447.0</v>
      </c>
      <c r="C1118" s="131">
        <v>40474.0</v>
      </c>
      <c r="D1118" s="110" t="s">
        <v>93</v>
      </c>
      <c r="E1118" s="110" t="e">
        <v>#N/A</v>
      </c>
      <c r="F1118" s="110">
        <v>8293.0</v>
      </c>
      <c r="G1118" s="38" t="s">
        <v>43</v>
      </c>
      <c r="H1118" s="110">
        <v>1557.0</v>
      </c>
      <c r="I1118" s="132">
        <v>437.2</v>
      </c>
      <c r="J1118" s="132">
        <v>263.33</v>
      </c>
      <c r="K1118" s="39">
        <f t="shared" si="1"/>
        <v>680720.4</v>
      </c>
      <c r="L1118" s="39">
        <f t="shared" si="2"/>
        <v>410004.81</v>
      </c>
      <c r="M1118" s="39">
        <f t="shared" si="3"/>
        <v>270715.59</v>
      </c>
      <c r="N1118" s="38" t="str">
        <f>VLOOKUP(F1118,products!$A$2:$B$13,2,FALSE)</f>
        <v>Cosmetics</v>
      </c>
      <c r="O1118" s="133">
        <f t="shared" si="4"/>
        <v>0.6023101555</v>
      </c>
      <c r="P1118" s="38" t="str">
        <f>VLOOKUP(E1118,countries!A$2:E$250,3,false)</f>
        <v>#N/A</v>
      </c>
      <c r="Q1118" s="38" t="str">
        <f>VLOOKUP($E1118,countries!$A$2:$E$250,4,false)</f>
        <v>#N/A</v>
      </c>
      <c r="R1118" s="38" t="str">
        <f>VLOOKUP($E1118,countries!$A$2:$E$250,5,false)</f>
        <v>#N/A</v>
      </c>
      <c r="S1118" s="38">
        <f t="shared" si="5"/>
        <v>27</v>
      </c>
      <c r="T1118" s="38" t="s">
        <v>178</v>
      </c>
      <c r="U1118" s="38">
        <v>2010.0</v>
      </c>
      <c r="V1118" s="38">
        <v>9.0</v>
      </c>
      <c r="W1118" s="38" t="s">
        <v>92</v>
      </c>
      <c r="X1118" s="38" t="s">
        <v>149</v>
      </c>
      <c r="Y1118" s="38" t="s">
        <v>149</v>
      </c>
      <c r="Z1118" s="38" t="s">
        <v>149</v>
      </c>
      <c r="AA1118" s="113" t="str">
        <f t="array" ref="AA1118">PROPER(G1118)</f>
        <v>Online</v>
      </c>
    </row>
    <row r="1119">
      <c r="A1119" s="110">
        <v>8.464136E8</v>
      </c>
      <c r="B1119" s="131">
        <v>40907.0</v>
      </c>
      <c r="C1119" s="131">
        <v>40908.0</v>
      </c>
      <c r="D1119" s="110" t="s">
        <v>93</v>
      </c>
      <c r="E1119" s="110" t="s">
        <v>127</v>
      </c>
      <c r="F1119" s="110">
        <v>8969.0</v>
      </c>
      <c r="G1119" s="38" t="s">
        <v>43</v>
      </c>
      <c r="H1119" s="110">
        <v>1448.0</v>
      </c>
      <c r="I1119" s="132">
        <v>152.58</v>
      </c>
      <c r="J1119" s="132">
        <v>97.44</v>
      </c>
      <c r="K1119" s="39">
        <f t="shared" si="1"/>
        <v>220935.84</v>
      </c>
      <c r="L1119" s="39">
        <f t="shared" si="2"/>
        <v>141093.12</v>
      </c>
      <c r="M1119" s="39">
        <f t="shared" si="3"/>
        <v>79842.72</v>
      </c>
      <c r="N1119" s="38" t="str">
        <f>VLOOKUP(F1119,products!$A$2:$B$13,2,FALSE)</f>
        <v>Snacks</v>
      </c>
      <c r="O1119" s="133">
        <f t="shared" si="4"/>
        <v>0.6386158081</v>
      </c>
      <c r="P1119" s="38" t="str">
        <f>VLOOKUP(E1119,countries!A$2:E$250,3,false)</f>
        <v>Ireland</v>
      </c>
      <c r="Q1119" s="38" t="str">
        <f>VLOOKUP($E1119,countries!$A$2:$E$250,4,false)</f>
        <v>Europe</v>
      </c>
      <c r="R1119" s="38" t="str">
        <f>VLOOKUP($E1119,countries!$A$2:$E$250,5,false)</f>
        <v>Northern Europe</v>
      </c>
      <c r="S1119" s="38">
        <f t="shared" si="5"/>
        <v>1</v>
      </c>
      <c r="T1119" s="38" t="s">
        <v>182</v>
      </c>
      <c r="U1119" s="38">
        <v>2011.0</v>
      </c>
      <c r="V1119" s="38">
        <v>12.0</v>
      </c>
      <c r="W1119" s="38" t="s">
        <v>127</v>
      </c>
      <c r="X1119" s="38" t="s">
        <v>198</v>
      </c>
      <c r="Y1119" s="38" t="s">
        <v>146</v>
      </c>
      <c r="Z1119" s="38" t="s">
        <v>170</v>
      </c>
      <c r="AA1119" s="113" t="str">
        <f t="array" ref="AA1119">PROPER(G1119)</f>
        <v>Online</v>
      </c>
    </row>
    <row r="1120">
      <c r="A1120" s="110">
        <v>8.47317397E8</v>
      </c>
      <c r="B1120" s="131">
        <v>40892.0</v>
      </c>
      <c r="C1120" s="131">
        <v>40895.0</v>
      </c>
      <c r="D1120" s="110" t="s">
        <v>89</v>
      </c>
      <c r="E1120" s="110" t="s">
        <v>124</v>
      </c>
      <c r="F1120" s="110">
        <v>8875.0</v>
      </c>
      <c r="G1120" s="38" t="s">
        <v>42</v>
      </c>
      <c r="H1120" s="110">
        <v>8902.0</v>
      </c>
      <c r="I1120" s="132">
        <v>421.89</v>
      </c>
      <c r="J1120" s="132">
        <v>364.69</v>
      </c>
      <c r="K1120" s="39">
        <f t="shared" si="1"/>
        <v>3755664.78</v>
      </c>
      <c r="L1120" s="39">
        <f t="shared" si="2"/>
        <v>3246470.38</v>
      </c>
      <c r="M1120" s="39">
        <f t="shared" si="3"/>
        <v>509194.4</v>
      </c>
      <c r="N1120" s="38" t="str">
        <f>VLOOKUP(F1120,products!$A$2:$B$13,2,FALSE)</f>
        <v>Meat</v>
      </c>
      <c r="O1120" s="133">
        <f t="shared" si="4"/>
        <v>0.8644196354</v>
      </c>
      <c r="P1120" s="38" t="str">
        <f>VLOOKUP(E1120,countries!A$2:E$250,3,false)</f>
        <v>Latvia</v>
      </c>
      <c r="Q1120" s="38" t="str">
        <f>VLOOKUP($E1120,countries!$A$2:$E$250,4,false)</f>
        <v>Europe</v>
      </c>
      <c r="R1120" s="38" t="str">
        <f>VLOOKUP($E1120,countries!$A$2:$E$250,5,false)</f>
        <v>Northern Europe</v>
      </c>
      <c r="S1120" s="38">
        <f t="shared" si="5"/>
        <v>3</v>
      </c>
      <c r="T1120" s="38" t="s">
        <v>167</v>
      </c>
      <c r="U1120" s="38">
        <v>2011.0</v>
      </c>
      <c r="V1120" s="38">
        <v>12.0</v>
      </c>
      <c r="W1120" s="38" t="s">
        <v>124</v>
      </c>
      <c r="X1120" s="38" t="s">
        <v>195</v>
      </c>
      <c r="Y1120" s="38" t="s">
        <v>146</v>
      </c>
      <c r="Z1120" s="38" t="s">
        <v>170</v>
      </c>
      <c r="AA1120" s="113" t="str">
        <f t="array" ref="AA1120">PROPER(G1120)</f>
        <v>Offline</v>
      </c>
    </row>
    <row r="1121">
      <c r="A1121" s="110">
        <v>8.48737466E8</v>
      </c>
      <c r="B1121" s="131">
        <v>42505.0</v>
      </c>
      <c r="C1121" s="131">
        <v>42521.0</v>
      </c>
      <c r="D1121" s="110" t="s">
        <v>93</v>
      </c>
      <c r="E1121" s="110" t="s">
        <v>101</v>
      </c>
      <c r="F1121" s="110">
        <v>5988.0</v>
      </c>
      <c r="G1121" s="38" t="s">
        <v>43</v>
      </c>
      <c r="H1121" s="110">
        <v>9132.0</v>
      </c>
      <c r="I1121" s="132">
        <v>154.06</v>
      </c>
      <c r="J1121" s="132">
        <v>90.93</v>
      </c>
      <c r="K1121" s="39">
        <f t="shared" si="1"/>
        <v>1406875.92</v>
      </c>
      <c r="L1121" s="39">
        <f t="shared" si="2"/>
        <v>830372.76</v>
      </c>
      <c r="M1121" s="39">
        <f t="shared" si="3"/>
        <v>576503.16</v>
      </c>
      <c r="N1121" s="38" t="str">
        <f>VLOOKUP(F1121,products!$A$2:$B$13,2,FALSE)</f>
        <v>Vegetables</v>
      </c>
      <c r="O1121" s="133">
        <f t="shared" si="4"/>
        <v>0.5902245878</v>
      </c>
      <c r="P1121" s="38" t="str">
        <f>VLOOKUP(E1121,countries!A$2:E$250,3,false)</f>
        <v>Armenia</v>
      </c>
      <c r="Q1121" s="38" t="str">
        <f>VLOOKUP($E1121,countries!$A$2:$E$250,4,false)</f>
        <v>Asia</v>
      </c>
      <c r="R1121" s="38" t="str">
        <f>VLOOKUP($E1121,countries!$A$2:$E$250,5,false)</f>
        <v>Western Asia</v>
      </c>
      <c r="S1121" s="38">
        <f t="shared" si="5"/>
        <v>16</v>
      </c>
      <c r="T1121" s="38" t="s">
        <v>159</v>
      </c>
      <c r="U1121" s="38">
        <v>2016.0</v>
      </c>
      <c r="V1121" s="38">
        <v>5.0</v>
      </c>
      <c r="W1121" s="38" t="s">
        <v>101</v>
      </c>
      <c r="X1121" s="38" t="s">
        <v>164</v>
      </c>
      <c r="Y1121" s="38" t="s">
        <v>165</v>
      </c>
      <c r="Z1121" s="38" t="s">
        <v>166</v>
      </c>
      <c r="AA1121" s="113" t="str">
        <f t="array" ref="AA1121">PROPER(G1121)</f>
        <v>Online</v>
      </c>
    </row>
    <row r="1122">
      <c r="A1122" s="110">
        <v>8.49431836E8</v>
      </c>
      <c r="B1122" s="131">
        <v>41968.0</v>
      </c>
      <c r="C1122" s="131">
        <v>41971.0</v>
      </c>
      <c r="D1122" s="110" t="s">
        <v>93</v>
      </c>
      <c r="E1122" s="110" t="s">
        <v>124</v>
      </c>
      <c r="F1122" s="110">
        <v>8875.0</v>
      </c>
      <c r="G1122" s="38" t="s">
        <v>43</v>
      </c>
      <c r="H1122" s="110">
        <v>4611.0</v>
      </c>
      <c r="I1122" s="132">
        <v>421.89</v>
      </c>
      <c r="J1122" s="132">
        <v>364.69</v>
      </c>
      <c r="K1122" s="39">
        <f t="shared" si="1"/>
        <v>1945334.79</v>
      </c>
      <c r="L1122" s="39">
        <f t="shared" si="2"/>
        <v>1681585.59</v>
      </c>
      <c r="M1122" s="39">
        <f t="shared" si="3"/>
        <v>263749.2</v>
      </c>
      <c r="N1122" s="38" t="str">
        <f>VLOOKUP(F1122,products!$A$2:$B$13,2,FALSE)</f>
        <v>Meat</v>
      </c>
      <c r="O1122" s="133">
        <f t="shared" si="4"/>
        <v>0.8644196354</v>
      </c>
      <c r="P1122" s="38" t="str">
        <f>VLOOKUP(E1122,countries!A$2:E$250,3,false)</f>
        <v>Latvia</v>
      </c>
      <c r="Q1122" s="38" t="str">
        <f>VLOOKUP($E1122,countries!$A$2:$E$250,4,false)</f>
        <v>Europe</v>
      </c>
      <c r="R1122" s="38" t="str">
        <f>VLOOKUP($E1122,countries!$A$2:$E$250,5,false)</f>
        <v>Northern Europe</v>
      </c>
      <c r="S1122" s="38">
        <f t="shared" si="5"/>
        <v>3</v>
      </c>
      <c r="T1122" s="38" t="s">
        <v>167</v>
      </c>
      <c r="U1122" s="38">
        <v>2014.0</v>
      </c>
      <c r="V1122" s="38">
        <v>11.0</v>
      </c>
      <c r="W1122" s="38" t="s">
        <v>124</v>
      </c>
      <c r="X1122" s="38" t="s">
        <v>195</v>
      </c>
      <c r="Y1122" s="38" t="s">
        <v>146</v>
      </c>
      <c r="Z1122" s="38" t="s">
        <v>170</v>
      </c>
      <c r="AA1122" s="113" t="str">
        <f t="array" ref="AA1122">PROPER(G1122)</f>
        <v>Online</v>
      </c>
    </row>
    <row r="1123">
      <c r="A1123" s="110">
        <v>8.49454581E8</v>
      </c>
      <c r="B1123" s="131">
        <v>42592.0</v>
      </c>
      <c r="C1123" s="131">
        <v>42619.0</v>
      </c>
      <c r="D1123" s="110" t="s">
        <v>89</v>
      </c>
      <c r="E1123" s="110" t="s">
        <v>131</v>
      </c>
      <c r="F1123" s="110">
        <v>8681.0</v>
      </c>
      <c r="G1123" s="38" t="s">
        <v>43</v>
      </c>
      <c r="H1123" s="110">
        <v>1342.0</v>
      </c>
      <c r="I1123" s="132">
        <v>651.21</v>
      </c>
      <c r="J1123" s="132">
        <v>524.96</v>
      </c>
      <c r="K1123" s="39">
        <f t="shared" si="1"/>
        <v>873923.82</v>
      </c>
      <c r="L1123" s="39">
        <f t="shared" si="2"/>
        <v>704496.32</v>
      </c>
      <c r="M1123" s="39">
        <f t="shared" si="3"/>
        <v>169427.5</v>
      </c>
      <c r="N1123" s="38" t="str">
        <f>VLOOKUP(F1123,products!$A$2:$B$13,2,FALSE)</f>
        <v>Office Supplies</v>
      </c>
      <c r="O1123" s="133">
        <f t="shared" si="4"/>
        <v>0.806130127</v>
      </c>
      <c r="P1123" s="38" t="str">
        <f>VLOOKUP(E1123,countries!A$2:E$250,3,false)</f>
        <v>Albania</v>
      </c>
      <c r="Q1123" s="38" t="str">
        <f>VLOOKUP($E1123,countries!$A$2:$E$250,4,false)</f>
        <v>Europe</v>
      </c>
      <c r="R1123" s="38" t="str">
        <f>VLOOKUP($E1123,countries!$A$2:$E$250,5,false)</f>
        <v>Southern Europe</v>
      </c>
      <c r="S1123" s="38">
        <f t="shared" si="5"/>
        <v>27</v>
      </c>
      <c r="T1123" s="38" t="s">
        <v>153</v>
      </c>
      <c r="U1123" s="38">
        <v>2016.0</v>
      </c>
      <c r="V1123" s="38">
        <v>8.0</v>
      </c>
      <c r="W1123" s="38" t="s">
        <v>131</v>
      </c>
      <c r="X1123" s="38" t="s">
        <v>202</v>
      </c>
      <c r="Y1123" s="38" t="s">
        <v>146</v>
      </c>
      <c r="Z1123" s="38" t="s">
        <v>147</v>
      </c>
      <c r="AA1123" s="113" t="str">
        <f t="array" ref="AA1123">PROPER(G1123)</f>
        <v>Online</v>
      </c>
    </row>
    <row r="1124">
      <c r="A1124" s="110">
        <v>8.50279843E8</v>
      </c>
      <c r="B1124" s="131">
        <v>40999.0</v>
      </c>
      <c r="C1124" s="131">
        <v>41009.0</v>
      </c>
      <c r="D1124" s="110" t="s">
        <v>10</v>
      </c>
      <c r="E1124" s="110" t="s">
        <v>108</v>
      </c>
      <c r="F1124" s="110">
        <v>4594.0</v>
      </c>
      <c r="G1124" s="38" t="s">
        <v>42</v>
      </c>
      <c r="H1124" s="110">
        <v>5556.0</v>
      </c>
      <c r="I1124" s="132">
        <v>9.33</v>
      </c>
      <c r="J1124" s="132">
        <v>6.92</v>
      </c>
      <c r="K1124" s="39">
        <f t="shared" si="1"/>
        <v>51837.48</v>
      </c>
      <c r="L1124" s="39">
        <f t="shared" si="2"/>
        <v>38447.52</v>
      </c>
      <c r="M1124" s="39">
        <f t="shared" si="3"/>
        <v>13389.96</v>
      </c>
      <c r="N1124" s="38" t="str">
        <f>VLOOKUP(F1124,products!$A$2:$B$13,2,FALSE)</f>
        <v>Fruits</v>
      </c>
      <c r="O1124" s="133">
        <f t="shared" si="4"/>
        <v>0.741693462</v>
      </c>
      <c r="P1124" s="38" t="str">
        <f>VLOOKUP(E1124,countries!A$2:E$250,3,false)</f>
        <v>Cyprus</v>
      </c>
      <c r="Q1124" s="38" t="str">
        <f>VLOOKUP($E1124,countries!$A$2:$E$250,4,false)</f>
        <v>Asia</v>
      </c>
      <c r="R1124" s="38" t="str">
        <f>VLOOKUP($E1124,countries!$A$2:$E$250,5,false)</f>
        <v>Western Asia</v>
      </c>
      <c r="S1124" s="38">
        <f t="shared" si="5"/>
        <v>10</v>
      </c>
      <c r="T1124" s="38" t="s">
        <v>156</v>
      </c>
      <c r="U1124" s="38">
        <v>2012.0</v>
      </c>
      <c r="V1124" s="38">
        <v>3.0</v>
      </c>
      <c r="W1124" s="38" t="s">
        <v>108</v>
      </c>
      <c r="X1124" s="38" t="s">
        <v>175</v>
      </c>
      <c r="Y1124" s="38" t="s">
        <v>165</v>
      </c>
      <c r="Z1124" s="38" t="s">
        <v>166</v>
      </c>
      <c r="AA1124" s="113" t="str">
        <f t="array" ref="AA1124">PROPER(G1124)</f>
        <v>Offline</v>
      </c>
    </row>
    <row r="1125">
      <c r="A1125" s="110">
        <v>8.50562655E8</v>
      </c>
      <c r="B1125" s="131">
        <v>41862.0</v>
      </c>
      <c r="C1125" s="131">
        <v>41907.0</v>
      </c>
      <c r="D1125" s="110" t="s">
        <v>89</v>
      </c>
      <c r="E1125" s="110" t="s">
        <v>122</v>
      </c>
      <c r="F1125" s="110">
        <v>7331.0</v>
      </c>
      <c r="G1125" s="38" t="s">
        <v>42</v>
      </c>
      <c r="H1125" s="110">
        <v>9246.0</v>
      </c>
      <c r="I1125" s="132">
        <v>255.28</v>
      </c>
      <c r="J1125" s="132">
        <v>159.42</v>
      </c>
      <c r="K1125" s="39">
        <f t="shared" si="1"/>
        <v>2360318.88</v>
      </c>
      <c r="L1125" s="39">
        <f t="shared" si="2"/>
        <v>1473997.32</v>
      </c>
      <c r="M1125" s="39">
        <f t="shared" si="3"/>
        <v>886321.56</v>
      </c>
      <c r="N1125" s="38" t="str">
        <f>VLOOKUP(F1125,products!$A$2:$B$13,2,FALSE)</f>
        <v>Baby Food</v>
      </c>
      <c r="O1125" s="133">
        <f t="shared" si="4"/>
        <v>0.6244907552</v>
      </c>
      <c r="P1125" s="38" t="str">
        <f>VLOOKUP(E1125,countries!A$2:E$250,3,false)</f>
        <v>Switzerland</v>
      </c>
      <c r="Q1125" s="38" t="str">
        <f>VLOOKUP($E1125,countries!$A$2:$E$250,4,false)</f>
        <v>Europe</v>
      </c>
      <c r="R1125" s="38" t="str">
        <f>VLOOKUP($E1125,countries!$A$2:$E$250,5,false)</f>
        <v>Western Europe</v>
      </c>
      <c r="S1125" s="38">
        <f t="shared" si="5"/>
        <v>45</v>
      </c>
      <c r="T1125" s="38" t="s">
        <v>161</v>
      </c>
      <c r="U1125" s="38">
        <v>2014.0</v>
      </c>
      <c r="V1125" s="38">
        <v>8.0</v>
      </c>
      <c r="W1125" s="38" t="s">
        <v>122</v>
      </c>
      <c r="X1125" s="38" t="s">
        <v>193</v>
      </c>
      <c r="Y1125" s="38" t="s">
        <v>146</v>
      </c>
      <c r="Z1125" s="38" t="s">
        <v>158</v>
      </c>
      <c r="AA1125" s="113" t="str">
        <f t="array" ref="AA1125">PROPER(G1125)</f>
        <v>Offline</v>
      </c>
    </row>
    <row r="1126">
      <c r="A1126" s="110">
        <v>8.50872075E8</v>
      </c>
      <c r="B1126" s="131">
        <v>42203.0</v>
      </c>
      <c r="C1126" s="131">
        <v>42217.0</v>
      </c>
      <c r="D1126" s="110" t="s">
        <v>95</v>
      </c>
      <c r="E1126" s="110" t="s">
        <v>114</v>
      </c>
      <c r="F1126" s="110">
        <v>7331.0</v>
      </c>
      <c r="G1126" s="38" t="s">
        <v>42</v>
      </c>
      <c r="H1126" s="110">
        <v>810.0</v>
      </c>
      <c r="I1126" s="132">
        <v>255.28</v>
      </c>
      <c r="J1126" s="132">
        <v>159.42</v>
      </c>
      <c r="K1126" s="39">
        <f t="shared" si="1"/>
        <v>206776.8</v>
      </c>
      <c r="L1126" s="39">
        <f t="shared" si="2"/>
        <v>129130.2</v>
      </c>
      <c r="M1126" s="39">
        <f t="shared" si="3"/>
        <v>77646.6</v>
      </c>
      <c r="N1126" s="38" t="str">
        <f>VLOOKUP(F1126,products!$A$2:$B$13,2,FALSE)</f>
        <v>Baby Food</v>
      </c>
      <c r="O1126" s="133">
        <f t="shared" si="4"/>
        <v>0.6244907552</v>
      </c>
      <c r="P1126" s="38" t="str">
        <f>VLOOKUP(E1126,countries!A$2:E$250,3,false)</f>
        <v>Czech Republic</v>
      </c>
      <c r="Q1126" s="38" t="str">
        <f>VLOOKUP($E1126,countries!$A$2:$E$250,4,false)</f>
        <v>Europe</v>
      </c>
      <c r="R1126" s="38" t="str">
        <f>VLOOKUP($E1126,countries!$A$2:$E$250,5,false)</f>
        <v>Eastern Europe</v>
      </c>
      <c r="S1126" s="38">
        <f t="shared" si="5"/>
        <v>14</v>
      </c>
      <c r="T1126" s="38" t="s">
        <v>161</v>
      </c>
      <c r="U1126" s="38">
        <v>2015.0</v>
      </c>
      <c r="V1126" s="38">
        <v>7.0</v>
      </c>
      <c r="W1126" s="38" t="s">
        <v>114</v>
      </c>
      <c r="X1126" s="38" t="s">
        <v>184</v>
      </c>
      <c r="Y1126" s="38" t="s">
        <v>146</v>
      </c>
      <c r="Z1126" s="38" t="s">
        <v>155</v>
      </c>
      <c r="AA1126" s="113" t="str">
        <f t="array" ref="AA1126">PROPER(G1126)</f>
        <v>Offline</v>
      </c>
    </row>
    <row r="1127">
      <c r="A1127" s="110">
        <v>8.52392995E8</v>
      </c>
      <c r="B1127" s="131">
        <v>42457.0</v>
      </c>
      <c r="C1127" s="131">
        <v>42479.0</v>
      </c>
      <c r="D1127" s="110" t="s">
        <v>89</v>
      </c>
      <c r="E1127" s="110" t="s">
        <v>110</v>
      </c>
      <c r="F1127" s="110">
        <v>8293.0</v>
      </c>
      <c r="G1127" s="38" t="s">
        <v>43</v>
      </c>
      <c r="H1127" s="110">
        <v>884.0</v>
      </c>
      <c r="I1127" s="132">
        <v>437.2</v>
      </c>
      <c r="J1127" s="132">
        <v>263.33</v>
      </c>
      <c r="K1127" s="39">
        <f t="shared" si="1"/>
        <v>386484.8</v>
      </c>
      <c r="L1127" s="39">
        <f t="shared" si="2"/>
        <v>232783.72</v>
      </c>
      <c r="M1127" s="39">
        <f t="shared" si="3"/>
        <v>153701.08</v>
      </c>
      <c r="N1127" s="38" t="str">
        <f>VLOOKUP(F1127,products!$A$2:$B$13,2,FALSE)</f>
        <v>Cosmetics</v>
      </c>
      <c r="O1127" s="133">
        <f t="shared" si="4"/>
        <v>0.6023101555</v>
      </c>
      <c r="P1127" s="38" t="str">
        <f>VLOOKUP(E1127,countries!A$2:E$250,3,false)</f>
        <v>Lithuania</v>
      </c>
      <c r="Q1127" s="38" t="str">
        <f>VLOOKUP($E1127,countries!$A$2:$E$250,4,false)</f>
        <v>Europe</v>
      </c>
      <c r="R1127" s="38" t="str">
        <f>VLOOKUP($E1127,countries!$A$2:$E$250,5,false)</f>
        <v>Northern Europe</v>
      </c>
      <c r="S1127" s="38">
        <f t="shared" si="5"/>
        <v>22</v>
      </c>
      <c r="T1127" s="38" t="s">
        <v>178</v>
      </c>
      <c r="U1127" s="38">
        <v>2016.0</v>
      </c>
      <c r="V1127" s="38">
        <v>3.0</v>
      </c>
      <c r="W1127" s="38" t="s">
        <v>110</v>
      </c>
      <c r="X1127" s="38" t="s">
        <v>177</v>
      </c>
      <c r="Y1127" s="38" t="s">
        <v>146</v>
      </c>
      <c r="Z1127" s="38" t="s">
        <v>170</v>
      </c>
      <c r="AA1127" s="113" t="str">
        <f t="array" ref="AA1127">PROPER(G1127)</f>
        <v>Online</v>
      </c>
    </row>
    <row r="1128">
      <c r="A1128" s="110">
        <v>8.53036296E8</v>
      </c>
      <c r="B1128" s="131">
        <v>41408.0</v>
      </c>
      <c r="C1128" s="131">
        <v>41426.0</v>
      </c>
      <c r="D1128" s="110" t="s">
        <v>93</v>
      </c>
      <c r="E1128" s="110" t="s">
        <v>105</v>
      </c>
      <c r="F1128" s="110">
        <v>3127.0</v>
      </c>
      <c r="G1128" s="38" t="s">
        <v>42</v>
      </c>
      <c r="H1128" s="110">
        <v>1251.0</v>
      </c>
      <c r="I1128" s="132">
        <v>81.73</v>
      </c>
      <c r="J1128" s="132">
        <v>56.67</v>
      </c>
      <c r="K1128" s="39">
        <f t="shared" si="1"/>
        <v>102244.23</v>
      </c>
      <c r="L1128" s="39">
        <f t="shared" si="2"/>
        <v>70894.17</v>
      </c>
      <c r="M1128" s="39">
        <f t="shared" si="3"/>
        <v>31350.06</v>
      </c>
      <c r="N1128" s="38" t="str">
        <f>VLOOKUP(F1128,products!$A$2:$B$13,2,FALSE)</f>
        <v>Personal Care</v>
      </c>
      <c r="O1128" s="133">
        <f t="shared" si="4"/>
        <v>0.6933806436</v>
      </c>
      <c r="P1128" s="38" t="str">
        <f>VLOOKUP(E1128,countries!A$2:E$250,3,false)</f>
        <v>Romania</v>
      </c>
      <c r="Q1128" s="38" t="str">
        <f>VLOOKUP($E1128,countries!$A$2:$E$250,4,false)</f>
        <v>Europe</v>
      </c>
      <c r="R1128" s="38" t="str">
        <f>VLOOKUP($E1128,countries!$A$2:$E$250,5,false)</f>
        <v>Eastern Europe</v>
      </c>
      <c r="S1128" s="38">
        <f t="shared" si="5"/>
        <v>18</v>
      </c>
      <c r="T1128" s="38" t="s">
        <v>185</v>
      </c>
      <c r="U1128" s="38">
        <v>2013.0</v>
      </c>
      <c r="V1128" s="38">
        <v>5.0</v>
      </c>
      <c r="W1128" s="38" t="s">
        <v>105</v>
      </c>
      <c r="X1128" s="38" t="s">
        <v>172</v>
      </c>
      <c r="Y1128" s="38" t="s">
        <v>146</v>
      </c>
      <c r="Z1128" s="38" t="s">
        <v>155</v>
      </c>
      <c r="AA1128" s="113" t="str">
        <f t="array" ref="AA1128">PROPER(G1128)</f>
        <v>Offline</v>
      </c>
    </row>
    <row r="1129">
      <c r="A1129" s="110">
        <v>8.56648051E8</v>
      </c>
      <c r="B1129" s="131">
        <v>40525.0</v>
      </c>
      <c r="C1129" s="131">
        <v>40535.0</v>
      </c>
      <c r="D1129" s="110" t="s">
        <v>89</v>
      </c>
      <c r="E1129" s="110" t="s">
        <v>129</v>
      </c>
      <c r="F1129" s="110">
        <v>2103.0</v>
      </c>
      <c r="G1129" s="38" t="s">
        <v>43</v>
      </c>
      <c r="H1129" s="110">
        <v>50.0</v>
      </c>
      <c r="I1129" s="132">
        <v>205.7</v>
      </c>
      <c r="J1129" s="132">
        <v>117.11</v>
      </c>
      <c r="K1129" s="39">
        <f t="shared" si="1"/>
        <v>10285</v>
      </c>
      <c r="L1129" s="39">
        <f t="shared" si="2"/>
        <v>5855.5</v>
      </c>
      <c r="M1129" s="39">
        <f t="shared" si="3"/>
        <v>4429.5</v>
      </c>
      <c r="N1129" s="38" t="str">
        <f>VLOOKUP(F1129,products!$A$2:$B$13,2,FALSE)</f>
        <v>Cereal</v>
      </c>
      <c r="O1129" s="133">
        <f t="shared" si="4"/>
        <v>0.5693242586</v>
      </c>
      <c r="P1129" s="38" t="str">
        <f>VLOOKUP(E1129,countries!A$2:E$250,3,false)</f>
        <v>Liechtenstein</v>
      </c>
      <c r="Q1129" s="38" t="str">
        <f>VLOOKUP($E1129,countries!$A$2:$E$250,4,false)</f>
        <v>Europe</v>
      </c>
      <c r="R1129" s="38" t="str">
        <f>VLOOKUP($E1129,countries!$A$2:$E$250,5,false)</f>
        <v>Western Europe</v>
      </c>
      <c r="S1129" s="38">
        <f t="shared" si="5"/>
        <v>10</v>
      </c>
      <c r="T1129" s="38" t="s">
        <v>144</v>
      </c>
      <c r="U1129" s="38">
        <v>2010.0</v>
      </c>
      <c r="V1129" s="38">
        <v>12.0</v>
      </c>
      <c r="W1129" s="38" t="s">
        <v>129</v>
      </c>
      <c r="X1129" s="38" t="s">
        <v>200</v>
      </c>
      <c r="Y1129" s="38" t="s">
        <v>146</v>
      </c>
      <c r="Z1129" s="38" t="s">
        <v>158</v>
      </c>
      <c r="AA1129" s="113" t="str">
        <f t="array" ref="AA1129">PROPER(G1129)</f>
        <v>Online</v>
      </c>
    </row>
    <row r="1130">
      <c r="A1130" s="110">
        <v>8.57457864E8</v>
      </c>
      <c r="B1130" s="131">
        <v>40753.0</v>
      </c>
      <c r="C1130" s="131">
        <v>40802.0</v>
      </c>
      <c r="D1130" s="110" t="s">
        <v>10</v>
      </c>
      <c r="E1130" s="110" t="s">
        <v>121</v>
      </c>
      <c r="F1130" s="110">
        <v>8681.0</v>
      </c>
      <c r="G1130" s="38" t="s">
        <v>43</v>
      </c>
      <c r="H1130" s="110">
        <v>9691.0</v>
      </c>
      <c r="I1130" s="132">
        <v>651.21</v>
      </c>
      <c r="J1130" s="132">
        <v>524.96</v>
      </c>
      <c r="K1130" s="39">
        <f t="shared" si="1"/>
        <v>6310876.11</v>
      </c>
      <c r="L1130" s="39">
        <f t="shared" si="2"/>
        <v>5087387.36</v>
      </c>
      <c r="M1130" s="39">
        <f t="shared" si="3"/>
        <v>1223488.75</v>
      </c>
      <c r="N1130" s="38" t="str">
        <f>VLOOKUP(F1130,products!$A$2:$B$13,2,FALSE)</f>
        <v>Office Supplies</v>
      </c>
      <c r="O1130" s="133">
        <f t="shared" si="4"/>
        <v>0.806130127</v>
      </c>
      <c r="P1130" s="38" t="str">
        <f>VLOOKUP(E1130,countries!A$2:E$250,3,false)</f>
        <v>Netherlands</v>
      </c>
      <c r="Q1130" s="38" t="str">
        <f>VLOOKUP($E1130,countries!$A$2:$E$250,4,false)</f>
        <v>Europe</v>
      </c>
      <c r="R1130" s="38" t="str">
        <f>VLOOKUP($E1130,countries!$A$2:$E$250,5,false)</f>
        <v>Western Europe</v>
      </c>
      <c r="S1130" s="38">
        <f t="shared" si="5"/>
        <v>49</v>
      </c>
      <c r="T1130" s="38" t="s">
        <v>153</v>
      </c>
      <c r="U1130" s="38">
        <v>2011.0</v>
      </c>
      <c r="V1130" s="38">
        <v>7.0</v>
      </c>
      <c r="W1130" s="38" t="s">
        <v>121</v>
      </c>
      <c r="X1130" s="38" t="s">
        <v>192</v>
      </c>
      <c r="Y1130" s="38" t="s">
        <v>146</v>
      </c>
      <c r="Z1130" s="38" t="s">
        <v>158</v>
      </c>
      <c r="AA1130" s="113" t="str">
        <f t="array" ref="AA1130">PROPER(G1130)</f>
        <v>Online</v>
      </c>
    </row>
    <row r="1131">
      <c r="A1131" s="110">
        <v>8.59914767E8</v>
      </c>
      <c r="B1131" s="131">
        <v>42501.0</v>
      </c>
      <c r="C1131" s="131">
        <v>42539.0</v>
      </c>
      <c r="D1131" s="110" t="s">
        <v>89</v>
      </c>
      <c r="E1131" s="110" t="s">
        <v>120</v>
      </c>
      <c r="F1131" s="110">
        <v>8681.0</v>
      </c>
      <c r="G1131" s="38" t="s">
        <v>42</v>
      </c>
      <c r="H1131" s="110">
        <v>6744.0</v>
      </c>
      <c r="I1131" s="132">
        <v>651.21</v>
      </c>
      <c r="J1131" s="132">
        <v>524.96</v>
      </c>
      <c r="K1131" s="39">
        <f t="shared" si="1"/>
        <v>4391760.24</v>
      </c>
      <c r="L1131" s="39">
        <f t="shared" si="2"/>
        <v>3540330.24</v>
      </c>
      <c r="M1131" s="39">
        <f t="shared" si="3"/>
        <v>851430</v>
      </c>
      <c r="N1131" s="38" t="str">
        <f>VLOOKUP(F1131,products!$A$2:$B$13,2,FALSE)</f>
        <v>Office Supplies</v>
      </c>
      <c r="O1131" s="133">
        <f t="shared" si="4"/>
        <v>0.806130127</v>
      </c>
      <c r="P1131" s="38" t="str">
        <f>VLOOKUP(E1131,countries!A$2:E$250,3,false)</f>
        <v>San Marino</v>
      </c>
      <c r="Q1131" s="38" t="str">
        <f>VLOOKUP($E1131,countries!$A$2:$E$250,4,false)</f>
        <v>Europe</v>
      </c>
      <c r="R1131" s="38" t="str">
        <f>VLOOKUP($E1131,countries!$A$2:$E$250,5,false)</f>
        <v>Southern Europe</v>
      </c>
      <c r="S1131" s="38">
        <f t="shared" si="5"/>
        <v>38</v>
      </c>
      <c r="T1131" s="38" t="s">
        <v>153</v>
      </c>
      <c r="U1131" s="38">
        <v>2016.0</v>
      </c>
      <c r="V1131" s="38">
        <v>5.0</v>
      </c>
      <c r="W1131" s="38" t="s">
        <v>120</v>
      </c>
      <c r="X1131" s="38" t="s">
        <v>191</v>
      </c>
      <c r="Y1131" s="38" t="s">
        <v>146</v>
      </c>
      <c r="Z1131" s="38" t="s">
        <v>147</v>
      </c>
      <c r="AA1131" s="113" t="str">
        <f t="array" ref="AA1131">PROPER(G1131)</f>
        <v>Offline</v>
      </c>
    </row>
    <row r="1132">
      <c r="A1132" s="110">
        <v>8.60104024E8</v>
      </c>
      <c r="B1132" s="131">
        <v>41635.0</v>
      </c>
      <c r="C1132" s="131">
        <v>41638.0</v>
      </c>
      <c r="D1132" s="110" t="s">
        <v>89</v>
      </c>
      <c r="E1132" s="110" t="s">
        <v>135</v>
      </c>
      <c r="F1132" s="110">
        <v>8293.0</v>
      </c>
      <c r="G1132" s="38" t="s">
        <v>42</v>
      </c>
      <c r="H1132" s="110">
        <v>2749.0</v>
      </c>
      <c r="I1132" s="132">
        <v>437.2</v>
      </c>
      <c r="J1132" s="132">
        <v>263.33</v>
      </c>
      <c r="K1132" s="39">
        <f t="shared" si="1"/>
        <v>1201862.8</v>
      </c>
      <c r="L1132" s="39">
        <f t="shared" si="2"/>
        <v>723894.17</v>
      </c>
      <c r="M1132" s="39">
        <f t="shared" si="3"/>
        <v>477968.63</v>
      </c>
      <c r="N1132" s="38" t="str">
        <f>VLOOKUP(F1132,products!$A$2:$B$13,2,FALSE)</f>
        <v>Cosmetics</v>
      </c>
      <c r="O1132" s="133">
        <f t="shared" si="4"/>
        <v>0.6023101555</v>
      </c>
      <c r="P1132" s="38" t="str">
        <f>VLOOKUP(E1132,countries!A$2:E$250,3,false)</f>
        <v>Denmark</v>
      </c>
      <c r="Q1132" s="38" t="str">
        <f>VLOOKUP($E1132,countries!$A$2:$E$250,4,false)</f>
        <v>Europe</v>
      </c>
      <c r="R1132" s="38" t="str">
        <f>VLOOKUP($E1132,countries!$A$2:$E$250,5,false)</f>
        <v>Northern Europe</v>
      </c>
      <c r="S1132" s="38">
        <f t="shared" si="5"/>
        <v>3</v>
      </c>
      <c r="T1132" s="38" t="s">
        <v>178</v>
      </c>
      <c r="U1132" s="38">
        <v>2013.0</v>
      </c>
      <c r="V1132" s="38">
        <v>12.0</v>
      </c>
      <c r="W1132" s="38" t="s">
        <v>135</v>
      </c>
      <c r="X1132" s="38" t="s">
        <v>205</v>
      </c>
      <c r="Y1132" s="38" t="s">
        <v>146</v>
      </c>
      <c r="Z1132" s="38" t="s">
        <v>170</v>
      </c>
      <c r="AA1132" s="113" t="str">
        <f t="array" ref="AA1132">PROPER(G1132)</f>
        <v>Offline</v>
      </c>
    </row>
    <row r="1133">
      <c r="A1133" s="110">
        <v>8.61180341E8</v>
      </c>
      <c r="B1133" s="131">
        <v>40191.0</v>
      </c>
      <c r="C1133" s="131">
        <v>40229.0</v>
      </c>
      <c r="D1133" s="110" t="s">
        <v>93</v>
      </c>
      <c r="E1133" s="110" t="s">
        <v>128</v>
      </c>
      <c r="F1133" s="110">
        <v>1270.0</v>
      </c>
      <c r="G1133" s="38" t="s">
        <v>42</v>
      </c>
      <c r="H1133" s="110">
        <v>1255.0</v>
      </c>
      <c r="I1133" s="132">
        <v>47.45</v>
      </c>
      <c r="J1133" s="132">
        <v>31.79</v>
      </c>
      <c r="K1133" s="39">
        <f t="shared" si="1"/>
        <v>59549.75</v>
      </c>
      <c r="L1133" s="39">
        <f t="shared" si="2"/>
        <v>39896.45</v>
      </c>
      <c r="M1133" s="39">
        <f t="shared" si="3"/>
        <v>19653.3</v>
      </c>
      <c r="N1133" s="38" t="str">
        <f>VLOOKUP(F1133,products!$A$2:$B$13,2,FALSE)</f>
        <v>Beverages</v>
      </c>
      <c r="O1133" s="133">
        <f t="shared" si="4"/>
        <v>0.6699683878</v>
      </c>
      <c r="P1133" s="38" t="str">
        <f>VLOOKUP(E1133,countries!A$2:E$250,3,false)</f>
        <v>Andorra</v>
      </c>
      <c r="Q1133" s="38" t="str">
        <f>VLOOKUP($E1133,countries!$A$2:$E$250,4,false)</f>
        <v>Europe</v>
      </c>
      <c r="R1133" s="38" t="str">
        <f>VLOOKUP($E1133,countries!$A$2:$E$250,5,false)</f>
        <v>Southern Europe</v>
      </c>
      <c r="S1133" s="38">
        <f t="shared" si="5"/>
        <v>38</v>
      </c>
      <c r="T1133" s="38" t="s">
        <v>152</v>
      </c>
      <c r="U1133" s="38">
        <v>2010.0</v>
      </c>
      <c r="V1133" s="38">
        <v>1.0</v>
      </c>
      <c r="W1133" s="38" t="s">
        <v>128</v>
      </c>
      <c r="X1133" s="38" t="s">
        <v>199</v>
      </c>
      <c r="Y1133" s="38" t="s">
        <v>146</v>
      </c>
      <c r="Z1133" s="38" t="s">
        <v>147</v>
      </c>
      <c r="AA1133" s="113" t="str">
        <f t="array" ref="AA1133">PROPER(G1133)</f>
        <v>Offline</v>
      </c>
    </row>
    <row r="1134">
      <c r="A1134" s="110">
        <v>8.61252868E8</v>
      </c>
      <c r="B1134" s="131">
        <v>41710.0</v>
      </c>
      <c r="C1134" s="131">
        <v>41726.0</v>
      </c>
      <c r="D1134" s="110" t="s">
        <v>93</v>
      </c>
      <c r="E1134" s="110" t="s">
        <v>118</v>
      </c>
      <c r="F1134" s="110">
        <v>8681.0</v>
      </c>
      <c r="G1134" s="38" t="s">
        <v>43</v>
      </c>
      <c r="H1134" s="110">
        <v>2717.0</v>
      </c>
      <c r="I1134" s="132">
        <v>651.21</v>
      </c>
      <c r="J1134" s="132">
        <v>524.96</v>
      </c>
      <c r="K1134" s="39">
        <f t="shared" si="1"/>
        <v>1769337.57</v>
      </c>
      <c r="L1134" s="39">
        <f t="shared" si="2"/>
        <v>1426316.32</v>
      </c>
      <c r="M1134" s="39">
        <f t="shared" si="3"/>
        <v>343021.25</v>
      </c>
      <c r="N1134" s="38" t="str">
        <f>VLOOKUP(F1134,products!$A$2:$B$13,2,FALSE)</f>
        <v>Office Supplies</v>
      </c>
      <c r="O1134" s="133">
        <f t="shared" si="4"/>
        <v>0.806130127</v>
      </c>
      <c r="P1134" s="38" t="str">
        <f>VLOOKUP(E1134,countries!A$2:E$250,3,false)</f>
        <v>Austria</v>
      </c>
      <c r="Q1134" s="38" t="str">
        <f>VLOOKUP($E1134,countries!$A$2:$E$250,4,false)</f>
        <v>Europe</v>
      </c>
      <c r="R1134" s="38" t="str">
        <f>VLOOKUP($E1134,countries!$A$2:$E$250,5,false)</f>
        <v>Western Europe</v>
      </c>
      <c r="S1134" s="38">
        <f t="shared" si="5"/>
        <v>16</v>
      </c>
      <c r="T1134" s="38" t="s">
        <v>153</v>
      </c>
      <c r="U1134" s="38">
        <v>2014.0</v>
      </c>
      <c r="V1134" s="38">
        <v>3.0</v>
      </c>
      <c r="W1134" s="38" t="s">
        <v>118</v>
      </c>
      <c r="X1134" s="38" t="s">
        <v>189</v>
      </c>
      <c r="Y1134" s="38" t="s">
        <v>146</v>
      </c>
      <c r="Z1134" s="38" t="s">
        <v>158</v>
      </c>
      <c r="AA1134" s="113" t="str">
        <f t="array" ref="AA1134">PROPER(G1134)</f>
        <v>Online</v>
      </c>
    </row>
    <row r="1135">
      <c r="A1135" s="110">
        <v>8.6197685E8</v>
      </c>
      <c r="B1135" s="131">
        <v>40680.0</v>
      </c>
      <c r="C1135" s="131">
        <v>40688.0</v>
      </c>
      <c r="D1135" s="110" t="s">
        <v>95</v>
      </c>
      <c r="E1135" s="110" t="s">
        <v>132</v>
      </c>
      <c r="F1135" s="110">
        <v>3127.0</v>
      </c>
      <c r="G1135" s="38" t="s">
        <v>42</v>
      </c>
      <c r="H1135" s="110">
        <v>6960.0</v>
      </c>
      <c r="I1135" s="132">
        <v>81.73</v>
      </c>
      <c r="J1135" s="132">
        <v>56.67</v>
      </c>
      <c r="K1135" s="39">
        <f t="shared" si="1"/>
        <v>568840.8</v>
      </c>
      <c r="L1135" s="39">
        <f t="shared" si="2"/>
        <v>394423.2</v>
      </c>
      <c r="M1135" s="39">
        <f t="shared" si="3"/>
        <v>174417.6</v>
      </c>
      <c r="N1135" s="38" t="str">
        <f>VLOOKUP(F1135,products!$A$2:$B$13,2,FALSE)</f>
        <v>Personal Care</v>
      </c>
      <c r="O1135" s="133">
        <f t="shared" si="4"/>
        <v>0.6933806436</v>
      </c>
      <c r="P1135" s="38" t="str">
        <f>VLOOKUP(E1135,countries!A$2:E$250,3,false)</f>
        <v>Sweden</v>
      </c>
      <c r="Q1135" s="38" t="str">
        <f>VLOOKUP($E1135,countries!$A$2:$E$250,4,false)</f>
        <v>Europe</v>
      </c>
      <c r="R1135" s="38" t="str">
        <f>VLOOKUP($E1135,countries!$A$2:$E$250,5,false)</f>
        <v>Northern Europe</v>
      </c>
      <c r="S1135" s="38">
        <f t="shared" si="5"/>
        <v>8</v>
      </c>
      <c r="T1135" s="38" t="s">
        <v>185</v>
      </c>
      <c r="U1135" s="38">
        <v>2011.0</v>
      </c>
      <c r="V1135" s="38">
        <v>5.0</v>
      </c>
      <c r="W1135" s="38" t="s">
        <v>132</v>
      </c>
      <c r="X1135" s="38" t="s">
        <v>203</v>
      </c>
      <c r="Y1135" s="38" t="s">
        <v>146</v>
      </c>
      <c r="Z1135" s="38" t="s">
        <v>170</v>
      </c>
      <c r="AA1135" s="113" t="str">
        <f t="array" ref="AA1135">PROPER(G1135)</f>
        <v>Offline</v>
      </c>
    </row>
    <row r="1136">
      <c r="A1136" s="110">
        <v>8.61982858E8</v>
      </c>
      <c r="B1136" s="131">
        <v>40741.0</v>
      </c>
      <c r="C1136" s="131">
        <v>40790.0</v>
      </c>
      <c r="D1136" s="110" t="s">
        <v>89</v>
      </c>
      <c r="E1136" s="110" t="s">
        <v>90</v>
      </c>
      <c r="F1136" s="110">
        <v>8969.0</v>
      </c>
      <c r="G1136" s="38" t="s">
        <v>42</v>
      </c>
      <c r="H1136" s="110">
        <v>8738.0</v>
      </c>
      <c r="I1136" s="132">
        <v>152.58</v>
      </c>
      <c r="J1136" s="132">
        <v>97.44</v>
      </c>
      <c r="K1136" s="39">
        <f t="shared" si="1"/>
        <v>1333244.04</v>
      </c>
      <c r="L1136" s="39">
        <f t="shared" si="2"/>
        <v>851430.72</v>
      </c>
      <c r="M1136" s="39">
        <f t="shared" si="3"/>
        <v>481813.32</v>
      </c>
      <c r="N1136" s="38" t="str">
        <f>VLOOKUP(F1136,products!$A$2:$B$13,2,FALSE)</f>
        <v>Snacks</v>
      </c>
      <c r="O1136" s="133">
        <f t="shared" si="4"/>
        <v>0.6386158081</v>
      </c>
      <c r="P1136" s="38" t="str">
        <f>VLOOKUP(E1136,countries!A$2:E$250,3,false)</f>
        <v>Norway</v>
      </c>
      <c r="Q1136" s="38" t="str">
        <f>VLOOKUP($E1136,countries!$A$2:$E$250,4,false)</f>
        <v>Europe</v>
      </c>
      <c r="R1136" s="38" t="str">
        <f>VLOOKUP($E1136,countries!$A$2:$E$250,5,false)</f>
        <v>Northern Europe</v>
      </c>
      <c r="S1136" s="38">
        <f t="shared" si="5"/>
        <v>49</v>
      </c>
      <c r="T1136" s="38" t="s">
        <v>182</v>
      </c>
      <c r="U1136" s="38">
        <v>2011.0</v>
      </c>
      <c r="V1136" s="38">
        <v>7.0</v>
      </c>
      <c r="W1136" s="38" t="s">
        <v>90</v>
      </c>
      <c r="X1136" s="38" t="s">
        <v>183</v>
      </c>
      <c r="Y1136" s="38" t="s">
        <v>146</v>
      </c>
      <c r="Z1136" s="38" t="s">
        <v>170</v>
      </c>
      <c r="AA1136" s="113" t="str">
        <f t="array" ref="AA1136">PROPER(G1136)</f>
        <v>Offline</v>
      </c>
    </row>
    <row r="1137">
      <c r="A1137" s="110">
        <v>8.6232661E8</v>
      </c>
      <c r="B1137" s="131">
        <v>41031.0</v>
      </c>
      <c r="C1137" s="131">
        <v>41057.0</v>
      </c>
      <c r="D1137" s="110" t="s">
        <v>89</v>
      </c>
      <c r="E1137" s="110" t="s">
        <v>124</v>
      </c>
      <c r="F1137" s="110">
        <v>1270.0</v>
      </c>
      <c r="G1137" s="38" t="s">
        <v>43</v>
      </c>
      <c r="H1137" s="110">
        <v>461.0</v>
      </c>
      <c r="I1137" s="132">
        <v>47.45</v>
      </c>
      <c r="J1137" s="132">
        <v>31.79</v>
      </c>
      <c r="K1137" s="39">
        <f t="shared" si="1"/>
        <v>21874.45</v>
      </c>
      <c r="L1137" s="39">
        <f t="shared" si="2"/>
        <v>14655.19</v>
      </c>
      <c r="M1137" s="39">
        <f t="shared" si="3"/>
        <v>7219.26</v>
      </c>
      <c r="N1137" s="38" t="str">
        <f>VLOOKUP(F1137,products!$A$2:$B$13,2,FALSE)</f>
        <v>Beverages</v>
      </c>
      <c r="O1137" s="133">
        <f t="shared" si="4"/>
        <v>0.6699683878</v>
      </c>
      <c r="P1137" s="38" t="str">
        <f>VLOOKUP(E1137,countries!A$2:E$250,3,false)</f>
        <v>Latvia</v>
      </c>
      <c r="Q1137" s="38" t="str">
        <f>VLOOKUP($E1137,countries!$A$2:$E$250,4,false)</f>
        <v>Europe</v>
      </c>
      <c r="R1137" s="38" t="str">
        <f>VLOOKUP($E1137,countries!$A$2:$E$250,5,false)</f>
        <v>Northern Europe</v>
      </c>
      <c r="S1137" s="38">
        <f t="shared" si="5"/>
        <v>26</v>
      </c>
      <c r="T1137" s="38" t="s">
        <v>152</v>
      </c>
      <c r="U1137" s="38">
        <v>2012.0</v>
      </c>
      <c r="V1137" s="38">
        <v>5.0</v>
      </c>
      <c r="W1137" s="38" t="s">
        <v>124</v>
      </c>
      <c r="X1137" s="38" t="s">
        <v>195</v>
      </c>
      <c r="Y1137" s="38" t="s">
        <v>146</v>
      </c>
      <c r="Z1137" s="38" t="s">
        <v>170</v>
      </c>
      <c r="AA1137" s="113" t="str">
        <f t="array" ref="AA1137">PROPER(G1137)</f>
        <v>Online</v>
      </c>
    </row>
    <row r="1138">
      <c r="A1138" s="110">
        <v>8.62485826E8</v>
      </c>
      <c r="B1138" s="131">
        <v>42629.0</v>
      </c>
      <c r="C1138" s="131">
        <v>42670.0</v>
      </c>
      <c r="D1138" s="110" t="s">
        <v>10</v>
      </c>
      <c r="E1138" s="110" t="s">
        <v>113</v>
      </c>
      <c r="F1138" s="110">
        <v>8681.0</v>
      </c>
      <c r="G1138" s="38" t="s">
        <v>42</v>
      </c>
      <c r="H1138" s="110">
        <v>7577.0</v>
      </c>
      <c r="I1138" s="132">
        <v>651.21</v>
      </c>
      <c r="J1138" s="132">
        <v>524.96</v>
      </c>
      <c r="K1138" s="39">
        <f t="shared" si="1"/>
        <v>4934218.17</v>
      </c>
      <c r="L1138" s="39">
        <f t="shared" si="2"/>
        <v>3977621.92</v>
      </c>
      <c r="M1138" s="39">
        <f t="shared" si="3"/>
        <v>956596.25</v>
      </c>
      <c r="N1138" s="38" t="str">
        <f>VLOOKUP(F1138,products!$A$2:$B$13,2,FALSE)</f>
        <v>Office Supplies</v>
      </c>
      <c r="O1138" s="133">
        <f t="shared" si="4"/>
        <v>0.806130127</v>
      </c>
      <c r="P1138" s="38" t="str">
        <f>VLOOKUP(E1138,countries!A$2:E$250,3,false)</f>
        <v>Ukraine</v>
      </c>
      <c r="Q1138" s="38" t="str">
        <f>VLOOKUP($E1138,countries!$A$2:$E$250,4,false)</f>
        <v>Europe</v>
      </c>
      <c r="R1138" s="38" t="str">
        <f>VLOOKUP($E1138,countries!$A$2:$E$250,5,false)</f>
        <v>Eastern Europe</v>
      </c>
      <c r="S1138" s="38">
        <f t="shared" si="5"/>
        <v>41</v>
      </c>
      <c r="T1138" s="38" t="s">
        <v>153</v>
      </c>
      <c r="U1138" s="38">
        <v>2016.0</v>
      </c>
      <c r="V1138" s="38">
        <v>9.0</v>
      </c>
      <c r="W1138" s="38" t="s">
        <v>113</v>
      </c>
      <c r="X1138" s="38" t="s">
        <v>181</v>
      </c>
      <c r="Y1138" s="38" t="s">
        <v>146</v>
      </c>
      <c r="Z1138" s="38" t="s">
        <v>155</v>
      </c>
      <c r="AA1138" s="113" t="str">
        <f t="array" ref="AA1138">PROPER(G1138)</f>
        <v>Offline</v>
      </c>
    </row>
    <row r="1139">
      <c r="A1139" s="110">
        <v>8.63138997E8</v>
      </c>
      <c r="B1139" s="131">
        <v>40494.0</v>
      </c>
      <c r="C1139" s="131">
        <v>40533.0</v>
      </c>
      <c r="D1139" s="110" t="s">
        <v>10</v>
      </c>
      <c r="E1139" s="110" t="s">
        <v>131</v>
      </c>
      <c r="F1139" s="110">
        <v>8875.0</v>
      </c>
      <c r="G1139" s="38" t="s">
        <v>43</v>
      </c>
      <c r="H1139" s="110">
        <v>865.0</v>
      </c>
      <c r="I1139" s="132">
        <v>421.89</v>
      </c>
      <c r="J1139" s="132">
        <v>364.69</v>
      </c>
      <c r="K1139" s="39">
        <f t="shared" si="1"/>
        <v>364934.85</v>
      </c>
      <c r="L1139" s="39">
        <f t="shared" si="2"/>
        <v>315456.85</v>
      </c>
      <c r="M1139" s="39">
        <f t="shared" si="3"/>
        <v>49478</v>
      </c>
      <c r="N1139" s="38" t="str">
        <f>VLOOKUP(F1139,products!$A$2:$B$13,2,FALSE)</f>
        <v>Meat</v>
      </c>
      <c r="O1139" s="133">
        <f t="shared" si="4"/>
        <v>0.8644196354</v>
      </c>
      <c r="P1139" s="38" t="str">
        <f>VLOOKUP(E1139,countries!A$2:E$250,3,false)</f>
        <v>Albania</v>
      </c>
      <c r="Q1139" s="38" t="str">
        <f>VLOOKUP($E1139,countries!$A$2:$E$250,4,false)</f>
        <v>Europe</v>
      </c>
      <c r="R1139" s="38" t="str">
        <f>VLOOKUP($E1139,countries!$A$2:$E$250,5,false)</f>
        <v>Southern Europe</v>
      </c>
      <c r="S1139" s="38">
        <f t="shared" si="5"/>
        <v>39</v>
      </c>
      <c r="T1139" s="38" t="s">
        <v>167</v>
      </c>
      <c r="U1139" s="38">
        <v>2010.0</v>
      </c>
      <c r="V1139" s="38">
        <v>11.0</v>
      </c>
      <c r="W1139" s="38" t="s">
        <v>131</v>
      </c>
      <c r="X1139" s="38" t="s">
        <v>202</v>
      </c>
      <c r="Y1139" s="38" t="s">
        <v>146</v>
      </c>
      <c r="Z1139" s="38" t="s">
        <v>147</v>
      </c>
      <c r="AA1139" s="113" t="str">
        <f t="array" ref="AA1139">PROPER(G1139)</f>
        <v>Online</v>
      </c>
    </row>
    <row r="1140">
      <c r="A1140" s="110">
        <v>8.63202941E8</v>
      </c>
      <c r="B1140" s="131">
        <v>42716.0</v>
      </c>
      <c r="C1140" s="131">
        <v>42717.0</v>
      </c>
      <c r="D1140" s="110" t="s">
        <v>93</v>
      </c>
      <c r="E1140" s="110" t="s">
        <v>132</v>
      </c>
      <c r="F1140" s="110">
        <v>8875.0</v>
      </c>
      <c r="G1140" s="38" t="s">
        <v>42</v>
      </c>
      <c r="H1140" s="110">
        <v>9787.0</v>
      </c>
      <c r="I1140" s="132">
        <v>421.89</v>
      </c>
      <c r="J1140" s="132">
        <v>364.69</v>
      </c>
      <c r="K1140" s="39">
        <f t="shared" si="1"/>
        <v>4129037.43</v>
      </c>
      <c r="L1140" s="39">
        <f t="shared" si="2"/>
        <v>3569221.03</v>
      </c>
      <c r="M1140" s="39">
        <f t="shared" si="3"/>
        <v>559816.4</v>
      </c>
      <c r="N1140" s="38" t="str">
        <f>VLOOKUP(F1140,products!$A$2:$B$13,2,FALSE)</f>
        <v>Meat</v>
      </c>
      <c r="O1140" s="133">
        <f t="shared" si="4"/>
        <v>0.8644196354</v>
      </c>
      <c r="P1140" s="38" t="str">
        <f>VLOOKUP(E1140,countries!A$2:E$250,3,false)</f>
        <v>Sweden</v>
      </c>
      <c r="Q1140" s="38" t="str">
        <f>VLOOKUP($E1140,countries!$A$2:$E$250,4,false)</f>
        <v>Europe</v>
      </c>
      <c r="R1140" s="38" t="str">
        <f>VLOOKUP($E1140,countries!$A$2:$E$250,5,false)</f>
        <v>Northern Europe</v>
      </c>
      <c r="S1140" s="38">
        <f t="shared" si="5"/>
        <v>1</v>
      </c>
      <c r="T1140" s="38" t="s">
        <v>167</v>
      </c>
      <c r="U1140" s="38">
        <v>2016.0</v>
      </c>
      <c r="V1140" s="38">
        <v>12.0</v>
      </c>
      <c r="W1140" s="38" t="s">
        <v>132</v>
      </c>
      <c r="X1140" s="38" t="s">
        <v>203</v>
      </c>
      <c r="Y1140" s="38" t="s">
        <v>146</v>
      </c>
      <c r="Z1140" s="38" t="s">
        <v>170</v>
      </c>
      <c r="AA1140" s="113" t="str">
        <f t="array" ref="AA1140">PROPER(G1140)</f>
        <v>Offline</v>
      </c>
    </row>
    <row r="1141">
      <c r="A1141" s="110">
        <v>8.63890445E8</v>
      </c>
      <c r="B1141" s="131">
        <v>40530.0</v>
      </c>
      <c r="C1141" s="131">
        <v>40537.0</v>
      </c>
      <c r="D1141" s="110" t="s">
        <v>10</v>
      </c>
      <c r="E1141" s="110" t="s">
        <v>124</v>
      </c>
      <c r="F1141" s="110">
        <v>7940.0</v>
      </c>
      <c r="G1141" s="38" t="s">
        <v>42</v>
      </c>
      <c r="H1141" s="110">
        <v>3235.0</v>
      </c>
      <c r="I1141" s="132">
        <v>668.27</v>
      </c>
      <c r="J1141" s="132">
        <v>502.54</v>
      </c>
      <c r="K1141" s="39">
        <f t="shared" si="1"/>
        <v>2161853.45</v>
      </c>
      <c r="L1141" s="39">
        <f t="shared" si="2"/>
        <v>1625716.9</v>
      </c>
      <c r="M1141" s="39">
        <f t="shared" si="3"/>
        <v>536136.55</v>
      </c>
      <c r="N1141" s="38" t="str">
        <f>VLOOKUP(F1141,products!$A$2:$B$13,2,FALSE)</f>
        <v>Household</v>
      </c>
      <c r="O1141" s="133">
        <f t="shared" si="4"/>
        <v>0.7520014365</v>
      </c>
      <c r="P1141" s="38" t="str">
        <f>VLOOKUP(E1141,countries!A$2:E$250,3,false)</f>
        <v>Latvia</v>
      </c>
      <c r="Q1141" s="38" t="str">
        <f>VLOOKUP($E1141,countries!$A$2:$E$250,4,false)</f>
        <v>Europe</v>
      </c>
      <c r="R1141" s="38" t="str">
        <f>VLOOKUP($E1141,countries!$A$2:$E$250,5,false)</f>
        <v>Northern Europe</v>
      </c>
      <c r="S1141" s="38">
        <f t="shared" si="5"/>
        <v>7</v>
      </c>
      <c r="T1141" s="38" t="s">
        <v>148</v>
      </c>
      <c r="U1141" s="38">
        <v>2010.0</v>
      </c>
      <c r="V1141" s="38">
        <v>12.0</v>
      </c>
      <c r="W1141" s="38" t="s">
        <v>124</v>
      </c>
      <c r="X1141" s="38" t="s">
        <v>195</v>
      </c>
      <c r="Y1141" s="38" t="s">
        <v>146</v>
      </c>
      <c r="Z1141" s="38" t="s">
        <v>170</v>
      </c>
      <c r="AA1141" s="113" t="str">
        <f t="array" ref="AA1141">PROPER(G1141)</f>
        <v>Offline</v>
      </c>
    </row>
    <row r="1142">
      <c r="A1142" s="110">
        <v>8.64071118E8</v>
      </c>
      <c r="B1142" s="131">
        <v>40369.0</v>
      </c>
      <c r="C1142" s="131">
        <v>40377.0</v>
      </c>
      <c r="D1142" s="110" t="s">
        <v>93</v>
      </c>
      <c r="E1142" s="110" t="s">
        <v>105</v>
      </c>
      <c r="F1142" s="110">
        <v>1270.0</v>
      </c>
      <c r="G1142" s="38" t="s">
        <v>43</v>
      </c>
      <c r="H1142" s="110">
        <v>6700.0</v>
      </c>
      <c r="I1142" s="132">
        <v>47.45</v>
      </c>
      <c r="J1142" s="132">
        <v>31.79</v>
      </c>
      <c r="K1142" s="39">
        <f t="shared" si="1"/>
        <v>317915</v>
      </c>
      <c r="L1142" s="39">
        <f t="shared" si="2"/>
        <v>212993</v>
      </c>
      <c r="M1142" s="39">
        <f t="shared" si="3"/>
        <v>104922</v>
      </c>
      <c r="N1142" s="38" t="str">
        <f>VLOOKUP(F1142,products!$A$2:$B$13,2,FALSE)</f>
        <v>Beverages</v>
      </c>
      <c r="O1142" s="133">
        <f t="shared" si="4"/>
        <v>0.6699683878</v>
      </c>
      <c r="P1142" s="38" t="str">
        <f>VLOOKUP(E1142,countries!A$2:E$250,3,false)</f>
        <v>Romania</v>
      </c>
      <c r="Q1142" s="38" t="str">
        <f>VLOOKUP($E1142,countries!$A$2:$E$250,4,false)</f>
        <v>Europe</v>
      </c>
      <c r="R1142" s="38" t="str">
        <f>VLOOKUP($E1142,countries!$A$2:$E$250,5,false)</f>
        <v>Eastern Europe</v>
      </c>
      <c r="S1142" s="38">
        <f t="shared" si="5"/>
        <v>8</v>
      </c>
      <c r="T1142" s="38" t="s">
        <v>152</v>
      </c>
      <c r="U1142" s="38">
        <v>2010.0</v>
      </c>
      <c r="V1142" s="38">
        <v>7.0</v>
      </c>
      <c r="W1142" s="38" t="s">
        <v>105</v>
      </c>
      <c r="X1142" s="38" t="s">
        <v>172</v>
      </c>
      <c r="Y1142" s="38" t="s">
        <v>146</v>
      </c>
      <c r="Z1142" s="38" t="s">
        <v>155</v>
      </c>
      <c r="AA1142" s="113" t="str">
        <f t="array" ref="AA1142">PROPER(G1142)</f>
        <v>Online</v>
      </c>
    </row>
    <row r="1143">
      <c r="A1143" s="110">
        <v>8.6582421E8</v>
      </c>
      <c r="B1143" s="131">
        <v>41768.0</v>
      </c>
      <c r="C1143" s="131">
        <v>41773.0</v>
      </c>
      <c r="D1143" s="110" t="s">
        <v>89</v>
      </c>
      <c r="E1143" s="110" t="s">
        <v>114</v>
      </c>
      <c r="F1143" s="110">
        <v>8681.0</v>
      </c>
      <c r="G1143" s="38" t="s">
        <v>43</v>
      </c>
      <c r="H1143" s="110">
        <v>5479.0</v>
      </c>
      <c r="I1143" s="132">
        <v>651.21</v>
      </c>
      <c r="J1143" s="132">
        <v>524.96</v>
      </c>
      <c r="K1143" s="39">
        <f t="shared" si="1"/>
        <v>3567979.59</v>
      </c>
      <c r="L1143" s="39">
        <f t="shared" si="2"/>
        <v>2876255.84</v>
      </c>
      <c r="M1143" s="39">
        <f t="shared" si="3"/>
        <v>691723.75</v>
      </c>
      <c r="N1143" s="38" t="str">
        <f>VLOOKUP(F1143,products!$A$2:$B$13,2,FALSE)</f>
        <v>Office Supplies</v>
      </c>
      <c r="O1143" s="133">
        <f t="shared" si="4"/>
        <v>0.806130127</v>
      </c>
      <c r="P1143" s="38" t="str">
        <f>VLOOKUP(E1143,countries!A$2:E$250,3,false)</f>
        <v>Czech Republic</v>
      </c>
      <c r="Q1143" s="38" t="str">
        <f>VLOOKUP($E1143,countries!$A$2:$E$250,4,false)</f>
        <v>Europe</v>
      </c>
      <c r="R1143" s="38" t="str">
        <f>VLOOKUP($E1143,countries!$A$2:$E$250,5,false)</f>
        <v>Eastern Europe</v>
      </c>
      <c r="S1143" s="38">
        <f t="shared" si="5"/>
        <v>5</v>
      </c>
      <c r="T1143" s="38" t="s">
        <v>153</v>
      </c>
      <c r="U1143" s="38">
        <v>2014.0</v>
      </c>
      <c r="V1143" s="38">
        <v>5.0</v>
      </c>
      <c r="W1143" s="38" t="s">
        <v>114</v>
      </c>
      <c r="X1143" s="38" t="s">
        <v>184</v>
      </c>
      <c r="Y1143" s="38" t="s">
        <v>146</v>
      </c>
      <c r="Z1143" s="38" t="s">
        <v>155</v>
      </c>
      <c r="AA1143" s="113" t="str">
        <f t="array" ref="AA1143">PROPER(G1143)</f>
        <v>Online</v>
      </c>
    </row>
    <row r="1144">
      <c r="A1144" s="110">
        <v>8.66396272E8</v>
      </c>
      <c r="B1144" s="131">
        <v>41584.0</v>
      </c>
      <c r="C1144" s="131">
        <v>41594.0</v>
      </c>
      <c r="D1144" s="110" t="s">
        <v>95</v>
      </c>
      <c r="E1144" s="110" t="s">
        <v>118</v>
      </c>
      <c r="F1144" s="110">
        <v>8875.0</v>
      </c>
      <c r="G1144" s="38" t="s">
        <v>43</v>
      </c>
      <c r="H1144" s="110">
        <v>4765.0</v>
      </c>
      <c r="I1144" s="132">
        <v>421.89</v>
      </c>
      <c r="J1144" s="132">
        <v>364.69</v>
      </c>
      <c r="K1144" s="39">
        <f t="shared" si="1"/>
        <v>2010305.85</v>
      </c>
      <c r="L1144" s="39">
        <f t="shared" si="2"/>
        <v>1737747.85</v>
      </c>
      <c r="M1144" s="39">
        <f t="shared" si="3"/>
        <v>272558</v>
      </c>
      <c r="N1144" s="38" t="str">
        <f>VLOOKUP(F1144,products!$A$2:$B$13,2,FALSE)</f>
        <v>Meat</v>
      </c>
      <c r="O1144" s="133">
        <f t="shared" si="4"/>
        <v>0.8644196354</v>
      </c>
      <c r="P1144" s="38" t="str">
        <f>VLOOKUP(E1144,countries!A$2:E$250,3,false)</f>
        <v>Austria</v>
      </c>
      <c r="Q1144" s="38" t="str">
        <f>VLOOKUP($E1144,countries!$A$2:$E$250,4,false)</f>
        <v>Europe</v>
      </c>
      <c r="R1144" s="38" t="str">
        <f>VLOOKUP($E1144,countries!$A$2:$E$250,5,false)</f>
        <v>Western Europe</v>
      </c>
      <c r="S1144" s="38">
        <f t="shared" si="5"/>
        <v>10</v>
      </c>
      <c r="T1144" s="38" t="s">
        <v>167</v>
      </c>
      <c r="U1144" s="38">
        <v>2013.0</v>
      </c>
      <c r="V1144" s="38">
        <v>11.0</v>
      </c>
      <c r="W1144" s="38" t="s">
        <v>118</v>
      </c>
      <c r="X1144" s="38" t="s">
        <v>189</v>
      </c>
      <c r="Y1144" s="38" t="s">
        <v>146</v>
      </c>
      <c r="Z1144" s="38" t="s">
        <v>158</v>
      </c>
      <c r="AA1144" s="113" t="str">
        <f t="array" ref="AA1144">PROPER(G1144)</f>
        <v>Online</v>
      </c>
    </row>
    <row r="1145">
      <c r="A1145" s="110">
        <v>8.67138278E8</v>
      </c>
      <c r="B1145" s="131">
        <v>40736.0</v>
      </c>
      <c r="C1145" s="131">
        <v>40759.0</v>
      </c>
      <c r="D1145" s="110" t="s">
        <v>10</v>
      </c>
      <c r="E1145" s="110" t="s">
        <v>97</v>
      </c>
      <c r="F1145" s="110">
        <v>8681.0</v>
      </c>
      <c r="G1145" s="38" t="s">
        <v>42</v>
      </c>
      <c r="H1145" s="110">
        <v>4341.0</v>
      </c>
      <c r="I1145" s="132">
        <v>651.21</v>
      </c>
      <c r="J1145" s="132">
        <v>524.96</v>
      </c>
      <c r="K1145" s="39">
        <f t="shared" si="1"/>
        <v>2826902.61</v>
      </c>
      <c r="L1145" s="39">
        <f t="shared" si="2"/>
        <v>2278851.36</v>
      </c>
      <c r="M1145" s="39">
        <f t="shared" si="3"/>
        <v>548051.25</v>
      </c>
      <c r="N1145" s="38" t="str">
        <f>VLOOKUP(F1145,products!$A$2:$B$13,2,FALSE)</f>
        <v>Office Supplies</v>
      </c>
      <c r="O1145" s="133">
        <f t="shared" si="4"/>
        <v>0.806130127</v>
      </c>
      <c r="P1145" s="38" t="str">
        <f>VLOOKUP(E1145,countries!A$2:E$250,3,false)</f>
        <v>France</v>
      </c>
      <c r="Q1145" s="38" t="str">
        <f>VLOOKUP($E1145,countries!$A$2:$E$250,4,false)</f>
        <v>Europe</v>
      </c>
      <c r="R1145" s="38" t="str">
        <f>VLOOKUP($E1145,countries!$A$2:$E$250,5,false)</f>
        <v>Western Europe</v>
      </c>
      <c r="S1145" s="38">
        <f t="shared" si="5"/>
        <v>23</v>
      </c>
      <c r="T1145" s="38" t="s">
        <v>153</v>
      </c>
      <c r="U1145" s="38">
        <v>2011.0</v>
      </c>
      <c r="V1145" s="38">
        <v>7.0</v>
      </c>
      <c r="W1145" s="38" t="s">
        <v>97</v>
      </c>
      <c r="X1145" s="38" t="s">
        <v>157</v>
      </c>
      <c r="Y1145" s="38" t="s">
        <v>146</v>
      </c>
      <c r="Z1145" s="38" t="s">
        <v>158</v>
      </c>
      <c r="AA1145" s="113" t="str">
        <f t="array" ref="AA1145">PROPER(G1145)</f>
        <v>Offline</v>
      </c>
    </row>
    <row r="1146">
      <c r="A1146" s="110">
        <v>8.6929177E8</v>
      </c>
      <c r="B1146" s="131">
        <v>42204.0</v>
      </c>
      <c r="C1146" s="131">
        <v>42237.0</v>
      </c>
      <c r="D1146" s="110" t="s">
        <v>93</v>
      </c>
      <c r="E1146" s="110" t="s">
        <v>122</v>
      </c>
      <c r="F1146" s="110">
        <v>7940.0</v>
      </c>
      <c r="G1146" s="38" t="s">
        <v>42</v>
      </c>
      <c r="H1146" s="110">
        <v>1607.0</v>
      </c>
      <c r="I1146" s="132">
        <v>668.27</v>
      </c>
      <c r="J1146" s="132">
        <v>502.54</v>
      </c>
      <c r="K1146" s="39">
        <f t="shared" si="1"/>
        <v>1073909.89</v>
      </c>
      <c r="L1146" s="39">
        <f t="shared" si="2"/>
        <v>807581.78</v>
      </c>
      <c r="M1146" s="39">
        <f t="shared" si="3"/>
        <v>266328.11</v>
      </c>
      <c r="N1146" s="38" t="str">
        <f>VLOOKUP(F1146,products!$A$2:$B$13,2,FALSE)</f>
        <v>Household</v>
      </c>
      <c r="O1146" s="133">
        <f t="shared" si="4"/>
        <v>0.7520014365</v>
      </c>
      <c r="P1146" s="38" t="str">
        <f>VLOOKUP(E1146,countries!A$2:E$250,3,false)</f>
        <v>Switzerland</v>
      </c>
      <c r="Q1146" s="38" t="str">
        <f>VLOOKUP($E1146,countries!$A$2:$E$250,4,false)</f>
        <v>Europe</v>
      </c>
      <c r="R1146" s="38" t="str">
        <f>VLOOKUP($E1146,countries!$A$2:$E$250,5,false)</f>
        <v>Western Europe</v>
      </c>
      <c r="S1146" s="38">
        <f t="shared" si="5"/>
        <v>33</v>
      </c>
      <c r="T1146" s="38" t="s">
        <v>148</v>
      </c>
      <c r="U1146" s="38">
        <v>2015.0</v>
      </c>
      <c r="V1146" s="38">
        <v>7.0</v>
      </c>
      <c r="W1146" s="38" t="s">
        <v>122</v>
      </c>
      <c r="X1146" s="38" t="s">
        <v>193</v>
      </c>
      <c r="Y1146" s="38" t="s">
        <v>146</v>
      </c>
      <c r="Z1146" s="38" t="s">
        <v>158</v>
      </c>
      <c r="AA1146" s="113" t="str">
        <f t="array" ref="AA1146">PROPER(G1146)</f>
        <v>Offline</v>
      </c>
    </row>
    <row r="1147">
      <c r="A1147" s="110">
        <v>8.70173251E8</v>
      </c>
      <c r="B1147" s="131">
        <v>42361.0</v>
      </c>
      <c r="C1147" s="131">
        <v>42368.0</v>
      </c>
      <c r="D1147" s="110" t="s">
        <v>89</v>
      </c>
      <c r="E1147" s="110" t="s">
        <v>118</v>
      </c>
      <c r="F1147" s="110">
        <v>2455.0</v>
      </c>
      <c r="G1147" s="38" t="s">
        <v>43</v>
      </c>
      <c r="H1147" s="110">
        <v>2457.0</v>
      </c>
      <c r="I1147" s="132">
        <v>109.28</v>
      </c>
      <c r="J1147" s="132">
        <v>35.84</v>
      </c>
      <c r="K1147" s="39">
        <f t="shared" si="1"/>
        <v>268500.96</v>
      </c>
      <c r="L1147" s="39">
        <f t="shared" si="2"/>
        <v>88058.88</v>
      </c>
      <c r="M1147" s="39">
        <f t="shared" si="3"/>
        <v>180442.08</v>
      </c>
      <c r="N1147" s="38" t="str">
        <f>VLOOKUP(F1147,products!$A$2:$B$13,2,FALSE)</f>
        <v>Clothes</v>
      </c>
      <c r="O1147" s="133">
        <f t="shared" si="4"/>
        <v>0.3279648609</v>
      </c>
      <c r="P1147" s="38" t="str">
        <f>VLOOKUP(E1147,countries!A$2:E$250,3,false)</f>
        <v>Austria</v>
      </c>
      <c r="Q1147" s="38" t="str">
        <f>VLOOKUP($E1147,countries!$A$2:$E$250,4,false)</f>
        <v>Europe</v>
      </c>
      <c r="R1147" s="38" t="str">
        <f>VLOOKUP($E1147,countries!$A$2:$E$250,5,false)</f>
        <v>Western Europe</v>
      </c>
      <c r="S1147" s="38">
        <f t="shared" si="5"/>
        <v>7</v>
      </c>
      <c r="T1147" s="38" t="s">
        <v>150</v>
      </c>
      <c r="U1147" s="38">
        <v>2015.0</v>
      </c>
      <c r="V1147" s="38">
        <v>12.0</v>
      </c>
      <c r="W1147" s="38" t="s">
        <v>118</v>
      </c>
      <c r="X1147" s="38" t="s">
        <v>189</v>
      </c>
      <c r="Y1147" s="38" t="s">
        <v>146</v>
      </c>
      <c r="Z1147" s="38" t="s">
        <v>158</v>
      </c>
      <c r="AA1147" s="113" t="str">
        <f t="array" ref="AA1147">PROPER(G1147)</f>
        <v>Online</v>
      </c>
    </row>
    <row r="1148">
      <c r="A1148" s="110">
        <v>8.70218312E8</v>
      </c>
      <c r="B1148" s="131">
        <v>42813.0</v>
      </c>
      <c r="C1148" s="131">
        <v>42821.0</v>
      </c>
      <c r="D1148" s="110" t="s">
        <v>95</v>
      </c>
      <c r="E1148" s="110" t="s">
        <v>124</v>
      </c>
      <c r="F1148" s="110">
        <v>4594.0</v>
      </c>
      <c r="G1148" s="38" t="s">
        <v>42</v>
      </c>
      <c r="H1148" s="110">
        <v>5792.0</v>
      </c>
      <c r="I1148" s="132">
        <v>9.33</v>
      </c>
      <c r="J1148" s="132">
        <v>6.92</v>
      </c>
      <c r="K1148" s="39">
        <f t="shared" si="1"/>
        <v>54039.36</v>
      </c>
      <c r="L1148" s="39">
        <f t="shared" si="2"/>
        <v>40080.64</v>
      </c>
      <c r="M1148" s="39">
        <f t="shared" si="3"/>
        <v>13958.72</v>
      </c>
      <c r="N1148" s="38" t="str">
        <f>VLOOKUP(F1148,products!$A$2:$B$13,2,FALSE)</f>
        <v>Fruits</v>
      </c>
      <c r="O1148" s="133">
        <f t="shared" si="4"/>
        <v>0.741693462</v>
      </c>
      <c r="P1148" s="38" t="str">
        <f>VLOOKUP(E1148,countries!A$2:E$250,3,false)</f>
        <v>Latvia</v>
      </c>
      <c r="Q1148" s="38" t="str">
        <f>VLOOKUP($E1148,countries!$A$2:$E$250,4,false)</f>
        <v>Europe</v>
      </c>
      <c r="R1148" s="38" t="str">
        <f>VLOOKUP($E1148,countries!$A$2:$E$250,5,false)</f>
        <v>Northern Europe</v>
      </c>
      <c r="S1148" s="38">
        <f t="shared" si="5"/>
        <v>8</v>
      </c>
      <c r="T1148" s="38" t="s">
        <v>156</v>
      </c>
      <c r="U1148" s="38">
        <v>2017.0</v>
      </c>
      <c r="V1148" s="38">
        <v>3.0</v>
      </c>
      <c r="W1148" s="38" t="s">
        <v>124</v>
      </c>
      <c r="X1148" s="38" t="s">
        <v>195</v>
      </c>
      <c r="Y1148" s="38" t="s">
        <v>146</v>
      </c>
      <c r="Z1148" s="38" t="s">
        <v>170</v>
      </c>
      <c r="AA1148" s="113" t="str">
        <f t="array" ref="AA1148">PROPER(G1148)</f>
        <v>Offline</v>
      </c>
    </row>
    <row r="1149">
      <c r="A1149" s="110">
        <v>8.71147E8</v>
      </c>
      <c r="B1149" s="131">
        <v>41863.0</v>
      </c>
      <c r="C1149" s="131">
        <v>41876.0</v>
      </c>
      <c r="D1149" s="110" t="s">
        <v>10</v>
      </c>
      <c r="E1149" s="110" t="s">
        <v>120</v>
      </c>
      <c r="F1149" s="110">
        <v>7940.0</v>
      </c>
      <c r="G1149" s="38" t="s">
        <v>43</v>
      </c>
      <c r="H1149" s="110">
        <v>611.0</v>
      </c>
      <c r="I1149" s="132">
        <v>668.27</v>
      </c>
      <c r="J1149" s="132">
        <v>502.54</v>
      </c>
      <c r="K1149" s="39">
        <f t="shared" si="1"/>
        <v>408312.97</v>
      </c>
      <c r="L1149" s="39">
        <f t="shared" si="2"/>
        <v>307051.94</v>
      </c>
      <c r="M1149" s="39">
        <f t="shared" si="3"/>
        <v>101261.03</v>
      </c>
      <c r="N1149" s="38" t="str">
        <f>VLOOKUP(F1149,products!$A$2:$B$13,2,FALSE)</f>
        <v>Household</v>
      </c>
      <c r="O1149" s="133">
        <f t="shared" si="4"/>
        <v>0.7520014365</v>
      </c>
      <c r="P1149" s="38" t="str">
        <f>VLOOKUP(E1149,countries!A$2:E$250,3,false)</f>
        <v>San Marino</v>
      </c>
      <c r="Q1149" s="38" t="str">
        <f>VLOOKUP($E1149,countries!$A$2:$E$250,4,false)</f>
        <v>Europe</v>
      </c>
      <c r="R1149" s="38" t="str">
        <f>VLOOKUP($E1149,countries!$A$2:$E$250,5,false)</f>
        <v>Southern Europe</v>
      </c>
      <c r="S1149" s="38">
        <f t="shared" si="5"/>
        <v>13</v>
      </c>
      <c r="T1149" s="38" t="s">
        <v>148</v>
      </c>
      <c r="U1149" s="38">
        <v>2014.0</v>
      </c>
      <c r="V1149" s="38">
        <v>8.0</v>
      </c>
      <c r="W1149" s="38" t="s">
        <v>120</v>
      </c>
      <c r="X1149" s="38" t="s">
        <v>191</v>
      </c>
      <c r="Y1149" s="38" t="s">
        <v>146</v>
      </c>
      <c r="Z1149" s="38" t="s">
        <v>147</v>
      </c>
      <c r="AA1149" s="113" t="str">
        <f t="array" ref="AA1149">PROPER(G1149)</f>
        <v>Online</v>
      </c>
    </row>
    <row r="1150">
      <c r="A1150" s="110">
        <v>8.71923768E8</v>
      </c>
      <c r="B1150" s="131">
        <v>41759.0</v>
      </c>
      <c r="C1150" s="131">
        <v>41789.0</v>
      </c>
      <c r="D1150" s="110" t="s">
        <v>10</v>
      </c>
      <c r="E1150" s="110" t="s">
        <v>133</v>
      </c>
      <c r="F1150" s="110">
        <v>7331.0</v>
      </c>
      <c r="G1150" s="38" t="s">
        <v>43</v>
      </c>
      <c r="H1150" s="110">
        <v>474.0</v>
      </c>
      <c r="I1150" s="132">
        <v>255.28</v>
      </c>
      <c r="J1150" s="132">
        <v>159.42</v>
      </c>
      <c r="K1150" s="39">
        <f t="shared" si="1"/>
        <v>121002.72</v>
      </c>
      <c r="L1150" s="39">
        <f t="shared" si="2"/>
        <v>75565.08</v>
      </c>
      <c r="M1150" s="39">
        <f t="shared" si="3"/>
        <v>45437.64</v>
      </c>
      <c r="N1150" s="38" t="str">
        <f>VLOOKUP(F1150,products!$A$2:$B$13,2,FALSE)</f>
        <v>Baby Food</v>
      </c>
      <c r="O1150" s="133">
        <f t="shared" si="4"/>
        <v>0.6244907552</v>
      </c>
      <c r="P1150" s="38" t="str">
        <f>VLOOKUP(E1150,countries!A$2:E$250,3,false)</f>
        <v>Bosnia and Herzegovina</v>
      </c>
      <c r="Q1150" s="38" t="str">
        <f>VLOOKUP($E1150,countries!$A$2:$E$250,4,false)</f>
        <v>Europe</v>
      </c>
      <c r="R1150" s="38" t="str">
        <f>VLOOKUP($E1150,countries!$A$2:$E$250,5,false)</f>
        <v>Southern Europe</v>
      </c>
      <c r="S1150" s="38">
        <f t="shared" si="5"/>
        <v>30</v>
      </c>
      <c r="T1150" s="38" t="s">
        <v>161</v>
      </c>
      <c r="U1150" s="38">
        <v>2014.0</v>
      </c>
      <c r="V1150" s="38">
        <v>4.0</v>
      </c>
      <c r="W1150" s="38" t="s">
        <v>133</v>
      </c>
      <c r="X1150" s="38" t="s">
        <v>204</v>
      </c>
      <c r="Y1150" s="38" t="s">
        <v>146</v>
      </c>
      <c r="Z1150" s="38" t="s">
        <v>147</v>
      </c>
      <c r="AA1150" s="113" t="str">
        <f t="array" ref="AA1150">PROPER(G1150)</f>
        <v>Online</v>
      </c>
    </row>
    <row r="1151">
      <c r="A1151" s="110">
        <v>8.73432672E8</v>
      </c>
      <c r="B1151" s="131">
        <v>41892.0</v>
      </c>
      <c r="C1151" s="131">
        <v>41899.0</v>
      </c>
      <c r="D1151" s="110" t="s">
        <v>10</v>
      </c>
      <c r="E1151" s="110" t="s">
        <v>104</v>
      </c>
      <c r="F1151" s="110">
        <v>7940.0</v>
      </c>
      <c r="G1151" s="38" t="s">
        <v>43</v>
      </c>
      <c r="H1151" s="110">
        <v>6992.0</v>
      </c>
      <c r="I1151" s="132">
        <v>668.27</v>
      </c>
      <c r="J1151" s="132">
        <v>502.54</v>
      </c>
      <c r="K1151" s="39">
        <f t="shared" si="1"/>
        <v>4672543.84</v>
      </c>
      <c r="L1151" s="39">
        <f t="shared" si="2"/>
        <v>3513759.68</v>
      </c>
      <c r="M1151" s="39">
        <f t="shared" si="3"/>
        <v>1158784.16</v>
      </c>
      <c r="N1151" s="38" t="str">
        <f>VLOOKUP(F1151,products!$A$2:$B$13,2,FALSE)</f>
        <v>Household</v>
      </c>
      <c r="O1151" s="133">
        <f t="shared" si="4"/>
        <v>0.7520014365</v>
      </c>
      <c r="P1151" s="38" t="str">
        <f>VLOOKUP(E1151,countries!A$2:E$250,3,false)</f>
        <v>Slovenia</v>
      </c>
      <c r="Q1151" s="38" t="str">
        <f>VLOOKUP($E1151,countries!$A$2:$E$250,4,false)</f>
        <v>Europe</v>
      </c>
      <c r="R1151" s="38" t="str">
        <f>VLOOKUP($E1151,countries!$A$2:$E$250,5,false)</f>
        <v>Southern Europe</v>
      </c>
      <c r="S1151" s="38">
        <f t="shared" si="5"/>
        <v>7</v>
      </c>
      <c r="T1151" s="38" t="s">
        <v>148</v>
      </c>
      <c r="U1151" s="38">
        <v>2014.0</v>
      </c>
      <c r="V1151" s="38">
        <v>9.0</v>
      </c>
      <c r="W1151" s="38" t="s">
        <v>104</v>
      </c>
      <c r="X1151" s="38" t="s">
        <v>171</v>
      </c>
      <c r="Y1151" s="38" t="s">
        <v>146</v>
      </c>
      <c r="Z1151" s="38" t="s">
        <v>147</v>
      </c>
      <c r="AA1151" s="113" t="str">
        <f t="array" ref="AA1151">PROPER(G1151)</f>
        <v>Online</v>
      </c>
    </row>
    <row r="1152">
      <c r="A1152" s="110">
        <v>8.74172532E8</v>
      </c>
      <c r="B1152" s="131">
        <v>42603.0</v>
      </c>
      <c r="C1152" s="131">
        <v>42645.0</v>
      </c>
      <c r="D1152" s="110" t="s">
        <v>89</v>
      </c>
      <c r="E1152" s="110" t="s">
        <v>100</v>
      </c>
      <c r="F1152" s="110">
        <v>7940.0</v>
      </c>
      <c r="G1152" s="38" t="s">
        <v>42</v>
      </c>
      <c r="H1152" s="110">
        <v>5933.0</v>
      </c>
      <c r="I1152" s="132">
        <v>668.27</v>
      </c>
      <c r="J1152" s="132">
        <v>502.54</v>
      </c>
      <c r="K1152" s="39">
        <f t="shared" si="1"/>
        <v>3964845.91</v>
      </c>
      <c r="L1152" s="39">
        <f t="shared" si="2"/>
        <v>2981569.82</v>
      </c>
      <c r="M1152" s="39">
        <f t="shared" si="3"/>
        <v>983276.09</v>
      </c>
      <c r="N1152" s="38" t="str">
        <f>VLOOKUP(F1152,products!$A$2:$B$13,2,FALSE)</f>
        <v>Household</v>
      </c>
      <c r="O1152" s="133">
        <f t="shared" si="4"/>
        <v>0.7520014365</v>
      </c>
      <c r="P1152" s="38" t="str">
        <f>VLOOKUP(E1152,countries!A$2:E$250,3,false)</f>
        <v>Germany</v>
      </c>
      <c r="Q1152" s="38" t="str">
        <f>VLOOKUP($E1152,countries!$A$2:$E$250,4,false)</f>
        <v>Europe</v>
      </c>
      <c r="R1152" s="38" t="str">
        <f>VLOOKUP($E1152,countries!$A$2:$E$250,5,false)</f>
        <v>Western Europe</v>
      </c>
      <c r="S1152" s="38">
        <f t="shared" si="5"/>
        <v>42</v>
      </c>
      <c r="T1152" s="38" t="s">
        <v>148</v>
      </c>
      <c r="U1152" s="38">
        <v>2016.0</v>
      </c>
      <c r="V1152" s="38">
        <v>8.0</v>
      </c>
      <c r="W1152" s="38" t="s">
        <v>100</v>
      </c>
      <c r="X1152" s="38" t="s">
        <v>163</v>
      </c>
      <c r="Y1152" s="38" t="s">
        <v>146</v>
      </c>
      <c r="Z1152" s="38" t="s">
        <v>158</v>
      </c>
      <c r="AA1152" s="113" t="str">
        <f t="array" ref="AA1152">PROPER(G1152)</f>
        <v>Offline</v>
      </c>
    </row>
    <row r="1153">
      <c r="A1153" s="110">
        <v>8.74349772E8</v>
      </c>
      <c r="B1153" s="131">
        <v>41616.0</v>
      </c>
      <c r="C1153" s="131">
        <v>41643.0</v>
      </c>
      <c r="D1153" s="110" t="s">
        <v>89</v>
      </c>
      <c r="E1153" s="110" t="s">
        <v>108</v>
      </c>
      <c r="F1153" s="110">
        <v>1270.0</v>
      </c>
      <c r="G1153" s="38" t="s">
        <v>43</v>
      </c>
      <c r="H1153" s="110">
        <v>8383.0</v>
      </c>
      <c r="I1153" s="132">
        <v>47.45</v>
      </c>
      <c r="J1153" s="132">
        <v>31.79</v>
      </c>
      <c r="K1153" s="39">
        <f t="shared" si="1"/>
        <v>397773.35</v>
      </c>
      <c r="L1153" s="39">
        <f t="shared" si="2"/>
        <v>266495.57</v>
      </c>
      <c r="M1153" s="39">
        <f t="shared" si="3"/>
        <v>131277.78</v>
      </c>
      <c r="N1153" s="38" t="str">
        <f>VLOOKUP(F1153,products!$A$2:$B$13,2,FALSE)</f>
        <v>Beverages</v>
      </c>
      <c r="O1153" s="133">
        <f t="shared" si="4"/>
        <v>0.6699683878</v>
      </c>
      <c r="P1153" s="38" t="str">
        <f>VLOOKUP(E1153,countries!A$2:E$250,3,false)</f>
        <v>Cyprus</v>
      </c>
      <c r="Q1153" s="38" t="str">
        <f>VLOOKUP($E1153,countries!$A$2:$E$250,4,false)</f>
        <v>Asia</v>
      </c>
      <c r="R1153" s="38" t="str">
        <f>VLOOKUP($E1153,countries!$A$2:$E$250,5,false)</f>
        <v>Western Asia</v>
      </c>
      <c r="S1153" s="38">
        <f t="shared" si="5"/>
        <v>27</v>
      </c>
      <c r="T1153" s="38" t="s">
        <v>152</v>
      </c>
      <c r="U1153" s="38">
        <v>2013.0</v>
      </c>
      <c r="V1153" s="38">
        <v>12.0</v>
      </c>
      <c r="W1153" s="38" t="s">
        <v>108</v>
      </c>
      <c r="X1153" s="38" t="s">
        <v>175</v>
      </c>
      <c r="Y1153" s="38" t="s">
        <v>165</v>
      </c>
      <c r="Z1153" s="38" t="s">
        <v>166</v>
      </c>
      <c r="AA1153" s="113" t="str">
        <f t="array" ref="AA1153">PROPER(G1153)</f>
        <v>Online</v>
      </c>
    </row>
    <row r="1154">
      <c r="A1154" s="110">
        <v>8.75220096E8</v>
      </c>
      <c r="B1154" s="131">
        <v>40476.0</v>
      </c>
      <c r="C1154" s="131">
        <v>40488.0</v>
      </c>
      <c r="D1154" s="110" t="s">
        <v>93</v>
      </c>
      <c r="E1154" s="110" t="s">
        <v>120</v>
      </c>
      <c r="F1154" s="110">
        <v>4594.0</v>
      </c>
      <c r="G1154" s="38" t="s">
        <v>43</v>
      </c>
      <c r="H1154" s="110">
        <v>5930.0</v>
      </c>
      <c r="I1154" s="132">
        <v>9.33</v>
      </c>
      <c r="J1154" s="132">
        <v>6.92</v>
      </c>
      <c r="K1154" s="39">
        <f t="shared" si="1"/>
        <v>55326.9</v>
      </c>
      <c r="L1154" s="39">
        <f t="shared" si="2"/>
        <v>41035.6</v>
      </c>
      <c r="M1154" s="39">
        <f t="shared" si="3"/>
        <v>14291.3</v>
      </c>
      <c r="N1154" s="38" t="str">
        <f>VLOOKUP(F1154,products!$A$2:$B$13,2,FALSE)</f>
        <v>Fruits</v>
      </c>
      <c r="O1154" s="133">
        <f t="shared" si="4"/>
        <v>0.741693462</v>
      </c>
      <c r="P1154" s="38" t="str">
        <f>VLOOKUP(E1154,countries!A$2:E$250,3,false)</f>
        <v>San Marino</v>
      </c>
      <c r="Q1154" s="38" t="str">
        <f>VLOOKUP($E1154,countries!$A$2:$E$250,4,false)</f>
        <v>Europe</v>
      </c>
      <c r="R1154" s="38" t="str">
        <f>VLOOKUP($E1154,countries!$A$2:$E$250,5,false)</f>
        <v>Southern Europe</v>
      </c>
      <c r="S1154" s="38">
        <f t="shared" si="5"/>
        <v>12</v>
      </c>
      <c r="T1154" s="38" t="s">
        <v>156</v>
      </c>
      <c r="U1154" s="38">
        <v>2010.0</v>
      </c>
      <c r="V1154" s="38">
        <v>10.0</v>
      </c>
      <c r="W1154" s="38" t="s">
        <v>120</v>
      </c>
      <c r="X1154" s="38" t="s">
        <v>191</v>
      </c>
      <c r="Y1154" s="38" t="s">
        <v>146</v>
      </c>
      <c r="Z1154" s="38" t="s">
        <v>147</v>
      </c>
      <c r="AA1154" s="113" t="str">
        <f t="array" ref="AA1154">PROPER(G1154)</f>
        <v>Online</v>
      </c>
    </row>
    <row r="1155">
      <c r="A1155" s="110">
        <v>8.76856458E8</v>
      </c>
      <c r="B1155" s="131">
        <v>41494.0</v>
      </c>
      <c r="C1155" s="131">
        <v>41515.0</v>
      </c>
      <c r="D1155" s="110" t="s">
        <v>95</v>
      </c>
      <c r="E1155" s="110" t="s">
        <v>96</v>
      </c>
      <c r="F1155" s="110">
        <v>8875.0</v>
      </c>
      <c r="G1155" s="38" t="s">
        <v>42</v>
      </c>
      <c r="H1155" s="110">
        <v>166.0</v>
      </c>
      <c r="I1155" s="132">
        <v>421.89</v>
      </c>
      <c r="J1155" s="132">
        <v>364.69</v>
      </c>
      <c r="K1155" s="39">
        <f t="shared" si="1"/>
        <v>70033.74</v>
      </c>
      <c r="L1155" s="39">
        <f t="shared" si="2"/>
        <v>60538.54</v>
      </c>
      <c r="M1155" s="39">
        <f t="shared" si="3"/>
        <v>9495.2</v>
      </c>
      <c r="N1155" s="38" t="str">
        <f>VLOOKUP(F1155,products!$A$2:$B$13,2,FALSE)</f>
        <v>Meat</v>
      </c>
      <c r="O1155" s="133">
        <f t="shared" si="4"/>
        <v>0.8644196354</v>
      </c>
      <c r="P1155" s="38" t="str">
        <f>VLOOKUP(E1155,countries!A$2:E$250,3,false)</f>
        <v>Slovakia</v>
      </c>
      <c r="Q1155" s="38" t="str">
        <f>VLOOKUP($E1155,countries!$A$2:$E$250,4,false)</f>
        <v>Europe</v>
      </c>
      <c r="R1155" s="38" t="str">
        <f>VLOOKUP($E1155,countries!$A$2:$E$250,5,false)</f>
        <v>Eastern Europe</v>
      </c>
      <c r="S1155" s="38">
        <f t="shared" si="5"/>
        <v>21</v>
      </c>
      <c r="T1155" s="38" t="s">
        <v>167</v>
      </c>
      <c r="U1155" s="38">
        <v>2013.0</v>
      </c>
      <c r="V1155" s="38">
        <v>8.0</v>
      </c>
      <c r="W1155" s="38" t="s">
        <v>96</v>
      </c>
      <c r="X1155" s="38" t="s">
        <v>154</v>
      </c>
      <c r="Y1155" s="38" t="s">
        <v>146</v>
      </c>
      <c r="Z1155" s="38" t="s">
        <v>155</v>
      </c>
      <c r="AA1155" s="113" t="str">
        <f t="array" ref="AA1155">PROPER(G1155)</f>
        <v>Offline</v>
      </c>
    </row>
    <row r="1156">
      <c r="A1156" s="110">
        <v>8.77062451E8</v>
      </c>
      <c r="B1156" s="131">
        <v>41191.0</v>
      </c>
      <c r="C1156" s="131">
        <v>41211.0</v>
      </c>
      <c r="D1156" s="110" t="s">
        <v>10</v>
      </c>
      <c r="E1156" s="110" t="s">
        <v>131</v>
      </c>
      <c r="F1156" s="110">
        <v>1270.0</v>
      </c>
      <c r="G1156" s="38" t="s">
        <v>43</v>
      </c>
      <c r="H1156" s="110">
        <v>1124.0</v>
      </c>
      <c r="I1156" s="132">
        <v>47.45</v>
      </c>
      <c r="J1156" s="132">
        <v>31.79</v>
      </c>
      <c r="K1156" s="39">
        <f t="shared" si="1"/>
        <v>53333.8</v>
      </c>
      <c r="L1156" s="39">
        <f t="shared" si="2"/>
        <v>35731.96</v>
      </c>
      <c r="M1156" s="39">
        <f t="shared" si="3"/>
        <v>17601.84</v>
      </c>
      <c r="N1156" s="38" t="str">
        <f>VLOOKUP(F1156,products!$A$2:$B$13,2,FALSE)</f>
        <v>Beverages</v>
      </c>
      <c r="O1156" s="133">
        <f t="shared" si="4"/>
        <v>0.6699683878</v>
      </c>
      <c r="P1156" s="38" t="str">
        <f>VLOOKUP(E1156,countries!A$2:E$250,3,false)</f>
        <v>Albania</v>
      </c>
      <c r="Q1156" s="38" t="str">
        <f>VLOOKUP($E1156,countries!$A$2:$E$250,4,false)</f>
        <v>Europe</v>
      </c>
      <c r="R1156" s="38" t="str">
        <f>VLOOKUP($E1156,countries!$A$2:$E$250,5,false)</f>
        <v>Southern Europe</v>
      </c>
      <c r="S1156" s="38">
        <f t="shared" si="5"/>
        <v>20</v>
      </c>
      <c r="T1156" s="38" t="s">
        <v>152</v>
      </c>
      <c r="U1156" s="38">
        <v>2012.0</v>
      </c>
      <c r="V1156" s="38">
        <v>10.0</v>
      </c>
      <c r="W1156" s="38" t="s">
        <v>131</v>
      </c>
      <c r="X1156" s="38" t="s">
        <v>202</v>
      </c>
      <c r="Y1156" s="38" t="s">
        <v>146</v>
      </c>
      <c r="Z1156" s="38" t="s">
        <v>147</v>
      </c>
      <c r="AA1156" s="113" t="str">
        <f t="array" ref="AA1156">PROPER(G1156)</f>
        <v>Online</v>
      </c>
    </row>
    <row r="1157">
      <c r="A1157" s="110">
        <v>8.77084767E8</v>
      </c>
      <c r="B1157" s="131">
        <v>41020.0</v>
      </c>
      <c r="C1157" s="131">
        <v>41069.0</v>
      </c>
      <c r="D1157" s="110" t="s">
        <v>10</v>
      </c>
      <c r="E1157" s="110" t="s">
        <v>122</v>
      </c>
      <c r="F1157" s="110">
        <v>8875.0</v>
      </c>
      <c r="G1157" s="38" t="s">
        <v>43</v>
      </c>
      <c r="H1157" s="110">
        <v>7728.0</v>
      </c>
      <c r="I1157" s="132">
        <v>421.89</v>
      </c>
      <c r="J1157" s="132">
        <v>364.69</v>
      </c>
      <c r="K1157" s="39">
        <f t="shared" si="1"/>
        <v>3260365.92</v>
      </c>
      <c r="L1157" s="39">
        <f t="shared" si="2"/>
        <v>2818324.32</v>
      </c>
      <c r="M1157" s="39">
        <f t="shared" si="3"/>
        <v>442041.6</v>
      </c>
      <c r="N1157" s="38" t="str">
        <f>VLOOKUP(F1157,products!$A$2:$B$13,2,FALSE)</f>
        <v>Meat</v>
      </c>
      <c r="O1157" s="133">
        <f t="shared" si="4"/>
        <v>0.8644196354</v>
      </c>
      <c r="P1157" s="38" t="str">
        <f>VLOOKUP(E1157,countries!A$2:E$250,3,false)</f>
        <v>Switzerland</v>
      </c>
      <c r="Q1157" s="38" t="str">
        <f>VLOOKUP($E1157,countries!$A$2:$E$250,4,false)</f>
        <v>Europe</v>
      </c>
      <c r="R1157" s="38" t="str">
        <f>VLOOKUP($E1157,countries!$A$2:$E$250,5,false)</f>
        <v>Western Europe</v>
      </c>
      <c r="S1157" s="38">
        <f t="shared" si="5"/>
        <v>49</v>
      </c>
      <c r="T1157" s="38" t="s">
        <v>167</v>
      </c>
      <c r="U1157" s="38">
        <v>2012.0</v>
      </c>
      <c r="V1157" s="38">
        <v>4.0</v>
      </c>
      <c r="W1157" s="38" t="s">
        <v>122</v>
      </c>
      <c r="X1157" s="38" t="s">
        <v>193</v>
      </c>
      <c r="Y1157" s="38" t="s">
        <v>146</v>
      </c>
      <c r="Z1157" s="38" t="s">
        <v>158</v>
      </c>
      <c r="AA1157" s="113" t="str">
        <f t="array" ref="AA1157">PROPER(G1157)</f>
        <v>Online</v>
      </c>
    </row>
    <row r="1158">
      <c r="A1158" s="110">
        <v>8.77687728E8</v>
      </c>
      <c r="B1158" s="131">
        <v>42727.0</v>
      </c>
      <c r="C1158" s="131">
        <v>42773.0</v>
      </c>
      <c r="D1158" s="110" t="s">
        <v>10</v>
      </c>
      <c r="E1158" s="110" t="s">
        <v>96</v>
      </c>
      <c r="F1158" s="110">
        <v>3127.0</v>
      </c>
      <c r="G1158" s="38" t="s">
        <v>42</v>
      </c>
      <c r="H1158" s="110">
        <v>6158.0</v>
      </c>
      <c r="I1158" s="132">
        <v>81.73</v>
      </c>
      <c r="J1158" s="132">
        <v>56.67</v>
      </c>
      <c r="K1158" s="39">
        <f t="shared" si="1"/>
        <v>503293.34</v>
      </c>
      <c r="L1158" s="39">
        <f t="shared" si="2"/>
        <v>348973.86</v>
      </c>
      <c r="M1158" s="39">
        <f t="shared" si="3"/>
        <v>154319.48</v>
      </c>
      <c r="N1158" s="38" t="str">
        <f>VLOOKUP(F1158,products!$A$2:$B$13,2,FALSE)</f>
        <v>Personal Care</v>
      </c>
      <c r="O1158" s="133">
        <f t="shared" si="4"/>
        <v>0.6933806436</v>
      </c>
      <c r="P1158" s="38" t="str">
        <f>VLOOKUP(E1158,countries!A$2:E$250,3,false)</f>
        <v>Slovakia</v>
      </c>
      <c r="Q1158" s="38" t="str">
        <f>VLOOKUP($E1158,countries!$A$2:$E$250,4,false)</f>
        <v>Europe</v>
      </c>
      <c r="R1158" s="38" t="str">
        <f>VLOOKUP($E1158,countries!$A$2:$E$250,5,false)</f>
        <v>Eastern Europe</v>
      </c>
      <c r="S1158" s="38">
        <f t="shared" si="5"/>
        <v>46</v>
      </c>
      <c r="T1158" s="38" t="s">
        <v>185</v>
      </c>
      <c r="U1158" s="38">
        <v>2016.0</v>
      </c>
      <c r="V1158" s="38">
        <v>12.0</v>
      </c>
      <c r="W1158" s="38" t="s">
        <v>96</v>
      </c>
      <c r="X1158" s="38" t="s">
        <v>154</v>
      </c>
      <c r="Y1158" s="38" t="s">
        <v>146</v>
      </c>
      <c r="Z1158" s="38" t="s">
        <v>155</v>
      </c>
      <c r="AA1158" s="113" t="str">
        <f t="array" ref="AA1158">PROPER(G1158)</f>
        <v>Offline</v>
      </c>
    </row>
    <row r="1159">
      <c r="A1159" s="110">
        <v>8.7861427E8</v>
      </c>
      <c r="B1159" s="131">
        <v>40570.0</v>
      </c>
      <c r="C1159" s="131">
        <v>40591.0</v>
      </c>
      <c r="D1159" s="110" t="s">
        <v>89</v>
      </c>
      <c r="E1159" s="110" t="s">
        <v>137</v>
      </c>
      <c r="F1159" s="110">
        <v>8293.0</v>
      </c>
      <c r="G1159" s="38" t="s">
        <v>43</v>
      </c>
      <c r="H1159" s="110">
        <v>342.0</v>
      </c>
      <c r="I1159" s="132">
        <v>437.2</v>
      </c>
      <c r="J1159" s="132">
        <v>263.33</v>
      </c>
      <c r="K1159" s="39">
        <f t="shared" si="1"/>
        <v>149522.4</v>
      </c>
      <c r="L1159" s="39">
        <f t="shared" si="2"/>
        <v>90058.86</v>
      </c>
      <c r="M1159" s="39">
        <f t="shared" si="3"/>
        <v>59463.54</v>
      </c>
      <c r="N1159" s="38" t="str">
        <f>VLOOKUP(F1159,products!$A$2:$B$13,2,FALSE)</f>
        <v>Cosmetics</v>
      </c>
      <c r="O1159" s="133">
        <f t="shared" si="4"/>
        <v>0.6023101555</v>
      </c>
      <c r="P1159" s="38" t="str">
        <f>VLOOKUP(E1159,countries!A$2:E$250,3,false)</f>
        <v>Iceland</v>
      </c>
      <c r="Q1159" s="38" t="str">
        <f>VLOOKUP($E1159,countries!$A$2:$E$250,4,false)</f>
        <v>Europe</v>
      </c>
      <c r="R1159" s="38" t="str">
        <f>VLOOKUP($E1159,countries!$A$2:$E$250,5,false)</f>
        <v>Northern Europe</v>
      </c>
      <c r="S1159" s="38">
        <f t="shared" si="5"/>
        <v>21</v>
      </c>
      <c r="T1159" s="38" t="s">
        <v>178</v>
      </c>
      <c r="U1159" s="38">
        <v>2011.0</v>
      </c>
      <c r="V1159" s="38">
        <v>1.0</v>
      </c>
      <c r="W1159" s="38" t="s">
        <v>137</v>
      </c>
      <c r="X1159" s="38" t="s">
        <v>207</v>
      </c>
      <c r="Y1159" s="38" t="s">
        <v>146</v>
      </c>
      <c r="Z1159" s="38" t="s">
        <v>170</v>
      </c>
      <c r="AA1159" s="113" t="str">
        <f t="array" ref="AA1159">PROPER(G1159)</f>
        <v>Online</v>
      </c>
    </row>
    <row r="1160">
      <c r="A1160" s="110">
        <v>8.794052E8</v>
      </c>
      <c r="B1160" s="131">
        <v>41793.0</v>
      </c>
      <c r="C1160" s="131">
        <v>41840.0</v>
      </c>
      <c r="D1160" s="110" t="s">
        <v>93</v>
      </c>
      <c r="E1160" s="110" t="s">
        <v>116</v>
      </c>
      <c r="F1160" s="110">
        <v>1270.0</v>
      </c>
      <c r="G1160" s="38" t="s">
        <v>43</v>
      </c>
      <c r="H1160" s="110">
        <v>4396.0</v>
      </c>
      <c r="I1160" s="132">
        <v>47.45</v>
      </c>
      <c r="J1160" s="132">
        <v>31.79</v>
      </c>
      <c r="K1160" s="39">
        <f t="shared" si="1"/>
        <v>208590.2</v>
      </c>
      <c r="L1160" s="39">
        <f t="shared" si="2"/>
        <v>139748.84</v>
      </c>
      <c r="M1160" s="39">
        <f t="shared" si="3"/>
        <v>68841.36</v>
      </c>
      <c r="N1160" s="38" t="str">
        <f>VLOOKUP(F1160,products!$A$2:$B$13,2,FALSE)</f>
        <v>Beverages</v>
      </c>
      <c r="O1160" s="133">
        <f t="shared" si="4"/>
        <v>0.6699683878</v>
      </c>
      <c r="P1160" s="38" t="str">
        <f>VLOOKUP(E1160,countries!A$2:E$250,3,false)</f>
        <v>Belarus</v>
      </c>
      <c r="Q1160" s="38" t="str">
        <f>VLOOKUP($E1160,countries!$A$2:$E$250,4,false)</f>
        <v>Europe</v>
      </c>
      <c r="R1160" s="38" t="str">
        <f>VLOOKUP($E1160,countries!$A$2:$E$250,5,false)</f>
        <v>Eastern Europe</v>
      </c>
      <c r="S1160" s="38">
        <f t="shared" si="5"/>
        <v>47</v>
      </c>
      <c r="T1160" s="38" t="s">
        <v>152</v>
      </c>
      <c r="U1160" s="38">
        <v>2014.0</v>
      </c>
      <c r="V1160" s="38">
        <v>6.0</v>
      </c>
      <c r="W1160" s="38" t="s">
        <v>116</v>
      </c>
      <c r="X1160" s="38" t="s">
        <v>187</v>
      </c>
      <c r="Y1160" s="38" t="s">
        <v>146</v>
      </c>
      <c r="Z1160" s="38" t="s">
        <v>155</v>
      </c>
      <c r="AA1160" s="113" t="str">
        <f t="array" ref="AA1160">PROPER(G1160)</f>
        <v>Online</v>
      </c>
    </row>
    <row r="1161">
      <c r="A1161" s="110">
        <v>8.79845082E8</v>
      </c>
      <c r="B1161" s="131">
        <v>40282.0</v>
      </c>
      <c r="C1161" s="131">
        <v>40299.0</v>
      </c>
      <c r="D1161" s="110" t="s">
        <v>89</v>
      </c>
      <c r="E1161" s="110" t="s">
        <v>110</v>
      </c>
      <c r="F1161" s="110">
        <v>4594.0</v>
      </c>
      <c r="G1161" s="38" t="s">
        <v>42</v>
      </c>
      <c r="H1161" s="110">
        <v>4567.0</v>
      </c>
      <c r="I1161" s="132">
        <v>9.33</v>
      </c>
      <c r="J1161" s="132">
        <v>6.92</v>
      </c>
      <c r="K1161" s="39">
        <f t="shared" si="1"/>
        <v>42610.11</v>
      </c>
      <c r="L1161" s="39">
        <f t="shared" si="2"/>
        <v>31603.64</v>
      </c>
      <c r="M1161" s="39">
        <f t="shared" si="3"/>
        <v>11006.47</v>
      </c>
      <c r="N1161" s="38" t="str">
        <f>VLOOKUP(F1161,products!$A$2:$B$13,2,FALSE)</f>
        <v>Fruits</v>
      </c>
      <c r="O1161" s="133">
        <f t="shared" si="4"/>
        <v>0.741693462</v>
      </c>
      <c r="P1161" s="38" t="str">
        <f>VLOOKUP(E1161,countries!A$2:E$250,3,false)</f>
        <v>Lithuania</v>
      </c>
      <c r="Q1161" s="38" t="str">
        <f>VLOOKUP($E1161,countries!$A$2:$E$250,4,false)</f>
        <v>Europe</v>
      </c>
      <c r="R1161" s="38" t="str">
        <f>VLOOKUP($E1161,countries!$A$2:$E$250,5,false)</f>
        <v>Northern Europe</v>
      </c>
      <c r="S1161" s="38">
        <f t="shared" si="5"/>
        <v>17</v>
      </c>
      <c r="T1161" s="38" t="s">
        <v>156</v>
      </c>
      <c r="U1161" s="38">
        <v>2010.0</v>
      </c>
      <c r="V1161" s="38">
        <v>4.0</v>
      </c>
      <c r="W1161" s="38" t="s">
        <v>110</v>
      </c>
      <c r="X1161" s="38" t="s">
        <v>177</v>
      </c>
      <c r="Y1161" s="38" t="s">
        <v>146</v>
      </c>
      <c r="Z1161" s="38" t="s">
        <v>170</v>
      </c>
      <c r="AA1161" s="113" t="str">
        <f t="array" ref="AA1161">PROPER(G1161)</f>
        <v>Offline</v>
      </c>
    </row>
    <row r="1162">
      <c r="A1162" s="110">
        <v>8.79923617E8</v>
      </c>
      <c r="B1162" s="131">
        <v>41861.0</v>
      </c>
      <c r="C1162" s="131">
        <v>41897.0</v>
      </c>
      <c r="D1162" s="110" t="s">
        <v>89</v>
      </c>
      <c r="E1162" s="110" t="s">
        <v>123</v>
      </c>
      <c r="F1162" s="110">
        <v>7331.0</v>
      </c>
      <c r="G1162" s="38" t="s">
        <v>43</v>
      </c>
      <c r="H1162" s="110">
        <v>7807.0</v>
      </c>
      <c r="I1162" s="132">
        <v>255.28</v>
      </c>
      <c r="J1162" s="132">
        <v>159.42</v>
      </c>
      <c r="K1162" s="39">
        <f t="shared" si="1"/>
        <v>1992970.96</v>
      </c>
      <c r="L1162" s="39">
        <f t="shared" si="2"/>
        <v>1244591.94</v>
      </c>
      <c r="M1162" s="39">
        <f t="shared" si="3"/>
        <v>748379.02</v>
      </c>
      <c r="N1162" s="38" t="str">
        <f>VLOOKUP(F1162,products!$A$2:$B$13,2,FALSE)</f>
        <v>Baby Food</v>
      </c>
      <c r="O1162" s="133">
        <f t="shared" si="4"/>
        <v>0.6244907552</v>
      </c>
      <c r="P1162" s="38" t="str">
        <f>VLOOKUP(E1162,countries!A$2:E$250,3,false)</f>
        <v>Hungary</v>
      </c>
      <c r="Q1162" s="38" t="str">
        <f>VLOOKUP($E1162,countries!$A$2:$E$250,4,false)</f>
        <v>Europe</v>
      </c>
      <c r="R1162" s="38" t="str">
        <f>VLOOKUP($E1162,countries!$A$2:$E$250,5,false)</f>
        <v>Eastern Europe</v>
      </c>
      <c r="S1162" s="38">
        <f t="shared" si="5"/>
        <v>36</v>
      </c>
      <c r="T1162" s="38" t="s">
        <v>161</v>
      </c>
      <c r="U1162" s="38">
        <v>2014.0</v>
      </c>
      <c r="V1162" s="38">
        <v>8.0</v>
      </c>
      <c r="W1162" s="38" t="s">
        <v>123</v>
      </c>
      <c r="X1162" s="38" t="s">
        <v>194</v>
      </c>
      <c r="Y1162" s="38" t="s">
        <v>146</v>
      </c>
      <c r="Z1162" s="38" t="s">
        <v>155</v>
      </c>
      <c r="AA1162" s="113" t="str">
        <f t="array" ref="AA1162">PROPER(G1162)</f>
        <v>Online</v>
      </c>
    </row>
    <row r="1163">
      <c r="A1163" s="110">
        <v>8.80176818E8</v>
      </c>
      <c r="B1163" s="131">
        <v>40452.0</v>
      </c>
      <c r="C1163" s="131">
        <v>40466.0</v>
      </c>
      <c r="D1163" s="110" t="s">
        <v>89</v>
      </c>
      <c r="E1163" s="110" t="s">
        <v>106</v>
      </c>
      <c r="F1163" s="110">
        <v>2455.0</v>
      </c>
      <c r="G1163" s="38" t="s">
        <v>43</v>
      </c>
      <c r="H1163" s="110">
        <v>2735.0</v>
      </c>
      <c r="I1163" s="132">
        <v>109.28</v>
      </c>
      <c r="J1163" s="132">
        <v>35.84</v>
      </c>
      <c r="K1163" s="39">
        <f t="shared" si="1"/>
        <v>298880.8</v>
      </c>
      <c r="L1163" s="39">
        <f t="shared" si="2"/>
        <v>98022.4</v>
      </c>
      <c r="M1163" s="39">
        <f t="shared" si="3"/>
        <v>200858.4</v>
      </c>
      <c r="N1163" s="38" t="str">
        <f>VLOOKUP(F1163,products!$A$2:$B$13,2,FALSE)</f>
        <v>Clothes</v>
      </c>
      <c r="O1163" s="133">
        <f t="shared" si="4"/>
        <v>0.3279648609</v>
      </c>
      <c r="P1163" s="38" t="str">
        <f>VLOOKUP(E1163,countries!A$2:E$250,3,false)</f>
        <v>Poland</v>
      </c>
      <c r="Q1163" s="38" t="str">
        <f>VLOOKUP($E1163,countries!$A$2:$E$250,4,false)</f>
        <v>Europe</v>
      </c>
      <c r="R1163" s="38" t="str">
        <f>VLOOKUP($E1163,countries!$A$2:$E$250,5,false)</f>
        <v>Eastern Europe</v>
      </c>
      <c r="S1163" s="38">
        <f t="shared" si="5"/>
        <v>14</v>
      </c>
      <c r="T1163" s="38" t="s">
        <v>150</v>
      </c>
      <c r="U1163" s="38">
        <v>2010.0</v>
      </c>
      <c r="V1163" s="38">
        <v>10.0</v>
      </c>
      <c r="W1163" s="38" t="s">
        <v>106</v>
      </c>
      <c r="X1163" s="38" t="s">
        <v>173</v>
      </c>
      <c r="Y1163" s="38" t="s">
        <v>146</v>
      </c>
      <c r="Z1163" s="38" t="s">
        <v>155</v>
      </c>
      <c r="AA1163" s="113" t="str">
        <f t="array" ref="AA1163">PROPER(G1163)</f>
        <v>Online</v>
      </c>
    </row>
    <row r="1164">
      <c r="A1164" s="110">
        <v>8.8119477E8</v>
      </c>
      <c r="B1164" s="131">
        <v>41583.0</v>
      </c>
      <c r="C1164" s="131">
        <v>41613.0</v>
      </c>
      <c r="D1164" s="110" t="s">
        <v>10</v>
      </c>
      <c r="E1164" s="110" t="s">
        <v>120</v>
      </c>
      <c r="F1164" s="110">
        <v>8681.0</v>
      </c>
      <c r="G1164" s="38" t="s">
        <v>42</v>
      </c>
      <c r="H1164" s="110">
        <v>3969.0</v>
      </c>
      <c r="I1164" s="132">
        <v>651.21</v>
      </c>
      <c r="J1164" s="132">
        <v>524.96</v>
      </c>
      <c r="K1164" s="39">
        <f t="shared" si="1"/>
        <v>2584652.49</v>
      </c>
      <c r="L1164" s="39">
        <f t="shared" si="2"/>
        <v>2083566.24</v>
      </c>
      <c r="M1164" s="39">
        <f t="shared" si="3"/>
        <v>501086.25</v>
      </c>
      <c r="N1164" s="38" t="str">
        <f>VLOOKUP(F1164,products!$A$2:$B$13,2,FALSE)</f>
        <v>Office Supplies</v>
      </c>
      <c r="O1164" s="133">
        <f t="shared" si="4"/>
        <v>0.806130127</v>
      </c>
      <c r="P1164" s="38" t="str">
        <f>VLOOKUP(E1164,countries!A$2:E$250,3,false)</f>
        <v>San Marino</v>
      </c>
      <c r="Q1164" s="38" t="str">
        <f>VLOOKUP($E1164,countries!$A$2:$E$250,4,false)</f>
        <v>Europe</v>
      </c>
      <c r="R1164" s="38" t="str">
        <f>VLOOKUP($E1164,countries!$A$2:$E$250,5,false)</f>
        <v>Southern Europe</v>
      </c>
      <c r="S1164" s="38">
        <f t="shared" si="5"/>
        <v>30</v>
      </c>
      <c r="T1164" s="38" t="s">
        <v>153</v>
      </c>
      <c r="U1164" s="38">
        <v>2013.0</v>
      </c>
      <c r="V1164" s="38">
        <v>11.0</v>
      </c>
      <c r="W1164" s="38" t="s">
        <v>120</v>
      </c>
      <c r="X1164" s="38" t="s">
        <v>191</v>
      </c>
      <c r="Y1164" s="38" t="s">
        <v>146</v>
      </c>
      <c r="Z1164" s="38" t="s">
        <v>147</v>
      </c>
      <c r="AA1164" s="113" t="str">
        <f t="array" ref="AA1164">PROPER(G1164)</f>
        <v>Offline</v>
      </c>
    </row>
    <row r="1165">
      <c r="A1165" s="110">
        <v>8.8171705E8</v>
      </c>
      <c r="B1165" s="131">
        <v>40504.0</v>
      </c>
      <c r="C1165" s="131">
        <v>40535.0</v>
      </c>
      <c r="D1165" s="110" t="s">
        <v>89</v>
      </c>
      <c r="E1165" s="110" t="s">
        <v>109</v>
      </c>
      <c r="F1165" s="110">
        <v>8969.0</v>
      </c>
      <c r="G1165" s="38" t="s">
        <v>43</v>
      </c>
      <c r="H1165" s="110">
        <v>8524.0</v>
      </c>
      <c r="I1165" s="132">
        <v>152.58</v>
      </c>
      <c r="J1165" s="132">
        <v>97.44</v>
      </c>
      <c r="K1165" s="39">
        <f t="shared" si="1"/>
        <v>1300591.92</v>
      </c>
      <c r="L1165" s="39">
        <f t="shared" si="2"/>
        <v>830578.56</v>
      </c>
      <c r="M1165" s="39">
        <f t="shared" si="3"/>
        <v>470013.36</v>
      </c>
      <c r="N1165" s="38" t="str">
        <f>VLOOKUP(F1165,products!$A$2:$B$13,2,FALSE)</f>
        <v>Snacks</v>
      </c>
      <c r="O1165" s="133">
        <f t="shared" si="4"/>
        <v>0.6386158081</v>
      </c>
      <c r="P1165" s="38" t="str">
        <f>VLOOKUP(E1165,countries!A$2:E$250,3,false)</f>
        <v>Belgium</v>
      </c>
      <c r="Q1165" s="38" t="str">
        <f>VLOOKUP($E1165,countries!$A$2:$E$250,4,false)</f>
        <v>Europe</v>
      </c>
      <c r="R1165" s="38" t="str">
        <f>VLOOKUP($E1165,countries!$A$2:$E$250,5,false)</f>
        <v>Western Europe</v>
      </c>
      <c r="S1165" s="38">
        <f t="shared" si="5"/>
        <v>31</v>
      </c>
      <c r="T1165" s="38" t="s">
        <v>182</v>
      </c>
      <c r="U1165" s="38">
        <v>2010.0</v>
      </c>
      <c r="V1165" s="38">
        <v>11.0</v>
      </c>
      <c r="W1165" s="38" t="s">
        <v>109</v>
      </c>
      <c r="X1165" s="38" t="s">
        <v>176</v>
      </c>
      <c r="Y1165" s="38" t="s">
        <v>146</v>
      </c>
      <c r="Z1165" s="38" t="s">
        <v>158</v>
      </c>
      <c r="AA1165" s="113" t="str">
        <f t="array" ref="AA1165">PROPER(G1165)</f>
        <v>Online</v>
      </c>
    </row>
    <row r="1166">
      <c r="A1166" s="110">
        <v>8.83504474E8</v>
      </c>
      <c r="B1166" s="131">
        <v>41854.0</v>
      </c>
      <c r="C1166" s="131">
        <v>41890.0</v>
      </c>
      <c r="D1166" s="110" t="s">
        <v>95</v>
      </c>
      <c r="E1166" s="110" t="s">
        <v>101</v>
      </c>
      <c r="F1166" s="110">
        <v>8681.0</v>
      </c>
      <c r="G1166" s="38" t="s">
        <v>42</v>
      </c>
      <c r="H1166" s="110">
        <v>7462.0</v>
      </c>
      <c r="I1166" s="132">
        <v>651.21</v>
      </c>
      <c r="J1166" s="132">
        <v>524.96</v>
      </c>
      <c r="K1166" s="39">
        <f t="shared" si="1"/>
        <v>4859329.02</v>
      </c>
      <c r="L1166" s="39">
        <f t="shared" si="2"/>
        <v>3917251.52</v>
      </c>
      <c r="M1166" s="39">
        <f t="shared" si="3"/>
        <v>942077.5</v>
      </c>
      <c r="N1166" s="38" t="str">
        <f>VLOOKUP(F1166,products!$A$2:$B$13,2,FALSE)</f>
        <v>Office Supplies</v>
      </c>
      <c r="O1166" s="133">
        <f t="shared" si="4"/>
        <v>0.806130127</v>
      </c>
      <c r="P1166" s="38" t="str">
        <f>VLOOKUP(E1166,countries!A$2:E$250,3,false)</f>
        <v>Armenia</v>
      </c>
      <c r="Q1166" s="38" t="str">
        <f>VLOOKUP($E1166,countries!$A$2:$E$250,4,false)</f>
        <v>Asia</v>
      </c>
      <c r="R1166" s="38" t="str">
        <f>VLOOKUP($E1166,countries!$A$2:$E$250,5,false)</f>
        <v>Western Asia</v>
      </c>
      <c r="S1166" s="38">
        <f t="shared" si="5"/>
        <v>36</v>
      </c>
      <c r="T1166" s="38" t="s">
        <v>153</v>
      </c>
      <c r="U1166" s="38">
        <v>2014.0</v>
      </c>
      <c r="V1166" s="38">
        <v>8.0</v>
      </c>
      <c r="W1166" s="38" t="s">
        <v>101</v>
      </c>
      <c r="X1166" s="38" t="s">
        <v>164</v>
      </c>
      <c r="Y1166" s="38" t="s">
        <v>165</v>
      </c>
      <c r="Z1166" s="38" t="s">
        <v>166</v>
      </c>
      <c r="AA1166" s="113" t="str">
        <f t="array" ref="AA1166">PROPER(G1166)</f>
        <v>Offline</v>
      </c>
    </row>
    <row r="1167">
      <c r="A1167" s="110">
        <v>8.84147775E8</v>
      </c>
      <c r="B1167" s="131">
        <v>40804.0</v>
      </c>
      <c r="C1167" s="131">
        <v>40835.0</v>
      </c>
      <c r="D1167" s="110" t="s">
        <v>95</v>
      </c>
      <c r="E1167" s="110" t="s">
        <v>130</v>
      </c>
      <c r="F1167" s="110">
        <v>1270.0</v>
      </c>
      <c r="G1167" s="38" t="s">
        <v>43</v>
      </c>
      <c r="H1167" s="110">
        <v>7829.0</v>
      </c>
      <c r="I1167" s="132">
        <v>47.45</v>
      </c>
      <c r="J1167" s="132">
        <v>31.79</v>
      </c>
      <c r="K1167" s="39">
        <f t="shared" si="1"/>
        <v>371486.05</v>
      </c>
      <c r="L1167" s="39">
        <f t="shared" si="2"/>
        <v>248883.91</v>
      </c>
      <c r="M1167" s="39">
        <f t="shared" si="3"/>
        <v>122602.14</v>
      </c>
      <c r="N1167" s="38" t="str">
        <f>VLOOKUP(F1167,products!$A$2:$B$13,2,FALSE)</f>
        <v>Beverages</v>
      </c>
      <c r="O1167" s="133">
        <f t="shared" si="4"/>
        <v>0.6699683878</v>
      </c>
      <c r="P1167" s="38" t="str">
        <f>VLOOKUP(E1167,countries!A$2:E$250,3,false)</f>
        <v>Finland</v>
      </c>
      <c r="Q1167" s="38" t="str">
        <f>VLOOKUP($E1167,countries!$A$2:$E$250,4,false)</f>
        <v>Europe</v>
      </c>
      <c r="R1167" s="38" t="str">
        <f>VLOOKUP($E1167,countries!$A$2:$E$250,5,false)</f>
        <v>Northern Europe</v>
      </c>
      <c r="S1167" s="38">
        <f t="shared" si="5"/>
        <v>31</v>
      </c>
      <c r="T1167" s="38" t="s">
        <v>152</v>
      </c>
      <c r="U1167" s="38">
        <v>2011.0</v>
      </c>
      <c r="V1167" s="38">
        <v>9.0</v>
      </c>
      <c r="W1167" s="38" t="s">
        <v>130</v>
      </c>
      <c r="X1167" s="38" t="s">
        <v>201</v>
      </c>
      <c r="Y1167" s="38" t="s">
        <v>146</v>
      </c>
      <c r="Z1167" s="38" t="s">
        <v>170</v>
      </c>
      <c r="AA1167" s="113" t="str">
        <f t="array" ref="AA1167">PROPER(G1167)</f>
        <v>Online</v>
      </c>
    </row>
    <row r="1168">
      <c r="A1168" s="110">
        <v>8.84192836E8</v>
      </c>
      <c r="B1168" s="131">
        <v>41257.0</v>
      </c>
      <c r="C1168" s="131">
        <v>41289.0</v>
      </c>
      <c r="D1168" s="110" t="s">
        <v>10</v>
      </c>
      <c r="E1168" s="110" t="s">
        <v>90</v>
      </c>
      <c r="F1168" s="110">
        <v>8681.0</v>
      </c>
      <c r="G1168" s="38" t="s">
        <v>42</v>
      </c>
      <c r="H1168" s="110">
        <v>1164.0</v>
      </c>
      <c r="I1168" s="132">
        <v>651.21</v>
      </c>
      <c r="J1168" s="132">
        <v>524.96</v>
      </c>
      <c r="K1168" s="39">
        <f t="shared" si="1"/>
        <v>758008.44</v>
      </c>
      <c r="L1168" s="39">
        <f t="shared" si="2"/>
        <v>611053.44</v>
      </c>
      <c r="M1168" s="39">
        <f t="shared" si="3"/>
        <v>146955</v>
      </c>
      <c r="N1168" s="38" t="str">
        <f>VLOOKUP(F1168,products!$A$2:$B$13,2,FALSE)</f>
        <v>Office Supplies</v>
      </c>
      <c r="O1168" s="133">
        <f t="shared" si="4"/>
        <v>0.806130127</v>
      </c>
      <c r="P1168" s="38" t="str">
        <f>VLOOKUP(E1168,countries!A$2:E$250,3,false)</f>
        <v>Norway</v>
      </c>
      <c r="Q1168" s="38" t="str">
        <f>VLOOKUP($E1168,countries!$A$2:$E$250,4,false)</f>
        <v>Europe</v>
      </c>
      <c r="R1168" s="38" t="str">
        <f>VLOOKUP($E1168,countries!$A$2:$E$250,5,false)</f>
        <v>Northern Europe</v>
      </c>
      <c r="S1168" s="38">
        <f t="shared" si="5"/>
        <v>32</v>
      </c>
      <c r="T1168" s="38" t="s">
        <v>153</v>
      </c>
      <c r="U1168" s="38">
        <v>2012.0</v>
      </c>
      <c r="V1168" s="38">
        <v>12.0</v>
      </c>
      <c r="W1168" s="38" t="s">
        <v>90</v>
      </c>
      <c r="X1168" s="38" t="s">
        <v>183</v>
      </c>
      <c r="Y1168" s="38" t="s">
        <v>146</v>
      </c>
      <c r="Z1168" s="38" t="s">
        <v>170</v>
      </c>
      <c r="AA1168" s="113" t="str">
        <f t="array" ref="AA1168">PROPER(G1168)</f>
        <v>Offline</v>
      </c>
    </row>
    <row r="1169">
      <c r="A1169" s="110">
        <v>8.84462773E8</v>
      </c>
      <c r="B1169" s="131">
        <v>40411.0</v>
      </c>
      <c r="C1169" s="131">
        <v>40456.0</v>
      </c>
      <c r="D1169" s="110" t="s">
        <v>89</v>
      </c>
      <c r="E1169" s="110" t="s">
        <v>105</v>
      </c>
      <c r="F1169" s="110">
        <v>8969.0</v>
      </c>
      <c r="G1169" s="38" t="s">
        <v>42</v>
      </c>
      <c r="H1169" s="110">
        <v>1044.0</v>
      </c>
      <c r="I1169" s="132">
        <v>152.58</v>
      </c>
      <c r="J1169" s="132">
        <v>97.44</v>
      </c>
      <c r="K1169" s="39">
        <f t="shared" si="1"/>
        <v>159293.52</v>
      </c>
      <c r="L1169" s="39">
        <f t="shared" si="2"/>
        <v>101727.36</v>
      </c>
      <c r="M1169" s="39">
        <f t="shared" si="3"/>
        <v>57566.16</v>
      </c>
      <c r="N1169" s="38" t="str">
        <f>VLOOKUP(F1169,products!$A$2:$B$13,2,FALSE)</f>
        <v>Snacks</v>
      </c>
      <c r="O1169" s="133">
        <f t="shared" si="4"/>
        <v>0.6386158081</v>
      </c>
      <c r="P1169" s="38" t="str">
        <f>VLOOKUP(E1169,countries!A$2:E$250,3,false)</f>
        <v>Romania</v>
      </c>
      <c r="Q1169" s="38" t="str">
        <f>VLOOKUP($E1169,countries!$A$2:$E$250,4,false)</f>
        <v>Europe</v>
      </c>
      <c r="R1169" s="38" t="str">
        <f>VLOOKUP($E1169,countries!$A$2:$E$250,5,false)</f>
        <v>Eastern Europe</v>
      </c>
      <c r="S1169" s="38">
        <f t="shared" si="5"/>
        <v>45</v>
      </c>
      <c r="T1169" s="38" t="s">
        <v>182</v>
      </c>
      <c r="U1169" s="38">
        <v>2010.0</v>
      </c>
      <c r="V1169" s="38">
        <v>8.0</v>
      </c>
      <c r="W1169" s="38" t="s">
        <v>105</v>
      </c>
      <c r="X1169" s="38" t="s">
        <v>172</v>
      </c>
      <c r="Y1169" s="38" t="s">
        <v>146</v>
      </c>
      <c r="Z1169" s="38" t="s">
        <v>155</v>
      </c>
      <c r="AA1169" s="113" t="str">
        <f t="array" ref="AA1169">PROPER(G1169)</f>
        <v>Offline</v>
      </c>
    </row>
    <row r="1170">
      <c r="A1170" s="110">
        <v>8.85046851E8</v>
      </c>
      <c r="B1170" s="131">
        <v>40348.0</v>
      </c>
      <c r="C1170" s="131">
        <v>40378.0</v>
      </c>
      <c r="D1170" s="110" t="s">
        <v>89</v>
      </c>
      <c r="E1170" s="110" t="s">
        <v>114</v>
      </c>
      <c r="F1170" s="110">
        <v>8681.0</v>
      </c>
      <c r="G1170" s="38" t="s">
        <v>42</v>
      </c>
      <c r="H1170" s="110">
        <v>3886.0</v>
      </c>
      <c r="I1170" s="132">
        <v>651.21</v>
      </c>
      <c r="J1170" s="132">
        <v>524.96</v>
      </c>
      <c r="K1170" s="39">
        <f t="shared" si="1"/>
        <v>2530602.06</v>
      </c>
      <c r="L1170" s="39">
        <f t="shared" si="2"/>
        <v>2039994.56</v>
      </c>
      <c r="M1170" s="39">
        <f t="shared" si="3"/>
        <v>490607.5</v>
      </c>
      <c r="N1170" s="38" t="str">
        <f>VLOOKUP(F1170,products!$A$2:$B$13,2,FALSE)</f>
        <v>Office Supplies</v>
      </c>
      <c r="O1170" s="133">
        <f t="shared" si="4"/>
        <v>0.806130127</v>
      </c>
      <c r="P1170" s="38" t="str">
        <f>VLOOKUP(E1170,countries!A$2:E$250,3,false)</f>
        <v>Czech Republic</v>
      </c>
      <c r="Q1170" s="38" t="str">
        <f>VLOOKUP($E1170,countries!$A$2:$E$250,4,false)</f>
        <v>Europe</v>
      </c>
      <c r="R1170" s="38" t="str">
        <f>VLOOKUP($E1170,countries!$A$2:$E$250,5,false)</f>
        <v>Eastern Europe</v>
      </c>
      <c r="S1170" s="38">
        <f t="shared" si="5"/>
        <v>30</v>
      </c>
      <c r="T1170" s="38" t="s">
        <v>153</v>
      </c>
      <c r="U1170" s="38">
        <v>2010.0</v>
      </c>
      <c r="V1170" s="38">
        <v>6.0</v>
      </c>
      <c r="W1170" s="38" t="s">
        <v>114</v>
      </c>
      <c r="X1170" s="38" t="s">
        <v>184</v>
      </c>
      <c r="Y1170" s="38" t="s">
        <v>146</v>
      </c>
      <c r="Z1170" s="38" t="s">
        <v>155</v>
      </c>
      <c r="AA1170" s="113" t="str">
        <f t="array" ref="AA1170">PROPER(G1170)</f>
        <v>Offline</v>
      </c>
    </row>
    <row r="1171">
      <c r="A1171" s="110">
        <v>8.85397469E8</v>
      </c>
      <c r="B1171" s="131">
        <v>42287.0</v>
      </c>
      <c r="C1171" s="131">
        <v>42326.0</v>
      </c>
      <c r="D1171" s="110" t="s">
        <v>89</v>
      </c>
      <c r="E1171" s="110" t="s">
        <v>104</v>
      </c>
      <c r="F1171" s="110">
        <v>8875.0</v>
      </c>
      <c r="G1171" s="38" t="s">
        <v>43</v>
      </c>
      <c r="H1171" s="110">
        <v>7642.0</v>
      </c>
      <c r="I1171" s="132">
        <v>421.89</v>
      </c>
      <c r="J1171" s="132">
        <v>364.69</v>
      </c>
      <c r="K1171" s="39">
        <f t="shared" si="1"/>
        <v>3224083.38</v>
      </c>
      <c r="L1171" s="39">
        <f t="shared" si="2"/>
        <v>2786960.98</v>
      </c>
      <c r="M1171" s="39">
        <f t="shared" si="3"/>
        <v>437122.4</v>
      </c>
      <c r="N1171" s="38" t="str">
        <f>VLOOKUP(F1171,products!$A$2:$B$13,2,FALSE)</f>
        <v>Meat</v>
      </c>
      <c r="O1171" s="133">
        <f t="shared" si="4"/>
        <v>0.8644196354</v>
      </c>
      <c r="P1171" s="38" t="str">
        <f>VLOOKUP(E1171,countries!A$2:E$250,3,false)</f>
        <v>Slovenia</v>
      </c>
      <c r="Q1171" s="38" t="str">
        <f>VLOOKUP($E1171,countries!$A$2:$E$250,4,false)</f>
        <v>Europe</v>
      </c>
      <c r="R1171" s="38" t="str">
        <f>VLOOKUP($E1171,countries!$A$2:$E$250,5,false)</f>
        <v>Southern Europe</v>
      </c>
      <c r="S1171" s="38">
        <f t="shared" si="5"/>
        <v>39</v>
      </c>
      <c r="T1171" s="38" t="s">
        <v>167</v>
      </c>
      <c r="U1171" s="38">
        <v>2015.0</v>
      </c>
      <c r="V1171" s="38">
        <v>10.0</v>
      </c>
      <c r="W1171" s="38" t="s">
        <v>104</v>
      </c>
      <c r="X1171" s="38" t="s">
        <v>171</v>
      </c>
      <c r="Y1171" s="38" t="s">
        <v>146</v>
      </c>
      <c r="Z1171" s="38" t="s">
        <v>147</v>
      </c>
      <c r="AA1171" s="113" t="str">
        <f t="array" ref="AA1171">PROPER(G1171)</f>
        <v>Online</v>
      </c>
    </row>
    <row r="1172">
      <c r="A1172" s="110">
        <v>8.85998284E8</v>
      </c>
      <c r="B1172" s="131">
        <v>42787.0</v>
      </c>
      <c r="C1172" s="131">
        <v>42794.0</v>
      </c>
      <c r="D1172" s="110" t="s">
        <v>10</v>
      </c>
      <c r="E1172" s="110" t="s">
        <v>101</v>
      </c>
      <c r="F1172" s="110">
        <v>2455.0</v>
      </c>
      <c r="G1172" s="38" t="s">
        <v>42</v>
      </c>
      <c r="H1172" s="110">
        <v>5436.0</v>
      </c>
      <c r="I1172" s="132">
        <v>109.28</v>
      </c>
      <c r="J1172" s="132">
        <v>35.84</v>
      </c>
      <c r="K1172" s="39">
        <f t="shared" si="1"/>
        <v>594046.08</v>
      </c>
      <c r="L1172" s="39">
        <f t="shared" si="2"/>
        <v>194826.24</v>
      </c>
      <c r="M1172" s="39">
        <f t="shared" si="3"/>
        <v>399219.84</v>
      </c>
      <c r="N1172" s="38" t="str">
        <f>VLOOKUP(F1172,products!$A$2:$B$13,2,FALSE)</f>
        <v>Clothes</v>
      </c>
      <c r="O1172" s="133">
        <f t="shared" si="4"/>
        <v>0.3279648609</v>
      </c>
      <c r="P1172" s="38" t="str">
        <f>VLOOKUP(E1172,countries!A$2:E$250,3,false)</f>
        <v>Armenia</v>
      </c>
      <c r="Q1172" s="38" t="str">
        <f>VLOOKUP($E1172,countries!$A$2:$E$250,4,false)</f>
        <v>Asia</v>
      </c>
      <c r="R1172" s="38" t="str">
        <f>VLOOKUP($E1172,countries!$A$2:$E$250,5,false)</f>
        <v>Western Asia</v>
      </c>
      <c r="S1172" s="38">
        <f t="shared" si="5"/>
        <v>7</v>
      </c>
      <c r="T1172" s="38" t="s">
        <v>150</v>
      </c>
      <c r="U1172" s="38">
        <v>2017.0</v>
      </c>
      <c r="V1172" s="38">
        <v>2.0</v>
      </c>
      <c r="W1172" s="38" t="s">
        <v>101</v>
      </c>
      <c r="X1172" s="38" t="s">
        <v>164</v>
      </c>
      <c r="Y1172" s="38" t="s">
        <v>165</v>
      </c>
      <c r="Z1172" s="38" t="s">
        <v>166</v>
      </c>
      <c r="AA1172" s="113" t="str">
        <f t="array" ref="AA1172">PROPER(G1172)</f>
        <v>Offline</v>
      </c>
    </row>
    <row r="1173">
      <c r="A1173" s="110">
        <v>8.86620128E8</v>
      </c>
      <c r="B1173" s="131">
        <v>40732.0</v>
      </c>
      <c r="C1173" s="131">
        <v>40749.0</v>
      </c>
      <c r="D1173" s="110" t="s">
        <v>10</v>
      </c>
      <c r="E1173" s="110" t="s">
        <v>126</v>
      </c>
      <c r="F1173" s="110">
        <v>8681.0</v>
      </c>
      <c r="G1173" s="38" t="s">
        <v>42</v>
      </c>
      <c r="H1173" s="110">
        <v>9453.0</v>
      </c>
      <c r="I1173" s="132">
        <v>651.21</v>
      </c>
      <c r="J1173" s="132">
        <v>524.96</v>
      </c>
      <c r="K1173" s="39">
        <f t="shared" si="1"/>
        <v>6155888.13</v>
      </c>
      <c r="L1173" s="39">
        <f t="shared" si="2"/>
        <v>4962446.88</v>
      </c>
      <c r="M1173" s="39">
        <f t="shared" si="3"/>
        <v>1193441.25</v>
      </c>
      <c r="N1173" s="38" t="str">
        <f>VLOOKUP(F1173,products!$A$2:$B$13,2,FALSE)</f>
        <v>Office Supplies</v>
      </c>
      <c r="O1173" s="133">
        <f t="shared" si="4"/>
        <v>0.806130127</v>
      </c>
      <c r="P1173" s="38" t="str">
        <f>VLOOKUP(E1173,countries!A$2:E$250,3,false)</f>
        <v>Italy</v>
      </c>
      <c r="Q1173" s="38" t="str">
        <f>VLOOKUP($E1173,countries!$A$2:$E$250,4,false)</f>
        <v>Europe</v>
      </c>
      <c r="R1173" s="38" t="str">
        <f>VLOOKUP($E1173,countries!$A$2:$E$250,5,false)</f>
        <v>Southern Europe</v>
      </c>
      <c r="S1173" s="38">
        <f t="shared" si="5"/>
        <v>17</v>
      </c>
      <c r="T1173" s="38" t="s">
        <v>153</v>
      </c>
      <c r="U1173" s="38">
        <v>2011.0</v>
      </c>
      <c r="V1173" s="38">
        <v>7.0</v>
      </c>
      <c r="W1173" s="38" t="s">
        <v>126</v>
      </c>
      <c r="X1173" s="38" t="s">
        <v>197</v>
      </c>
      <c r="Y1173" s="38" t="s">
        <v>146</v>
      </c>
      <c r="Z1173" s="38" t="s">
        <v>147</v>
      </c>
      <c r="AA1173" s="113" t="str">
        <f t="array" ref="AA1173">PROPER(G1173)</f>
        <v>Offline</v>
      </c>
    </row>
    <row r="1174">
      <c r="A1174" s="110">
        <v>8.86763894E8</v>
      </c>
      <c r="B1174" s="131">
        <v>41385.0</v>
      </c>
      <c r="C1174" s="131">
        <v>41421.0</v>
      </c>
      <c r="D1174" s="110" t="s">
        <v>89</v>
      </c>
      <c r="E1174" s="110" t="s">
        <v>104</v>
      </c>
      <c r="F1174" s="110">
        <v>5988.0</v>
      </c>
      <c r="G1174" s="38" t="s">
        <v>42</v>
      </c>
      <c r="H1174" s="110">
        <v>1997.0</v>
      </c>
      <c r="I1174" s="132">
        <v>154.06</v>
      </c>
      <c r="J1174" s="132">
        <v>90.93</v>
      </c>
      <c r="K1174" s="39">
        <f t="shared" si="1"/>
        <v>307657.82</v>
      </c>
      <c r="L1174" s="39">
        <f t="shared" si="2"/>
        <v>181587.21</v>
      </c>
      <c r="M1174" s="39">
        <f t="shared" si="3"/>
        <v>126070.61</v>
      </c>
      <c r="N1174" s="38" t="str">
        <f>VLOOKUP(F1174,products!$A$2:$B$13,2,FALSE)</f>
        <v>Vegetables</v>
      </c>
      <c r="O1174" s="133">
        <f t="shared" si="4"/>
        <v>0.5902245878</v>
      </c>
      <c r="P1174" s="38" t="str">
        <f>VLOOKUP(E1174,countries!A$2:E$250,3,false)</f>
        <v>Slovenia</v>
      </c>
      <c r="Q1174" s="38" t="str">
        <f>VLOOKUP($E1174,countries!$A$2:$E$250,4,false)</f>
        <v>Europe</v>
      </c>
      <c r="R1174" s="38" t="str">
        <f>VLOOKUP($E1174,countries!$A$2:$E$250,5,false)</f>
        <v>Southern Europe</v>
      </c>
      <c r="S1174" s="38">
        <f t="shared" si="5"/>
        <v>36</v>
      </c>
      <c r="T1174" s="38" t="s">
        <v>159</v>
      </c>
      <c r="U1174" s="38">
        <v>2013.0</v>
      </c>
      <c r="V1174" s="38">
        <v>4.0</v>
      </c>
      <c r="W1174" s="38" t="s">
        <v>104</v>
      </c>
      <c r="X1174" s="38" t="s">
        <v>171</v>
      </c>
      <c r="Y1174" s="38" t="s">
        <v>146</v>
      </c>
      <c r="Z1174" s="38" t="s">
        <v>147</v>
      </c>
      <c r="AA1174" s="113" t="str">
        <f t="array" ref="AA1174">PROPER(G1174)</f>
        <v>Offline</v>
      </c>
    </row>
    <row r="1175">
      <c r="A1175" s="110">
        <v>8.8750118E8</v>
      </c>
      <c r="B1175" s="131">
        <v>42860.0</v>
      </c>
      <c r="C1175" s="131">
        <v>42906.0</v>
      </c>
      <c r="D1175" s="110" t="s">
        <v>10</v>
      </c>
      <c r="E1175" s="110" t="s">
        <v>103</v>
      </c>
      <c r="F1175" s="110">
        <v>8293.0</v>
      </c>
      <c r="G1175" s="38" t="s">
        <v>43</v>
      </c>
      <c r="H1175" s="110">
        <v>176.0</v>
      </c>
      <c r="I1175" s="132">
        <v>437.2</v>
      </c>
      <c r="J1175" s="132">
        <v>263.33</v>
      </c>
      <c r="K1175" s="39">
        <f t="shared" si="1"/>
        <v>76947.2</v>
      </c>
      <c r="L1175" s="39">
        <f t="shared" si="2"/>
        <v>46346.08</v>
      </c>
      <c r="M1175" s="39">
        <f t="shared" si="3"/>
        <v>30601.12</v>
      </c>
      <c r="N1175" s="38" t="str">
        <f>VLOOKUP(F1175,products!$A$2:$B$13,2,FALSE)</f>
        <v>Cosmetics</v>
      </c>
      <c r="O1175" s="133">
        <f t="shared" si="4"/>
        <v>0.6023101555</v>
      </c>
      <c r="P1175" s="38" t="str">
        <f>VLOOKUP(E1175,countries!A$2:E$250,3,false)</f>
        <v>United Kingdom</v>
      </c>
      <c r="Q1175" s="38" t="str">
        <f>VLOOKUP($E1175,countries!$A$2:$E$250,4,false)</f>
        <v>Europe</v>
      </c>
      <c r="R1175" s="38" t="str">
        <f>VLOOKUP($E1175,countries!$A$2:$E$250,5,false)</f>
        <v>Northern Europe</v>
      </c>
      <c r="S1175" s="38">
        <f t="shared" si="5"/>
        <v>46</v>
      </c>
      <c r="T1175" s="38" t="s">
        <v>178</v>
      </c>
      <c r="U1175" s="38">
        <v>2017.0</v>
      </c>
      <c r="V1175" s="38">
        <v>5.0</v>
      </c>
      <c r="W1175" s="38" t="s">
        <v>103</v>
      </c>
      <c r="X1175" s="38" t="s">
        <v>169</v>
      </c>
      <c r="Y1175" s="38" t="s">
        <v>146</v>
      </c>
      <c r="Z1175" s="38" t="s">
        <v>170</v>
      </c>
      <c r="AA1175" s="113" t="str">
        <f t="array" ref="AA1175">PROPER(G1175)</f>
        <v>Online</v>
      </c>
    </row>
    <row r="1176">
      <c r="A1176" s="110">
        <v>8.89093768E8</v>
      </c>
      <c r="B1176" s="131">
        <v>40278.0</v>
      </c>
      <c r="C1176" s="131">
        <v>40318.0</v>
      </c>
      <c r="D1176" s="110" t="s">
        <v>89</v>
      </c>
      <c r="E1176" s="110" t="s">
        <v>130</v>
      </c>
      <c r="F1176" s="110">
        <v>2103.0</v>
      </c>
      <c r="G1176" s="38" t="s">
        <v>42</v>
      </c>
      <c r="H1176" s="110">
        <v>1458.0</v>
      </c>
      <c r="I1176" s="132">
        <v>205.7</v>
      </c>
      <c r="J1176" s="132">
        <v>117.11</v>
      </c>
      <c r="K1176" s="39">
        <f t="shared" si="1"/>
        <v>299910.6</v>
      </c>
      <c r="L1176" s="39">
        <f t="shared" si="2"/>
        <v>170746.38</v>
      </c>
      <c r="M1176" s="39">
        <f t="shared" si="3"/>
        <v>129164.22</v>
      </c>
      <c r="N1176" s="38" t="str">
        <f>VLOOKUP(F1176,products!$A$2:$B$13,2,FALSE)</f>
        <v>Cereal</v>
      </c>
      <c r="O1176" s="133">
        <f t="shared" si="4"/>
        <v>0.5693242586</v>
      </c>
      <c r="P1176" s="38" t="str">
        <f>VLOOKUP(E1176,countries!A$2:E$250,3,false)</f>
        <v>Finland</v>
      </c>
      <c r="Q1176" s="38" t="str">
        <f>VLOOKUP($E1176,countries!$A$2:$E$250,4,false)</f>
        <v>Europe</v>
      </c>
      <c r="R1176" s="38" t="str">
        <f>VLOOKUP($E1176,countries!$A$2:$E$250,5,false)</f>
        <v>Northern Europe</v>
      </c>
      <c r="S1176" s="38">
        <f t="shared" si="5"/>
        <v>40</v>
      </c>
      <c r="T1176" s="38" t="s">
        <v>144</v>
      </c>
      <c r="U1176" s="38">
        <v>2010.0</v>
      </c>
      <c r="V1176" s="38">
        <v>4.0</v>
      </c>
      <c r="W1176" s="38" t="s">
        <v>130</v>
      </c>
      <c r="X1176" s="38" t="s">
        <v>201</v>
      </c>
      <c r="Y1176" s="38" t="s">
        <v>146</v>
      </c>
      <c r="Z1176" s="38" t="s">
        <v>170</v>
      </c>
      <c r="AA1176" s="113" t="str">
        <f t="array" ref="AA1176">PROPER(G1176)</f>
        <v>Offline</v>
      </c>
    </row>
    <row r="1177">
      <c r="A1177" s="110">
        <v>8.89125955E8</v>
      </c>
      <c r="B1177" s="131">
        <v>41786.0</v>
      </c>
      <c r="C1177" s="131">
        <v>41805.0</v>
      </c>
      <c r="D1177" s="110" t="s">
        <v>95</v>
      </c>
      <c r="E1177" s="110" t="s">
        <v>128</v>
      </c>
      <c r="F1177" s="110">
        <v>4594.0</v>
      </c>
      <c r="G1177" s="38" t="s">
        <v>42</v>
      </c>
      <c r="H1177" s="110">
        <v>983.0</v>
      </c>
      <c r="I1177" s="132">
        <v>9.33</v>
      </c>
      <c r="J1177" s="132">
        <v>6.92</v>
      </c>
      <c r="K1177" s="39">
        <f t="shared" si="1"/>
        <v>9171.39</v>
      </c>
      <c r="L1177" s="39">
        <f t="shared" si="2"/>
        <v>6802.36</v>
      </c>
      <c r="M1177" s="39">
        <f t="shared" si="3"/>
        <v>2369.03</v>
      </c>
      <c r="N1177" s="38" t="str">
        <f>VLOOKUP(F1177,products!$A$2:$B$13,2,FALSE)</f>
        <v>Fruits</v>
      </c>
      <c r="O1177" s="133">
        <f t="shared" si="4"/>
        <v>0.741693462</v>
      </c>
      <c r="P1177" s="38" t="str">
        <f>VLOOKUP(E1177,countries!A$2:E$250,3,false)</f>
        <v>Andorra</v>
      </c>
      <c r="Q1177" s="38" t="str">
        <f>VLOOKUP($E1177,countries!$A$2:$E$250,4,false)</f>
        <v>Europe</v>
      </c>
      <c r="R1177" s="38" t="str">
        <f>VLOOKUP($E1177,countries!$A$2:$E$250,5,false)</f>
        <v>Southern Europe</v>
      </c>
      <c r="S1177" s="38">
        <f t="shared" si="5"/>
        <v>19</v>
      </c>
      <c r="T1177" s="38" t="s">
        <v>156</v>
      </c>
      <c r="U1177" s="38">
        <v>2014.0</v>
      </c>
      <c r="V1177" s="38">
        <v>5.0</v>
      </c>
      <c r="W1177" s="38" t="s">
        <v>128</v>
      </c>
      <c r="X1177" s="38" t="s">
        <v>199</v>
      </c>
      <c r="Y1177" s="38" t="s">
        <v>146</v>
      </c>
      <c r="Z1177" s="38" t="s">
        <v>147</v>
      </c>
      <c r="AA1177" s="113" t="str">
        <f t="array" ref="AA1177">PROPER(G1177)</f>
        <v>Offline</v>
      </c>
    </row>
    <row r="1178">
      <c r="A1178" s="110">
        <v>8.91681563E8</v>
      </c>
      <c r="B1178" s="131">
        <v>40969.0</v>
      </c>
      <c r="C1178" s="131">
        <v>40995.0</v>
      </c>
      <c r="D1178" s="110" t="s">
        <v>89</v>
      </c>
      <c r="E1178" s="110" t="s">
        <v>133</v>
      </c>
      <c r="F1178" s="110">
        <v>7940.0</v>
      </c>
      <c r="G1178" s="38" t="s">
        <v>42</v>
      </c>
      <c r="H1178" s="110">
        <v>7245.0</v>
      </c>
      <c r="I1178" s="132">
        <v>668.27</v>
      </c>
      <c r="J1178" s="132">
        <v>502.54</v>
      </c>
      <c r="K1178" s="39">
        <f t="shared" si="1"/>
        <v>4841616.15</v>
      </c>
      <c r="L1178" s="39">
        <f t="shared" si="2"/>
        <v>3640902.3</v>
      </c>
      <c r="M1178" s="39">
        <f t="shared" si="3"/>
        <v>1200713.85</v>
      </c>
      <c r="N1178" s="38" t="str">
        <f>VLOOKUP(F1178,products!$A$2:$B$13,2,FALSE)</f>
        <v>Household</v>
      </c>
      <c r="O1178" s="133">
        <f t="shared" si="4"/>
        <v>0.7520014365</v>
      </c>
      <c r="P1178" s="38" t="str">
        <f>VLOOKUP(E1178,countries!A$2:E$250,3,false)</f>
        <v>Bosnia and Herzegovina</v>
      </c>
      <c r="Q1178" s="38" t="str">
        <f>VLOOKUP($E1178,countries!$A$2:$E$250,4,false)</f>
        <v>Europe</v>
      </c>
      <c r="R1178" s="38" t="str">
        <f>VLOOKUP($E1178,countries!$A$2:$E$250,5,false)</f>
        <v>Southern Europe</v>
      </c>
      <c r="S1178" s="38">
        <f t="shared" si="5"/>
        <v>26</v>
      </c>
      <c r="T1178" s="38" t="s">
        <v>148</v>
      </c>
      <c r="U1178" s="38">
        <v>2012.0</v>
      </c>
      <c r="V1178" s="38">
        <v>3.0</v>
      </c>
      <c r="W1178" s="38" t="s">
        <v>133</v>
      </c>
      <c r="X1178" s="38" t="s">
        <v>204</v>
      </c>
      <c r="Y1178" s="38" t="s">
        <v>146</v>
      </c>
      <c r="Z1178" s="38" t="s">
        <v>147</v>
      </c>
      <c r="AA1178" s="113" t="str">
        <f t="array" ref="AA1178">PROPER(G1178)</f>
        <v>Offline</v>
      </c>
    </row>
    <row r="1179">
      <c r="A1179" s="110">
        <v>8.91808593E8</v>
      </c>
      <c r="B1179" s="131">
        <v>41059.0</v>
      </c>
      <c r="C1179" s="131">
        <v>41071.0</v>
      </c>
      <c r="D1179" s="110" t="s">
        <v>95</v>
      </c>
      <c r="E1179" s="110" t="s">
        <v>96</v>
      </c>
      <c r="F1179" s="110">
        <v>7331.0</v>
      </c>
      <c r="G1179" s="38" t="s">
        <v>42</v>
      </c>
      <c r="H1179" s="110">
        <v>4835.0</v>
      </c>
      <c r="I1179" s="132">
        <v>255.28</v>
      </c>
      <c r="J1179" s="132">
        <v>159.42</v>
      </c>
      <c r="K1179" s="39">
        <f t="shared" si="1"/>
        <v>1234278.8</v>
      </c>
      <c r="L1179" s="39">
        <f t="shared" si="2"/>
        <v>770795.7</v>
      </c>
      <c r="M1179" s="39">
        <f t="shared" si="3"/>
        <v>463483.1</v>
      </c>
      <c r="N1179" s="38" t="str">
        <f>VLOOKUP(F1179,products!$A$2:$B$13,2,FALSE)</f>
        <v>Baby Food</v>
      </c>
      <c r="O1179" s="133">
        <f t="shared" si="4"/>
        <v>0.6244907552</v>
      </c>
      <c r="P1179" s="38" t="str">
        <f>VLOOKUP(E1179,countries!A$2:E$250,3,false)</f>
        <v>Slovakia</v>
      </c>
      <c r="Q1179" s="38" t="str">
        <f>VLOOKUP($E1179,countries!$A$2:$E$250,4,false)</f>
        <v>Europe</v>
      </c>
      <c r="R1179" s="38" t="str">
        <f>VLOOKUP($E1179,countries!$A$2:$E$250,5,false)</f>
        <v>Eastern Europe</v>
      </c>
      <c r="S1179" s="38">
        <f t="shared" si="5"/>
        <v>12</v>
      </c>
      <c r="T1179" s="38" t="s">
        <v>161</v>
      </c>
      <c r="U1179" s="38">
        <v>2012.0</v>
      </c>
      <c r="V1179" s="38">
        <v>5.0</v>
      </c>
      <c r="W1179" s="38" t="s">
        <v>96</v>
      </c>
      <c r="X1179" s="38" t="s">
        <v>154</v>
      </c>
      <c r="Y1179" s="38" t="s">
        <v>146</v>
      </c>
      <c r="Z1179" s="38" t="s">
        <v>155</v>
      </c>
      <c r="AA1179" s="113" t="str">
        <f t="array" ref="AA1179">PROPER(G1179)</f>
        <v>Offline</v>
      </c>
    </row>
    <row r="1180">
      <c r="A1180" s="110">
        <v>8.92042911E8</v>
      </c>
      <c r="B1180" s="131">
        <v>40646.0</v>
      </c>
      <c r="C1180" s="131">
        <v>40675.0</v>
      </c>
      <c r="D1180" s="110" t="s">
        <v>95</v>
      </c>
      <c r="E1180" s="110" t="s">
        <v>106</v>
      </c>
      <c r="F1180" s="110">
        <v>8293.0</v>
      </c>
      <c r="G1180" s="38" t="s">
        <v>42</v>
      </c>
      <c r="H1180" s="110">
        <v>4175.0</v>
      </c>
      <c r="I1180" s="132">
        <v>437.2</v>
      </c>
      <c r="J1180" s="132">
        <v>263.33</v>
      </c>
      <c r="K1180" s="39">
        <f t="shared" si="1"/>
        <v>1825310</v>
      </c>
      <c r="L1180" s="39">
        <f t="shared" si="2"/>
        <v>1099402.75</v>
      </c>
      <c r="M1180" s="39">
        <f t="shared" si="3"/>
        <v>725907.25</v>
      </c>
      <c r="N1180" s="38" t="str">
        <f>VLOOKUP(F1180,products!$A$2:$B$13,2,FALSE)</f>
        <v>Cosmetics</v>
      </c>
      <c r="O1180" s="133">
        <f t="shared" si="4"/>
        <v>0.6023101555</v>
      </c>
      <c r="P1180" s="38" t="str">
        <f>VLOOKUP(E1180,countries!A$2:E$250,3,false)</f>
        <v>Poland</v>
      </c>
      <c r="Q1180" s="38" t="str">
        <f>VLOOKUP($E1180,countries!$A$2:$E$250,4,false)</f>
        <v>Europe</v>
      </c>
      <c r="R1180" s="38" t="str">
        <f>VLOOKUP($E1180,countries!$A$2:$E$250,5,false)</f>
        <v>Eastern Europe</v>
      </c>
      <c r="S1180" s="38">
        <f t="shared" si="5"/>
        <v>29</v>
      </c>
      <c r="T1180" s="38" t="s">
        <v>178</v>
      </c>
      <c r="U1180" s="38">
        <v>2011.0</v>
      </c>
      <c r="V1180" s="38">
        <v>4.0</v>
      </c>
      <c r="W1180" s="38" t="s">
        <v>106</v>
      </c>
      <c r="X1180" s="38" t="s">
        <v>173</v>
      </c>
      <c r="Y1180" s="38" t="s">
        <v>146</v>
      </c>
      <c r="Z1180" s="38" t="s">
        <v>155</v>
      </c>
      <c r="AA1180" s="113" t="str">
        <f t="array" ref="AA1180">PROPER(G1180)</f>
        <v>Offline</v>
      </c>
    </row>
    <row r="1181">
      <c r="A1181" s="110">
        <v>8.94589078E8</v>
      </c>
      <c r="B1181" s="131">
        <v>41709.0</v>
      </c>
      <c r="C1181" s="131">
        <v>41739.0</v>
      </c>
      <c r="D1181" s="110" t="s">
        <v>89</v>
      </c>
      <c r="E1181" s="110" t="s">
        <v>112</v>
      </c>
      <c r="F1181" s="110">
        <v>5988.0</v>
      </c>
      <c r="G1181" s="38" t="s">
        <v>43</v>
      </c>
      <c r="H1181" s="110">
        <v>7643.0</v>
      </c>
      <c r="I1181" s="132">
        <v>154.06</v>
      </c>
      <c r="J1181" s="132">
        <v>90.93</v>
      </c>
      <c r="K1181" s="39">
        <f t="shared" si="1"/>
        <v>1177480.58</v>
      </c>
      <c r="L1181" s="39">
        <f t="shared" si="2"/>
        <v>694977.99</v>
      </c>
      <c r="M1181" s="39">
        <f t="shared" si="3"/>
        <v>482502.59</v>
      </c>
      <c r="N1181" s="38" t="str">
        <f>VLOOKUP(F1181,products!$A$2:$B$13,2,FALSE)</f>
        <v>Vegetables</v>
      </c>
      <c r="O1181" s="133">
        <f t="shared" si="4"/>
        <v>0.5902245878</v>
      </c>
      <c r="P1181" s="38" t="str">
        <f>VLOOKUP(E1181,countries!A$2:E$250,3,false)</f>
        <v>Malta</v>
      </c>
      <c r="Q1181" s="38" t="str">
        <f>VLOOKUP($E1181,countries!$A$2:$E$250,4,false)</f>
        <v>Europe</v>
      </c>
      <c r="R1181" s="38" t="str">
        <f>VLOOKUP($E1181,countries!$A$2:$E$250,5,false)</f>
        <v>Southern Europe</v>
      </c>
      <c r="S1181" s="38">
        <f t="shared" si="5"/>
        <v>30</v>
      </c>
      <c r="T1181" s="38" t="s">
        <v>159</v>
      </c>
      <c r="U1181" s="38">
        <v>2014.0</v>
      </c>
      <c r="V1181" s="38">
        <v>3.0</v>
      </c>
      <c r="W1181" s="38" t="s">
        <v>112</v>
      </c>
      <c r="X1181" s="38" t="s">
        <v>180</v>
      </c>
      <c r="Y1181" s="38" t="s">
        <v>146</v>
      </c>
      <c r="Z1181" s="38" t="s">
        <v>147</v>
      </c>
      <c r="AA1181" s="113" t="str">
        <f t="array" ref="AA1181">PROPER(G1181)</f>
        <v>Online</v>
      </c>
    </row>
    <row r="1182">
      <c r="A1182" s="110">
        <v>8.97317206E8</v>
      </c>
      <c r="B1182" s="131">
        <v>42229.0</v>
      </c>
      <c r="C1182" s="131">
        <v>42248.0</v>
      </c>
      <c r="D1182" s="110" t="s">
        <v>95</v>
      </c>
      <c r="E1182" s="110" t="s">
        <v>126</v>
      </c>
      <c r="F1182" s="110">
        <v>1270.0</v>
      </c>
      <c r="G1182" s="38" t="s">
        <v>43</v>
      </c>
      <c r="H1182" s="110">
        <v>4957.0</v>
      </c>
      <c r="I1182" s="132">
        <v>47.45</v>
      </c>
      <c r="J1182" s="132">
        <v>31.79</v>
      </c>
      <c r="K1182" s="39">
        <f t="shared" si="1"/>
        <v>235209.65</v>
      </c>
      <c r="L1182" s="39">
        <f t="shared" si="2"/>
        <v>157583.03</v>
      </c>
      <c r="M1182" s="39">
        <f t="shared" si="3"/>
        <v>77626.62</v>
      </c>
      <c r="N1182" s="38" t="str">
        <f>VLOOKUP(F1182,products!$A$2:$B$13,2,FALSE)</f>
        <v>Beverages</v>
      </c>
      <c r="O1182" s="133">
        <f t="shared" si="4"/>
        <v>0.6699683878</v>
      </c>
      <c r="P1182" s="38" t="str">
        <f>VLOOKUP(E1182,countries!A$2:E$250,3,false)</f>
        <v>Italy</v>
      </c>
      <c r="Q1182" s="38" t="str">
        <f>VLOOKUP($E1182,countries!$A$2:$E$250,4,false)</f>
        <v>Europe</v>
      </c>
      <c r="R1182" s="38" t="str">
        <f>VLOOKUP($E1182,countries!$A$2:$E$250,5,false)</f>
        <v>Southern Europe</v>
      </c>
      <c r="S1182" s="38">
        <f t="shared" si="5"/>
        <v>19</v>
      </c>
      <c r="T1182" s="38" t="s">
        <v>152</v>
      </c>
      <c r="U1182" s="38">
        <v>2015.0</v>
      </c>
      <c r="V1182" s="38">
        <v>8.0</v>
      </c>
      <c r="W1182" s="38" t="s">
        <v>126</v>
      </c>
      <c r="X1182" s="38" t="s">
        <v>197</v>
      </c>
      <c r="Y1182" s="38" t="s">
        <v>146</v>
      </c>
      <c r="Z1182" s="38" t="s">
        <v>147</v>
      </c>
      <c r="AA1182" s="113" t="str">
        <f t="array" ref="AA1182">PROPER(G1182)</f>
        <v>Online</v>
      </c>
    </row>
    <row r="1183">
      <c r="A1183" s="110">
        <v>8.97638213E8</v>
      </c>
      <c r="B1183" s="131">
        <v>41896.0</v>
      </c>
      <c r="C1183" s="131">
        <v>41920.0</v>
      </c>
      <c r="D1183" s="110" t="s">
        <v>89</v>
      </c>
      <c r="E1183" s="110" t="s">
        <v>115</v>
      </c>
      <c r="F1183" s="110">
        <v>2103.0</v>
      </c>
      <c r="G1183" s="38" t="s">
        <v>42</v>
      </c>
      <c r="H1183" s="110">
        <v>9950.0</v>
      </c>
      <c r="I1183" s="132">
        <v>205.7</v>
      </c>
      <c r="J1183" s="132">
        <v>117.11</v>
      </c>
      <c r="K1183" s="39">
        <f t="shared" si="1"/>
        <v>2046715</v>
      </c>
      <c r="L1183" s="39">
        <f t="shared" si="2"/>
        <v>1165244.5</v>
      </c>
      <c r="M1183" s="39">
        <f t="shared" si="3"/>
        <v>881470.5</v>
      </c>
      <c r="N1183" s="38" t="str">
        <f>VLOOKUP(F1183,products!$A$2:$B$13,2,FALSE)</f>
        <v>Cereal</v>
      </c>
      <c r="O1183" s="133">
        <f t="shared" si="4"/>
        <v>0.5693242586</v>
      </c>
      <c r="P1183" s="38" t="str">
        <f>VLOOKUP(E1183,countries!A$2:E$250,3,false)</f>
        <v>Portugal</v>
      </c>
      <c r="Q1183" s="38" t="str">
        <f>VLOOKUP($E1183,countries!$A$2:$E$250,4,false)</f>
        <v>Europe</v>
      </c>
      <c r="R1183" s="38" t="str">
        <f>VLOOKUP($E1183,countries!$A$2:$E$250,5,false)</f>
        <v>Southern Europe</v>
      </c>
      <c r="S1183" s="38">
        <f t="shared" si="5"/>
        <v>24</v>
      </c>
      <c r="T1183" s="38" t="s">
        <v>144</v>
      </c>
      <c r="U1183" s="38">
        <v>2014.0</v>
      </c>
      <c r="V1183" s="38">
        <v>9.0</v>
      </c>
      <c r="W1183" s="38" t="s">
        <v>115</v>
      </c>
      <c r="X1183" s="38" t="s">
        <v>186</v>
      </c>
      <c r="Y1183" s="38" t="s">
        <v>146</v>
      </c>
      <c r="Z1183" s="38" t="s">
        <v>147</v>
      </c>
      <c r="AA1183" s="113" t="str">
        <f t="array" ref="AA1183">PROPER(G1183)</f>
        <v>Offline</v>
      </c>
    </row>
    <row r="1184">
      <c r="A1184" s="110">
        <v>8.97785842E8</v>
      </c>
      <c r="B1184" s="131">
        <v>41402.0</v>
      </c>
      <c r="C1184" s="131">
        <v>41406.0</v>
      </c>
      <c r="D1184" s="110" t="s">
        <v>93</v>
      </c>
      <c r="E1184" s="110" t="s">
        <v>108</v>
      </c>
      <c r="F1184" s="110">
        <v>8681.0</v>
      </c>
      <c r="G1184" s="38" t="s">
        <v>42</v>
      </c>
      <c r="H1184" s="110">
        <v>3636.0</v>
      </c>
      <c r="I1184" s="132">
        <v>651.21</v>
      </c>
      <c r="J1184" s="132">
        <v>524.96</v>
      </c>
      <c r="K1184" s="39">
        <f t="shared" si="1"/>
        <v>2367799.56</v>
      </c>
      <c r="L1184" s="39">
        <f t="shared" si="2"/>
        <v>1908754.56</v>
      </c>
      <c r="M1184" s="39">
        <f t="shared" si="3"/>
        <v>459045</v>
      </c>
      <c r="N1184" s="38" t="str">
        <f>VLOOKUP(F1184,products!$A$2:$B$13,2,FALSE)</f>
        <v>Office Supplies</v>
      </c>
      <c r="O1184" s="133">
        <f t="shared" si="4"/>
        <v>0.806130127</v>
      </c>
      <c r="P1184" s="38" t="str">
        <f>VLOOKUP(E1184,countries!A$2:E$250,3,false)</f>
        <v>Cyprus</v>
      </c>
      <c r="Q1184" s="38" t="str">
        <f>VLOOKUP($E1184,countries!$A$2:$E$250,4,false)</f>
        <v>Asia</v>
      </c>
      <c r="R1184" s="38" t="str">
        <f>VLOOKUP($E1184,countries!$A$2:$E$250,5,false)</f>
        <v>Western Asia</v>
      </c>
      <c r="S1184" s="38">
        <f t="shared" si="5"/>
        <v>4</v>
      </c>
      <c r="T1184" s="38" t="s">
        <v>153</v>
      </c>
      <c r="U1184" s="38">
        <v>2013.0</v>
      </c>
      <c r="V1184" s="38">
        <v>5.0</v>
      </c>
      <c r="W1184" s="38" t="s">
        <v>108</v>
      </c>
      <c r="X1184" s="38" t="s">
        <v>175</v>
      </c>
      <c r="Y1184" s="38" t="s">
        <v>165</v>
      </c>
      <c r="Z1184" s="38" t="s">
        <v>166</v>
      </c>
      <c r="AA1184" s="113" t="str">
        <f t="array" ref="AA1184">PROPER(G1184)</f>
        <v>Offline</v>
      </c>
    </row>
    <row r="1185">
      <c r="A1185" s="110">
        <v>8.98211562E8</v>
      </c>
      <c r="B1185" s="131">
        <v>41330.0</v>
      </c>
      <c r="C1185" s="131">
        <v>41345.0</v>
      </c>
      <c r="D1185" s="110" t="s">
        <v>93</v>
      </c>
      <c r="E1185" s="110" t="s">
        <v>117</v>
      </c>
      <c r="F1185" s="110">
        <v>4594.0</v>
      </c>
      <c r="G1185" s="38" t="s">
        <v>42</v>
      </c>
      <c r="H1185" s="110">
        <v>9616.0</v>
      </c>
      <c r="I1185" s="132">
        <v>9.33</v>
      </c>
      <c r="J1185" s="132">
        <v>6.92</v>
      </c>
      <c r="K1185" s="39">
        <f t="shared" si="1"/>
        <v>89717.28</v>
      </c>
      <c r="L1185" s="39">
        <f t="shared" si="2"/>
        <v>66542.72</v>
      </c>
      <c r="M1185" s="39">
        <f t="shared" si="3"/>
        <v>23174.56</v>
      </c>
      <c r="N1185" s="38" t="str">
        <f>VLOOKUP(F1185,products!$A$2:$B$13,2,FALSE)</f>
        <v>Fruits</v>
      </c>
      <c r="O1185" s="133">
        <f t="shared" si="4"/>
        <v>0.741693462</v>
      </c>
      <c r="P1185" s="38" t="str">
        <f>VLOOKUP(E1185,countries!A$2:E$250,3,false)</f>
        <v>Estonia</v>
      </c>
      <c r="Q1185" s="38" t="str">
        <f>VLOOKUP($E1185,countries!$A$2:$E$250,4,false)</f>
        <v>Europe</v>
      </c>
      <c r="R1185" s="38" t="str">
        <f>VLOOKUP($E1185,countries!$A$2:$E$250,5,false)</f>
        <v>Northern Europe</v>
      </c>
      <c r="S1185" s="38">
        <f t="shared" si="5"/>
        <v>15</v>
      </c>
      <c r="T1185" s="38" t="s">
        <v>156</v>
      </c>
      <c r="U1185" s="38">
        <v>2013.0</v>
      </c>
      <c r="V1185" s="38">
        <v>2.0</v>
      </c>
      <c r="W1185" s="38" t="s">
        <v>117</v>
      </c>
      <c r="X1185" s="38" t="s">
        <v>188</v>
      </c>
      <c r="Y1185" s="38" t="s">
        <v>146</v>
      </c>
      <c r="Z1185" s="38" t="s">
        <v>170</v>
      </c>
      <c r="AA1185" s="113" t="str">
        <f t="array" ref="AA1185">PROPER(G1185)</f>
        <v>Offline</v>
      </c>
    </row>
    <row r="1186">
      <c r="A1186" s="110">
        <v>8.99868094E8</v>
      </c>
      <c r="B1186" s="131">
        <v>40970.0</v>
      </c>
      <c r="C1186" s="131">
        <v>40994.0</v>
      </c>
      <c r="D1186" s="110" t="s">
        <v>10</v>
      </c>
      <c r="E1186" s="110" t="e">
        <v>#N/A</v>
      </c>
      <c r="F1186" s="110">
        <v>4594.0</v>
      </c>
      <c r="G1186" s="38" t="s">
        <v>43</v>
      </c>
      <c r="H1186" s="110">
        <v>9821.0</v>
      </c>
      <c r="I1186" s="132">
        <v>9.33</v>
      </c>
      <c r="J1186" s="132">
        <v>6.92</v>
      </c>
      <c r="K1186" s="39">
        <f t="shared" si="1"/>
        <v>91629.93</v>
      </c>
      <c r="L1186" s="39">
        <f t="shared" si="2"/>
        <v>67961.32</v>
      </c>
      <c r="M1186" s="39">
        <f t="shared" si="3"/>
        <v>23668.61</v>
      </c>
      <c r="N1186" s="38" t="str">
        <f>VLOOKUP(F1186,products!$A$2:$B$13,2,FALSE)</f>
        <v>Fruits</v>
      </c>
      <c r="O1186" s="133">
        <f t="shared" si="4"/>
        <v>0.741693462</v>
      </c>
      <c r="P1186" s="38" t="str">
        <f>VLOOKUP(E1186,countries!A$2:E$250,3,false)</f>
        <v>#N/A</v>
      </c>
      <c r="Q1186" s="38" t="str">
        <f>VLOOKUP($E1186,countries!$A$2:$E$250,4,false)</f>
        <v>#N/A</v>
      </c>
      <c r="R1186" s="38" t="str">
        <f>VLOOKUP($E1186,countries!$A$2:$E$250,5,false)</f>
        <v>#N/A</v>
      </c>
      <c r="S1186" s="38">
        <f t="shared" si="5"/>
        <v>24</v>
      </c>
      <c r="T1186" s="38" t="s">
        <v>156</v>
      </c>
      <c r="U1186" s="38">
        <v>2012.0</v>
      </c>
      <c r="V1186" s="38">
        <v>3.0</v>
      </c>
      <c r="W1186" s="38" t="s">
        <v>92</v>
      </c>
      <c r="X1186" s="38" t="s">
        <v>149</v>
      </c>
      <c r="Y1186" s="38" t="s">
        <v>149</v>
      </c>
      <c r="Z1186" s="38" t="s">
        <v>149</v>
      </c>
      <c r="AA1186" s="113" t="str">
        <f t="array" ref="AA1186">PROPER(G1186)</f>
        <v>Online</v>
      </c>
    </row>
    <row r="1187">
      <c r="A1187" s="110">
        <v>9.00808799E8</v>
      </c>
      <c r="B1187" s="131">
        <v>42906.0</v>
      </c>
      <c r="C1187" s="131">
        <v>42914.0</v>
      </c>
      <c r="D1187" s="110" t="s">
        <v>10</v>
      </c>
      <c r="E1187" s="110" t="s">
        <v>138</v>
      </c>
      <c r="F1187" s="110">
        <v>8293.0</v>
      </c>
      <c r="G1187" s="38" t="s">
        <v>43</v>
      </c>
      <c r="H1187" s="110">
        <v>8196.0</v>
      </c>
      <c r="I1187" s="132">
        <v>437.2</v>
      </c>
      <c r="J1187" s="132">
        <v>263.33</v>
      </c>
      <c r="K1187" s="39">
        <f t="shared" si="1"/>
        <v>3583291.2</v>
      </c>
      <c r="L1187" s="39">
        <f t="shared" si="2"/>
        <v>2158252.68</v>
      </c>
      <c r="M1187" s="39">
        <f t="shared" si="3"/>
        <v>1425038.52</v>
      </c>
      <c r="N1187" s="38" t="str">
        <f>VLOOKUP(F1187,products!$A$2:$B$13,2,FALSE)</f>
        <v>Cosmetics</v>
      </c>
      <c r="O1187" s="133">
        <f t="shared" si="4"/>
        <v>0.6023101555</v>
      </c>
      <c r="P1187" s="38" t="str">
        <f>VLOOKUP(E1187,countries!A$2:E$250,3,false)</f>
        <v>Greece</v>
      </c>
      <c r="Q1187" s="38" t="str">
        <f>VLOOKUP($E1187,countries!$A$2:$E$250,4,false)</f>
        <v>Europe</v>
      </c>
      <c r="R1187" s="38" t="str">
        <f>VLOOKUP($E1187,countries!$A$2:$E$250,5,false)</f>
        <v>Southern Europe</v>
      </c>
      <c r="S1187" s="38">
        <f t="shared" si="5"/>
        <v>8</v>
      </c>
      <c r="T1187" s="38" t="s">
        <v>178</v>
      </c>
      <c r="U1187" s="38">
        <v>2017.0</v>
      </c>
      <c r="V1187" s="38">
        <v>6.0</v>
      </c>
      <c r="W1187" s="38" t="s">
        <v>138</v>
      </c>
      <c r="X1187" s="38" t="s">
        <v>208</v>
      </c>
      <c r="Y1187" s="38" t="s">
        <v>146</v>
      </c>
      <c r="Z1187" s="38" t="s">
        <v>147</v>
      </c>
      <c r="AA1187" s="113" t="str">
        <f t="array" ref="AA1187">PROPER(G1187)</f>
        <v>Online</v>
      </c>
    </row>
    <row r="1188">
      <c r="A1188" s="110">
        <v>9.01670968E8</v>
      </c>
      <c r="B1188" s="131">
        <v>40498.0</v>
      </c>
      <c r="C1188" s="131">
        <v>40523.0</v>
      </c>
      <c r="D1188" s="110" t="s">
        <v>10</v>
      </c>
      <c r="E1188" s="110" t="s">
        <v>127</v>
      </c>
      <c r="F1188" s="110">
        <v>5988.0</v>
      </c>
      <c r="G1188" s="38" t="s">
        <v>42</v>
      </c>
      <c r="H1188" s="110">
        <v>3331.0</v>
      </c>
      <c r="I1188" s="132">
        <v>154.06</v>
      </c>
      <c r="J1188" s="132">
        <v>90.93</v>
      </c>
      <c r="K1188" s="39">
        <f t="shared" si="1"/>
        <v>513173.86</v>
      </c>
      <c r="L1188" s="39">
        <f t="shared" si="2"/>
        <v>302887.83</v>
      </c>
      <c r="M1188" s="39">
        <f t="shared" si="3"/>
        <v>210286.03</v>
      </c>
      <c r="N1188" s="38" t="str">
        <f>VLOOKUP(F1188,products!$A$2:$B$13,2,FALSE)</f>
        <v>Vegetables</v>
      </c>
      <c r="O1188" s="133">
        <f t="shared" si="4"/>
        <v>0.5902245878</v>
      </c>
      <c r="P1188" s="38" t="str">
        <f>VLOOKUP(E1188,countries!A$2:E$250,3,false)</f>
        <v>Ireland</v>
      </c>
      <c r="Q1188" s="38" t="str">
        <f>VLOOKUP($E1188,countries!$A$2:$E$250,4,false)</f>
        <v>Europe</v>
      </c>
      <c r="R1188" s="38" t="str">
        <f>VLOOKUP($E1188,countries!$A$2:$E$250,5,false)</f>
        <v>Northern Europe</v>
      </c>
      <c r="S1188" s="38">
        <f t="shared" si="5"/>
        <v>25</v>
      </c>
      <c r="T1188" s="38" t="s">
        <v>159</v>
      </c>
      <c r="U1188" s="38">
        <v>2010.0</v>
      </c>
      <c r="V1188" s="38">
        <v>11.0</v>
      </c>
      <c r="W1188" s="38" t="s">
        <v>127</v>
      </c>
      <c r="X1188" s="38" t="s">
        <v>198</v>
      </c>
      <c r="Y1188" s="38" t="s">
        <v>146</v>
      </c>
      <c r="Z1188" s="38" t="s">
        <v>170</v>
      </c>
      <c r="AA1188" s="113" t="str">
        <f t="array" ref="AA1188">PROPER(G1188)</f>
        <v>Offline</v>
      </c>
    </row>
    <row r="1189">
      <c r="A1189" s="110">
        <v>9.01789844E8</v>
      </c>
      <c r="B1189" s="131">
        <v>42087.0</v>
      </c>
      <c r="C1189" s="131">
        <v>42129.0</v>
      </c>
      <c r="D1189" s="110" t="s">
        <v>95</v>
      </c>
      <c r="E1189" s="110" t="s">
        <v>112</v>
      </c>
      <c r="F1189" s="110">
        <v>8875.0</v>
      </c>
      <c r="G1189" s="38" t="s">
        <v>43</v>
      </c>
      <c r="H1189" s="110">
        <v>8509.0</v>
      </c>
      <c r="I1189" s="132">
        <v>421.89</v>
      </c>
      <c r="J1189" s="132">
        <v>364.69</v>
      </c>
      <c r="K1189" s="39">
        <f t="shared" si="1"/>
        <v>3589862.01</v>
      </c>
      <c r="L1189" s="39">
        <f t="shared" si="2"/>
        <v>3103147.21</v>
      </c>
      <c r="M1189" s="39">
        <f t="shared" si="3"/>
        <v>486714.8</v>
      </c>
      <c r="N1189" s="38" t="str">
        <f>VLOOKUP(F1189,products!$A$2:$B$13,2,FALSE)</f>
        <v>Meat</v>
      </c>
      <c r="O1189" s="133">
        <f t="shared" si="4"/>
        <v>0.8644196354</v>
      </c>
      <c r="P1189" s="38" t="str">
        <f>VLOOKUP(E1189,countries!A$2:E$250,3,false)</f>
        <v>Malta</v>
      </c>
      <c r="Q1189" s="38" t="str">
        <f>VLOOKUP($E1189,countries!$A$2:$E$250,4,false)</f>
        <v>Europe</v>
      </c>
      <c r="R1189" s="38" t="str">
        <f>VLOOKUP($E1189,countries!$A$2:$E$250,5,false)</f>
        <v>Southern Europe</v>
      </c>
      <c r="S1189" s="38">
        <f t="shared" si="5"/>
        <v>42</v>
      </c>
      <c r="T1189" s="38" t="s">
        <v>167</v>
      </c>
      <c r="U1189" s="38">
        <v>2015.0</v>
      </c>
      <c r="V1189" s="38">
        <v>3.0</v>
      </c>
      <c r="W1189" s="38" t="s">
        <v>112</v>
      </c>
      <c r="X1189" s="38" t="s">
        <v>180</v>
      </c>
      <c r="Y1189" s="38" t="s">
        <v>146</v>
      </c>
      <c r="Z1189" s="38" t="s">
        <v>147</v>
      </c>
      <c r="AA1189" s="113" t="str">
        <f t="array" ref="AA1189">PROPER(G1189)</f>
        <v>Online</v>
      </c>
    </row>
    <row r="1190">
      <c r="A1190" s="110">
        <v>9.04589211E8</v>
      </c>
      <c r="B1190" s="131">
        <v>41742.0</v>
      </c>
      <c r="C1190" s="131">
        <v>41763.0</v>
      </c>
      <c r="D1190" s="110" t="s">
        <v>95</v>
      </c>
      <c r="E1190" s="110" t="s">
        <v>120</v>
      </c>
      <c r="F1190" s="110">
        <v>8681.0</v>
      </c>
      <c r="G1190" s="38" t="s">
        <v>43</v>
      </c>
      <c r="H1190" s="110">
        <v>6905.0</v>
      </c>
      <c r="I1190" s="132">
        <v>651.21</v>
      </c>
      <c r="J1190" s="132">
        <v>524.96</v>
      </c>
      <c r="K1190" s="39">
        <f t="shared" si="1"/>
        <v>4496605.05</v>
      </c>
      <c r="L1190" s="39">
        <f t="shared" si="2"/>
        <v>3624848.8</v>
      </c>
      <c r="M1190" s="39">
        <f t="shared" si="3"/>
        <v>871756.25</v>
      </c>
      <c r="N1190" s="38" t="str">
        <f>VLOOKUP(F1190,products!$A$2:$B$13,2,FALSE)</f>
        <v>Office Supplies</v>
      </c>
      <c r="O1190" s="133">
        <f t="shared" si="4"/>
        <v>0.806130127</v>
      </c>
      <c r="P1190" s="38" t="str">
        <f>VLOOKUP(E1190,countries!A$2:E$250,3,false)</f>
        <v>San Marino</v>
      </c>
      <c r="Q1190" s="38" t="str">
        <f>VLOOKUP($E1190,countries!$A$2:$E$250,4,false)</f>
        <v>Europe</v>
      </c>
      <c r="R1190" s="38" t="str">
        <f>VLOOKUP($E1190,countries!$A$2:$E$250,5,false)</f>
        <v>Southern Europe</v>
      </c>
      <c r="S1190" s="38">
        <f t="shared" si="5"/>
        <v>21</v>
      </c>
      <c r="T1190" s="38" t="s">
        <v>153</v>
      </c>
      <c r="U1190" s="38">
        <v>2014.0</v>
      </c>
      <c r="V1190" s="38">
        <v>4.0</v>
      </c>
      <c r="W1190" s="38" t="s">
        <v>120</v>
      </c>
      <c r="X1190" s="38" t="s">
        <v>191</v>
      </c>
      <c r="Y1190" s="38" t="s">
        <v>146</v>
      </c>
      <c r="Z1190" s="38" t="s">
        <v>147</v>
      </c>
      <c r="AA1190" s="113" t="str">
        <f t="array" ref="AA1190">PROPER(G1190)</f>
        <v>Online</v>
      </c>
    </row>
    <row r="1191">
      <c r="A1191" s="110">
        <v>9.048128E8</v>
      </c>
      <c r="B1191" s="131">
        <v>40825.0</v>
      </c>
      <c r="C1191" s="131">
        <v>40871.0</v>
      </c>
      <c r="D1191" s="110" t="s">
        <v>89</v>
      </c>
      <c r="E1191" s="110" t="s">
        <v>105</v>
      </c>
      <c r="F1191" s="110">
        <v>4594.0</v>
      </c>
      <c r="G1191" s="38" t="s">
        <v>42</v>
      </c>
      <c r="H1191" s="110">
        <v>3069.0</v>
      </c>
      <c r="I1191" s="132">
        <v>9.33</v>
      </c>
      <c r="J1191" s="132">
        <v>6.92</v>
      </c>
      <c r="K1191" s="39">
        <f t="shared" si="1"/>
        <v>28633.77</v>
      </c>
      <c r="L1191" s="39">
        <f t="shared" si="2"/>
        <v>21237.48</v>
      </c>
      <c r="M1191" s="39">
        <f t="shared" si="3"/>
        <v>7396.29</v>
      </c>
      <c r="N1191" s="38" t="str">
        <f>VLOOKUP(F1191,products!$A$2:$B$13,2,FALSE)</f>
        <v>Fruits</v>
      </c>
      <c r="O1191" s="133">
        <f t="shared" si="4"/>
        <v>0.741693462</v>
      </c>
      <c r="P1191" s="38" t="str">
        <f>VLOOKUP(E1191,countries!A$2:E$250,3,false)</f>
        <v>Romania</v>
      </c>
      <c r="Q1191" s="38" t="str">
        <f>VLOOKUP($E1191,countries!$A$2:$E$250,4,false)</f>
        <v>Europe</v>
      </c>
      <c r="R1191" s="38" t="str">
        <f>VLOOKUP($E1191,countries!$A$2:$E$250,5,false)</f>
        <v>Eastern Europe</v>
      </c>
      <c r="S1191" s="38">
        <f t="shared" si="5"/>
        <v>46</v>
      </c>
      <c r="T1191" s="38" t="s">
        <v>156</v>
      </c>
      <c r="U1191" s="38">
        <v>2011.0</v>
      </c>
      <c r="V1191" s="38">
        <v>10.0</v>
      </c>
      <c r="W1191" s="38" t="s">
        <v>105</v>
      </c>
      <c r="X1191" s="38" t="s">
        <v>172</v>
      </c>
      <c r="Y1191" s="38" t="s">
        <v>146</v>
      </c>
      <c r="Z1191" s="38" t="s">
        <v>155</v>
      </c>
      <c r="AA1191" s="113" t="str">
        <f t="array" ref="AA1191">PROPER(G1191)</f>
        <v>Offline</v>
      </c>
    </row>
    <row r="1192">
      <c r="A1192" s="110">
        <v>9.05036389E8</v>
      </c>
      <c r="B1192" s="131">
        <v>42675.0</v>
      </c>
      <c r="C1192" s="131">
        <v>42694.0</v>
      </c>
      <c r="D1192" s="110" t="s">
        <v>93</v>
      </c>
      <c r="E1192" s="110" t="s">
        <v>106</v>
      </c>
      <c r="F1192" s="110">
        <v>2103.0</v>
      </c>
      <c r="G1192" s="38" t="s">
        <v>43</v>
      </c>
      <c r="H1192" s="110">
        <v>9234.0</v>
      </c>
      <c r="I1192" s="132">
        <v>205.7</v>
      </c>
      <c r="J1192" s="132">
        <v>117.11</v>
      </c>
      <c r="K1192" s="39">
        <f t="shared" si="1"/>
        <v>1899433.8</v>
      </c>
      <c r="L1192" s="39">
        <f t="shared" si="2"/>
        <v>1081393.74</v>
      </c>
      <c r="M1192" s="39">
        <f t="shared" si="3"/>
        <v>818040.06</v>
      </c>
      <c r="N1192" s="38" t="str">
        <f>VLOOKUP(F1192,products!$A$2:$B$13,2,FALSE)</f>
        <v>Cereal</v>
      </c>
      <c r="O1192" s="133">
        <f t="shared" si="4"/>
        <v>0.5693242586</v>
      </c>
      <c r="P1192" s="38" t="str">
        <f>VLOOKUP(E1192,countries!A$2:E$250,3,false)</f>
        <v>Poland</v>
      </c>
      <c r="Q1192" s="38" t="str">
        <f>VLOOKUP($E1192,countries!$A$2:$E$250,4,false)</f>
        <v>Europe</v>
      </c>
      <c r="R1192" s="38" t="str">
        <f>VLOOKUP($E1192,countries!$A$2:$E$250,5,false)</f>
        <v>Eastern Europe</v>
      </c>
      <c r="S1192" s="38">
        <f t="shared" si="5"/>
        <v>19</v>
      </c>
      <c r="T1192" s="38" t="s">
        <v>144</v>
      </c>
      <c r="U1192" s="38">
        <v>2016.0</v>
      </c>
      <c r="V1192" s="38">
        <v>11.0</v>
      </c>
      <c r="W1192" s="38" t="s">
        <v>106</v>
      </c>
      <c r="X1192" s="38" t="s">
        <v>173</v>
      </c>
      <c r="Y1192" s="38" t="s">
        <v>146</v>
      </c>
      <c r="Z1192" s="38" t="s">
        <v>155</v>
      </c>
      <c r="AA1192" s="113" t="str">
        <f t="array" ref="AA1192">PROPER(G1192)</f>
        <v>Online</v>
      </c>
    </row>
    <row r="1193">
      <c r="A1193" s="110">
        <v>9.05509746E8</v>
      </c>
      <c r="B1193" s="131">
        <v>42290.0</v>
      </c>
      <c r="C1193" s="131">
        <v>42297.0</v>
      </c>
      <c r="D1193" s="110" t="s">
        <v>93</v>
      </c>
      <c r="E1193" s="110" t="s">
        <v>119</v>
      </c>
      <c r="F1193" s="110">
        <v>7940.0</v>
      </c>
      <c r="G1193" s="38" t="s">
        <v>42</v>
      </c>
      <c r="H1193" s="110">
        <v>9311.0</v>
      </c>
      <c r="I1193" s="132">
        <v>668.27</v>
      </c>
      <c r="J1193" s="132">
        <v>502.54</v>
      </c>
      <c r="K1193" s="39">
        <f t="shared" si="1"/>
        <v>6222261.97</v>
      </c>
      <c r="L1193" s="39">
        <f t="shared" si="2"/>
        <v>4679149.94</v>
      </c>
      <c r="M1193" s="39">
        <f t="shared" si="3"/>
        <v>1543112.03</v>
      </c>
      <c r="N1193" s="38" t="str">
        <f>VLOOKUP(F1193,products!$A$2:$B$13,2,FALSE)</f>
        <v>Household</v>
      </c>
      <c r="O1193" s="133">
        <f t="shared" si="4"/>
        <v>0.7520014365</v>
      </c>
      <c r="P1193" s="38" t="str">
        <f>VLOOKUP(E1193,countries!A$2:E$250,3,false)</f>
        <v>Macedonia</v>
      </c>
      <c r="Q1193" s="38" t="str">
        <f>VLOOKUP($E1193,countries!$A$2:$E$250,4,false)</f>
        <v>Europe</v>
      </c>
      <c r="R1193" s="38" t="str">
        <f>VLOOKUP($E1193,countries!$A$2:$E$250,5,false)</f>
        <v>Southern Europe</v>
      </c>
      <c r="S1193" s="38">
        <f t="shared" si="5"/>
        <v>7</v>
      </c>
      <c r="T1193" s="38" t="s">
        <v>148</v>
      </c>
      <c r="U1193" s="38">
        <v>2015.0</v>
      </c>
      <c r="V1193" s="38">
        <v>10.0</v>
      </c>
      <c r="W1193" s="38" t="s">
        <v>119</v>
      </c>
      <c r="X1193" s="38" t="s">
        <v>190</v>
      </c>
      <c r="Y1193" s="38" t="s">
        <v>146</v>
      </c>
      <c r="Z1193" s="38" t="s">
        <v>147</v>
      </c>
      <c r="AA1193" s="113" t="str">
        <f t="array" ref="AA1193">PROPER(G1193)</f>
        <v>Offline</v>
      </c>
    </row>
    <row r="1194">
      <c r="A1194" s="110">
        <v>9.05947482E8</v>
      </c>
      <c r="B1194" s="131">
        <v>42338.0</v>
      </c>
      <c r="C1194" s="131">
        <v>42387.0</v>
      </c>
      <c r="D1194" s="110" t="s">
        <v>10</v>
      </c>
      <c r="E1194" s="110" t="s">
        <v>135</v>
      </c>
      <c r="F1194" s="110">
        <v>2103.0</v>
      </c>
      <c r="G1194" s="38" t="s">
        <v>43</v>
      </c>
      <c r="H1194" s="110">
        <v>8847.0</v>
      </c>
      <c r="I1194" s="132">
        <v>205.7</v>
      </c>
      <c r="J1194" s="132">
        <v>117.11</v>
      </c>
      <c r="K1194" s="39">
        <f t="shared" si="1"/>
        <v>1819827.9</v>
      </c>
      <c r="L1194" s="39">
        <f t="shared" si="2"/>
        <v>1036072.17</v>
      </c>
      <c r="M1194" s="39">
        <f t="shared" si="3"/>
        <v>783755.73</v>
      </c>
      <c r="N1194" s="38" t="str">
        <f>VLOOKUP(F1194,products!$A$2:$B$13,2,FALSE)</f>
        <v>Cereal</v>
      </c>
      <c r="O1194" s="133">
        <f t="shared" si="4"/>
        <v>0.5693242586</v>
      </c>
      <c r="P1194" s="38" t="str">
        <f>VLOOKUP(E1194,countries!A$2:E$250,3,false)</f>
        <v>Denmark</v>
      </c>
      <c r="Q1194" s="38" t="str">
        <f>VLOOKUP($E1194,countries!$A$2:$E$250,4,false)</f>
        <v>Europe</v>
      </c>
      <c r="R1194" s="38" t="str">
        <f>VLOOKUP($E1194,countries!$A$2:$E$250,5,false)</f>
        <v>Northern Europe</v>
      </c>
      <c r="S1194" s="38">
        <f t="shared" si="5"/>
        <v>49</v>
      </c>
      <c r="T1194" s="38" t="s">
        <v>144</v>
      </c>
      <c r="U1194" s="38">
        <v>2015.0</v>
      </c>
      <c r="V1194" s="38">
        <v>11.0</v>
      </c>
      <c r="W1194" s="38" t="s">
        <v>135</v>
      </c>
      <c r="X1194" s="38" t="s">
        <v>205</v>
      </c>
      <c r="Y1194" s="38" t="s">
        <v>146</v>
      </c>
      <c r="Z1194" s="38" t="s">
        <v>170</v>
      </c>
      <c r="AA1194" s="113" t="str">
        <f t="array" ref="AA1194">PROPER(G1194)</f>
        <v>Online</v>
      </c>
    </row>
    <row r="1195">
      <c r="A1195" s="110">
        <v>9.06345736E8</v>
      </c>
      <c r="B1195" s="131">
        <v>41200.0</v>
      </c>
      <c r="C1195" s="131">
        <v>41234.0</v>
      </c>
      <c r="D1195" s="110" t="s">
        <v>10</v>
      </c>
      <c r="E1195" s="110" t="s">
        <v>121</v>
      </c>
      <c r="F1195" s="110">
        <v>1270.0</v>
      </c>
      <c r="G1195" s="38" t="s">
        <v>42</v>
      </c>
      <c r="H1195" s="110">
        <v>6699.0</v>
      </c>
      <c r="I1195" s="132">
        <v>47.45</v>
      </c>
      <c r="J1195" s="132">
        <v>31.79</v>
      </c>
      <c r="K1195" s="39">
        <f t="shared" si="1"/>
        <v>317867.55</v>
      </c>
      <c r="L1195" s="39">
        <f t="shared" si="2"/>
        <v>212961.21</v>
      </c>
      <c r="M1195" s="39">
        <f t="shared" si="3"/>
        <v>104906.34</v>
      </c>
      <c r="N1195" s="38" t="str">
        <f>VLOOKUP(F1195,products!$A$2:$B$13,2,FALSE)</f>
        <v>Beverages</v>
      </c>
      <c r="O1195" s="133">
        <f t="shared" si="4"/>
        <v>0.6699683878</v>
      </c>
      <c r="P1195" s="38" t="str">
        <f>VLOOKUP(E1195,countries!A$2:E$250,3,false)</f>
        <v>Netherlands</v>
      </c>
      <c r="Q1195" s="38" t="str">
        <f>VLOOKUP($E1195,countries!$A$2:$E$250,4,false)</f>
        <v>Europe</v>
      </c>
      <c r="R1195" s="38" t="str">
        <f>VLOOKUP($E1195,countries!$A$2:$E$250,5,false)</f>
        <v>Western Europe</v>
      </c>
      <c r="S1195" s="38">
        <f t="shared" si="5"/>
        <v>34</v>
      </c>
      <c r="T1195" s="38" t="s">
        <v>152</v>
      </c>
      <c r="U1195" s="38">
        <v>2012.0</v>
      </c>
      <c r="V1195" s="38">
        <v>10.0</v>
      </c>
      <c r="W1195" s="38" t="s">
        <v>121</v>
      </c>
      <c r="X1195" s="38" t="s">
        <v>192</v>
      </c>
      <c r="Y1195" s="38" t="s">
        <v>146</v>
      </c>
      <c r="Z1195" s="38" t="s">
        <v>158</v>
      </c>
      <c r="AA1195" s="113" t="str">
        <f t="array" ref="AA1195">PROPER(G1195)</f>
        <v>Offline</v>
      </c>
    </row>
    <row r="1196">
      <c r="A1196" s="110">
        <v>9.06508815E8</v>
      </c>
      <c r="B1196" s="131">
        <v>41652.0</v>
      </c>
      <c r="C1196" s="131">
        <v>41662.0</v>
      </c>
      <c r="D1196" s="110" t="s">
        <v>95</v>
      </c>
      <c r="E1196" s="110" t="s">
        <v>99</v>
      </c>
      <c r="F1196" s="110">
        <v>2455.0</v>
      </c>
      <c r="G1196" s="38" t="s">
        <v>43</v>
      </c>
      <c r="H1196" s="110">
        <v>4958.0</v>
      </c>
      <c r="I1196" s="132">
        <v>109.28</v>
      </c>
      <c r="J1196" s="132">
        <v>35.84</v>
      </c>
      <c r="K1196" s="39">
        <f t="shared" si="1"/>
        <v>541810.24</v>
      </c>
      <c r="L1196" s="39">
        <f t="shared" si="2"/>
        <v>177694.72</v>
      </c>
      <c r="M1196" s="39">
        <f t="shared" si="3"/>
        <v>364115.52</v>
      </c>
      <c r="N1196" s="38" t="str">
        <f>VLOOKUP(F1196,products!$A$2:$B$13,2,FALSE)</f>
        <v>Clothes</v>
      </c>
      <c r="O1196" s="133">
        <f t="shared" si="4"/>
        <v>0.3279648609</v>
      </c>
      <c r="P1196" s="38" t="str">
        <f>VLOOKUP(E1196,countries!A$2:E$250,3,false)</f>
        <v>Croatia</v>
      </c>
      <c r="Q1196" s="38" t="str">
        <f>VLOOKUP($E1196,countries!$A$2:$E$250,4,false)</f>
        <v>Europe</v>
      </c>
      <c r="R1196" s="38" t="str">
        <f>VLOOKUP($E1196,countries!$A$2:$E$250,5,false)</f>
        <v>Southern Europe</v>
      </c>
      <c r="S1196" s="38">
        <f t="shared" si="5"/>
        <v>10</v>
      </c>
      <c r="T1196" s="38" t="s">
        <v>150</v>
      </c>
      <c r="U1196" s="38">
        <v>2014.0</v>
      </c>
      <c r="V1196" s="38">
        <v>1.0</v>
      </c>
      <c r="W1196" s="38" t="s">
        <v>99</v>
      </c>
      <c r="X1196" s="38" t="s">
        <v>162</v>
      </c>
      <c r="Y1196" s="38" t="s">
        <v>146</v>
      </c>
      <c r="Z1196" s="38" t="s">
        <v>147</v>
      </c>
      <c r="AA1196" s="113" t="str">
        <f t="array" ref="AA1196">PROPER(G1196)</f>
        <v>Online</v>
      </c>
    </row>
    <row r="1197">
      <c r="A1197" s="110">
        <v>9.06794202E8</v>
      </c>
      <c r="B1197" s="131">
        <v>41751.0</v>
      </c>
      <c r="C1197" s="131">
        <v>41770.0</v>
      </c>
      <c r="D1197" s="110" t="s">
        <v>93</v>
      </c>
      <c r="E1197" s="110" t="s">
        <v>130</v>
      </c>
      <c r="F1197" s="110">
        <v>2455.0</v>
      </c>
      <c r="G1197" s="38" t="s">
        <v>43</v>
      </c>
      <c r="H1197" s="110">
        <v>9410.0</v>
      </c>
      <c r="I1197" s="132">
        <v>109.28</v>
      </c>
      <c r="J1197" s="132">
        <v>35.84</v>
      </c>
      <c r="K1197" s="39">
        <f t="shared" si="1"/>
        <v>1028324.8</v>
      </c>
      <c r="L1197" s="39">
        <f t="shared" si="2"/>
        <v>337254.4</v>
      </c>
      <c r="M1197" s="39">
        <f t="shared" si="3"/>
        <v>691070.4</v>
      </c>
      <c r="N1197" s="38" t="str">
        <f>VLOOKUP(F1197,products!$A$2:$B$13,2,FALSE)</f>
        <v>Clothes</v>
      </c>
      <c r="O1197" s="133">
        <f t="shared" si="4"/>
        <v>0.3279648609</v>
      </c>
      <c r="P1197" s="38" t="str">
        <f>VLOOKUP(E1197,countries!A$2:E$250,3,false)</f>
        <v>Finland</v>
      </c>
      <c r="Q1197" s="38" t="str">
        <f>VLOOKUP($E1197,countries!$A$2:$E$250,4,false)</f>
        <v>Europe</v>
      </c>
      <c r="R1197" s="38" t="str">
        <f>VLOOKUP($E1197,countries!$A$2:$E$250,5,false)</f>
        <v>Northern Europe</v>
      </c>
      <c r="S1197" s="38">
        <f t="shared" si="5"/>
        <v>19</v>
      </c>
      <c r="T1197" s="38" t="s">
        <v>150</v>
      </c>
      <c r="U1197" s="38">
        <v>2014.0</v>
      </c>
      <c r="V1197" s="38">
        <v>4.0</v>
      </c>
      <c r="W1197" s="38" t="s">
        <v>130</v>
      </c>
      <c r="X1197" s="38" t="s">
        <v>201</v>
      </c>
      <c r="Y1197" s="38" t="s">
        <v>146</v>
      </c>
      <c r="Z1197" s="38" t="s">
        <v>170</v>
      </c>
      <c r="AA1197" s="113" t="str">
        <f t="array" ref="AA1197">PROPER(G1197)</f>
        <v>Online</v>
      </c>
    </row>
    <row r="1198">
      <c r="A1198" s="110">
        <v>9.07047402E8</v>
      </c>
      <c r="B1198" s="131">
        <v>40342.0</v>
      </c>
      <c r="C1198" s="131">
        <v>40391.0</v>
      </c>
      <c r="D1198" s="110" t="s">
        <v>89</v>
      </c>
      <c r="E1198" s="110" t="e">
        <v>#N/A</v>
      </c>
      <c r="F1198" s="110">
        <v>8875.0</v>
      </c>
      <c r="G1198" s="38" t="s">
        <v>43</v>
      </c>
      <c r="H1198" s="110">
        <v>4338.0</v>
      </c>
      <c r="I1198" s="132">
        <v>421.89</v>
      </c>
      <c r="J1198" s="132">
        <v>364.69</v>
      </c>
      <c r="K1198" s="39">
        <f t="shared" si="1"/>
        <v>1830158.82</v>
      </c>
      <c r="L1198" s="39">
        <f t="shared" si="2"/>
        <v>1582025.22</v>
      </c>
      <c r="M1198" s="39">
        <f t="shared" si="3"/>
        <v>248133.6</v>
      </c>
      <c r="N1198" s="38" t="str">
        <f>VLOOKUP(F1198,products!$A$2:$B$13,2,FALSE)</f>
        <v>Meat</v>
      </c>
      <c r="O1198" s="133">
        <f t="shared" si="4"/>
        <v>0.8644196354</v>
      </c>
      <c r="P1198" s="38" t="str">
        <f>VLOOKUP(E1198,countries!A$2:E$250,3,false)</f>
        <v>#N/A</v>
      </c>
      <c r="Q1198" s="38" t="str">
        <f>VLOOKUP($E1198,countries!$A$2:$E$250,4,false)</f>
        <v>#N/A</v>
      </c>
      <c r="R1198" s="38" t="str">
        <f>VLOOKUP($E1198,countries!$A$2:$E$250,5,false)</f>
        <v>#N/A</v>
      </c>
      <c r="S1198" s="38">
        <f t="shared" si="5"/>
        <v>49</v>
      </c>
      <c r="T1198" s="38" t="s">
        <v>167</v>
      </c>
      <c r="U1198" s="38">
        <v>2010.0</v>
      </c>
      <c r="V1198" s="38">
        <v>6.0</v>
      </c>
      <c r="W1198" s="38" t="s">
        <v>92</v>
      </c>
      <c r="X1198" s="38" t="s">
        <v>149</v>
      </c>
      <c r="Y1198" s="38" t="s">
        <v>149</v>
      </c>
      <c r="Z1198" s="38" t="s">
        <v>149</v>
      </c>
      <c r="AA1198" s="113" t="str">
        <f t="array" ref="AA1198">PROPER(G1198)</f>
        <v>Online</v>
      </c>
    </row>
    <row r="1199">
      <c r="A1199" s="110">
        <v>9.07349526E8</v>
      </c>
      <c r="B1199" s="131">
        <v>41004.0</v>
      </c>
      <c r="C1199" s="131">
        <v>41045.0</v>
      </c>
      <c r="D1199" s="110" t="s">
        <v>10</v>
      </c>
      <c r="E1199" s="110" t="s">
        <v>137</v>
      </c>
      <c r="F1199" s="110">
        <v>8293.0</v>
      </c>
      <c r="G1199" s="38" t="s">
        <v>43</v>
      </c>
      <c r="H1199" s="110">
        <v>3743.0</v>
      </c>
      <c r="I1199" s="132">
        <v>437.2</v>
      </c>
      <c r="J1199" s="132">
        <v>263.33</v>
      </c>
      <c r="K1199" s="39">
        <f t="shared" si="1"/>
        <v>1636439.6</v>
      </c>
      <c r="L1199" s="39">
        <f t="shared" si="2"/>
        <v>985644.19</v>
      </c>
      <c r="M1199" s="39">
        <f t="shared" si="3"/>
        <v>650795.41</v>
      </c>
      <c r="N1199" s="38" t="str">
        <f>VLOOKUP(F1199,products!$A$2:$B$13,2,FALSE)</f>
        <v>Cosmetics</v>
      </c>
      <c r="O1199" s="133">
        <f t="shared" si="4"/>
        <v>0.6023101555</v>
      </c>
      <c r="P1199" s="38" t="str">
        <f>VLOOKUP(E1199,countries!A$2:E$250,3,false)</f>
        <v>Iceland</v>
      </c>
      <c r="Q1199" s="38" t="str">
        <f>VLOOKUP($E1199,countries!$A$2:$E$250,4,false)</f>
        <v>Europe</v>
      </c>
      <c r="R1199" s="38" t="str">
        <f>VLOOKUP($E1199,countries!$A$2:$E$250,5,false)</f>
        <v>Northern Europe</v>
      </c>
      <c r="S1199" s="38">
        <f t="shared" si="5"/>
        <v>41</v>
      </c>
      <c r="T1199" s="38" t="s">
        <v>178</v>
      </c>
      <c r="U1199" s="38">
        <v>2012.0</v>
      </c>
      <c r="V1199" s="38">
        <v>4.0</v>
      </c>
      <c r="W1199" s="38" t="s">
        <v>137</v>
      </c>
      <c r="X1199" s="38" t="s">
        <v>207</v>
      </c>
      <c r="Y1199" s="38" t="s">
        <v>146</v>
      </c>
      <c r="Z1199" s="38" t="s">
        <v>170</v>
      </c>
      <c r="AA1199" s="113" t="str">
        <f t="array" ref="AA1199">PROPER(G1199)</f>
        <v>Online</v>
      </c>
    </row>
    <row r="1200">
      <c r="A1200" s="110">
        <v>9.07691991E8</v>
      </c>
      <c r="B1200" s="131">
        <v>41676.0</v>
      </c>
      <c r="C1200" s="131">
        <v>41707.0</v>
      </c>
      <c r="D1200" s="110" t="s">
        <v>89</v>
      </c>
      <c r="E1200" s="110" t="s">
        <v>110</v>
      </c>
      <c r="F1200" s="110">
        <v>2103.0</v>
      </c>
      <c r="G1200" s="38" t="s">
        <v>42</v>
      </c>
      <c r="H1200" s="110">
        <v>5086.0</v>
      </c>
      <c r="I1200" s="132">
        <v>205.7</v>
      </c>
      <c r="J1200" s="132">
        <v>117.11</v>
      </c>
      <c r="K1200" s="39">
        <f t="shared" si="1"/>
        <v>1046190.2</v>
      </c>
      <c r="L1200" s="39">
        <f t="shared" si="2"/>
        <v>595621.46</v>
      </c>
      <c r="M1200" s="39">
        <f t="shared" si="3"/>
        <v>450568.74</v>
      </c>
      <c r="N1200" s="38" t="str">
        <f>VLOOKUP(F1200,products!$A$2:$B$13,2,FALSE)</f>
        <v>Cereal</v>
      </c>
      <c r="O1200" s="133">
        <f t="shared" si="4"/>
        <v>0.5693242586</v>
      </c>
      <c r="P1200" s="38" t="str">
        <f>VLOOKUP(E1200,countries!A$2:E$250,3,false)</f>
        <v>Lithuania</v>
      </c>
      <c r="Q1200" s="38" t="str">
        <f>VLOOKUP($E1200,countries!$A$2:$E$250,4,false)</f>
        <v>Europe</v>
      </c>
      <c r="R1200" s="38" t="str">
        <f>VLOOKUP($E1200,countries!$A$2:$E$250,5,false)</f>
        <v>Northern Europe</v>
      </c>
      <c r="S1200" s="38">
        <f t="shared" si="5"/>
        <v>31</v>
      </c>
      <c r="T1200" s="38" t="s">
        <v>144</v>
      </c>
      <c r="U1200" s="38">
        <v>2014.0</v>
      </c>
      <c r="V1200" s="38">
        <v>2.0</v>
      </c>
      <c r="W1200" s="38" t="s">
        <v>110</v>
      </c>
      <c r="X1200" s="38" t="s">
        <v>177</v>
      </c>
      <c r="Y1200" s="38" t="s">
        <v>146</v>
      </c>
      <c r="Z1200" s="38" t="s">
        <v>170</v>
      </c>
      <c r="AA1200" s="113" t="str">
        <f t="array" ref="AA1200">PROPER(G1200)</f>
        <v>Offline</v>
      </c>
    </row>
    <row r="1201">
      <c r="A1201" s="110">
        <v>9.10610234E8</v>
      </c>
      <c r="B1201" s="131">
        <v>42919.0</v>
      </c>
      <c r="C1201" s="131">
        <v>42947.0</v>
      </c>
      <c r="D1201" s="110" t="s">
        <v>93</v>
      </c>
      <c r="E1201" s="110" t="s">
        <v>132</v>
      </c>
      <c r="F1201" s="110">
        <v>8293.0</v>
      </c>
      <c r="G1201" s="38" t="s">
        <v>43</v>
      </c>
      <c r="H1201" s="110">
        <v>8659.0</v>
      </c>
      <c r="I1201" s="132">
        <v>437.2</v>
      </c>
      <c r="J1201" s="132">
        <v>263.33</v>
      </c>
      <c r="K1201" s="39">
        <f t="shared" si="1"/>
        <v>3785714.8</v>
      </c>
      <c r="L1201" s="39">
        <f t="shared" si="2"/>
        <v>2280174.47</v>
      </c>
      <c r="M1201" s="39">
        <f t="shared" si="3"/>
        <v>1505540.33</v>
      </c>
      <c r="N1201" s="38" t="str">
        <f>VLOOKUP(F1201,products!$A$2:$B$13,2,FALSE)</f>
        <v>Cosmetics</v>
      </c>
      <c r="O1201" s="133">
        <f t="shared" si="4"/>
        <v>0.6023101555</v>
      </c>
      <c r="P1201" s="38" t="str">
        <f>VLOOKUP(E1201,countries!A$2:E$250,3,false)</f>
        <v>Sweden</v>
      </c>
      <c r="Q1201" s="38" t="str">
        <f>VLOOKUP($E1201,countries!$A$2:$E$250,4,false)</f>
        <v>Europe</v>
      </c>
      <c r="R1201" s="38" t="str">
        <f>VLOOKUP($E1201,countries!$A$2:$E$250,5,false)</f>
        <v>Northern Europe</v>
      </c>
      <c r="S1201" s="38">
        <f t="shared" si="5"/>
        <v>28</v>
      </c>
      <c r="T1201" s="38" t="s">
        <v>178</v>
      </c>
      <c r="U1201" s="38">
        <v>2017.0</v>
      </c>
      <c r="V1201" s="38">
        <v>7.0</v>
      </c>
      <c r="W1201" s="38" t="s">
        <v>132</v>
      </c>
      <c r="X1201" s="38" t="s">
        <v>203</v>
      </c>
      <c r="Y1201" s="38" t="s">
        <v>146</v>
      </c>
      <c r="Z1201" s="38" t="s">
        <v>170</v>
      </c>
      <c r="AA1201" s="113" t="str">
        <f t="array" ref="AA1201">PROPER(G1201)</f>
        <v>Online</v>
      </c>
    </row>
    <row r="1202">
      <c r="A1202" s="110">
        <v>9.1088618E8</v>
      </c>
      <c r="B1202" s="131">
        <v>42134.0</v>
      </c>
      <c r="C1202" s="131">
        <v>42165.0</v>
      </c>
      <c r="D1202" s="110" t="s">
        <v>89</v>
      </c>
      <c r="E1202" s="110" t="s">
        <v>105</v>
      </c>
      <c r="F1202" s="110">
        <v>1270.0</v>
      </c>
      <c r="G1202" s="38" t="s">
        <v>43</v>
      </c>
      <c r="H1202" s="110">
        <v>317.0</v>
      </c>
      <c r="I1202" s="132">
        <v>47.45</v>
      </c>
      <c r="J1202" s="132">
        <v>31.79</v>
      </c>
      <c r="K1202" s="39">
        <f t="shared" si="1"/>
        <v>15041.65</v>
      </c>
      <c r="L1202" s="39">
        <f t="shared" si="2"/>
        <v>10077.43</v>
      </c>
      <c r="M1202" s="39">
        <f t="shared" si="3"/>
        <v>4964.22</v>
      </c>
      <c r="N1202" s="38" t="str">
        <f>VLOOKUP(F1202,products!$A$2:$B$13,2,FALSE)</f>
        <v>Beverages</v>
      </c>
      <c r="O1202" s="133">
        <f t="shared" si="4"/>
        <v>0.6699683878</v>
      </c>
      <c r="P1202" s="38" t="str">
        <f>VLOOKUP(E1202,countries!A$2:E$250,3,false)</f>
        <v>Romania</v>
      </c>
      <c r="Q1202" s="38" t="str">
        <f>VLOOKUP($E1202,countries!$A$2:$E$250,4,false)</f>
        <v>Europe</v>
      </c>
      <c r="R1202" s="38" t="str">
        <f>VLOOKUP($E1202,countries!$A$2:$E$250,5,false)</f>
        <v>Eastern Europe</v>
      </c>
      <c r="S1202" s="38">
        <f t="shared" si="5"/>
        <v>31</v>
      </c>
      <c r="T1202" s="38" t="s">
        <v>152</v>
      </c>
      <c r="U1202" s="38">
        <v>2015.0</v>
      </c>
      <c r="V1202" s="38">
        <v>5.0</v>
      </c>
      <c r="W1202" s="38" t="s">
        <v>105</v>
      </c>
      <c r="X1202" s="38" t="s">
        <v>172</v>
      </c>
      <c r="Y1202" s="38" t="s">
        <v>146</v>
      </c>
      <c r="Z1202" s="38" t="s">
        <v>155</v>
      </c>
      <c r="AA1202" s="113" t="str">
        <f t="array" ref="AA1202">PROPER(G1202)</f>
        <v>Online</v>
      </c>
    </row>
    <row r="1203">
      <c r="A1203" s="110">
        <v>9.11891257E8</v>
      </c>
      <c r="B1203" s="131">
        <v>41555.0</v>
      </c>
      <c r="C1203" s="131">
        <v>41579.0</v>
      </c>
      <c r="D1203" s="110" t="s">
        <v>10</v>
      </c>
      <c r="E1203" s="110" t="s">
        <v>125</v>
      </c>
      <c r="F1203" s="110">
        <v>4594.0</v>
      </c>
      <c r="G1203" s="38" t="s">
        <v>42</v>
      </c>
      <c r="H1203" s="110">
        <v>7742.0</v>
      </c>
      <c r="I1203" s="132">
        <v>9.33</v>
      </c>
      <c r="J1203" s="132">
        <v>6.92</v>
      </c>
      <c r="K1203" s="39">
        <f t="shared" si="1"/>
        <v>72232.86</v>
      </c>
      <c r="L1203" s="39">
        <f t="shared" si="2"/>
        <v>53574.64</v>
      </c>
      <c r="M1203" s="39">
        <f t="shared" si="3"/>
        <v>18658.22</v>
      </c>
      <c r="N1203" s="38" t="str">
        <f>VLOOKUP(F1203,products!$A$2:$B$13,2,FALSE)</f>
        <v>Fruits</v>
      </c>
      <c r="O1203" s="133">
        <f t="shared" si="4"/>
        <v>0.741693462</v>
      </c>
      <c r="P1203" s="38" t="str">
        <f>VLOOKUP(E1203,countries!A$2:E$250,3,false)</f>
        <v>Bulgaria</v>
      </c>
      <c r="Q1203" s="38" t="str">
        <f>VLOOKUP($E1203,countries!$A$2:$E$250,4,false)</f>
        <v>Europe</v>
      </c>
      <c r="R1203" s="38" t="str">
        <f>VLOOKUP($E1203,countries!$A$2:$E$250,5,false)</f>
        <v>Eastern Europe</v>
      </c>
      <c r="S1203" s="38">
        <f t="shared" si="5"/>
        <v>24</v>
      </c>
      <c r="T1203" s="38" t="s">
        <v>156</v>
      </c>
      <c r="U1203" s="38">
        <v>2013.0</v>
      </c>
      <c r="V1203" s="38">
        <v>10.0</v>
      </c>
      <c r="W1203" s="38" t="s">
        <v>125</v>
      </c>
      <c r="X1203" s="38" t="s">
        <v>196</v>
      </c>
      <c r="Y1203" s="38" t="s">
        <v>146</v>
      </c>
      <c r="Z1203" s="38" t="s">
        <v>155</v>
      </c>
      <c r="AA1203" s="113" t="str">
        <f t="array" ref="AA1203">PROPER(G1203)</f>
        <v>Offline</v>
      </c>
    </row>
    <row r="1204">
      <c r="A1204" s="110">
        <v>9.13074433E8</v>
      </c>
      <c r="B1204" s="131">
        <v>41580.0</v>
      </c>
      <c r="C1204" s="131">
        <v>41625.0</v>
      </c>
      <c r="D1204" s="110" t="s">
        <v>95</v>
      </c>
      <c r="E1204" s="110" t="s">
        <v>124</v>
      </c>
      <c r="F1204" s="110">
        <v>3127.0</v>
      </c>
      <c r="G1204" s="38" t="s">
        <v>42</v>
      </c>
      <c r="H1204" s="110">
        <v>7870.0</v>
      </c>
      <c r="I1204" s="132">
        <v>81.73</v>
      </c>
      <c r="J1204" s="132">
        <v>56.67</v>
      </c>
      <c r="K1204" s="39">
        <f t="shared" si="1"/>
        <v>643215.1</v>
      </c>
      <c r="L1204" s="39">
        <f t="shared" si="2"/>
        <v>445992.9</v>
      </c>
      <c r="M1204" s="39">
        <f t="shared" si="3"/>
        <v>197222.2</v>
      </c>
      <c r="N1204" s="38" t="str">
        <f>VLOOKUP(F1204,products!$A$2:$B$13,2,FALSE)</f>
        <v>Personal Care</v>
      </c>
      <c r="O1204" s="133">
        <f t="shared" si="4"/>
        <v>0.6933806436</v>
      </c>
      <c r="P1204" s="38" t="str">
        <f>VLOOKUP(E1204,countries!A$2:E$250,3,false)</f>
        <v>Latvia</v>
      </c>
      <c r="Q1204" s="38" t="str">
        <f>VLOOKUP($E1204,countries!$A$2:$E$250,4,false)</f>
        <v>Europe</v>
      </c>
      <c r="R1204" s="38" t="str">
        <f>VLOOKUP($E1204,countries!$A$2:$E$250,5,false)</f>
        <v>Northern Europe</v>
      </c>
      <c r="S1204" s="38">
        <f t="shared" si="5"/>
        <v>45</v>
      </c>
      <c r="T1204" s="38" t="s">
        <v>185</v>
      </c>
      <c r="U1204" s="38">
        <v>2013.0</v>
      </c>
      <c r="V1204" s="38">
        <v>11.0</v>
      </c>
      <c r="W1204" s="38" t="s">
        <v>124</v>
      </c>
      <c r="X1204" s="38" t="s">
        <v>195</v>
      </c>
      <c r="Y1204" s="38" t="s">
        <v>146</v>
      </c>
      <c r="Z1204" s="38" t="s">
        <v>170</v>
      </c>
      <c r="AA1204" s="113" t="str">
        <f t="array" ref="AA1204">PROPER(G1204)</f>
        <v>Offline</v>
      </c>
    </row>
    <row r="1205">
      <c r="A1205" s="110">
        <v>9.13729751E8</v>
      </c>
      <c r="B1205" s="131">
        <v>40651.0</v>
      </c>
      <c r="C1205" s="131">
        <v>40672.0</v>
      </c>
      <c r="D1205" s="110" t="s">
        <v>89</v>
      </c>
      <c r="E1205" s="110" t="s">
        <v>102</v>
      </c>
      <c r="F1205" s="110">
        <v>8875.0</v>
      </c>
      <c r="G1205" s="38" t="s">
        <v>43</v>
      </c>
      <c r="H1205" s="110">
        <v>1793.0</v>
      </c>
      <c r="I1205" s="132">
        <v>421.89</v>
      </c>
      <c r="J1205" s="132">
        <v>364.69</v>
      </c>
      <c r="K1205" s="39">
        <f t="shared" si="1"/>
        <v>756448.77</v>
      </c>
      <c r="L1205" s="39">
        <f t="shared" si="2"/>
        <v>653889.17</v>
      </c>
      <c r="M1205" s="39">
        <f t="shared" si="3"/>
        <v>102559.6</v>
      </c>
      <c r="N1205" s="38" t="str">
        <f>VLOOKUP(F1205,products!$A$2:$B$13,2,FALSE)</f>
        <v>Meat</v>
      </c>
      <c r="O1205" s="133">
        <f t="shared" si="4"/>
        <v>0.8644196354</v>
      </c>
      <c r="P1205" s="38" t="str">
        <f>VLOOKUP(E1205,countries!A$2:E$250,3,false)</f>
        <v>Georgia</v>
      </c>
      <c r="Q1205" s="38" t="str">
        <f>VLOOKUP($E1205,countries!$A$2:$E$250,4,false)</f>
        <v>Asia</v>
      </c>
      <c r="R1205" s="38" t="str">
        <f>VLOOKUP($E1205,countries!$A$2:$E$250,5,false)</f>
        <v>Western Asia</v>
      </c>
      <c r="S1205" s="38">
        <f t="shared" si="5"/>
        <v>21</v>
      </c>
      <c r="T1205" s="38" t="s">
        <v>167</v>
      </c>
      <c r="U1205" s="38">
        <v>2011.0</v>
      </c>
      <c r="V1205" s="38">
        <v>4.0</v>
      </c>
      <c r="W1205" s="38" t="s">
        <v>102</v>
      </c>
      <c r="X1205" s="38" t="s">
        <v>168</v>
      </c>
      <c r="Y1205" s="38" t="s">
        <v>165</v>
      </c>
      <c r="Z1205" s="38" t="s">
        <v>166</v>
      </c>
      <c r="AA1205" s="113" t="str">
        <f t="array" ref="AA1205">PROPER(G1205)</f>
        <v>Online</v>
      </c>
    </row>
    <row r="1206">
      <c r="A1206" s="110">
        <v>9.16089236E8</v>
      </c>
      <c r="B1206" s="131">
        <v>41817.0</v>
      </c>
      <c r="C1206" s="131">
        <v>41848.0</v>
      </c>
      <c r="D1206" s="110" t="s">
        <v>10</v>
      </c>
      <c r="E1206" s="110" t="s">
        <v>109</v>
      </c>
      <c r="F1206" s="110">
        <v>8293.0</v>
      </c>
      <c r="G1206" s="38" t="s">
        <v>42</v>
      </c>
      <c r="H1206" s="110">
        <v>17.0</v>
      </c>
      <c r="I1206" s="132">
        <v>437.2</v>
      </c>
      <c r="J1206" s="132">
        <v>263.33</v>
      </c>
      <c r="K1206" s="39">
        <f t="shared" si="1"/>
        <v>7432.4</v>
      </c>
      <c r="L1206" s="39">
        <f t="shared" si="2"/>
        <v>4476.61</v>
      </c>
      <c r="M1206" s="39">
        <f t="shared" si="3"/>
        <v>2955.79</v>
      </c>
      <c r="N1206" s="38" t="str">
        <f>VLOOKUP(F1206,products!$A$2:$B$13,2,FALSE)</f>
        <v>Cosmetics</v>
      </c>
      <c r="O1206" s="133">
        <f t="shared" si="4"/>
        <v>0.6023101555</v>
      </c>
      <c r="P1206" s="38" t="str">
        <f>VLOOKUP(E1206,countries!A$2:E$250,3,false)</f>
        <v>Belgium</v>
      </c>
      <c r="Q1206" s="38" t="str">
        <f>VLOOKUP($E1206,countries!$A$2:$E$250,4,false)</f>
        <v>Europe</v>
      </c>
      <c r="R1206" s="38" t="str">
        <f>VLOOKUP($E1206,countries!$A$2:$E$250,5,false)</f>
        <v>Western Europe</v>
      </c>
      <c r="S1206" s="38">
        <f t="shared" si="5"/>
        <v>31</v>
      </c>
      <c r="T1206" s="38" t="s">
        <v>178</v>
      </c>
      <c r="U1206" s="38">
        <v>2014.0</v>
      </c>
      <c r="V1206" s="38">
        <v>6.0</v>
      </c>
      <c r="W1206" s="38" t="s">
        <v>109</v>
      </c>
      <c r="X1206" s="38" t="s">
        <v>176</v>
      </c>
      <c r="Y1206" s="38" t="s">
        <v>146</v>
      </c>
      <c r="Z1206" s="38" t="s">
        <v>158</v>
      </c>
      <c r="AA1206" s="113" t="str">
        <f t="array" ref="AA1206">PROPER(G1206)</f>
        <v>Offline</v>
      </c>
    </row>
    <row r="1207">
      <c r="A1207" s="110">
        <v>9.17485272E8</v>
      </c>
      <c r="B1207" s="131">
        <v>40422.0</v>
      </c>
      <c r="C1207" s="131">
        <v>40454.0</v>
      </c>
      <c r="D1207" s="110" t="s">
        <v>93</v>
      </c>
      <c r="E1207" s="110" t="s">
        <v>124</v>
      </c>
      <c r="F1207" s="110">
        <v>7331.0</v>
      </c>
      <c r="G1207" s="38" t="s">
        <v>43</v>
      </c>
      <c r="H1207" s="110">
        <v>3136.0</v>
      </c>
      <c r="I1207" s="132">
        <v>255.28</v>
      </c>
      <c r="J1207" s="132">
        <v>159.42</v>
      </c>
      <c r="K1207" s="39">
        <f t="shared" si="1"/>
        <v>800558.08</v>
      </c>
      <c r="L1207" s="39">
        <f t="shared" si="2"/>
        <v>499941.12</v>
      </c>
      <c r="M1207" s="39">
        <f t="shared" si="3"/>
        <v>300616.96</v>
      </c>
      <c r="N1207" s="38" t="str">
        <f>VLOOKUP(F1207,products!$A$2:$B$13,2,FALSE)</f>
        <v>Baby Food</v>
      </c>
      <c r="O1207" s="133">
        <f t="shared" si="4"/>
        <v>0.6244907552</v>
      </c>
      <c r="P1207" s="38" t="str">
        <f>VLOOKUP(E1207,countries!A$2:E$250,3,false)</f>
        <v>Latvia</v>
      </c>
      <c r="Q1207" s="38" t="str">
        <f>VLOOKUP($E1207,countries!$A$2:$E$250,4,false)</f>
        <v>Europe</v>
      </c>
      <c r="R1207" s="38" t="str">
        <f>VLOOKUP($E1207,countries!$A$2:$E$250,5,false)</f>
        <v>Northern Europe</v>
      </c>
      <c r="S1207" s="38">
        <f t="shared" si="5"/>
        <v>32</v>
      </c>
      <c r="T1207" s="38" t="s">
        <v>161</v>
      </c>
      <c r="U1207" s="38">
        <v>2010.0</v>
      </c>
      <c r="V1207" s="38">
        <v>9.0</v>
      </c>
      <c r="W1207" s="38" t="s">
        <v>124</v>
      </c>
      <c r="X1207" s="38" t="s">
        <v>195</v>
      </c>
      <c r="Y1207" s="38" t="s">
        <v>146</v>
      </c>
      <c r="Z1207" s="38" t="s">
        <v>170</v>
      </c>
      <c r="AA1207" s="113" t="str">
        <f t="array" ref="AA1207">PROPER(G1207)</f>
        <v>Online</v>
      </c>
    </row>
    <row r="1208">
      <c r="A1208" s="110">
        <v>9.17639768E8</v>
      </c>
      <c r="B1208" s="131">
        <v>41578.0</v>
      </c>
      <c r="C1208" s="131">
        <v>41622.0</v>
      </c>
      <c r="D1208" s="110" t="s">
        <v>93</v>
      </c>
      <c r="E1208" s="110" t="s">
        <v>91</v>
      </c>
      <c r="F1208" s="110">
        <v>5988.0</v>
      </c>
      <c r="G1208" s="38" t="s">
        <v>43</v>
      </c>
      <c r="H1208" s="110">
        <v>8854.0</v>
      </c>
      <c r="I1208" s="132">
        <v>154.06</v>
      </c>
      <c r="J1208" s="132">
        <v>90.93</v>
      </c>
      <c r="K1208" s="39">
        <f t="shared" si="1"/>
        <v>1364047.24</v>
      </c>
      <c r="L1208" s="39">
        <f t="shared" si="2"/>
        <v>805094.22</v>
      </c>
      <c r="M1208" s="39">
        <f t="shared" si="3"/>
        <v>558953.02</v>
      </c>
      <c r="N1208" s="38" t="str">
        <f>VLOOKUP(F1208,products!$A$2:$B$13,2,FALSE)</f>
        <v>Vegetables</v>
      </c>
      <c r="O1208" s="133">
        <f t="shared" si="4"/>
        <v>0.5902245878</v>
      </c>
      <c r="P1208" s="38" t="str">
        <f>VLOOKUP(E1208,countries!A$2:E$250,3,false)</f>
        <v>Serbia</v>
      </c>
      <c r="Q1208" s="38" t="str">
        <f>VLOOKUP($E1208,countries!$A$2:$E$250,4,false)</f>
        <v>Europe</v>
      </c>
      <c r="R1208" s="38" t="str">
        <f>VLOOKUP($E1208,countries!$A$2:$E$250,5,false)</f>
        <v>Southern Europe</v>
      </c>
      <c r="S1208" s="38">
        <f t="shared" si="5"/>
        <v>44</v>
      </c>
      <c r="T1208" s="38" t="s">
        <v>159</v>
      </c>
      <c r="U1208" s="38">
        <v>2013.0</v>
      </c>
      <c r="V1208" s="38">
        <v>10.0</v>
      </c>
      <c r="W1208" s="38" t="s">
        <v>91</v>
      </c>
      <c r="X1208" s="38" t="s">
        <v>145</v>
      </c>
      <c r="Y1208" s="38" t="s">
        <v>146</v>
      </c>
      <c r="Z1208" s="38" t="s">
        <v>147</v>
      </c>
      <c r="AA1208" s="113" t="str">
        <f t="array" ref="AA1208">PROPER(G1208)</f>
        <v>Online</v>
      </c>
    </row>
    <row r="1209">
      <c r="A1209" s="110">
        <v>9.17792117E8</v>
      </c>
      <c r="B1209" s="131">
        <v>41527.0</v>
      </c>
      <c r="C1209" s="131">
        <v>41554.0</v>
      </c>
      <c r="D1209" s="110" t="s">
        <v>89</v>
      </c>
      <c r="E1209" s="110" t="s">
        <v>137</v>
      </c>
      <c r="F1209" s="110">
        <v>2455.0</v>
      </c>
      <c r="G1209" s="38" t="s">
        <v>43</v>
      </c>
      <c r="H1209" s="110">
        <v>3938.0</v>
      </c>
      <c r="I1209" s="132">
        <v>109.28</v>
      </c>
      <c r="J1209" s="132">
        <v>35.84</v>
      </c>
      <c r="K1209" s="39">
        <f t="shared" si="1"/>
        <v>430344.64</v>
      </c>
      <c r="L1209" s="39">
        <f t="shared" si="2"/>
        <v>141137.92</v>
      </c>
      <c r="M1209" s="39">
        <f t="shared" si="3"/>
        <v>289206.72</v>
      </c>
      <c r="N1209" s="38" t="str">
        <f>VLOOKUP(F1209,products!$A$2:$B$13,2,FALSE)</f>
        <v>Clothes</v>
      </c>
      <c r="O1209" s="133">
        <f t="shared" si="4"/>
        <v>0.3279648609</v>
      </c>
      <c r="P1209" s="38" t="str">
        <f>VLOOKUP(E1209,countries!A$2:E$250,3,false)</f>
        <v>Iceland</v>
      </c>
      <c r="Q1209" s="38" t="str">
        <f>VLOOKUP($E1209,countries!$A$2:$E$250,4,false)</f>
        <v>Europe</v>
      </c>
      <c r="R1209" s="38" t="str">
        <f>VLOOKUP($E1209,countries!$A$2:$E$250,5,false)</f>
        <v>Northern Europe</v>
      </c>
      <c r="S1209" s="38">
        <f t="shared" si="5"/>
        <v>27</v>
      </c>
      <c r="T1209" s="38" t="s">
        <v>150</v>
      </c>
      <c r="U1209" s="38">
        <v>2013.0</v>
      </c>
      <c r="V1209" s="38">
        <v>9.0</v>
      </c>
      <c r="W1209" s="38" t="s">
        <v>137</v>
      </c>
      <c r="X1209" s="38" t="s">
        <v>207</v>
      </c>
      <c r="Y1209" s="38" t="s">
        <v>146</v>
      </c>
      <c r="Z1209" s="38" t="s">
        <v>170</v>
      </c>
      <c r="AA1209" s="113" t="str">
        <f t="array" ref="AA1209">PROPER(G1209)</f>
        <v>Online</v>
      </c>
    </row>
    <row r="1210">
      <c r="A1210" s="110">
        <v>9.17835032E8</v>
      </c>
      <c r="B1210" s="131">
        <v>40772.0</v>
      </c>
      <c r="C1210" s="131">
        <v>40822.0</v>
      </c>
      <c r="D1210" s="110" t="s">
        <v>10</v>
      </c>
      <c r="E1210" s="110" t="s">
        <v>118</v>
      </c>
      <c r="F1210" s="110">
        <v>5988.0</v>
      </c>
      <c r="G1210" s="38" t="s">
        <v>42</v>
      </c>
      <c r="H1210" s="110">
        <v>6637.0</v>
      </c>
      <c r="I1210" s="132">
        <v>154.06</v>
      </c>
      <c r="J1210" s="132">
        <v>90.93</v>
      </c>
      <c r="K1210" s="39">
        <f t="shared" si="1"/>
        <v>1022496.22</v>
      </c>
      <c r="L1210" s="39">
        <f t="shared" si="2"/>
        <v>603502.41</v>
      </c>
      <c r="M1210" s="39">
        <f t="shared" si="3"/>
        <v>418993.81</v>
      </c>
      <c r="N1210" s="38" t="str">
        <f>VLOOKUP(F1210,products!$A$2:$B$13,2,FALSE)</f>
        <v>Vegetables</v>
      </c>
      <c r="O1210" s="133">
        <f t="shared" si="4"/>
        <v>0.5902245878</v>
      </c>
      <c r="P1210" s="38" t="str">
        <f>VLOOKUP(E1210,countries!A$2:E$250,3,false)</f>
        <v>Austria</v>
      </c>
      <c r="Q1210" s="38" t="str">
        <f>VLOOKUP($E1210,countries!$A$2:$E$250,4,false)</f>
        <v>Europe</v>
      </c>
      <c r="R1210" s="38" t="str">
        <f>VLOOKUP($E1210,countries!$A$2:$E$250,5,false)</f>
        <v>Western Europe</v>
      </c>
      <c r="S1210" s="38">
        <f t="shared" si="5"/>
        <v>50</v>
      </c>
      <c r="T1210" s="38" t="s">
        <v>159</v>
      </c>
      <c r="U1210" s="38">
        <v>2011.0</v>
      </c>
      <c r="V1210" s="38">
        <v>8.0</v>
      </c>
      <c r="W1210" s="38" t="s">
        <v>118</v>
      </c>
      <c r="X1210" s="38" t="s">
        <v>189</v>
      </c>
      <c r="Y1210" s="38" t="s">
        <v>146</v>
      </c>
      <c r="Z1210" s="38" t="s">
        <v>158</v>
      </c>
      <c r="AA1210" s="113" t="str">
        <f t="array" ref="AA1210">PROPER(G1210)</f>
        <v>Offline</v>
      </c>
    </row>
    <row r="1211">
      <c r="A1211" s="110">
        <v>9.17874085E8</v>
      </c>
      <c r="B1211" s="131">
        <v>41164.0</v>
      </c>
      <c r="C1211" s="131">
        <v>41175.0</v>
      </c>
      <c r="D1211" s="110" t="s">
        <v>89</v>
      </c>
      <c r="E1211" s="110" t="s">
        <v>90</v>
      </c>
      <c r="F1211" s="110">
        <v>8875.0</v>
      </c>
      <c r="G1211" s="38" t="s">
        <v>42</v>
      </c>
      <c r="H1211" s="110">
        <v>8194.0</v>
      </c>
      <c r="I1211" s="132">
        <v>421.89</v>
      </c>
      <c r="J1211" s="132">
        <v>364.69</v>
      </c>
      <c r="K1211" s="39">
        <f t="shared" si="1"/>
        <v>3456966.66</v>
      </c>
      <c r="L1211" s="39">
        <f t="shared" si="2"/>
        <v>2988269.86</v>
      </c>
      <c r="M1211" s="39">
        <f t="shared" si="3"/>
        <v>468696.8</v>
      </c>
      <c r="N1211" s="38" t="str">
        <f>VLOOKUP(F1211,products!$A$2:$B$13,2,FALSE)</f>
        <v>Meat</v>
      </c>
      <c r="O1211" s="133">
        <f t="shared" si="4"/>
        <v>0.8644196354</v>
      </c>
      <c r="P1211" s="38" t="str">
        <f>VLOOKUP(E1211,countries!A$2:E$250,3,false)</f>
        <v>Norway</v>
      </c>
      <c r="Q1211" s="38" t="str">
        <f>VLOOKUP($E1211,countries!$A$2:$E$250,4,false)</f>
        <v>Europe</v>
      </c>
      <c r="R1211" s="38" t="str">
        <f>VLOOKUP($E1211,countries!$A$2:$E$250,5,false)</f>
        <v>Northern Europe</v>
      </c>
      <c r="S1211" s="38">
        <f t="shared" si="5"/>
        <v>11</v>
      </c>
      <c r="T1211" s="38" t="s">
        <v>167</v>
      </c>
      <c r="U1211" s="38">
        <v>2012.0</v>
      </c>
      <c r="V1211" s="38">
        <v>9.0</v>
      </c>
      <c r="W1211" s="38" t="s">
        <v>90</v>
      </c>
      <c r="X1211" s="38" t="s">
        <v>183</v>
      </c>
      <c r="Y1211" s="38" t="s">
        <v>146</v>
      </c>
      <c r="Z1211" s="38" t="s">
        <v>170</v>
      </c>
      <c r="AA1211" s="113" t="str">
        <f t="array" ref="AA1211">PROPER(G1211)</f>
        <v>Offline</v>
      </c>
    </row>
    <row r="1212">
      <c r="A1212" s="110">
        <v>9.17904984E8</v>
      </c>
      <c r="B1212" s="131">
        <v>40289.0</v>
      </c>
      <c r="C1212" s="131">
        <v>40292.0</v>
      </c>
      <c r="D1212" s="110" t="s">
        <v>93</v>
      </c>
      <c r="E1212" s="110" t="s">
        <v>105</v>
      </c>
      <c r="F1212" s="110">
        <v>3127.0</v>
      </c>
      <c r="G1212" s="38" t="s">
        <v>43</v>
      </c>
      <c r="H1212" s="110">
        <v>7338.0</v>
      </c>
      <c r="I1212" s="132">
        <v>81.73</v>
      </c>
      <c r="J1212" s="132">
        <v>56.67</v>
      </c>
      <c r="K1212" s="39">
        <f t="shared" si="1"/>
        <v>599734.74</v>
      </c>
      <c r="L1212" s="39">
        <f t="shared" si="2"/>
        <v>415844.46</v>
      </c>
      <c r="M1212" s="39">
        <f t="shared" si="3"/>
        <v>183890.28</v>
      </c>
      <c r="N1212" s="38" t="str">
        <f>VLOOKUP(F1212,products!$A$2:$B$13,2,FALSE)</f>
        <v>Personal Care</v>
      </c>
      <c r="O1212" s="133">
        <f t="shared" si="4"/>
        <v>0.6933806436</v>
      </c>
      <c r="P1212" s="38" t="str">
        <f>VLOOKUP(E1212,countries!A$2:E$250,3,false)</f>
        <v>Romania</v>
      </c>
      <c r="Q1212" s="38" t="str">
        <f>VLOOKUP($E1212,countries!$A$2:$E$250,4,false)</f>
        <v>Europe</v>
      </c>
      <c r="R1212" s="38" t="str">
        <f>VLOOKUP($E1212,countries!$A$2:$E$250,5,false)</f>
        <v>Eastern Europe</v>
      </c>
      <c r="S1212" s="38">
        <f t="shared" si="5"/>
        <v>3</v>
      </c>
      <c r="T1212" s="38" t="s">
        <v>185</v>
      </c>
      <c r="U1212" s="38">
        <v>2010.0</v>
      </c>
      <c r="V1212" s="38">
        <v>4.0</v>
      </c>
      <c r="W1212" s="38" t="s">
        <v>105</v>
      </c>
      <c r="X1212" s="38" t="s">
        <v>172</v>
      </c>
      <c r="Y1212" s="38" t="s">
        <v>146</v>
      </c>
      <c r="Z1212" s="38" t="s">
        <v>155</v>
      </c>
      <c r="AA1212" s="113" t="str">
        <f t="array" ref="AA1212">PROPER(G1212)</f>
        <v>Online</v>
      </c>
    </row>
    <row r="1213">
      <c r="A1213" s="110">
        <v>9.18364179E8</v>
      </c>
      <c r="B1213" s="131">
        <v>41343.0</v>
      </c>
      <c r="C1213" s="131">
        <v>41375.0</v>
      </c>
      <c r="D1213" s="110" t="s">
        <v>95</v>
      </c>
      <c r="E1213" s="110" t="s">
        <v>130</v>
      </c>
      <c r="F1213" s="110">
        <v>8969.0</v>
      </c>
      <c r="G1213" s="38" t="s">
        <v>42</v>
      </c>
      <c r="H1213" s="110">
        <v>3223.0</v>
      </c>
      <c r="I1213" s="132">
        <v>152.58</v>
      </c>
      <c r="J1213" s="132">
        <v>97.44</v>
      </c>
      <c r="K1213" s="39">
        <f t="shared" si="1"/>
        <v>491765.34</v>
      </c>
      <c r="L1213" s="39">
        <f t="shared" si="2"/>
        <v>314049.12</v>
      </c>
      <c r="M1213" s="39">
        <f t="shared" si="3"/>
        <v>177716.22</v>
      </c>
      <c r="N1213" s="38" t="str">
        <f>VLOOKUP(F1213,products!$A$2:$B$13,2,FALSE)</f>
        <v>Snacks</v>
      </c>
      <c r="O1213" s="133">
        <f t="shared" si="4"/>
        <v>0.6386158081</v>
      </c>
      <c r="P1213" s="38" t="str">
        <f>VLOOKUP(E1213,countries!A$2:E$250,3,false)</f>
        <v>Finland</v>
      </c>
      <c r="Q1213" s="38" t="str">
        <f>VLOOKUP($E1213,countries!$A$2:$E$250,4,false)</f>
        <v>Europe</v>
      </c>
      <c r="R1213" s="38" t="str">
        <f>VLOOKUP($E1213,countries!$A$2:$E$250,5,false)</f>
        <v>Northern Europe</v>
      </c>
      <c r="S1213" s="38">
        <f t="shared" si="5"/>
        <v>32</v>
      </c>
      <c r="T1213" s="38" t="s">
        <v>182</v>
      </c>
      <c r="U1213" s="38">
        <v>2013.0</v>
      </c>
      <c r="V1213" s="38">
        <v>3.0</v>
      </c>
      <c r="W1213" s="38" t="s">
        <v>130</v>
      </c>
      <c r="X1213" s="38" t="s">
        <v>201</v>
      </c>
      <c r="Y1213" s="38" t="s">
        <v>146</v>
      </c>
      <c r="Z1213" s="38" t="s">
        <v>170</v>
      </c>
      <c r="AA1213" s="113" t="str">
        <f t="array" ref="AA1213">PROPER(G1213)</f>
        <v>Offline</v>
      </c>
    </row>
    <row r="1214">
      <c r="A1214" s="110">
        <v>9.19133651E8</v>
      </c>
      <c r="B1214" s="131">
        <v>41561.0</v>
      </c>
      <c r="C1214" s="131">
        <v>41582.0</v>
      </c>
      <c r="D1214" s="110" t="s">
        <v>89</v>
      </c>
      <c r="E1214" s="110" t="s">
        <v>133</v>
      </c>
      <c r="F1214" s="110">
        <v>2455.0</v>
      </c>
      <c r="G1214" s="38" t="s">
        <v>43</v>
      </c>
      <c r="H1214" s="110">
        <v>927.0</v>
      </c>
      <c r="I1214" s="132">
        <v>109.28</v>
      </c>
      <c r="J1214" s="132">
        <v>35.84</v>
      </c>
      <c r="K1214" s="39">
        <f t="shared" si="1"/>
        <v>101302.56</v>
      </c>
      <c r="L1214" s="39">
        <f t="shared" si="2"/>
        <v>33223.68</v>
      </c>
      <c r="M1214" s="39">
        <f t="shared" si="3"/>
        <v>68078.88</v>
      </c>
      <c r="N1214" s="38" t="str">
        <f>VLOOKUP(F1214,products!$A$2:$B$13,2,FALSE)</f>
        <v>Clothes</v>
      </c>
      <c r="O1214" s="133">
        <f t="shared" si="4"/>
        <v>0.3279648609</v>
      </c>
      <c r="P1214" s="38" t="str">
        <f>VLOOKUP(E1214,countries!A$2:E$250,3,false)</f>
        <v>Bosnia and Herzegovina</v>
      </c>
      <c r="Q1214" s="38" t="str">
        <f>VLOOKUP($E1214,countries!$A$2:$E$250,4,false)</f>
        <v>Europe</v>
      </c>
      <c r="R1214" s="38" t="str">
        <f>VLOOKUP($E1214,countries!$A$2:$E$250,5,false)</f>
        <v>Southern Europe</v>
      </c>
      <c r="S1214" s="38">
        <f t="shared" si="5"/>
        <v>21</v>
      </c>
      <c r="T1214" s="38" t="s">
        <v>150</v>
      </c>
      <c r="U1214" s="38">
        <v>2013.0</v>
      </c>
      <c r="V1214" s="38">
        <v>10.0</v>
      </c>
      <c r="W1214" s="38" t="s">
        <v>133</v>
      </c>
      <c r="X1214" s="38" t="s">
        <v>204</v>
      </c>
      <c r="Y1214" s="38" t="s">
        <v>146</v>
      </c>
      <c r="Z1214" s="38" t="s">
        <v>147</v>
      </c>
      <c r="AA1214" s="113" t="str">
        <f t="array" ref="AA1214">PROPER(G1214)</f>
        <v>Online</v>
      </c>
    </row>
    <row r="1215">
      <c r="A1215" s="110">
        <v>9.19922006E8</v>
      </c>
      <c r="B1215" s="131">
        <v>40782.0</v>
      </c>
      <c r="C1215" s="131">
        <v>40804.0</v>
      </c>
      <c r="D1215" s="110" t="s">
        <v>93</v>
      </c>
      <c r="E1215" s="110" t="e">
        <v>#N/A</v>
      </c>
      <c r="F1215" s="110">
        <v>4594.0</v>
      </c>
      <c r="G1215" s="38" t="s">
        <v>43</v>
      </c>
      <c r="H1215" s="110">
        <v>4219.0</v>
      </c>
      <c r="I1215" s="132">
        <v>9.33</v>
      </c>
      <c r="J1215" s="132">
        <v>6.92</v>
      </c>
      <c r="K1215" s="39">
        <f t="shared" si="1"/>
        <v>39363.27</v>
      </c>
      <c r="L1215" s="39">
        <f t="shared" si="2"/>
        <v>29195.48</v>
      </c>
      <c r="M1215" s="39">
        <f t="shared" si="3"/>
        <v>10167.79</v>
      </c>
      <c r="N1215" s="38" t="str">
        <f>VLOOKUP(F1215,products!$A$2:$B$13,2,FALSE)</f>
        <v>Fruits</v>
      </c>
      <c r="O1215" s="133">
        <f t="shared" si="4"/>
        <v>0.741693462</v>
      </c>
      <c r="P1215" s="38" t="str">
        <f>VLOOKUP(E1215,countries!A$2:E$250,3,false)</f>
        <v>#N/A</v>
      </c>
      <c r="Q1215" s="38" t="str">
        <f>VLOOKUP($E1215,countries!$A$2:$E$250,4,false)</f>
        <v>#N/A</v>
      </c>
      <c r="R1215" s="38" t="str">
        <f>VLOOKUP($E1215,countries!$A$2:$E$250,5,false)</f>
        <v>#N/A</v>
      </c>
      <c r="S1215" s="38">
        <f t="shared" si="5"/>
        <v>22</v>
      </c>
      <c r="T1215" s="38" t="s">
        <v>156</v>
      </c>
      <c r="U1215" s="38">
        <v>2011.0</v>
      </c>
      <c r="V1215" s="38">
        <v>8.0</v>
      </c>
      <c r="W1215" s="38" t="s">
        <v>92</v>
      </c>
      <c r="X1215" s="38" t="s">
        <v>149</v>
      </c>
      <c r="Y1215" s="38" t="s">
        <v>149</v>
      </c>
      <c r="Z1215" s="38" t="s">
        <v>149</v>
      </c>
      <c r="AA1215" s="113" t="str">
        <f t="array" ref="AA1215">PROPER(G1215)</f>
        <v>Online</v>
      </c>
    </row>
    <row r="1216">
      <c r="A1216" s="110">
        <v>9.2001127E8</v>
      </c>
      <c r="B1216" s="131">
        <v>42864.0</v>
      </c>
      <c r="C1216" s="131">
        <v>42898.0</v>
      </c>
      <c r="D1216" s="110" t="s">
        <v>89</v>
      </c>
      <c r="E1216" s="110" t="s">
        <v>114</v>
      </c>
      <c r="F1216" s="110">
        <v>8875.0</v>
      </c>
      <c r="G1216" s="38" t="s">
        <v>42</v>
      </c>
      <c r="H1216" s="110">
        <v>634.0</v>
      </c>
      <c r="I1216" s="132">
        <v>421.89</v>
      </c>
      <c r="J1216" s="132">
        <v>364.69</v>
      </c>
      <c r="K1216" s="39">
        <f t="shared" si="1"/>
        <v>267478.26</v>
      </c>
      <c r="L1216" s="39">
        <f t="shared" si="2"/>
        <v>231213.46</v>
      </c>
      <c r="M1216" s="39">
        <f t="shared" si="3"/>
        <v>36264.8</v>
      </c>
      <c r="N1216" s="38" t="str">
        <f>VLOOKUP(F1216,products!$A$2:$B$13,2,FALSE)</f>
        <v>Meat</v>
      </c>
      <c r="O1216" s="133">
        <f t="shared" si="4"/>
        <v>0.8644196354</v>
      </c>
      <c r="P1216" s="38" t="str">
        <f>VLOOKUP(E1216,countries!A$2:E$250,3,false)</f>
        <v>Czech Republic</v>
      </c>
      <c r="Q1216" s="38" t="str">
        <f>VLOOKUP($E1216,countries!$A$2:$E$250,4,false)</f>
        <v>Europe</v>
      </c>
      <c r="R1216" s="38" t="str">
        <f>VLOOKUP($E1216,countries!$A$2:$E$250,5,false)</f>
        <v>Eastern Europe</v>
      </c>
      <c r="S1216" s="38">
        <f t="shared" si="5"/>
        <v>34</v>
      </c>
      <c r="T1216" s="38" t="s">
        <v>167</v>
      </c>
      <c r="U1216" s="38">
        <v>2017.0</v>
      </c>
      <c r="V1216" s="38">
        <v>5.0</v>
      </c>
      <c r="W1216" s="38" t="s">
        <v>114</v>
      </c>
      <c r="X1216" s="38" t="s">
        <v>184</v>
      </c>
      <c r="Y1216" s="38" t="s">
        <v>146</v>
      </c>
      <c r="Z1216" s="38" t="s">
        <v>155</v>
      </c>
      <c r="AA1216" s="113" t="str">
        <f t="array" ref="AA1216">PROPER(G1216)</f>
        <v>Offline</v>
      </c>
    </row>
    <row r="1217">
      <c r="A1217" s="110">
        <v>9.20688903E8</v>
      </c>
      <c r="B1217" s="131">
        <v>41764.0</v>
      </c>
      <c r="C1217" s="131">
        <v>41802.0</v>
      </c>
      <c r="D1217" s="110" t="s">
        <v>93</v>
      </c>
      <c r="E1217" s="110" t="s">
        <v>113</v>
      </c>
      <c r="F1217" s="110">
        <v>7331.0</v>
      </c>
      <c r="G1217" s="38" t="s">
        <v>42</v>
      </c>
      <c r="H1217" s="110">
        <v>1161.0</v>
      </c>
      <c r="I1217" s="132">
        <v>255.28</v>
      </c>
      <c r="J1217" s="132">
        <v>159.42</v>
      </c>
      <c r="K1217" s="39">
        <f t="shared" si="1"/>
        <v>296380.08</v>
      </c>
      <c r="L1217" s="39">
        <f t="shared" si="2"/>
        <v>185086.62</v>
      </c>
      <c r="M1217" s="39">
        <f t="shared" si="3"/>
        <v>111293.46</v>
      </c>
      <c r="N1217" s="38" t="str">
        <f>VLOOKUP(F1217,products!$A$2:$B$13,2,FALSE)</f>
        <v>Baby Food</v>
      </c>
      <c r="O1217" s="133">
        <f t="shared" si="4"/>
        <v>0.6244907552</v>
      </c>
      <c r="P1217" s="38" t="str">
        <f>VLOOKUP(E1217,countries!A$2:E$250,3,false)</f>
        <v>Ukraine</v>
      </c>
      <c r="Q1217" s="38" t="str">
        <f>VLOOKUP($E1217,countries!$A$2:$E$250,4,false)</f>
        <v>Europe</v>
      </c>
      <c r="R1217" s="38" t="str">
        <f>VLOOKUP($E1217,countries!$A$2:$E$250,5,false)</f>
        <v>Eastern Europe</v>
      </c>
      <c r="S1217" s="38">
        <f t="shared" si="5"/>
        <v>38</v>
      </c>
      <c r="T1217" s="38" t="s">
        <v>161</v>
      </c>
      <c r="U1217" s="38">
        <v>2014.0</v>
      </c>
      <c r="V1217" s="38">
        <v>5.0</v>
      </c>
      <c r="W1217" s="38" t="s">
        <v>113</v>
      </c>
      <c r="X1217" s="38" t="s">
        <v>181</v>
      </c>
      <c r="Y1217" s="38" t="s">
        <v>146</v>
      </c>
      <c r="Z1217" s="38" t="s">
        <v>155</v>
      </c>
      <c r="AA1217" s="113" t="str">
        <f t="array" ref="AA1217">PROPER(G1217)</f>
        <v>Offline</v>
      </c>
    </row>
    <row r="1218">
      <c r="A1218" s="110">
        <v>9.21133935E8</v>
      </c>
      <c r="B1218" s="131">
        <v>41491.0</v>
      </c>
      <c r="C1218" s="131">
        <v>41497.0</v>
      </c>
      <c r="D1218" s="110" t="s">
        <v>93</v>
      </c>
      <c r="E1218" s="110" t="s">
        <v>109</v>
      </c>
      <c r="F1218" s="110">
        <v>8969.0</v>
      </c>
      <c r="G1218" s="38" t="s">
        <v>43</v>
      </c>
      <c r="H1218" s="110">
        <v>2856.0</v>
      </c>
      <c r="I1218" s="132">
        <v>152.58</v>
      </c>
      <c r="J1218" s="132">
        <v>97.44</v>
      </c>
      <c r="K1218" s="39">
        <f t="shared" si="1"/>
        <v>435768.48</v>
      </c>
      <c r="L1218" s="39">
        <f t="shared" si="2"/>
        <v>278288.64</v>
      </c>
      <c r="M1218" s="39">
        <f t="shared" si="3"/>
        <v>157479.84</v>
      </c>
      <c r="N1218" s="38" t="str">
        <f>VLOOKUP(F1218,products!$A$2:$B$13,2,FALSE)</f>
        <v>Snacks</v>
      </c>
      <c r="O1218" s="133">
        <f t="shared" si="4"/>
        <v>0.6386158081</v>
      </c>
      <c r="P1218" s="38" t="str">
        <f>VLOOKUP(E1218,countries!A$2:E$250,3,false)</f>
        <v>Belgium</v>
      </c>
      <c r="Q1218" s="38" t="str">
        <f>VLOOKUP($E1218,countries!$A$2:$E$250,4,false)</f>
        <v>Europe</v>
      </c>
      <c r="R1218" s="38" t="str">
        <f>VLOOKUP($E1218,countries!$A$2:$E$250,5,false)</f>
        <v>Western Europe</v>
      </c>
      <c r="S1218" s="38">
        <f t="shared" si="5"/>
        <v>6</v>
      </c>
      <c r="T1218" s="38" t="s">
        <v>182</v>
      </c>
      <c r="U1218" s="38">
        <v>2013.0</v>
      </c>
      <c r="V1218" s="38">
        <v>8.0</v>
      </c>
      <c r="W1218" s="38" t="s">
        <v>109</v>
      </c>
      <c r="X1218" s="38" t="s">
        <v>176</v>
      </c>
      <c r="Y1218" s="38" t="s">
        <v>146</v>
      </c>
      <c r="Z1218" s="38" t="s">
        <v>158</v>
      </c>
      <c r="AA1218" s="113" t="str">
        <f t="array" ref="AA1218">PROPER(G1218)</f>
        <v>Online</v>
      </c>
    </row>
    <row r="1219">
      <c r="A1219" s="110">
        <v>9.21230065E8</v>
      </c>
      <c r="B1219" s="131">
        <v>42456.0</v>
      </c>
      <c r="C1219" s="131">
        <v>42506.0</v>
      </c>
      <c r="D1219" s="110" t="s">
        <v>89</v>
      </c>
      <c r="E1219" s="110" t="s">
        <v>115</v>
      </c>
      <c r="F1219" s="110">
        <v>7331.0</v>
      </c>
      <c r="G1219" s="38" t="s">
        <v>42</v>
      </c>
      <c r="H1219" s="110">
        <v>1303.0</v>
      </c>
      <c r="I1219" s="132">
        <v>255.28</v>
      </c>
      <c r="J1219" s="132">
        <v>159.42</v>
      </c>
      <c r="K1219" s="39">
        <f t="shared" si="1"/>
        <v>332629.84</v>
      </c>
      <c r="L1219" s="39">
        <f t="shared" si="2"/>
        <v>207724.26</v>
      </c>
      <c r="M1219" s="39">
        <f t="shared" si="3"/>
        <v>124905.58</v>
      </c>
      <c r="N1219" s="38" t="str">
        <f>VLOOKUP(F1219,products!$A$2:$B$13,2,FALSE)</f>
        <v>Baby Food</v>
      </c>
      <c r="O1219" s="133">
        <f t="shared" si="4"/>
        <v>0.6244907552</v>
      </c>
      <c r="P1219" s="38" t="str">
        <f>VLOOKUP(E1219,countries!A$2:E$250,3,false)</f>
        <v>Portugal</v>
      </c>
      <c r="Q1219" s="38" t="str">
        <f>VLOOKUP($E1219,countries!$A$2:$E$250,4,false)</f>
        <v>Europe</v>
      </c>
      <c r="R1219" s="38" t="str">
        <f>VLOOKUP($E1219,countries!$A$2:$E$250,5,false)</f>
        <v>Southern Europe</v>
      </c>
      <c r="S1219" s="38">
        <f t="shared" si="5"/>
        <v>50</v>
      </c>
      <c r="T1219" s="38" t="s">
        <v>161</v>
      </c>
      <c r="U1219" s="38">
        <v>2016.0</v>
      </c>
      <c r="V1219" s="38">
        <v>3.0</v>
      </c>
      <c r="W1219" s="38" t="s">
        <v>115</v>
      </c>
      <c r="X1219" s="38" t="s">
        <v>186</v>
      </c>
      <c r="Y1219" s="38" t="s">
        <v>146</v>
      </c>
      <c r="Z1219" s="38" t="s">
        <v>147</v>
      </c>
      <c r="AA1219" s="113" t="str">
        <f t="array" ref="AA1219">PROPER(G1219)</f>
        <v>Offline</v>
      </c>
    </row>
    <row r="1220">
      <c r="A1220" s="110">
        <v>9.2169398E8</v>
      </c>
      <c r="B1220" s="131">
        <v>41186.0</v>
      </c>
      <c r="C1220" s="131">
        <v>41217.0</v>
      </c>
      <c r="D1220" s="110" t="s">
        <v>89</v>
      </c>
      <c r="E1220" s="110" t="s">
        <v>138</v>
      </c>
      <c r="F1220" s="110">
        <v>5988.0</v>
      </c>
      <c r="G1220" s="38" t="s">
        <v>43</v>
      </c>
      <c r="H1220" s="110">
        <v>8586.0</v>
      </c>
      <c r="I1220" s="132">
        <v>154.06</v>
      </c>
      <c r="J1220" s="132">
        <v>90.93</v>
      </c>
      <c r="K1220" s="39">
        <f t="shared" si="1"/>
        <v>1322759.16</v>
      </c>
      <c r="L1220" s="39">
        <f t="shared" si="2"/>
        <v>780724.98</v>
      </c>
      <c r="M1220" s="39">
        <f t="shared" si="3"/>
        <v>542034.18</v>
      </c>
      <c r="N1220" s="38" t="str">
        <f>VLOOKUP(F1220,products!$A$2:$B$13,2,FALSE)</f>
        <v>Vegetables</v>
      </c>
      <c r="O1220" s="133">
        <f t="shared" si="4"/>
        <v>0.5902245878</v>
      </c>
      <c r="P1220" s="38" t="str">
        <f>VLOOKUP(E1220,countries!A$2:E$250,3,false)</f>
        <v>Greece</v>
      </c>
      <c r="Q1220" s="38" t="str">
        <f>VLOOKUP($E1220,countries!$A$2:$E$250,4,false)</f>
        <v>Europe</v>
      </c>
      <c r="R1220" s="38" t="str">
        <f>VLOOKUP($E1220,countries!$A$2:$E$250,5,false)</f>
        <v>Southern Europe</v>
      </c>
      <c r="S1220" s="38">
        <f t="shared" si="5"/>
        <v>31</v>
      </c>
      <c r="T1220" s="38" t="s">
        <v>159</v>
      </c>
      <c r="U1220" s="38">
        <v>2012.0</v>
      </c>
      <c r="V1220" s="38">
        <v>10.0</v>
      </c>
      <c r="W1220" s="38" t="s">
        <v>138</v>
      </c>
      <c r="X1220" s="38" t="s">
        <v>208</v>
      </c>
      <c r="Y1220" s="38" t="s">
        <v>146</v>
      </c>
      <c r="Z1220" s="38" t="s">
        <v>147</v>
      </c>
      <c r="AA1220" s="113" t="str">
        <f t="array" ref="AA1220">PROPER(G1220)</f>
        <v>Online</v>
      </c>
    </row>
    <row r="1221">
      <c r="A1221" s="110">
        <v>9.2236346E8</v>
      </c>
      <c r="B1221" s="131">
        <v>41585.0</v>
      </c>
      <c r="C1221" s="131">
        <v>41601.0</v>
      </c>
      <c r="D1221" s="110" t="s">
        <v>95</v>
      </c>
      <c r="E1221" s="110" t="s">
        <v>107</v>
      </c>
      <c r="F1221" s="110">
        <v>2455.0</v>
      </c>
      <c r="G1221" s="38" t="s">
        <v>43</v>
      </c>
      <c r="H1221" s="110">
        <v>6700.0</v>
      </c>
      <c r="I1221" s="132">
        <v>109.28</v>
      </c>
      <c r="J1221" s="132">
        <v>35.84</v>
      </c>
      <c r="K1221" s="39">
        <f t="shared" si="1"/>
        <v>732176</v>
      </c>
      <c r="L1221" s="39">
        <f t="shared" si="2"/>
        <v>240128</v>
      </c>
      <c r="M1221" s="39">
        <f t="shared" si="3"/>
        <v>492048</v>
      </c>
      <c r="N1221" s="38" t="str">
        <f>VLOOKUP(F1221,products!$A$2:$B$13,2,FALSE)</f>
        <v>Clothes</v>
      </c>
      <c r="O1221" s="133">
        <f t="shared" si="4"/>
        <v>0.3279648609</v>
      </c>
      <c r="P1221" s="38" t="str">
        <f>VLOOKUP(E1221,countries!A$2:E$250,3,false)</f>
        <v>Luxembourg</v>
      </c>
      <c r="Q1221" s="38" t="str">
        <f>VLOOKUP($E1221,countries!$A$2:$E$250,4,false)</f>
        <v>Europe</v>
      </c>
      <c r="R1221" s="38" t="str">
        <f>VLOOKUP($E1221,countries!$A$2:$E$250,5,false)</f>
        <v>Western Europe</v>
      </c>
      <c r="S1221" s="38">
        <f t="shared" si="5"/>
        <v>16</v>
      </c>
      <c r="T1221" s="38" t="s">
        <v>150</v>
      </c>
      <c r="U1221" s="38">
        <v>2013.0</v>
      </c>
      <c r="V1221" s="38">
        <v>11.0</v>
      </c>
      <c r="W1221" s="38" t="s">
        <v>107</v>
      </c>
      <c r="X1221" s="38" t="s">
        <v>174</v>
      </c>
      <c r="Y1221" s="38" t="s">
        <v>146</v>
      </c>
      <c r="Z1221" s="38" t="s">
        <v>158</v>
      </c>
      <c r="AA1221" s="113" t="str">
        <f t="array" ref="AA1221">PROPER(G1221)</f>
        <v>Online</v>
      </c>
    </row>
    <row r="1222">
      <c r="A1222" s="110">
        <v>9.22564303E8</v>
      </c>
      <c r="B1222" s="131">
        <v>42811.0</v>
      </c>
      <c r="C1222" s="131">
        <v>42827.0</v>
      </c>
      <c r="D1222" s="110" t="s">
        <v>93</v>
      </c>
      <c r="E1222" s="110" t="e">
        <v>#N/A</v>
      </c>
      <c r="F1222" s="110">
        <v>7940.0</v>
      </c>
      <c r="G1222" s="38" t="s">
        <v>42</v>
      </c>
      <c r="H1222" s="110">
        <v>6134.0</v>
      </c>
      <c r="I1222" s="132">
        <v>668.27</v>
      </c>
      <c r="J1222" s="132">
        <v>502.54</v>
      </c>
      <c r="K1222" s="39">
        <f t="shared" si="1"/>
        <v>4099168.18</v>
      </c>
      <c r="L1222" s="39">
        <f t="shared" si="2"/>
        <v>3082580.36</v>
      </c>
      <c r="M1222" s="39">
        <f t="shared" si="3"/>
        <v>1016587.82</v>
      </c>
      <c r="N1222" s="38" t="str">
        <f>VLOOKUP(F1222,products!$A$2:$B$13,2,FALSE)</f>
        <v>Household</v>
      </c>
      <c r="O1222" s="133">
        <f t="shared" si="4"/>
        <v>0.7520014365</v>
      </c>
      <c r="P1222" s="38" t="str">
        <f>VLOOKUP(E1222,countries!A$2:E$250,3,false)</f>
        <v>#N/A</v>
      </c>
      <c r="Q1222" s="38" t="str">
        <f>VLOOKUP($E1222,countries!$A$2:$E$250,4,false)</f>
        <v>#N/A</v>
      </c>
      <c r="R1222" s="38" t="str">
        <f>VLOOKUP($E1222,countries!$A$2:$E$250,5,false)</f>
        <v>#N/A</v>
      </c>
      <c r="S1222" s="38">
        <f t="shared" si="5"/>
        <v>16</v>
      </c>
      <c r="T1222" s="38" t="s">
        <v>148</v>
      </c>
      <c r="U1222" s="38">
        <v>2017.0</v>
      </c>
      <c r="V1222" s="38">
        <v>3.0</v>
      </c>
      <c r="W1222" s="38" t="s">
        <v>92</v>
      </c>
      <c r="X1222" s="38" t="s">
        <v>149</v>
      </c>
      <c r="Y1222" s="38" t="s">
        <v>149</v>
      </c>
      <c r="Z1222" s="38" t="s">
        <v>149</v>
      </c>
      <c r="AA1222" s="113" t="str">
        <f t="array" ref="AA1222">PROPER(G1222)</f>
        <v>Offline</v>
      </c>
    </row>
    <row r="1223">
      <c r="A1223" s="110">
        <v>9.23160398E8</v>
      </c>
      <c r="B1223" s="131">
        <v>42869.0</v>
      </c>
      <c r="C1223" s="131">
        <v>42901.0</v>
      </c>
      <c r="D1223" s="110" t="s">
        <v>93</v>
      </c>
      <c r="E1223" s="110" t="s">
        <v>128</v>
      </c>
      <c r="F1223" s="110">
        <v>2455.0</v>
      </c>
      <c r="G1223" s="38" t="s">
        <v>42</v>
      </c>
      <c r="H1223" s="110">
        <v>2531.0</v>
      </c>
      <c r="I1223" s="132">
        <v>109.28</v>
      </c>
      <c r="J1223" s="132">
        <v>35.84</v>
      </c>
      <c r="K1223" s="39">
        <f t="shared" si="1"/>
        <v>276587.68</v>
      </c>
      <c r="L1223" s="39">
        <f t="shared" si="2"/>
        <v>90711.04</v>
      </c>
      <c r="M1223" s="39">
        <f t="shared" si="3"/>
        <v>185876.64</v>
      </c>
      <c r="N1223" s="38" t="str">
        <f>VLOOKUP(F1223,products!$A$2:$B$13,2,FALSE)</f>
        <v>Clothes</v>
      </c>
      <c r="O1223" s="133">
        <f t="shared" si="4"/>
        <v>0.3279648609</v>
      </c>
      <c r="P1223" s="38" t="str">
        <f>VLOOKUP(E1223,countries!A$2:E$250,3,false)</f>
        <v>Andorra</v>
      </c>
      <c r="Q1223" s="38" t="str">
        <f>VLOOKUP($E1223,countries!$A$2:$E$250,4,false)</f>
        <v>Europe</v>
      </c>
      <c r="R1223" s="38" t="str">
        <f>VLOOKUP($E1223,countries!$A$2:$E$250,5,false)</f>
        <v>Southern Europe</v>
      </c>
      <c r="S1223" s="38">
        <f t="shared" si="5"/>
        <v>32</v>
      </c>
      <c r="T1223" s="38" t="s">
        <v>150</v>
      </c>
      <c r="U1223" s="38">
        <v>2017.0</v>
      </c>
      <c r="V1223" s="38">
        <v>5.0</v>
      </c>
      <c r="W1223" s="38" t="s">
        <v>128</v>
      </c>
      <c r="X1223" s="38" t="s">
        <v>199</v>
      </c>
      <c r="Y1223" s="38" t="s">
        <v>146</v>
      </c>
      <c r="Z1223" s="38" t="s">
        <v>147</v>
      </c>
      <c r="AA1223" s="113" t="str">
        <f t="array" ref="AA1223">PROPER(G1223)</f>
        <v>Offline</v>
      </c>
    </row>
    <row r="1224">
      <c r="A1224" s="110">
        <v>9.23922574E8</v>
      </c>
      <c r="B1224" s="131">
        <v>40642.0</v>
      </c>
      <c r="C1224" s="131">
        <v>40686.0</v>
      </c>
      <c r="D1224" s="110" t="s">
        <v>89</v>
      </c>
      <c r="E1224" s="110" t="s">
        <v>127</v>
      </c>
      <c r="F1224" s="110">
        <v>5988.0</v>
      </c>
      <c r="G1224" s="38" t="s">
        <v>42</v>
      </c>
      <c r="H1224" s="110">
        <v>8076.0</v>
      </c>
      <c r="I1224" s="132">
        <v>154.06</v>
      </c>
      <c r="J1224" s="132">
        <v>90.93</v>
      </c>
      <c r="K1224" s="39">
        <f t="shared" si="1"/>
        <v>1244188.56</v>
      </c>
      <c r="L1224" s="39">
        <f t="shared" si="2"/>
        <v>734350.68</v>
      </c>
      <c r="M1224" s="39">
        <f t="shared" si="3"/>
        <v>509837.88</v>
      </c>
      <c r="N1224" s="38" t="str">
        <f>VLOOKUP(F1224,products!$A$2:$B$13,2,FALSE)</f>
        <v>Vegetables</v>
      </c>
      <c r="O1224" s="133">
        <f t="shared" si="4"/>
        <v>0.5902245878</v>
      </c>
      <c r="P1224" s="38" t="str">
        <f>VLOOKUP(E1224,countries!A$2:E$250,3,false)</f>
        <v>Ireland</v>
      </c>
      <c r="Q1224" s="38" t="str">
        <f>VLOOKUP($E1224,countries!$A$2:$E$250,4,false)</f>
        <v>Europe</v>
      </c>
      <c r="R1224" s="38" t="str">
        <f>VLOOKUP($E1224,countries!$A$2:$E$250,5,false)</f>
        <v>Northern Europe</v>
      </c>
      <c r="S1224" s="38">
        <f t="shared" si="5"/>
        <v>44</v>
      </c>
      <c r="T1224" s="38" t="s">
        <v>159</v>
      </c>
      <c r="U1224" s="38">
        <v>2011.0</v>
      </c>
      <c r="V1224" s="38">
        <v>4.0</v>
      </c>
      <c r="W1224" s="38" t="s">
        <v>127</v>
      </c>
      <c r="X1224" s="38" t="s">
        <v>198</v>
      </c>
      <c r="Y1224" s="38" t="s">
        <v>146</v>
      </c>
      <c r="Z1224" s="38" t="s">
        <v>170</v>
      </c>
      <c r="AA1224" s="113" t="str">
        <f t="array" ref="AA1224">PROPER(G1224)</f>
        <v>Offline</v>
      </c>
    </row>
    <row r="1225">
      <c r="A1225" s="110">
        <v>9.26064479E8</v>
      </c>
      <c r="B1225" s="131">
        <v>42784.0</v>
      </c>
      <c r="C1225" s="131">
        <v>42804.0</v>
      </c>
      <c r="D1225" s="110" t="s">
        <v>93</v>
      </c>
      <c r="E1225" s="110" t="s">
        <v>118</v>
      </c>
      <c r="F1225" s="110">
        <v>8681.0</v>
      </c>
      <c r="G1225" s="38" t="s">
        <v>43</v>
      </c>
      <c r="H1225" s="110">
        <v>1913.0</v>
      </c>
      <c r="I1225" s="132">
        <v>651.21</v>
      </c>
      <c r="J1225" s="132">
        <v>524.96</v>
      </c>
      <c r="K1225" s="39">
        <f t="shared" si="1"/>
        <v>1245764.73</v>
      </c>
      <c r="L1225" s="39">
        <f t="shared" si="2"/>
        <v>1004248.48</v>
      </c>
      <c r="M1225" s="39">
        <f t="shared" si="3"/>
        <v>241516.25</v>
      </c>
      <c r="N1225" s="38" t="str">
        <f>VLOOKUP(F1225,products!$A$2:$B$13,2,FALSE)</f>
        <v>Office Supplies</v>
      </c>
      <c r="O1225" s="133">
        <f t="shared" si="4"/>
        <v>0.806130127</v>
      </c>
      <c r="P1225" s="38" t="str">
        <f>VLOOKUP(E1225,countries!A$2:E$250,3,false)</f>
        <v>Austria</v>
      </c>
      <c r="Q1225" s="38" t="str">
        <f>VLOOKUP($E1225,countries!$A$2:$E$250,4,false)</f>
        <v>Europe</v>
      </c>
      <c r="R1225" s="38" t="str">
        <f>VLOOKUP($E1225,countries!$A$2:$E$250,5,false)</f>
        <v>Western Europe</v>
      </c>
      <c r="S1225" s="38">
        <f t="shared" si="5"/>
        <v>20</v>
      </c>
      <c r="T1225" s="38" t="s">
        <v>153</v>
      </c>
      <c r="U1225" s="38">
        <v>2017.0</v>
      </c>
      <c r="V1225" s="38">
        <v>2.0</v>
      </c>
      <c r="W1225" s="38" t="s">
        <v>118</v>
      </c>
      <c r="X1225" s="38" t="s">
        <v>189</v>
      </c>
      <c r="Y1225" s="38" t="s">
        <v>146</v>
      </c>
      <c r="Z1225" s="38" t="s">
        <v>158</v>
      </c>
      <c r="AA1225" s="113" t="str">
        <f t="array" ref="AA1225">PROPER(G1225)</f>
        <v>Online</v>
      </c>
    </row>
    <row r="1226">
      <c r="A1226" s="110">
        <v>9.26280772E8</v>
      </c>
      <c r="B1226" s="131">
        <v>42190.0</v>
      </c>
      <c r="C1226" s="131">
        <v>42206.0</v>
      </c>
      <c r="D1226" s="110" t="s">
        <v>95</v>
      </c>
      <c r="E1226" s="110" t="s">
        <v>110</v>
      </c>
      <c r="F1226" s="110">
        <v>1270.0</v>
      </c>
      <c r="G1226" s="38" t="s">
        <v>42</v>
      </c>
      <c r="H1226" s="110">
        <v>5919.0</v>
      </c>
      <c r="I1226" s="132">
        <v>47.45</v>
      </c>
      <c r="J1226" s="132">
        <v>31.79</v>
      </c>
      <c r="K1226" s="39">
        <f t="shared" si="1"/>
        <v>280856.55</v>
      </c>
      <c r="L1226" s="39">
        <f t="shared" si="2"/>
        <v>188165.01</v>
      </c>
      <c r="M1226" s="39">
        <f t="shared" si="3"/>
        <v>92691.54</v>
      </c>
      <c r="N1226" s="38" t="str">
        <f>VLOOKUP(F1226,products!$A$2:$B$13,2,FALSE)</f>
        <v>Beverages</v>
      </c>
      <c r="O1226" s="133">
        <f t="shared" si="4"/>
        <v>0.6699683878</v>
      </c>
      <c r="P1226" s="38" t="str">
        <f>VLOOKUP(E1226,countries!A$2:E$250,3,false)</f>
        <v>Lithuania</v>
      </c>
      <c r="Q1226" s="38" t="str">
        <f>VLOOKUP($E1226,countries!$A$2:$E$250,4,false)</f>
        <v>Europe</v>
      </c>
      <c r="R1226" s="38" t="str">
        <f>VLOOKUP($E1226,countries!$A$2:$E$250,5,false)</f>
        <v>Northern Europe</v>
      </c>
      <c r="S1226" s="38">
        <f t="shared" si="5"/>
        <v>16</v>
      </c>
      <c r="T1226" s="38" t="s">
        <v>152</v>
      </c>
      <c r="U1226" s="38">
        <v>2015.0</v>
      </c>
      <c r="V1226" s="38">
        <v>7.0</v>
      </c>
      <c r="W1226" s="38" t="s">
        <v>110</v>
      </c>
      <c r="X1226" s="38" t="s">
        <v>177</v>
      </c>
      <c r="Y1226" s="38" t="s">
        <v>146</v>
      </c>
      <c r="Z1226" s="38" t="s">
        <v>170</v>
      </c>
      <c r="AA1226" s="113" t="str">
        <f t="array" ref="AA1226">PROPER(G1226)</f>
        <v>Offline</v>
      </c>
    </row>
    <row r="1227">
      <c r="A1227" s="110">
        <v>9.2676357E8</v>
      </c>
      <c r="B1227" s="131">
        <v>42690.0</v>
      </c>
      <c r="C1227" s="131">
        <v>42699.0</v>
      </c>
      <c r="D1227" s="110" t="s">
        <v>95</v>
      </c>
      <c r="E1227" s="110" t="s">
        <v>136</v>
      </c>
      <c r="F1227" s="110">
        <v>2455.0</v>
      </c>
      <c r="G1227" s="38" t="s">
        <v>42</v>
      </c>
      <c r="H1227" s="110">
        <v>8790.0</v>
      </c>
      <c r="I1227" s="132">
        <v>109.28</v>
      </c>
      <c r="J1227" s="132">
        <v>35.84</v>
      </c>
      <c r="K1227" s="39">
        <f t="shared" si="1"/>
        <v>960571.2</v>
      </c>
      <c r="L1227" s="39">
        <f t="shared" si="2"/>
        <v>315033.6</v>
      </c>
      <c r="M1227" s="39">
        <f t="shared" si="3"/>
        <v>645537.6</v>
      </c>
      <c r="N1227" s="38" t="str">
        <f>VLOOKUP(F1227,products!$A$2:$B$13,2,FALSE)</f>
        <v>Clothes</v>
      </c>
      <c r="O1227" s="133">
        <f t="shared" si="4"/>
        <v>0.3279648609</v>
      </c>
      <c r="P1227" s="38" t="str">
        <f>VLOOKUP(E1227,countries!A$2:E$250,3,false)</f>
        <v>Monaco</v>
      </c>
      <c r="Q1227" s="38" t="str">
        <f>VLOOKUP($E1227,countries!$A$2:$E$250,4,false)</f>
        <v>Europe</v>
      </c>
      <c r="R1227" s="38" t="str">
        <f>VLOOKUP($E1227,countries!$A$2:$E$250,5,false)</f>
        <v>Western Europe</v>
      </c>
      <c r="S1227" s="38">
        <f t="shared" si="5"/>
        <v>9</v>
      </c>
      <c r="T1227" s="38" t="s">
        <v>150</v>
      </c>
      <c r="U1227" s="38">
        <v>2016.0</v>
      </c>
      <c r="V1227" s="38">
        <v>11.0</v>
      </c>
      <c r="W1227" s="38" t="s">
        <v>136</v>
      </c>
      <c r="X1227" s="38" t="s">
        <v>206</v>
      </c>
      <c r="Y1227" s="38" t="s">
        <v>146</v>
      </c>
      <c r="Z1227" s="38" t="s">
        <v>158</v>
      </c>
      <c r="AA1227" s="113" t="str">
        <f t="array" ref="AA1227">PROPER(G1227)</f>
        <v>Offline</v>
      </c>
    </row>
    <row r="1228">
      <c r="A1228" s="110">
        <v>9.26826655E8</v>
      </c>
      <c r="B1228" s="131">
        <v>40558.0</v>
      </c>
      <c r="C1228" s="131">
        <v>40590.0</v>
      </c>
      <c r="D1228" s="110" t="s">
        <v>95</v>
      </c>
      <c r="E1228" s="110" t="s">
        <v>126</v>
      </c>
      <c r="F1228" s="110">
        <v>7331.0</v>
      </c>
      <c r="G1228" s="38" t="s">
        <v>43</v>
      </c>
      <c r="H1228" s="110">
        <v>7458.0</v>
      </c>
      <c r="I1228" s="132">
        <v>255.28</v>
      </c>
      <c r="J1228" s="132">
        <v>159.42</v>
      </c>
      <c r="K1228" s="39">
        <f t="shared" si="1"/>
        <v>1903878.24</v>
      </c>
      <c r="L1228" s="39">
        <f t="shared" si="2"/>
        <v>1188954.36</v>
      </c>
      <c r="M1228" s="39">
        <f t="shared" si="3"/>
        <v>714923.88</v>
      </c>
      <c r="N1228" s="38" t="str">
        <f>VLOOKUP(F1228,products!$A$2:$B$13,2,FALSE)</f>
        <v>Baby Food</v>
      </c>
      <c r="O1228" s="133">
        <f t="shared" si="4"/>
        <v>0.6244907552</v>
      </c>
      <c r="P1228" s="38" t="str">
        <f>VLOOKUP(E1228,countries!A$2:E$250,3,false)</f>
        <v>Italy</v>
      </c>
      <c r="Q1228" s="38" t="str">
        <f>VLOOKUP($E1228,countries!$A$2:$E$250,4,false)</f>
        <v>Europe</v>
      </c>
      <c r="R1228" s="38" t="str">
        <f>VLOOKUP($E1228,countries!$A$2:$E$250,5,false)</f>
        <v>Southern Europe</v>
      </c>
      <c r="S1228" s="38">
        <f t="shared" si="5"/>
        <v>32</v>
      </c>
      <c r="T1228" s="38" t="s">
        <v>161</v>
      </c>
      <c r="U1228" s="38">
        <v>2011.0</v>
      </c>
      <c r="V1228" s="38">
        <v>1.0</v>
      </c>
      <c r="W1228" s="38" t="s">
        <v>126</v>
      </c>
      <c r="X1228" s="38" t="s">
        <v>197</v>
      </c>
      <c r="Y1228" s="38" t="s">
        <v>146</v>
      </c>
      <c r="Z1228" s="38" t="s">
        <v>147</v>
      </c>
      <c r="AA1228" s="113" t="str">
        <f t="array" ref="AA1228">PROPER(G1228)</f>
        <v>Online</v>
      </c>
    </row>
    <row r="1229">
      <c r="A1229" s="110">
        <v>9.27351081E8</v>
      </c>
      <c r="B1229" s="131">
        <v>40686.0</v>
      </c>
      <c r="C1229" s="131">
        <v>40696.0</v>
      </c>
      <c r="D1229" s="110" t="s">
        <v>95</v>
      </c>
      <c r="E1229" s="110" t="s">
        <v>129</v>
      </c>
      <c r="F1229" s="110">
        <v>5988.0</v>
      </c>
      <c r="G1229" s="38" t="s">
        <v>42</v>
      </c>
      <c r="H1229" s="110">
        <v>2647.0</v>
      </c>
      <c r="I1229" s="132">
        <v>154.06</v>
      </c>
      <c r="J1229" s="132">
        <v>90.93</v>
      </c>
      <c r="K1229" s="39">
        <f t="shared" si="1"/>
        <v>407796.82</v>
      </c>
      <c r="L1229" s="39">
        <f t="shared" si="2"/>
        <v>240691.71</v>
      </c>
      <c r="M1229" s="39">
        <f t="shared" si="3"/>
        <v>167105.11</v>
      </c>
      <c r="N1229" s="38" t="str">
        <f>VLOOKUP(F1229,products!$A$2:$B$13,2,FALSE)</f>
        <v>Vegetables</v>
      </c>
      <c r="O1229" s="133">
        <f t="shared" si="4"/>
        <v>0.5902245878</v>
      </c>
      <c r="P1229" s="38" t="str">
        <f>VLOOKUP(E1229,countries!A$2:E$250,3,false)</f>
        <v>Liechtenstein</v>
      </c>
      <c r="Q1229" s="38" t="str">
        <f>VLOOKUP($E1229,countries!$A$2:$E$250,4,false)</f>
        <v>Europe</v>
      </c>
      <c r="R1229" s="38" t="str">
        <f>VLOOKUP($E1229,countries!$A$2:$E$250,5,false)</f>
        <v>Western Europe</v>
      </c>
      <c r="S1229" s="38">
        <f t="shared" si="5"/>
        <v>10</v>
      </c>
      <c r="T1229" s="38" t="s">
        <v>159</v>
      </c>
      <c r="U1229" s="38">
        <v>2011.0</v>
      </c>
      <c r="V1229" s="38">
        <v>5.0</v>
      </c>
      <c r="W1229" s="38" t="s">
        <v>129</v>
      </c>
      <c r="X1229" s="38" t="s">
        <v>200</v>
      </c>
      <c r="Y1229" s="38" t="s">
        <v>146</v>
      </c>
      <c r="Z1229" s="38" t="s">
        <v>158</v>
      </c>
      <c r="AA1229" s="113" t="str">
        <f t="array" ref="AA1229">PROPER(G1229)</f>
        <v>Offline</v>
      </c>
    </row>
    <row r="1230">
      <c r="A1230" s="110">
        <v>9.28168189E8</v>
      </c>
      <c r="B1230" s="131">
        <v>40591.0</v>
      </c>
      <c r="C1230" s="131">
        <v>40617.0</v>
      </c>
      <c r="D1230" s="110" t="s">
        <v>95</v>
      </c>
      <c r="E1230" s="110" t="s">
        <v>125</v>
      </c>
      <c r="F1230" s="110">
        <v>2103.0</v>
      </c>
      <c r="G1230" s="38" t="s">
        <v>42</v>
      </c>
      <c r="H1230" s="110">
        <v>4448.0</v>
      </c>
      <c r="I1230" s="132">
        <v>205.7</v>
      </c>
      <c r="J1230" s="132">
        <v>117.11</v>
      </c>
      <c r="K1230" s="39">
        <f t="shared" si="1"/>
        <v>914953.6</v>
      </c>
      <c r="L1230" s="39">
        <f t="shared" si="2"/>
        <v>520905.28</v>
      </c>
      <c r="M1230" s="39">
        <f t="shared" si="3"/>
        <v>394048.32</v>
      </c>
      <c r="N1230" s="38" t="str">
        <f>VLOOKUP(F1230,products!$A$2:$B$13,2,FALSE)</f>
        <v>Cereal</v>
      </c>
      <c r="O1230" s="133">
        <f t="shared" si="4"/>
        <v>0.5693242586</v>
      </c>
      <c r="P1230" s="38" t="str">
        <f>VLOOKUP(E1230,countries!A$2:E$250,3,false)</f>
        <v>Bulgaria</v>
      </c>
      <c r="Q1230" s="38" t="str">
        <f>VLOOKUP($E1230,countries!$A$2:$E$250,4,false)</f>
        <v>Europe</v>
      </c>
      <c r="R1230" s="38" t="str">
        <f>VLOOKUP($E1230,countries!$A$2:$E$250,5,false)</f>
        <v>Eastern Europe</v>
      </c>
      <c r="S1230" s="38">
        <f t="shared" si="5"/>
        <v>26</v>
      </c>
      <c r="T1230" s="38" t="s">
        <v>144</v>
      </c>
      <c r="U1230" s="38">
        <v>2011.0</v>
      </c>
      <c r="V1230" s="38">
        <v>2.0</v>
      </c>
      <c r="W1230" s="38" t="s">
        <v>125</v>
      </c>
      <c r="X1230" s="38" t="s">
        <v>196</v>
      </c>
      <c r="Y1230" s="38" t="s">
        <v>146</v>
      </c>
      <c r="Z1230" s="38" t="s">
        <v>155</v>
      </c>
      <c r="AA1230" s="113" t="str">
        <f t="array" ref="AA1230">PROPER(G1230)</f>
        <v>Offline</v>
      </c>
    </row>
    <row r="1231">
      <c r="A1231" s="110">
        <v>9.29812705E8</v>
      </c>
      <c r="B1231" s="131">
        <v>42877.0</v>
      </c>
      <c r="C1231" s="131">
        <v>42880.0</v>
      </c>
      <c r="D1231" s="110" t="s">
        <v>95</v>
      </c>
      <c r="E1231" s="110" t="s">
        <v>105</v>
      </c>
      <c r="F1231" s="110">
        <v>8875.0</v>
      </c>
      <c r="G1231" s="38" t="s">
        <v>43</v>
      </c>
      <c r="H1231" s="110">
        <v>1097.0</v>
      </c>
      <c r="I1231" s="132">
        <v>421.89</v>
      </c>
      <c r="J1231" s="132">
        <v>364.69</v>
      </c>
      <c r="K1231" s="39">
        <f t="shared" si="1"/>
        <v>462813.33</v>
      </c>
      <c r="L1231" s="39">
        <f t="shared" si="2"/>
        <v>400064.93</v>
      </c>
      <c r="M1231" s="39">
        <f t="shared" si="3"/>
        <v>62748.4</v>
      </c>
      <c r="N1231" s="38" t="str">
        <f>VLOOKUP(F1231,products!$A$2:$B$13,2,FALSE)</f>
        <v>Meat</v>
      </c>
      <c r="O1231" s="133">
        <f t="shared" si="4"/>
        <v>0.8644196354</v>
      </c>
      <c r="P1231" s="38" t="str">
        <f>VLOOKUP(E1231,countries!A$2:E$250,3,false)</f>
        <v>Romania</v>
      </c>
      <c r="Q1231" s="38" t="str">
        <f>VLOOKUP($E1231,countries!$A$2:$E$250,4,false)</f>
        <v>Europe</v>
      </c>
      <c r="R1231" s="38" t="str">
        <f>VLOOKUP($E1231,countries!$A$2:$E$250,5,false)</f>
        <v>Eastern Europe</v>
      </c>
      <c r="S1231" s="38">
        <f t="shared" si="5"/>
        <v>3</v>
      </c>
      <c r="T1231" s="38" t="s">
        <v>167</v>
      </c>
      <c r="U1231" s="38">
        <v>2017.0</v>
      </c>
      <c r="V1231" s="38">
        <v>5.0</v>
      </c>
      <c r="W1231" s="38" t="s">
        <v>105</v>
      </c>
      <c r="X1231" s="38" t="s">
        <v>172</v>
      </c>
      <c r="Y1231" s="38" t="s">
        <v>146</v>
      </c>
      <c r="Z1231" s="38" t="s">
        <v>155</v>
      </c>
      <c r="AA1231" s="113" t="str">
        <f t="array" ref="AA1231">PROPER(G1231)</f>
        <v>Online</v>
      </c>
    </row>
    <row r="1232">
      <c r="A1232" s="110">
        <v>9.30136287E8</v>
      </c>
      <c r="B1232" s="131">
        <v>41779.0</v>
      </c>
      <c r="C1232" s="131">
        <v>41811.0</v>
      </c>
      <c r="D1232" s="110" t="s">
        <v>93</v>
      </c>
      <c r="E1232" s="110" t="s">
        <v>123</v>
      </c>
      <c r="F1232" s="110">
        <v>1270.0</v>
      </c>
      <c r="G1232" s="38" t="s">
        <v>43</v>
      </c>
      <c r="H1232" s="110">
        <v>6852.0</v>
      </c>
      <c r="I1232" s="132">
        <v>47.45</v>
      </c>
      <c r="J1232" s="132">
        <v>31.79</v>
      </c>
      <c r="K1232" s="39">
        <f t="shared" si="1"/>
        <v>325127.4</v>
      </c>
      <c r="L1232" s="39">
        <f t="shared" si="2"/>
        <v>217825.08</v>
      </c>
      <c r="M1232" s="39">
        <f t="shared" si="3"/>
        <v>107302.32</v>
      </c>
      <c r="N1232" s="38" t="str">
        <f>VLOOKUP(F1232,products!$A$2:$B$13,2,FALSE)</f>
        <v>Beverages</v>
      </c>
      <c r="O1232" s="133">
        <f t="shared" si="4"/>
        <v>0.6699683878</v>
      </c>
      <c r="P1232" s="38" t="str">
        <f>VLOOKUP(E1232,countries!A$2:E$250,3,false)</f>
        <v>Hungary</v>
      </c>
      <c r="Q1232" s="38" t="str">
        <f>VLOOKUP($E1232,countries!$A$2:$E$250,4,false)</f>
        <v>Europe</v>
      </c>
      <c r="R1232" s="38" t="str">
        <f>VLOOKUP($E1232,countries!$A$2:$E$250,5,false)</f>
        <v>Eastern Europe</v>
      </c>
      <c r="S1232" s="38">
        <f t="shared" si="5"/>
        <v>32</v>
      </c>
      <c r="T1232" s="38" t="s">
        <v>152</v>
      </c>
      <c r="U1232" s="38">
        <v>2014.0</v>
      </c>
      <c r="V1232" s="38">
        <v>5.0</v>
      </c>
      <c r="W1232" s="38" t="s">
        <v>123</v>
      </c>
      <c r="X1232" s="38" t="s">
        <v>194</v>
      </c>
      <c r="Y1232" s="38" t="s">
        <v>146</v>
      </c>
      <c r="Z1232" s="38" t="s">
        <v>155</v>
      </c>
      <c r="AA1232" s="113" t="str">
        <f t="array" ref="AA1232">PROPER(G1232)</f>
        <v>Online</v>
      </c>
    </row>
    <row r="1233">
      <c r="A1233" s="110">
        <v>9.3029679E8</v>
      </c>
      <c r="B1233" s="131">
        <v>40229.0</v>
      </c>
      <c r="C1233" s="131">
        <v>40263.0</v>
      </c>
      <c r="D1233" s="110" t="s">
        <v>10</v>
      </c>
      <c r="E1233" s="110" t="s">
        <v>110</v>
      </c>
      <c r="F1233" s="110">
        <v>8875.0</v>
      </c>
      <c r="G1233" s="38" t="s">
        <v>42</v>
      </c>
      <c r="H1233" s="110">
        <v>4348.0</v>
      </c>
      <c r="I1233" s="132">
        <v>421.89</v>
      </c>
      <c r="J1233" s="132">
        <v>364.69</v>
      </c>
      <c r="K1233" s="39">
        <f t="shared" si="1"/>
        <v>1834377.72</v>
      </c>
      <c r="L1233" s="39">
        <f t="shared" si="2"/>
        <v>1585672.12</v>
      </c>
      <c r="M1233" s="39">
        <f t="shared" si="3"/>
        <v>248705.6</v>
      </c>
      <c r="N1233" s="38" t="str">
        <f>VLOOKUP(F1233,products!$A$2:$B$13,2,FALSE)</f>
        <v>Meat</v>
      </c>
      <c r="O1233" s="133">
        <f t="shared" si="4"/>
        <v>0.8644196354</v>
      </c>
      <c r="P1233" s="38" t="str">
        <f>VLOOKUP(E1233,countries!A$2:E$250,3,false)</f>
        <v>Lithuania</v>
      </c>
      <c r="Q1233" s="38" t="str">
        <f>VLOOKUP($E1233,countries!$A$2:$E$250,4,false)</f>
        <v>Europe</v>
      </c>
      <c r="R1233" s="38" t="str">
        <f>VLOOKUP($E1233,countries!$A$2:$E$250,5,false)</f>
        <v>Northern Europe</v>
      </c>
      <c r="S1233" s="38">
        <f t="shared" si="5"/>
        <v>34</v>
      </c>
      <c r="T1233" s="38" t="s">
        <v>167</v>
      </c>
      <c r="U1233" s="38">
        <v>2010.0</v>
      </c>
      <c r="V1233" s="38">
        <v>2.0</v>
      </c>
      <c r="W1233" s="38" t="s">
        <v>110</v>
      </c>
      <c r="X1233" s="38" t="s">
        <v>177</v>
      </c>
      <c r="Y1233" s="38" t="s">
        <v>146</v>
      </c>
      <c r="Z1233" s="38" t="s">
        <v>170</v>
      </c>
      <c r="AA1233" s="113" t="str">
        <f t="array" ref="AA1233">PROPER(G1233)</f>
        <v>Offline</v>
      </c>
    </row>
    <row r="1234">
      <c r="A1234" s="110">
        <v>9.30457293E8</v>
      </c>
      <c r="B1234" s="131">
        <v>41445.0</v>
      </c>
      <c r="C1234" s="131">
        <v>41481.0</v>
      </c>
      <c r="D1234" s="110" t="s">
        <v>95</v>
      </c>
      <c r="E1234" s="110" t="s">
        <v>94</v>
      </c>
      <c r="F1234" s="110">
        <v>2103.0</v>
      </c>
      <c r="G1234" s="38" t="s">
        <v>42</v>
      </c>
      <c r="H1234" s="110">
        <v>1845.0</v>
      </c>
      <c r="I1234" s="132">
        <v>205.7</v>
      </c>
      <c r="J1234" s="132">
        <v>117.11</v>
      </c>
      <c r="K1234" s="39">
        <f t="shared" si="1"/>
        <v>379516.5</v>
      </c>
      <c r="L1234" s="39">
        <f t="shared" si="2"/>
        <v>216067.95</v>
      </c>
      <c r="M1234" s="39">
        <f t="shared" si="3"/>
        <v>163448.55</v>
      </c>
      <c r="N1234" s="38" t="str">
        <f>VLOOKUP(F1234,products!$A$2:$B$13,2,FALSE)</f>
        <v>Cereal</v>
      </c>
      <c r="O1234" s="133">
        <f t="shared" si="4"/>
        <v>0.5693242586</v>
      </c>
      <c r="P1234" s="38" t="str">
        <f>VLOOKUP(E1234,countries!A$2:E$250,3,false)</f>
        <v>Montenegro</v>
      </c>
      <c r="Q1234" s="38" t="str">
        <f>VLOOKUP($E1234,countries!$A$2:$E$250,4,false)</f>
        <v>Europe</v>
      </c>
      <c r="R1234" s="38" t="str">
        <f>VLOOKUP($E1234,countries!$A$2:$E$250,5,false)</f>
        <v>Southern Europe</v>
      </c>
      <c r="S1234" s="38">
        <f t="shared" si="5"/>
        <v>36</v>
      </c>
      <c r="T1234" s="38" t="s">
        <v>144</v>
      </c>
      <c r="U1234" s="38">
        <v>2013.0</v>
      </c>
      <c r="V1234" s="38">
        <v>6.0</v>
      </c>
      <c r="W1234" s="38" t="s">
        <v>94</v>
      </c>
      <c r="X1234" s="38" t="s">
        <v>151</v>
      </c>
      <c r="Y1234" s="38" t="s">
        <v>146</v>
      </c>
      <c r="Z1234" s="38" t="s">
        <v>147</v>
      </c>
      <c r="AA1234" s="113" t="str">
        <f t="array" ref="AA1234">PROPER(G1234)</f>
        <v>Offline</v>
      </c>
    </row>
    <row r="1235">
      <c r="A1235" s="110">
        <v>9.30670154E8</v>
      </c>
      <c r="B1235" s="131">
        <v>42792.0</v>
      </c>
      <c r="C1235" s="131">
        <v>42809.0</v>
      </c>
      <c r="D1235" s="110" t="s">
        <v>93</v>
      </c>
      <c r="E1235" s="110" t="s">
        <v>90</v>
      </c>
      <c r="F1235" s="110">
        <v>8875.0</v>
      </c>
      <c r="G1235" s="38" t="s">
        <v>43</v>
      </c>
      <c r="H1235" s="110">
        <v>4835.0</v>
      </c>
      <c r="I1235" s="132">
        <v>421.89</v>
      </c>
      <c r="J1235" s="132">
        <v>364.69</v>
      </c>
      <c r="K1235" s="39">
        <f t="shared" si="1"/>
        <v>2039838.15</v>
      </c>
      <c r="L1235" s="39">
        <f t="shared" si="2"/>
        <v>1763276.15</v>
      </c>
      <c r="M1235" s="39">
        <f t="shared" si="3"/>
        <v>276562</v>
      </c>
      <c r="N1235" s="38" t="str">
        <f>VLOOKUP(F1235,products!$A$2:$B$13,2,FALSE)</f>
        <v>Meat</v>
      </c>
      <c r="O1235" s="133">
        <f t="shared" si="4"/>
        <v>0.8644196354</v>
      </c>
      <c r="P1235" s="38" t="str">
        <f>VLOOKUP(E1235,countries!A$2:E$250,3,false)</f>
        <v>Norway</v>
      </c>
      <c r="Q1235" s="38" t="str">
        <f>VLOOKUP($E1235,countries!$A$2:$E$250,4,false)</f>
        <v>Europe</v>
      </c>
      <c r="R1235" s="38" t="str">
        <f>VLOOKUP($E1235,countries!$A$2:$E$250,5,false)</f>
        <v>Northern Europe</v>
      </c>
      <c r="S1235" s="38">
        <f t="shared" si="5"/>
        <v>17</v>
      </c>
      <c r="T1235" s="38" t="s">
        <v>167</v>
      </c>
      <c r="U1235" s="38">
        <v>2017.0</v>
      </c>
      <c r="V1235" s="38">
        <v>2.0</v>
      </c>
      <c r="W1235" s="38" t="s">
        <v>90</v>
      </c>
      <c r="X1235" s="38" t="s">
        <v>183</v>
      </c>
      <c r="Y1235" s="38" t="s">
        <v>146</v>
      </c>
      <c r="Z1235" s="38" t="s">
        <v>170</v>
      </c>
      <c r="AA1235" s="113" t="str">
        <f t="array" ref="AA1235">PROPER(G1235)</f>
        <v>Online</v>
      </c>
    </row>
    <row r="1236">
      <c r="A1236" s="110">
        <v>9.3147782E8</v>
      </c>
      <c r="B1236" s="131">
        <v>41813.0</v>
      </c>
      <c r="C1236" s="131">
        <v>41839.0</v>
      </c>
      <c r="D1236" s="110" t="s">
        <v>93</v>
      </c>
      <c r="E1236" s="110" t="s">
        <v>109</v>
      </c>
      <c r="F1236" s="110">
        <v>1270.0</v>
      </c>
      <c r="G1236" s="38" t="s">
        <v>43</v>
      </c>
      <c r="H1236" s="110">
        <v>3841.0</v>
      </c>
      <c r="I1236" s="132">
        <v>47.45</v>
      </c>
      <c r="J1236" s="132">
        <v>31.79</v>
      </c>
      <c r="K1236" s="39">
        <f t="shared" si="1"/>
        <v>182255.45</v>
      </c>
      <c r="L1236" s="39">
        <f t="shared" si="2"/>
        <v>122105.39</v>
      </c>
      <c r="M1236" s="39">
        <f t="shared" si="3"/>
        <v>60150.06</v>
      </c>
      <c r="N1236" s="38" t="str">
        <f>VLOOKUP(F1236,products!$A$2:$B$13,2,FALSE)</f>
        <v>Beverages</v>
      </c>
      <c r="O1236" s="133">
        <f t="shared" si="4"/>
        <v>0.6699683878</v>
      </c>
      <c r="P1236" s="38" t="str">
        <f>VLOOKUP(E1236,countries!A$2:E$250,3,false)</f>
        <v>Belgium</v>
      </c>
      <c r="Q1236" s="38" t="str">
        <f>VLOOKUP($E1236,countries!$A$2:$E$250,4,false)</f>
        <v>Europe</v>
      </c>
      <c r="R1236" s="38" t="str">
        <f>VLOOKUP($E1236,countries!$A$2:$E$250,5,false)</f>
        <v>Western Europe</v>
      </c>
      <c r="S1236" s="38">
        <f t="shared" si="5"/>
        <v>26</v>
      </c>
      <c r="T1236" s="38" t="s">
        <v>152</v>
      </c>
      <c r="U1236" s="38">
        <v>2014.0</v>
      </c>
      <c r="V1236" s="38">
        <v>6.0</v>
      </c>
      <c r="W1236" s="38" t="s">
        <v>109</v>
      </c>
      <c r="X1236" s="38" t="s">
        <v>176</v>
      </c>
      <c r="Y1236" s="38" t="s">
        <v>146</v>
      </c>
      <c r="Z1236" s="38" t="s">
        <v>158</v>
      </c>
      <c r="AA1236" s="113" t="str">
        <f t="array" ref="AA1236">PROPER(G1236)</f>
        <v>Online</v>
      </c>
    </row>
    <row r="1237">
      <c r="A1237" s="110">
        <v>9.31559789E8</v>
      </c>
      <c r="B1237" s="131">
        <v>41450.0</v>
      </c>
      <c r="C1237" s="131">
        <v>41460.0</v>
      </c>
      <c r="D1237" s="110" t="s">
        <v>10</v>
      </c>
      <c r="E1237" s="110" t="s">
        <v>123</v>
      </c>
      <c r="F1237" s="110">
        <v>2455.0</v>
      </c>
      <c r="G1237" s="38" t="s">
        <v>42</v>
      </c>
      <c r="H1237" s="110">
        <v>8098.0</v>
      </c>
      <c r="I1237" s="132">
        <v>109.28</v>
      </c>
      <c r="J1237" s="132">
        <v>35.84</v>
      </c>
      <c r="K1237" s="39">
        <f t="shared" si="1"/>
        <v>884949.44</v>
      </c>
      <c r="L1237" s="39">
        <f t="shared" si="2"/>
        <v>290232.32</v>
      </c>
      <c r="M1237" s="39">
        <f t="shared" si="3"/>
        <v>594717.12</v>
      </c>
      <c r="N1237" s="38" t="str">
        <f>VLOOKUP(F1237,products!$A$2:$B$13,2,FALSE)</f>
        <v>Clothes</v>
      </c>
      <c r="O1237" s="133">
        <f t="shared" si="4"/>
        <v>0.3279648609</v>
      </c>
      <c r="P1237" s="38" t="str">
        <f>VLOOKUP(E1237,countries!A$2:E$250,3,false)</f>
        <v>Hungary</v>
      </c>
      <c r="Q1237" s="38" t="str">
        <f>VLOOKUP($E1237,countries!$A$2:$E$250,4,false)</f>
        <v>Europe</v>
      </c>
      <c r="R1237" s="38" t="str">
        <f>VLOOKUP($E1237,countries!$A$2:$E$250,5,false)</f>
        <v>Eastern Europe</v>
      </c>
      <c r="S1237" s="38">
        <f t="shared" si="5"/>
        <v>10</v>
      </c>
      <c r="T1237" s="38" t="s">
        <v>150</v>
      </c>
      <c r="U1237" s="38">
        <v>2013.0</v>
      </c>
      <c r="V1237" s="38">
        <v>6.0</v>
      </c>
      <c r="W1237" s="38" t="s">
        <v>123</v>
      </c>
      <c r="X1237" s="38" t="s">
        <v>194</v>
      </c>
      <c r="Y1237" s="38" t="s">
        <v>146</v>
      </c>
      <c r="Z1237" s="38" t="s">
        <v>155</v>
      </c>
      <c r="AA1237" s="113" t="str">
        <f t="array" ref="AA1237">PROPER(G1237)</f>
        <v>Offline</v>
      </c>
    </row>
    <row r="1238">
      <c r="A1238" s="110">
        <v>9.32475602E8</v>
      </c>
      <c r="B1238" s="131">
        <v>41556.0</v>
      </c>
      <c r="C1238" s="131">
        <v>41599.0</v>
      </c>
      <c r="D1238" s="110" t="s">
        <v>93</v>
      </c>
      <c r="E1238" s="110" t="s">
        <v>128</v>
      </c>
      <c r="F1238" s="110">
        <v>1270.0</v>
      </c>
      <c r="G1238" s="38" t="s">
        <v>42</v>
      </c>
      <c r="H1238" s="110">
        <v>9107.0</v>
      </c>
      <c r="I1238" s="132">
        <v>47.45</v>
      </c>
      <c r="J1238" s="132">
        <v>31.79</v>
      </c>
      <c r="K1238" s="39">
        <f t="shared" si="1"/>
        <v>432127.15</v>
      </c>
      <c r="L1238" s="39">
        <f t="shared" si="2"/>
        <v>289511.53</v>
      </c>
      <c r="M1238" s="39">
        <f t="shared" si="3"/>
        <v>142615.62</v>
      </c>
      <c r="N1238" s="38" t="str">
        <f>VLOOKUP(F1238,products!$A$2:$B$13,2,FALSE)</f>
        <v>Beverages</v>
      </c>
      <c r="O1238" s="133">
        <f t="shared" si="4"/>
        <v>0.6699683878</v>
      </c>
      <c r="P1238" s="38" t="str">
        <f>VLOOKUP(E1238,countries!A$2:E$250,3,false)</f>
        <v>Andorra</v>
      </c>
      <c r="Q1238" s="38" t="str">
        <f>VLOOKUP($E1238,countries!$A$2:$E$250,4,false)</f>
        <v>Europe</v>
      </c>
      <c r="R1238" s="38" t="str">
        <f>VLOOKUP($E1238,countries!$A$2:$E$250,5,false)</f>
        <v>Southern Europe</v>
      </c>
      <c r="S1238" s="38">
        <f t="shared" si="5"/>
        <v>43</v>
      </c>
      <c r="T1238" s="38" t="s">
        <v>152</v>
      </c>
      <c r="U1238" s="38">
        <v>2013.0</v>
      </c>
      <c r="V1238" s="38">
        <v>10.0</v>
      </c>
      <c r="W1238" s="38" t="s">
        <v>128</v>
      </c>
      <c r="X1238" s="38" t="s">
        <v>199</v>
      </c>
      <c r="Y1238" s="38" t="s">
        <v>146</v>
      </c>
      <c r="Z1238" s="38" t="s">
        <v>147</v>
      </c>
      <c r="AA1238" s="113" t="str">
        <f t="array" ref="AA1238">PROPER(G1238)</f>
        <v>Offline</v>
      </c>
    </row>
    <row r="1239">
      <c r="A1239" s="110">
        <v>9.33642041E8</v>
      </c>
      <c r="B1239" s="131">
        <v>41018.0</v>
      </c>
      <c r="C1239" s="131">
        <v>41048.0</v>
      </c>
      <c r="D1239" s="110" t="s">
        <v>95</v>
      </c>
      <c r="E1239" s="110" t="s">
        <v>94</v>
      </c>
      <c r="F1239" s="110">
        <v>3127.0</v>
      </c>
      <c r="G1239" s="38" t="s">
        <v>43</v>
      </c>
      <c r="H1239" s="110">
        <v>4282.0</v>
      </c>
      <c r="I1239" s="132">
        <v>81.73</v>
      </c>
      <c r="J1239" s="132">
        <v>56.67</v>
      </c>
      <c r="K1239" s="39">
        <f t="shared" si="1"/>
        <v>349967.86</v>
      </c>
      <c r="L1239" s="39">
        <f t="shared" si="2"/>
        <v>242660.94</v>
      </c>
      <c r="M1239" s="39">
        <f t="shared" si="3"/>
        <v>107306.92</v>
      </c>
      <c r="N1239" s="38" t="str">
        <f>VLOOKUP(F1239,products!$A$2:$B$13,2,FALSE)</f>
        <v>Personal Care</v>
      </c>
      <c r="O1239" s="133">
        <f t="shared" si="4"/>
        <v>0.6933806436</v>
      </c>
      <c r="P1239" s="38" t="str">
        <f>VLOOKUP(E1239,countries!A$2:E$250,3,false)</f>
        <v>Montenegro</v>
      </c>
      <c r="Q1239" s="38" t="str">
        <f>VLOOKUP($E1239,countries!$A$2:$E$250,4,false)</f>
        <v>Europe</v>
      </c>
      <c r="R1239" s="38" t="str">
        <f>VLOOKUP($E1239,countries!$A$2:$E$250,5,false)</f>
        <v>Southern Europe</v>
      </c>
      <c r="S1239" s="38">
        <f t="shared" si="5"/>
        <v>30</v>
      </c>
      <c r="T1239" s="38" t="s">
        <v>185</v>
      </c>
      <c r="U1239" s="38">
        <v>2012.0</v>
      </c>
      <c r="V1239" s="38">
        <v>4.0</v>
      </c>
      <c r="W1239" s="38" t="s">
        <v>94</v>
      </c>
      <c r="X1239" s="38" t="s">
        <v>151</v>
      </c>
      <c r="Y1239" s="38" t="s">
        <v>146</v>
      </c>
      <c r="Z1239" s="38" t="s">
        <v>147</v>
      </c>
      <c r="AA1239" s="113" t="str">
        <f t="array" ref="AA1239">PROPER(G1239)</f>
        <v>Online</v>
      </c>
    </row>
    <row r="1240">
      <c r="A1240" s="110">
        <v>9.33699119E8</v>
      </c>
      <c r="B1240" s="131">
        <v>41591.0</v>
      </c>
      <c r="C1240" s="131">
        <v>41602.0</v>
      </c>
      <c r="D1240" s="110" t="s">
        <v>10</v>
      </c>
      <c r="E1240" s="110" t="s">
        <v>121</v>
      </c>
      <c r="F1240" s="110">
        <v>3127.0</v>
      </c>
      <c r="G1240" s="38" t="s">
        <v>42</v>
      </c>
      <c r="H1240" s="110">
        <v>1173.0</v>
      </c>
      <c r="I1240" s="132">
        <v>81.73</v>
      </c>
      <c r="J1240" s="132">
        <v>56.67</v>
      </c>
      <c r="K1240" s="39">
        <f t="shared" si="1"/>
        <v>95869.29</v>
      </c>
      <c r="L1240" s="39">
        <f t="shared" si="2"/>
        <v>66473.91</v>
      </c>
      <c r="M1240" s="39">
        <f t="shared" si="3"/>
        <v>29395.38</v>
      </c>
      <c r="N1240" s="38" t="str">
        <f>VLOOKUP(F1240,products!$A$2:$B$13,2,FALSE)</f>
        <v>Personal Care</v>
      </c>
      <c r="O1240" s="133">
        <f t="shared" si="4"/>
        <v>0.6933806436</v>
      </c>
      <c r="P1240" s="38" t="str">
        <f>VLOOKUP(E1240,countries!A$2:E$250,3,false)</f>
        <v>Netherlands</v>
      </c>
      <c r="Q1240" s="38" t="str">
        <f>VLOOKUP($E1240,countries!$A$2:$E$250,4,false)</f>
        <v>Europe</v>
      </c>
      <c r="R1240" s="38" t="str">
        <f>VLOOKUP($E1240,countries!$A$2:$E$250,5,false)</f>
        <v>Western Europe</v>
      </c>
      <c r="S1240" s="38">
        <f t="shared" si="5"/>
        <v>11</v>
      </c>
      <c r="T1240" s="38" t="s">
        <v>185</v>
      </c>
      <c r="U1240" s="38">
        <v>2013.0</v>
      </c>
      <c r="V1240" s="38">
        <v>11.0</v>
      </c>
      <c r="W1240" s="38" t="s">
        <v>121</v>
      </c>
      <c r="X1240" s="38" t="s">
        <v>192</v>
      </c>
      <c r="Y1240" s="38" t="s">
        <v>146</v>
      </c>
      <c r="Z1240" s="38" t="s">
        <v>158</v>
      </c>
      <c r="AA1240" s="113" t="str">
        <f t="array" ref="AA1240">PROPER(G1240)</f>
        <v>Offline</v>
      </c>
    </row>
    <row r="1241">
      <c r="A1241" s="110">
        <v>9.33720576E8</v>
      </c>
      <c r="B1241" s="131">
        <v>42596.0</v>
      </c>
      <c r="C1241" s="131">
        <v>42644.0</v>
      </c>
      <c r="D1241" s="110" t="s">
        <v>95</v>
      </c>
      <c r="E1241" s="110" t="s">
        <v>129</v>
      </c>
      <c r="F1241" s="110">
        <v>5988.0</v>
      </c>
      <c r="G1241" s="38" t="s">
        <v>42</v>
      </c>
      <c r="H1241" s="110">
        <v>7523.0</v>
      </c>
      <c r="I1241" s="132">
        <v>154.06</v>
      </c>
      <c r="J1241" s="132">
        <v>90.93</v>
      </c>
      <c r="K1241" s="39">
        <f t="shared" si="1"/>
        <v>1158993.38</v>
      </c>
      <c r="L1241" s="39">
        <f t="shared" si="2"/>
        <v>684066.39</v>
      </c>
      <c r="M1241" s="39">
        <f t="shared" si="3"/>
        <v>474926.99</v>
      </c>
      <c r="N1241" s="38" t="str">
        <f>VLOOKUP(F1241,products!$A$2:$B$13,2,FALSE)</f>
        <v>Vegetables</v>
      </c>
      <c r="O1241" s="133">
        <f t="shared" si="4"/>
        <v>0.5902245878</v>
      </c>
      <c r="P1241" s="38" t="str">
        <f>VLOOKUP(E1241,countries!A$2:E$250,3,false)</f>
        <v>Liechtenstein</v>
      </c>
      <c r="Q1241" s="38" t="str">
        <f>VLOOKUP($E1241,countries!$A$2:$E$250,4,false)</f>
        <v>Europe</v>
      </c>
      <c r="R1241" s="38" t="str">
        <f>VLOOKUP($E1241,countries!$A$2:$E$250,5,false)</f>
        <v>Western Europe</v>
      </c>
      <c r="S1241" s="38">
        <f t="shared" si="5"/>
        <v>48</v>
      </c>
      <c r="T1241" s="38" t="s">
        <v>159</v>
      </c>
      <c r="U1241" s="38">
        <v>2016.0</v>
      </c>
      <c r="V1241" s="38">
        <v>8.0</v>
      </c>
      <c r="W1241" s="38" t="s">
        <v>129</v>
      </c>
      <c r="X1241" s="38" t="s">
        <v>200</v>
      </c>
      <c r="Y1241" s="38" t="s">
        <v>146</v>
      </c>
      <c r="Z1241" s="38" t="s">
        <v>158</v>
      </c>
      <c r="AA1241" s="113" t="str">
        <f t="array" ref="AA1241">PROPER(G1241)</f>
        <v>Offline</v>
      </c>
    </row>
    <row r="1242">
      <c r="A1242" s="110">
        <v>9.33963048E8</v>
      </c>
      <c r="B1242" s="131">
        <v>40684.0</v>
      </c>
      <c r="C1242" s="131">
        <v>40718.0</v>
      </c>
      <c r="D1242" s="110" t="s">
        <v>89</v>
      </c>
      <c r="E1242" s="110" t="s">
        <v>122</v>
      </c>
      <c r="F1242" s="110">
        <v>2455.0</v>
      </c>
      <c r="G1242" s="38" t="s">
        <v>42</v>
      </c>
      <c r="H1242" s="110">
        <v>9275.0</v>
      </c>
      <c r="I1242" s="132">
        <v>109.28</v>
      </c>
      <c r="J1242" s="132">
        <v>35.84</v>
      </c>
      <c r="K1242" s="39">
        <f t="shared" si="1"/>
        <v>1013572</v>
      </c>
      <c r="L1242" s="39">
        <f t="shared" si="2"/>
        <v>332416</v>
      </c>
      <c r="M1242" s="39">
        <f t="shared" si="3"/>
        <v>681156</v>
      </c>
      <c r="N1242" s="38" t="str">
        <f>VLOOKUP(F1242,products!$A$2:$B$13,2,FALSE)</f>
        <v>Clothes</v>
      </c>
      <c r="O1242" s="133">
        <f t="shared" si="4"/>
        <v>0.3279648609</v>
      </c>
      <c r="P1242" s="38" t="str">
        <f>VLOOKUP(E1242,countries!A$2:E$250,3,false)</f>
        <v>Switzerland</v>
      </c>
      <c r="Q1242" s="38" t="str">
        <f>VLOOKUP($E1242,countries!$A$2:$E$250,4,false)</f>
        <v>Europe</v>
      </c>
      <c r="R1242" s="38" t="str">
        <f>VLOOKUP($E1242,countries!$A$2:$E$250,5,false)</f>
        <v>Western Europe</v>
      </c>
      <c r="S1242" s="38">
        <f t="shared" si="5"/>
        <v>34</v>
      </c>
      <c r="T1242" s="38" t="s">
        <v>150</v>
      </c>
      <c r="U1242" s="38">
        <v>2011.0</v>
      </c>
      <c r="V1242" s="38">
        <v>5.0</v>
      </c>
      <c r="W1242" s="38" t="s">
        <v>122</v>
      </c>
      <c r="X1242" s="38" t="s">
        <v>193</v>
      </c>
      <c r="Y1242" s="38" t="s">
        <v>146</v>
      </c>
      <c r="Z1242" s="38" t="s">
        <v>158</v>
      </c>
      <c r="AA1242" s="113" t="str">
        <f t="array" ref="AA1242">PROPER(G1242)</f>
        <v>Offline</v>
      </c>
    </row>
    <row r="1243">
      <c r="A1243" s="110">
        <v>9.34718358E8</v>
      </c>
      <c r="B1243" s="131">
        <v>42340.0</v>
      </c>
      <c r="C1243" s="131">
        <v>42354.0</v>
      </c>
      <c r="D1243" s="110" t="s">
        <v>95</v>
      </c>
      <c r="E1243" s="110" t="s">
        <v>127</v>
      </c>
      <c r="F1243" s="110">
        <v>5988.0</v>
      </c>
      <c r="G1243" s="38" t="s">
        <v>43</v>
      </c>
      <c r="H1243" s="110">
        <v>2789.0</v>
      </c>
      <c r="I1243" s="132">
        <v>154.06</v>
      </c>
      <c r="J1243" s="132">
        <v>90.93</v>
      </c>
      <c r="K1243" s="39">
        <f t="shared" si="1"/>
        <v>429673.34</v>
      </c>
      <c r="L1243" s="39">
        <f t="shared" si="2"/>
        <v>253603.77</v>
      </c>
      <c r="M1243" s="39">
        <f t="shared" si="3"/>
        <v>176069.57</v>
      </c>
      <c r="N1243" s="38" t="str">
        <f>VLOOKUP(F1243,products!$A$2:$B$13,2,FALSE)</f>
        <v>Vegetables</v>
      </c>
      <c r="O1243" s="133">
        <f t="shared" si="4"/>
        <v>0.5902245878</v>
      </c>
      <c r="P1243" s="38" t="str">
        <f>VLOOKUP(E1243,countries!A$2:E$250,3,false)</f>
        <v>Ireland</v>
      </c>
      <c r="Q1243" s="38" t="str">
        <f>VLOOKUP($E1243,countries!$A$2:$E$250,4,false)</f>
        <v>Europe</v>
      </c>
      <c r="R1243" s="38" t="str">
        <f>VLOOKUP($E1243,countries!$A$2:$E$250,5,false)</f>
        <v>Northern Europe</v>
      </c>
      <c r="S1243" s="38">
        <f t="shared" si="5"/>
        <v>14</v>
      </c>
      <c r="T1243" s="38" t="s">
        <v>159</v>
      </c>
      <c r="U1243" s="38">
        <v>2015.0</v>
      </c>
      <c r="V1243" s="38">
        <v>12.0</v>
      </c>
      <c r="W1243" s="38" t="s">
        <v>127</v>
      </c>
      <c r="X1243" s="38" t="s">
        <v>198</v>
      </c>
      <c r="Y1243" s="38" t="s">
        <v>146</v>
      </c>
      <c r="Z1243" s="38" t="s">
        <v>170</v>
      </c>
      <c r="AA1243" s="113" t="str">
        <f t="array" ref="AA1243">PROPER(G1243)</f>
        <v>Online</v>
      </c>
    </row>
    <row r="1244">
      <c r="A1244" s="110">
        <v>9.35789954E8</v>
      </c>
      <c r="B1244" s="131">
        <v>40454.0</v>
      </c>
      <c r="C1244" s="131">
        <v>40500.0</v>
      </c>
      <c r="D1244" s="110" t="s">
        <v>93</v>
      </c>
      <c r="E1244" s="110" t="s">
        <v>116</v>
      </c>
      <c r="F1244" s="110">
        <v>1270.0</v>
      </c>
      <c r="G1244" s="38" t="s">
        <v>43</v>
      </c>
      <c r="H1244" s="110">
        <v>9898.0</v>
      </c>
      <c r="I1244" s="132">
        <v>47.45</v>
      </c>
      <c r="J1244" s="132">
        <v>31.79</v>
      </c>
      <c r="K1244" s="39">
        <f t="shared" si="1"/>
        <v>469660.1</v>
      </c>
      <c r="L1244" s="39">
        <f t="shared" si="2"/>
        <v>314657.42</v>
      </c>
      <c r="M1244" s="39">
        <f t="shared" si="3"/>
        <v>155002.68</v>
      </c>
      <c r="N1244" s="38" t="str">
        <f>VLOOKUP(F1244,products!$A$2:$B$13,2,FALSE)</f>
        <v>Beverages</v>
      </c>
      <c r="O1244" s="133">
        <f t="shared" si="4"/>
        <v>0.6699683878</v>
      </c>
      <c r="P1244" s="38" t="str">
        <f>VLOOKUP(E1244,countries!A$2:E$250,3,false)</f>
        <v>Belarus</v>
      </c>
      <c r="Q1244" s="38" t="str">
        <f>VLOOKUP($E1244,countries!$A$2:$E$250,4,false)</f>
        <v>Europe</v>
      </c>
      <c r="R1244" s="38" t="str">
        <f>VLOOKUP($E1244,countries!$A$2:$E$250,5,false)</f>
        <v>Eastern Europe</v>
      </c>
      <c r="S1244" s="38">
        <f t="shared" si="5"/>
        <v>46</v>
      </c>
      <c r="T1244" s="38" t="s">
        <v>152</v>
      </c>
      <c r="U1244" s="38">
        <v>2010.0</v>
      </c>
      <c r="V1244" s="38">
        <v>10.0</v>
      </c>
      <c r="W1244" s="38" t="s">
        <v>116</v>
      </c>
      <c r="X1244" s="38" t="s">
        <v>187</v>
      </c>
      <c r="Y1244" s="38" t="s">
        <v>146</v>
      </c>
      <c r="Z1244" s="38" t="s">
        <v>155</v>
      </c>
      <c r="AA1244" s="113" t="str">
        <f t="array" ref="AA1244">PROPER(G1244)</f>
        <v>Online</v>
      </c>
    </row>
    <row r="1245">
      <c r="A1245" s="110">
        <v>9.35907542E8</v>
      </c>
      <c r="B1245" s="131">
        <v>42425.0</v>
      </c>
      <c r="C1245" s="131">
        <v>42450.0</v>
      </c>
      <c r="D1245" s="110" t="s">
        <v>89</v>
      </c>
      <c r="E1245" s="110" t="s">
        <v>119</v>
      </c>
      <c r="F1245" s="110">
        <v>1270.0</v>
      </c>
      <c r="G1245" s="38" t="s">
        <v>42</v>
      </c>
      <c r="H1245" s="110">
        <v>4695.0</v>
      </c>
      <c r="I1245" s="132">
        <v>47.45</v>
      </c>
      <c r="J1245" s="132">
        <v>31.79</v>
      </c>
      <c r="K1245" s="39">
        <f t="shared" si="1"/>
        <v>222777.75</v>
      </c>
      <c r="L1245" s="39">
        <f t="shared" si="2"/>
        <v>149254.05</v>
      </c>
      <c r="M1245" s="39">
        <f t="shared" si="3"/>
        <v>73523.7</v>
      </c>
      <c r="N1245" s="38" t="str">
        <f>VLOOKUP(F1245,products!$A$2:$B$13,2,FALSE)</f>
        <v>Beverages</v>
      </c>
      <c r="O1245" s="133">
        <f t="shared" si="4"/>
        <v>0.6699683878</v>
      </c>
      <c r="P1245" s="38" t="str">
        <f>VLOOKUP(E1245,countries!A$2:E$250,3,false)</f>
        <v>Macedonia</v>
      </c>
      <c r="Q1245" s="38" t="str">
        <f>VLOOKUP($E1245,countries!$A$2:$E$250,4,false)</f>
        <v>Europe</v>
      </c>
      <c r="R1245" s="38" t="str">
        <f>VLOOKUP($E1245,countries!$A$2:$E$250,5,false)</f>
        <v>Southern Europe</v>
      </c>
      <c r="S1245" s="38">
        <f t="shared" si="5"/>
        <v>25</v>
      </c>
      <c r="T1245" s="38" t="s">
        <v>152</v>
      </c>
      <c r="U1245" s="38">
        <v>2016.0</v>
      </c>
      <c r="V1245" s="38">
        <v>2.0</v>
      </c>
      <c r="W1245" s="38" t="s">
        <v>119</v>
      </c>
      <c r="X1245" s="38" t="s">
        <v>190</v>
      </c>
      <c r="Y1245" s="38" t="s">
        <v>146</v>
      </c>
      <c r="Z1245" s="38" t="s">
        <v>147</v>
      </c>
      <c r="AA1245" s="113" t="str">
        <f t="array" ref="AA1245">PROPER(G1245)</f>
        <v>Offline</v>
      </c>
    </row>
    <row r="1246">
      <c r="A1246" s="110">
        <v>9.36411798E8</v>
      </c>
      <c r="B1246" s="131">
        <v>41165.0</v>
      </c>
      <c r="C1246" s="131">
        <v>41169.0</v>
      </c>
      <c r="D1246" s="110" t="s">
        <v>93</v>
      </c>
      <c r="E1246" s="110" t="s">
        <v>124</v>
      </c>
      <c r="F1246" s="110">
        <v>3127.0</v>
      </c>
      <c r="G1246" s="38" t="s">
        <v>42</v>
      </c>
      <c r="H1246" s="110">
        <v>3915.0</v>
      </c>
      <c r="I1246" s="132">
        <v>81.73</v>
      </c>
      <c r="J1246" s="132">
        <v>56.67</v>
      </c>
      <c r="K1246" s="39">
        <f t="shared" si="1"/>
        <v>319972.95</v>
      </c>
      <c r="L1246" s="39">
        <f t="shared" si="2"/>
        <v>221863.05</v>
      </c>
      <c r="M1246" s="39">
        <f t="shared" si="3"/>
        <v>98109.9</v>
      </c>
      <c r="N1246" s="38" t="str">
        <f>VLOOKUP(F1246,products!$A$2:$B$13,2,FALSE)</f>
        <v>Personal Care</v>
      </c>
      <c r="O1246" s="133">
        <f t="shared" si="4"/>
        <v>0.6933806436</v>
      </c>
      <c r="P1246" s="38" t="str">
        <f>VLOOKUP(E1246,countries!A$2:E$250,3,false)</f>
        <v>Latvia</v>
      </c>
      <c r="Q1246" s="38" t="str">
        <f>VLOOKUP($E1246,countries!$A$2:$E$250,4,false)</f>
        <v>Europe</v>
      </c>
      <c r="R1246" s="38" t="str">
        <f>VLOOKUP($E1246,countries!$A$2:$E$250,5,false)</f>
        <v>Northern Europe</v>
      </c>
      <c r="S1246" s="38">
        <f t="shared" si="5"/>
        <v>4</v>
      </c>
      <c r="T1246" s="38" t="s">
        <v>185</v>
      </c>
      <c r="U1246" s="38">
        <v>2012.0</v>
      </c>
      <c r="V1246" s="38">
        <v>9.0</v>
      </c>
      <c r="W1246" s="38" t="s">
        <v>124</v>
      </c>
      <c r="X1246" s="38" t="s">
        <v>195</v>
      </c>
      <c r="Y1246" s="38" t="s">
        <v>146</v>
      </c>
      <c r="Z1246" s="38" t="s">
        <v>170</v>
      </c>
      <c r="AA1246" s="113" t="str">
        <f t="array" ref="AA1246">PROPER(G1246)</f>
        <v>Offline</v>
      </c>
    </row>
    <row r="1247">
      <c r="A1247" s="110">
        <v>9.3654741E8</v>
      </c>
      <c r="B1247" s="131">
        <v>40551.0</v>
      </c>
      <c r="C1247" s="131">
        <v>40555.0</v>
      </c>
      <c r="D1247" s="110" t="s">
        <v>93</v>
      </c>
      <c r="E1247" s="110" t="s">
        <v>138</v>
      </c>
      <c r="F1247" s="110">
        <v>5988.0</v>
      </c>
      <c r="G1247" s="38" t="s">
        <v>42</v>
      </c>
      <c r="H1247" s="110">
        <v>4046.0</v>
      </c>
      <c r="I1247" s="132">
        <v>154.06</v>
      </c>
      <c r="J1247" s="132">
        <v>90.93</v>
      </c>
      <c r="K1247" s="39">
        <f t="shared" si="1"/>
        <v>623326.76</v>
      </c>
      <c r="L1247" s="39">
        <f t="shared" si="2"/>
        <v>367902.78</v>
      </c>
      <c r="M1247" s="39">
        <f t="shared" si="3"/>
        <v>255423.98</v>
      </c>
      <c r="N1247" s="38" t="str">
        <f>VLOOKUP(F1247,products!$A$2:$B$13,2,FALSE)</f>
        <v>Vegetables</v>
      </c>
      <c r="O1247" s="133">
        <f t="shared" si="4"/>
        <v>0.5902245878</v>
      </c>
      <c r="P1247" s="38" t="str">
        <f>VLOOKUP(E1247,countries!A$2:E$250,3,false)</f>
        <v>Greece</v>
      </c>
      <c r="Q1247" s="38" t="str">
        <f>VLOOKUP($E1247,countries!$A$2:$E$250,4,false)</f>
        <v>Europe</v>
      </c>
      <c r="R1247" s="38" t="str">
        <f>VLOOKUP($E1247,countries!$A$2:$E$250,5,false)</f>
        <v>Southern Europe</v>
      </c>
      <c r="S1247" s="38">
        <f t="shared" si="5"/>
        <v>4</v>
      </c>
      <c r="T1247" s="38" t="s">
        <v>159</v>
      </c>
      <c r="U1247" s="38">
        <v>2011.0</v>
      </c>
      <c r="V1247" s="38">
        <v>1.0</v>
      </c>
      <c r="W1247" s="38" t="s">
        <v>138</v>
      </c>
      <c r="X1247" s="38" t="s">
        <v>208</v>
      </c>
      <c r="Y1247" s="38" t="s">
        <v>146</v>
      </c>
      <c r="Z1247" s="38" t="s">
        <v>147</v>
      </c>
      <c r="AA1247" s="113" t="str">
        <f t="array" ref="AA1247">PROPER(G1247)</f>
        <v>Offline</v>
      </c>
    </row>
    <row r="1248">
      <c r="A1248" s="110">
        <v>9.36664998E8</v>
      </c>
      <c r="B1248" s="131">
        <v>42522.0</v>
      </c>
      <c r="C1248" s="131">
        <v>42556.0</v>
      </c>
      <c r="D1248" s="110" t="s">
        <v>89</v>
      </c>
      <c r="E1248" s="110" t="s">
        <v>96</v>
      </c>
      <c r="F1248" s="110">
        <v>5988.0</v>
      </c>
      <c r="G1248" s="38" t="s">
        <v>42</v>
      </c>
      <c r="H1248" s="110">
        <v>8843.0</v>
      </c>
      <c r="I1248" s="132">
        <v>154.06</v>
      </c>
      <c r="J1248" s="132">
        <v>90.93</v>
      </c>
      <c r="K1248" s="39">
        <f t="shared" si="1"/>
        <v>1362352.58</v>
      </c>
      <c r="L1248" s="39">
        <f t="shared" si="2"/>
        <v>804093.99</v>
      </c>
      <c r="M1248" s="39">
        <f t="shared" si="3"/>
        <v>558258.59</v>
      </c>
      <c r="N1248" s="38" t="str">
        <f>VLOOKUP(F1248,products!$A$2:$B$13,2,FALSE)</f>
        <v>Vegetables</v>
      </c>
      <c r="O1248" s="133">
        <f t="shared" si="4"/>
        <v>0.5902245878</v>
      </c>
      <c r="P1248" s="38" t="str">
        <f>VLOOKUP(E1248,countries!A$2:E$250,3,false)</f>
        <v>Slovakia</v>
      </c>
      <c r="Q1248" s="38" t="str">
        <f>VLOOKUP($E1248,countries!$A$2:$E$250,4,false)</f>
        <v>Europe</v>
      </c>
      <c r="R1248" s="38" t="str">
        <f>VLOOKUP($E1248,countries!$A$2:$E$250,5,false)</f>
        <v>Eastern Europe</v>
      </c>
      <c r="S1248" s="38">
        <f t="shared" si="5"/>
        <v>34</v>
      </c>
      <c r="T1248" s="38" t="s">
        <v>159</v>
      </c>
      <c r="U1248" s="38">
        <v>2016.0</v>
      </c>
      <c r="V1248" s="38">
        <v>6.0</v>
      </c>
      <c r="W1248" s="38" t="s">
        <v>96</v>
      </c>
      <c r="X1248" s="38" t="s">
        <v>154</v>
      </c>
      <c r="Y1248" s="38" t="s">
        <v>146</v>
      </c>
      <c r="Z1248" s="38" t="s">
        <v>155</v>
      </c>
      <c r="AA1248" s="113" t="str">
        <f t="array" ref="AA1248">PROPER(G1248)</f>
        <v>Offline</v>
      </c>
    </row>
    <row r="1249">
      <c r="A1249" s="110">
        <v>9.3787564E8</v>
      </c>
      <c r="B1249" s="131">
        <v>40846.0</v>
      </c>
      <c r="C1249" s="131">
        <v>40877.0</v>
      </c>
      <c r="D1249" s="110" t="s">
        <v>10</v>
      </c>
      <c r="E1249" s="110" t="s">
        <v>120</v>
      </c>
      <c r="F1249" s="110">
        <v>2455.0</v>
      </c>
      <c r="G1249" s="38" t="s">
        <v>43</v>
      </c>
      <c r="H1249" s="110">
        <v>7098.0</v>
      </c>
      <c r="I1249" s="132">
        <v>109.28</v>
      </c>
      <c r="J1249" s="132">
        <v>35.84</v>
      </c>
      <c r="K1249" s="39">
        <f t="shared" si="1"/>
        <v>775669.44</v>
      </c>
      <c r="L1249" s="39">
        <f t="shared" si="2"/>
        <v>254392.32</v>
      </c>
      <c r="M1249" s="39">
        <f t="shared" si="3"/>
        <v>521277.12</v>
      </c>
      <c r="N1249" s="38" t="str">
        <f>VLOOKUP(F1249,products!$A$2:$B$13,2,FALSE)</f>
        <v>Clothes</v>
      </c>
      <c r="O1249" s="133">
        <f t="shared" si="4"/>
        <v>0.3279648609</v>
      </c>
      <c r="P1249" s="38" t="str">
        <f>VLOOKUP(E1249,countries!A$2:E$250,3,false)</f>
        <v>San Marino</v>
      </c>
      <c r="Q1249" s="38" t="str">
        <f>VLOOKUP($E1249,countries!$A$2:$E$250,4,false)</f>
        <v>Europe</v>
      </c>
      <c r="R1249" s="38" t="str">
        <f>VLOOKUP($E1249,countries!$A$2:$E$250,5,false)</f>
        <v>Southern Europe</v>
      </c>
      <c r="S1249" s="38">
        <f t="shared" si="5"/>
        <v>31</v>
      </c>
      <c r="T1249" s="38" t="s">
        <v>150</v>
      </c>
      <c r="U1249" s="38">
        <v>2011.0</v>
      </c>
      <c r="V1249" s="38">
        <v>10.0</v>
      </c>
      <c r="W1249" s="38" t="s">
        <v>120</v>
      </c>
      <c r="X1249" s="38" t="s">
        <v>191</v>
      </c>
      <c r="Y1249" s="38" t="s">
        <v>146</v>
      </c>
      <c r="Z1249" s="38" t="s">
        <v>147</v>
      </c>
      <c r="AA1249" s="113" t="str">
        <f t="array" ref="AA1249">PROPER(G1249)</f>
        <v>Online</v>
      </c>
    </row>
    <row r="1250">
      <c r="A1250" s="110">
        <v>9.3820995E8</v>
      </c>
      <c r="B1250" s="131">
        <v>40251.0</v>
      </c>
      <c r="C1250" s="131">
        <v>40253.0</v>
      </c>
      <c r="D1250" s="110" t="s">
        <v>10</v>
      </c>
      <c r="E1250" s="110" t="s">
        <v>100</v>
      </c>
      <c r="F1250" s="110">
        <v>3127.0</v>
      </c>
      <c r="G1250" s="38" t="s">
        <v>42</v>
      </c>
      <c r="H1250" s="110">
        <v>6028.0</v>
      </c>
      <c r="I1250" s="132">
        <v>81.73</v>
      </c>
      <c r="J1250" s="132">
        <v>56.67</v>
      </c>
      <c r="K1250" s="39">
        <f t="shared" si="1"/>
        <v>492668.44</v>
      </c>
      <c r="L1250" s="39">
        <f t="shared" si="2"/>
        <v>341606.76</v>
      </c>
      <c r="M1250" s="39">
        <f t="shared" si="3"/>
        <v>151061.68</v>
      </c>
      <c r="N1250" s="38" t="str">
        <f>VLOOKUP(F1250,products!$A$2:$B$13,2,FALSE)</f>
        <v>Personal Care</v>
      </c>
      <c r="O1250" s="133">
        <f t="shared" si="4"/>
        <v>0.6933806436</v>
      </c>
      <c r="P1250" s="38" t="str">
        <f>VLOOKUP(E1250,countries!A$2:E$250,3,false)</f>
        <v>Germany</v>
      </c>
      <c r="Q1250" s="38" t="str">
        <f>VLOOKUP($E1250,countries!$A$2:$E$250,4,false)</f>
        <v>Europe</v>
      </c>
      <c r="R1250" s="38" t="str">
        <f>VLOOKUP($E1250,countries!$A$2:$E$250,5,false)</f>
        <v>Western Europe</v>
      </c>
      <c r="S1250" s="38">
        <f t="shared" si="5"/>
        <v>2</v>
      </c>
      <c r="T1250" s="38" t="s">
        <v>185</v>
      </c>
      <c r="U1250" s="38">
        <v>2010.0</v>
      </c>
      <c r="V1250" s="38">
        <v>3.0</v>
      </c>
      <c r="W1250" s="38" t="s">
        <v>100</v>
      </c>
      <c r="X1250" s="38" t="s">
        <v>163</v>
      </c>
      <c r="Y1250" s="38" t="s">
        <v>146</v>
      </c>
      <c r="Z1250" s="38" t="s">
        <v>158</v>
      </c>
      <c r="AA1250" s="113" t="str">
        <f t="array" ref="AA1250">PROPER(G1250)</f>
        <v>Offline</v>
      </c>
    </row>
    <row r="1251">
      <c r="A1251" s="110">
        <v>9.40682303E8</v>
      </c>
      <c r="B1251" s="131">
        <v>40179.0</v>
      </c>
      <c r="C1251" s="131">
        <v>40218.0</v>
      </c>
      <c r="D1251" s="110" t="s">
        <v>93</v>
      </c>
      <c r="E1251" s="110" t="s">
        <v>129</v>
      </c>
      <c r="F1251" s="110">
        <v>2103.0</v>
      </c>
      <c r="G1251" s="38" t="s">
        <v>43</v>
      </c>
      <c r="H1251" s="110">
        <v>7652.0</v>
      </c>
      <c r="I1251" s="132">
        <v>205.7</v>
      </c>
      <c r="J1251" s="132">
        <v>117.11</v>
      </c>
      <c r="K1251" s="39">
        <f t="shared" si="1"/>
        <v>1574016.4</v>
      </c>
      <c r="L1251" s="39">
        <f t="shared" si="2"/>
        <v>896125.72</v>
      </c>
      <c r="M1251" s="39">
        <f t="shared" si="3"/>
        <v>677890.68</v>
      </c>
      <c r="N1251" s="38" t="str">
        <f>VLOOKUP(F1251,products!$A$2:$B$13,2,FALSE)</f>
        <v>Cereal</v>
      </c>
      <c r="O1251" s="133">
        <f t="shared" si="4"/>
        <v>0.5693242586</v>
      </c>
      <c r="P1251" s="38" t="str">
        <f>VLOOKUP(E1251,countries!A$2:E$250,3,false)</f>
        <v>Liechtenstein</v>
      </c>
      <c r="Q1251" s="38" t="str">
        <f>VLOOKUP($E1251,countries!$A$2:$E$250,4,false)</f>
        <v>Europe</v>
      </c>
      <c r="R1251" s="38" t="str">
        <f>VLOOKUP($E1251,countries!$A$2:$E$250,5,false)</f>
        <v>Western Europe</v>
      </c>
      <c r="S1251" s="38">
        <f t="shared" si="5"/>
        <v>39</v>
      </c>
      <c r="T1251" s="38" t="s">
        <v>144</v>
      </c>
      <c r="U1251" s="38">
        <v>2010.0</v>
      </c>
      <c r="V1251" s="38">
        <v>1.0</v>
      </c>
      <c r="W1251" s="38" t="s">
        <v>129</v>
      </c>
      <c r="X1251" s="38" t="s">
        <v>200</v>
      </c>
      <c r="Y1251" s="38" t="s">
        <v>146</v>
      </c>
      <c r="Z1251" s="38" t="s">
        <v>158</v>
      </c>
      <c r="AA1251" s="113" t="str">
        <f t="array" ref="AA1251">PROPER(G1251)</f>
        <v>Online</v>
      </c>
    </row>
    <row r="1252">
      <c r="A1252" s="110">
        <v>9.41061675E8</v>
      </c>
      <c r="B1252" s="131">
        <v>42802.0</v>
      </c>
      <c r="C1252" s="131">
        <v>42814.0</v>
      </c>
      <c r="D1252" s="110" t="s">
        <v>89</v>
      </c>
      <c r="E1252" s="110" t="e">
        <v>#N/A</v>
      </c>
      <c r="F1252" s="110">
        <v>5988.0</v>
      </c>
      <c r="G1252" s="38" t="s">
        <v>42</v>
      </c>
      <c r="H1252" s="110">
        <v>9917.0</v>
      </c>
      <c r="I1252" s="132">
        <v>154.06</v>
      </c>
      <c r="J1252" s="132">
        <v>90.93</v>
      </c>
      <c r="K1252" s="39">
        <f t="shared" si="1"/>
        <v>1527813.02</v>
      </c>
      <c r="L1252" s="39">
        <f t="shared" si="2"/>
        <v>901752.81</v>
      </c>
      <c r="M1252" s="39">
        <f t="shared" si="3"/>
        <v>626060.21</v>
      </c>
      <c r="N1252" s="38" t="str">
        <f>VLOOKUP(F1252,products!$A$2:$B$13,2,FALSE)</f>
        <v>Vegetables</v>
      </c>
      <c r="O1252" s="133">
        <f t="shared" si="4"/>
        <v>0.5902245878</v>
      </c>
      <c r="P1252" s="38" t="str">
        <f>VLOOKUP(E1252,countries!A$2:E$250,3,false)</f>
        <v>#N/A</v>
      </c>
      <c r="Q1252" s="38" t="str">
        <f>VLOOKUP($E1252,countries!$A$2:$E$250,4,false)</f>
        <v>#N/A</v>
      </c>
      <c r="R1252" s="38" t="str">
        <f>VLOOKUP($E1252,countries!$A$2:$E$250,5,false)</f>
        <v>#N/A</v>
      </c>
      <c r="S1252" s="38">
        <f t="shared" si="5"/>
        <v>12</v>
      </c>
      <c r="T1252" s="38" t="s">
        <v>159</v>
      </c>
      <c r="U1252" s="38">
        <v>2017.0</v>
      </c>
      <c r="V1252" s="38">
        <v>3.0</v>
      </c>
      <c r="W1252" s="38" t="s">
        <v>92</v>
      </c>
      <c r="X1252" s="38" t="s">
        <v>149</v>
      </c>
      <c r="Y1252" s="38" t="s">
        <v>149</v>
      </c>
      <c r="Z1252" s="38" t="s">
        <v>149</v>
      </c>
      <c r="AA1252" s="113" t="str">
        <f t="array" ref="AA1252">PROPER(G1252)</f>
        <v>Offline</v>
      </c>
    </row>
    <row r="1253">
      <c r="A1253" s="110">
        <v>9.41524302E8</v>
      </c>
      <c r="B1253" s="131">
        <v>41915.0</v>
      </c>
      <c r="C1253" s="131">
        <v>41921.0</v>
      </c>
      <c r="D1253" s="110" t="s">
        <v>10</v>
      </c>
      <c r="E1253" s="110" t="s">
        <v>127</v>
      </c>
      <c r="F1253" s="110">
        <v>3127.0</v>
      </c>
      <c r="G1253" s="38" t="s">
        <v>43</v>
      </c>
      <c r="H1253" s="110">
        <v>6819.0</v>
      </c>
      <c r="I1253" s="132">
        <v>81.73</v>
      </c>
      <c r="J1253" s="132">
        <v>56.67</v>
      </c>
      <c r="K1253" s="39">
        <f t="shared" si="1"/>
        <v>557316.87</v>
      </c>
      <c r="L1253" s="39">
        <f t="shared" si="2"/>
        <v>386432.73</v>
      </c>
      <c r="M1253" s="39">
        <f t="shared" si="3"/>
        <v>170884.14</v>
      </c>
      <c r="N1253" s="38" t="str">
        <f>VLOOKUP(F1253,products!$A$2:$B$13,2,FALSE)</f>
        <v>Personal Care</v>
      </c>
      <c r="O1253" s="133">
        <f t="shared" si="4"/>
        <v>0.6933806436</v>
      </c>
      <c r="P1253" s="38" t="str">
        <f>VLOOKUP(E1253,countries!A$2:E$250,3,false)</f>
        <v>Ireland</v>
      </c>
      <c r="Q1253" s="38" t="str">
        <f>VLOOKUP($E1253,countries!$A$2:$E$250,4,false)</f>
        <v>Europe</v>
      </c>
      <c r="R1253" s="38" t="str">
        <f>VLOOKUP($E1253,countries!$A$2:$E$250,5,false)</f>
        <v>Northern Europe</v>
      </c>
      <c r="S1253" s="38">
        <f t="shared" si="5"/>
        <v>6</v>
      </c>
      <c r="T1253" s="38" t="s">
        <v>185</v>
      </c>
      <c r="U1253" s="38">
        <v>2014.0</v>
      </c>
      <c r="V1253" s="38">
        <v>10.0</v>
      </c>
      <c r="W1253" s="38" t="s">
        <v>127</v>
      </c>
      <c r="X1253" s="38" t="s">
        <v>198</v>
      </c>
      <c r="Y1253" s="38" t="s">
        <v>146</v>
      </c>
      <c r="Z1253" s="38" t="s">
        <v>170</v>
      </c>
      <c r="AA1253" s="113" t="str">
        <f t="array" ref="AA1253">PROPER(G1253)</f>
        <v>Online</v>
      </c>
    </row>
    <row r="1254">
      <c r="A1254" s="110">
        <v>9.41933286E8</v>
      </c>
      <c r="B1254" s="131">
        <v>41279.0</v>
      </c>
      <c r="C1254" s="131">
        <v>41313.0</v>
      </c>
      <c r="D1254" s="110" t="s">
        <v>89</v>
      </c>
      <c r="E1254" s="110" t="s">
        <v>111</v>
      </c>
      <c r="F1254" s="110">
        <v>8969.0</v>
      </c>
      <c r="G1254" s="38" t="s">
        <v>43</v>
      </c>
      <c r="H1254" s="110">
        <v>7846.0</v>
      </c>
      <c r="I1254" s="132">
        <v>152.58</v>
      </c>
      <c r="J1254" s="132">
        <v>97.44</v>
      </c>
      <c r="K1254" s="39">
        <f t="shared" si="1"/>
        <v>1197142.68</v>
      </c>
      <c r="L1254" s="39">
        <f t="shared" si="2"/>
        <v>764514.24</v>
      </c>
      <c r="M1254" s="39">
        <f t="shared" si="3"/>
        <v>432628.44</v>
      </c>
      <c r="N1254" s="38" t="str">
        <f>VLOOKUP(F1254,products!$A$2:$B$13,2,FALSE)</f>
        <v>Snacks</v>
      </c>
      <c r="O1254" s="133">
        <f t="shared" si="4"/>
        <v>0.6386158081</v>
      </c>
      <c r="P1254" s="38" t="str">
        <f>VLOOKUP(E1254,countries!A$2:E$250,3,false)</f>
        <v>Russia</v>
      </c>
      <c r="Q1254" s="38" t="str">
        <f>VLOOKUP($E1254,countries!$A$2:$E$250,4,false)</f>
        <v>Europe</v>
      </c>
      <c r="R1254" s="38" t="str">
        <f>VLOOKUP($E1254,countries!$A$2:$E$250,5,false)</f>
        <v>Eastern Europe</v>
      </c>
      <c r="S1254" s="38">
        <f t="shared" si="5"/>
        <v>34</v>
      </c>
      <c r="T1254" s="38" t="s">
        <v>182</v>
      </c>
      <c r="U1254" s="38">
        <v>2013.0</v>
      </c>
      <c r="V1254" s="38">
        <v>1.0</v>
      </c>
      <c r="W1254" s="38" t="s">
        <v>111</v>
      </c>
      <c r="X1254" s="38" t="s">
        <v>179</v>
      </c>
      <c r="Y1254" s="38" t="s">
        <v>146</v>
      </c>
      <c r="Z1254" s="38" t="s">
        <v>155</v>
      </c>
      <c r="AA1254" s="113" t="str">
        <f t="array" ref="AA1254">PROPER(G1254)</f>
        <v>Online</v>
      </c>
    </row>
    <row r="1255">
      <c r="A1255" s="110">
        <v>9.4237231E8</v>
      </c>
      <c r="B1255" s="131">
        <v>40945.0</v>
      </c>
      <c r="C1255" s="131">
        <v>40958.0</v>
      </c>
      <c r="D1255" s="110" t="s">
        <v>89</v>
      </c>
      <c r="E1255" s="110" t="s">
        <v>133</v>
      </c>
      <c r="F1255" s="110">
        <v>5988.0</v>
      </c>
      <c r="G1255" s="38" t="s">
        <v>42</v>
      </c>
      <c r="H1255" s="110">
        <v>7763.0</v>
      </c>
      <c r="I1255" s="132">
        <v>154.06</v>
      </c>
      <c r="J1255" s="132">
        <v>90.93</v>
      </c>
      <c r="K1255" s="39">
        <f t="shared" si="1"/>
        <v>1195967.78</v>
      </c>
      <c r="L1255" s="39">
        <f t="shared" si="2"/>
        <v>705889.59</v>
      </c>
      <c r="M1255" s="39">
        <f t="shared" si="3"/>
        <v>490078.19</v>
      </c>
      <c r="N1255" s="38" t="str">
        <f>VLOOKUP(F1255,products!$A$2:$B$13,2,FALSE)</f>
        <v>Vegetables</v>
      </c>
      <c r="O1255" s="133">
        <f t="shared" si="4"/>
        <v>0.5902245878</v>
      </c>
      <c r="P1255" s="38" t="str">
        <f>VLOOKUP(E1255,countries!A$2:E$250,3,false)</f>
        <v>Bosnia and Herzegovina</v>
      </c>
      <c r="Q1255" s="38" t="str">
        <f>VLOOKUP($E1255,countries!$A$2:$E$250,4,false)</f>
        <v>Europe</v>
      </c>
      <c r="R1255" s="38" t="str">
        <f>VLOOKUP($E1255,countries!$A$2:$E$250,5,false)</f>
        <v>Southern Europe</v>
      </c>
      <c r="S1255" s="38">
        <f t="shared" si="5"/>
        <v>13</v>
      </c>
      <c r="T1255" s="38" t="s">
        <v>159</v>
      </c>
      <c r="U1255" s="38">
        <v>2012.0</v>
      </c>
      <c r="V1255" s="38">
        <v>2.0</v>
      </c>
      <c r="W1255" s="38" t="s">
        <v>133</v>
      </c>
      <c r="X1255" s="38" t="s">
        <v>204</v>
      </c>
      <c r="Y1255" s="38" t="s">
        <v>146</v>
      </c>
      <c r="Z1255" s="38" t="s">
        <v>147</v>
      </c>
      <c r="AA1255" s="113" t="str">
        <f t="array" ref="AA1255">PROPER(G1255)</f>
        <v>Offline</v>
      </c>
    </row>
    <row r="1256">
      <c r="A1256" s="110">
        <v>9.42454278E8</v>
      </c>
      <c r="B1256" s="131">
        <v>40583.0</v>
      </c>
      <c r="C1256" s="131">
        <v>40631.0</v>
      </c>
      <c r="D1256" s="110" t="s">
        <v>89</v>
      </c>
      <c r="E1256" s="110" t="s">
        <v>137</v>
      </c>
      <c r="F1256" s="110">
        <v>8293.0</v>
      </c>
      <c r="G1256" s="38" t="s">
        <v>43</v>
      </c>
      <c r="H1256" s="110">
        <v>2019.0</v>
      </c>
      <c r="I1256" s="132">
        <v>437.2</v>
      </c>
      <c r="J1256" s="132">
        <v>263.33</v>
      </c>
      <c r="K1256" s="39">
        <f t="shared" si="1"/>
        <v>882706.8</v>
      </c>
      <c r="L1256" s="39">
        <f t="shared" si="2"/>
        <v>531663.27</v>
      </c>
      <c r="M1256" s="39">
        <f t="shared" si="3"/>
        <v>351043.53</v>
      </c>
      <c r="N1256" s="38" t="str">
        <f>VLOOKUP(F1256,products!$A$2:$B$13,2,FALSE)</f>
        <v>Cosmetics</v>
      </c>
      <c r="O1256" s="133">
        <f t="shared" si="4"/>
        <v>0.6023101555</v>
      </c>
      <c r="P1256" s="38" t="str">
        <f>VLOOKUP(E1256,countries!A$2:E$250,3,false)</f>
        <v>Iceland</v>
      </c>
      <c r="Q1256" s="38" t="str">
        <f>VLOOKUP($E1256,countries!$A$2:$E$250,4,false)</f>
        <v>Europe</v>
      </c>
      <c r="R1256" s="38" t="str">
        <f>VLOOKUP($E1256,countries!$A$2:$E$250,5,false)</f>
        <v>Northern Europe</v>
      </c>
      <c r="S1256" s="38">
        <f t="shared" si="5"/>
        <v>48</v>
      </c>
      <c r="T1256" s="38" t="s">
        <v>178</v>
      </c>
      <c r="U1256" s="38">
        <v>2011.0</v>
      </c>
      <c r="V1256" s="38">
        <v>2.0</v>
      </c>
      <c r="W1256" s="38" t="s">
        <v>137</v>
      </c>
      <c r="X1256" s="38" t="s">
        <v>207</v>
      </c>
      <c r="Y1256" s="38" t="s">
        <v>146</v>
      </c>
      <c r="Z1256" s="38" t="s">
        <v>170</v>
      </c>
      <c r="AA1256" s="113" t="str">
        <f t="array" ref="AA1256">PROPER(G1256)</f>
        <v>Online</v>
      </c>
    </row>
    <row r="1257">
      <c r="A1257" s="110">
        <v>9.43274819E8</v>
      </c>
      <c r="B1257" s="131">
        <v>41313.0</v>
      </c>
      <c r="C1257" s="131">
        <v>41341.0</v>
      </c>
      <c r="D1257" s="110" t="s">
        <v>89</v>
      </c>
      <c r="E1257" s="110" t="s">
        <v>124</v>
      </c>
      <c r="F1257" s="110">
        <v>8969.0</v>
      </c>
      <c r="G1257" s="38" t="s">
        <v>43</v>
      </c>
      <c r="H1257" s="110">
        <v>4836.0</v>
      </c>
      <c r="I1257" s="132">
        <v>152.58</v>
      </c>
      <c r="J1257" s="132">
        <v>97.44</v>
      </c>
      <c r="K1257" s="39">
        <f t="shared" si="1"/>
        <v>737876.88</v>
      </c>
      <c r="L1257" s="39">
        <f t="shared" si="2"/>
        <v>471219.84</v>
      </c>
      <c r="M1257" s="39">
        <f t="shared" si="3"/>
        <v>266657.04</v>
      </c>
      <c r="N1257" s="38" t="str">
        <f>VLOOKUP(F1257,products!$A$2:$B$13,2,FALSE)</f>
        <v>Snacks</v>
      </c>
      <c r="O1257" s="133">
        <f t="shared" si="4"/>
        <v>0.6386158081</v>
      </c>
      <c r="P1257" s="38" t="str">
        <f>VLOOKUP(E1257,countries!A$2:E$250,3,false)</f>
        <v>Latvia</v>
      </c>
      <c r="Q1257" s="38" t="str">
        <f>VLOOKUP($E1257,countries!$A$2:$E$250,4,false)</f>
        <v>Europe</v>
      </c>
      <c r="R1257" s="38" t="str">
        <f>VLOOKUP($E1257,countries!$A$2:$E$250,5,false)</f>
        <v>Northern Europe</v>
      </c>
      <c r="S1257" s="38">
        <f t="shared" si="5"/>
        <v>28</v>
      </c>
      <c r="T1257" s="38" t="s">
        <v>182</v>
      </c>
      <c r="U1257" s="38">
        <v>2013.0</v>
      </c>
      <c r="V1257" s="38">
        <v>2.0</v>
      </c>
      <c r="W1257" s="38" t="s">
        <v>124</v>
      </c>
      <c r="X1257" s="38" t="s">
        <v>195</v>
      </c>
      <c r="Y1257" s="38" t="s">
        <v>146</v>
      </c>
      <c r="Z1257" s="38" t="s">
        <v>170</v>
      </c>
      <c r="AA1257" s="113" t="str">
        <f t="array" ref="AA1257">PROPER(G1257)</f>
        <v>Online</v>
      </c>
    </row>
    <row r="1258">
      <c r="A1258" s="110">
        <v>9.4424771E8</v>
      </c>
      <c r="B1258" s="131">
        <v>41992.0</v>
      </c>
      <c r="C1258" s="131">
        <v>42035.0</v>
      </c>
      <c r="D1258" s="110" t="s">
        <v>95</v>
      </c>
      <c r="E1258" s="110" t="s">
        <v>125</v>
      </c>
      <c r="F1258" s="110">
        <v>7331.0</v>
      </c>
      <c r="G1258" s="38" t="s">
        <v>43</v>
      </c>
      <c r="H1258" s="110">
        <v>2736.0</v>
      </c>
      <c r="I1258" s="132">
        <v>255.28</v>
      </c>
      <c r="J1258" s="132">
        <v>159.42</v>
      </c>
      <c r="K1258" s="39">
        <f t="shared" si="1"/>
        <v>698446.08</v>
      </c>
      <c r="L1258" s="39">
        <f t="shared" si="2"/>
        <v>436173.12</v>
      </c>
      <c r="M1258" s="39">
        <f t="shared" si="3"/>
        <v>262272.96</v>
      </c>
      <c r="N1258" s="38" t="str">
        <f>VLOOKUP(F1258,products!$A$2:$B$13,2,FALSE)</f>
        <v>Baby Food</v>
      </c>
      <c r="O1258" s="133">
        <f t="shared" si="4"/>
        <v>0.6244907552</v>
      </c>
      <c r="P1258" s="38" t="str">
        <f>VLOOKUP(E1258,countries!A$2:E$250,3,false)</f>
        <v>Bulgaria</v>
      </c>
      <c r="Q1258" s="38" t="str">
        <f>VLOOKUP($E1258,countries!$A$2:$E$250,4,false)</f>
        <v>Europe</v>
      </c>
      <c r="R1258" s="38" t="str">
        <f>VLOOKUP($E1258,countries!$A$2:$E$250,5,false)</f>
        <v>Eastern Europe</v>
      </c>
      <c r="S1258" s="38">
        <f t="shared" si="5"/>
        <v>43</v>
      </c>
      <c r="T1258" s="38" t="s">
        <v>161</v>
      </c>
      <c r="U1258" s="38">
        <v>2014.0</v>
      </c>
      <c r="V1258" s="38">
        <v>12.0</v>
      </c>
      <c r="W1258" s="38" t="s">
        <v>125</v>
      </c>
      <c r="X1258" s="38" t="s">
        <v>196</v>
      </c>
      <c r="Y1258" s="38" t="s">
        <v>146</v>
      </c>
      <c r="Z1258" s="38" t="s">
        <v>155</v>
      </c>
      <c r="AA1258" s="113" t="str">
        <f t="array" ref="AA1258">PROPER(G1258)</f>
        <v>Online</v>
      </c>
    </row>
    <row r="1259">
      <c r="A1259" s="110">
        <v>9.44609057E8</v>
      </c>
      <c r="B1259" s="131">
        <v>41669.0</v>
      </c>
      <c r="C1259" s="131">
        <v>41714.0</v>
      </c>
      <c r="D1259" s="110" t="s">
        <v>93</v>
      </c>
      <c r="E1259" s="110" t="s">
        <v>115</v>
      </c>
      <c r="F1259" s="110">
        <v>8875.0</v>
      </c>
      <c r="G1259" s="38" t="s">
        <v>43</v>
      </c>
      <c r="H1259" s="110">
        <v>9666.0</v>
      </c>
      <c r="I1259" s="132">
        <v>421.89</v>
      </c>
      <c r="J1259" s="132">
        <v>364.69</v>
      </c>
      <c r="K1259" s="39">
        <f t="shared" si="1"/>
        <v>4077988.74</v>
      </c>
      <c r="L1259" s="39">
        <f t="shared" si="2"/>
        <v>3525093.54</v>
      </c>
      <c r="M1259" s="39">
        <f t="shared" si="3"/>
        <v>552895.2</v>
      </c>
      <c r="N1259" s="38" t="str">
        <f>VLOOKUP(F1259,products!$A$2:$B$13,2,FALSE)</f>
        <v>Meat</v>
      </c>
      <c r="O1259" s="133">
        <f t="shared" si="4"/>
        <v>0.8644196354</v>
      </c>
      <c r="P1259" s="38" t="str">
        <f>VLOOKUP(E1259,countries!A$2:E$250,3,false)</f>
        <v>Portugal</v>
      </c>
      <c r="Q1259" s="38" t="str">
        <f>VLOOKUP($E1259,countries!$A$2:$E$250,4,false)</f>
        <v>Europe</v>
      </c>
      <c r="R1259" s="38" t="str">
        <f>VLOOKUP($E1259,countries!$A$2:$E$250,5,false)</f>
        <v>Southern Europe</v>
      </c>
      <c r="S1259" s="38">
        <f t="shared" si="5"/>
        <v>45</v>
      </c>
      <c r="T1259" s="38" t="s">
        <v>167</v>
      </c>
      <c r="U1259" s="38">
        <v>2014.0</v>
      </c>
      <c r="V1259" s="38">
        <v>1.0</v>
      </c>
      <c r="W1259" s="38" t="s">
        <v>115</v>
      </c>
      <c r="X1259" s="38" t="s">
        <v>186</v>
      </c>
      <c r="Y1259" s="38" t="s">
        <v>146</v>
      </c>
      <c r="Z1259" s="38" t="s">
        <v>147</v>
      </c>
      <c r="AA1259" s="113" t="str">
        <f t="array" ref="AA1259">PROPER(G1259)</f>
        <v>Online</v>
      </c>
    </row>
    <row r="1260">
      <c r="A1260" s="110">
        <v>9.46421372E8</v>
      </c>
      <c r="B1260" s="131">
        <v>42082.0</v>
      </c>
      <c r="C1260" s="131">
        <v>42084.0</v>
      </c>
      <c r="D1260" s="110" t="s">
        <v>89</v>
      </c>
      <c r="E1260" s="110" t="s">
        <v>113</v>
      </c>
      <c r="F1260" s="110">
        <v>1270.0</v>
      </c>
      <c r="G1260" s="38" t="s">
        <v>42</v>
      </c>
      <c r="H1260" s="110">
        <v>5971.0</v>
      </c>
      <c r="I1260" s="132">
        <v>47.45</v>
      </c>
      <c r="J1260" s="132">
        <v>31.79</v>
      </c>
      <c r="K1260" s="39">
        <f t="shared" si="1"/>
        <v>283323.95</v>
      </c>
      <c r="L1260" s="39">
        <f t="shared" si="2"/>
        <v>189818.09</v>
      </c>
      <c r="M1260" s="39">
        <f t="shared" si="3"/>
        <v>93505.86</v>
      </c>
      <c r="N1260" s="38" t="str">
        <f>VLOOKUP(F1260,products!$A$2:$B$13,2,FALSE)</f>
        <v>Beverages</v>
      </c>
      <c r="O1260" s="133">
        <f t="shared" si="4"/>
        <v>0.6699683878</v>
      </c>
      <c r="P1260" s="38" t="str">
        <f>VLOOKUP(E1260,countries!A$2:E$250,3,false)</f>
        <v>Ukraine</v>
      </c>
      <c r="Q1260" s="38" t="str">
        <f>VLOOKUP($E1260,countries!$A$2:$E$250,4,false)</f>
        <v>Europe</v>
      </c>
      <c r="R1260" s="38" t="str">
        <f>VLOOKUP($E1260,countries!$A$2:$E$250,5,false)</f>
        <v>Eastern Europe</v>
      </c>
      <c r="S1260" s="38">
        <f t="shared" si="5"/>
        <v>2</v>
      </c>
      <c r="T1260" s="38" t="s">
        <v>152</v>
      </c>
      <c r="U1260" s="38">
        <v>2015.0</v>
      </c>
      <c r="V1260" s="38">
        <v>3.0</v>
      </c>
      <c r="W1260" s="38" t="s">
        <v>113</v>
      </c>
      <c r="X1260" s="38" t="s">
        <v>181</v>
      </c>
      <c r="Y1260" s="38" t="s">
        <v>146</v>
      </c>
      <c r="Z1260" s="38" t="s">
        <v>155</v>
      </c>
      <c r="AA1260" s="113" t="str">
        <f t="array" ref="AA1260">PROPER(G1260)</f>
        <v>Offline</v>
      </c>
    </row>
    <row r="1261">
      <c r="A1261" s="110">
        <v>9.46823489E8</v>
      </c>
      <c r="B1261" s="131">
        <v>42563.0</v>
      </c>
      <c r="C1261" s="131">
        <v>42612.0</v>
      </c>
      <c r="D1261" s="110" t="s">
        <v>95</v>
      </c>
      <c r="E1261" s="110" t="s">
        <v>127</v>
      </c>
      <c r="F1261" s="110">
        <v>2103.0</v>
      </c>
      <c r="G1261" s="38" t="s">
        <v>43</v>
      </c>
      <c r="H1261" s="110">
        <v>4966.0</v>
      </c>
      <c r="I1261" s="132">
        <v>205.7</v>
      </c>
      <c r="J1261" s="132">
        <v>117.11</v>
      </c>
      <c r="K1261" s="39">
        <f t="shared" si="1"/>
        <v>1021506.2</v>
      </c>
      <c r="L1261" s="39">
        <f t="shared" si="2"/>
        <v>581568.26</v>
      </c>
      <c r="M1261" s="39">
        <f t="shared" si="3"/>
        <v>439937.94</v>
      </c>
      <c r="N1261" s="38" t="str">
        <f>VLOOKUP(F1261,products!$A$2:$B$13,2,FALSE)</f>
        <v>Cereal</v>
      </c>
      <c r="O1261" s="133">
        <f t="shared" si="4"/>
        <v>0.5693242586</v>
      </c>
      <c r="P1261" s="38" t="str">
        <f>VLOOKUP(E1261,countries!A$2:E$250,3,false)</f>
        <v>Ireland</v>
      </c>
      <c r="Q1261" s="38" t="str">
        <f>VLOOKUP($E1261,countries!$A$2:$E$250,4,false)</f>
        <v>Europe</v>
      </c>
      <c r="R1261" s="38" t="str">
        <f>VLOOKUP($E1261,countries!$A$2:$E$250,5,false)</f>
        <v>Northern Europe</v>
      </c>
      <c r="S1261" s="38">
        <f t="shared" si="5"/>
        <v>49</v>
      </c>
      <c r="T1261" s="38" t="s">
        <v>144</v>
      </c>
      <c r="U1261" s="38">
        <v>2016.0</v>
      </c>
      <c r="V1261" s="38">
        <v>7.0</v>
      </c>
      <c r="W1261" s="38" t="s">
        <v>127</v>
      </c>
      <c r="X1261" s="38" t="s">
        <v>198</v>
      </c>
      <c r="Y1261" s="38" t="s">
        <v>146</v>
      </c>
      <c r="Z1261" s="38" t="s">
        <v>170</v>
      </c>
      <c r="AA1261" s="113" t="str">
        <f t="array" ref="AA1261">PROPER(G1261)</f>
        <v>Online</v>
      </c>
    </row>
    <row r="1262">
      <c r="A1262" s="110">
        <v>9.47073256E8</v>
      </c>
      <c r="B1262" s="131">
        <v>40329.0</v>
      </c>
      <c r="C1262" s="131">
        <v>40341.0</v>
      </c>
      <c r="D1262" s="110" t="s">
        <v>10</v>
      </c>
      <c r="E1262" s="110" t="s">
        <v>102</v>
      </c>
      <c r="F1262" s="110">
        <v>8969.0</v>
      </c>
      <c r="G1262" s="38" t="s">
        <v>43</v>
      </c>
      <c r="H1262" s="110">
        <v>8878.0</v>
      </c>
      <c r="I1262" s="132">
        <v>152.58</v>
      </c>
      <c r="J1262" s="132">
        <v>97.44</v>
      </c>
      <c r="K1262" s="39">
        <f t="shared" si="1"/>
        <v>1354605.24</v>
      </c>
      <c r="L1262" s="39">
        <f t="shared" si="2"/>
        <v>865072.32</v>
      </c>
      <c r="M1262" s="39">
        <f t="shared" si="3"/>
        <v>489532.92</v>
      </c>
      <c r="N1262" s="38" t="str">
        <f>VLOOKUP(F1262,products!$A$2:$B$13,2,FALSE)</f>
        <v>Snacks</v>
      </c>
      <c r="O1262" s="133">
        <f t="shared" si="4"/>
        <v>0.6386158081</v>
      </c>
      <c r="P1262" s="38" t="str">
        <f>VLOOKUP(E1262,countries!A$2:E$250,3,false)</f>
        <v>Georgia</v>
      </c>
      <c r="Q1262" s="38" t="str">
        <f>VLOOKUP($E1262,countries!$A$2:$E$250,4,false)</f>
        <v>Asia</v>
      </c>
      <c r="R1262" s="38" t="str">
        <f>VLOOKUP($E1262,countries!$A$2:$E$250,5,false)</f>
        <v>Western Asia</v>
      </c>
      <c r="S1262" s="38">
        <f t="shared" si="5"/>
        <v>12</v>
      </c>
      <c r="T1262" s="38" t="s">
        <v>182</v>
      </c>
      <c r="U1262" s="38">
        <v>2010.0</v>
      </c>
      <c r="V1262" s="38">
        <v>5.0</v>
      </c>
      <c r="W1262" s="38" t="s">
        <v>102</v>
      </c>
      <c r="X1262" s="38" t="s">
        <v>168</v>
      </c>
      <c r="Y1262" s="38" t="s">
        <v>165</v>
      </c>
      <c r="Z1262" s="38" t="s">
        <v>166</v>
      </c>
      <c r="AA1262" s="113" t="str">
        <f t="array" ref="AA1262">PROPER(G1262)</f>
        <v>Online</v>
      </c>
    </row>
    <row r="1263">
      <c r="A1263" s="110">
        <v>9.47507131E8</v>
      </c>
      <c r="B1263" s="131">
        <v>41524.0</v>
      </c>
      <c r="C1263" s="131">
        <v>41567.0</v>
      </c>
      <c r="D1263" s="110" t="s">
        <v>93</v>
      </c>
      <c r="E1263" s="110" t="s">
        <v>113</v>
      </c>
      <c r="F1263" s="110">
        <v>1270.0</v>
      </c>
      <c r="G1263" s="38" t="s">
        <v>42</v>
      </c>
      <c r="H1263" s="110">
        <v>7271.0</v>
      </c>
      <c r="I1263" s="132">
        <v>47.45</v>
      </c>
      <c r="J1263" s="132">
        <v>31.79</v>
      </c>
      <c r="K1263" s="39">
        <f t="shared" si="1"/>
        <v>345008.95</v>
      </c>
      <c r="L1263" s="39">
        <f t="shared" si="2"/>
        <v>231145.09</v>
      </c>
      <c r="M1263" s="39">
        <f t="shared" si="3"/>
        <v>113863.86</v>
      </c>
      <c r="N1263" s="38" t="str">
        <f>VLOOKUP(F1263,products!$A$2:$B$13,2,FALSE)</f>
        <v>Beverages</v>
      </c>
      <c r="O1263" s="133">
        <f t="shared" si="4"/>
        <v>0.6699683878</v>
      </c>
      <c r="P1263" s="38" t="str">
        <f>VLOOKUP(E1263,countries!A$2:E$250,3,false)</f>
        <v>Ukraine</v>
      </c>
      <c r="Q1263" s="38" t="str">
        <f>VLOOKUP($E1263,countries!$A$2:$E$250,4,false)</f>
        <v>Europe</v>
      </c>
      <c r="R1263" s="38" t="str">
        <f>VLOOKUP($E1263,countries!$A$2:$E$250,5,false)</f>
        <v>Eastern Europe</v>
      </c>
      <c r="S1263" s="38">
        <f t="shared" si="5"/>
        <v>43</v>
      </c>
      <c r="T1263" s="38" t="s">
        <v>152</v>
      </c>
      <c r="U1263" s="38">
        <v>2013.0</v>
      </c>
      <c r="V1263" s="38">
        <v>9.0</v>
      </c>
      <c r="W1263" s="38" t="s">
        <v>113</v>
      </c>
      <c r="X1263" s="38" t="s">
        <v>181</v>
      </c>
      <c r="Y1263" s="38" t="s">
        <v>146</v>
      </c>
      <c r="Z1263" s="38" t="s">
        <v>155</v>
      </c>
      <c r="AA1263" s="113" t="str">
        <f t="array" ref="AA1263">PROPER(G1263)</f>
        <v>Offline</v>
      </c>
    </row>
    <row r="1264">
      <c r="A1264" s="110">
        <v>9.48075759E8</v>
      </c>
      <c r="B1264" s="131">
        <v>40515.0</v>
      </c>
      <c r="C1264" s="131">
        <v>40547.0</v>
      </c>
      <c r="D1264" s="110" t="s">
        <v>89</v>
      </c>
      <c r="E1264" s="110" t="s">
        <v>123</v>
      </c>
      <c r="F1264" s="110">
        <v>1270.0</v>
      </c>
      <c r="G1264" s="38" t="s">
        <v>42</v>
      </c>
      <c r="H1264" s="110">
        <v>5540.0</v>
      </c>
      <c r="I1264" s="132">
        <v>47.45</v>
      </c>
      <c r="J1264" s="132">
        <v>31.79</v>
      </c>
      <c r="K1264" s="39">
        <f t="shared" si="1"/>
        <v>262873</v>
      </c>
      <c r="L1264" s="39">
        <f t="shared" si="2"/>
        <v>176116.6</v>
      </c>
      <c r="M1264" s="39">
        <f t="shared" si="3"/>
        <v>86756.4</v>
      </c>
      <c r="N1264" s="38" t="str">
        <f>VLOOKUP(F1264,products!$A$2:$B$13,2,FALSE)</f>
        <v>Beverages</v>
      </c>
      <c r="O1264" s="133">
        <f t="shared" si="4"/>
        <v>0.6699683878</v>
      </c>
      <c r="P1264" s="38" t="str">
        <f>VLOOKUP(E1264,countries!A$2:E$250,3,false)</f>
        <v>Hungary</v>
      </c>
      <c r="Q1264" s="38" t="str">
        <f>VLOOKUP($E1264,countries!$A$2:$E$250,4,false)</f>
        <v>Europe</v>
      </c>
      <c r="R1264" s="38" t="str">
        <f>VLOOKUP($E1264,countries!$A$2:$E$250,5,false)</f>
        <v>Eastern Europe</v>
      </c>
      <c r="S1264" s="38">
        <f t="shared" si="5"/>
        <v>32</v>
      </c>
      <c r="T1264" s="38" t="s">
        <v>152</v>
      </c>
      <c r="U1264" s="38">
        <v>2010.0</v>
      </c>
      <c r="V1264" s="38">
        <v>12.0</v>
      </c>
      <c r="W1264" s="38" t="s">
        <v>123</v>
      </c>
      <c r="X1264" s="38" t="s">
        <v>194</v>
      </c>
      <c r="Y1264" s="38" t="s">
        <v>146</v>
      </c>
      <c r="Z1264" s="38" t="s">
        <v>155</v>
      </c>
      <c r="AA1264" s="113" t="str">
        <f t="array" ref="AA1264">PROPER(G1264)</f>
        <v>Offline</v>
      </c>
    </row>
    <row r="1265">
      <c r="A1265" s="110">
        <v>9.48518216E8</v>
      </c>
      <c r="B1265" s="131">
        <v>41006.0</v>
      </c>
      <c r="C1265" s="131">
        <v>41033.0</v>
      </c>
      <c r="D1265" s="110" t="s">
        <v>95</v>
      </c>
      <c r="E1265" s="110" t="s">
        <v>125</v>
      </c>
      <c r="F1265" s="110">
        <v>8875.0</v>
      </c>
      <c r="G1265" s="38" t="s">
        <v>42</v>
      </c>
      <c r="H1265" s="110">
        <v>6473.0</v>
      </c>
      <c r="I1265" s="132">
        <v>421.89</v>
      </c>
      <c r="J1265" s="132">
        <v>364.69</v>
      </c>
      <c r="K1265" s="39">
        <f t="shared" si="1"/>
        <v>2730893.97</v>
      </c>
      <c r="L1265" s="39">
        <f t="shared" si="2"/>
        <v>2360638.37</v>
      </c>
      <c r="M1265" s="39">
        <f t="shared" si="3"/>
        <v>370255.6</v>
      </c>
      <c r="N1265" s="38" t="str">
        <f>VLOOKUP(F1265,products!$A$2:$B$13,2,FALSE)</f>
        <v>Meat</v>
      </c>
      <c r="O1265" s="133">
        <f t="shared" si="4"/>
        <v>0.8644196354</v>
      </c>
      <c r="P1265" s="38" t="str">
        <f>VLOOKUP(E1265,countries!A$2:E$250,3,false)</f>
        <v>Bulgaria</v>
      </c>
      <c r="Q1265" s="38" t="str">
        <f>VLOOKUP($E1265,countries!$A$2:$E$250,4,false)</f>
        <v>Europe</v>
      </c>
      <c r="R1265" s="38" t="str">
        <f>VLOOKUP($E1265,countries!$A$2:$E$250,5,false)</f>
        <v>Eastern Europe</v>
      </c>
      <c r="S1265" s="38">
        <f t="shared" si="5"/>
        <v>27</v>
      </c>
      <c r="T1265" s="38" t="s">
        <v>167</v>
      </c>
      <c r="U1265" s="38">
        <v>2012.0</v>
      </c>
      <c r="V1265" s="38">
        <v>4.0</v>
      </c>
      <c r="W1265" s="38" t="s">
        <v>125</v>
      </c>
      <c r="X1265" s="38" t="s">
        <v>196</v>
      </c>
      <c r="Y1265" s="38" t="s">
        <v>146</v>
      </c>
      <c r="Z1265" s="38" t="s">
        <v>155</v>
      </c>
      <c r="AA1265" s="113" t="str">
        <f t="array" ref="AA1265">PROPER(G1265)</f>
        <v>Offline</v>
      </c>
    </row>
    <row r="1266">
      <c r="A1266" s="110">
        <v>9.49388539E8</v>
      </c>
      <c r="B1266" s="131">
        <v>42631.0</v>
      </c>
      <c r="C1266" s="131">
        <v>42643.0</v>
      </c>
      <c r="D1266" s="110" t="s">
        <v>89</v>
      </c>
      <c r="E1266" s="110" t="s">
        <v>111</v>
      </c>
      <c r="F1266" s="110">
        <v>8969.0</v>
      </c>
      <c r="G1266" s="38" t="s">
        <v>43</v>
      </c>
      <c r="H1266" s="110">
        <v>4021.0</v>
      </c>
      <c r="I1266" s="132">
        <v>152.58</v>
      </c>
      <c r="J1266" s="132">
        <v>97.44</v>
      </c>
      <c r="K1266" s="39">
        <f t="shared" si="1"/>
        <v>613524.18</v>
      </c>
      <c r="L1266" s="39">
        <f t="shared" si="2"/>
        <v>391806.24</v>
      </c>
      <c r="M1266" s="39">
        <f t="shared" si="3"/>
        <v>221717.94</v>
      </c>
      <c r="N1266" s="38" t="str">
        <f>VLOOKUP(F1266,products!$A$2:$B$13,2,FALSE)</f>
        <v>Snacks</v>
      </c>
      <c r="O1266" s="133">
        <f t="shared" si="4"/>
        <v>0.6386158081</v>
      </c>
      <c r="P1266" s="38" t="str">
        <f>VLOOKUP(E1266,countries!A$2:E$250,3,false)</f>
        <v>Russia</v>
      </c>
      <c r="Q1266" s="38" t="str">
        <f>VLOOKUP($E1266,countries!$A$2:$E$250,4,false)</f>
        <v>Europe</v>
      </c>
      <c r="R1266" s="38" t="str">
        <f>VLOOKUP($E1266,countries!$A$2:$E$250,5,false)</f>
        <v>Eastern Europe</v>
      </c>
      <c r="S1266" s="38">
        <f t="shared" si="5"/>
        <v>12</v>
      </c>
      <c r="T1266" s="38" t="s">
        <v>182</v>
      </c>
      <c r="U1266" s="38">
        <v>2016.0</v>
      </c>
      <c r="V1266" s="38">
        <v>9.0</v>
      </c>
      <c r="W1266" s="38" t="s">
        <v>111</v>
      </c>
      <c r="X1266" s="38" t="s">
        <v>179</v>
      </c>
      <c r="Y1266" s="38" t="s">
        <v>146</v>
      </c>
      <c r="Z1266" s="38" t="s">
        <v>155</v>
      </c>
      <c r="AA1266" s="113" t="str">
        <f t="array" ref="AA1266">PROPER(G1266)</f>
        <v>Online</v>
      </c>
    </row>
    <row r="1267">
      <c r="A1267" s="110">
        <v>9.49732291E8</v>
      </c>
      <c r="B1267" s="131">
        <v>42921.0</v>
      </c>
      <c r="C1267" s="131">
        <v>42961.0</v>
      </c>
      <c r="D1267" s="110" t="s">
        <v>93</v>
      </c>
      <c r="E1267" s="110" t="s">
        <v>119</v>
      </c>
      <c r="F1267" s="110">
        <v>1270.0</v>
      </c>
      <c r="G1267" s="38" t="s">
        <v>42</v>
      </c>
      <c r="H1267" s="110">
        <v>5745.0</v>
      </c>
      <c r="I1267" s="132">
        <v>47.45</v>
      </c>
      <c r="J1267" s="132">
        <v>31.79</v>
      </c>
      <c r="K1267" s="39">
        <f t="shared" si="1"/>
        <v>272600.25</v>
      </c>
      <c r="L1267" s="39">
        <f t="shared" si="2"/>
        <v>182633.55</v>
      </c>
      <c r="M1267" s="39">
        <f t="shared" si="3"/>
        <v>89966.7</v>
      </c>
      <c r="N1267" s="38" t="str">
        <f>VLOOKUP(F1267,products!$A$2:$B$13,2,FALSE)</f>
        <v>Beverages</v>
      </c>
      <c r="O1267" s="133">
        <f t="shared" si="4"/>
        <v>0.6699683878</v>
      </c>
      <c r="P1267" s="38" t="str">
        <f>VLOOKUP(E1267,countries!A$2:E$250,3,false)</f>
        <v>Macedonia</v>
      </c>
      <c r="Q1267" s="38" t="str">
        <f>VLOOKUP($E1267,countries!$A$2:$E$250,4,false)</f>
        <v>Europe</v>
      </c>
      <c r="R1267" s="38" t="str">
        <f>VLOOKUP($E1267,countries!$A$2:$E$250,5,false)</f>
        <v>Southern Europe</v>
      </c>
      <c r="S1267" s="38">
        <f t="shared" si="5"/>
        <v>40</v>
      </c>
      <c r="T1267" s="38" t="s">
        <v>152</v>
      </c>
      <c r="U1267" s="38">
        <v>2017.0</v>
      </c>
      <c r="V1267" s="38">
        <v>7.0</v>
      </c>
      <c r="W1267" s="38" t="s">
        <v>119</v>
      </c>
      <c r="X1267" s="38" t="s">
        <v>190</v>
      </c>
      <c r="Y1267" s="38" t="s">
        <v>146</v>
      </c>
      <c r="Z1267" s="38" t="s">
        <v>147</v>
      </c>
      <c r="AA1267" s="113" t="str">
        <f t="array" ref="AA1267">PROPER(G1267)</f>
        <v>Offline</v>
      </c>
    </row>
    <row r="1268">
      <c r="A1268" s="110">
        <v>9.49912965E8</v>
      </c>
      <c r="B1268" s="131">
        <v>42759.0</v>
      </c>
      <c r="C1268" s="131">
        <v>42800.0</v>
      </c>
      <c r="D1268" s="110" t="s">
        <v>89</v>
      </c>
      <c r="E1268" s="110" t="s">
        <v>104</v>
      </c>
      <c r="F1268" s="110">
        <v>8293.0</v>
      </c>
      <c r="G1268" s="38" t="s">
        <v>43</v>
      </c>
      <c r="H1268" s="110">
        <v>9210.0</v>
      </c>
      <c r="I1268" s="132">
        <v>437.2</v>
      </c>
      <c r="J1268" s="132">
        <v>263.33</v>
      </c>
      <c r="K1268" s="39">
        <f t="shared" si="1"/>
        <v>4026612</v>
      </c>
      <c r="L1268" s="39">
        <f t="shared" si="2"/>
        <v>2425269.3</v>
      </c>
      <c r="M1268" s="39">
        <f t="shared" si="3"/>
        <v>1601342.7</v>
      </c>
      <c r="N1268" s="38" t="str">
        <f>VLOOKUP(F1268,products!$A$2:$B$13,2,FALSE)</f>
        <v>Cosmetics</v>
      </c>
      <c r="O1268" s="133">
        <f t="shared" si="4"/>
        <v>0.6023101555</v>
      </c>
      <c r="P1268" s="38" t="str">
        <f>VLOOKUP(E1268,countries!A$2:E$250,3,false)</f>
        <v>Slovenia</v>
      </c>
      <c r="Q1268" s="38" t="str">
        <f>VLOOKUP($E1268,countries!$A$2:$E$250,4,false)</f>
        <v>Europe</v>
      </c>
      <c r="R1268" s="38" t="str">
        <f>VLOOKUP($E1268,countries!$A$2:$E$250,5,false)</f>
        <v>Southern Europe</v>
      </c>
      <c r="S1268" s="38">
        <f t="shared" si="5"/>
        <v>41</v>
      </c>
      <c r="T1268" s="38" t="s">
        <v>178</v>
      </c>
      <c r="U1268" s="38">
        <v>2017.0</v>
      </c>
      <c r="V1268" s="38">
        <v>1.0</v>
      </c>
      <c r="W1268" s="38" t="s">
        <v>104</v>
      </c>
      <c r="X1268" s="38" t="s">
        <v>171</v>
      </c>
      <c r="Y1268" s="38" t="s">
        <v>146</v>
      </c>
      <c r="Z1268" s="38" t="s">
        <v>147</v>
      </c>
      <c r="AA1268" s="113" t="str">
        <f t="array" ref="AA1268">PROPER(G1268)</f>
        <v>Online</v>
      </c>
    </row>
    <row r="1269">
      <c r="A1269" s="110">
        <v>9.51698243E8</v>
      </c>
      <c r="B1269" s="131">
        <v>42902.0</v>
      </c>
      <c r="C1269" s="131">
        <v>42919.0</v>
      </c>
      <c r="D1269" s="110" t="s">
        <v>93</v>
      </c>
      <c r="E1269" s="110" t="s">
        <v>101</v>
      </c>
      <c r="F1269" s="110">
        <v>8969.0</v>
      </c>
      <c r="G1269" s="38" t="s">
        <v>43</v>
      </c>
      <c r="H1269" s="110">
        <v>7514.0</v>
      </c>
      <c r="I1269" s="132">
        <v>152.58</v>
      </c>
      <c r="J1269" s="132">
        <v>97.44</v>
      </c>
      <c r="K1269" s="39">
        <f t="shared" si="1"/>
        <v>1146486.12</v>
      </c>
      <c r="L1269" s="39">
        <f t="shared" si="2"/>
        <v>732164.16</v>
      </c>
      <c r="M1269" s="39">
        <f t="shared" si="3"/>
        <v>414321.96</v>
      </c>
      <c r="N1269" s="38" t="str">
        <f>VLOOKUP(F1269,products!$A$2:$B$13,2,FALSE)</f>
        <v>Snacks</v>
      </c>
      <c r="O1269" s="133">
        <f t="shared" si="4"/>
        <v>0.6386158081</v>
      </c>
      <c r="P1269" s="38" t="str">
        <f>VLOOKUP(E1269,countries!A$2:E$250,3,false)</f>
        <v>Armenia</v>
      </c>
      <c r="Q1269" s="38" t="str">
        <f>VLOOKUP($E1269,countries!$A$2:$E$250,4,false)</f>
        <v>Asia</v>
      </c>
      <c r="R1269" s="38" t="str">
        <f>VLOOKUP($E1269,countries!$A$2:$E$250,5,false)</f>
        <v>Western Asia</v>
      </c>
      <c r="S1269" s="38">
        <f t="shared" si="5"/>
        <v>17</v>
      </c>
      <c r="T1269" s="38" t="s">
        <v>182</v>
      </c>
      <c r="U1269" s="38">
        <v>2017.0</v>
      </c>
      <c r="V1269" s="38">
        <v>6.0</v>
      </c>
      <c r="W1269" s="38" t="s">
        <v>101</v>
      </c>
      <c r="X1269" s="38" t="s">
        <v>164</v>
      </c>
      <c r="Y1269" s="38" t="s">
        <v>165</v>
      </c>
      <c r="Z1269" s="38" t="s">
        <v>166</v>
      </c>
      <c r="AA1269" s="113" t="str">
        <f t="array" ref="AA1269">PROPER(G1269)</f>
        <v>Online</v>
      </c>
    </row>
    <row r="1270">
      <c r="A1270" s="110">
        <v>9.54040992E8</v>
      </c>
      <c r="B1270" s="131">
        <v>40738.0</v>
      </c>
      <c r="C1270" s="131">
        <v>40782.0</v>
      </c>
      <c r="D1270" s="110" t="s">
        <v>93</v>
      </c>
      <c r="E1270" s="110" t="s">
        <v>133</v>
      </c>
      <c r="F1270" s="110">
        <v>8969.0</v>
      </c>
      <c r="G1270" s="38" t="s">
        <v>42</v>
      </c>
      <c r="H1270" s="110">
        <v>785.0</v>
      </c>
      <c r="I1270" s="132">
        <v>152.58</v>
      </c>
      <c r="J1270" s="132">
        <v>97.44</v>
      </c>
      <c r="K1270" s="39">
        <f t="shared" si="1"/>
        <v>119775.3</v>
      </c>
      <c r="L1270" s="39">
        <f t="shared" si="2"/>
        <v>76490.4</v>
      </c>
      <c r="M1270" s="39">
        <f t="shared" si="3"/>
        <v>43284.9</v>
      </c>
      <c r="N1270" s="38" t="str">
        <f>VLOOKUP(F1270,products!$A$2:$B$13,2,FALSE)</f>
        <v>Snacks</v>
      </c>
      <c r="O1270" s="133">
        <f t="shared" si="4"/>
        <v>0.6386158081</v>
      </c>
      <c r="P1270" s="38" t="str">
        <f>VLOOKUP(E1270,countries!A$2:E$250,3,false)</f>
        <v>Bosnia and Herzegovina</v>
      </c>
      <c r="Q1270" s="38" t="str">
        <f>VLOOKUP($E1270,countries!$A$2:$E$250,4,false)</f>
        <v>Europe</v>
      </c>
      <c r="R1270" s="38" t="str">
        <f>VLOOKUP($E1270,countries!$A$2:$E$250,5,false)</f>
        <v>Southern Europe</v>
      </c>
      <c r="S1270" s="38">
        <f t="shared" si="5"/>
        <v>44</v>
      </c>
      <c r="T1270" s="38" t="s">
        <v>182</v>
      </c>
      <c r="U1270" s="38">
        <v>2011.0</v>
      </c>
      <c r="V1270" s="38">
        <v>7.0</v>
      </c>
      <c r="W1270" s="38" t="s">
        <v>133</v>
      </c>
      <c r="X1270" s="38" t="s">
        <v>204</v>
      </c>
      <c r="Y1270" s="38" t="s">
        <v>146</v>
      </c>
      <c r="Z1270" s="38" t="s">
        <v>147</v>
      </c>
      <c r="AA1270" s="113" t="str">
        <f t="array" ref="AA1270">PROPER(G1270)</f>
        <v>Offline</v>
      </c>
    </row>
    <row r="1271">
      <c r="A1271" s="110">
        <v>9.54065883E8</v>
      </c>
      <c r="B1271" s="131">
        <v>42568.0</v>
      </c>
      <c r="C1271" s="131">
        <v>42614.0</v>
      </c>
      <c r="D1271" s="110" t="s">
        <v>93</v>
      </c>
      <c r="E1271" s="110" t="s">
        <v>123</v>
      </c>
      <c r="F1271" s="110">
        <v>7940.0</v>
      </c>
      <c r="G1271" s="38" t="s">
        <v>42</v>
      </c>
      <c r="H1271" s="110">
        <v>8151.0</v>
      </c>
      <c r="I1271" s="132">
        <v>668.27</v>
      </c>
      <c r="J1271" s="132">
        <v>502.54</v>
      </c>
      <c r="K1271" s="39">
        <f t="shared" si="1"/>
        <v>5447068.77</v>
      </c>
      <c r="L1271" s="39">
        <f t="shared" si="2"/>
        <v>4096203.54</v>
      </c>
      <c r="M1271" s="39">
        <f t="shared" si="3"/>
        <v>1350865.23</v>
      </c>
      <c r="N1271" s="38" t="str">
        <f>VLOOKUP(F1271,products!$A$2:$B$13,2,FALSE)</f>
        <v>Household</v>
      </c>
      <c r="O1271" s="133">
        <f t="shared" si="4"/>
        <v>0.7520014365</v>
      </c>
      <c r="P1271" s="38" t="str">
        <f>VLOOKUP(E1271,countries!A$2:E$250,3,false)</f>
        <v>Hungary</v>
      </c>
      <c r="Q1271" s="38" t="str">
        <f>VLOOKUP($E1271,countries!$A$2:$E$250,4,false)</f>
        <v>Europe</v>
      </c>
      <c r="R1271" s="38" t="str">
        <f>VLOOKUP($E1271,countries!$A$2:$E$250,5,false)</f>
        <v>Eastern Europe</v>
      </c>
      <c r="S1271" s="38">
        <f t="shared" si="5"/>
        <v>46</v>
      </c>
      <c r="T1271" s="38" t="s">
        <v>148</v>
      </c>
      <c r="U1271" s="38">
        <v>2016.0</v>
      </c>
      <c r="V1271" s="38">
        <v>7.0</v>
      </c>
      <c r="W1271" s="38" t="s">
        <v>123</v>
      </c>
      <c r="X1271" s="38" t="s">
        <v>194</v>
      </c>
      <c r="Y1271" s="38" t="s">
        <v>146</v>
      </c>
      <c r="Z1271" s="38" t="s">
        <v>155</v>
      </c>
      <c r="AA1271" s="113" t="str">
        <f t="array" ref="AA1271">PROPER(G1271)</f>
        <v>Offline</v>
      </c>
    </row>
    <row r="1272">
      <c r="A1272" s="110">
        <v>9.54341828E8</v>
      </c>
      <c r="B1272" s="131">
        <v>41782.0</v>
      </c>
      <c r="C1272" s="131">
        <v>41831.0</v>
      </c>
      <c r="D1272" s="110" t="s">
        <v>95</v>
      </c>
      <c r="E1272" s="110" t="s">
        <v>135</v>
      </c>
      <c r="F1272" s="110">
        <v>5988.0</v>
      </c>
      <c r="G1272" s="38" t="s">
        <v>42</v>
      </c>
      <c r="H1272" s="110">
        <v>9809.0</v>
      </c>
      <c r="I1272" s="132">
        <v>154.06</v>
      </c>
      <c r="J1272" s="132">
        <v>90.93</v>
      </c>
      <c r="K1272" s="39">
        <f t="shared" si="1"/>
        <v>1511174.54</v>
      </c>
      <c r="L1272" s="39">
        <f t="shared" si="2"/>
        <v>891932.37</v>
      </c>
      <c r="M1272" s="39">
        <f t="shared" si="3"/>
        <v>619242.17</v>
      </c>
      <c r="N1272" s="38" t="str">
        <f>VLOOKUP(F1272,products!$A$2:$B$13,2,FALSE)</f>
        <v>Vegetables</v>
      </c>
      <c r="O1272" s="133">
        <f t="shared" si="4"/>
        <v>0.5902245878</v>
      </c>
      <c r="P1272" s="38" t="str">
        <f>VLOOKUP(E1272,countries!A$2:E$250,3,false)</f>
        <v>Denmark</v>
      </c>
      <c r="Q1272" s="38" t="str">
        <f>VLOOKUP($E1272,countries!$A$2:$E$250,4,false)</f>
        <v>Europe</v>
      </c>
      <c r="R1272" s="38" t="str">
        <f>VLOOKUP($E1272,countries!$A$2:$E$250,5,false)</f>
        <v>Northern Europe</v>
      </c>
      <c r="S1272" s="38">
        <f t="shared" si="5"/>
        <v>49</v>
      </c>
      <c r="T1272" s="38" t="s">
        <v>159</v>
      </c>
      <c r="U1272" s="38">
        <v>2014.0</v>
      </c>
      <c r="V1272" s="38">
        <v>5.0</v>
      </c>
      <c r="W1272" s="38" t="s">
        <v>135</v>
      </c>
      <c r="X1272" s="38" t="s">
        <v>205</v>
      </c>
      <c r="Y1272" s="38" t="s">
        <v>146</v>
      </c>
      <c r="Z1272" s="38" t="s">
        <v>170</v>
      </c>
      <c r="AA1272" s="113" t="str">
        <f t="array" ref="AA1272">PROPER(G1272)</f>
        <v>Offline</v>
      </c>
    </row>
    <row r="1273">
      <c r="A1273" s="110">
        <v>9.55466639E8</v>
      </c>
      <c r="B1273" s="131">
        <v>41616.0</v>
      </c>
      <c r="C1273" s="131">
        <v>41666.0</v>
      </c>
      <c r="D1273" s="110" t="s">
        <v>10</v>
      </c>
      <c r="E1273" s="110" t="s">
        <v>98</v>
      </c>
      <c r="F1273" s="110">
        <v>3127.0</v>
      </c>
      <c r="G1273" s="38" t="s">
        <v>43</v>
      </c>
      <c r="H1273" s="110">
        <v>2666.0</v>
      </c>
      <c r="I1273" s="132">
        <v>81.73</v>
      </c>
      <c r="J1273" s="132">
        <v>56.67</v>
      </c>
      <c r="K1273" s="39">
        <f t="shared" si="1"/>
        <v>217892.18</v>
      </c>
      <c r="L1273" s="39">
        <f t="shared" si="2"/>
        <v>151082.22</v>
      </c>
      <c r="M1273" s="39">
        <f t="shared" si="3"/>
        <v>66809.96</v>
      </c>
      <c r="N1273" s="38" t="str">
        <f>VLOOKUP(F1273,products!$A$2:$B$13,2,FALSE)</f>
        <v>Personal Care</v>
      </c>
      <c r="O1273" s="133">
        <f t="shared" si="4"/>
        <v>0.6933806436</v>
      </c>
      <c r="P1273" s="38" t="str">
        <f>VLOOKUP(E1273,countries!A$2:E$250,3,false)</f>
        <v>Spain</v>
      </c>
      <c r="Q1273" s="38" t="str">
        <f>VLOOKUP($E1273,countries!$A$2:$E$250,4,false)</f>
        <v>Europe</v>
      </c>
      <c r="R1273" s="38" t="str">
        <f>VLOOKUP($E1273,countries!$A$2:$E$250,5,false)</f>
        <v>Southern Europe</v>
      </c>
      <c r="S1273" s="38">
        <f t="shared" si="5"/>
        <v>50</v>
      </c>
      <c r="T1273" s="38" t="s">
        <v>185</v>
      </c>
      <c r="U1273" s="38">
        <v>2013.0</v>
      </c>
      <c r="V1273" s="38">
        <v>12.0</v>
      </c>
      <c r="W1273" s="38" t="s">
        <v>98</v>
      </c>
      <c r="X1273" s="38" t="s">
        <v>160</v>
      </c>
      <c r="Y1273" s="38" t="s">
        <v>146</v>
      </c>
      <c r="Z1273" s="38" t="s">
        <v>147</v>
      </c>
      <c r="AA1273" s="113" t="str">
        <f t="array" ref="AA1273">PROPER(G1273)</f>
        <v>Online</v>
      </c>
    </row>
    <row r="1274">
      <c r="A1274" s="110">
        <v>9.56594026E8</v>
      </c>
      <c r="B1274" s="131">
        <v>40685.0</v>
      </c>
      <c r="C1274" s="131">
        <v>40711.0</v>
      </c>
      <c r="D1274" s="110" t="s">
        <v>93</v>
      </c>
      <c r="E1274" s="110" t="s">
        <v>98</v>
      </c>
      <c r="F1274" s="110">
        <v>7331.0</v>
      </c>
      <c r="G1274" s="38" t="s">
        <v>42</v>
      </c>
      <c r="H1274" s="110">
        <v>6285.0</v>
      </c>
      <c r="I1274" s="132">
        <v>255.28</v>
      </c>
      <c r="J1274" s="132">
        <v>159.42</v>
      </c>
      <c r="K1274" s="39">
        <f t="shared" si="1"/>
        <v>1604434.8</v>
      </c>
      <c r="L1274" s="39">
        <f t="shared" si="2"/>
        <v>1001954.7</v>
      </c>
      <c r="M1274" s="39">
        <f t="shared" si="3"/>
        <v>602480.1</v>
      </c>
      <c r="N1274" s="38" t="str">
        <f>VLOOKUP(F1274,products!$A$2:$B$13,2,FALSE)</f>
        <v>Baby Food</v>
      </c>
      <c r="O1274" s="133">
        <f t="shared" si="4"/>
        <v>0.6244907552</v>
      </c>
      <c r="P1274" s="38" t="str">
        <f>VLOOKUP(E1274,countries!A$2:E$250,3,false)</f>
        <v>Spain</v>
      </c>
      <c r="Q1274" s="38" t="str">
        <f>VLOOKUP($E1274,countries!$A$2:$E$250,4,false)</f>
        <v>Europe</v>
      </c>
      <c r="R1274" s="38" t="str">
        <f>VLOOKUP($E1274,countries!$A$2:$E$250,5,false)</f>
        <v>Southern Europe</v>
      </c>
      <c r="S1274" s="38">
        <f t="shared" si="5"/>
        <v>26</v>
      </c>
      <c r="T1274" s="38" t="s">
        <v>161</v>
      </c>
      <c r="U1274" s="38">
        <v>2011.0</v>
      </c>
      <c r="V1274" s="38">
        <v>5.0</v>
      </c>
      <c r="W1274" s="38" t="s">
        <v>98</v>
      </c>
      <c r="X1274" s="38" t="s">
        <v>160</v>
      </c>
      <c r="Y1274" s="38" t="s">
        <v>146</v>
      </c>
      <c r="Z1274" s="38" t="s">
        <v>147</v>
      </c>
      <c r="AA1274" s="113" t="str">
        <f t="array" ref="AA1274">PROPER(G1274)</f>
        <v>Offline</v>
      </c>
    </row>
    <row r="1275">
      <c r="A1275" s="110">
        <v>9.56969964E8</v>
      </c>
      <c r="B1275" s="131">
        <v>42484.0</v>
      </c>
      <c r="C1275" s="131">
        <v>42517.0</v>
      </c>
      <c r="D1275" s="110" t="s">
        <v>93</v>
      </c>
      <c r="E1275" s="110" t="s">
        <v>127</v>
      </c>
      <c r="F1275" s="110">
        <v>5988.0</v>
      </c>
      <c r="G1275" s="38" t="s">
        <v>43</v>
      </c>
      <c r="H1275" s="110">
        <v>7533.0</v>
      </c>
      <c r="I1275" s="132">
        <v>154.06</v>
      </c>
      <c r="J1275" s="132">
        <v>90.93</v>
      </c>
      <c r="K1275" s="39">
        <f t="shared" si="1"/>
        <v>1160533.98</v>
      </c>
      <c r="L1275" s="39">
        <f t="shared" si="2"/>
        <v>684975.69</v>
      </c>
      <c r="M1275" s="39">
        <f t="shared" si="3"/>
        <v>475558.29</v>
      </c>
      <c r="N1275" s="38" t="str">
        <f>VLOOKUP(F1275,products!$A$2:$B$13,2,FALSE)</f>
        <v>Vegetables</v>
      </c>
      <c r="O1275" s="133">
        <f t="shared" si="4"/>
        <v>0.5902245878</v>
      </c>
      <c r="P1275" s="38" t="str">
        <f>VLOOKUP(E1275,countries!A$2:E$250,3,false)</f>
        <v>Ireland</v>
      </c>
      <c r="Q1275" s="38" t="str">
        <f>VLOOKUP($E1275,countries!$A$2:$E$250,4,false)</f>
        <v>Europe</v>
      </c>
      <c r="R1275" s="38" t="str">
        <f>VLOOKUP($E1275,countries!$A$2:$E$250,5,false)</f>
        <v>Northern Europe</v>
      </c>
      <c r="S1275" s="38">
        <f t="shared" si="5"/>
        <v>33</v>
      </c>
      <c r="T1275" s="38" t="s">
        <v>159</v>
      </c>
      <c r="U1275" s="38">
        <v>2016.0</v>
      </c>
      <c r="V1275" s="38">
        <v>4.0</v>
      </c>
      <c r="W1275" s="38" t="s">
        <v>127</v>
      </c>
      <c r="X1275" s="38" t="s">
        <v>198</v>
      </c>
      <c r="Y1275" s="38" t="s">
        <v>146</v>
      </c>
      <c r="Z1275" s="38" t="s">
        <v>170</v>
      </c>
      <c r="AA1275" s="113" t="str">
        <f t="array" ref="AA1275">PROPER(G1275)</f>
        <v>Online</v>
      </c>
    </row>
    <row r="1276">
      <c r="A1276" s="110">
        <v>9.57926118E8</v>
      </c>
      <c r="B1276" s="131">
        <v>42600.0</v>
      </c>
      <c r="C1276" s="131">
        <v>42614.0</v>
      </c>
      <c r="D1276" s="110" t="s">
        <v>93</v>
      </c>
      <c r="E1276" s="110" t="s">
        <v>138</v>
      </c>
      <c r="F1276" s="110">
        <v>8969.0</v>
      </c>
      <c r="G1276" s="38" t="s">
        <v>43</v>
      </c>
      <c r="H1276" s="110">
        <v>480.0</v>
      </c>
      <c r="I1276" s="132">
        <v>152.58</v>
      </c>
      <c r="J1276" s="132">
        <v>97.44</v>
      </c>
      <c r="K1276" s="39">
        <f t="shared" si="1"/>
        <v>73238.4</v>
      </c>
      <c r="L1276" s="39">
        <f t="shared" si="2"/>
        <v>46771.2</v>
      </c>
      <c r="M1276" s="39">
        <f t="shared" si="3"/>
        <v>26467.2</v>
      </c>
      <c r="N1276" s="38" t="str">
        <f>VLOOKUP(F1276,products!$A$2:$B$13,2,FALSE)</f>
        <v>Snacks</v>
      </c>
      <c r="O1276" s="133">
        <f t="shared" si="4"/>
        <v>0.6386158081</v>
      </c>
      <c r="P1276" s="38" t="str">
        <f>VLOOKUP(E1276,countries!A$2:E$250,3,false)</f>
        <v>Greece</v>
      </c>
      <c r="Q1276" s="38" t="str">
        <f>VLOOKUP($E1276,countries!$A$2:$E$250,4,false)</f>
        <v>Europe</v>
      </c>
      <c r="R1276" s="38" t="str">
        <f>VLOOKUP($E1276,countries!$A$2:$E$250,5,false)</f>
        <v>Southern Europe</v>
      </c>
      <c r="S1276" s="38">
        <f t="shared" si="5"/>
        <v>14</v>
      </c>
      <c r="T1276" s="38" t="s">
        <v>182</v>
      </c>
      <c r="U1276" s="38">
        <v>2016.0</v>
      </c>
      <c r="V1276" s="38">
        <v>8.0</v>
      </c>
      <c r="W1276" s="38" t="s">
        <v>138</v>
      </c>
      <c r="X1276" s="38" t="s">
        <v>208</v>
      </c>
      <c r="Y1276" s="38" t="s">
        <v>146</v>
      </c>
      <c r="Z1276" s="38" t="s">
        <v>147</v>
      </c>
      <c r="AA1276" s="113" t="str">
        <f t="array" ref="AA1276">PROPER(G1276)</f>
        <v>Online</v>
      </c>
    </row>
    <row r="1277">
      <c r="A1277" s="110">
        <v>9.58366E8</v>
      </c>
      <c r="B1277" s="131">
        <v>41089.0</v>
      </c>
      <c r="C1277" s="131">
        <v>41124.0</v>
      </c>
      <c r="D1277" s="110" t="s">
        <v>89</v>
      </c>
      <c r="E1277" s="110" t="s">
        <v>111</v>
      </c>
      <c r="F1277" s="110">
        <v>2103.0</v>
      </c>
      <c r="G1277" s="38" t="s">
        <v>42</v>
      </c>
      <c r="H1277" s="110">
        <v>651.0</v>
      </c>
      <c r="I1277" s="132">
        <v>205.7</v>
      </c>
      <c r="J1277" s="132">
        <v>117.11</v>
      </c>
      <c r="K1277" s="39">
        <f t="shared" si="1"/>
        <v>133910.7</v>
      </c>
      <c r="L1277" s="39">
        <f t="shared" si="2"/>
        <v>76238.61</v>
      </c>
      <c r="M1277" s="39">
        <f t="shared" si="3"/>
        <v>57672.09</v>
      </c>
      <c r="N1277" s="38" t="str">
        <f>VLOOKUP(F1277,products!$A$2:$B$13,2,FALSE)</f>
        <v>Cereal</v>
      </c>
      <c r="O1277" s="133">
        <f t="shared" si="4"/>
        <v>0.5693242586</v>
      </c>
      <c r="P1277" s="38" t="str">
        <f>VLOOKUP(E1277,countries!A$2:E$250,3,false)</f>
        <v>Russia</v>
      </c>
      <c r="Q1277" s="38" t="str">
        <f>VLOOKUP($E1277,countries!$A$2:$E$250,4,false)</f>
        <v>Europe</v>
      </c>
      <c r="R1277" s="38" t="str">
        <f>VLOOKUP($E1277,countries!$A$2:$E$250,5,false)</f>
        <v>Eastern Europe</v>
      </c>
      <c r="S1277" s="38">
        <f t="shared" si="5"/>
        <v>35</v>
      </c>
      <c r="T1277" s="38" t="s">
        <v>144</v>
      </c>
      <c r="U1277" s="38">
        <v>2012.0</v>
      </c>
      <c r="V1277" s="38">
        <v>6.0</v>
      </c>
      <c r="W1277" s="38" t="s">
        <v>111</v>
      </c>
      <c r="X1277" s="38" t="s">
        <v>179</v>
      </c>
      <c r="Y1277" s="38" t="s">
        <v>146</v>
      </c>
      <c r="Z1277" s="38" t="s">
        <v>155</v>
      </c>
      <c r="AA1277" s="113" t="str">
        <f t="array" ref="AA1277">PROPER(G1277)</f>
        <v>Offline</v>
      </c>
    </row>
    <row r="1278">
      <c r="A1278" s="110">
        <v>9.60213077E8</v>
      </c>
      <c r="B1278" s="131">
        <v>42247.0</v>
      </c>
      <c r="C1278" s="131">
        <v>42293.0</v>
      </c>
      <c r="D1278" s="110" t="s">
        <v>95</v>
      </c>
      <c r="E1278" s="110" t="s">
        <v>109</v>
      </c>
      <c r="F1278" s="110">
        <v>1270.0</v>
      </c>
      <c r="G1278" s="38" t="s">
        <v>43</v>
      </c>
      <c r="H1278" s="110">
        <v>7242.0</v>
      </c>
      <c r="I1278" s="132">
        <v>47.45</v>
      </c>
      <c r="J1278" s="132">
        <v>31.79</v>
      </c>
      <c r="K1278" s="39">
        <f t="shared" si="1"/>
        <v>343632.9</v>
      </c>
      <c r="L1278" s="39">
        <f t="shared" si="2"/>
        <v>230223.18</v>
      </c>
      <c r="M1278" s="39">
        <f t="shared" si="3"/>
        <v>113409.72</v>
      </c>
      <c r="N1278" s="38" t="str">
        <f>VLOOKUP(F1278,products!$A$2:$B$13,2,FALSE)</f>
        <v>Beverages</v>
      </c>
      <c r="O1278" s="133">
        <f t="shared" si="4"/>
        <v>0.6699683878</v>
      </c>
      <c r="P1278" s="38" t="str">
        <f>VLOOKUP(E1278,countries!A$2:E$250,3,false)</f>
        <v>Belgium</v>
      </c>
      <c r="Q1278" s="38" t="str">
        <f>VLOOKUP($E1278,countries!$A$2:$E$250,4,false)</f>
        <v>Europe</v>
      </c>
      <c r="R1278" s="38" t="str">
        <f>VLOOKUP($E1278,countries!$A$2:$E$250,5,false)</f>
        <v>Western Europe</v>
      </c>
      <c r="S1278" s="38">
        <f t="shared" si="5"/>
        <v>46</v>
      </c>
      <c r="T1278" s="38" t="s">
        <v>152</v>
      </c>
      <c r="U1278" s="38">
        <v>2015.0</v>
      </c>
      <c r="V1278" s="38">
        <v>8.0</v>
      </c>
      <c r="W1278" s="38" t="s">
        <v>109</v>
      </c>
      <c r="X1278" s="38" t="s">
        <v>176</v>
      </c>
      <c r="Y1278" s="38" t="s">
        <v>146</v>
      </c>
      <c r="Z1278" s="38" t="s">
        <v>158</v>
      </c>
      <c r="AA1278" s="113" t="str">
        <f t="array" ref="AA1278">PROPER(G1278)</f>
        <v>Online</v>
      </c>
    </row>
    <row r="1279">
      <c r="A1279" s="110">
        <v>9.62560546E8</v>
      </c>
      <c r="B1279" s="131">
        <v>40526.0</v>
      </c>
      <c r="C1279" s="131">
        <v>40551.0</v>
      </c>
      <c r="D1279" s="110" t="s">
        <v>89</v>
      </c>
      <c r="E1279" s="110" t="s">
        <v>102</v>
      </c>
      <c r="F1279" s="110">
        <v>2103.0</v>
      </c>
      <c r="G1279" s="38" t="s">
        <v>42</v>
      </c>
      <c r="H1279" s="110">
        <v>1911.0</v>
      </c>
      <c r="I1279" s="132">
        <v>205.7</v>
      </c>
      <c r="J1279" s="132">
        <v>117.11</v>
      </c>
      <c r="K1279" s="39">
        <f t="shared" si="1"/>
        <v>393092.7</v>
      </c>
      <c r="L1279" s="39">
        <f t="shared" si="2"/>
        <v>223797.21</v>
      </c>
      <c r="M1279" s="39">
        <f t="shared" si="3"/>
        <v>169295.49</v>
      </c>
      <c r="N1279" s="38" t="str">
        <f>VLOOKUP(F1279,products!$A$2:$B$13,2,FALSE)</f>
        <v>Cereal</v>
      </c>
      <c r="O1279" s="133">
        <f t="shared" si="4"/>
        <v>0.5693242586</v>
      </c>
      <c r="P1279" s="38" t="str">
        <f>VLOOKUP(E1279,countries!A$2:E$250,3,false)</f>
        <v>Georgia</v>
      </c>
      <c r="Q1279" s="38" t="str">
        <f>VLOOKUP($E1279,countries!$A$2:$E$250,4,false)</f>
        <v>Asia</v>
      </c>
      <c r="R1279" s="38" t="str">
        <f>VLOOKUP($E1279,countries!$A$2:$E$250,5,false)</f>
        <v>Western Asia</v>
      </c>
      <c r="S1279" s="38">
        <f t="shared" si="5"/>
        <v>25</v>
      </c>
      <c r="T1279" s="38" t="s">
        <v>144</v>
      </c>
      <c r="U1279" s="38">
        <v>2010.0</v>
      </c>
      <c r="V1279" s="38">
        <v>12.0</v>
      </c>
      <c r="W1279" s="38" t="s">
        <v>102</v>
      </c>
      <c r="X1279" s="38" t="s">
        <v>168</v>
      </c>
      <c r="Y1279" s="38" t="s">
        <v>165</v>
      </c>
      <c r="Z1279" s="38" t="s">
        <v>166</v>
      </c>
      <c r="AA1279" s="113" t="str">
        <f t="array" ref="AA1279">PROPER(G1279)</f>
        <v>Offline</v>
      </c>
    </row>
    <row r="1280">
      <c r="A1280" s="110">
        <v>9.63219296E8</v>
      </c>
      <c r="B1280" s="131">
        <v>40422.0</v>
      </c>
      <c r="C1280" s="131">
        <v>40439.0</v>
      </c>
      <c r="D1280" s="110" t="s">
        <v>10</v>
      </c>
      <c r="E1280" s="110" t="s">
        <v>119</v>
      </c>
      <c r="F1280" s="110">
        <v>2103.0</v>
      </c>
      <c r="G1280" s="38" t="s">
        <v>43</v>
      </c>
      <c r="H1280" s="110">
        <v>6850.0</v>
      </c>
      <c r="I1280" s="132">
        <v>205.7</v>
      </c>
      <c r="J1280" s="132">
        <v>117.11</v>
      </c>
      <c r="K1280" s="39">
        <f t="shared" si="1"/>
        <v>1409045</v>
      </c>
      <c r="L1280" s="39">
        <f t="shared" si="2"/>
        <v>802203.5</v>
      </c>
      <c r="M1280" s="39">
        <f t="shared" si="3"/>
        <v>606841.5</v>
      </c>
      <c r="N1280" s="38" t="str">
        <f>VLOOKUP(F1280,products!$A$2:$B$13,2,FALSE)</f>
        <v>Cereal</v>
      </c>
      <c r="O1280" s="133">
        <f t="shared" si="4"/>
        <v>0.5693242586</v>
      </c>
      <c r="P1280" s="38" t="str">
        <f>VLOOKUP(E1280,countries!A$2:E$250,3,false)</f>
        <v>Macedonia</v>
      </c>
      <c r="Q1280" s="38" t="str">
        <f>VLOOKUP($E1280,countries!$A$2:$E$250,4,false)</f>
        <v>Europe</v>
      </c>
      <c r="R1280" s="38" t="str">
        <f>VLOOKUP($E1280,countries!$A$2:$E$250,5,false)</f>
        <v>Southern Europe</v>
      </c>
      <c r="S1280" s="38">
        <f t="shared" si="5"/>
        <v>17</v>
      </c>
      <c r="T1280" s="38" t="s">
        <v>144</v>
      </c>
      <c r="U1280" s="38">
        <v>2010.0</v>
      </c>
      <c r="V1280" s="38">
        <v>9.0</v>
      </c>
      <c r="W1280" s="38" t="s">
        <v>119</v>
      </c>
      <c r="X1280" s="38" t="s">
        <v>190</v>
      </c>
      <c r="Y1280" s="38" t="s">
        <v>146</v>
      </c>
      <c r="Z1280" s="38" t="s">
        <v>147</v>
      </c>
      <c r="AA1280" s="113" t="str">
        <f t="array" ref="AA1280">PROPER(G1280)</f>
        <v>Online</v>
      </c>
    </row>
    <row r="1281">
      <c r="A1281" s="110">
        <v>9.65796363E8</v>
      </c>
      <c r="B1281" s="131">
        <v>40611.0</v>
      </c>
      <c r="C1281" s="131">
        <v>40621.0</v>
      </c>
      <c r="D1281" s="110" t="s">
        <v>89</v>
      </c>
      <c r="E1281" s="110" t="s">
        <v>110</v>
      </c>
      <c r="F1281" s="110">
        <v>4594.0</v>
      </c>
      <c r="G1281" s="38" t="s">
        <v>43</v>
      </c>
      <c r="H1281" s="110">
        <v>9461.0</v>
      </c>
      <c r="I1281" s="132">
        <v>9.33</v>
      </c>
      <c r="J1281" s="132">
        <v>6.92</v>
      </c>
      <c r="K1281" s="39">
        <f t="shared" si="1"/>
        <v>88271.13</v>
      </c>
      <c r="L1281" s="39">
        <f t="shared" si="2"/>
        <v>65470.12</v>
      </c>
      <c r="M1281" s="39">
        <f t="shared" si="3"/>
        <v>22801.01</v>
      </c>
      <c r="N1281" s="38" t="str">
        <f>VLOOKUP(F1281,products!$A$2:$B$13,2,FALSE)</f>
        <v>Fruits</v>
      </c>
      <c r="O1281" s="133">
        <f t="shared" si="4"/>
        <v>0.741693462</v>
      </c>
      <c r="P1281" s="38" t="str">
        <f>VLOOKUP(E1281,countries!A$2:E$250,3,false)</f>
        <v>Lithuania</v>
      </c>
      <c r="Q1281" s="38" t="str">
        <f>VLOOKUP($E1281,countries!$A$2:$E$250,4,false)</f>
        <v>Europe</v>
      </c>
      <c r="R1281" s="38" t="str">
        <f>VLOOKUP($E1281,countries!$A$2:$E$250,5,false)</f>
        <v>Northern Europe</v>
      </c>
      <c r="S1281" s="38">
        <f t="shared" si="5"/>
        <v>10</v>
      </c>
      <c r="T1281" s="38" t="s">
        <v>156</v>
      </c>
      <c r="U1281" s="38">
        <v>2011.0</v>
      </c>
      <c r="V1281" s="38">
        <v>3.0</v>
      </c>
      <c r="W1281" s="38" t="s">
        <v>110</v>
      </c>
      <c r="X1281" s="38" t="s">
        <v>177</v>
      </c>
      <c r="Y1281" s="38" t="s">
        <v>146</v>
      </c>
      <c r="Z1281" s="38" t="s">
        <v>170</v>
      </c>
      <c r="AA1281" s="113" t="str">
        <f t="array" ref="AA1281">PROPER(G1281)</f>
        <v>Online</v>
      </c>
    </row>
    <row r="1282">
      <c r="A1282" s="110">
        <v>9.66800153E8</v>
      </c>
      <c r="B1282" s="131">
        <v>40415.0</v>
      </c>
      <c r="C1282" s="131">
        <v>40431.0</v>
      </c>
      <c r="D1282" s="110" t="s">
        <v>89</v>
      </c>
      <c r="E1282" s="110" t="s">
        <v>117</v>
      </c>
      <c r="F1282" s="110">
        <v>8875.0</v>
      </c>
      <c r="G1282" s="38" t="s">
        <v>42</v>
      </c>
      <c r="H1282" s="110">
        <v>6505.0</v>
      </c>
      <c r="I1282" s="132">
        <v>421.89</v>
      </c>
      <c r="J1282" s="132">
        <v>364.69</v>
      </c>
      <c r="K1282" s="39">
        <f t="shared" si="1"/>
        <v>2744394.45</v>
      </c>
      <c r="L1282" s="39">
        <f t="shared" si="2"/>
        <v>2372308.45</v>
      </c>
      <c r="M1282" s="39">
        <f t="shared" si="3"/>
        <v>372086</v>
      </c>
      <c r="N1282" s="38" t="str">
        <f>VLOOKUP(F1282,products!$A$2:$B$13,2,FALSE)</f>
        <v>Meat</v>
      </c>
      <c r="O1282" s="133">
        <f t="shared" si="4"/>
        <v>0.8644196354</v>
      </c>
      <c r="P1282" s="38" t="str">
        <f>VLOOKUP(E1282,countries!A$2:E$250,3,false)</f>
        <v>Estonia</v>
      </c>
      <c r="Q1282" s="38" t="str">
        <f>VLOOKUP($E1282,countries!$A$2:$E$250,4,false)</f>
        <v>Europe</v>
      </c>
      <c r="R1282" s="38" t="str">
        <f>VLOOKUP($E1282,countries!$A$2:$E$250,5,false)</f>
        <v>Northern Europe</v>
      </c>
      <c r="S1282" s="38">
        <f t="shared" si="5"/>
        <v>16</v>
      </c>
      <c r="T1282" s="38" t="s">
        <v>167</v>
      </c>
      <c r="U1282" s="38">
        <v>2010.0</v>
      </c>
      <c r="V1282" s="38">
        <v>8.0</v>
      </c>
      <c r="W1282" s="38" t="s">
        <v>117</v>
      </c>
      <c r="X1282" s="38" t="s">
        <v>188</v>
      </c>
      <c r="Y1282" s="38" t="s">
        <v>146</v>
      </c>
      <c r="Z1282" s="38" t="s">
        <v>170</v>
      </c>
      <c r="AA1282" s="113" t="str">
        <f t="array" ref="AA1282">PROPER(G1282)</f>
        <v>Offline</v>
      </c>
    </row>
    <row r="1283">
      <c r="A1283" s="110">
        <v>9.67258059E8</v>
      </c>
      <c r="B1283" s="131">
        <v>41851.0</v>
      </c>
      <c r="C1283" s="131">
        <v>41859.0</v>
      </c>
      <c r="D1283" s="110" t="s">
        <v>89</v>
      </c>
      <c r="E1283" s="110" t="s">
        <v>118</v>
      </c>
      <c r="F1283" s="110">
        <v>3127.0</v>
      </c>
      <c r="G1283" s="38" t="s">
        <v>43</v>
      </c>
      <c r="H1283" s="110">
        <v>2009.0</v>
      </c>
      <c r="I1283" s="132">
        <v>81.73</v>
      </c>
      <c r="J1283" s="132">
        <v>56.67</v>
      </c>
      <c r="K1283" s="39">
        <f t="shared" si="1"/>
        <v>164195.57</v>
      </c>
      <c r="L1283" s="39">
        <f t="shared" si="2"/>
        <v>113850.03</v>
      </c>
      <c r="M1283" s="39">
        <f t="shared" si="3"/>
        <v>50345.54</v>
      </c>
      <c r="N1283" s="38" t="str">
        <f>VLOOKUP(F1283,products!$A$2:$B$13,2,FALSE)</f>
        <v>Personal Care</v>
      </c>
      <c r="O1283" s="133">
        <f t="shared" si="4"/>
        <v>0.6933806436</v>
      </c>
      <c r="P1283" s="38" t="str">
        <f>VLOOKUP(E1283,countries!A$2:E$250,3,false)</f>
        <v>Austria</v>
      </c>
      <c r="Q1283" s="38" t="str">
        <f>VLOOKUP($E1283,countries!$A$2:$E$250,4,false)</f>
        <v>Europe</v>
      </c>
      <c r="R1283" s="38" t="str">
        <f>VLOOKUP($E1283,countries!$A$2:$E$250,5,false)</f>
        <v>Western Europe</v>
      </c>
      <c r="S1283" s="38">
        <f t="shared" si="5"/>
        <v>8</v>
      </c>
      <c r="T1283" s="38" t="s">
        <v>185</v>
      </c>
      <c r="U1283" s="38">
        <v>2014.0</v>
      </c>
      <c r="V1283" s="38">
        <v>7.0</v>
      </c>
      <c r="W1283" s="38" t="s">
        <v>118</v>
      </c>
      <c r="X1283" s="38" t="s">
        <v>189</v>
      </c>
      <c r="Y1283" s="38" t="s">
        <v>146</v>
      </c>
      <c r="Z1283" s="38" t="s">
        <v>158</v>
      </c>
      <c r="AA1283" s="113" t="str">
        <f t="array" ref="AA1283">PROPER(G1283)</f>
        <v>Online</v>
      </c>
    </row>
    <row r="1284">
      <c r="A1284" s="110">
        <v>9.67679059E8</v>
      </c>
      <c r="B1284" s="131">
        <v>41336.0</v>
      </c>
      <c r="C1284" s="131">
        <v>41352.0</v>
      </c>
      <c r="D1284" s="110" t="s">
        <v>10</v>
      </c>
      <c r="E1284" s="110" t="s">
        <v>128</v>
      </c>
      <c r="F1284" s="110">
        <v>5988.0</v>
      </c>
      <c r="G1284" s="38" t="s">
        <v>43</v>
      </c>
      <c r="H1284" s="110">
        <v>6592.0</v>
      </c>
      <c r="I1284" s="132">
        <v>154.06</v>
      </c>
      <c r="J1284" s="132">
        <v>90.93</v>
      </c>
      <c r="K1284" s="39">
        <f t="shared" si="1"/>
        <v>1015563.52</v>
      </c>
      <c r="L1284" s="39">
        <f t="shared" si="2"/>
        <v>599410.56</v>
      </c>
      <c r="M1284" s="39">
        <f t="shared" si="3"/>
        <v>416152.96</v>
      </c>
      <c r="N1284" s="38" t="str">
        <f>VLOOKUP(F1284,products!$A$2:$B$13,2,FALSE)</f>
        <v>Vegetables</v>
      </c>
      <c r="O1284" s="133">
        <f t="shared" si="4"/>
        <v>0.5902245878</v>
      </c>
      <c r="P1284" s="38" t="str">
        <f>VLOOKUP(E1284,countries!A$2:E$250,3,false)</f>
        <v>Andorra</v>
      </c>
      <c r="Q1284" s="38" t="str">
        <f>VLOOKUP($E1284,countries!$A$2:$E$250,4,false)</f>
        <v>Europe</v>
      </c>
      <c r="R1284" s="38" t="str">
        <f>VLOOKUP($E1284,countries!$A$2:$E$250,5,false)</f>
        <v>Southern Europe</v>
      </c>
      <c r="S1284" s="38">
        <f t="shared" si="5"/>
        <v>16</v>
      </c>
      <c r="T1284" s="38" t="s">
        <v>159</v>
      </c>
      <c r="U1284" s="38">
        <v>2013.0</v>
      </c>
      <c r="V1284" s="38">
        <v>3.0</v>
      </c>
      <c r="W1284" s="38" t="s">
        <v>128</v>
      </c>
      <c r="X1284" s="38" t="s">
        <v>199</v>
      </c>
      <c r="Y1284" s="38" t="s">
        <v>146</v>
      </c>
      <c r="Z1284" s="38" t="s">
        <v>147</v>
      </c>
      <c r="AA1284" s="113" t="str">
        <f t="array" ref="AA1284">PROPER(G1284)</f>
        <v>Online</v>
      </c>
    </row>
    <row r="1285">
      <c r="A1285" s="110">
        <v>9.6818546E8</v>
      </c>
      <c r="B1285" s="131">
        <v>41283.0</v>
      </c>
      <c r="C1285" s="131">
        <v>41308.0</v>
      </c>
      <c r="D1285" s="110" t="s">
        <v>89</v>
      </c>
      <c r="E1285" s="110" t="s">
        <v>106</v>
      </c>
      <c r="F1285" s="110">
        <v>8969.0</v>
      </c>
      <c r="G1285" s="38" t="s">
        <v>43</v>
      </c>
      <c r="H1285" s="110">
        <v>6448.0</v>
      </c>
      <c r="I1285" s="132">
        <v>152.58</v>
      </c>
      <c r="J1285" s="132">
        <v>97.44</v>
      </c>
      <c r="K1285" s="39">
        <f t="shared" si="1"/>
        <v>983835.84</v>
      </c>
      <c r="L1285" s="39">
        <f t="shared" si="2"/>
        <v>628293.12</v>
      </c>
      <c r="M1285" s="39">
        <f t="shared" si="3"/>
        <v>355542.72</v>
      </c>
      <c r="N1285" s="38" t="str">
        <f>VLOOKUP(F1285,products!$A$2:$B$13,2,FALSE)</f>
        <v>Snacks</v>
      </c>
      <c r="O1285" s="133">
        <f t="shared" si="4"/>
        <v>0.6386158081</v>
      </c>
      <c r="P1285" s="38" t="str">
        <f>VLOOKUP(E1285,countries!A$2:E$250,3,false)</f>
        <v>Poland</v>
      </c>
      <c r="Q1285" s="38" t="str">
        <f>VLOOKUP($E1285,countries!$A$2:$E$250,4,false)</f>
        <v>Europe</v>
      </c>
      <c r="R1285" s="38" t="str">
        <f>VLOOKUP($E1285,countries!$A$2:$E$250,5,false)</f>
        <v>Eastern Europe</v>
      </c>
      <c r="S1285" s="38">
        <f t="shared" si="5"/>
        <v>25</v>
      </c>
      <c r="T1285" s="38" t="s">
        <v>182</v>
      </c>
      <c r="U1285" s="38">
        <v>2013.0</v>
      </c>
      <c r="V1285" s="38">
        <v>1.0</v>
      </c>
      <c r="W1285" s="38" t="s">
        <v>106</v>
      </c>
      <c r="X1285" s="38" t="s">
        <v>173</v>
      </c>
      <c r="Y1285" s="38" t="s">
        <v>146</v>
      </c>
      <c r="Z1285" s="38" t="s">
        <v>155</v>
      </c>
      <c r="AA1285" s="113" t="str">
        <f t="array" ref="AA1285">PROPER(G1285)</f>
        <v>Online</v>
      </c>
    </row>
    <row r="1286">
      <c r="A1286" s="110">
        <v>9.69195258E8</v>
      </c>
      <c r="B1286" s="131">
        <v>41147.0</v>
      </c>
      <c r="C1286" s="131">
        <v>41169.0</v>
      </c>
      <c r="D1286" s="110" t="s">
        <v>93</v>
      </c>
      <c r="E1286" s="110" t="s">
        <v>135</v>
      </c>
      <c r="F1286" s="110">
        <v>5988.0</v>
      </c>
      <c r="G1286" s="38" t="s">
        <v>43</v>
      </c>
      <c r="H1286" s="110">
        <v>5269.0</v>
      </c>
      <c r="I1286" s="132">
        <v>154.06</v>
      </c>
      <c r="J1286" s="132">
        <v>90.93</v>
      </c>
      <c r="K1286" s="39">
        <f t="shared" si="1"/>
        <v>811742.14</v>
      </c>
      <c r="L1286" s="39">
        <f t="shared" si="2"/>
        <v>479110.17</v>
      </c>
      <c r="M1286" s="39">
        <f t="shared" si="3"/>
        <v>332631.97</v>
      </c>
      <c r="N1286" s="38" t="str">
        <f>VLOOKUP(F1286,products!$A$2:$B$13,2,FALSE)</f>
        <v>Vegetables</v>
      </c>
      <c r="O1286" s="133">
        <f t="shared" si="4"/>
        <v>0.5902245878</v>
      </c>
      <c r="P1286" s="38" t="str">
        <f>VLOOKUP(E1286,countries!A$2:E$250,3,false)</f>
        <v>Denmark</v>
      </c>
      <c r="Q1286" s="38" t="str">
        <f>VLOOKUP($E1286,countries!$A$2:$E$250,4,false)</f>
        <v>Europe</v>
      </c>
      <c r="R1286" s="38" t="str">
        <f>VLOOKUP($E1286,countries!$A$2:$E$250,5,false)</f>
        <v>Northern Europe</v>
      </c>
      <c r="S1286" s="38">
        <f t="shared" si="5"/>
        <v>22</v>
      </c>
      <c r="T1286" s="38" t="s">
        <v>159</v>
      </c>
      <c r="U1286" s="38">
        <v>2012.0</v>
      </c>
      <c r="V1286" s="38">
        <v>8.0</v>
      </c>
      <c r="W1286" s="38" t="s">
        <v>135</v>
      </c>
      <c r="X1286" s="38" t="s">
        <v>205</v>
      </c>
      <c r="Y1286" s="38" t="s">
        <v>146</v>
      </c>
      <c r="Z1286" s="38" t="s">
        <v>170</v>
      </c>
      <c r="AA1286" s="113" t="str">
        <f t="array" ref="AA1286">PROPER(G1286)</f>
        <v>Online</v>
      </c>
    </row>
    <row r="1287">
      <c r="A1287" s="110">
        <v>9.69199979E8</v>
      </c>
      <c r="B1287" s="131">
        <v>41590.0</v>
      </c>
      <c r="C1287" s="131">
        <v>41615.0</v>
      </c>
      <c r="D1287" s="110" t="s">
        <v>95</v>
      </c>
      <c r="E1287" s="110" t="s">
        <v>138</v>
      </c>
      <c r="F1287" s="110">
        <v>8875.0</v>
      </c>
      <c r="G1287" s="38" t="s">
        <v>43</v>
      </c>
      <c r="H1287" s="110">
        <v>6666.0</v>
      </c>
      <c r="I1287" s="132">
        <v>421.89</v>
      </c>
      <c r="J1287" s="132">
        <v>364.69</v>
      </c>
      <c r="K1287" s="39">
        <f t="shared" si="1"/>
        <v>2812318.74</v>
      </c>
      <c r="L1287" s="39">
        <f t="shared" si="2"/>
        <v>2431023.54</v>
      </c>
      <c r="M1287" s="39">
        <f t="shared" si="3"/>
        <v>381295.2</v>
      </c>
      <c r="N1287" s="38" t="str">
        <f>VLOOKUP(F1287,products!$A$2:$B$13,2,FALSE)</f>
        <v>Meat</v>
      </c>
      <c r="O1287" s="133">
        <f t="shared" si="4"/>
        <v>0.8644196354</v>
      </c>
      <c r="P1287" s="38" t="str">
        <f>VLOOKUP(E1287,countries!A$2:E$250,3,false)</f>
        <v>Greece</v>
      </c>
      <c r="Q1287" s="38" t="str">
        <f>VLOOKUP($E1287,countries!$A$2:$E$250,4,false)</f>
        <v>Europe</v>
      </c>
      <c r="R1287" s="38" t="str">
        <f>VLOOKUP($E1287,countries!$A$2:$E$250,5,false)</f>
        <v>Southern Europe</v>
      </c>
      <c r="S1287" s="38">
        <f t="shared" si="5"/>
        <v>25</v>
      </c>
      <c r="T1287" s="38" t="s">
        <v>167</v>
      </c>
      <c r="U1287" s="38">
        <v>2013.0</v>
      </c>
      <c r="V1287" s="38">
        <v>11.0</v>
      </c>
      <c r="W1287" s="38" t="s">
        <v>138</v>
      </c>
      <c r="X1287" s="38" t="s">
        <v>208</v>
      </c>
      <c r="Y1287" s="38" t="s">
        <v>146</v>
      </c>
      <c r="Z1287" s="38" t="s">
        <v>147</v>
      </c>
      <c r="AA1287" s="113" t="str">
        <f t="array" ref="AA1287">PROPER(G1287)</f>
        <v>Online</v>
      </c>
    </row>
    <row r="1288">
      <c r="A1288" s="110">
        <v>9.69289243E8</v>
      </c>
      <c r="B1288" s="131">
        <v>40905.0</v>
      </c>
      <c r="C1288" s="131">
        <v>40941.0</v>
      </c>
      <c r="D1288" s="110" t="s">
        <v>10</v>
      </c>
      <c r="E1288" s="110" t="s">
        <v>133</v>
      </c>
      <c r="F1288" s="110">
        <v>7940.0</v>
      </c>
      <c r="G1288" s="38" t="s">
        <v>43</v>
      </c>
      <c r="H1288" s="110">
        <v>3082.0</v>
      </c>
      <c r="I1288" s="132">
        <v>668.27</v>
      </c>
      <c r="J1288" s="132">
        <v>502.54</v>
      </c>
      <c r="K1288" s="39">
        <f t="shared" si="1"/>
        <v>2059608.14</v>
      </c>
      <c r="L1288" s="39">
        <f t="shared" si="2"/>
        <v>1548828.28</v>
      </c>
      <c r="M1288" s="39">
        <f t="shared" si="3"/>
        <v>510779.86</v>
      </c>
      <c r="N1288" s="38" t="str">
        <f>VLOOKUP(F1288,products!$A$2:$B$13,2,FALSE)</f>
        <v>Household</v>
      </c>
      <c r="O1288" s="133">
        <f t="shared" si="4"/>
        <v>0.7520014365</v>
      </c>
      <c r="P1288" s="38" t="str">
        <f>VLOOKUP(E1288,countries!A$2:E$250,3,false)</f>
        <v>Bosnia and Herzegovina</v>
      </c>
      <c r="Q1288" s="38" t="str">
        <f>VLOOKUP($E1288,countries!$A$2:$E$250,4,false)</f>
        <v>Europe</v>
      </c>
      <c r="R1288" s="38" t="str">
        <f>VLOOKUP($E1288,countries!$A$2:$E$250,5,false)</f>
        <v>Southern Europe</v>
      </c>
      <c r="S1288" s="38">
        <f t="shared" si="5"/>
        <v>36</v>
      </c>
      <c r="T1288" s="38" t="s">
        <v>148</v>
      </c>
      <c r="U1288" s="38">
        <v>2011.0</v>
      </c>
      <c r="V1288" s="38">
        <v>12.0</v>
      </c>
      <c r="W1288" s="38" t="s">
        <v>133</v>
      </c>
      <c r="X1288" s="38" t="s">
        <v>204</v>
      </c>
      <c r="Y1288" s="38" t="s">
        <v>146</v>
      </c>
      <c r="Z1288" s="38" t="s">
        <v>147</v>
      </c>
      <c r="AA1288" s="113" t="str">
        <f t="array" ref="AA1288">PROPER(G1288)</f>
        <v>Online</v>
      </c>
    </row>
    <row r="1289">
      <c r="A1289" s="110">
        <v>9.70427358E8</v>
      </c>
      <c r="B1289" s="131">
        <v>40477.0</v>
      </c>
      <c r="C1289" s="131">
        <v>40482.0</v>
      </c>
      <c r="D1289" s="110" t="s">
        <v>95</v>
      </c>
      <c r="E1289" s="110" t="s">
        <v>101</v>
      </c>
      <c r="F1289" s="110">
        <v>8875.0</v>
      </c>
      <c r="G1289" s="38" t="s">
        <v>42</v>
      </c>
      <c r="H1289" s="110">
        <v>9875.0</v>
      </c>
      <c r="I1289" s="132">
        <v>421.89</v>
      </c>
      <c r="J1289" s="132">
        <v>364.69</v>
      </c>
      <c r="K1289" s="39">
        <f t="shared" si="1"/>
        <v>4166163.75</v>
      </c>
      <c r="L1289" s="39">
        <f t="shared" si="2"/>
        <v>3601313.75</v>
      </c>
      <c r="M1289" s="39">
        <f t="shared" si="3"/>
        <v>564850</v>
      </c>
      <c r="N1289" s="38" t="str">
        <f>VLOOKUP(F1289,products!$A$2:$B$13,2,FALSE)</f>
        <v>Meat</v>
      </c>
      <c r="O1289" s="133">
        <f t="shared" si="4"/>
        <v>0.8644196354</v>
      </c>
      <c r="P1289" s="38" t="str">
        <f>VLOOKUP(E1289,countries!A$2:E$250,3,false)</f>
        <v>Armenia</v>
      </c>
      <c r="Q1289" s="38" t="str">
        <f>VLOOKUP($E1289,countries!$A$2:$E$250,4,false)</f>
        <v>Asia</v>
      </c>
      <c r="R1289" s="38" t="str">
        <f>VLOOKUP($E1289,countries!$A$2:$E$250,5,false)</f>
        <v>Western Asia</v>
      </c>
      <c r="S1289" s="38">
        <f t="shared" si="5"/>
        <v>5</v>
      </c>
      <c r="T1289" s="38" t="s">
        <v>167</v>
      </c>
      <c r="U1289" s="38">
        <v>2010.0</v>
      </c>
      <c r="V1289" s="38">
        <v>10.0</v>
      </c>
      <c r="W1289" s="38" t="s">
        <v>101</v>
      </c>
      <c r="X1289" s="38" t="s">
        <v>164</v>
      </c>
      <c r="Y1289" s="38" t="s">
        <v>165</v>
      </c>
      <c r="Z1289" s="38" t="s">
        <v>166</v>
      </c>
      <c r="AA1289" s="113" t="str">
        <f t="array" ref="AA1289">PROPER(G1289)</f>
        <v>Offline</v>
      </c>
    </row>
    <row r="1290">
      <c r="A1290" s="110">
        <v>9.71578347E8</v>
      </c>
      <c r="B1290" s="131">
        <v>41759.0</v>
      </c>
      <c r="C1290" s="131">
        <v>41806.0</v>
      </c>
      <c r="D1290" s="110" t="s">
        <v>93</v>
      </c>
      <c r="E1290" s="110" t="s">
        <v>136</v>
      </c>
      <c r="F1290" s="110">
        <v>7940.0</v>
      </c>
      <c r="G1290" s="38" t="s">
        <v>43</v>
      </c>
      <c r="H1290" s="110">
        <v>478.0</v>
      </c>
      <c r="I1290" s="132">
        <v>668.27</v>
      </c>
      <c r="J1290" s="132">
        <v>502.54</v>
      </c>
      <c r="K1290" s="39">
        <f t="shared" si="1"/>
        <v>319433.06</v>
      </c>
      <c r="L1290" s="39">
        <f t="shared" si="2"/>
        <v>240214.12</v>
      </c>
      <c r="M1290" s="39">
        <f t="shared" si="3"/>
        <v>79218.94</v>
      </c>
      <c r="N1290" s="38" t="str">
        <f>VLOOKUP(F1290,products!$A$2:$B$13,2,FALSE)</f>
        <v>Household</v>
      </c>
      <c r="O1290" s="133">
        <f t="shared" si="4"/>
        <v>0.7520014365</v>
      </c>
      <c r="P1290" s="38" t="str">
        <f>VLOOKUP(E1290,countries!A$2:E$250,3,false)</f>
        <v>Monaco</v>
      </c>
      <c r="Q1290" s="38" t="str">
        <f>VLOOKUP($E1290,countries!$A$2:$E$250,4,false)</f>
        <v>Europe</v>
      </c>
      <c r="R1290" s="38" t="str">
        <f>VLOOKUP($E1290,countries!$A$2:$E$250,5,false)</f>
        <v>Western Europe</v>
      </c>
      <c r="S1290" s="38">
        <f t="shared" si="5"/>
        <v>47</v>
      </c>
      <c r="T1290" s="38" t="s">
        <v>148</v>
      </c>
      <c r="U1290" s="38">
        <v>2014.0</v>
      </c>
      <c r="V1290" s="38">
        <v>4.0</v>
      </c>
      <c r="W1290" s="38" t="s">
        <v>136</v>
      </c>
      <c r="X1290" s="38" t="s">
        <v>206</v>
      </c>
      <c r="Y1290" s="38" t="s">
        <v>146</v>
      </c>
      <c r="Z1290" s="38" t="s">
        <v>158</v>
      </c>
      <c r="AA1290" s="113" t="str">
        <f t="array" ref="AA1290">PROPER(G1290)</f>
        <v>Online</v>
      </c>
    </row>
    <row r="1291">
      <c r="A1291" s="110">
        <v>9.71899354E8</v>
      </c>
      <c r="B1291" s="131">
        <v>41426.0</v>
      </c>
      <c r="C1291" s="131">
        <v>41426.0</v>
      </c>
      <c r="D1291" s="110" t="s">
        <v>10</v>
      </c>
      <c r="E1291" s="110" t="s">
        <v>132</v>
      </c>
      <c r="F1291" s="110">
        <v>8969.0</v>
      </c>
      <c r="G1291" s="38" t="s">
        <v>43</v>
      </c>
      <c r="H1291" s="110">
        <v>5471.0</v>
      </c>
      <c r="I1291" s="132">
        <v>152.58</v>
      </c>
      <c r="J1291" s="132">
        <v>97.44</v>
      </c>
      <c r="K1291" s="39">
        <f t="shared" si="1"/>
        <v>834765.18</v>
      </c>
      <c r="L1291" s="39">
        <f t="shared" si="2"/>
        <v>533094.24</v>
      </c>
      <c r="M1291" s="39">
        <f t="shared" si="3"/>
        <v>301670.94</v>
      </c>
      <c r="N1291" s="38" t="str">
        <f>VLOOKUP(F1291,products!$A$2:$B$13,2,FALSE)</f>
        <v>Snacks</v>
      </c>
      <c r="O1291" s="133">
        <f t="shared" si="4"/>
        <v>0.6386158081</v>
      </c>
      <c r="P1291" s="38" t="str">
        <f>VLOOKUP(E1291,countries!A$2:E$250,3,false)</f>
        <v>Sweden</v>
      </c>
      <c r="Q1291" s="38" t="str">
        <f>VLOOKUP($E1291,countries!$A$2:$E$250,4,false)</f>
        <v>Europe</v>
      </c>
      <c r="R1291" s="38" t="str">
        <f>VLOOKUP($E1291,countries!$A$2:$E$250,5,false)</f>
        <v>Northern Europe</v>
      </c>
      <c r="S1291" s="38">
        <f t="shared" si="5"/>
        <v>0</v>
      </c>
      <c r="T1291" s="38" t="s">
        <v>182</v>
      </c>
      <c r="U1291" s="38">
        <v>2013.0</v>
      </c>
      <c r="V1291" s="38">
        <v>6.0</v>
      </c>
      <c r="W1291" s="38" t="s">
        <v>132</v>
      </c>
      <c r="X1291" s="38" t="s">
        <v>203</v>
      </c>
      <c r="Y1291" s="38" t="s">
        <v>146</v>
      </c>
      <c r="Z1291" s="38" t="s">
        <v>170</v>
      </c>
      <c r="AA1291" s="113" t="str">
        <f t="array" ref="AA1291">PROPER(G1291)</f>
        <v>Online</v>
      </c>
    </row>
    <row r="1292">
      <c r="A1292" s="110">
        <v>9.72419059E8</v>
      </c>
      <c r="B1292" s="131">
        <v>41112.0</v>
      </c>
      <c r="C1292" s="131">
        <v>41138.0</v>
      </c>
      <c r="D1292" s="110" t="s">
        <v>95</v>
      </c>
      <c r="E1292" s="110" t="s">
        <v>104</v>
      </c>
      <c r="F1292" s="110">
        <v>2103.0</v>
      </c>
      <c r="G1292" s="38" t="s">
        <v>43</v>
      </c>
      <c r="H1292" s="110">
        <v>9264.0</v>
      </c>
      <c r="I1292" s="132">
        <v>205.7</v>
      </c>
      <c r="J1292" s="132">
        <v>117.11</v>
      </c>
      <c r="K1292" s="39">
        <f t="shared" si="1"/>
        <v>1905604.8</v>
      </c>
      <c r="L1292" s="39">
        <f t="shared" si="2"/>
        <v>1084907.04</v>
      </c>
      <c r="M1292" s="39">
        <f t="shared" si="3"/>
        <v>820697.76</v>
      </c>
      <c r="N1292" s="38" t="str">
        <f>VLOOKUP(F1292,products!$A$2:$B$13,2,FALSE)</f>
        <v>Cereal</v>
      </c>
      <c r="O1292" s="133">
        <f t="shared" si="4"/>
        <v>0.5693242586</v>
      </c>
      <c r="P1292" s="38" t="str">
        <f>VLOOKUP(E1292,countries!A$2:E$250,3,false)</f>
        <v>Slovenia</v>
      </c>
      <c r="Q1292" s="38" t="str">
        <f>VLOOKUP($E1292,countries!$A$2:$E$250,4,false)</f>
        <v>Europe</v>
      </c>
      <c r="R1292" s="38" t="str">
        <f>VLOOKUP($E1292,countries!$A$2:$E$250,5,false)</f>
        <v>Southern Europe</v>
      </c>
      <c r="S1292" s="38">
        <f t="shared" si="5"/>
        <v>26</v>
      </c>
      <c r="T1292" s="38" t="s">
        <v>144</v>
      </c>
      <c r="U1292" s="38">
        <v>2012.0</v>
      </c>
      <c r="V1292" s="38">
        <v>7.0</v>
      </c>
      <c r="W1292" s="38" t="s">
        <v>104</v>
      </c>
      <c r="X1292" s="38" t="s">
        <v>171</v>
      </c>
      <c r="Y1292" s="38" t="s">
        <v>146</v>
      </c>
      <c r="Z1292" s="38" t="s">
        <v>147</v>
      </c>
      <c r="AA1292" s="113" t="str">
        <f t="array" ref="AA1292">PROPER(G1292)</f>
        <v>Online</v>
      </c>
    </row>
    <row r="1293">
      <c r="A1293" s="110">
        <v>9.72452533E8</v>
      </c>
      <c r="B1293" s="131">
        <v>42238.0</v>
      </c>
      <c r="C1293" s="131">
        <v>42281.0</v>
      </c>
      <c r="D1293" s="110" t="s">
        <v>93</v>
      </c>
      <c r="E1293" s="110" t="s">
        <v>130</v>
      </c>
      <c r="F1293" s="110">
        <v>5988.0</v>
      </c>
      <c r="G1293" s="38" t="s">
        <v>43</v>
      </c>
      <c r="H1293" s="110">
        <v>9169.0</v>
      </c>
      <c r="I1293" s="132">
        <v>154.06</v>
      </c>
      <c r="J1293" s="132">
        <v>90.93</v>
      </c>
      <c r="K1293" s="39">
        <f t="shared" si="1"/>
        <v>1412576.14</v>
      </c>
      <c r="L1293" s="39">
        <f t="shared" si="2"/>
        <v>833737.17</v>
      </c>
      <c r="M1293" s="39">
        <f t="shared" si="3"/>
        <v>578838.97</v>
      </c>
      <c r="N1293" s="38" t="str">
        <f>VLOOKUP(F1293,products!$A$2:$B$13,2,FALSE)</f>
        <v>Vegetables</v>
      </c>
      <c r="O1293" s="133">
        <f t="shared" si="4"/>
        <v>0.5902245878</v>
      </c>
      <c r="P1293" s="38" t="str">
        <f>VLOOKUP(E1293,countries!A$2:E$250,3,false)</f>
        <v>Finland</v>
      </c>
      <c r="Q1293" s="38" t="str">
        <f>VLOOKUP($E1293,countries!$A$2:$E$250,4,false)</f>
        <v>Europe</v>
      </c>
      <c r="R1293" s="38" t="str">
        <f>VLOOKUP($E1293,countries!$A$2:$E$250,5,false)</f>
        <v>Northern Europe</v>
      </c>
      <c r="S1293" s="38">
        <f t="shared" si="5"/>
        <v>43</v>
      </c>
      <c r="T1293" s="38" t="s">
        <v>159</v>
      </c>
      <c r="U1293" s="38">
        <v>2015.0</v>
      </c>
      <c r="V1293" s="38">
        <v>8.0</v>
      </c>
      <c r="W1293" s="38" t="s">
        <v>130</v>
      </c>
      <c r="X1293" s="38" t="s">
        <v>201</v>
      </c>
      <c r="Y1293" s="38" t="s">
        <v>146</v>
      </c>
      <c r="Z1293" s="38" t="s">
        <v>170</v>
      </c>
      <c r="AA1293" s="113" t="str">
        <f t="array" ref="AA1293">PROPER(G1293)</f>
        <v>Online</v>
      </c>
    </row>
    <row r="1294">
      <c r="A1294" s="110">
        <v>9.72981679E8</v>
      </c>
      <c r="B1294" s="131">
        <v>42809.0</v>
      </c>
      <c r="C1294" s="131">
        <v>42834.0</v>
      </c>
      <c r="D1294" s="110" t="s">
        <v>10</v>
      </c>
      <c r="E1294" s="110" t="s">
        <v>124</v>
      </c>
      <c r="F1294" s="110">
        <v>8969.0</v>
      </c>
      <c r="G1294" s="38" t="s">
        <v>43</v>
      </c>
      <c r="H1294" s="110">
        <v>5755.0</v>
      </c>
      <c r="I1294" s="132">
        <v>152.58</v>
      </c>
      <c r="J1294" s="132">
        <v>97.44</v>
      </c>
      <c r="K1294" s="39">
        <f t="shared" si="1"/>
        <v>878097.9</v>
      </c>
      <c r="L1294" s="39">
        <f t="shared" si="2"/>
        <v>560767.2</v>
      </c>
      <c r="M1294" s="39">
        <f t="shared" si="3"/>
        <v>317330.7</v>
      </c>
      <c r="N1294" s="38" t="str">
        <f>VLOOKUP(F1294,products!$A$2:$B$13,2,FALSE)</f>
        <v>Snacks</v>
      </c>
      <c r="O1294" s="133">
        <f t="shared" si="4"/>
        <v>0.6386158081</v>
      </c>
      <c r="P1294" s="38" t="str">
        <f>VLOOKUP(E1294,countries!A$2:E$250,3,false)</f>
        <v>Latvia</v>
      </c>
      <c r="Q1294" s="38" t="str">
        <f>VLOOKUP($E1294,countries!$A$2:$E$250,4,false)</f>
        <v>Europe</v>
      </c>
      <c r="R1294" s="38" t="str">
        <f>VLOOKUP($E1294,countries!$A$2:$E$250,5,false)</f>
        <v>Northern Europe</v>
      </c>
      <c r="S1294" s="38">
        <f t="shared" si="5"/>
        <v>25</v>
      </c>
      <c r="T1294" s="38" t="s">
        <v>182</v>
      </c>
      <c r="U1294" s="38">
        <v>2017.0</v>
      </c>
      <c r="V1294" s="38">
        <v>3.0</v>
      </c>
      <c r="W1294" s="38" t="s">
        <v>124</v>
      </c>
      <c r="X1294" s="38" t="s">
        <v>195</v>
      </c>
      <c r="Y1294" s="38" t="s">
        <v>146</v>
      </c>
      <c r="Z1294" s="38" t="s">
        <v>170</v>
      </c>
      <c r="AA1294" s="113" t="str">
        <f t="array" ref="AA1294">PROPER(G1294)</f>
        <v>Online</v>
      </c>
    </row>
    <row r="1295">
      <c r="A1295" s="110">
        <v>9.73268353E8</v>
      </c>
      <c r="B1295" s="131">
        <v>42526.0</v>
      </c>
      <c r="C1295" s="131">
        <v>42547.0</v>
      </c>
      <c r="D1295" s="110" t="s">
        <v>95</v>
      </c>
      <c r="E1295" s="110" t="s">
        <v>135</v>
      </c>
      <c r="F1295" s="110">
        <v>1270.0</v>
      </c>
      <c r="G1295" s="38" t="s">
        <v>43</v>
      </c>
      <c r="H1295" s="110">
        <v>589.0</v>
      </c>
      <c r="I1295" s="132">
        <v>47.45</v>
      </c>
      <c r="J1295" s="132">
        <v>31.79</v>
      </c>
      <c r="K1295" s="39">
        <f t="shared" si="1"/>
        <v>27948.05</v>
      </c>
      <c r="L1295" s="39">
        <f t="shared" si="2"/>
        <v>18724.31</v>
      </c>
      <c r="M1295" s="39">
        <f t="shared" si="3"/>
        <v>9223.74</v>
      </c>
      <c r="N1295" s="38" t="str">
        <f>VLOOKUP(F1295,products!$A$2:$B$13,2,FALSE)</f>
        <v>Beverages</v>
      </c>
      <c r="O1295" s="133">
        <f t="shared" si="4"/>
        <v>0.6699683878</v>
      </c>
      <c r="P1295" s="38" t="str">
        <f>VLOOKUP(E1295,countries!A$2:E$250,3,false)</f>
        <v>Denmark</v>
      </c>
      <c r="Q1295" s="38" t="str">
        <f>VLOOKUP($E1295,countries!$A$2:$E$250,4,false)</f>
        <v>Europe</v>
      </c>
      <c r="R1295" s="38" t="str">
        <f>VLOOKUP($E1295,countries!$A$2:$E$250,5,false)</f>
        <v>Northern Europe</v>
      </c>
      <c r="S1295" s="38">
        <f t="shared" si="5"/>
        <v>21</v>
      </c>
      <c r="T1295" s="38" t="s">
        <v>152</v>
      </c>
      <c r="U1295" s="38">
        <v>2016.0</v>
      </c>
      <c r="V1295" s="38">
        <v>6.0</v>
      </c>
      <c r="W1295" s="38" t="s">
        <v>135</v>
      </c>
      <c r="X1295" s="38" t="s">
        <v>205</v>
      </c>
      <c r="Y1295" s="38" t="s">
        <v>146</v>
      </c>
      <c r="Z1295" s="38" t="s">
        <v>170</v>
      </c>
      <c r="AA1295" s="113" t="str">
        <f t="array" ref="AA1295">PROPER(G1295)</f>
        <v>Online</v>
      </c>
    </row>
    <row r="1296">
      <c r="A1296" s="110">
        <v>9.7414726E8</v>
      </c>
      <c r="B1296" s="131">
        <v>40681.0</v>
      </c>
      <c r="C1296" s="131">
        <v>40702.0</v>
      </c>
      <c r="D1296" s="110" t="s">
        <v>93</v>
      </c>
      <c r="E1296" s="110" t="s">
        <v>128</v>
      </c>
      <c r="F1296" s="110">
        <v>2455.0</v>
      </c>
      <c r="G1296" s="38" t="s">
        <v>42</v>
      </c>
      <c r="H1296" s="110">
        <v>677.0</v>
      </c>
      <c r="I1296" s="132">
        <v>109.28</v>
      </c>
      <c r="J1296" s="132">
        <v>35.84</v>
      </c>
      <c r="K1296" s="39">
        <f t="shared" si="1"/>
        <v>73982.56</v>
      </c>
      <c r="L1296" s="39">
        <f t="shared" si="2"/>
        <v>24263.68</v>
      </c>
      <c r="M1296" s="39">
        <f t="shared" si="3"/>
        <v>49718.88</v>
      </c>
      <c r="N1296" s="38" t="str">
        <f>VLOOKUP(F1296,products!$A$2:$B$13,2,FALSE)</f>
        <v>Clothes</v>
      </c>
      <c r="O1296" s="133">
        <f t="shared" si="4"/>
        <v>0.3279648609</v>
      </c>
      <c r="P1296" s="38" t="str">
        <f>VLOOKUP(E1296,countries!A$2:E$250,3,false)</f>
        <v>Andorra</v>
      </c>
      <c r="Q1296" s="38" t="str">
        <f>VLOOKUP($E1296,countries!$A$2:$E$250,4,false)</f>
        <v>Europe</v>
      </c>
      <c r="R1296" s="38" t="str">
        <f>VLOOKUP($E1296,countries!$A$2:$E$250,5,false)</f>
        <v>Southern Europe</v>
      </c>
      <c r="S1296" s="38">
        <f t="shared" si="5"/>
        <v>21</v>
      </c>
      <c r="T1296" s="38" t="s">
        <v>150</v>
      </c>
      <c r="U1296" s="38">
        <v>2011.0</v>
      </c>
      <c r="V1296" s="38">
        <v>5.0</v>
      </c>
      <c r="W1296" s="38" t="s">
        <v>128</v>
      </c>
      <c r="X1296" s="38" t="s">
        <v>199</v>
      </c>
      <c r="Y1296" s="38" t="s">
        <v>146</v>
      </c>
      <c r="Z1296" s="38" t="s">
        <v>147</v>
      </c>
      <c r="AA1296" s="113" t="str">
        <f t="array" ref="AA1296">PROPER(G1296)</f>
        <v>Offline</v>
      </c>
    </row>
    <row r="1297">
      <c r="A1297" s="110">
        <v>9.7442063E8</v>
      </c>
      <c r="B1297" s="131">
        <v>40659.0</v>
      </c>
      <c r="C1297" s="131">
        <v>40709.0</v>
      </c>
      <c r="D1297" s="110" t="s">
        <v>95</v>
      </c>
      <c r="E1297" s="110" t="s">
        <v>129</v>
      </c>
      <c r="F1297" s="110">
        <v>4594.0</v>
      </c>
      <c r="G1297" s="38" t="s">
        <v>42</v>
      </c>
      <c r="H1297" s="110">
        <v>1573.0</v>
      </c>
      <c r="I1297" s="132">
        <v>9.33</v>
      </c>
      <c r="J1297" s="132">
        <v>6.92</v>
      </c>
      <c r="K1297" s="39">
        <f t="shared" si="1"/>
        <v>14676.09</v>
      </c>
      <c r="L1297" s="39">
        <f t="shared" si="2"/>
        <v>10885.16</v>
      </c>
      <c r="M1297" s="39">
        <f t="shared" si="3"/>
        <v>3790.93</v>
      </c>
      <c r="N1297" s="38" t="str">
        <f>VLOOKUP(F1297,products!$A$2:$B$13,2,FALSE)</f>
        <v>Fruits</v>
      </c>
      <c r="O1297" s="133">
        <f t="shared" si="4"/>
        <v>0.741693462</v>
      </c>
      <c r="P1297" s="38" t="str">
        <f>VLOOKUP(E1297,countries!A$2:E$250,3,false)</f>
        <v>Liechtenstein</v>
      </c>
      <c r="Q1297" s="38" t="str">
        <f>VLOOKUP($E1297,countries!$A$2:$E$250,4,false)</f>
        <v>Europe</v>
      </c>
      <c r="R1297" s="38" t="str">
        <f>VLOOKUP($E1297,countries!$A$2:$E$250,5,false)</f>
        <v>Western Europe</v>
      </c>
      <c r="S1297" s="38">
        <f t="shared" si="5"/>
        <v>50</v>
      </c>
      <c r="T1297" s="38" t="s">
        <v>156</v>
      </c>
      <c r="U1297" s="38">
        <v>2011.0</v>
      </c>
      <c r="V1297" s="38">
        <v>4.0</v>
      </c>
      <c r="W1297" s="38" t="s">
        <v>129</v>
      </c>
      <c r="X1297" s="38" t="s">
        <v>200</v>
      </c>
      <c r="Y1297" s="38" t="s">
        <v>146</v>
      </c>
      <c r="Z1297" s="38" t="s">
        <v>158</v>
      </c>
      <c r="AA1297" s="113" t="str">
        <f t="array" ref="AA1297">PROPER(G1297)</f>
        <v>Offline</v>
      </c>
    </row>
    <row r="1298">
      <c r="A1298" s="110">
        <v>9.75080668E8</v>
      </c>
      <c r="B1298" s="131">
        <v>42939.0</v>
      </c>
      <c r="C1298" s="131">
        <v>42967.0</v>
      </c>
      <c r="D1298" s="110" t="s">
        <v>10</v>
      </c>
      <c r="E1298" s="110" t="e">
        <v>#N/A</v>
      </c>
      <c r="F1298" s="110">
        <v>5988.0</v>
      </c>
      <c r="G1298" s="38" t="s">
        <v>42</v>
      </c>
      <c r="H1298" s="110">
        <v>6893.0</v>
      </c>
      <c r="I1298" s="132">
        <v>154.06</v>
      </c>
      <c r="J1298" s="132">
        <v>90.93</v>
      </c>
      <c r="K1298" s="39">
        <f t="shared" si="1"/>
        <v>1061935.58</v>
      </c>
      <c r="L1298" s="39">
        <f t="shared" si="2"/>
        <v>626780.49</v>
      </c>
      <c r="M1298" s="39">
        <f t="shared" si="3"/>
        <v>435155.09</v>
      </c>
      <c r="N1298" s="38" t="str">
        <f>VLOOKUP(F1298,products!$A$2:$B$13,2,FALSE)</f>
        <v>Vegetables</v>
      </c>
      <c r="O1298" s="133">
        <f t="shared" si="4"/>
        <v>0.5902245878</v>
      </c>
      <c r="P1298" s="38" t="str">
        <f>VLOOKUP(E1298,countries!A$2:E$250,3,false)</f>
        <v>#N/A</v>
      </c>
      <c r="Q1298" s="38" t="str">
        <f>VLOOKUP($E1298,countries!$A$2:$E$250,4,false)</f>
        <v>#N/A</v>
      </c>
      <c r="R1298" s="38" t="str">
        <f>VLOOKUP($E1298,countries!$A$2:$E$250,5,false)</f>
        <v>#N/A</v>
      </c>
      <c r="S1298" s="38">
        <f t="shared" si="5"/>
        <v>28</v>
      </c>
      <c r="T1298" s="38" t="s">
        <v>159</v>
      </c>
      <c r="U1298" s="38">
        <v>2017.0</v>
      </c>
      <c r="V1298" s="38">
        <v>7.0</v>
      </c>
      <c r="W1298" s="38" t="s">
        <v>92</v>
      </c>
      <c r="X1298" s="38" t="s">
        <v>149</v>
      </c>
      <c r="Y1298" s="38" t="s">
        <v>149</v>
      </c>
      <c r="Z1298" s="38" t="s">
        <v>149</v>
      </c>
      <c r="AA1298" s="113" t="str">
        <f t="array" ref="AA1298">PROPER(G1298)</f>
        <v>Offline</v>
      </c>
    </row>
    <row r="1299">
      <c r="A1299" s="110">
        <v>9.75823962E8</v>
      </c>
      <c r="B1299" s="131">
        <v>41709.0</v>
      </c>
      <c r="C1299" s="131">
        <v>41737.0</v>
      </c>
      <c r="D1299" s="110" t="s">
        <v>93</v>
      </c>
      <c r="E1299" s="110" t="s">
        <v>138</v>
      </c>
      <c r="F1299" s="110">
        <v>8681.0</v>
      </c>
      <c r="G1299" s="38" t="s">
        <v>43</v>
      </c>
      <c r="H1299" s="110">
        <v>6850.0</v>
      </c>
      <c r="I1299" s="132">
        <v>651.21</v>
      </c>
      <c r="J1299" s="132">
        <v>524.96</v>
      </c>
      <c r="K1299" s="39">
        <f t="shared" si="1"/>
        <v>4460788.5</v>
      </c>
      <c r="L1299" s="39">
        <f t="shared" si="2"/>
        <v>3595976</v>
      </c>
      <c r="M1299" s="39">
        <f t="shared" si="3"/>
        <v>864812.5</v>
      </c>
      <c r="N1299" s="38" t="str">
        <f>VLOOKUP(F1299,products!$A$2:$B$13,2,FALSE)</f>
        <v>Office Supplies</v>
      </c>
      <c r="O1299" s="133">
        <f t="shared" si="4"/>
        <v>0.806130127</v>
      </c>
      <c r="P1299" s="38" t="str">
        <f>VLOOKUP(E1299,countries!A$2:E$250,3,false)</f>
        <v>Greece</v>
      </c>
      <c r="Q1299" s="38" t="str">
        <f>VLOOKUP($E1299,countries!$A$2:$E$250,4,false)</f>
        <v>Europe</v>
      </c>
      <c r="R1299" s="38" t="str">
        <f>VLOOKUP($E1299,countries!$A$2:$E$250,5,false)</f>
        <v>Southern Europe</v>
      </c>
      <c r="S1299" s="38">
        <f t="shared" si="5"/>
        <v>28</v>
      </c>
      <c r="T1299" s="38" t="s">
        <v>153</v>
      </c>
      <c r="U1299" s="38">
        <v>2014.0</v>
      </c>
      <c r="V1299" s="38">
        <v>3.0</v>
      </c>
      <c r="W1299" s="38" t="s">
        <v>138</v>
      </c>
      <c r="X1299" s="38" t="s">
        <v>208</v>
      </c>
      <c r="Y1299" s="38" t="s">
        <v>146</v>
      </c>
      <c r="Z1299" s="38" t="s">
        <v>147</v>
      </c>
      <c r="AA1299" s="113" t="str">
        <f t="array" ref="AA1299">PROPER(G1299)</f>
        <v>Online</v>
      </c>
    </row>
    <row r="1300">
      <c r="A1300" s="110">
        <v>9.76323497E8</v>
      </c>
      <c r="B1300" s="131">
        <v>42772.0</v>
      </c>
      <c r="C1300" s="131">
        <v>42776.0</v>
      </c>
      <c r="D1300" s="110" t="s">
        <v>89</v>
      </c>
      <c r="E1300" s="110" t="s">
        <v>99</v>
      </c>
      <c r="F1300" s="110">
        <v>1270.0</v>
      </c>
      <c r="G1300" s="38" t="s">
        <v>43</v>
      </c>
      <c r="H1300" s="110">
        <v>4674.0</v>
      </c>
      <c r="I1300" s="132">
        <v>47.45</v>
      </c>
      <c r="J1300" s="132">
        <v>31.79</v>
      </c>
      <c r="K1300" s="39">
        <f t="shared" si="1"/>
        <v>221781.3</v>
      </c>
      <c r="L1300" s="39">
        <f t="shared" si="2"/>
        <v>148586.46</v>
      </c>
      <c r="M1300" s="39">
        <f t="shared" si="3"/>
        <v>73194.84</v>
      </c>
      <c r="N1300" s="38" t="str">
        <f>VLOOKUP(F1300,products!$A$2:$B$13,2,FALSE)</f>
        <v>Beverages</v>
      </c>
      <c r="O1300" s="133">
        <f t="shared" si="4"/>
        <v>0.6699683878</v>
      </c>
      <c r="P1300" s="38" t="str">
        <f>VLOOKUP(E1300,countries!A$2:E$250,3,false)</f>
        <v>Croatia</v>
      </c>
      <c r="Q1300" s="38" t="str">
        <f>VLOOKUP($E1300,countries!$A$2:$E$250,4,false)</f>
        <v>Europe</v>
      </c>
      <c r="R1300" s="38" t="str">
        <f>VLOOKUP($E1300,countries!$A$2:$E$250,5,false)</f>
        <v>Southern Europe</v>
      </c>
      <c r="S1300" s="38">
        <f t="shared" si="5"/>
        <v>4</v>
      </c>
      <c r="T1300" s="38" t="s">
        <v>152</v>
      </c>
      <c r="U1300" s="38">
        <v>2017.0</v>
      </c>
      <c r="V1300" s="38">
        <v>2.0</v>
      </c>
      <c r="W1300" s="38" t="s">
        <v>99</v>
      </c>
      <c r="X1300" s="38" t="s">
        <v>162</v>
      </c>
      <c r="Y1300" s="38" t="s">
        <v>146</v>
      </c>
      <c r="Z1300" s="38" t="s">
        <v>147</v>
      </c>
      <c r="AA1300" s="113" t="str">
        <f t="array" ref="AA1300">PROPER(G1300)</f>
        <v>Online</v>
      </c>
    </row>
    <row r="1301">
      <c r="A1301" s="110">
        <v>9.77324712E8</v>
      </c>
      <c r="B1301" s="131">
        <v>40575.0</v>
      </c>
      <c r="C1301" s="131">
        <v>40612.0</v>
      </c>
      <c r="D1301" s="110" t="s">
        <v>95</v>
      </c>
      <c r="E1301" s="110" t="s">
        <v>107</v>
      </c>
      <c r="F1301" s="110">
        <v>8969.0</v>
      </c>
      <c r="G1301" s="38" t="s">
        <v>43</v>
      </c>
      <c r="H1301" s="110">
        <v>955.0</v>
      </c>
      <c r="I1301" s="132">
        <v>152.58</v>
      </c>
      <c r="J1301" s="132">
        <v>97.44</v>
      </c>
      <c r="K1301" s="39">
        <f t="shared" si="1"/>
        <v>145713.9</v>
      </c>
      <c r="L1301" s="39">
        <f t="shared" si="2"/>
        <v>93055.2</v>
      </c>
      <c r="M1301" s="39">
        <f t="shared" si="3"/>
        <v>52658.7</v>
      </c>
      <c r="N1301" s="38" t="str">
        <f>VLOOKUP(F1301,products!$A$2:$B$13,2,FALSE)</f>
        <v>Snacks</v>
      </c>
      <c r="O1301" s="133">
        <f t="shared" si="4"/>
        <v>0.6386158081</v>
      </c>
      <c r="P1301" s="38" t="str">
        <f>VLOOKUP(E1301,countries!A$2:E$250,3,false)</f>
        <v>Luxembourg</v>
      </c>
      <c r="Q1301" s="38" t="str">
        <f>VLOOKUP($E1301,countries!$A$2:$E$250,4,false)</f>
        <v>Europe</v>
      </c>
      <c r="R1301" s="38" t="str">
        <f>VLOOKUP($E1301,countries!$A$2:$E$250,5,false)</f>
        <v>Western Europe</v>
      </c>
      <c r="S1301" s="38">
        <f t="shared" si="5"/>
        <v>37</v>
      </c>
      <c r="T1301" s="38" t="s">
        <v>182</v>
      </c>
      <c r="U1301" s="38">
        <v>2011.0</v>
      </c>
      <c r="V1301" s="38">
        <v>2.0</v>
      </c>
      <c r="W1301" s="38" t="s">
        <v>107</v>
      </c>
      <c r="X1301" s="38" t="s">
        <v>174</v>
      </c>
      <c r="Y1301" s="38" t="s">
        <v>146</v>
      </c>
      <c r="Z1301" s="38" t="s">
        <v>158</v>
      </c>
      <c r="AA1301" s="113" t="str">
        <f t="array" ref="AA1301">PROPER(G1301)</f>
        <v>Online</v>
      </c>
    </row>
    <row r="1302">
      <c r="A1302" s="110">
        <v>9.79073941E8</v>
      </c>
      <c r="B1302" s="131">
        <v>40355.0</v>
      </c>
      <c r="C1302" s="131">
        <v>40377.0</v>
      </c>
      <c r="D1302" s="110" t="s">
        <v>10</v>
      </c>
      <c r="E1302" s="110" t="s">
        <v>122</v>
      </c>
      <c r="F1302" s="110">
        <v>7331.0</v>
      </c>
      <c r="G1302" s="38" t="s">
        <v>43</v>
      </c>
      <c r="H1302" s="110">
        <v>8591.0</v>
      </c>
      <c r="I1302" s="132">
        <v>255.28</v>
      </c>
      <c r="J1302" s="132">
        <v>159.42</v>
      </c>
      <c r="K1302" s="39">
        <f t="shared" si="1"/>
        <v>2193110.48</v>
      </c>
      <c r="L1302" s="39">
        <f t="shared" si="2"/>
        <v>1369577.22</v>
      </c>
      <c r="M1302" s="39">
        <f t="shared" si="3"/>
        <v>823533.26</v>
      </c>
      <c r="N1302" s="38" t="str">
        <f>VLOOKUP(F1302,products!$A$2:$B$13,2,FALSE)</f>
        <v>Baby Food</v>
      </c>
      <c r="O1302" s="133">
        <f t="shared" si="4"/>
        <v>0.6244907552</v>
      </c>
      <c r="P1302" s="38" t="str">
        <f>VLOOKUP(E1302,countries!A$2:E$250,3,false)</f>
        <v>Switzerland</v>
      </c>
      <c r="Q1302" s="38" t="str">
        <f>VLOOKUP($E1302,countries!$A$2:$E$250,4,false)</f>
        <v>Europe</v>
      </c>
      <c r="R1302" s="38" t="str">
        <f>VLOOKUP($E1302,countries!$A$2:$E$250,5,false)</f>
        <v>Western Europe</v>
      </c>
      <c r="S1302" s="38">
        <f t="shared" si="5"/>
        <v>22</v>
      </c>
      <c r="T1302" s="38" t="s">
        <v>161</v>
      </c>
      <c r="U1302" s="38">
        <v>2010.0</v>
      </c>
      <c r="V1302" s="38">
        <v>6.0</v>
      </c>
      <c r="W1302" s="38" t="s">
        <v>122</v>
      </c>
      <c r="X1302" s="38" t="s">
        <v>193</v>
      </c>
      <c r="Y1302" s="38" t="s">
        <v>146</v>
      </c>
      <c r="Z1302" s="38" t="s">
        <v>158</v>
      </c>
      <c r="AA1302" s="113" t="str">
        <f t="array" ref="AA1302">PROPER(G1302)</f>
        <v>Online</v>
      </c>
    </row>
    <row r="1303">
      <c r="A1303" s="110">
        <v>9.79200112E8</v>
      </c>
      <c r="B1303" s="131">
        <v>41622.0</v>
      </c>
      <c r="C1303" s="131">
        <v>41638.0</v>
      </c>
      <c r="D1303" s="110" t="s">
        <v>10</v>
      </c>
      <c r="E1303" s="110" t="s">
        <v>119</v>
      </c>
      <c r="F1303" s="110">
        <v>8875.0</v>
      </c>
      <c r="G1303" s="38" t="s">
        <v>43</v>
      </c>
      <c r="H1303" s="110">
        <v>5928.0</v>
      </c>
      <c r="I1303" s="132">
        <v>421.89</v>
      </c>
      <c r="J1303" s="132">
        <v>364.69</v>
      </c>
      <c r="K1303" s="39">
        <f t="shared" si="1"/>
        <v>2500963.92</v>
      </c>
      <c r="L1303" s="39">
        <f t="shared" si="2"/>
        <v>2161882.32</v>
      </c>
      <c r="M1303" s="39">
        <f t="shared" si="3"/>
        <v>339081.6</v>
      </c>
      <c r="N1303" s="38" t="str">
        <f>VLOOKUP(F1303,products!$A$2:$B$13,2,FALSE)</f>
        <v>Meat</v>
      </c>
      <c r="O1303" s="133">
        <f t="shared" si="4"/>
        <v>0.8644196354</v>
      </c>
      <c r="P1303" s="38" t="str">
        <f>VLOOKUP(E1303,countries!A$2:E$250,3,false)</f>
        <v>Macedonia</v>
      </c>
      <c r="Q1303" s="38" t="str">
        <f>VLOOKUP($E1303,countries!$A$2:$E$250,4,false)</f>
        <v>Europe</v>
      </c>
      <c r="R1303" s="38" t="str">
        <f>VLOOKUP($E1303,countries!$A$2:$E$250,5,false)</f>
        <v>Southern Europe</v>
      </c>
      <c r="S1303" s="38">
        <f t="shared" si="5"/>
        <v>16</v>
      </c>
      <c r="T1303" s="38" t="s">
        <v>167</v>
      </c>
      <c r="U1303" s="38">
        <v>2013.0</v>
      </c>
      <c r="V1303" s="38">
        <v>12.0</v>
      </c>
      <c r="W1303" s="38" t="s">
        <v>119</v>
      </c>
      <c r="X1303" s="38" t="s">
        <v>190</v>
      </c>
      <c r="Y1303" s="38" t="s">
        <v>146</v>
      </c>
      <c r="Z1303" s="38" t="s">
        <v>147</v>
      </c>
      <c r="AA1303" s="113" t="str">
        <f t="array" ref="AA1303">PROPER(G1303)</f>
        <v>Online</v>
      </c>
    </row>
    <row r="1304">
      <c r="A1304" s="110">
        <v>9.80381143E8</v>
      </c>
      <c r="B1304" s="131">
        <v>40439.0</v>
      </c>
      <c r="C1304" s="131">
        <v>40447.0</v>
      </c>
      <c r="D1304" s="110" t="s">
        <v>10</v>
      </c>
      <c r="E1304" s="110" t="s">
        <v>125</v>
      </c>
      <c r="F1304" s="110">
        <v>7331.0</v>
      </c>
      <c r="G1304" s="38" t="s">
        <v>42</v>
      </c>
      <c r="H1304" s="110">
        <v>5421.0</v>
      </c>
      <c r="I1304" s="132">
        <v>255.28</v>
      </c>
      <c r="J1304" s="132">
        <v>159.42</v>
      </c>
      <c r="K1304" s="39">
        <f t="shared" si="1"/>
        <v>1383872.88</v>
      </c>
      <c r="L1304" s="39">
        <f t="shared" si="2"/>
        <v>864215.82</v>
      </c>
      <c r="M1304" s="39">
        <f t="shared" si="3"/>
        <v>519657.06</v>
      </c>
      <c r="N1304" s="38" t="str">
        <f>VLOOKUP(F1304,products!$A$2:$B$13,2,FALSE)</f>
        <v>Baby Food</v>
      </c>
      <c r="O1304" s="133">
        <f t="shared" si="4"/>
        <v>0.6244907552</v>
      </c>
      <c r="P1304" s="38" t="str">
        <f>VLOOKUP(E1304,countries!A$2:E$250,3,false)</f>
        <v>Bulgaria</v>
      </c>
      <c r="Q1304" s="38" t="str">
        <f>VLOOKUP($E1304,countries!$A$2:$E$250,4,false)</f>
        <v>Europe</v>
      </c>
      <c r="R1304" s="38" t="str">
        <f>VLOOKUP($E1304,countries!$A$2:$E$250,5,false)</f>
        <v>Eastern Europe</v>
      </c>
      <c r="S1304" s="38">
        <f t="shared" si="5"/>
        <v>8</v>
      </c>
      <c r="T1304" s="38" t="s">
        <v>161</v>
      </c>
      <c r="U1304" s="38">
        <v>2010.0</v>
      </c>
      <c r="V1304" s="38">
        <v>9.0</v>
      </c>
      <c r="W1304" s="38" t="s">
        <v>125</v>
      </c>
      <c r="X1304" s="38" t="s">
        <v>196</v>
      </c>
      <c r="Y1304" s="38" t="s">
        <v>146</v>
      </c>
      <c r="Z1304" s="38" t="s">
        <v>155</v>
      </c>
      <c r="AA1304" s="113" t="str">
        <f t="array" ref="AA1304">PROPER(G1304)</f>
        <v>Offline</v>
      </c>
    </row>
    <row r="1305">
      <c r="A1305" s="110">
        <v>9.80598723E8</v>
      </c>
      <c r="B1305" s="131">
        <v>42229.0</v>
      </c>
      <c r="C1305" s="131">
        <v>42271.0</v>
      </c>
      <c r="D1305" s="110" t="s">
        <v>10</v>
      </c>
      <c r="E1305" s="110" t="s">
        <v>97</v>
      </c>
      <c r="F1305" s="110">
        <v>3127.0</v>
      </c>
      <c r="G1305" s="38" t="s">
        <v>42</v>
      </c>
      <c r="H1305" s="110">
        <v>9808.0</v>
      </c>
      <c r="I1305" s="132">
        <v>81.73</v>
      </c>
      <c r="J1305" s="132">
        <v>56.67</v>
      </c>
      <c r="K1305" s="39">
        <f t="shared" si="1"/>
        <v>801607.84</v>
      </c>
      <c r="L1305" s="39">
        <f t="shared" si="2"/>
        <v>555819.36</v>
      </c>
      <c r="M1305" s="39">
        <f t="shared" si="3"/>
        <v>245788.48</v>
      </c>
      <c r="N1305" s="38" t="str">
        <f>VLOOKUP(F1305,products!$A$2:$B$13,2,FALSE)</f>
        <v>Personal Care</v>
      </c>
      <c r="O1305" s="133">
        <f t="shared" si="4"/>
        <v>0.6933806436</v>
      </c>
      <c r="P1305" s="38" t="str">
        <f>VLOOKUP(E1305,countries!A$2:E$250,3,false)</f>
        <v>France</v>
      </c>
      <c r="Q1305" s="38" t="str">
        <f>VLOOKUP($E1305,countries!$A$2:$E$250,4,false)</f>
        <v>Europe</v>
      </c>
      <c r="R1305" s="38" t="str">
        <f>VLOOKUP($E1305,countries!$A$2:$E$250,5,false)</f>
        <v>Western Europe</v>
      </c>
      <c r="S1305" s="38">
        <f t="shared" si="5"/>
        <v>42</v>
      </c>
      <c r="T1305" s="38" t="s">
        <v>185</v>
      </c>
      <c r="U1305" s="38">
        <v>2015.0</v>
      </c>
      <c r="V1305" s="38">
        <v>8.0</v>
      </c>
      <c r="W1305" s="38" t="s">
        <v>97</v>
      </c>
      <c r="X1305" s="38" t="s">
        <v>157</v>
      </c>
      <c r="Y1305" s="38" t="s">
        <v>146</v>
      </c>
      <c r="Z1305" s="38" t="s">
        <v>158</v>
      </c>
      <c r="AA1305" s="113" t="str">
        <f t="array" ref="AA1305">PROPER(G1305)</f>
        <v>Offline</v>
      </c>
    </row>
    <row r="1306">
      <c r="A1306" s="110">
        <v>9.80961358E8</v>
      </c>
      <c r="B1306" s="131">
        <v>41523.0</v>
      </c>
      <c r="C1306" s="131">
        <v>41555.0</v>
      </c>
      <c r="D1306" s="110" t="s">
        <v>10</v>
      </c>
      <c r="E1306" s="110" t="s">
        <v>107</v>
      </c>
      <c r="F1306" s="110">
        <v>8293.0</v>
      </c>
      <c r="G1306" s="38" t="s">
        <v>43</v>
      </c>
      <c r="H1306" s="110">
        <v>7120.0</v>
      </c>
      <c r="I1306" s="132">
        <v>437.2</v>
      </c>
      <c r="J1306" s="132">
        <v>263.33</v>
      </c>
      <c r="K1306" s="39">
        <f t="shared" si="1"/>
        <v>3112864</v>
      </c>
      <c r="L1306" s="39">
        <f t="shared" si="2"/>
        <v>1874909.6</v>
      </c>
      <c r="M1306" s="39">
        <f t="shared" si="3"/>
        <v>1237954.4</v>
      </c>
      <c r="N1306" s="38" t="str">
        <f>VLOOKUP(F1306,products!$A$2:$B$13,2,FALSE)</f>
        <v>Cosmetics</v>
      </c>
      <c r="O1306" s="133">
        <f t="shared" si="4"/>
        <v>0.6023101555</v>
      </c>
      <c r="P1306" s="38" t="str">
        <f>VLOOKUP(E1306,countries!A$2:E$250,3,false)</f>
        <v>Luxembourg</v>
      </c>
      <c r="Q1306" s="38" t="str">
        <f>VLOOKUP($E1306,countries!$A$2:$E$250,4,false)</f>
        <v>Europe</v>
      </c>
      <c r="R1306" s="38" t="str">
        <f>VLOOKUP($E1306,countries!$A$2:$E$250,5,false)</f>
        <v>Western Europe</v>
      </c>
      <c r="S1306" s="38">
        <f t="shared" si="5"/>
        <v>32</v>
      </c>
      <c r="T1306" s="38" t="s">
        <v>178</v>
      </c>
      <c r="U1306" s="38">
        <v>2013.0</v>
      </c>
      <c r="V1306" s="38">
        <v>9.0</v>
      </c>
      <c r="W1306" s="38" t="s">
        <v>107</v>
      </c>
      <c r="X1306" s="38" t="s">
        <v>174</v>
      </c>
      <c r="Y1306" s="38" t="s">
        <v>146</v>
      </c>
      <c r="Z1306" s="38" t="s">
        <v>158</v>
      </c>
      <c r="AA1306" s="113" t="str">
        <f t="array" ref="AA1306">PROPER(G1306)</f>
        <v>Online</v>
      </c>
    </row>
    <row r="1307">
      <c r="A1307" s="110">
        <v>9.81154048E8</v>
      </c>
      <c r="B1307" s="131">
        <v>41482.0</v>
      </c>
      <c r="C1307" s="131">
        <v>41495.0</v>
      </c>
      <c r="D1307" s="110" t="s">
        <v>10</v>
      </c>
      <c r="E1307" s="110" t="s">
        <v>126</v>
      </c>
      <c r="F1307" s="110">
        <v>1270.0</v>
      </c>
      <c r="G1307" s="38" t="s">
        <v>42</v>
      </c>
      <c r="H1307" s="110">
        <v>4141.0</v>
      </c>
      <c r="I1307" s="132">
        <v>47.45</v>
      </c>
      <c r="J1307" s="132">
        <v>31.79</v>
      </c>
      <c r="K1307" s="39">
        <f t="shared" si="1"/>
        <v>196490.45</v>
      </c>
      <c r="L1307" s="39">
        <f t="shared" si="2"/>
        <v>131642.39</v>
      </c>
      <c r="M1307" s="39">
        <f t="shared" si="3"/>
        <v>64848.06</v>
      </c>
      <c r="N1307" s="38" t="str">
        <f>VLOOKUP(F1307,products!$A$2:$B$13,2,FALSE)</f>
        <v>Beverages</v>
      </c>
      <c r="O1307" s="133">
        <f t="shared" si="4"/>
        <v>0.6699683878</v>
      </c>
      <c r="P1307" s="38" t="str">
        <f>VLOOKUP(E1307,countries!A$2:E$250,3,false)</f>
        <v>Italy</v>
      </c>
      <c r="Q1307" s="38" t="str">
        <f>VLOOKUP($E1307,countries!$A$2:$E$250,4,false)</f>
        <v>Europe</v>
      </c>
      <c r="R1307" s="38" t="str">
        <f>VLOOKUP($E1307,countries!$A$2:$E$250,5,false)</f>
        <v>Southern Europe</v>
      </c>
      <c r="S1307" s="38">
        <f t="shared" si="5"/>
        <v>13</v>
      </c>
      <c r="T1307" s="38" t="s">
        <v>152</v>
      </c>
      <c r="U1307" s="38">
        <v>2013.0</v>
      </c>
      <c r="V1307" s="38">
        <v>7.0</v>
      </c>
      <c r="W1307" s="38" t="s">
        <v>126</v>
      </c>
      <c r="X1307" s="38" t="s">
        <v>197</v>
      </c>
      <c r="Y1307" s="38" t="s">
        <v>146</v>
      </c>
      <c r="Z1307" s="38" t="s">
        <v>147</v>
      </c>
      <c r="AA1307" s="113" t="str">
        <f t="array" ref="AA1307">PROPER(G1307)</f>
        <v>Offline</v>
      </c>
    </row>
    <row r="1308">
      <c r="A1308" s="110">
        <v>9.81808078E8</v>
      </c>
      <c r="B1308" s="131">
        <v>40935.0</v>
      </c>
      <c r="C1308" s="131">
        <v>40936.0</v>
      </c>
      <c r="D1308" s="110" t="s">
        <v>93</v>
      </c>
      <c r="E1308" s="110" t="s">
        <v>112</v>
      </c>
      <c r="F1308" s="110">
        <v>8969.0</v>
      </c>
      <c r="G1308" s="38" t="s">
        <v>43</v>
      </c>
      <c r="H1308" s="110">
        <v>7683.0</v>
      </c>
      <c r="I1308" s="132">
        <v>152.58</v>
      </c>
      <c r="J1308" s="132">
        <v>97.44</v>
      </c>
      <c r="K1308" s="39">
        <f t="shared" si="1"/>
        <v>1172272.14</v>
      </c>
      <c r="L1308" s="39">
        <f t="shared" si="2"/>
        <v>748631.52</v>
      </c>
      <c r="M1308" s="39">
        <f t="shared" si="3"/>
        <v>423640.62</v>
      </c>
      <c r="N1308" s="38" t="str">
        <f>VLOOKUP(F1308,products!$A$2:$B$13,2,FALSE)</f>
        <v>Snacks</v>
      </c>
      <c r="O1308" s="133">
        <f t="shared" si="4"/>
        <v>0.6386158081</v>
      </c>
      <c r="P1308" s="38" t="str">
        <f>VLOOKUP(E1308,countries!A$2:E$250,3,false)</f>
        <v>Malta</v>
      </c>
      <c r="Q1308" s="38" t="str">
        <f>VLOOKUP($E1308,countries!$A$2:$E$250,4,false)</f>
        <v>Europe</v>
      </c>
      <c r="R1308" s="38" t="str">
        <f>VLOOKUP($E1308,countries!$A$2:$E$250,5,false)</f>
        <v>Southern Europe</v>
      </c>
      <c r="S1308" s="38">
        <f t="shared" si="5"/>
        <v>1</v>
      </c>
      <c r="T1308" s="38" t="s">
        <v>182</v>
      </c>
      <c r="U1308" s="38">
        <v>2012.0</v>
      </c>
      <c r="V1308" s="38">
        <v>1.0</v>
      </c>
      <c r="W1308" s="38" t="s">
        <v>112</v>
      </c>
      <c r="X1308" s="38" t="s">
        <v>180</v>
      </c>
      <c r="Y1308" s="38" t="s">
        <v>146</v>
      </c>
      <c r="Z1308" s="38" t="s">
        <v>147</v>
      </c>
      <c r="AA1308" s="113" t="str">
        <f t="array" ref="AA1308">PROPER(G1308)</f>
        <v>Online</v>
      </c>
    </row>
    <row r="1309">
      <c r="A1309" s="110">
        <v>9.82566821E8</v>
      </c>
      <c r="B1309" s="131">
        <v>40650.0</v>
      </c>
      <c r="C1309" s="131">
        <v>40699.0</v>
      </c>
      <c r="D1309" s="110" t="s">
        <v>89</v>
      </c>
      <c r="E1309" s="110" t="s">
        <v>110</v>
      </c>
      <c r="F1309" s="110">
        <v>8681.0</v>
      </c>
      <c r="G1309" s="38" t="s">
        <v>43</v>
      </c>
      <c r="H1309" s="110">
        <v>2212.0</v>
      </c>
      <c r="I1309" s="132">
        <v>651.21</v>
      </c>
      <c r="J1309" s="132">
        <v>524.96</v>
      </c>
      <c r="K1309" s="39">
        <f t="shared" si="1"/>
        <v>1440476.52</v>
      </c>
      <c r="L1309" s="39">
        <f t="shared" si="2"/>
        <v>1161211.52</v>
      </c>
      <c r="M1309" s="39">
        <f t="shared" si="3"/>
        <v>279265</v>
      </c>
      <c r="N1309" s="38" t="str">
        <f>VLOOKUP(F1309,products!$A$2:$B$13,2,FALSE)</f>
        <v>Office Supplies</v>
      </c>
      <c r="O1309" s="133">
        <f t="shared" si="4"/>
        <v>0.806130127</v>
      </c>
      <c r="P1309" s="38" t="str">
        <f>VLOOKUP(E1309,countries!A$2:E$250,3,false)</f>
        <v>Lithuania</v>
      </c>
      <c r="Q1309" s="38" t="str">
        <f>VLOOKUP($E1309,countries!$A$2:$E$250,4,false)</f>
        <v>Europe</v>
      </c>
      <c r="R1309" s="38" t="str">
        <f>VLOOKUP($E1309,countries!$A$2:$E$250,5,false)</f>
        <v>Northern Europe</v>
      </c>
      <c r="S1309" s="38">
        <f t="shared" si="5"/>
        <v>49</v>
      </c>
      <c r="T1309" s="38" t="s">
        <v>153</v>
      </c>
      <c r="U1309" s="38">
        <v>2011.0</v>
      </c>
      <c r="V1309" s="38">
        <v>4.0</v>
      </c>
      <c r="W1309" s="38" t="s">
        <v>110</v>
      </c>
      <c r="X1309" s="38" t="s">
        <v>177</v>
      </c>
      <c r="Y1309" s="38" t="s">
        <v>146</v>
      </c>
      <c r="Z1309" s="38" t="s">
        <v>170</v>
      </c>
      <c r="AA1309" s="113" t="str">
        <f t="array" ref="AA1309">PROPER(G1309)</f>
        <v>Online</v>
      </c>
    </row>
    <row r="1310">
      <c r="A1310" s="110">
        <v>9.85039174E8</v>
      </c>
      <c r="B1310" s="131">
        <v>40578.0</v>
      </c>
      <c r="C1310" s="131">
        <v>40612.0</v>
      </c>
      <c r="D1310" s="110" t="s">
        <v>95</v>
      </c>
      <c r="E1310" s="110" t="s">
        <v>121</v>
      </c>
      <c r="F1310" s="110">
        <v>1270.0</v>
      </c>
      <c r="G1310" s="38" t="s">
        <v>43</v>
      </c>
      <c r="H1310" s="110">
        <v>3836.0</v>
      </c>
      <c r="I1310" s="132">
        <v>47.45</v>
      </c>
      <c r="J1310" s="132">
        <v>31.79</v>
      </c>
      <c r="K1310" s="39">
        <f t="shared" si="1"/>
        <v>182018.2</v>
      </c>
      <c r="L1310" s="39">
        <f t="shared" si="2"/>
        <v>121946.44</v>
      </c>
      <c r="M1310" s="39">
        <f t="shared" si="3"/>
        <v>60071.76</v>
      </c>
      <c r="N1310" s="38" t="str">
        <f>VLOOKUP(F1310,products!$A$2:$B$13,2,FALSE)</f>
        <v>Beverages</v>
      </c>
      <c r="O1310" s="133">
        <f t="shared" si="4"/>
        <v>0.6699683878</v>
      </c>
      <c r="P1310" s="38" t="str">
        <f>VLOOKUP(E1310,countries!A$2:E$250,3,false)</f>
        <v>Netherlands</v>
      </c>
      <c r="Q1310" s="38" t="str">
        <f>VLOOKUP($E1310,countries!$A$2:$E$250,4,false)</f>
        <v>Europe</v>
      </c>
      <c r="R1310" s="38" t="str">
        <f>VLOOKUP($E1310,countries!$A$2:$E$250,5,false)</f>
        <v>Western Europe</v>
      </c>
      <c r="S1310" s="38">
        <f t="shared" si="5"/>
        <v>34</v>
      </c>
      <c r="T1310" s="38" t="s">
        <v>152</v>
      </c>
      <c r="U1310" s="38">
        <v>2011.0</v>
      </c>
      <c r="V1310" s="38">
        <v>2.0</v>
      </c>
      <c r="W1310" s="38" t="s">
        <v>121</v>
      </c>
      <c r="X1310" s="38" t="s">
        <v>192</v>
      </c>
      <c r="Y1310" s="38" t="s">
        <v>146</v>
      </c>
      <c r="Z1310" s="38" t="s">
        <v>158</v>
      </c>
      <c r="AA1310" s="113" t="str">
        <f t="array" ref="AA1310">PROPER(G1310)</f>
        <v>Online</v>
      </c>
    </row>
    <row r="1311">
      <c r="A1311" s="110">
        <v>9.85417258E8</v>
      </c>
      <c r="B1311" s="131">
        <v>40817.0</v>
      </c>
      <c r="C1311" s="131">
        <v>40837.0</v>
      </c>
      <c r="D1311" s="110" t="s">
        <v>89</v>
      </c>
      <c r="E1311" s="110" t="s">
        <v>103</v>
      </c>
      <c r="F1311" s="110">
        <v>2103.0</v>
      </c>
      <c r="G1311" s="38" t="s">
        <v>43</v>
      </c>
      <c r="H1311" s="110">
        <v>5720.0</v>
      </c>
      <c r="I1311" s="132">
        <v>205.7</v>
      </c>
      <c r="J1311" s="132">
        <v>117.11</v>
      </c>
      <c r="K1311" s="39">
        <f t="shared" si="1"/>
        <v>1176604</v>
      </c>
      <c r="L1311" s="39">
        <f t="shared" si="2"/>
        <v>669869.2</v>
      </c>
      <c r="M1311" s="39">
        <f t="shared" si="3"/>
        <v>506734.8</v>
      </c>
      <c r="N1311" s="38" t="str">
        <f>VLOOKUP(F1311,products!$A$2:$B$13,2,FALSE)</f>
        <v>Cereal</v>
      </c>
      <c r="O1311" s="133">
        <f t="shared" si="4"/>
        <v>0.5693242586</v>
      </c>
      <c r="P1311" s="38" t="str">
        <f>VLOOKUP(E1311,countries!A$2:E$250,3,false)</f>
        <v>United Kingdom</v>
      </c>
      <c r="Q1311" s="38" t="str">
        <f>VLOOKUP($E1311,countries!$A$2:$E$250,4,false)</f>
        <v>Europe</v>
      </c>
      <c r="R1311" s="38" t="str">
        <f>VLOOKUP($E1311,countries!$A$2:$E$250,5,false)</f>
        <v>Northern Europe</v>
      </c>
      <c r="S1311" s="38">
        <f t="shared" si="5"/>
        <v>20</v>
      </c>
      <c r="T1311" s="38" t="s">
        <v>144</v>
      </c>
      <c r="U1311" s="38">
        <v>2011.0</v>
      </c>
      <c r="V1311" s="38">
        <v>10.0</v>
      </c>
      <c r="W1311" s="38" t="s">
        <v>103</v>
      </c>
      <c r="X1311" s="38" t="s">
        <v>169</v>
      </c>
      <c r="Y1311" s="38" t="s">
        <v>146</v>
      </c>
      <c r="Z1311" s="38" t="s">
        <v>170</v>
      </c>
      <c r="AA1311" s="113" t="str">
        <f t="array" ref="AA1311">PROPER(G1311)</f>
        <v>Online</v>
      </c>
    </row>
    <row r="1312">
      <c r="A1312" s="110">
        <v>9.86449801E8</v>
      </c>
      <c r="B1312" s="131">
        <v>41305.0</v>
      </c>
      <c r="C1312" s="131">
        <v>41346.0</v>
      </c>
      <c r="D1312" s="110" t="s">
        <v>95</v>
      </c>
      <c r="E1312" s="110" t="s">
        <v>131</v>
      </c>
      <c r="F1312" s="110">
        <v>8875.0</v>
      </c>
      <c r="G1312" s="38" t="s">
        <v>42</v>
      </c>
      <c r="H1312" s="110">
        <v>1272.0</v>
      </c>
      <c r="I1312" s="132">
        <v>421.89</v>
      </c>
      <c r="J1312" s="132">
        <v>364.69</v>
      </c>
      <c r="K1312" s="39">
        <f t="shared" si="1"/>
        <v>536644.08</v>
      </c>
      <c r="L1312" s="39">
        <f t="shared" si="2"/>
        <v>463885.68</v>
      </c>
      <c r="M1312" s="39">
        <f t="shared" si="3"/>
        <v>72758.4</v>
      </c>
      <c r="N1312" s="38" t="str">
        <f>VLOOKUP(F1312,products!$A$2:$B$13,2,FALSE)</f>
        <v>Meat</v>
      </c>
      <c r="O1312" s="133">
        <f t="shared" si="4"/>
        <v>0.8644196354</v>
      </c>
      <c r="P1312" s="38" t="str">
        <f>VLOOKUP(E1312,countries!A$2:E$250,3,false)</f>
        <v>Albania</v>
      </c>
      <c r="Q1312" s="38" t="str">
        <f>VLOOKUP($E1312,countries!$A$2:$E$250,4,false)</f>
        <v>Europe</v>
      </c>
      <c r="R1312" s="38" t="str">
        <f>VLOOKUP($E1312,countries!$A$2:$E$250,5,false)</f>
        <v>Southern Europe</v>
      </c>
      <c r="S1312" s="38">
        <f t="shared" si="5"/>
        <v>41</v>
      </c>
      <c r="T1312" s="38" t="s">
        <v>167</v>
      </c>
      <c r="U1312" s="38">
        <v>2013.0</v>
      </c>
      <c r="V1312" s="38">
        <v>1.0</v>
      </c>
      <c r="W1312" s="38" t="s">
        <v>131</v>
      </c>
      <c r="X1312" s="38" t="s">
        <v>202</v>
      </c>
      <c r="Y1312" s="38" t="s">
        <v>146</v>
      </c>
      <c r="Z1312" s="38" t="s">
        <v>147</v>
      </c>
      <c r="AA1312" s="113" t="str">
        <f t="array" ref="AA1312">PROPER(G1312)</f>
        <v>Offline</v>
      </c>
    </row>
    <row r="1313">
      <c r="A1313" s="110">
        <v>9.87050187E8</v>
      </c>
      <c r="B1313" s="131">
        <v>41011.0</v>
      </c>
      <c r="C1313" s="131">
        <v>41024.0</v>
      </c>
      <c r="D1313" s="110" t="s">
        <v>10</v>
      </c>
      <c r="E1313" s="110" t="s">
        <v>119</v>
      </c>
      <c r="F1313" s="110">
        <v>5988.0</v>
      </c>
      <c r="G1313" s="38" t="s">
        <v>43</v>
      </c>
      <c r="H1313" s="110">
        <v>8940.0</v>
      </c>
      <c r="I1313" s="132">
        <v>154.06</v>
      </c>
      <c r="J1313" s="132">
        <v>90.93</v>
      </c>
      <c r="K1313" s="39">
        <f t="shared" si="1"/>
        <v>1377296.4</v>
      </c>
      <c r="L1313" s="39">
        <f t="shared" si="2"/>
        <v>812914.2</v>
      </c>
      <c r="M1313" s="39">
        <f t="shared" si="3"/>
        <v>564382.2</v>
      </c>
      <c r="N1313" s="38" t="str">
        <f>VLOOKUP(F1313,products!$A$2:$B$13,2,FALSE)</f>
        <v>Vegetables</v>
      </c>
      <c r="O1313" s="133">
        <f t="shared" si="4"/>
        <v>0.5902245878</v>
      </c>
      <c r="P1313" s="38" t="str">
        <f>VLOOKUP(E1313,countries!A$2:E$250,3,false)</f>
        <v>Macedonia</v>
      </c>
      <c r="Q1313" s="38" t="str">
        <f>VLOOKUP($E1313,countries!$A$2:$E$250,4,false)</f>
        <v>Europe</v>
      </c>
      <c r="R1313" s="38" t="str">
        <f>VLOOKUP($E1313,countries!$A$2:$E$250,5,false)</f>
        <v>Southern Europe</v>
      </c>
      <c r="S1313" s="38">
        <f t="shared" si="5"/>
        <v>13</v>
      </c>
      <c r="T1313" s="38" t="s">
        <v>159</v>
      </c>
      <c r="U1313" s="38">
        <v>2012.0</v>
      </c>
      <c r="V1313" s="38">
        <v>4.0</v>
      </c>
      <c r="W1313" s="38" t="s">
        <v>119</v>
      </c>
      <c r="X1313" s="38" t="s">
        <v>190</v>
      </c>
      <c r="Y1313" s="38" t="s">
        <v>146</v>
      </c>
      <c r="Z1313" s="38" t="s">
        <v>147</v>
      </c>
      <c r="AA1313" s="113" t="str">
        <f t="array" ref="AA1313">PROPER(G1313)</f>
        <v>Online</v>
      </c>
    </row>
    <row r="1314">
      <c r="A1314" s="110">
        <v>9.87410676E8</v>
      </c>
      <c r="B1314" s="131">
        <v>41864.0</v>
      </c>
      <c r="C1314" s="131">
        <v>41888.0</v>
      </c>
      <c r="D1314" s="110" t="s">
        <v>10</v>
      </c>
      <c r="E1314" s="110" t="s">
        <v>118</v>
      </c>
      <c r="F1314" s="110">
        <v>2103.0</v>
      </c>
      <c r="G1314" s="38" t="s">
        <v>42</v>
      </c>
      <c r="H1314" s="110">
        <v>5616.0</v>
      </c>
      <c r="I1314" s="132">
        <v>205.7</v>
      </c>
      <c r="J1314" s="132">
        <v>117.11</v>
      </c>
      <c r="K1314" s="39">
        <f t="shared" si="1"/>
        <v>1155211.2</v>
      </c>
      <c r="L1314" s="39">
        <f t="shared" si="2"/>
        <v>657689.76</v>
      </c>
      <c r="M1314" s="39">
        <f t="shared" si="3"/>
        <v>497521.44</v>
      </c>
      <c r="N1314" s="38" t="str">
        <f>VLOOKUP(F1314,products!$A$2:$B$13,2,FALSE)</f>
        <v>Cereal</v>
      </c>
      <c r="O1314" s="133">
        <f t="shared" si="4"/>
        <v>0.5693242586</v>
      </c>
      <c r="P1314" s="38" t="str">
        <f>VLOOKUP(E1314,countries!A$2:E$250,3,false)</f>
        <v>Austria</v>
      </c>
      <c r="Q1314" s="38" t="str">
        <f>VLOOKUP($E1314,countries!$A$2:$E$250,4,false)</f>
        <v>Europe</v>
      </c>
      <c r="R1314" s="38" t="str">
        <f>VLOOKUP($E1314,countries!$A$2:$E$250,5,false)</f>
        <v>Western Europe</v>
      </c>
      <c r="S1314" s="38">
        <f t="shared" si="5"/>
        <v>24</v>
      </c>
      <c r="T1314" s="38" t="s">
        <v>144</v>
      </c>
      <c r="U1314" s="38">
        <v>2014.0</v>
      </c>
      <c r="V1314" s="38">
        <v>8.0</v>
      </c>
      <c r="W1314" s="38" t="s">
        <v>118</v>
      </c>
      <c r="X1314" s="38" t="s">
        <v>189</v>
      </c>
      <c r="Y1314" s="38" t="s">
        <v>146</v>
      </c>
      <c r="Z1314" s="38" t="s">
        <v>158</v>
      </c>
      <c r="AA1314" s="113" t="str">
        <f t="array" ref="AA1314">PROPER(G1314)</f>
        <v>Offline</v>
      </c>
    </row>
    <row r="1315">
      <c r="A1315" s="110">
        <v>9.8745917E8</v>
      </c>
      <c r="B1315" s="131">
        <v>40375.0</v>
      </c>
      <c r="C1315" s="131">
        <v>40417.0</v>
      </c>
      <c r="D1315" s="110" t="s">
        <v>89</v>
      </c>
      <c r="E1315" s="110" t="s">
        <v>113</v>
      </c>
      <c r="F1315" s="110">
        <v>3127.0</v>
      </c>
      <c r="G1315" s="38" t="s">
        <v>43</v>
      </c>
      <c r="H1315" s="110">
        <v>9967.0</v>
      </c>
      <c r="I1315" s="132">
        <v>81.73</v>
      </c>
      <c r="J1315" s="132">
        <v>56.67</v>
      </c>
      <c r="K1315" s="39">
        <f t="shared" si="1"/>
        <v>814602.91</v>
      </c>
      <c r="L1315" s="39">
        <f t="shared" si="2"/>
        <v>564829.89</v>
      </c>
      <c r="M1315" s="39">
        <f t="shared" si="3"/>
        <v>249773.02</v>
      </c>
      <c r="N1315" s="38" t="str">
        <f>VLOOKUP(F1315,products!$A$2:$B$13,2,FALSE)</f>
        <v>Personal Care</v>
      </c>
      <c r="O1315" s="133">
        <f t="shared" si="4"/>
        <v>0.6933806436</v>
      </c>
      <c r="P1315" s="38" t="str">
        <f>VLOOKUP(E1315,countries!A$2:E$250,3,false)</f>
        <v>Ukraine</v>
      </c>
      <c r="Q1315" s="38" t="str">
        <f>VLOOKUP($E1315,countries!$A$2:$E$250,4,false)</f>
        <v>Europe</v>
      </c>
      <c r="R1315" s="38" t="str">
        <f>VLOOKUP($E1315,countries!$A$2:$E$250,5,false)</f>
        <v>Eastern Europe</v>
      </c>
      <c r="S1315" s="38">
        <f t="shared" si="5"/>
        <v>42</v>
      </c>
      <c r="T1315" s="38" t="s">
        <v>185</v>
      </c>
      <c r="U1315" s="38">
        <v>2010.0</v>
      </c>
      <c r="V1315" s="38">
        <v>7.0</v>
      </c>
      <c r="W1315" s="38" t="s">
        <v>113</v>
      </c>
      <c r="X1315" s="38" t="s">
        <v>181</v>
      </c>
      <c r="Y1315" s="38" t="s">
        <v>146</v>
      </c>
      <c r="Z1315" s="38" t="s">
        <v>155</v>
      </c>
      <c r="AA1315" s="113" t="str">
        <f t="array" ref="AA1315">PROPER(G1315)</f>
        <v>Online</v>
      </c>
    </row>
    <row r="1316">
      <c r="A1316" s="110">
        <v>9.87767302E8</v>
      </c>
      <c r="B1316" s="131">
        <v>41098.0</v>
      </c>
      <c r="C1316" s="131">
        <v>41122.0</v>
      </c>
      <c r="D1316" s="110" t="s">
        <v>10</v>
      </c>
      <c r="E1316" s="110" t="s">
        <v>110</v>
      </c>
      <c r="F1316" s="110">
        <v>8681.0</v>
      </c>
      <c r="G1316" s="38" t="s">
        <v>43</v>
      </c>
      <c r="H1316" s="110">
        <v>1150.0</v>
      </c>
      <c r="I1316" s="132">
        <v>651.21</v>
      </c>
      <c r="J1316" s="132">
        <v>524.96</v>
      </c>
      <c r="K1316" s="39">
        <f t="shared" si="1"/>
        <v>748891.5</v>
      </c>
      <c r="L1316" s="39">
        <f t="shared" si="2"/>
        <v>603704</v>
      </c>
      <c r="M1316" s="39">
        <f t="shared" si="3"/>
        <v>145187.5</v>
      </c>
      <c r="N1316" s="38" t="str">
        <f>VLOOKUP(F1316,products!$A$2:$B$13,2,FALSE)</f>
        <v>Office Supplies</v>
      </c>
      <c r="O1316" s="133">
        <f t="shared" si="4"/>
        <v>0.806130127</v>
      </c>
      <c r="P1316" s="38" t="str">
        <f>VLOOKUP(E1316,countries!A$2:E$250,3,false)</f>
        <v>Lithuania</v>
      </c>
      <c r="Q1316" s="38" t="str">
        <f>VLOOKUP($E1316,countries!$A$2:$E$250,4,false)</f>
        <v>Europe</v>
      </c>
      <c r="R1316" s="38" t="str">
        <f>VLOOKUP($E1316,countries!$A$2:$E$250,5,false)</f>
        <v>Northern Europe</v>
      </c>
      <c r="S1316" s="38">
        <f t="shared" si="5"/>
        <v>24</v>
      </c>
      <c r="T1316" s="38" t="s">
        <v>153</v>
      </c>
      <c r="U1316" s="38">
        <v>2012.0</v>
      </c>
      <c r="V1316" s="38">
        <v>7.0</v>
      </c>
      <c r="W1316" s="38" t="s">
        <v>110</v>
      </c>
      <c r="X1316" s="38" t="s">
        <v>177</v>
      </c>
      <c r="Y1316" s="38" t="s">
        <v>146</v>
      </c>
      <c r="Z1316" s="38" t="s">
        <v>170</v>
      </c>
      <c r="AA1316" s="113" t="str">
        <f t="array" ref="AA1316">PROPER(G1316)</f>
        <v>Online</v>
      </c>
    </row>
    <row r="1317">
      <c r="A1317" s="110">
        <v>9.8859986E8</v>
      </c>
      <c r="B1317" s="131">
        <v>41949.0</v>
      </c>
      <c r="C1317" s="131">
        <v>41984.0</v>
      </c>
      <c r="D1317" s="110" t="s">
        <v>95</v>
      </c>
      <c r="E1317" s="110" t="s">
        <v>114</v>
      </c>
      <c r="F1317" s="110">
        <v>7940.0</v>
      </c>
      <c r="G1317" s="38" t="s">
        <v>42</v>
      </c>
      <c r="H1317" s="110">
        <v>7522.0</v>
      </c>
      <c r="I1317" s="132">
        <v>668.27</v>
      </c>
      <c r="J1317" s="132">
        <v>502.54</v>
      </c>
      <c r="K1317" s="39">
        <f t="shared" si="1"/>
        <v>5026726.94</v>
      </c>
      <c r="L1317" s="39">
        <f t="shared" si="2"/>
        <v>3780105.88</v>
      </c>
      <c r="M1317" s="39">
        <f t="shared" si="3"/>
        <v>1246621.06</v>
      </c>
      <c r="N1317" s="38" t="str">
        <f>VLOOKUP(F1317,products!$A$2:$B$13,2,FALSE)</f>
        <v>Household</v>
      </c>
      <c r="O1317" s="133">
        <f t="shared" si="4"/>
        <v>0.7520014365</v>
      </c>
      <c r="P1317" s="38" t="str">
        <f>VLOOKUP(E1317,countries!A$2:E$250,3,false)</f>
        <v>Czech Republic</v>
      </c>
      <c r="Q1317" s="38" t="str">
        <f>VLOOKUP($E1317,countries!$A$2:$E$250,4,false)</f>
        <v>Europe</v>
      </c>
      <c r="R1317" s="38" t="str">
        <f>VLOOKUP($E1317,countries!$A$2:$E$250,5,false)</f>
        <v>Eastern Europe</v>
      </c>
      <c r="S1317" s="38">
        <f t="shared" si="5"/>
        <v>35</v>
      </c>
      <c r="T1317" s="38" t="s">
        <v>148</v>
      </c>
      <c r="U1317" s="38">
        <v>2014.0</v>
      </c>
      <c r="V1317" s="38">
        <v>11.0</v>
      </c>
      <c r="W1317" s="38" t="s">
        <v>114</v>
      </c>
      <c r="X1317" s="38" t="s">
        <v>184</v>
      </c>
      <c r="Y1317" s="38" t="s">
        <v>146</v>
      </c>
      <c r="Z1317" s="38" t="s">
        <v>155</v>
      </c>
      <c r="AA1317" s="113" t="str">
        <f t="array" ref="AA1317">PROPER(G1317)</f>
        <v>Offline</v>
      </c>
    </row>
    <row r="1318">
      <c r="A1318" s="110">
        <v>9.88614022E8</v>
      </c>
      <c r="B1318" s="131">
        <v>40510.0</v>
      </c>
      <c r="C1318" s="131">
        <v>40554.0</v>
      </c>
      <c r="D1318" s="110" t="s">
        <v>93</v>
      </c>
      <c r="E1318" s="110" t="s">
        <v>119</v>
      </c>
      <c r="F1318" s="110">
        <v>2103.0</v>
      </c>
      <c r="G1318" s="38" t="s">
        <v>42</v>
      </c>
      <c r="H1318" s="110">
        <v>1713.0</v>
      </c>
      <c r="I1318" s="132">
        <v>205.7</v>
      </c>
      <c r="J1318" s="132">
        <v>117.11</v>
      </c>
      <c r="K1318" s="39">
        <f t="shared" si="1"/>
        <v>352364.1</v>
      </c>
      <c r="L1318" s="39">
        <f t="shared" si="2"/>
        <v>200609.43</v>
      </c>
      <c r="M1318" s="39">
        <f t="shared" si="3"/>
        <v>151754.67</v>
      </c>
      <c r="N1318" s="38" t="str">
        <f>VLOOKUP(F1318,products!$A$2:$B$13,2,FALSE)</f>
        <v>Cereal</v>
      </c>
      <c r="O1318" s="133">
        <f t="shared" si="4"/>
        <v>0.5693242586</v>
      </c>
      <c r="P1318" s="38" t="str">
        <f>VLOOKUP(E1318,countries!A$2:E$250,3,false)</f>
        <v>Macedonia</v>
      </c>
      <c r="Q1318" s="38" t="str">
        <f>VLOOKUP($E1318,countries!$A$2:$E$250,4,false)</f>
        <v>Europe</v>
      </c>
      <c r="R1318" s="38" t="str">
        <f>VLOOKUP($E1318,countries!$A$2:$E$250,5,false)</f>
        <v>Southern Europe</v>
      </c>
      <c r="S1318" s="38">
        <f t="shared" si="5"/>
        <v>44</v>
      </c>
      <c r="T1318" s="38" t="s">
        <v>144</v>
      </c>
      <c r="U1318" s="38">
        <v>2010.0</v>
      </c>
      <c r="V1318" s="38">
        <v>11.0</v>
      </c>
      <c r="W1318" s="38" t="s">
        <v>119</v>
      </c>
      <c r="X1318" s="38" t="s">
        <v>190</v>
      </c>
      <c r="Y1318" s="38" t="s">
        <v>146</v>
      </c>
      <c r="Z1318" s="38" t="s">
        <v>147</v>
      </c>
      <c r="AA1318" s="113" t="str">
        <f t="array" ref="AA1318">PROPER(G1318)</f>
        <v>Offline</v>
      </c>
    </row>
    <row r="1319">
      <c r="A1319" s="110">
        <v>9.89102828E8</v>
      </c>
      <c r="B1319" s="131">
        <v>41071.0</v>
      </c>
      <c r="C1319" s="131">
        <v>41098.0</v>
      </c>
      <c r="D1319" s="110" t="s">
        <v>93</v>
      </c>
      <c r="E1319" s="110" t="e">
        <v>#N/A</v>
      </c>
      <c r="F1319" s="110">
        <v>4594.0</v>
      </c>
      <c r="G1319" s="38" t="s">
        <v>43</v>
      </c>
      <c r="H1319" s="110">
        <v>6362.0</v>
      </c>
      <c r="I1319" s="132">
        <v>9.33</v>
      </c>
      <c r="J1319" s="132">
        <v>6.92</v>
      </c>
      <c r="K1319" s="39">
        <f t="shared" si="1"/>
        <v>59357.46</v>
      </c>
      <c r="L1319" s="39">
        <f t="shared" si="2"/>
        <v>44025.04</v>
      </c>
      <c r="M1319" s="39">
        <f t="shared" si="3"/>
        <v>15332.42</v>
      </c>
      <c r="N1319" s="38" t="str">
        <f>VLOOKUP(F1319,products!$A$2:$B$13,2,FALSE)</f>
        <v>Fruits</v>
      </c>
      <c r="O1319" s="133">
        <f t="shared" si="4"/>
        <v>0.741693462</v>
      </c>
      <c r="P1319" s="38" t="str">
        <f>VLOOKUP(E1319,countries!A$2:E$250,3,false)</f>
        <v>#N/A</v>
      </c>
      <c r="Q1319" s="38" t="str">
        <f>VLOOKUP($E1319,countries!$A$2:$E$250,4,false)</f>
        <v>#N/A</v>
      </c>
      <c r="R1319" s="38" t="str">
        <f>VLOOKUP($E1319,countries!$A$2:$E$250,5,false)</f>
        <v>#N/A</v>
      </c>
      <c r="S1319" s="38">
        <f t="shared" si="5"/>
        <v>27</v>
      </c>
      <c r="T1319" s="38" t="s">
        <v>156</v>
      </c>
      <c r="U1319" s="38">
        <v>2012.0</v>
      </c>
      <c r="V1319" s="38">
        <v>6.0</v>
      </c>
      <c r="W1319" s="38" t="s">
        <v>92</v>
      </c>
      <c r="X1319" s="38" t="s">
        <v>149</v>
      </c>
      <c r="Y1319" s="38" t="s">
        <v>149</v>
      </c>
      <c r="Z1319" s="38" t="s">
        <v>149</v>
      </c>
      <c r="AA1319" s="113" t="str">
        <f t="array" ref="AA1319">PROPER(G1319)</f>
        <v>Online</v>
      </c>
    </row>
    <row r="1320">
      <c r="A1320" s="110">
        <v>9.89403665E8</v>
      </c>
      <c r="B1320" s="131">
        <v>42116.0</v>
      </c>
      <c r="C1320" s="131">
        <v>42149.0</v>
      </c>
      <c r="D1320" s="110" t="s">
        <v>89</v>
      </c>
      <c r="E1320" s="110" t="s">
        <v>119</v>
      </c>
      <c r="F1320" s="110">
        <v>2455.0</v>
      </c>
      <c r="G1320" s="38" t="s">
        <v>43</v>
      </c>
      <c r="H1320" s="110">
        <v>5386.0</v>
      </c>
      <c r="I1320" s="132">
        <v>109.28</v>
      </c>
      <c r="J1320" s="132">
        <v>35.84</v>
      </c>
      <c r="K1320" s="39">
        <f t="shared" si="1"/>
        <v>588582.08</v>
      </c>
      <c r="L1320" s="39">
        <f t="shared" si="2"/>
        <v>193034.24</v>
      </c>
      <c r="M1320" s="39">
        <f t="shared" si="3"/>
        <v>395547.84</v>
      </c>
      <c r="N1320" s="38" t="str">
        <f>VLOOKUP(F1320,products!$A$2:$B$13,2,FALSE)</f>
        <v>Clothes</v>
      </c>
      <c r="O1320" s="133">
        <f t="shared" si="4"/>
        <v>0.3279648609</v>
      </c>
      <c r="P1320" s="38" t="str">
        <f>VLOOKUP(E1320,countries!A$2:E$250,3,false)</f>
        <v>Macedonia</v>
      </c>
      <c r="Q1320" s="38" t="str">
        <f>VLOOKUP($E1320,countries!$A$2:$E$250,4,false)</f>
        <v>Europe</v>
      </c>
      <c r="R1320" s="38" t="str">
        <f>VLOOKUP($E1320,countries!$A$2:$E$250,5,false)</f>
        <v>Southern Europe</v>
      </c>
      <c r="S1320" s="38">
        <f t="shared" si="5"/>
        <v>33</v>
      </c>
      <c r="T1320" s="38" t="s">
        <v>150</v>
      </c>
      <c r="U1320" s="38">
        <v>2015.0</v>
      </c>
      <c r="V1320" s="38">
        <v>4.0</v>
      </c>
      <c r="W1320" s="38" t="s">
        <v>119</v>
      </c>
      <c r="X1320" s="38" t="s">
        <v>190</v>
      </c>
      <c r="Y1320" s="38" t="s">
        <v>146</v>
      </c>
      <c r="Z1320" s="38" t="s">
        <v>147</v>
      </c>
      <c r="AA1320" s="113" t="str">
        <f t="array" ref="AA1320">PROPER(G1320)</f>
        <v>Online</v>
      </c>
    </row>
    <row r="1321">
      <c r="A1321" s="110">
        <v>9.9045509E8</v>
      </c>
      <c r="B1321" s="131">
        <v>41608.0</v>
      </c>
      <c r="C1321" s="131">
        <v>41622.0</v>
      </c>
      <c r="D1321" s="110" t="s">
        <v>89</v>
      </c>
      <c r="E1321" s="110" t="s">
        <v>116</v>
      </c>
      <c r="F1321" s="110">
        <v>7940.0</v>
      </c>
      <c r="G1321" s="38" t="s">
        <v>43</v>
      </c>
      <c r="H1321" s="110">
        <v>6526.0</v>
      </c>
      <c r="I1321" s="132">
        <v>668.27</v>
      </c>
      <c r="J1321" s="132">
        <v>502.54</v>
      </c>
      <c r="K1321" s="39">
        <f t="shared" si="1"/>
        <v>4361130.02</v>
      </c>
      <c r="L1321" s="39">
        <f t="shared" si="2"/>
        <v>3279576.04</v>
      </c>
      <c r="M1321" s="39">
        <f t="shared" si="3"/>
        <v>1081553.98</v>
      </c>
      <c r="N1321" s="38" t="str">
        <f>VLOOKUP(F1321,products!$A$2:$B$13,2,FALSE)</f>
        <v>Household</v>
      </c>
      <c r="O1321" s="133">
        <f t="shared" si="4"/>
        <v>0.7520014365</v>
      </c>
      <c r="P1321" s="38" t="str">
        <f>VLOOKUP(E1321,countries!A$2:E$250,3,false)</f>
        <v>Belarus</v>
      </c>
      <c r="Q1321" s="38" t="str">
        <f>VLOOKUP($E1321,countries!$A$2:$E$250,4,false)</f>
        <v>Europe</v>
      </c>
      <c r="R1321" s="38" t="str">
        <f>VLOOKUP($E1321,countries!$A$2:$E$250,5,false)</f>
        <v>Eastern Europe</v>
      </c>
      <c r="S1321" s="38">
        <f t="shared" si="5"/>
        <v>14</v>
      </c>
      <c r="T1321" s="38" t="s">
        <v>148</v>
      </c>
      <c r="U1321" s="38">
        <v>2013.0</v>
      </c>
      <c r="V1321" s="38">
        <v>11.0</v>
      </c>
      <c r="W1321" s="38" t="s">
        <v>116</v>
      </c>
      <c r="X1321" s="38" t="s">
        <v>187</v>
      </c>
      <c r="Y1321" s="38" t="s">
        <v>146</v>
      </c>
      <c r="Z1321" s="38" t="s">
        <v>155</v>
      </c>
      <c r="AA1321" s="113" t="str">
        <f t="array" ref="AA1321">PROPER(G1321)</f>
        <v>Online</v>
      </c>
    </row>
    <row r="1322">
      <c r="A1322" s="110">
        <v>9.9077481E8</v>
      </c>
      <c r="B1322" s="131">
        <v>41656.0</v>
      </c>
      <c r="C1322" s="131">
        <v>41688.0</v>
      </c>
      <c r="D1322" s="110" t="s">
        <v>10</v>
      </c>
      <c r="E1322" s="110" t="s">
        <v>121</v>
      </c>
      <c r="F1322" s="110">
        <v>7940.0</v>
      </c>
      <c r="G1322" s="38" t="s">
        <v>42</v>
      </c>
      <c r="H1322" s="110">
        <v>1138.0</v>
      </c>
      <c r="I1322" s="132">
        <v>668.27</v>
      </c>
      <c r="J1322" s="132">
        <v>502.54</v>
      </c>
      <c r="K1322" s="39">
        <f t="shared" si="1"/>
        <v>760491.26</v>
      </c>
      <c r="L1322" s="39">
        <f t="shared" si="2"/>
        <v>571890.52</v>
      </c>
      <c r="M1322" s="39">
        <f t="shared" si="3"/>
        <v>188600.74</v>
      </c>
      <c r="N1322" s="38" t="str">
        <f>VLOOKUP(F1322,products!$A$2:$B$13,2,FALSE)</f>
        <v>Household</v>
      </c>
      <c r="O1322" s="133">
        <f t="shared" si="4"/>
        <v>0.7520014365</v>
      </c>
      <c r="P1322" s="38" t="str">
        <f>VLOOKUP(E1322,countries!A$2:E$250,3,false)</f>
        <v>Netherlands</v>
      </c>
      <c r="Q1322" s="38" t="str">
        <f>VLOOKUP($E1322,countries!$A$2:$E$250,4,false)</f>
        <v>Europe</v>
      </c>
      <c r="R1322" s="38" t="str">
        <f>VLOOKUP($E1322,countries!$A$2:$E$250,5,false)</f>
        <v>Western Europe</v>
      </c>
      <c r="S1322" s="38">
        <f t="shared" si="5"/>
        <v>32</v>
      </c>
      <c r="T1322" s="38" t="s">
        <v>148</v>
      </c>
      <c r="U1322" s="38">
        <v>2014.0</v>
      </c>
      <c r="V1322" s="38">
        <v>1.0</v>
      </c>
      <c r="W1322" s="38" t="s">
        <v>121</v>
      </c>
      <c r="X1322" s="38" t="s">
        <v>192</v>
      </c>
      <c r="Y1322" s="38" t="s">
        <v>146</v>
      </c>
      <c r="Z1322" s="38" t="s">
        <v>158</v>
      </c>
      <c r="AA1322" s="113" t="str">
        <f t="array" ref="AA1322">PROPER(G1322)</f>
        <v>Offline</v>
      </c>
    </row>
    <row r="1323">
      <c r="A1323" s="110">
        <v>9.91761863E8</v>
      </c>
      <c r="B1323" s="131">
        <v>40897.0</v>
      </c>
      <c r="C1323" s="131">
        <v>40901.0</v>
      </c>
      <c r="D1323" s="110" t="s">
        <v>89</v>
      </c>
      <c r="E1323" s="110" t="s">
        <v>90</v>
      </c>
      <c r="F1323" s="110">
        <v>4594.0</v>
      </c>
      <c r="G1323" s="38" t="s">
        <v>42</v>
      </c>
      <c r="H1323" s="110">
        <v>3229.0</v>
      </c>
      <c r="I1323" s="132">
        <v>9.33</v>
      </c>
      <c r="J1323" s="132">
        <v>6.92</v>
      </c>
      <c r="K1323" s="39">
        <f t="shared" si="1"/>
        <v>30126.57</v>
      </c>
      <c r="L1323" s="39">
        <f t="shared" si="2"/>
        <v>22344.68</v>
      </c>
      <c r="M1323" s="39">
        <f t="shared" si="3"/>
        <v>7781.89</v>
      </c>
      <c r="N1323" s="38" t="str">
        <f>VLOOKUP(F1323,products!$A$2:$B$13,2,FALSE)</f>
        <v>Fruits</v>
      </c>
      <c r="O1323" s="133">
        <f t="shared" si="4"/>
        <v>0.741693462</v>
      </c>
      <c r="P1323" s="38" t="str">
        <f>VLOOKUP(E1323,countries!A$2:E$250,3,false)</f>
        <v>Norway</v>
      </c>
      <c r="Q1323" s="38" t="str">
        <f>VLOOKUP($E1323,countries!$A$2:$E$250,4,false)</f>
        <v>Europe</v>
      </c>
      <c r="R1323" s="38" t="str">
        <f>VLOOKUP($E1323,countries!$A$2:$E$250,5,false)</f>
        <v>Northern Europe</v>
      </c>
      <c r="S1323" s="38">
        <f t="shared" si="5"/>
        <v>4</v>
      </c>
      <c r="T1323" s="38" t="s">
        <v>156</v>
      </c>
      <c r="U1323" s="38">
        <v>2011.0</v>
      </c>
      <c r="V1323" s="38">
        <v>12.0</v>
      </c>
      <c r="W1323" s="38" t="s">
        <v>90</v>
      </c>
      <c r="X1323" s="38" t="s">
        <v>183</v>
      </c>
      <c r="Y1323" s="38" t="s">
        <v>146</v>
      </c>
      <c r="Z1323" s="38" t="s">
        <v>170</v>
      </c>
      <c r="AA1323" s="113" t="str">
        <f t="array" ref="AA1323">PROPER(G1323)</f>
        <v>Offline</v>
      </c>
    </row>
    <row r="1324">
      <c r="A1324" s="110">
        <v>9.92992675E8</v>
      </c>
      <c r="B1324" s="131">
        <v>40610.0</v>
      </c>
      <c r="C1324" s="131">
        <v>40611.0</v>
      </c>
      <c r="D1324" s="110" t="s">
        <v>89</v>
      </c>
      <c r="E1324" s="110" t="s">
        <v>91</v>
      </c>
      <c r="F1324" s="110">
        <v>5988.0</v>
      </c>
      <c r="G1324" s="38" t="s">
        <v>42</v>
      </c>
      <c r="H1324" s="110">
        <v>7454.0</v>
      </c>
      <c r="I1324" s="132">
        <v>154.06</v>
      </c>
      <c r="J1324" s="132">
        <v>90.93</v>
      </c>
      <c r="K1324" s="39">
        <f t="shared" si="1"/>
        <v>1148363.24</v>
      </c>
      <c r="L1324" s="39">
        <f t="shared" si="2"/>
        <v>677792.22</v>
      </c>
      <c r="M1324" s="39">
        <f t="shared" si="3"/>
        <v>470571.02</v>
      </c>
      <c r="N1324" s="38" t="str">
        <f>VLOOKUP(F1324,products!$A$2:$B$13,2,FALSE)</f>
        <v>Vegetables</v>
      </c>
      <c r="O1324" s="133">
        <f t="shared" si="4"/>
        <v>0.5902245878</v>
      </c>
      <c r="P1324" s="38" t="str">
        <f>VLOOKUP(E1324,countries!A$2:E$250,3,false)</f>
        <v>Serbia</v>
      </c>
      <c r="Q1324" s="38" t="str">
        <f>VLOOKUP($E1324,countries!$A$2:$E$250,4,false)</f>
        <v>Europe</v>
      </c>
      <c r="R1324" s="38" t="str">
        <f>VLOOKUP($E1324,countries!$A$2:$E$250,5,false)</f>
        <v>Southern Europe</v>
      </c>
      <c r="S1324" s="38">
        <f t="shared" si="5"/>
        <v>1</v>
      </c>
      <c r="T1324" s="38" t="s">
        <v>159</v>
      </c>
      <c r="U1324" s="38">
        <v>2011.0</v>
      </c>
      <c r="V1324" s="38">
        <v>3.0</v>
      </c>
      <c r="W1324" s="38" t="s">
        <v>91</v>
      </c>
      <c r="X1324" s="38" t="s">
        <v>145</v>
      </c>
      <c r="Y1324" s="38" t="s">
        <v>146</v>
      </c>
      <c r="Z1324" s="38" t="s">
        <v>147</v>
      </c>
      <c r="AA1324" s="113" t="str">
        <f t="array" ref="AA1324">PROPER(G1324)</f>
        <v>Offline</v>
      </c>
    </row>
    <row r="1325">
      <c r="A1325" s="110">
        <v>9.93368613E8</v>
      </c>
      <c r="B1325" s="131">
        <v>42408.0</v>
      </c>
      <c r="C1325" s="131">
        <v>42416.0</v>
      </c>
      <c r="D1325" s="110" t="s">
        <v>95</v>
      </c>
      <c r="E1325" s="110" t="s">
        <v>100</v>
      </c>
      <c r="F1325" s="110">
        <v>3127.0</v>
      </c>
      <c r="G1325" s="38" t="s">
        <v>42</v>
      </c>
      <c r="H1325" s="110">
        <v>8702.0</v>
      </c>
      <c r="I1325" s="132">
        <v>81.73</v>
      </c>
      <c r="J1325" s="132">
        <v>56.67</v>
      </c>
      <c r="K1325" s="39">
        <f t="shared" si="1"/>
        <v>711214.46</v>
      </c>
      <c r="L1325" s="39">
        <f t="shared" si="2"/>
        <v>493142.34</v>
      </c>
      <c r="M1325" s="39">
        <f t="shared" si="3"/>
        <v>218072.12</v>
      </c>
      <c r="N1325" s="38" t="str">
        <f>VLOOKUP(F1325,products!$A$2:$B$13,2,FALSE)</f>
        <v>Personal Care</v>
      </c>
      <c r="O1325" s="133">
        <f t="shared" si="4"/>
        <v>0.6933806436</v>
      </c>
      <c r="P1325" s="38" t="str">
        <f>VLOOKUP(E1325,countries!A$2:E$250,3,false)</f>
        <v>Germany</v>
      </c>
      <c r="Q1325" s="38" t="str">
        <f>VLOOKUP($E1325,countries!$A$2:$E$250,4,false)</f>
        <v>Europe</v>
      </c>
      <c r="R1325" s="38" t="str">
        <f>VLOOKUP($E1325,countries!$A$2:$E$250,5,false)</f>
        <v>Western Europe</v>
      </c>
      <c r="S1325" s="38">
        <f t="shared" si="5"/>
        <v>8</v>
      </c>
      <c r="T1325" s="38" t="s">
        <v>185</v>
      </c>
      <c r="U1325" s="38">
        <v>2016.0</v>
      </c>
      <c r="V1325" s="38">
        <v>2.0</v>
      </c>
      <c r="W1325" s="38" t="s">
        <v>100</v>
      </c>
      <c r="X1325" s="38" t="s">
        <v>163</v>
      </c>
      <c r="Y1325" s="38" t="s">
        <v>146</v>
      </c>
      <c r="Z1325" s="38" t="s">
        <v>158</v>
      </c>
      <c r="AA1325" s="113" t="str">
        <f t="array" ref="AA1325">PROPER(G1325)</f>
        <v>Offline</v>
      </c>
    </row>
    <row r="1326">
      <c r="A1326" s="110">
        <v>9.94406735E8</v>
      </c>
      <c r="B1326" s="131">
        <v>42162.0</v>
      </c>
      <c r="C1326" s="131">
        <v>42185.0</v>
      </c>
      <c r="D1326" s="110" t="s">
        <v>89</v>
      </c>
      <c r="E1326" s="110" t="s">
        <v>112</v>
      </c>
      <c r="F1326" s="110">
        <v>1270.0</v>
      </c>
      <c r="G1326" s="38" t="s">
        <v>43</v>
      </c>
      <c r="H1326" s="110">
        <v>5906.0</v>
      </c>
      <c r="I1326" s="132">
        <v>47.45</v>
      </c>
      <c r="J1326" s="132">
        <v>31.79</v>
      </c>
      <c r="K1326" s="39">
        <f t="shared" si="1"/>
        <v>280239.7</v>
      </c>
      <c r="L1326" s="39">
        <f t="shared" si="2"/>
        <v>187751.74</v>
      </c>
      <c r="M1326" s="39">
        <f t="shared" si="3"/>
        <v>92487.96</v>
      </c>
      <c r="N1326" s="38" t="str">
        <f>VLOOKUP(F1326,products!$A$2:$B$13,2,FALSE)</f>
        <v>Beverages</v>
      </c>
      <c r="O1326" s="133">
        <f t="shared" si="4"/>
        <v>0.6699683878</v>
      </c>
      <c r="P1326" s="38" t="str">
        <f>VLOOKUP(E1326,countries!A$2:E$250,3,false)</f>
        <v>Malta</v>
      </c>
      <c r="Q1326" s="38" t="str">
        <f>VLOOKUP($E1326,countries!$A$2:$E$250,4,false)</f>
        <v>Europe</v>
      </c>
      <c r="R1326" s="38" t="str">
        <f>VLOOKUP($E1326,countries!$A$2:$E$250,5,false)</f>
        <v>Southern Europe</v>
      </c>
      <c r="S1326" s="38">
        <f t="shared" si="5"/>
        <v>23</v>
      </c>
      <c r="T1326" s="38" t="s">
        <v>152</v>
      </c>
      <c r="U1326" s="38">
        <v>2015.0</v>
      </c>
      <c r="V1326" s="38">
        <v>6.0</v>
      </c>
      <c r="W1326" s="38" t="s">
        <v>112</v>
      </c>
      <c r="X1326" s="38" t="s">
        <v>180</v>
      </c>
      <c r="Y1326" s="38" t="s">
        <v>146</v>
      </c>
      <c r="Z1326" s="38" t="s">
        <v>147</v>
      </c>
      <c r="AA1326" s="113" t="str">
        <f t="array" ref="AA1326">PROPER(G1326)</f>
        <v>Online</v>
      </c>
    </row>
    <row r="1327">
      <c r="A1327" s="110">
        <v>9.94504153E8</v>
      </c>
      <c r="B1327" s="131">
        <v>42745.0</v>
      </c>
      <c r="C1327" s="131">
        <v>42748.0</v>
      </c>
      <c r="D1327" s="110" t="s">
        <v>89</v>
      </c>
      <c r="E1327" s="110" t="s">
        <v>132</v>
      </c>
      <c r="F1327" s="110">
        <v>4594.0</v>
      </c>
      <c r="G1327" s="38" t="s">
        <v>43</v>
      </c>
      <c r="H1327" s="110">
        <v>4734.0</v>
      </c>
      <c r="I1327" s="132">
        <v>9.33</v>
      </c>
      <c r="J1327" s="132">
        <v>6.92</v>
      </c>
      <c r="K1327" s="39">
        <f t="shared" si="1"/>
        <v>44168.22</v>
      </c>
      <c r="L1327" s="39">
        <f t="shared" si="2"/>
        <v>32759.28</v>
      </c>
      <c r="M1327" s="39">
        <f t="shared" si="3"/>
        <v>11408.94</v>
      </c>
      <c r="N1327" s="38" t="str">
        <f>VLOOKUP(F1327,products!$A$2:$B$13,2,FALSE)</f>
        <v>Fruits</v>
      </c>
      <c r="O1327" s="133">
        <f t="shared" si="4"/>
        <v>0.741693462</v>
      </c>
      <c r="P1327" s="38" t="str">
        <f>VLOOKUP(E1327,countries!A$2:E$250,3,false)</f>
        <v>Sweden</v>
      </c>
      <c r="Q1327" s="38" t="str">
        <f>VLOOKUP($E1327,countries!$A$2:$E$250,4,false)</f>
        <v>Europe</v>
      </c>
      <c r="R1327" s="38" t="str">
        <f>VLOOKUP($E1327,countries!$A$2:$E$250,5,false)</f>
        <v>Northern Europe</v>
      </c>
      <c r="S1327" s="38">
        <f t="shared" si="5"/>
        <v>3</v>
      </c>
      <c r="T1327" s="38" t="s">
        <v>156</v>
      </c>
      <c r="U1327" s="38">
        <v>2017.0</v>
      </c>
      <c r="V1327" s="38">
        <v>1.0</v>
      </c>
      <c r="W1327" s="38" t="s">
        <v>132</v>
      </c>
      <c r="X1327" s="38" t="s">
        <v>203</v>
      </c>
      <c r="Y1327" s="38" t="s">
        <v>146</v>
      </c>
      <c r="Z1327" s="38" t="s">
        <v>170</v>
      </c>
      <c r="AA1327" s="113" t="str">
        <f t="array" ref="AA1327">PROPER(G1327)</f>
        <v>Online</v>
      </c>
    </row>
    <row r="1328">
      <c r="A1328" s="110">
        <v>9.94978797E8</v>
      </c>
      <c r="B1328" s="131">
        <v>41978.0</v>
      </c>
      <c r="C1328" s="131">
        <v>42006.0</v>
      </c>
      <c r="D1328" s="110" t="s">
        <v>95</v>
      </c>
      <c r="E1328" s="110" t="s">
        <v>126</v>
      </c>
      <c r="F1328" s="110">
        <v>1270.0</v>
      </c>
      <c r="G1328" s="38" t="s">
        <v>42</v>
      </c>
      <c r="H1328" s="110">
        <v>5192.0</v>
      </c>
      <c r="I1328" s="132">
        <v>47.45</v>
      </c>
      <c r="J1328" s="132">
        <v>31.79</v>
      </c>
      <c r="K1328" s="39">
        <f t="shared" si="1"/>
        <v>246360.4</v>
      </c>
      <c r="L1328" s="39">
        <f t="shared" si="2"/>
        <v>165053.68</v>
      </c>
      <c r="M1328" s="39">
        <f t="shared" si="3"/>
        <v>81306.72</v>
      </c>
      <c r="N1328" s="38" t="str">
        <f>VLOOKUP(F1328,products!$A$2:$B$13,2,FALSE)</f>
        <v>Beverages</v>
      </c>
      <c r="O1328" s="133">
        <f t="shared" si="4"/>
        <v>0.6699683878</v>
      </c>
      <c r="P1328" s="38" t="str">
        <f>VLOOKUP(E1328,countries!A$2:E$250,3,false)</f>
        <v>Italy</v>
      </c>
      <c r="Q1328" s="38" t="str">
        <f>VLOOKUP($E1328,countries!$A$2:$E$250,4,false)</f>
        <v>Europe</v>
      </c>
      <c r="R1328" s="38" t="str">
        <f>VLOOKUP($E1328,countries!$A$2:$E$250,5,false)</f>
        <v>Southern Europe</v>
      </c>
      <c r="S1328" s="38">
        <f t="shared" si="5"/>
        <v>28</v>
      </c>
      <c r="T1328" s="38" t="s">
        <v>152</v>
      </c>
      <c r="U1328" s="38">
        <v>2014.0</v>
      </c>
      <c r="V1328" s="38">
        <v>12.0</v>
      </c>
      <c r="W1328" s="38" t="s">
        <v>126</v>
      </c>
      <c r="X1328" s="38" t="s">
        <v>197</v>
      </c>
      <c r="Y1328" s="38" t="s">
        <v>146</v>
      </c>
      <c r="Z1328" s="38" t="s">
        <v>147</v>
      </c>
      <c r="AA1328" s="113" t="str">
        <f t="array" ref="AA1328">PROPER(G1328)</f>
        <v>Offline</v>
      </c>
    </row>
    <row r="1329">
      <c r="A1329" s="110">
        <v>9.96754205E8</v>
      </c>
      <c r="B1329" s="131">
        <v>40441.0</v>
      </c>
      <c r="C1329" s="131">
        <v>40443.0</v>
      </c>
      <c r="D1329" s="110" t="s">
        <v>93</v>
      </c>
      <c r="E1329" s="110" t="s">
        <v>111</v>
      </c>
      <c r="F1329" s="110">
        <v>7331.0</v>
      </c>
      <c r="G1329" s="38" t="s">
        <v>42</v>
      </c>
      <c r="H1329" s="110">
        <v>574.0</v>
      </c>
      <c r="I1329" s="132">
        <v>255.28</v>
      </c>
      <c r="J1329" s="132">
        <v>159.42</v>
      </c>
      <c r="K1329" s="39">
        <f t="shared" si="1"/>
        <v>146530.72</v>
      </c>
      <c r="L1329" s="39">
        <f t="shared" si="2"/>
        <v>91507.08</v>
      </c>
      <c r="M1329" s="39">
        <f t="shared" si="3"/>
        <v>55023.64</v>
      </c>
      <c r="N1329" s="38" t="str">
        <f>VLOOKUP(F1329,products!$A$2:$B$13,2,FALSE)</f>
        <v>Baby Food</v>
      </c>
      <c r="O1329" s="133">
        <f t="shared" si="4"/>
        <v>0.6244907552</v>
      </c>
      <c r="P1329" s="38" t="str">
        <f>VLOOKUP(E1329,countries!A$2:E$250,3,false)</f>
        <v>Russia</v>
      </c>
      <c r="Q1329" s="38" t="str">
        <f>VLOOKUP($E1329,countries!$A$2:$E$250,4,false)</f>
        <v>Europe</v>
      </c>
      <c r="R1329" s="38" t="str">
        <f>VLOOKUP($E1329,countries!$A$2:$E$250,5,false)</f>
        <v>Eastern Europe</v>
      </c>
      <c r="S1329" s="38">
        <f t="shared" si="5"/>
        <v>2</v>
      </c>
      <c r="T1329" s="38" t="s">
        <v>161</v>
      </c>
      <c r="U1329" s="38">
        <v>2010.0</v>
      </c>
      <c r="V1329" s="38">
        <v>9.0</v>
      </c>
      <c r="W1329" s="38" t="s">
        <v>111</v>
      </c>
      <c r="X1329" s="38" t="s">
        <v>179</v>
      </c>
      <c r="Y1329" s="38" t="s">
        <v>146</v>
      </c>
      <c r="Z1329" s="38" t="s">
        <v>155</v>
      </c>
      <c r="AA1329" s="113" t="str">
        <f t="array" ref="AA1329">PROPER(G1329)</f>
        <v>Offline</v>
      </c>
    </row>
    <row r="1330">
      <c r="A1330" s="110">
        <v>9.98043382E8</v>
      </c>
      <c r="B1330" s="131">
        <v>40344.0</v>
      </c>
      <c r="C1330" s="131">
        <v>40362.0</v>
      </c>
      <c r="D1330" s="110" t="s">
        <v>95</v>
      </c>
      <c r="E1330" s="110" t="s">
        <v>112</v>
      </c>
      <c r="F1330" s="110">
        <v>8293.0</v>
      </c>
      <c r="G1330" s="38" t="s">
        <v>43</v>
      </c>
      <c r="H1330" s="110">
        <v>2070.0</v>
      </c>
      <c r="I1330" s="132">
        <v>437.2</v>
      </c>
      <c r="J1330" s="132">
        <v>263.33</v>
      </c>
      <c r="K1330" s="39">
        <f t="shared" si="1"/>
        <v>905004</v>
      </c>
      <c r="L1330" s="39">
        <f t="shared" si="2"/>
        <v>545093.1</v>
      </c>
      <c r="M1330" s="39">
        <f t="shared" si="3"/>
        <v>359910.9</v>
      </c>
      <c r="N1330" s="38" t="str">
        <f>VLOOKUP(F1330,products!$A$2:$B$13,2,FALSE)</f>
        <v>Cosmetics</v>
      </c>
      <c r="O1330" s="133">
        <f t="shared" si="4"/>
        <v>0.6023101555</v>
      </c>
      <c r="P1330" s="38" t="str">
        <f>VLOOKUP(E1330,countries!A$2:E$250,3,false)</f>
        <v>Malta</v>
      </c>
      <c r="Q1330" s="38" t="str">
        <f>VLOOKUP($E1330,countries!$A$2:$E$250,4,false)</f>
        <v>Europe</v>
      </c>
      <c r="R1330" s="38" t="str">
        <f>VLOOKUP($E1330,countries!$A$2:$E$250,5,false)</f>
        <v>Southern Europe</v>
      </c>
      <c r="S1330" s="38">
        <f t="shared" si="5"/>
        <v>18</v>
      </c>
      <c r="T1330" s="38" t="s">
        <v>178</v>
      </c>
      <c r="U1330" s="38">
        <v>2010.0</v>
      </c>
      <c r="V1330" s="38">
        <v>6.0</v>
      </c>
      <c r="W1330" s="38" t="s">
        <v>112</v>
      </c>
      <c r="X1330" s="38" t="s">
        <v>180</v>
      </c>
      <c r="Y1330" s="38" t="s">
        <v>146</v>
      </c>
      <c r="Z1330" s="38" t="s">
        <v>147</v>
      </c>
      <c r="AA1330" s="113" t="str">
        <f t="array" ref="AA1330">PROPER(G1330)</f>
        <v>Online</v>
      </c>
    </row>
    <row r="1331">
      <c r="A1331" s="110">
        <v>9.99879729E8</v>
      </c>
      <c r="B1331" s="131">
        <v>40999.0</v>
      </c>
      <c r="C1331" s="131">
        <v>41035.0</v>
      </c>
      <c r="D1331" s="110" t="s">
        <v>89</v>
      </c>
      <c r="E1331" s="110" t="s">
        <v>131</v>
      </c>
      <c r="F1331" s="110">
        <v>7940.0</v>
      </c>
      <c r="G1331" s="38" t="s">
        <v>42</v>
      </c>
      <c r="H1331" s="110">
        <v>5486.0</v>
      </c>
      <c r="I1331" s="132">
        <v>668.27</v>
      </c>
      <c r="J1331" s="132">
        <v>502.54</v>
      </c>
      <c r="K1331" s="39">
        <f t="shared" si="1"/>
        <v>3666129.22</v>
      </c>
      <c r="L1331" s="39">
        <f t="shared" si="2"/>
        <v>2756934.44</v>
      </c>
      <c r="M1331" s="39">
        <f t="shared" si="3"/>
        <v>909194.78</v>
      </c>
      <c r="N1331" s="38" t="str">
        <f>VLOOKUP(F1331,products!$A$2:$B$13,2,FALSE)</f>
        <v>Household</v>
      </c>
      <c r="O1331" s="133">
        <f t="shared" si="4"/>
        <v>0.7520014365</v>
      </c>
      <c r="P1331" s="38" t="str">
        <f>VLOOKUP(E1331,countries!A$2:E$250,3,false)</f>
        <v>Albania</v>
      </c>
      <c r="Q1331" s="38" t="str">
        <f>VLOOKUP($E1331,countries!$A$2:$E$250,4,false)</f>
        <v>Europe</v>
      </c>
      <c r="R1331" s="38" t="str">
        <f>VLOOKUP($E1331,countries!$A$2:$E$250,5,false)</f>
        <v>Southern Europe</v>
      </c>
      <c r="S1331" s="38">
        <f t="shared" si="5"/>
        <v>36</v>
      </c>
      <c r="T1331" s="38" t="s">
        <v>148</v>
      </c>
      <c r="U1331" s="38">
        <v>2012.0</v>
      </c>
      <c r="V1331" s="38">
        <v>3.0</v>
      </c>
      <c r="W1331" s="38" t="s">
        <v>131</v>
      </c>
      <c r="X1331" s="38" t="s">
        <v>202</v>
      </c>
      <c r="Y1331" s="38" t="s">
        <v>146</v>
      </c>
      <c r="Z1331" s="38" t="s">
        <v>147</v>
      </c>
      <c r="AA1331" s="113" t="str">
        <f t="array" ref="AA1331">PROPER(G1331)</f>
        <v>Offline</v>
      </c>
    </row>
  </sheetData>
  <conditionalFormatting sqref="A1">
    <cfRule type="containsBlanks" dxfId="0" priority="1">
      <formula>LEN(TRIM(A1))=0</formula>
    </cfRule>
  </conditionalFormatting>
  <conditionalFormatting sqref="A1:AA1331">
    <cfRule type="containsBlanks" dxfId="0" priority="2">
      <formula>LEN(TRIM(A1))=0</formula>
    </cfRule>
  </conditionalFormatting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56" t="s">
        <v>209</v>
      </c>
      <c r="B1" s="135" t="s">
        <v>210</v>
      </c>
      <c r="C1" s="135" t="s">
        <v>211</v>
      </c>
      <c r="D1" s="95" t="s">
        <v>212</v>
      </c>
      <c r="E1" s="56" t="s">
        <v>213</v>
      </c>
      <c r="F1" s="136"/>
      <c r="G1" s="136"/>
      <c r="H1" s="56" t="s">
        <v>214</v>
      </c>
      <c r="I1" s="56" t="s">
        <v>215</v>
      </c>
      <c r="J1" s="56" t="s">
        <v>7</v>
      </c>
      <c r="K1" s="56" t="s">
        <v>47</v>
      </c>
      <c r="L1" s="56" t="s">
        <v>87</v>
      </c>
      <c r="M1" s="56" t="s">
        <v>6</v>
      </c>
      <c r="N1" s="56" t="s">
        <v>31</v>
      </c>
      <c r="O1" s="56" t="s">
        <v>29</v>
      </c>
      <c r="P1" s="56" t="s">
        <v>30</v>
      </c>
    </row>
    <row r="2" hidden="1">
      <c r="A2" s="46">
        <v>1.00640618E8</v>
      </c>
      <c r="B2" s="137" t="str">
        <f t="array" ref="B2:B1331">TEXT(D2:D1331, "mmmm")</f>
        <v>October</v>
      </c>
      <c r="C2" s="137">
        <f t="array" ref="C2:C1331">YEAR(D2:D1331)</f>
        <v>2014</v>
      </c>
      <c r="D2" s="138">
        <v>41920.0</v>
      </c>
      <c r="E2" s="139">
        <v>41930.0</v>
      </c>
      <c r="F2" s="140" t="str">
        <f t="array" ref="F2:F1331">TEXT(E2:E1331, "mmmm")</f>
        <v>October</v>
      </c>
      <c r="G2" s="140">
        <f t="array" ref="G2:G1331">YEAR(E2:E1331)</f>
        <v>2014</v>
      </c>
      <c r="H2" s="46">
        <v>2103.0</v>
      </c>
      <c r="I2" s="46">
        <v>650.0</v>
      </c>
      <c r="J2" s="84">
        <v>133705.0</v>
      </c>
      <c r="K2" s="84">
        <v>76121.5</v>
      </c>
      <c r="L2" s="84">
        <v>57583.5</v>
      </c>
      <c r="M2" s="46" t="s">
        <v>144</v>
      </c>
      <c r="N2" s="49" t="str">
        <f t="array" ref="N2:N1331">IFERROR(VLOOKUP(T2:T1331,countries!A2:E250,3,FALSE), "Undefined")</f>
        <v>Norway</v>
      </c>
      <c r="O2" s="141" t="str">
        <f t="array" ref="O2:O1331">IFERROR(VLOOKUP(T2:T1331,countries!A2:E250,4,FALSE), "Undefined")</f>
        <v>Europe</v>
      </c>
      <c r="P2" s="46" t="s">
        <v>170</v>
      </c>
      <c r="Q2" s="46" t="str">
        <f t="shared" ref="Q2:Q1331" si="1">CONCATENATE(B2,", ",C2)</f>
        <v>October, 2014</v>
      </c>
      <c r="R2" s="115">
        <f t="shared" ref="R2:R1331" si="2">DATE(C2, MONTH(D2),1)</f>
        <v>41913</v>
      </c>
      <c r="S2" s="49">
        <f t="array" ref="S2">WEEKDAY(D2,2)</f>
        <v>3</v>
      </c>
      <c r="T2" s="46" t="str">
        <f t="array" ref="T2:T1331">IFERROR(VLOOKUP(events!E2:E1331,events!E2:O1331,11, FALSE), "")</f>
        <v>NOR</v>
      </c>
      <c r="U2" s="46" t="str">
        <f t="array" ref="U2">TEXT(D2,"dddd")</f>
        <v>Wednesday</v>
      </c>
    </row>
    <row r="3" hidden="1">
      <c r="A3" s="46">
        <v>1.00983083E8</v>
      </c>
      <c r="B3" s="137" t="s">
        <v>216</v>
      </c>
      <c r="C3" s="137">
        <v>2016.0</v>
      </c>
      <c r="D3" s="138">
        <v>42593.0</v>
      </c>
      <c r="E3" s="139">
        <v>42593.0</v>
      </c>
      <c r="F3" s="142" t="s">
        <v>216</v>
      </c>
      <c r="G3" s="142">
        <v>2016.0</v>
      </c>
      <c r="H3" s="46">
        <v>2103.0</v>
      </c>
      <c r="I3" s="46">
        <v>1993.0</v>
      </c>
      <c r="J3" s="84">
        <v>409960.1</v>
      </c>
      <c r="K3" s="84">
        <v>233400.23</v>
      </c>
      <c r="L3" s="84">
        <v>176559.86999999997</v>
      </c>
      <c r="M3" s="46" t="s">
        <v>144</v>
      </c>
      <c r="N3" s="46" t="s">
        <v>145</v>
      </c>
      <c r="O3" s="46" t="s">
        <v>146</v>
      </c>
      <c r="P3" s="46" t="s">
        <v>147</v>
      </c>
      <c r="Q3" s="46" t="str">
        <f t="shared" si="1"/>
        <v>August, 2016</v>
      </c>
      <c r="R3" s="115">
        <f t="shared" si="2"/>
        <v>42583</v>
      </c>
      <c r="S3" s="49">
        <f t="array" ref="S3">WEEKDAY(D3,2)</f>
        <v>4</v>
      </c>
      <c r="T3" s="46" t="s">
        <v>91</v>
      </c>
      <c r="U3" s="46" t="str">
        <f t="array" ref="U3">TEXT(D3,"dddd")</f>
        <v>Thursday</v>
      </c>
    </row>
    <row r="4">
      <c r="A4" s="46">
        <v>1.01025998E8</v>
      </c>
      <c r="B4" s="137" t="s">
        <v>217</v>
      </c>
      <c r="C4" s="137">
        <v>2014.0</v>
      </c>
      <c r="D4" s="138">
        <v>41838.0</v>
      </c>
      <c r="E4" s="139">
        <v>41862.0</v>
      </c>
      <c r="F4" s="142" t="s">
        <v>216</v>
      </c>
      <c r="G4" s="142">
        <v>2014.0</v>
      </c>
      <c r="H4" s="46">
        <v>7940.0</v>
      </c>
      <c r="I4" s="46">
        <v>4693.0</v>
      </c>
      <c r="J4" s="84">
        <v>3136191.11</v>
      </c>
      <c r="K4" s="84">
        <v>2358420.22</v>
      </c>
      <c r="L4" s="84">
        <v>777770.8899999997</v>
      </c>
      <c r="M4" s="46" t="s">
        <v>148</v>
      </c>
      <c r="N4" s="46" t="s">
        <v>149</v>
      </c>
      <c r="O4" s="46" t="s">
        <v>149</v>
      </c>
      <c r="P4" s="46" t="s">
        <v>218</v>
      </c>
      <c r="Q4" s="46" t="str">
        <f t="shared" si="1"/>
        <v>July, 2014</v>
      </c>
      <c r="R4" s="115">
        <f t="shared" si="2"/>
        <v>41821</v>
      </c>
      <c r="S4" s="49">
        <f t="array" ref="S4">WEEKDAY(D4,2)</f>
        <v>5</v>
      </c>
      <c r="T4" s="46" t="s">
        <v>92</v>
      </c>
      <c r="U4" s="46" t="str">
        <f t="array" ref="U4">TEXT(D4,"dddd")</f>
        <v>Friday</v>
      </c>
    </row>
    <row r="5" hidden="1">
      <c r="A5" s="46">
        <v>1.02230632E8</v>
      </c>
      <c r="B5" s="137" t="s">
        <v>219</v>
      </c>
      <c r="C5" s="137">
        <v>2017.0</v>
      </c>
      <c r="D5" s="138">
        <v>42868.0</v>
      </c>
      <c r="E5" s="139">
        <v>42899.0</v>
      </c>
      <c r="F5" s="142" t="s">
        <v>220</v>
      </c>
      <c r="G5" s="142">
        <v>2017.0</v>
      </c>
      <c r="H5" s="46">
        <v>2455.0</v>
      </c>
      <c r="I5" s="46">
        <v>1171.0</v>
      </c>
      <c r="J5" s="84">
        <v>127966.88</v>
      </c>
      <c r="K5" s="84">
        <v>41968.64000000001</v>
      </c>
      <c r="L5" s="84">
        <v>85998.23999999999</v>
      </c>
      <c r="M5" s="46" t="s">
        <v>150</v>
      </c>
      <c r="N5" s="46" t="s">
        <v>151</v>
      </c>
      <c r="O5" s="46" t="s">
        <v>146</v>
      </c>
      <c r="P5" s="46" t="s">
        <v>147</v>
      </c>
      <c r="Q5" s="46" t="str">
        <f t="shared" si="1"/>
        <v>May, 2017</v>
      </c>
      <c r="R5" s="115">
        <f t="shared" si="2"/>
        <v>42856</v>
      </c>
      <c r="S5" s="49">
        <f t="array" ref="S5">WEEKDAY(D5,2)</f>
        <v>6</v>
      </c>
      <c r="T5" s="46" t="s">
        <v>94</v>
      </c>
      <c r="U5" s="46" t="str">
        <f t="array" ref="U5">TEXT(D5,"dddd")</f>
        <v>Saturday</v>
      </c>
    </row>
    <row r="6" hidden="1">
      <c r="A6" s="46">
        <v>1.03435266E8</v>
      </c>
      <c r="B6" s="137" t="s">
        <v>216</v>
      </c>
      <c r="C6" s="137">
        <v>2012.0</v>
      </c>
      <c r="D6" s="138">
        <v>41132.0</v>
      </c>
      <c r="E6" s="139">
        <v>41170.0</v>
      </c>
      <c r="F6" s="142" t="s">
        <v>221</v>
      </c>
      <c r="G6" s="142">
        <v>2012.0</v>
      </c>
      <c r="H6" s="46">
        <v>1270.0</v>
      </c>
      <c r="I6" s="46">
        <v>7648.0</v>
      </c>
      <c r="J6" s="84">
        <v>362897.60000000003</v>
      </c>
      <c r="K6" s="84">
        <v>243129.91999999998</v>
      </c>
      <c r="L6" s="84">
        <v>119767.68000000005</v>
      </c>
      <c r="M6" s="46" t="s">
        <v>152</v>
      </c>
      <c r="N6" s="46" t="s">
        <v>145</v>
      </c>
      <c r="O6" s="46" t="s">
        <v>146</v>
      </c>
      <c r="P6" s="46" t="s">
        <v>147</v>
      </c>
      <c r="Q6" s="46" t="str">
        <f t="shared" si="1"/>
        <v>August, 2012</v>
      </c>
      <c r="R6" s="115">
        <f t="shared" si="2"/>
        <v>41122</v>
      </c>
      <c r="S6" s="49">
        <f t="array" ref="S6">WEEKDAY(D6,2)</f>
        <v>6</v>
      </c>
      <c r="T6" s="46" t="s">
        <v>91</v>
      </c>
      <c r="U6" s="46" t="str">
        <f t="array" ref="U6">TEXT(D6,"dddd")</f>
        <v>Saturday</v>
      </c>
    </row>
    <row r="7" hidden="1">
      <c r="A7" s="46">
        <v>1.03450715E8</v>
      </c>
      <c r="B7" s="137" t="s">
        <v>222</v>
      </c>
      <c r="C7" s="137">
        <v>2015.0</v>
      </c>
      <c r="D7" s="138">
        <v>42078.0</v>
      </c>
      <c r="E7" s="139">
        <v>42112.0</v>
      </c>
      <c r="F7" s="142" t="s">
        <v>223</v>
      </c>
      <c r="G7" s="142">
        <v>2015.0</v>
      </c>
      <c r="H7" s="46">
        <v>8681.0</v>
      </c>
      <c r="I7" s="46">
        <v>2220.0</v>
      </c>
      <c r="J7" s="84">
        <v>1445686.2000000002</v>
      </c>
      <c r="K7" s="84">
        <v>1165411.2000000002</v>
      </c>
      <c r="L7" s="84">
        <v>280275.0</v>
      </c>
      <c r="M7" s="46" t="s">
        <v>153</v>
      </c>
      <c r="N7" s="46" t="s">
        <v>154</v>
      </c>
      <c r="O7" s="46" t="s">
        <v>146</v>
      </c>
      <c r="P7" s="46" t="s">
        <v>155</v>
      </c>
      <c r="Q7" s="46" t="str">
        <f t="shared" si="1"/>
        <v>March, 2015</v>
      </c>
      <c r="R7" s="115">
        <f t="shared" si="2"/>
        <v>42064</v>
      </c>
      <c r="S7" s="49">
        <f t="array" ref="S7">WEEKDAY(D7,2)</f>
        <v>7</v>
      </c>
      <c r="T7" s="46" t="s">
        <v>96</v>
      </c>
      <c r="U7" s="46" t="str">
        <f t="array" ref="U7">TEXT(D7,"dddd")</f>
        <v>Sunday</v>
      </c>
    </row>
    <row r="8" hidden="1">
      <c r="A8" s="46">
        <v>1.03499639E8</v>
      </c>
      <c r="B8" s="137" t="s">
        <v>223</v>
      </c>
      <c r="C8" s="137">
        <v>2013.0</v>
      </c>
      <c r="D8" s="138">
        <v>41384.0</v>
      </c>
      <c r="E8" s="139">
        <v>41431.0</v>
      </c>
      <c r="F8" s="142" t="s">
        <v>220</v>
      </c>
      <c r="G8" s="142">
        <v>2013.0</v>
      </c>
      <c r="H8" s="46">
        <v>4594.0</v>
      </c>
      <c r="I8" s="46">
        <v>6698.0</v>
      </c>
      <c r="J8" s="84">
        <v>62492.340000000004</v>
      </c>
      <c r="K8" s="84">
        <v>46350.159999999996</v>
      </c>
      <c r="L8" s="84">
        <v>16142.180000000008</v>
      </c>
      <c r="M8" s="46" t="s">
        <v>156</v>
      </c>
      <c r="N8" s="46" t="s">
        <v>157</v>
      </c>
      <c r="O8" s="46" t="s">
        <v>146</v>
      </c>
      <c r="P8" s="46" t="s">
        <v>158</v>
      </c>
      <c r="Q8" s="46" t="str">
        <f t="shared" si="1"/>
        <v>April, 2013</v>
      </c>
      <c r="R8" s="115">
        <f t="shared" si="2"/>
        <v>41365</v>
      </c>
      <c r="S8" s="49">
        <f t="array" ref="S8">WEEKDAY(D8,2)</f>
        <v>6</v>
      </c>
      <c r="T8" s="46" t="s">
        <v>97</v>
      </c>
      <c r="U8" s="46" t="str">
        <f t="array" ref="U8">TEXT(D8,"dddd")</f>
        <v>Saturday</v>
      </c>
    </row>
    <row r="9" hidden="1">
      <c r="A9" s="46">
        <v>1.0376228E8</v>
      </c>
      <c r="B9" s="137" t="s">
        <v>224</v>
      </c>
      <c r="C9" s="137">
        <v>2011.0</v>
      </c>
      <c r="D9" s="138">
        <v>40859.0</v>
      </c>
      <c r="E9" s="139">
        <v>40891.0</v>
      </c>
      <c r="F9" s="142" t="s">
        <v>225</v>
      </c>
      <c r="G9" s="142">
        <v>2011.0</v>
      </c>
      <c r="H9" s="46">
        <v>5988.0</v>
      </c>
      <c r="I9" s="46">
        <v>4419.0</v>
      </c>
      <c r="J9" s="84">
        <v>680791.14</v>
      </c>
      <c r="K9" s="84">
        <v>401819.67000000004</v>
      </c>
      <c r="L9" s="84">
        <v>278971.47</v>
      </c>
      <c r="M9" s="46" t="s">
        <v>159</v>
      </c>
      <c r="N9" s="46" t="s">
        <v>160</v>
      </c>
      <c r="O9" s="46" t="s">
        <v>146</v>
      </c>
      <c r="P9" s="46" t="s">
        <v>147</v>
      </c>
      <c r="Q9" s="46" t="str">
        <f t="shared" si="1"/>
        <v>November, 2011</v>
      </c>
      <c r="R9" s="115">
        <f t="shared" si="2"/>
        <v>40848</v>
      </c>
      <c r="S9" s="49">
        <f t="array" ref="S9">WEEKDAY(D9,2)</f>
        <v>6</v>
      </c>
      <c r="T9" s="46" t="s">
        <v>98</v>
      </c>
      <c r="U9" s="46" t="str">
        <f t="array" ref="U9">TEXT(D9,"dddd")</f>
        <v>Saturday</v>
      </c>
    </row>
    <row r="10" hidden="1">
      <c r="A10" s="46">
        <v>1.03832662E8</v>
      </c>
      <c r="B10" s="137" t="s">
        <v>221</v>
      </c>
      <c r="C10" s="137">
        <v>2012.0</v>
      </c>
      <c r="D10" s="138">
        <v>41171.0</v>
      </c>
      <c r="E10" s="139">
        <v>41202.0</v>
      </c>
      <c r="F10" s="142" t="s">
        <v>226</v>
      </c>
      <c r="G10" s="142">
        <v>2012.0</v>
      </c>
      <c r="H10" s="46">
        <v>7331.0</v>
      </c>
      <c r="I10" s="46">
        <v>5247.0</v>
      </c>
      <c r="J10" s="84">
        <v>1339454.16</v>
      </c>
      <c r="K10" s="84">
        <v>836476.74</v>
      </c>
      <c r="L10" s="84">
        <v>502977.4199999999</v>
      </c>
      <c r="M10" s="46" t="s">
        <v>161</v>
      </c>
      <c r="N10" s="46" t="s">
        <v>162</v>
      </c>
      <c r="O10" s="46" t="s">
        <v>146</v>
      </c>
      <c r="P10" s="46" t="s">
        <v>147</v>
      </c>
      <c r="Q10" s="46" t="str">
        <f t="shared" si="1"/>
        <v>September, 2012</v>
      </c>
      <c r="R10" s="115">
        <f t="shared" si="2"/>
        <v>41153</v>
      </c>
      <c r="S10" s="49">
        <f t="array" ref="S10">WEEKDAY(D10,2)</f>
        <v>3</v>
      </c>
      <c r="T10" s="46" t="s">
        <v>99</v>
      </c>
      <c r="U10" s="46" t="str">
        <f t="array" ref="U10">TEXT(D10,"dddd")</f>
        <v>Wednesday</v>
      </c>
    </row>
    <row r="11" hidden="1">
      <c r="A11" s="46">
        <v>1.04008615E8</v>
      </c>
      <c r="B11" s="137" t="s">
        <v>227</v>
      </c>
      <c r="C11" s="137">
        <v>2011.0</v>
      </c>
      <c r="D11" s="138">
        <v>40566.0</v>
      </c>
      <c r="E11" s="139">
        <v>40596.0</v>
      </c>
      <c r="F11" s="142" t="s">
        <v>228</v>
      </c>
      <c r="G11" s="142">
        <v>2011.0</v>
      </c>
      <c r="H11" s="46">
        <v>2103.0</v>
      </c>
      <c r="I11" s="46">
        <v>7315.0</v>
      </c>
      <c r="J11" s="84">
        <v>1504695.5</v>
      </c>
      <c r="K11" s="84">
        <v>856659.65</v>
      </c>
      <c r="L11" s="84">
        <v>648035.85</v>
      </c>
      <c r="M11" s="46" t="s">
        <v>144</v>
      </c>
      <c r="N11" s="46" t="s">
        <v>163</v>
      </c>
      <c r="O11" s="46" t="s">
        <v>146</v>
      </c>
      <c r="P11" s="46" t="s">
        <v>158</v>
      </c>
      <c r="Q11" s="46" t="str">
        <f t="shared" si="1"/>
        <v>January, 2011</v>
      </c>
      <c r="R11" s="115">
        <f t="shared" si="2"/>
        <v>40544</v>
      </c>
      <c r="S11" s="49">
        <f t="array" ref="S11">WEEKDAY(D11,2)</f>
        <v>7</v>
      </c>
      <c r="T11" s="46" t="s">
        <v>100</v>
      </c>
      <c r="U11" s="46" t="str">
        <f t="array" ref="U11">TEXT(D11,"dddd")</f>
        <v>Sunday</v>
      </c>
    </row>
    <row r="12" hidden="1">
      <c r="A12" s="46">
        <v>1.04165685E8</v>
      </c>
      <c r="B12" s="137" t="s">
        <v>228</v>
      </c>
      <c r="C12" s="137">
        <v>2012.0</v>
      </c>
      <c r="D12" s="138">
        <v>40958.0</v>
      </c>
      <c r="E12" s="139">
        <v>40974.0</v>
      </c>
      <c r="F12" s="142" t="s">
        <v>222</v>
      </c>
      <c r="G12" s="142">
        <v>2012.0</v>
      </c>
      <c r="H12" s="46">
        <v>7940.0</v>
      </c>
      <c r="I12" s="46">
        <v>3796.0</v>
      </c>
      <c r="J12" s="84">
        <v>2536752.92</v>
      </c>
      <c r="K12" s="84">
        <v>1907641.84</v>
      </c>
      <c r="L12" s="84">
        <v>629111.0799999998</v>
      </c>
      <c r="M12" s="46" t="s">
        <v>148</v>
      </c>
      <c r="N12" s="46" t="s">
        <v>164</v>
      </c>
      <c r="O12" s="46" t="s">
        <v>165</v>
      </c>
      <c r="P12" s="46" t="s">
        <v>166</v>
      </c>
      <c r="Q12" s="46" t="str">
        <f t="shared" si="1"/>
        <v>February, 2012</v>
      </c>
      <c r="R12" s="115">
        <f t="shared" si="2"/>
        <v>40940</v>
      </c>
      <c r="S12" s="49">
        <f t="array" ref="S12">WEEKDAY(D12,2)</f>
        <v>7</v>
      </c>
      <c r="T12" s="46" t="s">
        <v>101</v>
      </c>
      <c r="U12" s="46" t="str">
        <f t="array" ref="U12">TEXT(D12,"dddd")</f>
        <v>Sunday</v>
      </c>
    </row>
    <row r="13" hidden="1">
      <c r="A13" s="46">
        <v>1.04190576E8</v>
      </c>
      <c r="B13" s="137" t="s">
        <v>228</v>
      </c>
      <c r="C13" s="137">
        <v>2017.0</v>
      </c>
      <c r="D13" s="138">
        <v>42788.0</v>
      </c>
      <c r="E13" s="139">
        <v>42806.0</v>
      </c>
      <c r="F13" s="142" t="s">
        <v>222</v>
      </c>
      <c r="G13" s="142">
        <v>2017.0</v>
      </c>
      <c r="H13" s="46">
        <v>8875.0</v>
      </c>
      <c r="I13" s="46">
        <v>1162.0</v>
      </c>
      <c r="J13" s="84">
        <v>490236.18</v>
      </c>
      <c r="K13" s="84">
        <v>423769.77999999997</v>
      </c>
      <c r="L13" s="84">
        <v>66466.40000000002</v>
      </c>
      <c r="M13" s="46" t="s">
        <v>167</v>
      </c>
      <c r="N13" s="46" t="s">
        <v>168</v>
      </c>
      <c r="O13" s="46" t="s">
        <v>165</v>
      </c>
      <c r="P13" s="46" t="s">
        <v>166</v>
      </c>
      <c r="Q13" s="46" t="str">
        <f t="shared" si="1"/>
        <v>February, 2017</v>
      </c>
      <c r="R13" s="115">
        <f t="shared" si="2"/>
        <v>42767</v>
      </c>
      <c r="S13" s="49">
        <f t="array" ref="S13">WEEKDAY(D13,2)</f>
        <v>3</v>
      </c>
      <c r="T13" s="46" t="s">
        <v>102</v>
      </c>
      <c r="U13" s="46" t="str">
        <f t="array" ref="U13">TEXT(D13,"dddd")</f>
        <v>Wednesday</v>
      </c>
    </row>
    <row r="14" hidden="1">
      <c r="A14" s="46">
        <v>1.04245078E8</v>
      </c>
      <c r="B14" s="137" t="s">
        <v>222</v>
      </c>
      <c r="C14" s="137">
        <v>2013.0</v>
      </c>
      <c r="D14" s="138">
        <v>41360.0</v>
      </c>
      <c r="E14" s="139">
        <v>41385.0</v>
      </c>
      <c r="F14" s="142" t="s">
        <v>223</v>
      </c>
      <c r="G14" s="142">
        <v>2013.0</v>
      </c>
      <c r="H14" s="46">
        <v>4594.0</v>
      </c>
      <c r="I14" s="46">
        <v>7290.0</v>
      </c>
      <c r="J14" s="84">
        <v>68015.7</v>
      </c>
      <c r="K14" s="84">
        <v>50446.8</v>
      </c>
      <c r="L14" s="84">
        <v>17568.899999999994</v>
      </c>
      <c r="M14" s="46" t="s">
        <v>156</v>
      </c>
      <c r="N14" s="46" t="s">
        <v>169</v>
      </c>
      <c r="O14" s="46" t="s">
        <v>146</v>
      </c>
      <c r="P14" s="46" t="s">
        <v>170</v>
      </c>
      <c r="Q14" s="46" t="str">
        <f t="shared" si="1"/>
        <v>March, 2013</v>
      </c>
      <c r="R14" s="115">
        <f t="shared" si="2"/>
        <v>41334</v>
      </c>
      <c r="S14" s="49">
        <f t="array" ref="S14">WEEKDAY(D14,2)</f>
        <v>3</v>
      </c>
      <c r="T14" s="46" t="s">
        <v>103</v>
      </c>
      <c r="U14" s="46" t="str">
        <f t="array" ref="U14">TEXT(D14,"dddd")</f>
        <v>Wednesday</v>
      </c>
    </row>
    <row r="15">
      <c r="A15" s="46">
        <v>1.0454849E8</v>
      </c>
      <c r="B15" s="137" t="s">
        <v>227</v>
      </c>
      <c r="C15" s="137">
        <v>2014.0</v>
      </c>
      <c r="D15" s="138">
        <v>41640.0</v>
      </c>
      <c r="E15" s="139">
        <v>41644.0</v>
      </c>
      <c r="F15" s="142" t="s">
        <v>227</v>
      </c>
      <c r="G15" s="142">
        <v>2014.0</v>
      </c>
      <c r="H15" s="46">
        <v>7331.0</v>
      </c>
      <c r="I15" s="46">
        <v>7076.0</v>
      </c>
      <c r="J15" s="84">
        <v>1806361.28</v>
      </c>
      <c r="K15" s="84">
        <v>1128055.92</v>
      </c>
      <c r="L15" s="84">
        <v>678305.3600000001</v>
      </c>
      <c r="M15" s="46" t="s">
        <v>161</v>
      </c>
      <c r="N15" s="46" t="s">
        <v>149</v>
      </c>
      <c r="O15" s="46" t="s">
        <v>149</v>
      </c>
      <c r="P15" s="46" t="s">
        <v>218</v>
      </c>
      <c r="Q15" s="46" t="str">
        <f t="shared" si="1"/>
        <v>January, 2014</v>
      </c>
      <c r="R15" s="115">
        <f t="shared" si="2"/>
        <v>41640</v>
      </c>
      <c r="S15" s="49">
        <f t="array" ref="S15">WEEKDAY(D15,2)</f>
        <v>3</v>
      </c>
      <c r="T15" s="46" t="s">
        <v>92</v>
      </c>
      <c r="U15" s="46" t="str">
        <f t="array" ref="U15">TEXT(D15,"dddd")</f>
        <v>Wednesday</v>
      </c>
    </row>
    <row r="16" hidden="1">
      <c r="A16" s="46">
        <v>1.0503E8</v>
      </c>
      <c r="B16" s="137" t="s">
        <v>220</v>
      </c>
      <c r="C16" s="137">
        <v>2016.0</v>
      </c>
      <c r="D16" s="138">
        <v>42523.0</v>
      </c>
      <c r="E16" s="139">
        <v>42534.0</v>
      </c>
      <c r="F16" s="142" t="s">
        <v>220</v>
      </c>
      <c r="G16" s="142">
        <v>2016.0</v>
      </c>
      <c r="H16" s="46">
        <v>2455.0</v>
      </c>
      <c r="I16" s="46">
        <v>9566.0</v>
      </c>
      <c r="J16" s="84">
        <v>1045372.48</v>
      </c>
      <c r="K16" s="84">
        <v>342845.44000000006</v>
      </c>
      <c r="L16" s="84">
        <v>702527.0399999999</v>
      </c>
      <c r="M16" s="46" t="s">
        <v>150</v>
      </c>
      <c r="N16" s="46" t="s">
        <v>171</v>
      </c>
      <c r="O16" s="46" t="s">
        <v>146</v>
      </c>
      <c r="P16" s="46" t="s">
        <v>147</v>
      </c>
      <c r="Q16" s="46" t="str">
        <f t="shared" si="1"/>
        <v>June, 2016</v>
      </c>
      <c r="R16" s="115">
        <f t="shared" si="2"/>
        <v>42522</v>
      </c>
      <c r="S16" s="49">
        <f t="array" ref="S16">WEEKDAY(D16,2)</f>
        <v>4</v>
      </c>
      <c r="T16" s="46" t="s">
        <v>104</v>
      </c>
      <c r="U16" s="46" t="str">
        <f t="array" ref="U16">TEXT(D16,"dddd")</f>
        <v>Thursday</v>
      </c>
    </row>
    <row r="17" hidden="1">
      <c r="A17" s="46">
        <v>1.07651269E8</v>
      </c>
      <c r="B17" s="137" t="s">
        <v>226</v>
      </c>
      <c r="C17" s="137">
        <v>2013.0</v>
      </c>
      <c r="D17" s="138">
        <v>41575.0</v>
      </c>
      <c r="E17" s="139">
        <v>41589.0</v>
      </c>
      <c r="F17" s="142" t="s">
        <v>224</v>
      </c>
      <c r="G17" s="142">
        <v>2013.0</v>
      </c>
      <c r="H17" s="46">
        <v>7940.0</v>
      </c>
      <c r="I17" s="46">
        <v>5258.0</v>
      </c>
      <c r="J17" s="84">
        <v>3513763.6599999997</v>
      </c>
      <c r="K17" s="84">
        <v>2642355.3200000003</v>
      </c>
      <c r="L17" s="84">
        <v>871408.3399999994</v>
      </c>
      <c r="M17" s="46" t="s">
        <v>148</v>
      </c>
      <c r="N17" s="46" t="s">
        <v>162</v>
      </c>
      <c r="O17" s="46" t="s">
        <v>146</v>
      </c>
      <c r="P17" s="46" t="s">
        <v>147</v>
      </c>
      <c r="Q17" s="46" t="str">
        <f t="shared" si="1"/>
        <v>October, 2013</v>
      </c>
      <c r="R17" s="115">
        <f t="shared" si="2"/>
        <v>41548</v>
      </c>
      <c r="S17" s="49">
        <f t="array" ref="S17">WEEKDAY(D17,2)</f>
        <v>1</v>
      </c>
      <c r="T17" s="46" t="s">
        <v>99</v>
      </c>
      <c r="U17" s="46" t="str">
        <f t="array" ref="U17">TEXT(D17,"dddd")</f>
        <v>Monday</v>
      </c>
    </row>
    <row r="18" hidden="1">
      <c r="A18" s="46">
        <v>1.08407437E8</v>
      </c>
      <c r="B18" s="137" t="s">
        <v>228</v>
      </c>
      <c r="C18" s="137">
        <v>2015.0</v>
      </c>
      <c r="D18" s="138">
        <v>42054.0</v>
      </c>
      <c r="E18" s="139">
        <v>42090.0</v>
      </c>
      <c r="F18" s="142" t="s">
        <v>222</v>
      </c>
      <c r="G18" s="142">
        <v>2015.0</v>
      </c>
      <c r="H18" s="46">
        <v>7331.0</v>
      </c>
      <c r="I18" s="46">
        <v>9025.0</v>
      </c>
      <c r="J18" s="84">
        <v>2303902.0</v>
      </c>
      <c r="K18" s="84">
        <v>1438765.5</v>
      </c>
      <c r="L18" s="84">
        <v>865136.5</v>
      </c>
      <c r="M18" s="46" t="s">
        <v>161</v>
      </c>
      <c r="N18" s="46" t="s">
        <v>172</v>
      </c>
      <c r="O18" s="46" t="s">
        <v>146</v>
      </c>
      <c r="P18" s="46" t="s">
        <v>155</v>
      </c>
      <c r="Q18" s="46" t="str">
        <f t="shared" si="1"/>
        <v>February, 2015</v>
      </c>
      <c r="R18" s="115">
        <f t="shared" si="2"/>
        <v>42036</v>
      </c>
      <c r="S18" s="49">
        <f t="array" ref="S18">WEEKDAY(D18,2)</f>
        <v>4</v>
      </c>
      <c r="T18" s="46" t="s">
        <v>105</v>
      </c>
      <c r="U18" s="46" t="str">
        <f t="array" ref="U18">TEXT(D18,"dddd")</f>
        <v>Thursday</v>
      </c>
    </row>
    <row r="19" hidden="1">
      <c r="A19" s="46">
        <v>1.09914195E8</v>
      </c>
      <c r="B19" s="137" t="s">
        <v>222</v>
      </c>
      <c r="C19" s="137">
        <v>2012.0</v>
      </c>
      <c r="D19" s="138">
        <v>40980.0</v>
      </c>
      <c r="E19" s="139">
        <v>41015.0</v>
      </c>
      <c r="F19" s="142" t="s">
        <v>223</v>
      </c>
      <c r="G19" s="142">
        <v>2012.0</v>
      </c>
      <c r="H19" s="46">
        <v>2455.0</v>
      </c>
      <c r="I19" s="46">
        <v>4908.0</v>
      </c>
      <c r="J19" s="84">
        <v>536346.24</v>
      </c>
      <c r="K19" s="84">
        <v>175902.72000000003</v>
      </c>
      <c r="L19" s="84">
        <v>360443.51999999996</v>
      </c>
      <c r="M19" s="46" t="s">
        <v>150</v>
      </c>
      <c r="N19" s="46" t="s">
        <v>173</v>
      </c>
      <c r="O19" s="46" t="s">
        <v>146</v>
      </c>
      <c r="P19" s="46" t="s">
        <v>155</v>
      </c>
      <c r="Q19" s="46" t="str">
        <f t="shared" si="1"/>
        <v>March, 2012</v>
      </c>
      <c r="R19" s="115">
        <f t="shared" si="2"/>
        <v>40969</v>
      </c>
      <c r="S19" s="49">
        <f t="array" ref="S19">WEEKDAY(D19,2)</f>
        <v>1</v>
      </c>
      <c r="T19" s="46" t="s">
        <v>106</v>
      </c>
      <c r="U19" s="46" t="str">
        <f t="array" ref="U19">TEXT(D19,"dddd")</f>
        <v>Monday</v>
      </c>
    </row>
    <row r="20" hidden="1">
      <c r="A20" s="46">
        <v>1.11063039E8</v>
      </c>
      <c r="B20" s="137" t="s">
        <v>219</v>
      </c>
      <c r="C20" s="137">
        <v>2012.0</v>
      </c>
      <c r="D20" s="138">
        <v>41055.0</v>
      </c>
      <c r="E20" s="139">
        <v>41103.0</v>
      </c>
      <c r="F20" s="142" t="s">
        <v>217</v>
      </c>
      <c r="G20" s="142">
        <v>2012.0</v>
      </c>
      <c r="H20" s="46">
        <v>7331.0</v>
      </c>
      <c r="I20" s="46">
        <v>4876.0</v>
      </c>
      <c r="J20" s="84">
        <v>1244745.28</v>
      </c>
      <c r="K20" s="84">
        <v>777331.9199999999</v>
      </c>
      <c r="L20" s="84">
        <v>467413.3600000001</v>
      </c>
      <c r="M20" s="46" t="s">
        <v>161</v>
      </c>
      <c r="N20" s="46" t="s">
        <v>174</v>
      </c>
      <c r="O20" s="46" t="s">
        <v>146</v>
      </c>
      <c r="P20" s="46" t="s">
        <v>158</v>
      </c>
      <c r="Q20" s="46" t="str">
        <f t="shared" si="1"/>
        <v>May, 2012</v>
      </c>
      <c r="R20" s="115">
        <f t="shared" si="2"/>
        <v>41030</v>
      </c>
      <c r="S20" s="49">
        <f t="array" ref="S20">WEEKDAY(D20,2)</f>
        <v>6</v>
      </c>
      <c r="T20" s="46" t="s">
        <v>107</v>
      </c>
      <c r="U20" s="46" t="str">
        <f t="array" ref="U20">TEXT(D20,"dddd")</f>
        <v>Saturday</v>
      </c>
    </row>
    <row r="21" hidden="1">
      <c r="A21" s="46">
        <v>1.11246287E8</v>
      </c>
      <c r="B21" s="137" t="s">
        <v>220</v>
      </c>
      <c r="C21" s="137">
        <v>2017.0</v>
      </c>
      <c r="D21" s="138">
        <v>42895.0</v>
      </c>
      <c r="E21" s="139">
        <v>42918.0</v>
      </c>
      <c r="F21" s="142" t="s">
        <v>217</v>
      </c>
      <c r="G21" s="142">
        <v>2017.0</v>
      </c>
      <c r="H21" s="46">
        <v>8875.0</v>
      </c>
      <c r="I21" s="46">
        <v>9103.0</v>
      </c>
      <c r="J21" s="84">
        <v>3840464.67</v>
      </c>
      <c r="K21" s="84">
        <v>3319773.07</v>
      </c>
      <c r="L21" s="84">
        <v>520691.6000000001</v>
      </c>
      <c r="M21" s="46" t="s">
        <v>167</v>
      </c>
      <c r="N21" s="46" t="s">
        <v>175</v>
      </c>
      <c r="O21" s="46" t="s">
        <v>165</v>
      </c>
      <c r="P21" s="46" t="s">
        <v>166</v>
      </c>
      <c r="Q21" s="46" t="str">
        <f t="shared" si="1"/>
        <v>June, 2017</v>
      </c>
      <c r="R21" s="115">
        <f t="shared" si="2"/>
        <v>42887</v>
      </c>
      <c r="S21" s="49">
        <f t="array" ref="S21">WEEKDAY(D21,2)</f>
        <v>5</v>
      </c>
      <c r="T21" s="46" t="s">
        <v>108</v>
      </c>
      <c r="U21" s="46" t="str">
        <f t="array" ref="U21">TEXT(D21,"dddd")</f>
        <v>Friday</v>
      </c>
    </row>
    <row r="22" hidden="1">
      <c r="A22" s="46">
        <v>1.11496055E8</v>
      </c>
      <c r="B22" s="137" t="s">
        <v>223</v>
      </c>
      <c r="C22" s="137">
        <v>2011.0</v>
      </c>
      <c r="D22" s="138">
        <v>40661.0</v>
      </c>
      <c r="E22" s="139">
        <v>40698.0</v>
      </c>
      <c r="F22" s="142" t="s">
        <v>220</v>
      </c>
      <c r="G22" s="142">
        <v>2011.0</v>
      </c>
      <c r="H22" s="46">
        <v>4594.0</v>
      </c>
      <c r="I22" s="46">
        <v>3015.0</v>
      </c>
      <c r="J22" s="84">
        <v>28129.95</v>
      </c>
      <c r="K22" s="84">
        <v>20863.8</v>
      </c>
      <c r="L22" s="84">
        <v>7266.1500000000015</v>
      </c>
      <c r="M22" s="46" t="s">
        <v>156</v>
      </c>
      <c r="N22" s="46" t="s">
        <v>176</v>
      </c>
      <c r="O22" s="46" t="s">
        <v>146</v>
      </c>
      <c r="P22" s="46" t="s">
        <v>158</v>
      </c>
      <c r="Q22" s="46" t="str">
        <f t="shared" si="1"/>
        <v>April, 2011</v>
      </c>
      <c r="R22" s="115">
        <f t="shared" si="2"/>
        <v>40634</v>
      </c>
      <c r="S22" s="49">
        <f t="array" ref="S22">WEEKDAY(D22,2)</f>
        <v>4</v>
      </c>
      <c r="T22" s="46" t="s">
        <v>109</v>
      </c>
      <c r="U22" s="46" t="str">
        <f t="array" ref="U22">TEXT(D22,"dddd")</f>
        <v>Thursday</v>
      </c>
    </row>
    <row r="23" hidden="1">
      <c r="A23" s="46">
        <v>1.11893022E8</v>
      </c>
      <c r="B23" s="137" t="s">
        <v>226</v>
      </c>
      <c r="C23" s="137">
        <v>2016.0</v>
      </c>
      <c r="D23" s="138">
        <v>42671.0</v>
      </c>
      <c r="E23" s="139">
        <v>42706.0</v>
      </c>
      <c r="F23" s="142" t="s">
        <v>225</v>
      </c>
      <c r="G23" s="142">
        <v>2016.0</v>
      </c>
      <c r="H23" s="46">
        <v>7331.0</v>
      </c>
      <c r="I23" s="46">
        <v>486.0</v>
      </c>
      <c r="J23" s="84">
        <v>124066.08</v>
      </c>
      <c r="K23" s="84">
        <v>77478.12</v>
      </c>
      <c r="L23" s="84">
        <v>46587.96000000001</v>
      </c>
      <c r="M23" s="46" t="s">
        <v>161</v>
      </c>
      <c r="N23" s="46" t="s">
        <v>171</v>
      </c>
      <c r="O23" s="46" t="s">
        <v>146</v>
      </c>
      <c r="P23" s="46" t="s">
        <v>147</v>
      </c>
      <c r="Q23" s="46" t="str">
        <f t="shared" si="1"/>
        <v>October, 2016</v>
      </c>
      <c r="R23" s="115">
        <f t="shared" si="2"/>
        <v>42644</v>
      </c>
      <c r="S23" s="49">
        <f t="array" ref="S23">WEEKDAY(D23,2)</f>
        <v>5</v>
      </c>
      <c r="T23" s="46" t="s">
        <v>104</v>
      </c>
      <c r="U23" s="46" t="str">
        <f t="array" ref="U23">TEXT(D23,"dddd")</f>
        <v>Friday</v>
      </c>
    </row>
    <row r="24" hidden="1">
      <c r="A24" s="46">
        <v>1.12330758E8</v>
      </c>
      <c r="B24" s="137" t="s">
        <v>225</v>
      </c>
      <c r="C24" s="137">
        <v>2016.0</v>
      </c>
      <c r="D24" s="138">
        <v>42719.0</v>
      </c>
      <c r="E24" s="139">
        <v>42746.0</v>
      </c>
      <c r="F24" s="142" t="s">
        <v>227</v>
      </c>
      <c r="G24" s="142">
        <v>2017.0</v>
      </c>
      <c r="H24" s="46">
        <v>8681.0</v>
      </c>
      <c r="I24" s="46">
        <v>22.0</v>
      </c>
      <c r="J24" s="84">
        <v>14326.62</v>
      </c>
      <c r="K24" s="84">
        <v>11549.12</v>
      </c>
      <c r="L24" s="84">
        <v>2777.5</v>
      </c>
      <c r="M24" s="46" t="s">
        <v>153</v>
      </c>
      <c r="N24" s="46" t="s">
        <v>177</v>
      </c>
      <c r="O24" s="46" t="s">
        <v>146</v>
      </c>
      <c r="P24" s="46" t="s">
        <v>170</v>
      </c>
      <c r="Q24" s="46" t="str">
        <f t="shared" si="1"/>
        <v>December, 2016</v>
      </c>
      <c r="R24" s="115">
        <f t="shared" si="2"/>
        <v>42705</v>
      </c>
      <c r="S24" s="49">
        <f t="array" ref="S24">WEEKDAY(D24,2)</f>
        <v>4</v>
      </c>
      <c r="T24" s="46" t="s">
        <v>110</v>
      </c>
      <c r="U24" s="46" t="str">
        <f t="array" ref="U24">TEXT(D24,"dddd")</f>
        <v>Thursday</v>
      </c>
    </row>
    <row r="25" hidden="1">
      <c r="A25" s="46">
        <v>1.13524663E8</v>
      </c>
      <c r="B25" s="137" t="s">
        <v>226</v>
      </c>
      <c r="C25" s="137">
        <v>2010.0</v>
      </c>
      <c r="D25" s="138">
        <v>40480.0</v>
      </c>
      <c r="E25" s="139">
        <v>40521.0</v>
      </c>
      <c r="F25" s="142" t="s">
        <v>225</v>
      </c>
      <c r="G25" s="142">
        <v>2010.0</v>
      </c>
      <c r="H25" s="46">
        <v>8293.0</v>
      </c>
      <c r="I25" s="46">
        <v>3325.0</v>
      </c>
      <c r="J25" s="84">
        <v>1453690.0</v>
      </c>
      <c r="K25" s="84">
        <v>875572.25</v>
      </c>
      <c r="L25" s="84">
        <v>578117.75</v>
      </c>
      <c r="M25" s="46" t="s">
        <v>178</v>
      </c>
      <c r="N25" s="46" t="s">
        <v>179</v>
      </c>
      <c r="O25" s="46" t="s">
        <v>146</v>
      </c>
      <c r="P25" s="46" t="s">
        <v>155</v>
      </c>
      <c r="Q25" s="46" t="str">
        <f t="shared" si="1"/>
        <v>October, 2010</v>
      </c>
      <c r="R25" s="115">
        <f t="shared" si="2"/>
        <v>40452</v>
      </c>
      <c r="S25" s="49">
        <f t="array" ref="S25">WEEKDAY(D25,2)</f>
        <v>5</v>
      </c>
      <c r="T25" s="46" t="s">
        <v>111</v>
      </c>
      <c r="U25" s="46" t="str">
        <f t="array" ref="U25">TEXT(D25,"dddd")</f>
        <v>Friday</v>
      </c>
    </row>
    <row r="26" hidden="1">
      <c r="A26" s="46">
        <v>1.14954173E8</v>
      </c>
      <c r="B26" s="137" t="s">
        <v>228</v>
      </c>
      <c r="C26" s="137">
        <v>2010.0</v>
      </c>
      <c r="D26" s="138">
        <v>40212.0</v>
      </c>
      <c r="E26" s="139">
        <v>40220.0</v>
      </c>
      <c r="F26" s="142" t="s">
        <v>228</v>
      </c>
      <c r="G26" s="142">
        <v>2010.0</v>
      </c>
      <c r="H26" s="46">
        <v>4594.0</v>
      </c>
      <c r="I26" s="46">
        <v>6349.0</v>
      </c>
      <c r="J26" s="84">
        <v>59236.17</v>
      </c>
      <c r="K26" s="84">
        <v>43935.08</v>
      </c>
      <c r="L26" s="84">
        <v>15301.089999999997</v>
      </c>
      <c r="M26" s="46" t="s">
        <v>156</v>
      </c>
      <c r="N26" s="46" t="s">
        <v>180</v>
      </c>
      <c r="O26" s="46" t="s">
        <v>146</v>
      </c>
      <c r="P26" s="46" t="s">
        <v>147</v>
      </c>
      <c r="Q26" s="46" t="str">
        <f t="shared" si="1"/>
        <v>February, 2010</v>
      </c>
      <c r="R26" s="115">
        <f t="shared" si="2"/>
        <v>40210</v>
      </c>
      <c r="S26" s="49">
        <f t="array" ref="S26">WEEKDAY(D26,2)</f>
        <v>3</v>
      </c>
      <c r="T26" s="46" t="s">
        <v>112</v>
      </c>
      <c r="U26" s="46" t="str">
        <f t="array" ref="U26">TEXT(D26,"dddd")</f>
        <v>Wednesday</v>
      </c>
    </row>
    <row r="27" hidden="1">
      <c r="A27" s="46">
        <v>1.15363156E8</v>
      </c>
      <c r="B27" s="137" t="s">
        <v>225</v>
      </c>
      <c r="C27" s="137">
        <v>2015.0</v>
      </c>
      <c r="D27" s="138">
        <v>42342.0</v>
      </c>
      <c r="E27" s="139">
        <v>42379.0</v>
      </c>
      <c r="F27" s="142" t="s">
        <v>227</v>
      </c>
      <c r="G27" s="142">
        <v>2016.0</v>
      </c>
      <c r="H27" s="46">
        <v>8681.0</v>
      </c>
      <c r="I27" s="46">
        <v>7376.0</v>
      </c>
      <c r="J27" s="84">
        <v>4803324.96</v>
      </c>
      <c r="K27" s="84">
        <v>3872104.9600000004</v>
      </c>
      <c r="L27" s="84">
        <v>931219.9999999995</v>
      </c>
      <c r="M27" s="46" t="s">
        <v>153</v>
      </c>
      <c r="N27" s="46" t="s">
        <v>181</v>
      </c>
      <c r="O27" s="46" t="s">
        <v>146</v>
      </c>
      <c r="P27" s="46" t="s">
        <v>155</v>
      </c>
      <c r="Q27" s="46" t="str">
        <f t="shared" si="1"/>
        <v>December, 2015</v>
      </c>
      <c r="R27" s="115">
        <f t="shared" si="2"/>
        <v>42339</v>
      </c>
      <c r="S27" s="49">
        <f t="array" ref="S27">WEEKDAY(D27,2)</f>
        <v>5</v>
      </c>
      <c r="T27" s="46" t="s">
        <v>113</v>
      </c>
      <c r="U27" s="46" t="str">
        <f t="array" ref="U27">TEXT(D27,"dddd")</f>
        <v>Friday</v>
      </c>
    </row>
    <row r="28">
      <c r="A28" s="46">
        <v>1.17929494E8</v>
      </c>
      <c r="B28" s="137" t="s">
        <v>227</v>
      </c>
      <c r="C28" s="137">
        <v>2015.0</v>
      </c>
      <c r="D28" s="138">
        <v>42028.0</v>
      </c>
      <c r="E28" s="139">
        <v>42065.0</v>
      </c>
      <c r="F28" s="142" t="s">
        <v>222</v>
      </c>
      <c r="G28" s="142">
        <v>2015.0</v>
      </c>
      <c r="H28" s="46">
        <v>4594.0</v>
      </c>
      <c r="I28" s="46">
        <v>6813.0</v>
      </c>
      <c r="J28" s="84">
        <v>63565.29</v>
      </c>
      <c r="K28" s="84">
        <v>47145.96</v>
      </c>
      <c r="L28" s="84">
        <v>16419.33</v>
      </c>
      <c r="M28" s="46" t="s">
        <v>156</v>
      </c>
      <c r="N28" s="46" t="s">
        <v>149</v>
      </c>
      <c r="O28" s="46" t="s">
        <v>149</v>
      </c>
      <c r="P28" s="46" t="s">
        <v>218</v>
      </c>
      <c r="Q28" s="46" t="str">
        <f t="shared" si="1"/>
        <v>January, 2015</v>
      </c>
      <c r="R28" s="115">
        <f t="shared" si="2"/>
        <v>42005</v>
      </c>
      <c r="S28" s="49">
        <f t="array" ref="S28">WEEKDAY(D28,2)</f>
        <v>6</v>
      </c>
      <c r="T28" s="46" t="s">
        <v>92</v>
      </c>
      <c r="U28" s="46" t="str">
        <f t="array" ref="U28">TEXT(D28,"dddd")</f>
        <v>Saturday</v>
      </c>
    </row>
    <row r="29" hidden="1">
      <c r="A29" s="46">
        <v>1.18086564E8</v>
      </c>
      <c r="B29" s="137" t="s">
        <v>228</v>
      </c>
      <c r="C29" s="137">
        <v>2016.0</v>
      </c>
      <c r="D29" s="138">
        <v>42419.0</v>
      </c>
      <c r="E29" s="139">
        <v>42442.0</v>
      </c>
      <c r="F29" s="142" t="s">
        <v>222</v>
      </c>
      <c r="G29" s="142">
        <v>2016.0</v>
      </c>
      <c r="H29" s="46">
        <v>8969.0</v>
      </c>
      <c r="I29" s="46">
        <v>3293.0</v>
      </c>
      <c r="J29" s="84">
        <v>502445.94000000006</v>
      </c>
      <c r="K29" s="84">
        <v>320869.92</v>
      </c>
      <c r="L29" s="84">
        <v>181576.02000000008</v>
      </c>
      <c r="M29" s="46" t="s">
        <v>182</v>
      </c>
      <c r="N29" s="46" t="s">
        <v>183</v>
      </c>
      <c r="O29" s="46" t="s">
        <v>146</v>
      </c>
      <c r="P29" s="46" t="s">
        <v>170</v>
      </c>
      <c r="Q29" s="46" t="str">
        <f t="shared" si="1"/>
        <v>February, 2016</v>
      </c>
      <c r="R29" s="115">
        <f t="shared" si="2"/>
        <v>42401</v>
      </c>
      <c r="S29" s="49">
        <f t="array" ref="S29">WEEKDAY(D29,2)</f>
        <v>5</v>
      </c>
      <c r="T29" s="46" t="s">
        <v>90</v>
      </c>
      <c r="U29" s="46" t="str">
        <f t="array" ref="U29">TEXT(D29,"dddd")</f>
        <v>Friday</v>
      </c>
    </row>
    <row r="30" hidden="1">
      <c r="A30" s="46">
        <v>1.18659913E8</v>
      </c>
      <c r="B30" s="137" t="s">
        <v>216</v>
      </c>
      <c r="C30" s="137">
        <v>2014.0</v>
      </c>
      <c r="D30" s="138">
        <v>41853.0</v>
      </c>
      <c r="E30" s="139">
        <v>41868.0</v>
      </c>
      <c r="F30" s="142" t="s">
        <v>216</v>
      </c>
      <c r="G30" s="142">
        <v>2014.0</v>
      </c>
      <c r="H30" s="46">
        <v>2103.0</v>
      </c>
      <c r="I30" s="46">
        <v>2960.0</v>
      </c>
      <c r="J30" s="84">
        <v>608872.0</v>
      </c>
      <c r="K30" s="84">
        <v>346645.6</v>
      </c>
      <c r="L30" s="84">
        <v>262226.4</v>
      </c>
      <c r="M30" s="46" t="s">
        <v>144</v>
      </c>
      <c r="N30" s="46" t="s">
        <v>184</v>
      </c>
      <c r="O30" s="46" t="s">
        <v>146</v>
      </c>
      <c r="P30" s="46" t="s">
        <v>155</v>
      </c>
      <c r="Q30" s="46" t="str">
        <f t="shared" si="1"/>
        <v>August, 2014</v>
      </c>
      <c r="R30" s="115">
        <f t="shared" si="2"/>
        <v>41852</v>
      </c>
      <c r="S30" s="49">
        <f t="array" ref="S30">WEEKDAY(D30,2)</f>
        <v>6</v>
      </c>
      <c r="T30" s="46" t="s">
        <v>114</v>
      </c>
      <c r="U30" s="46" t="str">
        <f t="array" ref="U30">TEXT(D30,"dddd")</f>
        <v>Saturday</v>
      </c>
    </row>
    <row r="31">
      <c r="A31" s="46">
        <v>1.18859469E8</v>
      </c>
      <c r="B31" s="137" t="s">
        <v>220</v>
      </c>
      <c r="C31" s="137">
        <v>2011.0</v>
      </c>
      <c r="D31" s="138">
        <v>40696.0</v>
      </c>
      <c r="E31" s="139">
        <v>40725.0</v>
      </c>
      <c r="F31" s="142" t="s">
        <v>217</v>
      </c>
      <c r="G31" s="142">
        <v>2011.0</v>
      </c>
      <c r="H31" s="46">
        <v>8969.0</v>
      </c>
      <c r="I31" s="46">
        <v>2013.0</v>
      </c>
      <c r="J31" s="84">
        <v>307143.54000000004</v>
      </c>
      <c r="K31" s="84">
        <v>196146.72</v>
      </c>
      <c r="L31" s="84">
        <v>110996.82000000004</v>
      </c>
      <c r="M31" s="46" t="s">
        <v>182</v>
      </c>
      <c r="N31" s="46" t="s">
        <v>149</v>
      </c>
      <c r="O31" s="46" t="s">
        <v>149</v>
      </c>
      <c r="P31" s="46" t="s">
        <v>218</v>
      </c>
      <c r="Q31" s="46" t="str">
        <f t="shared" si="1"/>
        <v>June, 2011</v>
      </c>
      <c r="R31" s="115">
        <f t="shared" si="2"/>
        <v>40695</v>
      </c>
      <c r="S31" s="49">
        <f t="array" ref="S31">WEEKDAY(D31,2)</f>
        <v>4</v>
      </c>
      <c r="T31" s="46" t="s">
        <v>92</v>
      </c>
      <c r="U31" s="46" t="str">
        <f t="array" ref="U31">TEXT(D31,"dddd")</f>
        <v>Thursday</v>
      </c>
    </row>
    <row r="32" hidden="1">
      <c r="A32" s="46">
        <v>1.19935786E8</v>
      </c>
      <c r="B32" s="137" t="s">
        <v>227</v>
      </c>
      <c r="C32" s="137">
        <v>2015.0</v>
      </c>
      <c r="D32" s="138">
        <v>42018.0</v>
      </c>
      <c r="E32" s="139">
        <v>42031.0</v>
      </c>
      <c r="F32" s="142" t="s">
        <v>227</v>
      </c>
      <c r="G32" s="142">
        <v>2015.0</v>
      </c>
      <c r="H32" s="46">
        <v>3127.0</v>
      </c>
      <c r="I32" s="46">
        <v>519.0</v>
      </c>
      <c r="J32" s="84">
        <v>42417.87</v>
      </c>
      <c r="K32" s="84">
        <v>29411.73</v>
      </c>
      <c r="L32" s="84">
        <v>13006.140000000003</v>
      </c>
      <c r="M32" s="46" t="s">
        <v>185</v>
      </c>
      <c r="N32" s="46" t="s">
        <v>172</v>
      </c>
      <c r="O32" s="46" t="s">
        <v>146</v>
      </c>
      <c r="P32" s="46" t="s">
        <v>155</v>
      </c>
      <c r="Q32" s="46" t="str">
        <f t="shared" si="1"/>
        <v>January, 2015</v>
      </c>
      <c r="R32" s="115">
        <f t="shared" si="2"/>
        <v>42005</v>
      </c>
      <c r="S32" s="49">
        <f t="array" ref="S32">WEEKDAY(D32,2)</f>
        <v>3</v>
      </c>
      <c r="T32" s="46" t="s">
        <v>105</v>
      </c>
      <c r="U32" s="46" t="str">
        <f t="array" ref="U32">TEXT(D32,"dddd")</f>
        <v>Wednesday</v>
      </c>
    </row>
    <row r="33" hidden="1">
      <c r="A33" s="46">
        <v>1.20419871E8</v>
      </c>
      <c r="B33" s="137" t="s">
        <v>219</v>
      </c>
      <c r="C33" s="137">
        <v>2015.0</v>
      </c>
      <c r="D33" s="138">
        <v>42137.0</v>
      </c>
      <c r="E33" s="139">
        <v>42181.0</v>
      </c>
      <c r="F33" s="142" t="s">
        <v>220</v>
      </c>
      <c r="G33" s="142">
        <v>2015.0</v>
      </c>
      <c r="H33" s="46">
        <v>3127.0</v>
      </c>
      <c r="I33" s="46">
        <v>3771.0</v>
      </c>
      <c r="J33" s="84">
        <v>308203.83</v>
      </c>
      <c r="K33" s="84">
        <v>213702.57</v>
      </c>
      <c r="L33" s="84">
        <v>94501.26000000001</v>
      </c>
      <c r="M33" s="46" t="s">
        <v>185</v>
      </c>
      <c r="N33" s="46" t="s">
        <v>177</v>
      </c>
      <c r="O33" s="46" t="s">
        <v>146</v>
      </c>
      <c r="P33" s="46" t="s">
        <v>170</v>
      </c>
      <c r="Q33" s="46" t="str">
        <f t="shared" si="1"/>
        <v>May, 2015</v>
      </c>
      <c r="R33" s="115">
        <f t="shared" si="2"/>
        <v>42125</v>
      </c>
      <c r="S33" s="49">
        <f t="array" ref="S33">WEEKDAY(D33,2)</f>
        <v>3</v>
      </c>
      <c r="T33" s="46" t="s">
        <v>110</v>
      </c>
      <c r="U33" s="46" t="str">
        <f t="array" ref="U33">TEXT(D33,"dddd")</f>
        <v>Wednesday</v>
      </c>
    </row>
    <row r="34" hidden="1">
      <c r="A34" s="46">
        <v>1.20977771E8</v>
      </c>
      <c r="B34" s="137" t="s">
        <v>222</v>
      </c>
      <c r="C34" s="137">
        <v>2011.0</v>
      </c>
      <c r="D34" s="138">
        <v>40625.0</v>
      </c>
      <c r="E34" s="139">
        <v>40665.0</v>
      </c>
      <c r="F34" s="142" t="s">
        <v>219</v>
      </c>
      <c r="G34" s="142">
        <v>2011.0</v>
      </c>
      <c r="H34" s="46">
        <v>4594.0</v>
      </c>
      <c r="I34" s="46">
        <v>8866.0</v>
      </c>
      <c r="J34" s="84">
        <v>82719.78</v>
      </c>
      <c r="K34" s="84">
        <v>61352.72</v>
      </c>
      <c r="L34" s="84">
        <v>21367.059999999998</v>
      </c>
      <c r="M34" s="46" t="s">
        <v>156</v>
      </c>
      <c r="N34" s="46" t="s">
        <v>164</v>
      </c>
      <c r="O34" s="46" t="s">
        <v>165</v>
      </c>
      <c r="P34" s="46" t="s">
        <v>166</v>
      </c>
      <c r="Q34" s="46" t="str">
        <f t="shared" si="1"/>
        <v>March, 2011</v>
      </c>
      <c r="R34" s="115">
        <f t="shared" si="2"/>
        <v>40603</v>
      </c>
      <c r="S34" s="49">
        <f t="array" ref="S34">WEEKDAY(D34,2)</f>
        <v>3</v>
      </c>
      <c r="T34" s="46" t="s">
        <v>101</v>
      </c>
      <c r="U34" s="46" t="str">
        <f t="array" ref="U34">TEXT(D34,"dddd")</f>
        <v>Wednesday</v>
      </c>
    </row>
    <row r="35" hidden="1">
      <c r="A35" s="46">
        <v>1.21380746E8</v>
      </c>
      <c r="B35" s="137" t="s">
        <v>224</v>
      </c>
      <c r="C35" s="137">
        <v>2016.0</v>
      </c>
      <c r="D35" s="138">
        <v>42695.0</v>
      </c>
      <c r="E35" s="139">
        <v>42722.0</v>
      </c>
      <c r="F35" s="142" t="s">
        <v>225</v>
      </c>
      <c r="G35" s="142">
        <v>2016.0</v>
      </c>
      <c r="H35" s="46">
        <v>4594.0</v>
      </c>
      <c r="I35" s="46">
        <v>8115.0</v>
      </c>
      <c r="J35" s="84">
        <v>75712.95</v>
      </c>
      <c r="K35" s="84">
        <v>56155.8</v>
      </c>
      <c r="L35" s="84">
        <v>19557.149999999994</v>
      </c>
      <c r="M35" s="46" t="s">
        <v>156</v>
      </c>
      <c r="N35" s="46" t="s">
        <v>180</v>
      </c>
      <c r="O35" s="46" t="s">
        <v>146</v>
      </c>
      <c r="P35" s="46" t="s">
        <v>147</v>
      </c>
      <c r="Q35" s="46" t="str">
        <f t="shared" si="1"/>
        <v>November, 2016</v>
      </c>
      <c r="R35" s="115">
        <f t="shared" si="2"/>
        <v>42675</v>
      </c>
      <c r="S35" s="49">
        <f t="array" ref="S35">WEEKDAY(D35,2)</f>
        <v>1</v>
      </c>
      <c r="T35" s="46" t="s">
        <v>112</v>
      </c>
      <c r="U35" s="46" t="str">
        <f t="array" ref="U35">TEXT(D35,"dddd")</f>
        <v>Monday</v>
      </c>
    </row>
    <row r="36" hidden="1">
      <c r="A36" s="46">
        <v>1.21945512E8</v>
      </c>
      <c r="B36" s="137" t="s">
        <v>223</v>
      </c>
      <c r="C36" s="137">
        <v>2017.0</v>
      </c>
      <c r="D36" s="138">
        <v>42833.0</v>
      </c>
      <c r="E36" s="139">
        <v>42837.0</v>
      </c>
      <c r="F36" s="142" t="s">
        <v>223</v>
      </c>
      <c r="G36" s="142">
        <v>2017.0</v>
      </c>
      <c r="H36" s="46">
        <v>1270.0</v>
      </c>
      <c r="I36" s="46">
        <v>5242.0</v>
      </c>
      <c r="J36" s="84">
        <v>248732.90000000002</v>
      </c>
      <c r="K36" s="84">
        <v>166643.18</v>
      </c>
      <c r="L36" s="84">
        <v>82089.72000000003</v>
      </c>
      <c r="M36" s="46" t="s">
        <v>152</v>
      </c>
      <c r="N36" s="46" t="s">
        <v>169</v>
      </c>
      <c r="O36" s="46" t="s">
        <v>146</v>
      </c>
      <c r="P36" s="46" t="s">
        <v>170</v>
      </c>
      <c r="Q36" s="46" t="str">
        <f t="shared" si="1"/>
        <v>April, 2017</v>
      </c>
      <c r="R36" s="115">
        <f t="shared" si="2"/>
        <v>42826</v>
      </c>
      <c r="S36" s="49">
        <f t="array" ref="S36">WEEKDAY(D36,2)</f>
        <v>6</v>
      </c>
      <c r="T36" s="46" t="s">
        <v>103</v>
      </c>
      <c r="U36" s="46" t="str">
        <f t="array" ref="U36">TEXT(D36,"dddd")</f>
        <v>Saturday</v>
      </c>
    </row>
    <row r="37" hidden="1">
      <c r="A37" s="46">
        <v>1.2214421E8</v>
      </c>
      <c r="B37" s="137" t="s">
        <v>223</v>
      </c>
      <c r="C37" s="137">
        <v>2017.0</v>
      </c>
      <c r="D37" s="138">
        <v>42852.0</v>
      </c>
      <c r="E37" s="139">
        <v>42879.0</v>
      </c>
      <c r="F37" s="142" t="s">
        <v>219</v>
      </c>
      <c r="G37" s="142">
        <v>2017.0</v>
      </c>
      <c r="H37" s="46">
        <v>1270.0</v>
      </c>
      <c r="I37" s="46">
        <v>4041.0</v>
      </c>
      <c r="J37" s="84">
        <v>191745.45</v>
      </c>
      <c r="K37" s="84">
        <v>128463.39</v>
      </c>
      <c r="L37" s="84">
        <v>63282.06000000001</v>
      </c>
      <c r="M37" s="46" t="s">
        <v>152</v>
      </c>
      <c r="N37" s="46" t="s">
        <v>151</v>
      </c>
      <c r="O37" s="46" t="s">
        <v>146</v>
      </c>
      <c r="P37" s="46" t="s">
        <v>147</v>
      </c>
      <c r="Q37" s="46" t="str">
        <f t="shared" si="1"/>
        <v>April, 2017</v>
      </c>
      <c r="R37" s="115">
        <f t="shared" si="2"/>
        <v>42826</v>
      </c>
      <c r="S37" s="49">
        <f t="array" ref="S37">WEEKDAY(D37,2)</f>
        <v>4</v>
      </c>
      <c r="T37" s="46" t="s">
        <v>94</v>
      </c>
      <c r="U37" s="46" t="str">
        <f t="array" ref="U37">TEXT(D37,"dddd")</f>
        <v>Thursday</v>
      </c>
    </row>
    <row r="38" hidden="1">
      <c r="A38" s="46">
        <v>1.22372519E8</v>
      </c>
      <c r="B38" s="137" t="s">
        <v>227</v>
      </c>
      <c r="C38" s="137">
        <v>2016.0</v>
      </c>
      <c r="D38" s="138">
        <v>42379.0</v>
      </c>
      <c r="E38" s="139">
        <v>42382.0</v>
      </c>
      <c r="F38" s="142" t="s">
        <v>227</v>
      </c>
      <c r="G38" s="142">
        <v>2016.0</v>
      </c>
      <c r="H38" s="46">
        <v>1270.0</v>
      </c>
      <c r="I38" s="46">
        <v>1603.0</v>
      </c>
      <c r="J38" s="84">
        <v>76062.35</v>
      </c>
      <c r="K38" s="84">
        <v>50959.369999999995</v>
      </c>
      <c r="L38" s="84">
        <v>25102.98000000001</v>
      </c>
      <c r="M38" s="46" t="s">
        <v>152</v>
      </c>
      <c r="N38" s="46" t="s">
        <v>186</v>
      </c>
      <c r="O38" s="46" t="s">
        <v>146</v>
      </c>
      <c r="P38" s="46" t="s">
        <v>147</v>
      </c>
      <c r="Q38" s="46" t="str">
        <f t="shared" si="1"/>
        <v>January, 2016</v>
      </c>
      <c r="R38" s="115">
        <f t="shared" si="2"/>
        <v>42370</v>
      </c>
      <c r="S38" s="49">
        <f t="array" ref="S38">WEEKDAY(D38,2)</f>
        <v>7</v>
      </c>
      <c r="T38" s="46" t="s">
        <v>115</v>
      </c>
      <c r="U38" s="46" t="str">
        <f t="array" ref="U38">TEXT(D38,"dddd")</f>
        <v>Sunday</v>
      </c>
    </row>
    <row r="39" hidden="1">
      <c r="A39" s="46">
        <v>1.22967326E8</v>
      </c>
      <c r="B39" s="137" t="s">
        <v>222</v>
      </c>
      <c r="C39" s="137">
        <v>2017.0</v>
      </c>
      <c r="D39" s="138">
        <v>42818.0</v>
      </c>
      <c r="E39" s="139">
        <v>42850.0</v>
      </c>
      <c r="F39" s="142" t="s">
        <v>223</v>
      </c>
      <c r="G39" s="142">
        <v>2017.0</v>
      </c>
      <c r="H39" s="46">
        <v>1270.0</v>
      </c>
      <c r="I39" s="46">
        <v>7619.0</v>
      </c>
      <c r="J39" s="84">
        <v>361521.55000000005</v>
      </c>
      <c r="K39" s="84">
        <v>242208.00999999998</v>
      </c>
      <c r="L39" s="84">
        <v>119313.54000000007</v>
      </c>
      <c r="M39" s="46" t="s">
        <v>152</v>
      </c>
      <c r="N39" s="46" t="s">
        <v>187</v>
      </c>
      <c r="O39" s="46" t="s">
        <v>146</v>
      </c>
      <c r="P39" s="46" t="s">
        <v>155</v>
      </c>
      <c r="Q39" s="46" t="str">
        <f t="shared" si="1"/>
        <v>March, 2017</v>
      </c>
      <c r="R39" s="115">
        <f t="shared" si="2"/>
        <v>42795</v>
      </c>
      <c r="S39" s="49">
        <f t="array" ref="S39">WEEKDAY(D39,2)</f>
        <v>5</v>
      </c>
      <c r="T39" s="46" t="s">
        <v>116</v>
      </c>
      <c r="U39" s="46" t="str">
        <f t="array" ref="U39">TEXT(D39,"dddd")</f>
        <v>Friday</v>
      </c>
    </row>
    <row r="40" hidden="1">
      <c r="A40" s="46">
        <v>1.23086202E8</v>
      </c>
      <c r="B40" s="137" t="s">
        <v>227</v>
      </c>
      <c r="C40" s="137">
        <v>2014.0</v>
      </c>
      <c r="D40" s="138">
        <v>41641.0</v>
      </c>
      <c r="E40" s="139">
        <v>41690.0</v>
      </c>
      <c r="F40" s="142" t="s">
        <v>228</v>
      </c>
      <c r="G40" s="142">
        <v>2014.0</v>
      </c>
      <c r="H40" s="46">
        <v>7331.0</v>
      </c>
      <c r="I40" s="46">
        <v>2797.0</v>
      </c>
      <c r="J40" s="84">
        <v>714018.16</v>
      </c>
      <c r="K40" s="84">
        <v>445897.74</v>
      </c>
      <c r="L40" s="84">
        <v>268120.42000000004</v>
      </c>
      <c r="M40" s="46" t="s">
        <v>161</v>
      </c>
      <c r="N40" s="46" t="s">
        <v>188</v>
      </c>
      <c r="O40" s="46" t="s">
        <v>146</v>
      </c>
      <c r="P40" s="46" t="s">
        <v>170</v>
      </c>
      <c r="Q40" s="46" t="str">
        <f t="shared" si="1"/>
        <v>January, 2014</v>
      </c>
      <c r="R40" s="115">
        <f t="shared" si="2"/>
        <v>41640</v>
      </c>
      <c r="S40" s="49">
        <f t="array" ref="S40">WEEKDAY(D40,2)</f>
        <v>4</v>
      </c>
      <c r="T40" s="46" t="s">
        <v>117</v>
      </c>
      <c r="U40" s="46" t="str">
        <f t="array" ref="U40">TEXT(D40,"dddd")</f>
        <v>Thursday</v>
      </c>
    </row>
    <row r="41" hidden="1">
      <c r="A41" s="46">
        <v>1.23544108E8</v>
      </c>
      <c r="B41" s="137" t="s">
        <v>219</v>
      </c>
      <c r="C41" s="137">
        <v>2010.0</v>
      </c>
      <c r="D41" s="138">
        <v>40311.0</v>
      </c>
      <c r="E41" s="139">
        <v>40351.0</v>
      </c>
      <c r="F41" s="142" t="s">
        <v>220</v>
      </c>
      <c r="G41" s="142">
        <v>2010.0</v>
      </c>
      <c r="H41" s="46">
        <v>2103.0</v>
      </c>
      <c r="I41" s="46">
        <v>8302.0</v>
      </c>
      <c r="J41" s="84">
        <v>1707721.4</v>
      </c>
      <c r="K41" s="84">
        <v>972247.22</v>
      </c>
      <c r="L41" s="84">
        <v>735474.1799999999</v>
      </c>
      <c r="M41" s="46" t="s">
        <v>144</v>
      </c>
      <c r="N41" s="46" t="s">
        <v>189</v>
      </c>
      <c r="O41" s="46" t="s">
        <v>146</v>
      </c>
      <c r="P41" s="46" t="s">
        <v>158</v>
      </c>
      <c r="Q41" s="46" t="str">
        <f t="shared" si="1"/>
        <v>May, 2010</v>
      </c>
      <c r="R41" s="115">
        <f t="shared" si="2"/>
        <v>40299</v>
      </c>
      <c r="S41" s="49">
        <f t="array" ref="S41">WEEKDAY(D41,2)</f>
        <v>4</v>
      </c>
      <c r="T41" s="46" t="s">
        <v>118</v>
      </c>
      <c r="U41" s="46" t="str">
        <f t="array" ref="U41">TEXT(D41,"dddd")</f>
        <v>Thursday</v>
      </c>
    </row>
    <row r="42" hidden="1">
      <c r="A42" s="46">
        <v>1.2393893E8</v>
      </c>
      <c r="B42" s="137" t="s">
        <v>217</v>
      </c>
      <c r="C42" s="137">
        <v>2012.0</v>
      </c>
      <c r="D42" s="138">
        <v>41114.0</v>
      </c>
      <c r="E42" s="139">
        <v>41123.0</v>
      </c>
      <c r="F42" s="142" t="s">
        <v>216</v>
      </c>
      <c r="G42" s="142">
        <v>2012.0</v>
      </c>
      <c r="H42" s="46">
        <v>1270.0</v>
      </c>
      <c r="I42" s="46">
        <v>5138.0</v>
      </c>
      <c r="J42" s="84">
        <v>243798.1</v>
      </c>
      <c r="K42" s="84">
        <v>163337.02</v>
      </c>
      <c r="L42" s="84">
        <v>80461.08000000002</v>
      </c>
      <c r="M42" s="46" t="s">
        <v>152</v>
      </c>
      <c r="N42" s="46" t="s">
        <v>187</v>
      </c>
      <c r="O42" s="46" t="s">
        <v>146</v>
      </c>
      <c r="P42" s="46" t="s">
        <v>155</v>
      </c>
      <c r="Q42" s="46" t="str">
        <f t="shared" si="1"/>
        <v>July, 2012</v>
      </c>
      <c r="R42" s="115">
        <f t="shared" si="2"/>
        <v>41091</v>
      </c>
      <c r="S42" s="49">
        <f t="array" ref="S42">WEEKDAY(D42,2)</f>
        <v>2</v>
      </c>
      <c r="T42" s="46" t="s">
        <v>116</v>
      </c>
      <c r="U42" s="46" t="str">
        <f t="array" ref="U42">TEXT(D42,"dddd")</f>
        <v>Tuesday</v>
      </c>
    </row>
    <row r="43" hidden="1">
      <c r="A43" s="46">
        <v>1.25339686E8</v>
      </c>
      <c r="B43" s="137" t="s">
        <v>217</v>
      </c>
      <c r="C43" s="137">
        <v>2017.0</v>
      </c>
      <c r="D43" s="138">
        <v>42927.0</v>
      </c>
      <c r="E43" s="139">
        <v>42940.0</v>
      </c>
      <c r="F43" s="142" t="s">
        <v>217</v>
      </c>
      <c r="G43" s="142">
        <v>2017.0</v>
      </c>
      <c r="H43" s="46">
        <v>8969.0</v>
      </c>
      <c r="I43" s="46">
        <v>9653.0</v>
      </c>
      <c r="J43" s="84">
        <v>1472854.7400000002</v>
      </c>
      <c r="K43" s="84">
        <v>940588.32</v>
      </c>
      <c r="L43" s="84">
        <v>532266.4200000003</v>
      </c>
      <c r="M43" s="46" t="s">
        <v>182</v>
      </c>
      <c r="N43" s="46" t="s">
        <v>190</v>
      </c>
      <c r="O43" s="46" t="s">
        <v>146</v>
      </c>
      <c r="P43" s="46" t="s">
        <v>147</v>
      </c>
      <c r="Q43" s="46" t="str">
        <f t="shared" si="1"/>
        <v>July, 2017</v>
      </c>
      <c r="R43" s="115">
        <f t="shared" si="2"/>
        <v>42917</v>
      </c>
      <c r="S43" s="49">
        <f t="array" ref="S43">WEEKDAY(D43,2)</f>
        <v>2</v>
      </c>
      <c r="T43" s="46" t="s">
        <v>119</v>
      </c>
      <c r="U43" s="46" t="str">
        <f t="array" ref="U43">TEXT(D43,"dddd")</f>
        <v>Tuesday</v>
      </c>
    </row>
    <row r="44" hidden="1">
      <c r="A44" s="46">
        <v>1.25349128E8</v>
      </c>
      <c r="B44" s="137" t="s">
        <v>219</v>
      </c>
      <c r="C44" s="137">
        <v>2012.0</v>
      </c>
      <c r="D44" s="138">
        <v>41047.0</v>
      </c>
      <c r="E44" s="139">
        <v>41066.0</v>
      </c>
      <c r="F44" s="142" t="s">
        <v>220</v>
      </c>
      <c r="G44" s="142">
        <v>2012.0</v>
      </c>
      <c r="H44" s="46">
        <v>2103.0</v>
      </c>
      <c r="I44" s="46">
        <v>2447.0</v>
      </c>
      <c r="J44" s="84">
        <v>503347.89999999997</v>
      </c>
      <c r="K44" s="84">
        <v>286568.17</v>
      </c>
      <c r="L44" s="84">
        <v>216779.72999999998</v>
      </c>
      <c r="M44" s="46" t="s">
        <v>144</v>
      </c>
      <c r="N44" s="46" t="s">
        <v>191</v>
      </c>
      <c r="O44" s="46" t="s">
        <v>146</v>
      </c>
      <c r="P44" s="46" t="s">
        <v>147</v>
      </c>
      <c r="Q44" s="46" t="str">
        <f t="shared" si="1"/>
        <v>May, 2012</v>
      </c>
      <c r="R44" s="115">
        <f t="shared" si="2"/>
        <v>41030</v>
      </c>
      <c r="S44" s="49">
        <f t="array" ref="S44">WEEKDAY(D44,2)</f>
        <v>5</v>
      </c>
      <c r="T44" s="46" t="s">
        <v>120</v>
      </c>
      <c r="U44" s="46" t="str">
        <f t="array" ref="U44">TEXT(D44,"dddd")</f>
        <v>Friday</v>
      </c>
    </row>
    <row r="45">
      <c r="A45" s="46">
        <v>1.26948583E8</v>
      </c>
      <c r="B45" s="137" t="s">
        <v>219</v>
      </c>
      <c r="C45" s="137">
        <v>2017.0</v>
      </c>
      <c r="D45" s="138">
        <v>42879.0</v>
      </c>
      <c r="E45" s="139">
        <v>42925.0</v>
      </c>
      <c r="F45" s="142" t="s">
        <v>217</v>
      </c>
      <c r="G45" s="142">
        <v>2017.0</v>
      </c>
      <c r="H45" s="46">
        <v>7331.0</v>
      </c>
      <c r="I45" s="46">
        <v>5762.0</v>
      </c>
      <c r="J45" s="84">
        <v>1470923.36</v>
      </c>
      <c r="K45" s="84">
        <v>918578.0399999999</v>
      </c>
      <c r="L45" s="84">
        <v>552345.3200000002</v>
      </c>
      <c r="M45" s="46" t="s">
        <v>161</v>
      </c>
      <c r="N45" s="46" t="s">
        <v>149</v>
      </c>
      <c r="O45" s="46" t="s">
        <v>149</v>
      </c>
      <c r="P45" s="46" t="s">
        <v>218</v>
      </c>
      <c r="Q45" s="46" t="str">
        <f t="shared" si="1"/>
        <v>May, 2017</v>
      </c>
      <c r="R45" s="115">
        <f t="shared" si="2"/>
        <v>42856</v>
      </c>
      <c r="S45" s="49">
        <f t="array" ref="S45">WEEKDAY(D45,2)</f>
        <v>3</v>
      </c>
      <c r="T45" s="46" t="s">
        <v>92</v>
      </c>
      <c r="U45" s="46" t="str">
        <f t="array" ref="U45">TEXT(D45,"dddd")</f>
        <v>Wednesday</v>
      </c>
    </row>
    <row r="46" hidden="1">
      <c r="A46" s="46">
        <v>1.27694451E8</v>
      </c>
      <c r="B46" s="137" t="s">
        <v>225</v>
      </c>
      <c r="C46" s="137">
        <v>2011.0</v>
      </c>
      <c r="D46" s="138">
        <v>40884.0</v>
      </c>
      <c r="E46" s="139">
        <v>40904.0</v>
      </c>
      <c r="F46" s="142" t="s">
        <v>225</v>
      </c>
      <c r="G46" s="142">
        <v>2011.0</v>
      </c>
      <c r="H46" s="46">
        <v>5988.0</v>
      </c>
      <c r="I46" s="46">
        <v>6481.0</v>
      </c>
      <c r="J46" s="84">
        <v>998462.86</v>
      </c>
      <c r="K46" s="84">
        <v>589317.3300000001</v>
      </c>
      <c r="L46" s="84">
        <v>409145.5299999999</v>
      </c>
      <c r="M46" s="46" t="s">
        <v>159</v>
      </c>
      <c r="N46" s="46" t="s">
        <v>188</v>
      </c>
      <c r="O46" s="46" t="s">
        <v>146</v>
      </c>
      <c r="P46" s="46" t="s">
        <v>170</v>
      </c>
      <c r="Q46" s="46" t="str">
        <f t="shared" si="1"/>
        <v>December, 2011</v>
      </c>
      <c r="R46" s="115">
        <f t="shared" si="2"/>
        <v>40878</v>
      </c>
      <c r="S46" s="49">
        <f t="array" ref="S46">WEEKDAY(D46,2)</f>
        <v>3</v>
      </c>
      <c r="T46" s="46" t="s">
        <v>117</v>
      </c>
      <c r="U46" s="46" t="str">
        <f t="array" ref="U46">TEXT(D46,"dddd")</f>
        <v>Wednesday</v>
      </c>
    </row>
    <row r="47" hidden="1">
      <c r="A47" s="46">
        <v>1.27838218E8</v>
      </c>
      <c r="B47" s="137" t="s">
        <v>221</v>
      </c>
      <c r="C47" s="137">
        <v>2013.0</v>
      </c>
      <c r="D47" s="138">
        <v>41537.0</v>
      </c>
      <c r="E47" s="139">
        <v>41576.0</v>
      </c>
      <c r="F47" s="142" t="s">
        <v>226</v>
      </c>
      <c r="G47" s="142">
        <v>2013.0</v>
      </c>
      <c r="H47" s="46">
        <v>4594.0</v>
      </c>
      <c r="I47" s="46">
        <v>9024.0</v>
      </c>
      <c r="J47" s="84">
        <v>84193.92</v>
      </c>
      <c r="K47" s="84">
        <v>62446.08</v>
      </c>
      <c r="L47" s="84">
        <v>21747.839999999997</v>
      </c>
      <c r="M47" s="46" t="s">
        <v>156</v>
      </c>
      <c r="N47" s="46" t="s">
        <v>192</v>
      </c>
      <c r="O47" s="46" t="s">
        <v>146</v>
      </c>
      <c r="P47" s="46" t="s">
        <v>158</v>
      </c>
      <c r="Q47" s="46" t="str">
        <f t="shared" si="1"/>
        <v>September, 2013</v>
      </c>
      <c r="R47" s="115">
        <f t="shared" si="2"/>
        <v>41518</v>
      </c>
      <c r="S47" s="49">
        <f t="array" ref="S47">WEEKDAY(D47,2)</f>
        <v>5</v>
      </c>
      <c r="T47" s="46" t="s">
        <v>121</v>
      </c>
      <c r="U47" s="46" t="str">
        <f t="array" ref="U47">TEXT(D47,"dddd")</f>
        <v>Friday</v>
      </c>
    </row>
    <row r="48" hidden="1">
      <c r="A48" s="46">
        <v>1.28003442E8</v>
      </c>
      <c r="B48" s="137" t="s">
        <v>221</v>
      </c>
      <c r="C48" s="137">
        <v>2010.0</v>
      </c>
      <c r="D48" s="138">
        <v>40430.0</v>
      </c>
      <c r="E48" s="139">
        <v>40474.0</v>
      </c>
      <c r="F48" s="142" t="s">
        <v>226</v>
      </c>
      <c r="G48" s="142">
        <v>2010.0</v>
      </c>
      <c r="H48" s="46">
        <v>7331.0</v>
      </c>
      <c r="I48" s="46">
        <v>7918.0</v>
      </c>
      <c r="J48" s="84">
        <v>2021307.04</v>
      </c>
      <c r="K48" s="84">
        <v>1262287.5599999998</v>
      </c>
      <c r="L48" s="84">
        <v>759019.4800000002</v>
      </c>
      <c r="M48" s="46" t="s">
        <v>161</v>
      </c>
      <c r="N48" s="46" t="s">
        <v>193</v>
      </c>
      <c r="O48" s="46" t="s">
        <v>146</v>
      </c>
      <c r="P48" s="46" t="s">
        <v>158</v>
      </c>
      <c r="Q48" s="46" t="str">
        <f t="shared" si="1"/>
        <v>September, 2010</v>
      </c>
      <c r="R48" s="115">
        <f t="shared" si="2"/>
        <v>40422</v>
      </c>
      <c r="S48" s="49">
        <f t="array" ref="S48">WEEKDAY(D48,2)</f>
        <v>4</v>
      </c>
      <c r="T48" s="46" t="s">
        <v>122</v>
      </c>
      <c r="U48" s="46" t="str">
        <f t="array" ref="U48">TEXT(D48,"dddd")</f>
        <v>Thursday</v>
      </c>
    </row>
    <row r="49" hidden="1">
      <c r="A49" s="46">
        <v>1.28686225E8</v>
      </c>
      <c r="B49" s="137" t="s">
        <v>227</v>
      </c>
      <c r="C49" s="137">
        <v>2011.0</v>
      </c>
      <c r="D49" s="138">
        <v>40568.0</v>
      </c>
      <c r="E49" s="139">
        <v>40615.0</v>
      </c>
      <c r="F49" s="142" t="s">
        <v>222</v>
      </c>
      <c r="G49" s="142">
        <v>2011.0</v>
      </c>
      <c r="H49" s="46">
        <v>7331.0</v>
      </c>
      <c r="I49" s="46">
        <v>9968.0</v>
      </c>
      <c r="J49" s="84">
        <v>2544631.04</v>
      </c>
      <c r="K49" s="84">
        <v>1589098.5599999998</v>
      </c>
      <c r="L49" s="84">
        <v>955532.4800000002</v>
      </c>
      <c r="M49" s="46" t="s">
        <v>161</v>
      </c>
      <c r="N49" s="46" t="s">
        <v>194</v>
      </c>
      <c r="O49" s="46" t="s">
        <v>146</v>
      </c>
      <c r="P49" s="46" t="s">
        <v>155</v>
      </c>
      <c r="Q49" s="46" t="str">
        <f t="shared" si="1"/>
        <v>January, 2011</v>
      </c>
      <c r="R49" s="115">
        <f t="shared" si="2"/>
        <v>40544</v>
      </c>
      <c r="S49" s="49">
        <f t="array" ref="S49">WEEKDAY(D49,2)</f>
        <v>2</v>
      </c>
      <c r="T49" s="46" t="s">
        <v>123</v>
      </c>
      <c r="U49" s="46" t="str">
        <f t="array" ref="U49">TEXT(D49,"dddd")</f>
        <v>Tuesday</v>
      </c>
    </row>
    <row r="50">
      <c r="A50" s="46">
        <v>1.28766906E8</v>
      </c>
      <c r="B50" s="137" t="s">
        <v>228</v>
      </c>
      <c r="C50" s="137">
        <v>2011.0</v>
      </c>
      <c r="D50" s="138">
        <v>40587.0</v>
      </c>
      <c r="E50" s="139">
        <v>40630.0</v>
      </c>
      <c r="F50" s="142" t="s">
        <v>222</v>
      </c>
      <c r="G50" s="142">
        <v>2011.0</v>
      </c>
      <c r="H50" s="46">
        <v>7940.0</v>
      </c>
      <c r="I50" s="46">
        <v>3844.0</v>
      </c>
      <c r="J50" s="84">
        <v>2568829.88</v>
      </c>
      <c r="K50" s="84">
        <v>1931763.76</v>
      </c>
      <c r="L50" s="84">
        <v>637066.1199999999</v>
      </c>
      <c r="M50" s="46" t="s">
        <v>148</v>
      </c>
      <c r="N50" s="46" t="s">
        <v>149</v>
      </c>
      <c r="O50" s="46" t="s">
        <v>149</v>
      </c>
      <c r="P50" s="46" t="s">
        <v>218</v>
      </c>
      <c r="Q50" s="46" t="str">
        <f t="shared" si="1"/>
        <v>February, 2011</v>
      </c>
      <c r="R50" s="115">
        <f t="shared" si="2"/>
        <v>40575</v>
      </c>
      <c r="S50" s="49">
        <f t="array" ref="S50">WEEKDAY(D50,2)</f>
        <v>7</v>
      </c>
      <c r="T50" s="46" t="s">
        <v>92</v>
      </c>
      <c r="U50" s="46" t="str">
        <f t="array" ref="U50">TEXT(D50,"dddd")</f>
        <v>Sunday</v>
      </c>
    </row>
    <row r="51" hidden="1">
      <c r="A51" s="46">
        <v>1.29127395E8</v>
      </c>
      <c r="B51" s="137" t="s">
        <v>220</v>
      </c>
      <c r="C51" s="137">
        <v>2013.0</v>
      </c>
      <c r="D51" s="138">
        <v>41441.0</v>
      </c>
      <c r="E51" s="139">
        <v>41445.0</v>
      </c>
      <c r="F51" s="142" t="s">
        <v>220</v>
      </c>
      <c r="G51" s="142">
        <v>2013.0</v>
      </c>
      <c r="H51" s="46">
        <v>8681.0</v>
      </c>
      <c r="I51" s="46">
        <v>520.0</v>
      </c>
      <c r="J51" s="84">
        <v>338629.2</v>
      </c>
      <c r="K51" s="84">
        <v>272979.2</v>
      </c>
      <c r="L51" s="84">
        <v>65650.0</v>
      </c>
      <c r="M51" s="46" t="s">
        <v>153</v>
      </c>
      <c r="N51" s="46" t="s">
        <v>195</v>
      </c>
      <c r="O51" s="46" t="s">
        <v>146</v>
      </c>
      <c r="P51" s="46" t="s">
        <v>170</v>
      </c>
      <c r="Q51" s="46" t="str">
        <f t="shared" si="1"/>
        <v>June, 2013</v>
      </c>
      <c r="R51" s="115">
        <f t="shared" si="2"/>
        <v>41426</v>
      </c>
      <c r="S51" s="49">
        <f t="array" ref="S51">WEEKDAY(D51,2)</f>
        <v>7</v>
      </c>
      <c r="T51" s="46" t="s">
        <v>124</v>
      </c>
      <c r="U51" s="46" t="str">
        <f t="array" ref="U51">TEXT(D51,"dddd")</f>
        <v>Sunday</v>
      </c>
    </row>
    <row r="52">
      <c r="A52" s="46">
        <v>1.29169023E8</v>
      </c>
      <c r="B52" s="137" t="s">
        <v>220</v>
      </c>
      <c r="C52" s="137">
        <v>2012.0</v>
      </c>
      <c r="D52" s="138">
        <v>41068.0</v>
      </c>
      <c r="E52" s="139">
        <v>41108.0</v>
      </c>
      <c r="F52" s="142" t="s">
        <v>217</v>
      </c>
      <c r="G52" s="142">
        <v>2012.0</v>
      </c>
      <c r="H52" s="46">
        <v>1270.0</v>
      </c>
      <c r="I52" s="46">
        <v>2839.0</v>
      </c>
      <c r="J52" s="84">
        <v>134710.55000000002</v>
      </c>
      <c r="K52" s="84">
        <v>90251.81</v>
      </c>
      <c r="L52" s="84">
        <v>44458.74000000002</v>
      </c>
      <c r="M52" s="46" t="s">
        <v>152</v>
      </c>
      <c r="N52" s="46" t="s">
        <v>149</v>
      </c>
      <c r="O52" s="46" t="s">
        <v>149</v>
      </c>
      <c r="P52" s="46" t="s">
        <v>218</v>
      </c>
      <c r="Q52" s="46" t="str">
        <f t="shared" si="1"/>
        <v>June, 2012</v>
      </c>
      <c r="R52" s="115">
        <f t="shared" si="2"/>
        <v>41061</v>
      </c>
      <c r="S52" s="49">
        <f t="array" ref="S52">WEEKDAY(D52,2)</f>
        <v>5</v>
      </c>
      <c r="T52" s="46" t="s">
        <v>92</v>
      </c>
      <c r="U52" s="46" t="str">
        <f t="array" ref="U52">TEXT(D52,"dddd")</f>
        <v>Friday</v>
      </c>
    </row>
    <row r="53" hidden="1">
      <c r="A53" s="46">
        <v>1.29875409E8</v>
      </c>
      <c r="B53" s="137" t="s">
        <v>223</v>
      </c>
      <c r="C53" s="137">
        <v>2011.0</v>
      </c>
      <c r="D53" s="138">
        <v>40652.0</v>
      </c>
      <c r="E53" s="139">
        <v>40659.0</v>
      </c>
      <c r="F53" s="142" t="s">
        <v>223</v>
      </c>
      <c r="G53" s="142">
        <v>2011.0</v>
      </c>
      <c r="H53" s="46">
        <v>3127.0</v>
      </c>
      <c r="I53" s="46">
        <v>1875.0</v>
      </c>
      <c r="J53" s="84">
        <v>153243.75</v>
      </c>
      <c r="K53" s="84">
        <v>106256.25</v>
      </c>
      <c r="L53" s="84">
        <v>46987.5</v>
      </c>
      <c r="M53" s="46" t="s">
        <v>185</v>
      </c>
      <c r="N53" s="46" t="s">
        <v>177</v>
      </c>
      <c r="O53" s="46" t="s">
        <v>146</v>
      </c>
      <c r="P53" s="46" t="s">
        <v>170</v>
      </c>
      <c r="Q53" s="46" t="str">
        <f t="shared" si="1"/>
        <v>April, 2011</v>
      </c>
      <c r="R53" s="115">
        <f t="shared" si="2"/>
        <v>40634</v>
      </c>
      <c r="S53" s="49">
        <f t="array" ref="S53">WEEKDAY(D53,2)</f>
        <v>2</v>
      </c>
      <c r="T53" s="46" t="s">
        <v>110</v>
      </c>
      <c r="U53" s="46" t="str">
        <f t="array" ref="U53">TEXT(D53,"dddd")</f>
        <v>Tuesday</v>
      </c>
    </row>
    <row r="54" hidden="1">
      <c r="A54" s="46">
        <v>1.29902875E8</v>
      </c>
      <c r="B54" s="137" t="s">
        <v>222</v>
      </c>
      <c r="C54" s="137">
        <v>2014.0</v>
      </c>
      <c r="D54" s="138">
        <v>41719.0</v>
      </c>
      <c r="E54" s="139">
        <v>41753.0</v>
      </c>
      <c r="F54" s="142" t="s">
        <v>223</v>
      </c>
      <c r="G54" s="142">
        <v>2014.0</v>
      </c>
      <c r="H54" s="46">
        <v>7940.0</v>
      </c>
      <c r="I54" s="46">
        <v>2.0</v>
      </c>
      <c r="J54" s="84">
        <v>1336.54</v>
      </c>
      <c r="K54" s="84">
        <v>1005.08</v>
      </c>
      <c r="L54" s="84">
        <v>331.4599999999999</v>
      </c>
      <c r="M54" s="46" t="s">
        <v>148</v>
      </c>
      <c r="N54" s="46" t="s">
        <v>196</v>
      </c>
      <c r="O54" s="46" t="s">
        <v>146</v>
      </c>
      <c r="P54" s="46" t="s">
        <v>155</v>
      </c>
      <c r="Q54" s="46" t="str">
        <f t="shared" si="1"/>
        <v>March, 2014</v>
      </c>
      <c r="R54" s="115">
        <f t="shared" si="2"/>
        <v>41699</v>
      </c>
      <c r="S54" s="49">
        <f t="array" ref="S54">WEEKDAY(D54,2)</f>
        <v>5</v>
      </c>
      <c r="T54" s="46" t="s">
        <v>125</v>
      </c>
      <c r="U54" s="46" t="str">
        <f t="array" ref="U54">TEXT(D54,"dddd")</f>
        <v>Friday</v>
      </c>
    </row>
    <row r="55" hidden="1">
      <c r="A55" s="46">
        <v>1.30356919E8</v>
      </c>
      <c r="B55" s="137" t="s">
        <v>221</v>
      </c>
      <c r="C55" s="137">
        <v>2013.0</v>
      </c>
      <c r="D55" s="138">
        <v>41535.0</v>
      </c>
      <c r="E55" s="139">
        <v>41548.0</v>
      </c>
      <c r="F55" s="142" t="s">
        <v>226</v>
      </c>
      <c r="G55" s="142">
        <v>2013.0</v>
      </c>
      <c r="H55" s="46">
        <v>5988.0</v>
      </c>
      <c r="I55" s="46">
        <v>4364.0</v>
      </c>
      <c r="J55" s="84">
        <v>672317.84</v>
      </c>
      <c r="K55" s="84">
        <v>396818.52</v>
      </c>
      <c r="L55" s="84">
        <v>275499.31999999995</v>
      </c>
      <c r="M55" s="46" t="s">
        <v>159</v>
      </c>
      <c r="N55" s="46" t="s">
        <v>193</v>
      </c>
      <c r="O55" s="46" t="s">
        <v>146</v>
      </c>
      <c r="P55" s="46" t="s">
        <v>158</v>
      </c>
      <c r="Q55" s="46" t="str">
        <f t="shared" si="1"/>
        <v>September, 2013</v>
      </c>
      <c r="R55" s="115">
        <f t="shared" si="2"/>
        <v>41518</v>
      </c>
      <c r="S55" s="49">
        <f t="array" ref="S55">WEEKDAY(D55,2)</f>
        <v>3</v>
      </c>
      <c r="T55" s="46" t="s">
        <v>122</v>
      </c>
      <c r="U55" s="46" t="str">
        <f t="array" ref="U55">TEXT(D55,"dddd")</f>
        <v>Wednesday</v>
      </c>
    </row>
    <row r="56" hidden="1">
      <c r="A56" s="46">
        <v>1.30754315E8</v>
      </c>
      <c r="B56" s="137" t="s">
        <v>226</v>
      </c>
      <c r="C56" s="137">
        <v>2013.0</v>
      </c>
      <c r="D56" s="138">
        <v>41574.0</v>
      </c>
      <c r="E56" s="139">
        <v>41580.0</v>
      </c>
      <c r="F56" s="142" t="s">
        <v>224</v>
      </c>
      <c r="G56" s="142">
        <v>2013.0</v>
      </c>
      <c r="H56" s="46">
        <v>8681.0</v>
      </c>
      <c r="I56" s="46">
        <v>1962.0</v>
      </c>
      <c r="J56" s="84">
        <v>1277674.02</v>
      </c>
      <c r="K56" s="84">
        <v>1029971.52</v>
      </c>
      <c r="L56" s="84">
        <v>247702.5</v>
      </c>
      <c r="M56" s="46" t="s">
        <v>153</v>
      </c>
      <c r="N56" s="46" t="s">
        <v>157</v>
      </c>
      <c r="O56" s="46" t="s">
        <v>146</v>
      </c>
      <c r="P56" s="46" t="s">
        <v>158</v>
      </c>
      <c r="Q56" s="46" t="str">
        <f t="shared" si="1"/>
        <v>October, 2013</v>
      </c>
      <c r="R56" s="115">
        <f t="shared" si="2"/>
        <v>41548</v>
      </c>
      <c r="S56" s="49">
        <f t="array" ref="S56">WEEKDAY(D56,2)</f>
        <v>7</v>
      </c>
      <c r="T56" s="46" t="s">
        <v>97</v>
      </c>
      <c r="U56" s="46" t="str">
        <f t="array" ref="U56">TEXT(D56,"dddd")</f>
        <v>Sunday</v>
      </c>
    </row>
    <row r="57" hidden="1">
      <c r="A57" s="46">
        <v>1.31585586E8</v>
      </c>
      <c r="B57" s="137" t="s">
        <v>222</v>
      </c>
      <c r="C57" s="137">
        <v>2017.0</v>
      </c>
      <c r="D57" s="138">
        <v>42807.0</v>
      </c>
      <c r="E57" s="139">
        <v>42838.0</v>
      </c>
      <c r="F57" s="142" t="s">
        <v>223</v>
      </c>
      <c r="G57" s="142">
        <v>2017.0</v>
      </c>
      <c r="H57" s="46">
        <v>3127.0</v>
      </c>
      <c r="I57" s="46">
        <v>7954.0</v>
      </c>
      <c r="J57" s="84">
        <v>650080.42</v>
      </c>
      <c r="K57" s="84">
        <v>450753.18</v>
      </c>
      <c r="L57" s="84">
        <v>199327.24000000005</v>
      </c>
      <c r="M57" s="46" t="s">
        <v>185</v>
      </c>
      <c r="N57" s="46" t="s">
        <v>157</v>
      </c>
      <c r="O57" s="46" t="s">
        <v>146</v>
      </c>
      <c r="P57" s="46" t="s">
        <v>158</v>
      </c>
      <c r="Q57" s="46" t="str">
        <f t="shared" si="1"/>
        <v>March, 2017</v>
      </c>
      <c r="R57" s="115">
        <f t="shared" si="2"/>
        <v>42795</v>
      </c>
      <c r="S57" s="49">
        <f t="array" ref="S57">WEEKDAY(D57,2)</f>
        <v>1</v>
      </c>
      <c r="T57" s="46" t="s">
        <v>97</v>
      </c>
      <c r="U57" s="46" t="str">
        <f t="array" ref="U57">TEXT(D57,"dddd")</f>
        <v>Monday</v>
      </c>
    </row>
    <row r="58" hidden="1">
      <c r="A58" s="46">
        <v>1.32069671E8</v>
      </c>
      <c r="B58" s="137" t="s">
        <v>217</v>
      </c>
      <c r="C58" s="137">
        <v>2017.0</v>
      </c>
      <c r="D58" s="138">
        <v>42925.0</v>
      </c>
      <c r="E58" s="139">
        <v>42936.0</v>
      </c>
      <c r="F58" s="142" t="s">
        <v>217</v>
      </c>
      <c r="G58" s="142">
        <v>2017.0</v>
      </c>
      <c r="H58" s="46">
        <v>3127.0</v>
      </c>
      <c r="I58" s="46">
        <v>1205.0</v>
      </c>
      <c r="J58" s="84">
        <v>98484.65000000001</v>
      </c>
      <c r="K58" s="84">
        <v>68287.35</v>
      </c>
      <c r="L58" s="84">
        <v>30197.300000000003</v>
      </c>
      <c r="M58" s="46" t="s">
        <v>185</v>
      </c>
      <c r="N58" s="46" t="s">
        <v>189</v>
      </c>
      <c r="O58" s="46" t="s">
        <v>146</v>
      </c>
      <c r="P58" s="46" t="s">
        <v>158</v>
      </c>
      <c r="Q58" s="46" t="str">
        <f t="shared" si="1"/>
        <v>July, 2017</v>
      </c>
      <c r="R58" s="115">
        <f t="shared" si="2"/>
        <v>42917</v>
      </c>
      <c r="S58" s="49">
        <f t="array" ref="S58">WEEKDAY(D58,2)</f>
        <v>7</v>
      </c>
      <c r="T58" s="46" t="s">
        <v>118</v>
      </c>
      <c r="U58" s="46" t="str">
        <f t="array" ref="U58">TEXT(D58,"dddd")</f>
        <v>Sunday</v>
      </c>
    </row>
    <row r="59" hidden="1">
      <c r="A59" s="46">
        <v>1.32603538E8</v>
      </c>
      <c r="B59" s="137" t="s">
        <v>221</v>
      </c>
      <c r="C59" s="137">
        <v>2012.0</v>
      </c>
      <c r="D59" s="138">
        <v>41172.0</v>
      </c>
      <c r="E59" s="139">
        <v>41219.0</v>
      </c>
      <c r="F59" s="142" t="s">
        <v>224</v>
      </c>
      <c r="G59" s="142">
        <v>2012.0</v>
      </c>
      <c r="H59" s="46">
        <v>8293.0</v>
      </c>
      <c r="I59" s="46">
        <v>9188.0</v>
      </c>
      <c r="J59" s="84">
        <v>4016993.6</v>
      </c>
      <c r="K59" s="84">
        <v>2419476.04</v>
      </c>
      <c r="L59" s="84">
        <v>1597517.56</v>
      </c>
      <c r="M59" s="46" t="s">
        <v>178</v>
      </c>
      <c r="N59" s="46" t="s">
        <v>194</v>
      </c>
      <c r="O59" s="46" t="s">
        <v>146</v>
      </c>
      <c r="P59" s="46" t="s">
        <v>155</v>
      </c>
      <c r="Q59" s="46" t="str">
        <f t="shared" si="1"/>
        <v>September, 2012</v>
      </c>
      <c r="R59" s="115">
        <f t="shared" si="2"/>
        <v>41153</v>
      </c>
      <c r="S59" s="49">
        <f t="array" ref="S59">WEEKDAY(D59,2)</f>
        <v>4</v>
      </c>
      <c r="T59" s="46" t="s">
        <v>123</v>
      </c>
      <c r="U59" s="46" t="str">
        <f t="array" ref="U59">TEXT(D59,"dddd")</f>
        <v>Thursday</v>
      </c>
    </row>
    <row r="60">
      <c r="A60" s="46">
        <v>1.3327645E8</v>
      </c>
      <c r="B60" s="137" t="s">
        <v>227</v>
      </c>
      <c r="C60" s="137">
        <v>2016.0</v>
      </c>
      <c r="D60" s="138">
        <v>42396.0</v>
      </c>
      <c r="E60" s="139">
        <v>42444.0</v>
      </c>
      <c r="F60" s="142" t="s">
        <v>222</v>
      </c>
      <c r="G60" s="142">
        <v>2016.0</v>
      </c>
      <c r="H60" s="46">
        <v>3127.0</v>
      </c>
      <c r="I60" s="46">
        <v>8318.0</v>
      </c>
      <c r="J60" s="84">
        <v>679830.14</v>
      </c>
      <c r="K60" s="84">
        <v>471381.06</v>
      </c>
      <c r="L60" s="84">
        <v>208449.08000000002</v>
      </c>
      <c r="M60" s="46" t="s">
        <v>185</v>
      </c>
      <c r="N60" s="46" t="s">
        <v>149</v>
      </c>
      <c r="O60" s="46" t="s">
        <v>149</v>
      </c>
      <c r="P60" s="46" t="s">
        <v>218</v>
      </c>
      <c r="Q60" s="46" t="str">
        <f t="shared" si="1"/>
        <v>January, 2016</v>
      </c>
      <c r="R60" s="115">
        <f t="shared" si="2"/>
        <v>42370</v>
      </c>
      <c r="S60" s="49">
        <f t="array" ref="S60">WEEKDAY(D60,2)</f>
        <v>3</v>
      </c>
      <c r="T60" s="46" t="s">
        <v>92</v>
      </c>
      <c r="U60" s="46" t="str">
        <f t="array" ref="U60">TEXT(D60,"dddd")</f>
        <v>Wednesday</v>
      </c>
    </row>
    <row r="61" hidden="1">
      <c r="A61" s="46">
        <v>1.34121024E8</v>
      </c>
      <c r="B61" s="137" t="s">
        <v>228</v>
      </c>
      <c r="C61" s="137">
        <v>2011.0</v>
      </c>
      <c r="D61" s="138">
        <v>40602.0</v>
      </c>
      <c r="E61" s="139">
        <v>40641.0</v>
      </c>
      <c r="F61" s="142" t="s">
        <v>223</v>
      </c>
      <c r="G61" s="142">
        <v>2011.0</v>
      </c>
      <c r="H61" s="46">
        <v>5988.0</v>
      </c>
      <c r="I61" s="46">
        <v>8246.0</v>
      </c>
      <c r="J61" s="84">
        <v>1270378.76</v>
      </c>
      <c r="K61" s="84">
        <v>749808.78</v>
      </c>
      <c r="L61" s="84">
        <v>520569.98</v>
      </c>
      <c r="M61" s="46" t="s">
        <v>159</v>
      </c>
      <c r="N61" s="46" t="s">
        <v>188</v>
      </c>
      <c r="O61" s="46" t="s">
        <v>146</v>
      </c>
      <c r="P61" s="46" t="s">
        <v>170</v>
      </c>
      <c r="Q61" s="46" t="str">
        <f t="shared" si="1"/>
        <v>February, 2011</v>
      </c>
      <c r="R61" s="115">
        <f t="shared" si="2"/>
        <v>40575</v>
      </c>
      <c r="S61" s="49">
        <f t="array" ref="S61">WEEKDAY(D61,2)</f>
        <v>1</v>
      </c>
      <c r="T61" s="46" t="s">
        <v>117</v>
      </c>
      <c r="U61" s="46" t="str">
        <f t="array" ref="U61">TEXT(D61,"dddd")</f>
        <v>Monday</v>
      </c>
    </row>
    <row r="62" hidden="1">
      <c r="A62" s="46">
        <v>1.34790503E8</v>
      </c>
      <c r="B62" s="137" t="s">
        <v>223</v>
      </c>
      <c r="C62" s="137">
        <v>2012.0</v>
      </c>
      <c r="D62" s="138">
        <v>41001.0</v>
      </c>
      <c r="E62" s="139">
        <v>41025.0</v>
      </c>
      <c r="F62" s="142" t="s">
        <v>223</v>
      </c>
      <c r="G62" s="142">
        <v>2012.0</v>
      </c>
      <c r="H62" s="46">
        <v>2455.0</v>
      </c>
      <c r="I62" s="46">
        <v>6360.0</v>
      </c>
      <c r="J62" s="84">
        <v>695020.8</v>
      </c>
      <c r="K62" s="84">
        <v>227942.40000000002</v>
      </c>
      <c r="L62" s="84">
        <v>467078.4</v>
      </c>
      <c r="M62" s="46" t="s">
        <v>150</v>
      </c>
      <c r="N62" s="46" t="s">
        <v>197</v>
      </c>
      <c r="O62" s="46" t="s">
        <v>146</v>
      </c>
      <c r="P62" s="46" t="s">
        <v>147</v>
      </c>
      <c r="Q62" s="46" t="str">
        <f t="shared" si="1"/>
        <v>April, 2012</v>
      </c>
      <c r="R62" s="115">
        <f t="shared" si="2"/>
        <v>41000</v>
      </c>
      <c r="S62" s="49">
        <f t="array" ref="S62">WEEKDAY(D62,2)</f>
        <v>1</v>
      </c>
      <c r="T62" s="46" t="s">
        <v>126</v>
      </c>
      <c r="U62" s="46" t="str">
        <f t="array" ref="U62">TEXT(D62,"dddd")</f>
        <v>Monday</v>
      </c>
    </row>
    <row r="63" hidden="1">
      <c r="A63" s="46">
        <v>1.36624276E8</v>
      </c>
      <c r="B63" s="137" t="s">
        <v>228</v>
      </c>
      <c r="C63" s="137">
        <v>2016.0</v>
      </c>
      <c r="D63" s="138">
        <v>42420.0</v>
      </c>
      <c r="E63" s="139">
        <v>42437.0</v>
      </c>
      <c r="F63" s="142" t="s">
        <v>222</v>
      </c>
      <c r="G63" s="142">
        <v>2016.0</v>
      </c>
      <c r="H63" s="46">
        <v>1270.0</v>
      </c>
      <c r="I63" s="46">
        <v>9014.0</v>
      </c>
      <c r="J63" s="84">
        <v>427714.30000000005</v>
      </c>
      <c r="K63" s="84">
        <v>286555.06</v>
      </c>
      <c r="L63" s="84">
        <v>141159.24000000005</v>
      </c>
      <c r="M63" s="46" t="s">
        <v>152</v>
      </c>
      <c r="N63" s="46" t="s">
        <v>195</v>
      </c>
      <c r="O63" s="46" t="s">
        <v>146</v>
      </c>
      <c r="P63" s="46" t="s">
        <v>170</v>
      </c>
      <c r="Q63" s="46" t="str">
        <f t="shared" si="1"/>
        <v>February, 2016</v>
      </c>
      <c r="R63" s="115">
        <f t="shared" si="2"/>
        <v>42401</v>
      </c>
      <c r="S63" s="49">
        <f t="array" ref="S63">WEEKDAY(D63,2)</f>
        <v>6</v>
      </c>
      <c r="T63" s="46" t="s">
        <v>124</v>
      </c>
      <c r="U63" s="46" t="str">
        <f t="array" ref="U63">TEXT(D63,"dddd")</f>
        <v>Saturday</v>
      </c>
    </row>
    <row r="64" hidden="1">
      <c r="A64" s="46">
        <v>1.38025033E8</v>
      </c>
      <c r="B64" s="137" t="s">
        <v>217</v>
      </c>
      <c r="C64" s="137">
        <v>2013.0</v>
      </c>
      <c r="D64" s="138">
        <v>41468.0</v>
      </c>
      <c r="E64" s="139">
        <v>41489.0</v>
      </c>
      <c r="F64" s="142" t="s">
        <v>216</v>
      </c>
      <c r="G64" s="142">
        <v>2013.0</v>
      </c>
      <c r="H64" s="46">
        <v>8969.0</v>
      </c>
      <c r="I64" s="46">
        <v>3529.0</v>
      </c>
      <c r="J64" s="84">
        <v>538454.8200000001</v>
      </c>
      <c r="K64" s="84">
        <v>343865.76</v>
      </c>
      <c r="L64" s="84">
        <v>194589.06000000006</v>
      </c>
      <c r="M64" s="46" t="s">
        <v>182</v>
      </c>
      <c r="N64" s="46" t="s">
        <v>169</v>
      </c>
      <c r="O64" s="46" t="s">
        <v>146</v>
      </c>
      <c r="P64" s="46" t="s">
        <v>170</v>
      </c>
      <c r="Q64" s="46" t="str">
        <f t="shared" si="1"/>
        <v>July, 2013</v>
      </c>
      <c r="R64" s="115">
        <f t="shared" si="2"/>
        <v>41456</v>
      </c>
      <c r="S64" s="49">
        <f t="array" ref="S64">WEEKDAY(D64,2)</f>
        <v>6</v>
      </c>
      <c r="T64" s="46" t="s">
        <v>103</v>
      </c>
      <c r="U64" s="46" t="str">
        <f t="array" ref="U64">TEXT(D64,"dddd")</f>
        <v>Saturday</v>
      </c>
    </row>
    <row r="65" hidden="1">
      <c r="A65" s="46">
        <v>1.38182103E8</v>
      </c>
      <c r="B65" s="137" t="s">
        <v>216</v>
      </c>
      <c r="C65" s="137">
        <v>2014.0</v>
      </c>
      <c r="D65" s="138">
        <v>41860.0</v>
      </c>
      <c r="E65" s="139">
        <v>41867.0</v>
      </c>
      <c r="F65" s="142" t="s">
        <v>216</v>
      </c>
      <c r="G65" s="142">
        <v>2014.0</v>
      </c>
      <c r="H65" s="46">
        <v>8681.0</v>
      </c>
      <c r="I65" s="46">
        <v>10.0</v>
      </c>
      <c r="J65" s="84">
        <v>6512.1</v>
      </c>
      <c r="K65" s="84">
        <v>5249.6</v>
      </c>
      <c r="L65" s="84">
        <v>1262.5</v>
      </c>
      <c r="M65" s="46" t="s">
        <v>153</v>
      </c>
      <c r="N65" s="46" t="s">
        <v>192</v>
      </c>
      <c r="O65" s="46" t="s">
        <v>146</v>
      </c>
      <c r="P65" s="46" t="s">
        <v>158</v>
      </c>
      <c r="Q65" s="46" t="str">
        <f t="shared" si="1"/>
        <v>August, 2014</v>
      </c>
      <c r="R65" s="115">
        <f t="shared" si="2"/>
        <v>41852</v>
      </c>
      <c r="S65" s="49">
        <f t="array" ref="S65">WEEKDAY(D65,2)</f>
        <v>6</v>
      </c>
      <c r="T65" s="46" t="s">
        <v>121</v>
      </c>
      <c r="U65" s="46" t="str">
        <f t="array" ref="U65">TEXT(D65,"dddd")</f>
        <v>Saturday</v>
      </c>
    </row>
    <row r="66" hidden="1">
      <c r="A66" s="46">
        <v>1.38820683E8</v>
      </c>
      <c r="B66" s="137" t="s">
        <v>217</v>
      </c>
      <c r="C66" s="137">
        <v>2010.0</v>
      </c>
      <c r="D66" s="138">
        <v>40368.0</v>
      </c>
      <c r="E66" s="139">
        <v>40368.0</v>
      </c>
      <c r="F66" s="142" t="s">
        <v>217</v>
      </c>
      <c r="G66" s="142">
        <v>2010.0</v>
      </c>
      <c r="H66" s="46">
        <v>2455.0</v>
      </c>
      <c r="I66" s="46">
        <v>8980.0</v>
      </c>
      <c r="J66" s="84">
        <v>981334.4</v>
      </c>
      <c r="K66" s="84">
        <v>321843.2</v>
      </c>
      <c r="L66" s="84">
        <v>659491.2</v>
      </c>
      <c r="M66" s="46" t="s">
        <v>150</v>
      </c>
      <c r="N66" s="46" t="s">
        <v>179</v>
      </c>
      <c r="O66" s="46" t="s">
        <v>146</v>
      </c>
      <c r="P66" s="46" t="s">
        <v>155</v>
      </c>
      <c r="Q66" s="46" t="str">
        <f t="shared" si="1"/>
        <v>July, 2010</v>
      </c>
      <c r="R66" s="115">
        <f t="shared" si="2"/>
        <v>40360</v>
      </c>
      <c r="S66" s="49">
        <f t="array" ref="S66">WEEKDAY(D66,2)</f>
        <v>5</v>
      </c>
      <c r="T66" s="46" t="s">
        <v>111</v>
      </c>
      <c r="U66" s="46" t="str">
        <f t="array" ref="U66">TEXT(D66,"dddd")</f>
        <v>Friday</v>
      </c>
    </row>
    <row r="67" hidden="1">
      <c r="A67" s="46">
        <v>1.39201343E8</v>
      </c>
      <c r="B67" s="137" t="s">
        <v>216</v>
      </c>
      <c r="C67" s="137">
        <v>2016.0</v>
      </c>
      <c r="D67" s="138">
        <v>42609.0</v>
      </c>
      <c r="E67" s="139">
        <v>42619.0</v>
      </c>
      <c r="F67" s="142" t="s">
        <v>221</v>
      </c>
      <c r="G67" s="142">
        <v>2016.0</v>
      </c>
      <c r="H67" s="46">
        <v>8293.0</v>
      </c>
      <c r="I67" s="46">
        <v>1625.0</v>
      </c>
      <c r="J67" s="84">
        <v>710450.0</v>
      </c>
      <c r="K67" s="84">
        <v>427911.25</v>
      </c>
      <c r="L67" s="84">
        <v>282538.75</v>
      </c>
      <c r="M67" s="46" t="s">
        <v>178</v>
      </c>
      <c r="N67" s="46" t="s">
        <v>198</v>
      </c>
      <c r="O67" s="46" t="s">
        <v>146</v>
      </c>
      <c r="P67" s="46" t="s">
        <v>170</v>
      </c>
      <c r="Q67" s="46" t="str">
        <f t="shared" si="1"/>
        <v>August, 2016</v>
      </c>
      <c r="R67" s="115">
        <f t="shared" si="2"/>
        <v>42583</v>
      </c>
      <c r="S67" s="49">
        <f t="array" ref="S67">WEEKDAY(D67,2)</f>
        <v>6</v>
      </c>
      <c r="T67" s="46" t="s">
        <v>127</v>
      </c>
      <c r="U67" s="46" t="str">
        <f t="array" ref="U67">TEXT(D67,"dddd")</f>
        <v>Saturday</v>
      </c>
    </row>
    <row r="68">
      <c r="A68" s="46">
        <v>1.39949357E8</v>
      </c>
      <c r="B68" s="137" t="s">
        <v>217</v>
      </c>
      <c r="C68" s="137">
        <v>2014.0</v>
      </c>
      <c r="D68" s="138">
        <v>41821.0</v>
      </c>
      <c r="E68" s="139">
        <v>41834.0</v>
      </c>
      <c r="F68" s="142" t="s">
        <v>217</v>
      </c>
      <c r="G68" s="142">
        <v>2014.0</v>
      </c>
      <c r="H68" s="46">
        <v>5988.0</v>
      </c>
      <c r="I68" s="46">
        <v>2980.0</v>
      </c>
      <c r="J68" s="84">
        <v>459098.8</v>
      </c>
      <c r="K68" s="84">
        <v>270971.4</v>
      </c>
      <c r="L68" s="84">
        <v>188127.39999999997</v>
      </c>
      <c r="M68" s="46" t="s">
        <v>159</v>
      </c>
      <c r="N68" s="46" t="s">
        <v>149</v>
      </c>
      <c r="O68" s="46" t="s">
        <v>149</v>
      </c>
      <c r="P68" s="46" t="s">
        <v>218</v>
      </c>
      <c r="Q68" s="46" t="str">
        <f t="shared" si="1"/>
        <v>July, 2014</v>
      </c>
      <c r="R68" s="115">
        <f t="shared" si="2"/>
        <v>41821</v>
      </c>
      <c r="S68" s="49">
        <f t="array" ref="S68">WEEKDAY(D68,2)</f>
        <v>2</v>
      </c>
      <c r="T68" s="46" t="s">
        <v>92</v>
      </c>
      <c r="U68" s="46" t="str">
        <f t="array" ref="U68">TEXT(D68,"dddd")</f>
        <v>Tuesday</v>
      </c>
    </row>
    <row r="69" hidden="1">
      <c r="A69" s="46">
        <v>1.40461766E8</v>
      </c>
      <c r="B69" s="137" t="s">
        <v>217</v>
      </c>
      <c r="C69" s="137">
        <v>2014.0</v>
      </c>
      <c r="D69" s="138">
        <v>41828.0</v>
      </c>
      <c r="E69" s="139">
        <v>41840.0</v>
      </c>
      <c r="F69" s="142" t="s">
        <v>217</v>
      </c>
      <c r="G69" s="142">
        <v>2014.0</v>
      </c>
      <c r="H69" s="46">
        <v>8293.0</v>
      </c>
      <c r="I69" s="46">
        <v>4613.0</v>
      </c>
      <c r="J69" s="84">
        <v>2016803.5999999999</v>
      </c>
      <c r="K69" s="84">
        <v>1214741.29</v>
      </c>
      <c r="L69" s="84">
        <v>802062.3099999998</v>
      </c>
      <c r="M69" s="46" t="s">
        <v>178</v>
      </c>
      <c r="N69" s="46" t="s">
        <v>181</v>
      </c>
      <c r="O69" s="46" t="s">
        <v>146</v>
      </c>
      <c r="P69" s="46" t="s">
        <v>155</v>
      </c>
      <c r="Q69" s="46" t="str">
        <f t="shared" si="1"/>
        <v>July, 2014</v>
      </c>
      <c r="R69" s="115">
        <f t="shared" si="2"/>
        <v>41821</v>
      </c>
      <c r="S69" s="49">
        <f t="array" ref="S69">WEEKDAY(D69,2)</f>
        <v>2</v>
      </c>
      <c r="T69" s="46" t="s">
        <v>113</v>
      </c>
      <c r="U69" s="46" t="str">
        <f t="array" ref="U69">TEXT(D69,"dddd")</f>
        <v>Tuesday</v>
      </c>
    </row>
    <row r="70" hidden="1">
      <c r="A70" s="46">
        <v>1.40499961E8</v>
      </c>
      <c r="B70" s="137" t="s">
        <v>222</v>
      </c>
      <c r="C70" s="137">
        <v>2011.0</v>
      </c>
      <c r="D70" s="138">
        <v>40631.0</v>
      </c>
      <c r="E70" s="139">
        <v>40663.0</v>
      </c>
      <c r="F70" s="142" t="s">
        <v>223</v>
      </c>
      <c r="G70" s="142">
        <v>2011.0</v>
      </c>
      <c r="H70" s="46">
        <v>3127.0</v>
      </c>
      <c r="I70" s="46">
        <v>5915.0</v>
      </c>
      <c r="J70" s="84">
        <v>483432.95</v>
      </c>
      <c r="K70" s="84">
        <v>335203.05</v>
      </c>
      <c r="L70" s="84">
        <v>148229.90000000002</v>
      </c>
      <c r="M70" s="46" t="s">
        <v>185</v>
      </c>
      <c r="N70" s="46" t="s">
        <v>195</v>
      </c>
      <c r="O70" s="46" t="s">
        <v>146</v>
      </c>
      <c r="P70" s="46" t="s">
        <v>170</v>
      </c>
      <c r="Q70" s="46" t="str">
        <f t="shared" si="1"/>
        <v>March, 2011</v>
      </c>
      <c r="R70" s="115">
        <f t="shared" si="2"/>
        <v>40603</v>
      </c>
      <c r="S70" s="49">
        <f t="array" ref="S70">WEEKDAY(D70,2)</f>
        <v>2</v>
      </c>
      <c r="T70" s="46" t="s">
        <v>124</v>
      </c>
      <c r="U70" s="46" t="str">
        <f t="array" ref="U70">TEXT(D70,"dddd")</f>
        <v>Tuesday</v>
      </c>
    </row>
    <row r="71" hidden="1">
      <c r="A71" s="46">
        <v>1.41764247E8</v>
      </c>
      <c r="B71" s="137" t="s">
        <v>217</v>
      </c>
      <c r="C71" s="137">
        <v>2013.0</v>
      </c>
      <c r="D71" s="138">
        <v>41470.0</v>
      </c>
      <c r="E71" s="139">
        <v>41515.0</v>
      </c>
      <c r="F71" s="142" t="s">
        <v>216</v>
      </c>
      <c r="G71" s="142">
        <v>2013.0</v>
      </c>
      <c r="H71" s="46">
        <v>7331.0</v>
      </c>
      <c r="I71" s="46">
        <v>46.0</v>
      </c>
      <c r="J71" s="84">
        <v>11742.88</v>
      </c>
      <c r="K71" s="84">
        <v>7333.32</v>
      </c>
      <c r="L71" s="84">
        <v>4409.5599999999995</v>
      </c>
      <c r="M71" s="46" t="s">
        <v>161</v>
      </c>
      <c r="N71" s="46" t="s">
        <v>199</v>
      </c>
      <c r="O71" s="46" t="s">
        <v>146</v>
      </c>
      <c r="P71" s="46" t="s">
        <v>147</v>
      </c>
      <c r="Q71" s="46" t="str">
        <f t="shared" si="1"/>
        <v>July, 2013</v>
      </c>
      <c r="R71" s="115">
        <f t="shared" si="2"/>
        <v>41456</v>
      </c>
      <c r="S71" s="49">
        <f t="array" ref="S71">WEEKDAY(D71,2)</f>
        <v>1</v>
      </c>
      <c r="T71" s="46" t="s">
        <v>128</v>
      </c>
      <c r="U71" s="46" t="str">
        <f t="array" ref="U71">TEXT(D71,"dddd")</f>
        <v>Monday</v>
      </c>
    </row>
    <row r="72" hidden="1">
      <c r="A72" s="46">
        <v>1.41846215E8</v>
      </c>
      <c r="B72" s="137" t="s">
        <v>217</v>
      </c>
      <c r="C72" s="137">
        <v>2012.0</v>
      </c>
      <c r="D72" s="138">
        <v>41108.0</v>
      </c>
      <c r="E72" s="139">
        <v>41137.0</v>
      </c>
      <c r="F72" s="142" t="s">
        <v>216</v>
      </c>
      <c r="G72" s="142">
        <v>2012.0</v>
      </c>
      <c r="H72" s="46">
        <v>2455.0</v>
      </c>
      <c r="I72" s="46">
        <v>4302.0</v>
      </c>
      <c r="J72" s="84">
        <v>470122.56</v>
      </c>
      <c r="K72" s="84">
        <v>154183.68000000002</v>
      </c>
      <c r="L72" s="84">
        <v>315938.88</v>
      </c>
      <c r="M72" s="46" t="s">
        <v>150</v>
      </c>
      <c r="N72" s="46" t="s">
        <v>168</v>
      </c>
      <c r="O72" s="46" t="s">
        <v>165</v>
      </c>
      <c r="P72" s="46" t="s">
        <v>166</v>
      </c>
      <c r="Q72" s="46" t="str">
        <f t="shared" si="1"/>
        <v>July, 2012</v>
      </c>
      <c r="R72" s="115">
        <f t="shared" si="2"/>
        <v>41091</v>
      </c>
      <c r="S72" s="49">
        <f t="array" ref="S72">WEEKDAY(D72,2)</f>
        <v>3</v>
      </c>
      <c r="T72" s="46" t="s">
        <v>102</v>
      </c>
      <c r="U72" s="46" t="str">
        <f t="array" ref="U72">TEXT(D72,"dddd")</f>
        <v>Wednesday</v>
      </c>
    </row>
    <row r="73" hidden="1">
      <c r="A73" s="46">
        <v>1.41875827E8</v>
      </c>
      <c r="B73" s="137" t="s">
        <v>222</v>
      </c>
      <c r="C73" s="137">
        <v>2011.0</v>
      </c>
      <c r="D73" s="138">
        <v>40615.0</v>
      </c>
      <c r="E73" s="139">
        <v>40649.0</v>
      </c>
      <c r="F73" s="142" t="s">
        <v>223</v>
      </c>
      <c r="G73" s="142">
        <v>2011.0</v>
      </c>
      <c r="H73" s="46">
        <v>7940.0</v>
      </c>
      <c r="I73" s="46">
        <v>3065.0</v>
      </c>
      <c r="J73" s="84">
        <v>2048247.55</v>
      </c>
      <c r="K73" s="84">
        <v>1540285.1</v>
      </c>
      <c r="L73" s="84">
        <v>507962.44999999995</v>
      </c>
      <c r="M73" s="46" t="s">
        <v>148</v>
      </c>
      <c r="N73" s="46" t="s">
        <v>173</v>
      </c>
      <c r="O73" s="46" t="s">
        <v>146</v>
      </c>
      <c r="P73" s="46" t="s">
        <v>155</v>
      </c>
      <c r="Q73" s="46" t="str">
        <f t="shared" si="1"/>
        <v>March, 2011</v>
      </c>
      <c r="R73" s="115">
        <f t="shared" si="2"/>
        <v>40603</v>
      </c>
      <c r="S73" s="49">
        <f t="array" ref="S73">WEEKDAY(D73,2)</f>
        <v>7</v>
      </c>
      <c r="T73" s="46" t="s">
        <v>106</v>
      </c>
      <c r="U73" s="46" t="str">
        <f t="array" ref="U73">TEXT(D73,"dddd")</f>
        <v>Sunday</v>
      </c>
    </row>
    <row r="74" hidden="1">
      <c r="A74" s="46">
        <v>1.42375361E8</v>
      </c>
      <c r="B74" s="137" t="s">
        <v>228</v>
      </c>
      <c r="C74" s="137">
        <v>2014.0</v>
      </c>
      <c r="D74" s="138">
        <v>41678.0</v>
      </c>
      <c r="E74" s="139">
        <v>41689.0</v>
      </c>
      <c r="F74" s="142" t="s">
        <v>228</v>
      </c>
      <c r="G74" s="142">
        <v>2014.0</v>
      </c>
      <c r="H74" s="46">
        <v>4594.0</v>
      </c>
      <c r="I74" s="46">
        <v>888.0</v>
      </c>
      <c r="J74" s="84">
        <v>8285.04</v>
      </c>
      <c r="K74" s="84">
        <v>6144.96</v>
      </c>
      <c r="L74" s="84">
        <v>2140.080000000001</v>
      </c>
      <c r="M74" s="46" t="s">
        <v>156</v>
      </c>
      <c r="N74" s="46" t="s">
        <v>200</v>
      </c>
      <c r="O74" s="46" t="s">
        <v>146</v>
      </c>
      <c r="P74" s="46" t="s">
        <v>158</v>
      </c>
      <c r="Q74" s="46" t="str">
        <f t="shared" si="1"/>
        <v>February, 2014</v>
      </c>
      <c r="R74" s="115">
        <f t="shared" si="2"/>
        <v>41671</v>
      </c>
      <c r="S74" s="49">
        <f t="array" ref="S74">WEEKDAY(D74,2)</f>
        <v>6</v>
      </c>
      <c r="T74" s="46" t="s">
        <v>129</v>
      </c>
      <c r="U74" s="46" t="str">
        <f t="array" ref="U74">TEXT(D74,"dddd")</f>
        <v>Saturday</v>
      </c>
    </row>
    <row r="75" hidden="1">
      <c r="A75" s="46">
        <v>1.42987763E8</v>
      </c>
      <c r="B75" s="137" t="s">
        <v>216</v>
      </c>
      <c r="C75" s="137">
        <v>2013.0</v>
      </c>
      <c r="D75" s="138">
        <v>41504.0</v>
      </c>
      <c r="E75" s="139">
        <v>41518.0</v>
      </c>
      <c r="F75" s="142" t="s">
        <v>221</v>
      </c>
      <c r="G75" s="142">
        <v>2013.0</v>
      </c>
      <c r="H75" s="46">
        <v>7940.0</v>
      </c>
      <c r="I75" s="46">
        <v>2112.0</v>
      </c>
      <c r="J75" s="84">
        <v>1411386.24</v>
      </c>
      <c r="K75" s="84">
        <v>1061364.48</v>
      </c>
      <c r="L75" s="84">
        <v>350021.76</v>
      </c>
      <c r="M75" s="46" t="s">
        <v>148</v>
      </c>
      <c r="N75" s="46" t="s">
        <v>192</v>
      </c>
      <c r="O75" s="46" t="s">
        <v>146</v>
      </c>
      <c r="P75" s="46" t="s">
        <v>158</v>
      </c>
      <c r="Q75" s="46" t="str">
        <f t="shared" si="1"/>
        <v>August, 2013</v>
      </c>
      <c r="R75" s="115">
        <f t="shared" si="2"/>
        <v>41487</v>
      </c>
      <c r="S75" s="49">
        <f t="array" ref="S75">WEEKDAY(D75,2)</f>
        <v>7</v>
      </c>
      <c r="T75" s="46" t="s">
        <v>121</v>
      </c>
      <c r="U75" s="46" t="str">
        <f t="array" ref="U75">TEXT(D75,"dddd")</f>
        <v>Sunday</v>
      </c>
    </row>
    <row r="76" hidden="1">
      <c r="A76" s="46">
        <v>1.43414771E8</v>
      </c>
      <c r="B76" s="137" t="s">
        <v>219</v>
      </c>
      <c r="C76" s="137">
        <v>2012.0</v>
      </c>
      <c r="D76" s="138">
        <v>41050.0</v>
      </c>
      <c r="E76" s="139">
        <v>41063.0</v>
      </c>
      <c r="F76" s="142" t="s">
        <v>220</v>
      </c>
      <c r="G76" s="142">
        <v>2012.0</v>
      </c>
      <c r="H76" s="46">
        <v>7940.0</v>
      </c>
      <c r="I76" s="46">
        <v>8473.0</v>
      </c>
      <c r="J76" s="84">
        <v>5662251.71</v>
      </c>
      <c r="K76" s="84">
        <v>4258021.42</v>
      </c>
      <c r="L76" s="84">
        <v>1404230.29</v>
      </c>
      <c r="M76" s="46" t="s">
        <v>148</v>
      </c>
      <c r="N76" s="46" t="s">
        <v>198</v>
      </c>
      <c r="O76" s="46" t="s">
        <v>146</v>
      </c>
      <c r="P76" s="46" t="s">
        <v>170</v>
      </c>
      <c r="Q76" s="46" t="str">
        <f t="shared" si="1"/>
        <v>May, 2012</v>
      </c>
      <c r="R76" s="115">
        <f t="shared" si="2"/>
        <v>41030</v>
      </c>
      <c r="S76" s="49">
        <f t="array" ref="S76">WEEKDAY(D76,2)</f>
        <v>1</v>
      </c>
      <c r="T76" s="46" t="s">
        <v>127</v>
      </c>
      <c r="U76" s="46" t="str">
        <f t="array" ref="U76">TEXT(D76,"dddd")</f>
        <v>Monday</v>
      </c>
    </row>
    <row r="77" hidden="1">
      <c r="A77" s="46">
        <v>1.44282948E8</v>
      </c>
      <c r="B77" s="137" t="s">
        <v>217</v>
      </c>
      <c r="C77" s="137">
        <v>2013.0</v>
      </c>
      <c r="D77" s="138">
        <v>41468.0</v>
      </c>
      <c r="E77" s="139">
        <v>41487.0</v>
      </c>
      <c r="F77" s="142" t="s">
        <v>216</v>
      </c>
      <c r="G77" s="142">
        <v>2013.0</v>
      </c>
      <c r="H77" s="46">
        <v>2103.0</v>
      </c>
      <c r="I77" s="46">
        <v>5386.0</v>
      </c>
      <c r="J77" s="84">
        <v>1107900.2</v>
      </c>
      <c r="K77" s="84">
        <v>630754.46</v>
      </c>
      <c r="L77" s="84">
        <v>477145.74</v>
      </c>
      <c r="M77" s="46" t="s">
        <v>144</v>
      </c>
      <c r="N77" s="46" t="s">
        <v>201</v>
      </c>
      <c r="O77" s="46" t="s">
        <v>146</v>
      </c>
      <c r="P77" s="46" t="s">
        <v>170</v>
      </c>
      <c r="Q77" s="46" t="str">
        <f t="shared" si="1"/>
        <v>July, 2013</v>
      </c>
      <c r="R77" s="115">
        <f t="shared" si="2"/>
        <v>41456</v>
      </c>
      <c r="S77" s="49">
        <f t="array" ref="S77">WEEKDAY(D77,2)</f>
        <v>6</v>
      </c>
      <c r="T77" s="46" t="s">
        <v>130</v>
      </c>
      <c r="U77" s="46" t="str">
        <f t="array" ref="U77">TEXT(D77,"dddd")</f>
        <v>Saturday</v>
      </c>
    </row>
    <row r="78" hidden="1">
      <c r="A78" s="46">
        <v>1.44743001E8</v>
      </c>
      <c r="B78" s="137" t="s">
        <v>222</v>
      </c>
      <c r="C78" s="137">
        <v>2013.0</v>
      </c>
      <c r="D78" s="138">
        <v>41345.0</v>
      </c>
      <c r="E78" s="139">
        <v>41385.0</v>
      </c>
      <c r="F78" s="142" t="s">
        <v>223</v>
      </c>
      <c r="G78" s="142">
        <v>2013.0</v>
      </c>
      <c r="H78" s="46">
        <v>7331.0</v>
      </c>
      <c r="I78" s="46">
        <v>1525.0</v>
      </c>
      <c r="J78" s="84">
        <v>389302.0</v>
      </c>
      <c r="K78" s="84">
        <v>243115.49999999997</v>
      </c>
      <c r="L78" s="84">
        <v>146186.50000000003</v>
      </c>
      <c r="M78" s="46" t="s">
        <v>161</v>
      </c>
      <c r="N78" s="46" t="s">
        <v>171</v>
      </c>
      <c r="O78" s="46" t="s">
        <v>146</v>
      </c>
      <c r="P78" s="46" t="s">
        <v>147</v>
      </c>
      <c r="Q78" s="46" t="str">
        <f t="shared" si="1"/>
        <v>March, 2013</v>
      </c>
      <c r="R78" s="115">
        <f t="shared" si="2"/>
        <v>41334</v>
      </c>
      <c r="S78" s="49">
        <f t="array" ref="S78">WEEKDAY(D78,2)</f>
        <v>2</v>
      </c>
      <c r="T78" s="46" t="s">
        <v>104</v>
      </c>
      <c r="U78" s="46" t="str">
        <f t="array" ref="U78">TEXT(D78,"dddd")</f>
        <v>Tuesday</v>
      </c>
    </row>
    <row r="79" hidden="1">
      <c r="A79" s="46">
        <v>1.44978606E8</v>
      </c>
      <c r="B79" s="137" t="s">
        <v>227</v>
      </c>
      <c r="C79" s="137">
        <v>2011.0</v>
      </c>
      <c r="D79" s="138">
        <v>40549.0</v>
      </c>
      <c r="E79" s="139">
        <v>40593.0</v>
      </c>
      <c r="F79" s="142" t="s">
        <v>228</v>
      </c>
      <c r="G79" s="142">
        <v>2011.0</v>
      </c>
      <c r="H79" s="46">
        <v>8681.0</v>
      </c>
      <c r="I79" s="46">
        <v>1246.0</v>
      </c>
      <c r="J79" s="84">
        <v>811407.66</v>
      </c>
      <c r="K79" s="84">
        <v>654100.16</v>
      </c>
      <c r="L79" s="84">
        <v>157307.5</v>
      </c>
      <c r="M79" s="46" t="s">
        <v>153</v>
      </c>
      <c r="N79" s="46" t="s">
        <v>198</v>
      </c>
      <c r="O79" s="46" t="s">
        <v>146</v>
      </c>
      <c r="P79" s="46" t="s">
        <v>170</v>
      </c>
      <c r="Q79" s="46" t="str">
        <f t="shared" si="1"/>
        <v>January, 2011</v>
      </c>
      <c r="R79" s="115">
        <f t="shared" si="2"/>
        <v>40544</v>
      </c>
      <c r="S79" s="49">
        <f t="array" ref="S79">WEEKDAY(D79,2)</f>
        <v>4</v>
      </c>
      <c r="T79" s="46" t="s">
        <v>127</v>
      </c>
      <c r="U79" s="46" t="str">
        <f t="array" ref="U79">TEXT(D79,"dddd")</f>
        <v>Thursday</v>
      </c>
    </row>
    <row r="80" hidden="1">
      <c r="A80" s="46">
        <v>1.46349751E8</v>
      </c>
      <c r="B80" s="137" t="s">
        <v>219</v>
      </c>
      <c r="C80" s="137">
        <v>2017.0</v>
      </c>
      <c r="D80" s="138">
        <v>42856.0</v>
      </c>
      <c r="E80" s="139">
        <v>42899.0</v>
      </c>
      <c r="F80" s="142" t="s">
        <v>220</v>
      </c>
      <c r="G80" s="142">
        <v>2017.0</v>
      </c>
      <c r="H80" s="46">
        <v>5988.0</v>
      </c>
      <c r="I80" s="46">
        <v>6999.0</v>
      </c>
      <c r="J80" s="84">
        <v>1078265.94</v>
      </c>
      <c r="K80" s="84">
        <v>636419.0700000001</v>
      </c>
      <c r="L80" s="84">
        <v>441846.8699999999</v>
      </c>
      <c r="M80" s="46" t="s">
        <v>159</v>
      </c>
      <c r="N80" s="46" t="s">
        <v>177</v>
      </c>
      <c r="O80" s="46" t="s">
        <v>146</v>
      </c>
      <c r="P80" s="46" t="s">
        <v>170</v>
      </c>
      <c r="Q80" s="46" t="str">
        <f t="shared" si="1"/>
        <v>May, 2017</v>
      </c>
      <c r="R80" s="115">
        <f t="shared" si="2"/>
        <v>42856</v>
      </c>
      <c r="S80" s="49">
        <f t="array" ref="S80">WEEKDAY(D80,2)</f>
        <v>1</v>
      </c>
      <c r="T80" s="46" t="s">
        <v>110</v>
      </c>
      <c r="U80" s="46" t="str">
        <f t="array" ref="U80">TEXT(D80,"dddd")</f>
        <v>Monday</v>
      </c>
    </row>
    <row r="81" hidden="1">
      <c r="A81" s="46">
        <v>1.46545875E8</v>
      </c>
      <c r="B81" s="137" t="s">
        <v>224</v>
      </c>
      <c r="C81" s="137">
        <v>2011.0</v>
      </c>
      <c r="D81" s="138">
        <v>40874.0</v>
      </c>
      <c r="E81" s="139">
        <v>40915.0</v>
      </c>
      <c r="F81" s="142" t="s">
        <v>227</v>
      </c>
      <c r="G81" s="142">
        <v>2012.0</v>
      </c>
      <c r="H81" s="46">
        <v>8293.0</v>
      </c>
      <c r="I81" s="46">
        <v>5036.0</v>
      </c>
      <c r="J81" s="84">
        <v>2201739.1999999997</v>
      </c>
      <c r="K81" s="84">
        <v>1326129.88</v>
      </c>
      <c r="L81" s="84">
        <v>875609.3199999998</v>
      </c>
      <c r="M81" s="46" t="s">
        <v>178</v>
      </c>
      <c r="N81" s="46" t="s">
        <v>154</v>
      </c>
      <c r="O81" s="46" t="s">
        <v>146</v>
      </c>
      <c r="P81" s="46" t="s">
        <v>155</v>
      </c>
      <c r="Q81" s="46" t="str">
        <f t="shared" si="1"/>
        <v>November, 2011</v>
      </c>
      <c r="R81" s="115">
        <f t="shared" si="2"/>
        <v>40848</v>
      </c>
      <c r="S81" s="49">
        <f t="array" ref="S81">WEEKDAY(D81,2)</f>
        <v>7</v>
      </c>
      <c r="T81" s="46" t="s">
        <v>96</v>
      </c>
      <c r="U81" s="46" t="str">
        <f t="array" ref="U81">TEXT(D81,"dddd")</f>
        <v>Sunday</v>
      </c>
    </row>
    <row r="82" hidden="1">
      <c r="A82" s="46">
        <v>1.47826898E8</v>
      </c>
      <c r="B82" s="137" t="s">
        <v>221</v>
      </c>
      <c r="C82" s="137">
        <v>2015.0</v>
      </c>
      <c r="D82" s="138">
        <v>42276.0</v>
      </c>
      <c r="E82" s="139">
        <v>42313.0</v>
      </c>
      <c r="F82" s="142" t="s">
        <v>224</v>
      </c>
      <c r="G82" s="142">
        <v>2015.0</v>
      </c>
      <c r="H82" s="46">
        <v>8293.0</v>
      </c>
      <c r="I82" s="46">
        <v>4119.0</v>
      </c>
      <c r="J82" s="84">
        <v>1800826.8</v>
      </c>
      <c r="K82" s="84">
        <v>1084656.27</v>
      </c>
      <c r="L82" s="84">
        <v>716170.53</v>
      </c>
      <c r="M82" s="46" t="s">
        <v>178</v>
      </c>
      <c r="N82" s="46" t="s">
        <v>176</v>
      </c>
      <c r="O82" s="46" t="s">
        <v>146</v>
      </c>
      <c r="P82" s="46" t="s">
        <v>158</v>
      </c>
      <c r="Q82" s="46" t="str">
        <f t="shared" si="1"/>
        <v>September, 2015</v>
      </c>
      <c r="R82" s="115">
        <f t="shared" si="2"/>
        <v>42248</v>
      </c>
      <c r="S82" s="49">
        <f t="array" ref="S82">WEEKDAY(D82,2)</f>
        <v>2</v>
      </c>
      <c r="T82" s="46" t="s">
        <v>109</v>
      </c>
      <c r="U82" s="46" t="str">
        <f t="array" ref="U82">TEXT(D82,"dddd")</f>
        <v>Tuesday</v>
      </c>
    </row>
    <row r="83" hidden="1">
      <c r="A83" s="46">
        <v>1.48894631E8</v>
      </c>
      <c r="B83" s="137" t="s">
        <v>221</v>
      </c>
      <c r="C83" s="137">
        <v>2013.0</v>
      </c>
      <c r="D83" s="138">
        <v>41536.0</v>
      </c>
      <c r="E83" s="139">
        <v>41542.0</v>
      </c>
      <c r="F83" s="142" t="s">
        <v>221</v>
      </c>
      <c r="G83" s="142">
        <v>2013.0</v>
      </c>
      <c r="H83" s="46">
        <v>8681.0</v>
      </c>
      <c r="I83" s="46">
        <v>85.0</v>
      </c>
      <c r="J83" s="84">
        <v>55352.850000000006</v>
      </c>
      <c r="K83" s="84">
        <v>44621.600000000006</v>
      </c>
      <c r="L83" s="84">
        <v>10731.25</v>
      </c>
      <c r="M83" s="46" t="s">
        <v>153</v>
      </c>
      <c r="N83" s="46" t="s">
        <v>173</v>
      </c>
      <c r="O83" s="46" t="s">
        <v>146</v>
      </c>
      <c r="P83" s="46" t="s">
        <v>155</v>
      </c>
      <c r="Q83" s="46" t="str">
        <f t="shared" si="1"/>
        <v>September, 2013</v>
      </c>
      <c r="R83" s="115">
        <f t="shared" si="2"/>
        <v>41518</v>
      </c>
      <c r="S83" s="49">
        <f t="array" ref="S83">WEEKDAY(D83,2)</f>
        <v>4</v>
      </c>
      <c r="T83" s="46" t="s">
        <v>106</v>
      </c>
      <c r="U83" s="46" t="str">
        <f t="array" ref="U83">TEXT(D83,"dddd")</f>
        <v>Thursday</v>
      </c>
    </row>
    <row r="84" hidden="1">
      <c r="A84" s="46">
        <v>1.49274003E8</v>
      </c>
      <c r="B84" s="137" t="s">
        <v>223</v>
      </c>
      <c r="C84" s="137">
        <v>2013.0</v>
      </c>
      <c r="D84" s="138">
        <v>41393.0</v>
      </c>
      <c r="E84" s="139">
        <v>41423.0</v>
      </c>
      <c r="F84" s="142" t="s">
        <v>219</v>
      </c>
      <c r="G84" s="142">
        <v>2013.0</v>
      </c>
      <c r="H84" s="46">
        <v>7940.0</v>
      </c>
      <c r="I84" s="46">
        <v>2350.0</v>
      </c>
      <c r="J84" s="84">
        <v>1570434.5</v>
      </c>
      <c r="K84" s="84">
        <v>1180969.0</v>
      </c>
      <c r="L84" s="84">
        <v>389465.5</v>
      </c>
      <c r="M84" s="46" t="s">
        <v>148</v>
      </c>
      <c r="N84" s="46" t="s">
        <v>183</v>
      </c>
      <c r="O84" s="46" t="s">
        <v>146</v>
      </c>
      <c r="P84" s="46" t="s">
        <v>170</v>
      </c>
      <c r="Q84" s="46" t="str">
        <f t="shared" si="1"/>
        <v>April, 2013</v>
      </c>
      <c r="R84" s="115">
        <f t="shared" si="2"/>
        <v>41365</v>
      </c>
      <c r="S84" s="49">
        <f t="array" ref="S84">WEEKDAY(D84,2)</f>
        <v>1</v>
      </c>
      <c r="T84" s="46" t="s">
        <v>90</v>
      </c>
      <c r="U84" s="46" t="str">
        <f t="array" ref="U84">TEXT(D84,"dddd")</f>
        <v>Monday</v>
      </c>
    </row>
    <row r="85">
      <c r="A85" s="46">
        <v>1.50293242E8</v>
      </c>
      <c r="B85" s="137" t="s">
        <v>219</v>
      </c>
      <c r="C85" s="137">
        <v>2015.0</v>
      </c>
      <c r="D85" s="138">
        <v>42143.0</v>
      </c>
      <c r="E85" s="139">
        <v>42176.0</v>
      </c>
      <c r="F85" s="142" t="s">
        <v>220</v>
      </c>
      <c r="G85" s="142">
        <v>2015.0</v>
      </c>
      <c r="H85" s="46">
        <v>8681.0</v>
      </c>
      <c r="I85" s="46">
        <v>3965.0</v>
      </c>
      <c r="J85" s="84">
        <v>2582047.6500000004</v>
      </c>
      <c r="K85" s="84">
        <v>2081466.4000000001</v>
      </c>
      <c r="L85" s="84">
        <v>500581.25000000023</v>
      </c>
      <c r="M85" s="46" t="s">
        <v>153</v>
      </c>
      <c r="N85" s="46" t="s">
        <v>149</v>
      </c>
      <c r="O85" s="46" t="s">
        <v>149</v>
      </c>
      <c r="P85" s="46" t="s">
        <v>218</v>
      </c>
      <c r="Q85" s="46" t="str">
        <f t="shared" si="1"/>
        <v>May, 2015</v>
      </c>
      <c r="R85" s="115">
        <f t="shared" si="2"/>
        <v>42125</v>
      </c>
      <c r="S85" s="49">
        <f t="array" ref="S85">WEEKDAY(D85,2)</f>
        <v>2</v>
      </c>
      <c r="T85" s="46" t="s">
        <v>92</v>
      </c>
      <c r="U85" s="46" t="str">
        <f t="array" ref="U85">TEXT(D85,"dddd")</f>
        <v>Tuesday</v>
      </c>
    </row>
    <row r="86" hidden="1">
      <c r="A86" s="46">
        <v>1.51312482E8</v>
      </c>
      <c r="B86" s="137" t="s">
        <v>220</v>
      </c>
      <c r="C86" s="137">
        <v>2017.0</v>
      </c>
      <c r="D86" s="138">
        <v>42892.0</v>
      </c>
      <c r="E86" s="139">
        <v>42928.0</v>
      </c>
      <c r="F86" s="142" t="s">
        <v>217</v>
      </c>
      <c r="G86" s="142">
        <v>2017.0</v>
      </c>
      <c r="H86" s="46">
        <v>8293.0</v>
      </c>
      <c r="I86" s="46">
        <v>5581.0</v>
      </c>
      <c r="J86" s="84">
        <v>2440013.1999999997</v>
      </c>
      <c r="K86" s="84">
        <v>1469644.73</v>
      </c>
      <c r="L86" s="84">
        <v>970368.4699999997</v>
      </c>
      <c r="M86" s="46" t="s">
        <v>178</v>
      </c>
      <c r="N86" s="46" t="s">
        <v>184</v>
      </c>
      <c r="O86" s="46" t="s">
        <v>146</v>
      </c>
      <c r="P86" s="46" t="s">
        <v>155</v>
      </c>
      <c r="Q86" s="46" t="str">
        <f t="shared" si="1"/>
        <v>June, 2017</v>
      </c>
      <c r="R86" s="115">
        <f t="shared" si="2"/>
        <v>42887</v>
      </c>
      <c r="S86" s="49">
        <f t="array" ref="S86">WEEKDAY(D86,2)</f>
        <v>2</v>
      </c>
      <c r="T86" s="46" t="s">
        <v>114</v>
      </c>
      <c r="U86" s="46" t="str">
        <f t="array" ref="U86">TEXT(D86,"dddd")</f>
        <v>Tuesday</v>
      </c>
    </row>
    <row r="87" hidden="1">
      <c r="A87" s="46">
        <v>1.52191388E8</v>
      </c>
      <c r="B87" s="137" t="s">
        <v>219</v>
      </c>
      <c r="C87" s="137">
        <v>2012.0</v>
      </c>
      <c r="D87" s="138">
        <v>41047.0</v>
      </c>
      <c r="E87" s="139">
        <v>41082.0</v>
      </c>
      <c r="F87" s="142" t="s">
        <v>220</v>
      </c>
      <c r="G87" s="142">
        <v>2012.0</v>
      </c>
      <c r="H87" s="46">
        <v>7331.0</v>
      </c>
      <c r="I87" s="46">
        <v>5669.0</v>
      </c>
      <c r="J87" s="84">
        <v>1447182.32</v>
      </c>
      <c r="K87" s="84">
        <v>903751.98</v>
      </c>
      <c r="L87" s="84">
        <v>543430.3400000001</v>
      </c>
      <c r="M87" s="46" t="s">
        <v>161</v>
      </c>
      <c r="N87" s="46" t="s">
        <v>202</v>
      </c>
      <c r="O87" s="46" t="s">
        <v>146</v>
      </c>
      <c r="P87" s="46" t="s">
        <v>147</v>
      </c>
      <c r="Q87" s="46" t="str">
        <f t="shared" si="1"/>
        <v>May, 2012</v>
      </c>
      <c r="R87" s="115">
        <f t="shared" si="2"/>
        <v>41030</v>
      </c>
      <c r="S87" s="49">
        <f t="array" ref="S87">WEEKDAY(D87,2)</f>
        <v>5</v>
      </c>
      <c r="T87" s="46" t="s">
        <v>131</v>
      </c>
      <c r="U87" s="46" t="str">
        <f t="array" ref="U87">TEXT(D87,"dddd")</f>
        <v>Friday</v>
      </c>
    </row>
    <row r="88" hidden="1">
      <c r="A88" s="46">
        <v>1.52411115E8</v>
      </c>
      <c r="B88" s="137" t="s">
        <v>227</v>
      </c>
      <c r="C88" s="137">
        <v>2013.0</v>
      </c>
      <c r="D88" s="138">
        <v>41278.0</v>
      </c>
      <c r="E88" s="139">
        <v>41326.0</v>
      </c>
      <c r="F88" s="142" t="s">
        <v>228</v>
      </c>
      <c r="G88" s="142">
        <v>2013.0</v>
      </c>
      <c r="H88" s="46">
        <v>8875.0</v>
      </c>
      <c r="I88" s="46">
        <v>691.0</v>
      </c>
      <c r="J88" s="84">
        <v>291525.99</v>
      </c>
      <c r="K88" s="84">
        <v>252000.79</v>
      </c>
      <c r="L88" s="84">
        <v>39525.19999999998</v>
      </c>
      <c r="M88" s="46" t="s">
        <v>167</v>
      </c>
      <c r="N88" s="46" t="s">
        <v>203</v>
      </c>
      <c r="O88" s="46" t="s">
        <v>146</v>
      </c>
      <c r="P88" s="46" t="s">
        <v>170</v>
      </c>
      <c r="Q88" s="46" t="str">
        <f t="shared" si="1"/>
        <v>January, 2013</v>
      </c>
      <c r="R88" s="115">
        <f t="shared" si="2"/>
        <v>41275</v>
      </c>
      <c r="S88" s="49">
        <f t="array" ref="S88">WEEKDAY(D88,2)</f>
        <v>5</v>
      </c>
      <c r="T88" s="46" t="s">
        <v>132</v>
      </c>
      <c r="U88" s="46" t="str">
        <f t="array" ref="U88">TEXT(D88,"dddd")</f>
        <v>Friday</v>
      </c>
    </row>
    <row r="89" hidden="1">
      <c r="A89" s="46">
        <v>1.52505099E8</v>
      </c>
      <c r="B89" s="137" t="s">
        <v>219</v>
      </c>
      <c r="C89" s="137">
        <v>2012.0</v>
      </c>
      <c r="D89" s="138">
        <v>41036.0</v>
      </c>
      <c r="E89" s="139">
        <v>41048.0</v>
      </c>
      <c r="F89" s="142" t="s">
        <v>219</v>
      </c>
      <c r="G89" s="142">
        <v>2012.0</v>
      </c>
      <c r="H89" s="46">
        <v>2455.0</v>
      </c>
      <c r="I89" s="46">
        <v>8503.0</v>
      </c>
      <c r="J89" s="84">
        <v>929207.84</v>
      </c>
      <c r="K89" s="84">
        <v>304747.52</v>
      </c>
      <c r="L89" s="84">
        <v>624460.32</v>
      </c>
      <c r="M89" s="46" t="s">
        <v>150</v>
      </c>
      <c r="N89" s="46" t="s">
        <v>191</v>
      </c>
      <c r="O89" s="46" t="s">
        <v>146</v>
      </c>
      <c r="P89" s="46" t="s">
        <v>147</v>
      </c>
      <c r="Q89" s="46" t="str">
        <f t="shared" si="1"/>
        <v>May, 2012</v>
      </c>
      <c r="R89" s="115">
        <f t="shared" si="2"/>
        <v>41030</v>
      </c>
      <c r="S89" s="49">
        <f t="array" ref="S89">WEEKDAY(D89,2)</f>
        <v>1</v>
      </c>
      <c r="T89" s="46" t="s">
        <v>120</v>
      </c>
      <c r="U89" s="46" t="str">
        <f t="array" ref="U89">TEXT(D89,"dddd")</f>
        <v>Monday</v>
      </c>
    </row>
    <row r="90" hidden="1">
      <c r="A90" s="46">
        <v>1.52746713E8</v>
      </c>
      <c r="B90" s="137" t="s">
        <v>219</v>
      </c>
      <c r="C90" s="137">
        <v>2010.0</v>
      </c>
      <c r="D90" s="138">
        <v>40300.0</v>
      </c>
      <c r="E90" s="139">
        <v>40306.0</v>
      </c>
      <c r="F90" s="142" t="s">
        <v>219</v>
      </c>
      <c r="G90" s="142">
        <v>2010.0</v>
      </c>
      <c r="H90" s="46">
        <v>8681.0</v>
      </c>
      <c r="I90" s="46">
        <v>2.0</v>
      </c>
      <c r="J90" s="84">
        <v>1302.42</v>
      </c>
      <c r="K90" s="84">
        <v>1049.92</v>
      </c>
      <c r="L90" s="84">
        <v>252.5</v>
      </c>
      <c r="M90" s="46" t="s">
        <v>153</v>
      </c>
      <c r="N90" s="46" t="s">
        <v>204</v>
      </c>
      <c r="O90" s="46" t="s">
        <v>146</v>
      </c>
      <c r="P90" s="46" t="s">
        <v>147</v>
      </c>
      <c r="Q90" s="46" t="str">
        <f t="shared" si="1"/>
        <v>May, 2010</v>
      </c>
      <c r="R90" s="115">
        <f t="shared" si="2"/>
        <v>40299</v>
      </c>
      <c r="S90" s="49">
        <f t="array" ref="S90">WEEKDAY(D90,2)</f>
        <v>7</v>
      </c>
      <c r="T90" s="46" t="s">
        <v>133</v>
      </c>
      <c r="U90" s="46" t="str">
        <f t="array" ref="U90">TEXT(D90,"dddd")</f>
        <v>Sunday</v>
      </c>
    </row>
    <row r="91" hidden="1">
      <c r="A91" s="46">
        <v>1.5397495E8</v>
      </c>
      <c r="B91" s="137" t="s">
        <v>216</v>
      </c>
      <c r="C91" s="137">
        <v>2011.0</v>
      </c>
      <c r="D91" s="138">
        <v>40777.0</v>
      </c>
      <c r="E91" s="139">
        <v>40806.0</v>
      </c>
      <c r="F91" s="142" t="s">
        <v>221</v>
      </c>
      <c r="G91" s="142">
        <v>2011.0</v>
      </c>
      <c r="H91" s="46">
        <v>4594.0</v>
      </c>
      <c r="I91" s="46">
        <v>3464.0</v>
      </c>
      <c r="J91" s="84">
        <v>32319.12</v>
      </c>
      <c r="K91" s="84">
        <v>23970.88</v>
      </c>
      <c r="L91" s="84">
        <v>8348.239999999998</v>
      </c>
      <c r="M91" s="46" t="s">
        <v>156</v>
      </c>
      <c r="N91" s="46" t="s">
        <v>203</v>
      </c>
      <c r="O91" s="46" t="s">
        <v>146</v>
      </c>
      <c r="P91" s="46" t="s">
        <v>170</v>
      </c>
      <c r="Q91" s="46" t="str">
        <f t="shared" si="1"/>
        <v>August, 2011</v>
      </c>
      <c r="R91" s="115">
        <f t="shared" si="2"/>
        <v>40756</v>
      </c>
      <c r="S91" s="49">
        <f t="array" ref="S91">WEEKDAY(D91,2)</f>
        <v>1</v>
      </c>
      <c r="T91" s="46" t="s">
        <v>132</v>
      </c>
      <c r="U91" s="46" t="str">
        <f t="array" ref="U91">TEXT(D91,"dddd")</f>
        <v>Monday</v>
      </c>
    </row>
    <row r="92" hidden="1">
      <c r="A92" s="46">
        <v>1.55086886E8</v>
      </c>
      <c r="B92" s="137" t="s">
        <v>227</v>
      </c>
      <c r="C92" s="137">
        <v>2014.0</v>
      </c>
      <c r="D92" s="138">
        <v>41667.0</v>
      </c>
      <c r="E92" s="139">
        <v>41675.0</v>
      </c>
      <c r="F92" s="142" t="s">
        <v>228</v>
      </c>
      <c r="G92" s="142">
        <v>2014.0</v>
      </c>
      <c r="H92" s="46">
        <v>8293.0</v>
      </c>
      <c r="I92" s="46">
        <v>2511.0</v>
      </c>
      <c r="J92" s="84">
        <v>1097809.2</v>
      </c>
      <c r="K92" s="84">
        <v>661221.63</v>
      </c>
      <c r="L92" s="84">
        <v>436587.56999999995</v>
      </c>
      <c r="M92" s="46" t="s">
        <v>178</v>
      </c>
      <c r="N92" s="46" t="s">
        <v>171</v>
      </c>
      <c r="O92" s="46" t="s">
        <v>146</v>
      </c>
      <c r="P92" s="46" t="s">
        <v>147</v>
      </c>
      <c r="Q92" s="46" t="str">
        <f t="shared" si="1"/>
        <v>January, 2014</v>
      </c>
      <c r="R92" s="115">
        <f t="shared" si="2"/>
        <v>41640</v>
      </c>
      <c r="S92" s="49">
        <f t="array" ref="S92">WEEKDAY(D92,2)</f>
        <v>2</v>
      </c>
      <c r="T92" s="46" t="s">
        <v>104</v>
      </c>
      <c r="U92" s="46" t="str">
        <f t="array" ref="U92">TEXT(D92,"dddd")</f>
        <v>Tuesday</v>
      </c>
    </row>
    <row r="93" hidden="1">
      <c r="A93" s="46">
        <v>1.55914723E8</v>
      </c>
      <c r="B93" s="137" t="s">
        <v>222</v>
      </c>
      <c r="C93" s="137">
        <v>2015.0</v>
      </c>
      <c r="D93" s="138">
        <v>42075.0</v>
      </c>
      <c r="E93" s="139">
        <v>42092.0</v>
      </c>
      <c r="F93" s="142" t="s">
        <v>222</v>
      </c>
      <c r="G93" s="142">
        <v>2015.0</v>
      </c>
      <c r="H93" s="46">
        <v>4594.0</v>
      </c>
      <c r="I93" s="46">
        <v>7486.0</v>
      </c>
      <c r="J93" s="84">
        <v>69844.38</v>
      </c>
      <c r="K93" s="84">
        <v>51803.12</v>
      </c>
      <c r="L93" s="84">
        <v>18041.260000000002</v>
      </c>
      <c r="M93" s="46" t="s">
        <v>156</v>
      </c>
      <c r="N93" s="46" t="s">
        <v>198</v>
      </c>
      <c r="O93" s="46" t="s">
        <v>146</v>
      </c>
      <c r="P93" s="46" t="s">
        <v>170</v>
      </c>
      <c r="Q93" s="46" t="str">
        <f t="shared" si="1"/>
        <v>March, 2015</v>
      </c>
      <c r="R93" s="115">
        <f t="shared" si="2"/>
        <v>42064</v>
      </c>
      <c r="S93" s="49">
        <f t="array" ref="S93">WEEKDAY(D93,2)</f>
        <v>4</v>
      </c>
      <c r="T93" s="46" t="s">
        <v>127</v>
      </c>
      <c r="U93" s="46" t="str">
        <f t="array" ref="U93">TEXT(D93,"dddd")</f>
        <v>Thursday</v>
      </c>
    </row>
    <row r="94" hidden="1">
      <c r="A94" s="46">
        <v>1.56158483E8</v>
      </c>
      <c r="B94" s="137" t="s">
        <v>220</v>
      </c>
      <c r="C94" s="137">
        <v>2016.0</v>
      </c>
      <c r="D94" s="138">
        <v>42547.0</v>
      </c>
      <c r="E94" s="139">
        <v>42587.0</v>
      </c>
      <c r="F94" s="142" t="s">
        <v>216</v>
      </c>
      <c r="G94" s="142">
        <v>2016.0</v>
      </c>
      <c r="H94" s="46">
        <v>2455.0</v>
      </c>
      <c r="I94" s="46">
        <v>9620.0</v>
      </c>
      <c r="J94" s="84">
        <v>1051273.6</v>
      </c>
      <c r="K94" s="84">
        <v>344780.80000000005</v>
      </c>
      <c r="L94" s="84">
        <v>706492.8</v>
      </c>
      <c r="M94" s="46" t="s">
        <v>150</v>
      </c>
      <c r="N94" s="46" t="s">
        <v>177</v>
      </c>
      <c r="O94" s="46" t="s">
        <v>146</v>
      </c>
      <c r="P94" s="46" t="s">
        <v>170</v>
      </c>
      <c r="Q94" s="46" t="str">
        <f t="shared" si="1"/>
        <v>June, 2016</v>
      </c>
      <c r="R94" s="115">
        <f t="shared" si="2"/>
        <v>42522</v>
      </c>
      <c r="S94" s="49">
        <f t="array" ref="S94">WEEKDAY(D94,2)</f>
        <v>7</v>
      </c>
      <c r="T94" s="46" t="s">
        <v>110</v>
      </c>
      <c r="U94" s="46" t="str">
        <f t="array" ref="U94">TEXT(D94,"dddd")</f>
        <v>Sunday</v>
      </c>
    </row>
    <row r="95" hidden="1">
      <c r="A95" s="46">
        <v>1.58479773E8</v>
      </c>
      <c r="B95" s="137" t="s">
        <v>219</v>
      </c>
      <c r="C95" s="137">
        <v>2015.0</v>
      </c>
      <c r="D95" s="138">
        <v>42143.0</v>
      </c>
      <c r="E95" s="139">
        <v>42173.0</v>
      </c>
      <c r="F95" s="142" t="s">
        <v>220</v>
      </c>
      <c r="G95" s="142">
        <v>2015.0</v>
      </c>
      <c r="H95" s="46">
        <v>7331.0</v>
      </c>
      <c r="I95" s="46">
        <v>6542.0</v>
      </c>
      <c r="J95" s="84">
        <v>1670041.76</v>
      </c>
      <c r="K95" s="84">
        <v>1042925.6399999999</v>
      </c>
      <c r="L95" s="84">
        <v>627116.1200000001</v>
      </c>
      <c r="M95" s="46" t="s">
        <v>161</v>
      </c>
      <c r="N95" s="46" t="s">
        <v>179</v>
      </c>
      <c r="O95" s="46" t="s">
        <v>146</v>
      </c>
      <c r="P95" s="46" t="s">
        <v>155</v>
      </c>
      <c r="Q95" s="46" t="str">
        <f t="shared" si="1"/>
        <v>May, 2015</v>
      </c>
      <c r="R95" s="115">
        <f t="shared" si="2"/>
        <v>42125</v>
      </c>
      <c r="S95" s="49">
        <f t="array" ref="S95">WEEKDAY(D95,2)</f>
        <v>2</v>
      </c>
      <c r="T95" s="46" t="s">
        <v>111</v>
      </c>
      <c r="U95" s="46" t="str">
        <f t="array" ref="U95">TEXT(D95,"dddd")</f>
        <v>Tuesday</v>
      </c>
    </row>
    <row r="96" hidden="1">
      <c r="A96" s="46">
        <v>1.58673751E8</v>
      </c>
      <c r="B96" s="137" t="s">
        <v>222</v>
      </c>
      <c r="C96" s="137">
        <v>2014.0</v>
      </c>
      <c r="D96" s="138">
        <v>41720.0</v>
      </c>
      <c r="E96" s="139">
        <v>41769.0</v>
      </c>
      <c r="F96" s="142" t="s">
        <v>219</v>
      </c>
      <c r="G96" s="142">
        <v>2014.0</v>
      </c>
      <c r="H96" s="46">
        <v>8969.0</v>
      </c>
      <c r="I96" s="46">
        <v>3944.0</v>
      </c>
      <c r="J96" s="84">
        <v>601775.52</v>
      </c>
      <c r="K96" s="84">
        <v>384303.36</v>
      </c>
      <c r="L96" s="84">
        <v>217472.16000000003</v>
      </c>
      <c r="M96" s="46" t="s">
        <v>182</v>
      </c>
      <c r="N96" s="46" t="s">
        <v>163</v>
      </c>
      <c r="O96" s="46" t="s">
        <v>146</v>
      </c>
      <c r="P96" s="46" t="s">
        <v>158</v>
      </c>
      <c r="Q96" s="46" t="str">
        <f t="shared" si="1"/>
        <v>March, 2014</v>
      </c>
      <c r="R96" s="115">
        <f t="shared" si="2"/>
        <v>41699</v>
      </c>
      <c r="S96" s="49">
        <f t="array" ref="S96">WEEKDAY(D96,2)</f>
        <v>6</v>
      </c>
      <c r="T96" s="46" t="s">
        <v>100</v>
      </c>
      <c r="U96" s="46" t="str">
        <f t="array" ref="U96">TEXT(D96,"dddd")</f>
        <v>Saturday</v>
      </c>
    </row>
    <row r="97" hidden="1">
      <c r="A97" s="46">
        <v>1.59232509E8</v>
      </c>
      <c r="B97" s="137" t="s">
        <v>220</v>
      </c>
      <c r="C97" s="137">
        <v>2014.0</v>
      </c>
      <c r="D97" s="138">
        <v>41798.0</v>
      </c>
      <c r="E97" s="139">
        <v>41834.0</v>
      </c>
      <c r="F97" s="142" t="s">
        <v>217</v>
      </c>
      <c r="G97" s="142">
        <v>2014.0</v>
      </c>
      <c r="H97" s="46">
        <v>4594.0</v>
      </c>
      <c r="I97" s="46">
        <v>9293.0</v>
      </c>
      <c r="J97" s="84">
        <v>86703.69</v>
      </c>
      <c r="K97" s="84">
        <v>64307.56</v>
      </c>
      <c r="L97" s="84">
        <v>22396.130000000005</v>
      </c>
      <c r="M97" s="46" t="s">
        <v>156</v>
      </c>
      <c r="N97" s="46" t="s">
        <v>193</v>
      </c>
      <c r="O97" s="46" t="s">
        <v>146</v>
      </c>
      <c r="P97" s="46" t="s">
        <v>158</v>
      </c>
      <c r="Q97" s="46" t="str">
        <f t="shared" si="1"/>
        <v>June, 2014</v>
      </c>
      <c r="R97" s="115">
        <f t="shared" si="2"/>
        <v>41791</v>
      </c>
      <c r="S97" s="49">
        <f t="array" ref="S97">WEEKDAY(D97,2)</f>
        <v>7</v>
      </c>
      <c r="T97" s="46" t="s">
        <v>122</v>
      </c>
      <c r="U97" s="46" t="str">
        <f t="array" ref="U97">TEXT(D97,"dddd")</f>
        <v>Sunday</v>
      </c>
    </row>
    <row r="98">
      <c r="A98" s="46">
        <v>1.59805858E8</v>
      </c>
      <c r="B98" s="137" t="s">
        <v>224</v>
      </c>
      <c r="C98" s="137">
        <v>2012.0</v>
      </c>
      <c r="D98" s="138">
        <v>41232.0</v>
      </c>
      <c r="E98" s="139">
        <v>41260.0</v>
      </c>
      <c r="F98" s="142" t="s">
        <v>225</v>
      </c>
      <c r="G98" s="142">
        <v>2012.0</v>
      </c>
      <c r="H98" s="46">
        <v>8875.0</v>
      </c>
      <c r="I98" s="46">
        <v>8959.0</v>
      </c>
      <c r="J98" s="84">
        <v>3779712.51</v>
      </c>
      <c r="K98" s="84">
        <v>3267257.71</v>
      </c>
      <c r="L98" s="84">
        <v>512454.7999999998</v>
      </c>
      <c r="M98" s="46" t="s">
        <v>167</v>
      </c>
      <c r="N98" s="46" t="s">
        <v>149</v>
      </c>
      <c r="O98" s="46" t="s">
        <v>149</v>
      </c>
      <c r="P98" s="46" t="s">
        <v>218</v>
      </c>
      <c r="Q98" s="46" t="str">
        <f t="shared" si="1"/>
        <v>November, 2012</v>
      </c>
      <c r="R98" s="115">
        <f t="shared" si="2"/>
        <v>41214</v>
      </c>
      <c r="S98" s="49">
        <f t="array" ref="S98">WEEKDAY(D98,2)</f>
        <v>1</v>
      </c>
      <c r="T98" s="46" t="s">
        <v>92</v>
      </c>
      <c r="U98" s="46" t="str">
        <f t="array" ref="U98">TEXT(D98,"dddd")</f>
        <v>Monday</v>
      </c>
    </row>
    <row r="99" hidden="1">
      <c r="A99" s="46">
        <v>1.60578763E8</v>
      </c>
      <c r="B99" s="137" t="s">
        <v>221</v>
      </c>
      <c r="C99" s="137">
        <v>2015.0</v>
      </c>
      <c r="D99" s="138">
        <v>42274.0</v>
      </c>
      <c r="E99" s="139">
        <v>42307.0</v>
      </c>
      <c r="F99" s="142" t="s">
        <v>226</v>
      </c>
      <c r="G99" s="142">
        <v>2015.0</v>
      </c>
      <c r="H99" s="46">
        <v>8681.0</v>
      </c>
      <c r="I99" s="46">
        <v>7679.0</v>
      </c>
      <c r="J99" s="84">
        <v>5000641.59</v>
      </c>
      <c r="K99" s="84">
        <v>4031167.8400000003</v>
      </c>
      <c r="L99" s="84">
        <v>969473.7499999995</v>
      </c>
      <c r="M99" s="46" t="s">
        <v>153</v>
      </c>
      <c r="N99" s="46" t="s">
        <v>172</v>
      </c>
      <c r="O99" s="46" t="s">
        <v>146</v>
      </c>
      <c r="P99" s="46" t="s">
        <v>155</v>
      </c>
      <c r="Q99" s="46" t="str">
        <f t="shared" si="1"/>
        <v>September, 2015</v>
      </c>
      <c r="R99" s="115">
        <f t="shared" si="2"/>
        <v>42248</v>
      </c>
      <c r="S99" s="49">
        <f t="array" ref="S99">WEEKDAY(D99,2)</f>
        <v>7</v>
      </c>
      <c r="T99" s="46" t="s">
        <v>105</v>
      </c>
      <c r="U99" s="46" t="str">
        <f t="array" ref="U99">TEXT(D99,"dddd")</f>
        <v>Sunday</v>
      </c>
    </row>
    <row r="100" hidden="1">
      <c r="A100" s="46">
        <v>1.60751283E8</v>
      </c>
      <c r="B100" s="137" t="s">
        <v>226</v>
      </c>
      <c r="C100" s="137">
        <v>2011.0</v>
      </c>
      <c r="D100" s="138">
        <v>40845.0</v>
      </c>
      <c r="E100" s="139">
        <v>40860.0</v>
      </c>
      <c r="F100" s="142" t="s">
        <v>224</v>
      </c>
      <c r="G100" s="142">
        <v>2011.0</v>
      </c>
      <c r="H100" s="46">
        <v>3127.0</v>
      </c>
      <c r="I100" s="46">
        <v>8732.0</v>
      </c>
      <c r="J100" s="84">
        <v>713666.36</v>
      </c>
      <c r="K100" s="84">
        <v>494842.44</v>
      </c>
      <c r="L100" s="84">
        <v>218823.91999999998</v>
      </c>
      <c r="M100" s="46" t="s">
        <v>185</v>
      </c>
      <c r="N100" s="46" t="s">
        <v>195</v>
      </c>
      <c r="O100" s="46" t="s">
        <v>146</v>
      </c>
      <c r="P100" s="46" t="s">
        <v>170</v>
      </c>
      <c r="Q100" s="46" t="str">
        <f t="shared" si="1"/>
        <v>October, 2011</v>
      </c>
      <c r="R100" s="115">
        <f t="shared" si="2"/>
        <v>40817</v>
      </c>
      <c r="S100" s="49">
        <f t="array" ref="S100">WEEKDAY(D100,2)</f>
        <v>6</v>
      </c>
      <c r="T100" s="46" t="s">
        <v>124</v>
      </c>
      <c r="U100" s="46" t="str">
        <f t="array" ref="U100">TEXT(D100,"dddd")</f>
        <v>Saturday</v>
      </c>
    </row>
    <row r="101" hidden="1">
      <c r="A101" s="46">
        <v>1.61399304E8</v>
      </c>
      <c r="B101" s="137" t="s">
        <v>222</v>
      </c>
      <c r="C101" s="137">
        <v>2010.0</v>
      </c>
      <c r="D101" s="138">
        <v>40238.0</v>
      </c>
      <c r="E101" s="139">
        <v>40252.0</v>
      </c>
      <c r="F101" s="142" t="s">
        <v>222</v>
      </c>
      <c r="G101" s="142">
        <v>2010.0</v>
      </c>
      <c r="H101" s="46">
        <v>8293.0</v>
      </c>
      <c r="I101" s="46">
        <v>496.0</v>
      </c>
      <c r="J101" s="84">
        <v>216851.19999999998</v>
      </c>
      <c r="K101" s="84">
        <v>130611.68</v>
      </c>
      <c r="L101" s="84">
        <v>86239.51999999999</v>
      </c>
      <c r="M101" s="46" t="s">
        <v>178</v>
      </c>
      <c r="N101" s="46" t="s">
        <v>154</v>
      </c>
      <c r="O101" s="46" t="s">
        <v>146</v>
      </c>
      <c r="P101" s="46" t="s">
        <v>155</v>
      </c>
      <c r="Q101" s="46" t="str">
        <f t="shared" si="1"/>
        <v>March, 2010</v>
      </c>
      <c r="R101" s="115">
        <f t="shared" si="2"/>
        <v>40238</v>
      </c>
      <c r="S101" s="49">
        <f t="array" ref="S101">WEEKDAY(D101,2)</f>
        <v>1</v>
      </c>
      <c r="T101" s="46" t="s">
        <v>96</v>
      </c>
      <c r="U101" s="46" t="str">
        <f t="array" ref="U101">TEXT(D101,"dddd")</f>
        <v>Monday</v>
      </c>
    </row>
    <row r="102" hidden="1">
      <c r="A102" s="46">
        <v>1.61607444E8</v>
      </c>
      <c r="B102" s="137" t="s">
        <v>216</v>
      </c>
      <c r="C102" s="137">
        <v>2012.0</v>
      </c>
      <c r="D102" s="138">
        <v>41143.0</v>
      </c>
      <c r="E102" s="139">
        <v>41185.0</v>
      </c>
      <c r="F102" s="142" t="s">
        <v>226</v>
      </c>
      <c r="G102" s="142">
        <v>2012.0</v>
      </c>
      <c r="H102" s="46">
        <v>8875.0</v>
      </c>
      <c r="I102" s="46">
        <v>2089.0</v>
      </c>
      <c r="J102" s="84">
        <v>881328.21</v>
      </c>
      <c r="K102" s="84">
        <v>761837.41</v>
      </c>
      <c r="L102" s="84">
        <v>119490.79999999993</v>
      </c>
      <c r="M102" s="46" t="s">
        <v>167</v>
      </c>
      <c r="N102" s="46" t="s">
        <v>172</v>
      </c>
      <c r="O102" s="46" t="s">
        <v>146</v>
      </c>
      <c r="P102" s="46" t="s">
        <v>155</v>
      </c>
      <c r="Q102" s="46" t="str">
        <f t="shared" si="1"/>
        <v>August, 2012</v>
      </c>
      <c r="R102" s="115">
        <f t="shared" si="2"/>
        <v>41122</v>
      </c>
      <c r="S102" s="49">
        <f t="array" ref="S102">WEEKDAY(D102,2)</f>
        <v>3</v>
      </c>
      <c r="T102" s="46" t="s">
        <v>105</v>
      </c>
      <c r="U102" s="46" t="str">
        <f t="array" ref="U102">TEXT(D102,"dddd")</f>
        <v>Wednesday</v>
      </c>
    </row>
    <row r="103" hidden="1">
      <c r="A103" s="46">
        <v>1.6181215E8</v>
      </c>
      <c r="B103" s="137" t="s">
        <v>224</v>
      </c>
      <c r="C103" s="137">
        <v>2012.0</v>
      </c>
      <c r="D103" s="138">
        <v>41222.0</v>
      </c>
      <c r="E103" s="139">
        <v>41225.0</v>
      </c>
      <c r="F103" s="142" t="s">
        <v>224</v>
      </c>
      <c r="G103" s="142">
        <v>2012.0</v>
      </c>
      <c r="H103" s="46">
        <v>2455.0</v>
      </c>
      <c r="I103" s="46">
        <v>2666.0</v>
      </c>
      <c r="J103" s="84">
        <v>291340.48</v>
      </c>
      <c r="K103" s="84">
        <v>95549.44</v>
      </c>
      <c r="L103" s="84">
        <v>195791.03999999998</v>
      </c>
      <c r="M103" s="46" t="s">
        <v>150</v>
      </c>
      <c r="N103" s="46" t="s">
        <v>205</v>
      </c>
      <c r="O103" s="46" t="s">
        <v>146</v>
      </c>
      <c r="P103" s="46" t="s">
        <v>170</v>
      </c>
      <c r="Q103" s="46" t="str">
        <f t="shared" si="1"/>
        <v>November, 2012</v>
      </c>
      <c r="R103" s="115">
        <f t="shared" si="2"/>
        <v>41214</v>
      </c>
      <c r="S103" s="49">
        <f t="array" ref="S103">WEEKDAY(D103,2)</f>
        <v>5</v>
      </c>
      <c r="T103" s="46" t="s">
        <v>135</v>
      </c>
      <c r="U103" s="46" t="str">
        <f t="array" ref="U103">TEXT(D103,"dddd")</f>
        <v>Friday</v>
      </c>
    </row>
    <row r="104" hidden="1">
      <c r="A104" s="46">
        <v>1.62791907E8</v>
      </c>
      <c r="B104" s="137" t="s">
        <v>216</v>
      </c>
      <c r="C104" s="137">
        <v>2011.0</v>
      </c>
      <c r="D104" s="138">
        <v>40785.0</v>
      </c>
      <c r="E104" s="139">
        <v>40835.0</v>
      </c>
      <c r="F104" s="142" t="s">
        <v>226</v>
      </c>
      <c r="G104" s="142">
        <v>2011.0</v>
      </c>
      <c r="H104" s="46">
        <v>1270.0</v>
      </c>
      <c r="I104" s="46">
        <v>2598.0</v>
      </c>
      <c r="J104" s="84">
        <v>123275.1</v>
      </c>
      <c r="K104" s="84">
        <v>82590.42</v>
      </c>
      <c r="L104" s="84">
        <v>40684.68000000001</v>
      </c>
      <c r="M104" s="46" t="s">
        <v>152</v>
      </c>
      <c r="N104" s="46" t="s">
        <v>179</v>
      </c>
      <c r="O104" s="46" t="s">
        <v>146</v>
      </c>
      <c r="P104" s="46" t="s">
        <v>155</v>
      </c>
      <c r="Q104" s="46" t="str">
        <f t="shared" si="1"/>
        <v>August, 2011</v>
      </c>
      <c r="R104" s="115">
        <f t="shared" si="2"/>
        <v>40756</v>
      </c>
      <c r="S104" s="49">
        <f t="array" ref="S104">WEEKDAY(D104,2)</f>
        <v>2</v>
      </c>
      <c r="T104" s="46" t="s">
        <v>111</v>
      </c>
      <c r="U104" s="46" t="str">
        <f t="array" ref="U104">TEXT(D104,"dddd")</f>
        <v>Tuesday</v>
      </c>
    </row>
    <row r="105" hidden="1">
      <c r="A105" s="46">
        <v>1.63587558E8</v>
      </c>
      <c r="B105" s="137" t="s">
        <v>222</v>
      </c>
      <c r="C105" s="137">
        <v>2016.0</v>
      </c>
      <c r="D105" s="138">
        <v>42451.0</v>
      </c>
      <c r="E105" s="139">
        <v>42479.0</v>
      </c>
      <c r="F105" s="142" t="s">
        <v>223</v>
      </c>
      <c r="G105" s="142">
        <v>2016.0</v>
      </c>
      <c r="H105" s="46">
        <v>8969.0</v>
      </c>
      <c r="I105" s="46">
        <v>8048.0</v>
      </c>
      <c r="J105" s="84">
        <v>1227963.84</v>
      </c>
      <c r="K105" s="84">
        <v>784197.12</v>
      </c>
      <c r="L105" s="84">
        <v>443766.7200000001</v>
      </c>
      <c r="M105" s="46" t="s">
        <v>182</v>
      </c>
      <c r="N105" s="46" t="s">
        <v>190</v>
      </c>
      <c r="O105" s="46" t="s">
        <v>146</v>
      </c>
      <c r="P105" s="46" t="s">
        <v>147</v>
      </c>
      <c r="Q105" s="46" t="str">
        <f t="shared" si="1"/>
        <v>March, 2016</v>
      </c>
      <c r="R105" s="115">
        <f t="shared" si="2"/>
        <v>42430</v>
      </c>
      <c r="S105" s="49">
        <f t="array" ref="S105">WEEKDAY(D105,2)</f>
        <v>2</v>
      </c>
      <c r="T105" s="46" t="s">
        <v>119</v>
      </c>
      <c r="U105" s="46" t="str">
        <f t="array" ref="U105">TEXT(D105,"dddd")</f>
        <v>Tuesday</v>
      </c>
    </row>
    <row r="106" hidden="1">
      <c r="A106" s="46">
        <v>1.63744628E8</v>
      </c>
      <c r="B106" s="137" t="s">
        <v>223</v>
      </c>
      <c r="C106" s="137">
        <v>2017.0</v>
      </c>
      <c r="D106" s="138">
        <v>42842.0</v>
      </c>
      <c r="E106" s="139">
        <v>42856.0</v>
      </c>
      <c r="F106" s="142" t="s">
        <v>219</v>
      </c>
      <c r="G106" s="142">
        <v>2017.0</v>
      </c>
      <c r="H106" s="46">
        <v>8681.0</v>
      </c>
      <c r="I106" s="46">
        <v>4529.0</v>
      </c>
      <c r="J106" s="84">
        <v>2949330.0900000003</v>
      </c>
      <c r="K106" s="84">
        <v>2377543.8400000003</v>
      </c>
      <c r="L106" s="84">
        <v>571786.25</v>
      </c>
      <c r="M106" s="46" t="s">
        <v>153</v>
      </c>
      <c r="N106" s="46" t="s">
        <v>201</v>
      </c>
      <c r="O106" s="46" t="s">
        <v>146</v>
      </c>
      <c r="P106" s="46" t="s">
        <v>170</v>
      </c>
      <c r="Q106" s="46" t="str">
        <f t="shared" si="1"/>
        <v>April, 2017</v>
      </c>
      <c r="R106" s="115">
        <f t="shared" si="2"/>
        <v>42826</v>
      </c>
      <c r="S106" s="49">
        <f t="array" ref="S106">WEEKDAY(D106,2)</f>
        <v>1</v>
      </c>
      <c r="T106" s="46" t="s">
        <v>130</v>
      </c>
      <c r="U106" s="46" t="str">
        <f t="array" ref="U106">TEXT(D106,"dddd")</f>
        <v>Monday</v>
      </c>
    </row>
    <row r="107" hidden="1">
      <c r="A107" s="46">
        <v>1.64259612E8</v>
      </c>
      <c r="B107" s="137" t="s">
        <v>222</v>
      </c>
      <c r="C107" s="137">
        <v>2015.0</v>
      </c>
      <c r="D107" s="138">
        <v>42085.0</v>
      </c>
      <c r="E107" s="139">
        <v>42123.0</v>
      </c>
      <c r="F107" s="142" t="s">
        <v>223</v>
      </c>
      <c r="G107" s="142">
        <v>2015.0</v>
      </c>
      <c r="H107" s="46">
        <v>8875.0</v>
      </c>
      <c r="I107" s="46">
        <v>6924.0</v>
      </c>
      <c r="J107" s="84">
        <v>2921166.36</v>
      </c>
      <c r="K107" s="84">
        <v>2525113.56</v>
      </c>
      <c r="L107" s="84">
        <v>396052.7999999998</v>
      </c>
      <c r="M107" s="46" t="s">
        <v>167</v>
      </c>
      <c r="N107" s="46" t="s">
        <v>176</v>
      </c>
      <c r="O107" s="46" t="s">
        <v>146</v>
      </c>
      <c r="P107" s="46" t="s">
        <v>158</v>
      </c>
      <c r="Q107" s="46" t="str">
        <f t="shared" si="1"/>
        <v>March, 2015</v>
      </c>
      <c r="R107" s="115">
        <f t="shared" si="2"/>
        <v>42064</v>
      </c>
      <c r="S107" s="49">
        <f t="array" ref="S107">WEEKDAY(D107,2)</f>
        <v>7</v>
      </c>
      <c r="T107" s="46" t="s">
        <v>109</v>
      </c>
      <c r="U107" s="46" t="str">
        <f t="array" ref="U107">TEXT(D107,"dddd")</f>
        <v>Sunday</v>
      </c>
    </row>
    <row r="108" hidden="1">
      <c r="A108" s="46">
        <v>1.668105E8</v>
      </c>
      <c r="B108" s="137" t="s">
        <v>226</v>
      </c>
      <c r="C108" s="137">
        <v>2011.0</v>
      </c>
      <c r="D108" s="138">
        <v>40826.0</v>
      </c>
      <c r="E108" s="139">
        <v>40868.0</v>
      </c>
      <c r="F108" s="142" t="s">
        <v>224</v>
      </c>
      <c r="G108" s="142">
        <v>2011.0</v>
      </c>
      <c r="H108" s="46">
        <v>2455.0</v>
      </c>
      <c r="I108" s="46">
        <v>1789.0</v>
      </c>
      <c r="J108" s="84">
        <v>195501.92</v>
      </c>
      <c r="K108" s="84">
        <v>64117.76000000001</v>
      </c>
      <c r="L108" s="84">
        <v>131384.16</v>
      </c>
      <c r="M108" s="46" t="s">
        <v>150</v>
      </c>
      <c r="N108" s="46" t="s">
        <v>204</v>
      </c>
      <c r="O108" s="46" t="s">
        <v>146</v>
      </c>
      <c r="P108" s="46" t="s">
        <v>147</v>
      </c>
      <c r="Q108" s="46" t="str">
        <f t="shared" si="1"/>
        <v>October, 2011</v>
      </c>
      <c r="R108" s="115">
        <f t="shared" si="2"/>
        <v>40817</v>
      </c>
      <c r="S108" s="49">
        <f t="array" ref="S108">WEEKDAY(D108,2)</f>
        <v>1</v>
      </c>
      <c r="T108" s="46" t="s">
        <v>133</v>
      </c>
      <c r="U108" s="46" t="str">
        <f t="array" ref="U108">TEXT(D108,"dddd")</f>
        <v>Monday</v>
      </c>
    </row>
    <row r="109" hidden="1">
      <c r="A109" s="46">
        <v>1.68319404E8</v>
      </c>
      <c r="B109" s="137" t="s">
        <v>228</v>
      </c>
      <c r="C109" s="137">
        <v>2012.0</v>
      </c>
      <c r="D109" s="138">
        <v>40959.0</v>
      </c>
      <c r="E109" s="139">
        <v>40978.0</v>
      </c>
      <c r="F109" s="142" t="s">
        <v>222</v>
      </c>
      <c r="G109" s="142">
        <v>2012.0</v>
      </c>
      <c r="H109" s="46">
        <v>8681.0</v>
      </c>
      <c r="I109" s="46">
        <v>8307.0</v>
      </c>
      <c r="J109" s="84">
        <v>5409601.470000001</v>
      </c>
      <c r="K109" s="84">
        <v>4360842.720000001</v>
      </c>
      <c r="L109" s="84">
        <v>1048758.75</v>
      </c>
      <c r="M109" s="46" t="s">
        <v>153</v>
      </c>
      <c r="N109" s="46" t="s">
        <v>154</v>
      </c>
      <c r="O109" s="46" t="s">
        <v>146</v>
      </c>
      <c r="P109" s="46" t="s">
        <v>155</v>
      </c>
      <c r="Q109" s="46" t="str">
        <f t="shared" si="1"/>
        <v>February, 2012</v>
      </c>
      <c r="R109" s="115">
        <f t="shared" si="2"/>
        <v>40940</v>
      </c>
      <c r="S109" s="49">
        <f t="array" ref="S109">WEEKDAY(D109,2)</f>
        <v>1</v>
      </c>
      <c r="T109" s="46" t="s">
        <v>96</v>
      </c>
      <c r="U109" s="46" t="str">
        <f t="array" ref="U109">TEXT(D109,"dddd")</f>
        <v>Monday</v>
      </c>
    </row>
    <row r="110">
      <c r="A110" s="46">
        <v>1.68487203E8</v>
      </c>
      <c r="B110" s="137" t="s">
        <v>216</v>
      </c>
      <c r="C110" s="137">
        <v>2014.0</v>
      </c>
      <c r="D110" s="138">
        <v>41854.0</v>
      </c>
      <c r="E110" s="139">
        <v>41903.0</v>
      </c>
      <c r="F110" s="142" t="s">
        <v>221</v>
      </c>
      <c r="G110" s="142">
        <v>2014.0</v>
      </c>
      <c r="H110" s="46">
        <v>8681.0</v>
      </c>
      <c r="I110" s="46">
        <v>7962.0</v>
      </c>
      <c r="J110" s="84">
        <v>5184934.0200000005</v>
      </c>
      <c r="K110" s="84">
        <v>4179731.5200000005</v>
      </c>
      <c r="L110" s="84">
        <v>1005202.5</v>
      </c>
      <c r="M110" s="46" t="s">
        <v>153</v>
      </c>
      <c r="N110" s="46" t="s">
        <v>149</v>
      </c>
      <c r="O110" s="46" t="s">
        <v>149</v>
      </c>
      <c r="P110" s="46" t="s">
        <v>218</v>
      </c>
      <c r="Q110" s="46" t="str">
        <f t="shared" si="1"/>
        <v>August, 2014</v>
      </c>
      <c r="R110" s="115">
        <f t="shared" si="2"/>
        <v>41852</v>
      </c>
      <c r="S110" s="49">
        <f t="array" ref="S110">WEEKDAY(D110,2)</f>
        <v>7</v>
      </c>
      <c r="T110" s="46" t="s">
        <v>92</v>
      </c>
      <c r="U110" s="46" t="str">
        <f t="array" ref="U110">TEXT(D110,"dddd")</f>
        <v>Sunday</v>
      </c>
    </row>
    <row r="111" hidden="1">
      <c r="A111" s="46">
        <v>1.68960559E8</v>
      </c>
      <c r="B111" s="137" t="s">
        <v>217</v>
      </c>
      <c r="C111" s="137">
        <v>2013.0</v>
      </c>
      <c r="D111" s="138">
        <v>41469.0</v>
      </c>
      <c r="E111" s="139">
        <v>41505.0</v>
      </c>
      <c r="F111" s="142" t="s">
        <v>216</v>
      </c>
      <c r="G111" s="142">
        <v>2013.0</v>
      </c>
      <c r="H111" s="46">
        <v>7331.0</v>
      </c>
      <c r="I111" s="46">
        <v>8039.0</v>
      </c>
      <c r="J111" s="84">
        <v>2052195.92</v>
      </c>
      <c r="K111" s="84">
        <v>1281577.38</v>
      </c>
      <c r="L111" s="84">
        <v>770618.54</v>
      </c>
      <c r="M111" s="46" t="s">
        <v>161</v>
      </c>
      <c r="N111" s="46" t="s">
        <v>168</v>
      </c>
      <c r="O111" s="46" t="s">
        <v>165</v>
      </c>
      <c r="P111" s="46" t="s">
        <v>166</v>
      </c>
      <c r="Q111" s="46" t="str">
        <f t="shared" si="1"/>
        <v>July, 2013</v>
      </c>
      <c r="R111" s="115">
        <f t="shared" si="2"/>
        <v>41456</v>
      </c>
      <c r="S111" s="49">
        <f t="array" ref="S111">WEEKDAY(D111,2)</f>
        <v>7</v>
      </c>
      <c r="T111" s="46" t="s">
        <v>102</v>
      </c>
      <c r="U111" s="46" t="str">
        <f t="array" ref="U111">TEXT(D111,"dddd")</f>
        <v>Sunday</v>
      </c>
    </row>
    <row r="112" hidden="1">
      <c r="A112" s="46">
        <v>1.68979442E8</v>
      </c>
      <c r="B112" s="137" t="s">
        <v>226</v>
      </c>
      <c r="C112" s="137">
        <v>2010.0</v>
      </c>
      <c r="D112" s="138">
        <v>40473.0</v>
      </c>
      <c r="E112" s="139">
        <v>40522.0</v>
      </c>
      <c r="F112" s="142" t="s">
        <v>225</v>
      </c>
      <c r="G112" s="142">
        <v>2010.0</v>
      </c>
      <c r="H112" s="46">
        <v>8875.0</v>
      </c>
      <c r="I112" s="46">
        <v>3627.0</v>
      </c>
      <c r="J112" s="84">
        <v>1530195.03</v>
      </c>
      <c r="K112" s="84">
        <v>1322730.63</v>
      </c>
      <c r="L112" s="84">
        <v>207464.40000000014</v>
      </c>
      <c r="M112" s="46" t="s">
        <v>167</v>
      </c>
      <c r="N112" s="46" t="s">
        <v>191</v>
      </c>
      <c r="O112" s="46" t="s">
        <v>146</v>
      </c>
      <c r="P112" s="46" t="s">
        <v>147</v>
      </c>
      <c r="Q112" s="46" t="str">
        <f t="shared" si="1"/>
        <v>October, 2010</v>
      </c>
      <c r="R112" s="115">
        <f t="shared" si="2"/>
        <v>40452</v>
      </c>
      <c r="S112" s="49">
        <f t="array" ref="S112">WEEKDAY(D112,2)</f>
        <v>5</v>
      </c>
      <c r="T112" s="46" t="s">
        <v>120</v>
      </c>
      <c r="U112" s="46" t="str">
        <f t="array" ref="U112">TEXT(D112,"dddd")</f>
        <v>Friday</v>
      </c>
    </row>
    <row r="113" hidden="1">
      <c r="A113" s="46">
        <v>1.69378983E8</v>
      </c>
      <c r="B113" s="137" t="s">
        <v>222</v>
      </c>
      <c r="C113" s="137">
        <v>2014.0</v>
      </c>
      <c r="D113" s="138">
        <v>41719.0</v>
      </c>
      <c r="E113" s="139">
        <v>41739.0</v>
      </c>
      <c r="F113" s="142" t="s">
        <v>223</v>
      </c>
      <c r="G113" s="142">
        <v>2014.0</v>
      </c>
      <c r="H113" s="46">
        <v>8875.0</v>
      </c>
      <c r="I113" s="46">
        <v>1860.0</v>
      </c>
      <c r="J113" s="84">
        <v>784715.4</v>
      </c>
      <c r="K113" s="84">
        <v>678323.4</v>
      </c>
      <c r="L113" s="84">
        <v>106392.0</v>
      </c>
      <c r="M113" s="46" t="s">
        <v>167</v>
      </c>
      <c r="N113" s="46" t="s">
        <v>193</v>
      </c>
      <c r="O113" s="46" t="s">
        <v>146</v>
      </c>
      <c r="P113" s="46" t="s">
        <v>158</v>
      </c>
      <c r="Q113" s="46" t="str">
        <f t="shared" si="1"/>
        <v>March, 2014</v>
      </c>
      <c r="R113" s="115">
        <f t="shared" si="2"/>
        <v>41699</v>
      </c>
      <c r="S113" s="49">
        <f t="array" ref="S113">WEEKDAY(D113,2)</f>
        <v>5</v>
      </c>
      <c r="T113" s="46" t="s">
        <v>122</v>
      </c>
      <c r="U113" s="46" t="str">
        <f t="array" ref="U113">TEXT(D113,"dddd")</f>
        <v>Friday</v>
      </c>
    </row>
    <row r="114" hidden="1">
      <c r="A114" s="46">
        <v>1.69799983E8</v>
      </c>
      <c r="B114" s="137" t="s">
        <v>226</v>
      </c>
      <c r="C114" s="137">
        <v>2012.0</v>
      </c>
      <c r="D114" s="138">
        <v>41204.0</v>
      </c>
      <c r="E114" s="139">
        <v>41233.0</v>
      </c>
      <c r="F114" s="142" t="s">
        <v>224</v>
      </c>
      <c r="G114" s="142">
        <v>2012.0</v>
      </c>
      <c r="H114" s="46">
        <v>4594.0</v>
      </c>
      <c r="I114" s="46">
        <v>6443.0</v>
      </c>
      <c r="J114" s="84">
        <v>60113.19</v>
      </c>
      <c r="K114" s="84">
        <v>44585.56</v>
      </c>
      <c r="L114" s="84">
        <v>15527.630000000005</v>
      </c>
      <c r="M114" s="46" t="s">
        <v>156</v>
      </c>
      <c r="N114" s="46" t="s">
        <v>171</v>
      </c>
      <c r="O114" s="46" t="s">
        <v>146</v>
      </c>
      <c r="P114" s="46" t="s">
        <v>147</v>
      </c>
      <c r="Q114" s="46" t="str">
        <f t="shared" si="1"/>
        <v>October, 2012</v>
      </c>
      <c r="R114" s="115">
        <f t="shared" si="2"/>
        <v>41183</v>
      </c>
      <c r="S114" s="49">
        <f t="array" ref="S114">WEEKDAY(D114,2)</f>
        <v>1</v>
      </c>
      <c r="T114" s="46" t="s">
        <v>104</v>
      </c>
      <c r="U114" s="46" t="str">
        <f t="array" ref="U114">TEXT(D114,"dddd")</f>
        <v>Monday</v>
      </c>
    </row>
    <row r="115" hidden="1">
      <c r="A115" s="46">
        <v>1.73122918E8</v>
      </c>
      <c r="B115" s="137" t="s">
        <v>220</v>
      </c>
      <c r="C115" s="137">
        <v>2015.0</v>
      </c>
      <c r="D115" s="138">
        <v>42163.0</v>
      </c>
      <c r="E115" s="139">
        <v>42210.0</v>
      </c>
      <c r="F115" s="142" t="s">
        <v>217</v>
      </c>
      <c r="G115" s="142">
        <v>2015.0</v>
      </c>
      <c r="H115" s="46">
        <v>2455.0</v>
      </c>
      <c r="I115" s="46">
        <v>9773.0</v>
      </c>
      <c r="J115" s="84">
        <v>1067993.44</v>
      </c>
      <c r="K115" s="84">
        <v>350264.32</v>
      </c>
      <c r="L115" s="84">
        <v>717729.1199999999</v>
      </c>
      <c r="M115" s="46" t="s">
        <v>150</v>
      </c>
      <c r="N115" s="46" t="s">
        <v>187</v>
      </c>
      <c r="O115" s="46" t="s">
        <v>146</v>
      </c>
      <c r="P115" s="46" t="s">
        <v>155</v>
      </c>
      <c r="Q115" s="46" t="str">
        <f t="shared" si="1"/>
        <v>June, 2015</v>
      </c>
      <c r="R115" s="115">
        <f t="shared" si="2"/>
        <v>42156</v>
      </c>
      <c r="S115" s="49">
        <f t="array" ref="S115">WEEKDAY(D115,2)</f>
        <v>1</v>
      </c>
      <c r="T115" s="46" t="s">
        <v>116</v>
      </c>
      <c r="U115" s="46" t="str">
        <f t="array" ref="U115">TEXT(D115,"dddd")</f>
        <v>Monday</v>
      </c>
    </row>
    <row r="116" hidden="1">
      <c r="A116" s="46">
        <v>1.74218118E8</v>
      </c>
      <c r="B116" s="137" t="s">
        <v>223</v>
      </c>
      <c r="C116" s="137">
        <v>2016.0</v>
      </c>
      <c r="D116" s="138">
        <v>42490.0</v>
      </c>
      <c r="E116" s="139">
        <v>42534.0</v>
      </c>
      <c r="F116" s="142" t="s">
        <v>220</v>
      </c>
      <c r="G116" s="142">
        <v>2016.0</v>
      </c>
      <c r="H116" s="46">
        <v>2103.0</v>
      </c>
      <c r="I116" s="46">
        <v>3867.0</v>
      </c>
      <c r="J116" s="84">
        <v>795441.8999999999</v>
      </c>
      <c r="K116" s="84">
        <v>452864.37</v>
      </c>
      <c r="L116" s="84">
        <v>342577.5299999999</v>
      </c>
      <c r="M116" s="46" t="s">
        <v>144</v>
      </c>
      <c r="N116" s="46" t="s">
        <v>163</v>
      </c>
      <c r="O116" s="46" t="s">
        <v>146</v>
      </c>
      <c r="P116" s="46" t="s">
        <v>158</v>
      </c>
      <c r="Q116" s="46" t="str">
        <f t="shared" si="1"/>
        <v>April, 2016</v>
      </c>
      <c r="R116" s="115">
        <f t="shared" si="2"/>
        <v>42461</v>
      </c>
      <c r="S116" s="49">
        <f t="array" ref="S116">WEEKDAY(D116,2)</f>
        <v>6</v>
      </c>
      <c r="T116" s="46" t="s">
        <v>100</v>
      </c>
      <c r="U116" s="46" t="str">
        <f t="array" ref="U116">TEXT(D116,"dddd")</f>
        <v>Saturday</v>
      </c>
    </row>
    <row r="117" hidden="1">
      <c r="A117" s="46">
        <v>1.74614226E8</v>
      </c>
      <c r="B117" s="137" t="s">
        <v>220</v>
      </c>
      <c r="C117" s="137">
        <v>2017.0</v>
      </c>
      <c r="D117" s="138">
        <v>42910.0</v>
      </c>
      <c r="E117" s="139">
        <v>42960.0</v>
      </c>
      <c r="F117" s="142" t="s">
        <v>216</v>
      </c>
      <c r="G117" s="142">
        <v>2017.0</v>
      </c>
      <c r="H117" s="46">
        <v>7331.0</v>
      </c>
      <c r="I117" s="46">
        <v>1085.0</v>
      </c>
      <c r="J117" s="84">
        <v>276978.8</v>
      </c>
      <c r="K117" s="84">
        <v>172970.69999999998</v>
      </c>
      <c r="L117" s="84">
        <v>104008.1</v>
      </c>
      <c r="M117" s="46" t="s">
        <v>161</v>
      </c>
      <c r="N117" s="46" t="s">
        <v>199</v>
      </c>
      <c r="O117" s="46" t="s">
        <v>146</v>
      </c>
      <c r="P117" s="46" t="s">
        <v>147</v>
      </c>
      <c r="Q117" s="46" t="str">
        <f t="shared" si="1"/>
        <v>June, 2017</v>
      </c>
      <c r="R117" s="115">
        <f t="shared" si="2"/>
        <v>42887</v>
      </c>
      <c r="S117" s="49">
        <f t="array" ref="S117">WEEKDAY(D117,2)</f>
        <v>6</v>
      </c>
      <c r="T117" s="46" t="s">
        <v>128</v>
      </c>
      <c r="U117" s="46" t="str">
        <f t="array" ref="U117">TEXT(D117,"dddd")</f>
        <v>Saturday</v>
      </c>
    </row>
    <row r="118" hidden="1">
      <c r="A118" s="46">
        <v>1.74935233E8</v>
      </c>
      <c r="B118" s="137" t="s">
        <v>217</v>
      </c>
      <c r="C118" s="137">
        <v>2016.0</v>
      </c>
      <c r="D118" s="138">
        <v>42577.0</v>
      </c>
      <c r="E118" s="139">
        <v>42580.0</v>
      </c>
      <c r="F118" s="142" t="s">
        <v>217</v>
      </c>
      <c r="G118" s="142">
        <v>2016.0</v>
      </c>
      <c r="H118" s="46">
        <v>8293.0</v>
      </c>
      <c r="I118" s="46">
        <v>6078.0</v>
      </c>
      <c r="J118" s="84">
        <v>2657301.6</v>
      </c>
      <c r="K118" s="84">
        <v>1600519.74</v>
      </c>
      <c r="L118" s="84">
        <v>1056781.86</v>
      </c>
      <c r="M118" s="46" t="s">
        <v>178</v>
      </c>
      <c r="N118" s="46" t="s">
        <v>157</v>
      </c>
      <c r="O118" s="46" t="s">
        <v>146</v>
      </c>
      <c r="P118" s="46" t="s">
        <v>158</v>
      </c>
      <c r="Q118" s="46" t="str">
        <f t="shared" si="1"/>
        <v>July, 2016</v>
      </c>
      <c r="R118" s="115">
        <f t="shared" si="2"/>
        <v>42552</v>
      </c>
      <c r="S118" s="49">
        <f t="array" ref="S118">WEEKDAY(D118,2)</f>
        <v>2</v>
      </c>
      <c r="T118" s="46" t="s">
        <v>97</v>
      </c>
      <c r="U118" s="46" t="str">
        <f t="array" ref="U118">TEXT(D118,"dddd")</f>
        <v>Tuesday</v>
      </c>
    </row>
    <row r="119" hidden="1">
      <c r="A119" s="46">
        <v>1.75723588E8</v>
      </c>
      <c r="B119" s="137" t="s">
        <v>220</v>
      </c>
      <c r="C119" s="137">
        <v>2014.0</v>
      </c>
      <c r="D119" s="138">
        <v>41799.0</v>
      </c>
      <c r="E119" s="139">
        <v>41804.0</v>
      </c>
      <c r="F119" s="142" t="s">
        <v>220</v>
      </c>
      <c r="G119" s="142">
        <v>2014.0</v>
      </c>
      <c r="H119" s="46">
        <v>7940.0</v>
      </c>
      <c r="I119" s="46">
        <v>9370.0</v>
      </c>
      <c r="J119" s="84">
        <v>6261689.899999999</v>
      </c>
      <c r="K119" s="84">
        <v>4708799.8</v>
      </c>
      <c r="L119" s="84">
        <v>1552890.0999999996</v>
      </c>
      <c r="M119" s="46" t="s">
        <v>148</v>
      </c>
      <c r="N119" s="46" t="s">
        <v>206</v>
      </c>
      <c r="O119" s="46" t="s">
        <v>146</v>
      </c>
      <c r="P119" s="46" t="s">
        <v>158</v>
      </c>
      <c r="Q119" s="46" t="str">
        <f t="shared" si="1"/>
        <v>June, 2014</v>
      </c>
      <c r="R119" s="115">
        <f t="shared" si="2"/>
        <v>41791</v>
      </c>
      <c r="S119" s="49">
        <f t="array" ref="S119">WEEKDAY(D119,2)</f>
        <v>1</v>
      </c>
      <c r="T119" s="46" t="s">
        <v>136</v>
      </c>
      <c r="U119" s="46" t="str">
        <f t="array" ref="U119">TEXT(D119,"dddd")</f>
        <v>Monday</v>
      </c>
    </row>
    <row r="120" hidden="1">
      <c r="A120" s="46">
        <v>1.76050603E8</v>
      </c>
      <c r="B120" s="137" t="s">
        <v>221</v>
      </c>
      <c r="C120" s="137">
        <v>2013.0</v>
      </c>
      <c r="D120" s="138">
        <v>41525.0</v>
      </c>
      <c r="E120" s="139">
        <v>41575.0</v>
      </c>
      <c r="F120" s="142" t="s">
        <v>226</v>
      </c>
      <c r="G120" s="142">
        <v>2013.0</v>
      </c>
      <c r="H120" s="46">
        <v>2103.0</v>
      </c>
      <c r="I120" s="46">
        <v>6140.0</v>
      </c>
      <c r="J120" s="84">
        <v>1262998.0</v>
      </c>
      <c r="K120" s="84">
        <v>719055.4</v>
      </c>
      <c r="L120" s="84">
        <v>543942.6</v>
      </c>
      <c r="M120" s="46" t="s">
        <v>144</v>
      </c>
      <c r="N120" s="46" t="s">
        <v>173</v>
      </c>
      <c r="O120" s="46" t="s">
        <v>146</v>
      </c>
      <c r="P120" s="46" t="s">
        <v>155</v>
      </c>
      <c r="Q120" s="46" t="str">
        <f t="shared" si="1"/>
        <v>September, 2013</v>
      </c>
      <c r="R120" s="115">
        <f t="shared" si="2"/>
        <v>41518</v>
      </c>
      <c r="S120" s="49">
        <f t="array" ref="S120">WEEKDAY(D120,2)</f>
        <v>7</v>
      </c>
      <c r="T120" s="46" t="s">
        <v>106</v>
      </c>
      <c r="U120" s="46" t="str">
        <f t="array" ref="U120">TEXT(D120,"dddd")</f>
        <v>Sunday</v>
      </c>
    </row>
    <row r="121" hidden="1">
      <c r="A121" s="46">
        <v>1.76722657E8</v>
      </c>
      <c r="B121" s="137" t="s">
        <v>221</v>
      </c>
      <c r="C121" s="137">
        <v>2012.0</v>
      </c>
      <c r="D121" s="138">
        <v>41160.0</v>
      </c>
      <c r="E121" s="139">
        <v>41168.0</v>
      </c>
      <c r="F121" s="142" t="s">
        <v>221</v>
      </c>
      <c r="G121" s="142">
        <v>2012.0</v>
      </c>
      <c r="H121" s="46">
        <v>2455.0</v>
      </c>
      <c r="I121" s="46">
        <v>5016.0</v>
      </c>
      <c r="J121" s="84">
        <v>548148.48</v>
      </c>
      <c r="K121" s="84">
        <v>179773.44000000003</v>
      </c>
      <c r="L121" s="84">
        <v>368375.0399999999</v>
      </c>
      <c r="M121" s="46" t="s">
        <v>150</v>
      </c>
      <c r="N121" s="46" t="s">
        <v>188</v>
      </c>
      <c r="O121" s="46" t="s">
        <v>146</v>
      </c>
      <c r="P121" s="46" t="s">
        <v>170</v>
      </c>
      <c r="Q121" s="46" t="str">
        <f t="shared" si="1"/>
        <v>September, 2012</v>
      </c>
      <c r="R121" s="115">
        <f t="shared" si="2"/>
        <v>41153</v>
      </c>
      <c r="S121" s="49">
        <f t="array" ref="S121">WEEKDAY(D121,2)</f>
        <v>6</v>
      </c>
      <c r="T121" s="46" t="s">
        <v>117</v>
      </c>
      <c r="U121" s="46" t="str">
        <f t="array" ref="U121">TEXT(D121,"dddd")</f>
        <v>Saturday</v>
      </c>
    </row>
    <row r="122" hidden="1">
      <c r="A122" s="46">
        <v>1.7714709E8</v>
      </c>
      <c r="B122" s="137" t="s">
        <v>217</v>
      </c>
      <c r="C122" s="137">
        <v>2013.0</v>
      </c>
      <c r="D122" s="138">
        <v>41470.0</v>
      </c>
      <c r="E122" s="139">
        <v>41503.0</v>
      </c>
      <c r="F122" s="142" t="s">
        <v>216</v>
      </c>
      <c r="G122" s="142">
        <v>2013.0</v>
      </c>
      <c r="H122" s="46">
        <v>8875.0</v>
      </c>
      <c r="I122" s="46">
        <v>615.0</v>
      </c>
      <c r="J122" s="84">
        <v>259462.35</v>
      </c>
      <c r="K122" s="84">
        <v>224284.35</v>
      </c>
      <c r="L122" s="84">
        <v>35178.0</v>
      </c>
      <c r="M122" s="46" t="s">
        <v>167</v>
      </c>
      <c r="N122" s="46" t="s">
        <v>206</v>
      </c>
      <c r="O122" s="46" t="s">
        <v>146</v>
      </c>
      <c r="P122" s="46" t="s">
        <v>158</v>
      </c>
      <c r="Q122" s="46" t="str">
        <f t="shared" si="1"/>
        <v>July, 2013</v>
      </c>
      <c r="R122" s="115">
        <f t="shared" si="2"/>
        <v>41456</v>
      </c>
      <c r="S122" s="49">
        <f t="array" ref="S122">WEEKDAY(D122,2)</f>
        <v>1</v>
      </c>
      <c r="T122" s="46" t="s">
        <v>136</v>
      </c>
      <c r="U122" s="46" t="str">
        <f t="array" ref="U122">TEXT(D122,"dddd")</f>
        <v>Monday</v>
      </c>
    </row>
    <row r="123" hidden="1">
      <c r="A123" s="46">
        <v>1.78604066E8</v>
      </c>
      <c r="B123" s="137" t="s">
        <v>221</v>
      </c>
      <c r="C123" s="137">
        <v>2015.0</v>
      </c>
      <c r="D123" s="138">
        <v>42267.0</v>
      </c>
      <c r="E123" s="139">
        <v>42295.0</v>
      </c>
      <c r="F123" s="142" t="s">
        <v>226</v>
      </c>
      <c r="G123" s="142">
        <v>2015.0</v>
      </c>
      <c r="H123" s="46">
        <v>7940.0</v>
      </c>
      <c r="I123" s="46">
        <v>1767.0</v>
      </c>
      <c r="J123" s="84">
        <v>1180833.09</v>
      </c>
      <c r="K123" s="84">
        <v>887988.18</v>
      </c>
      <c r="L123" s="84">
        <v>292844.91000000003</v>
      </c>
      <c r="M123" s="46" t="s">
        <v>148</v>
      </c>
      <c r="N123" s="46" t="s">
        <v>189</v>
      </c>
      <c r="O123" s="46" t="s">
        <v>146</v>
      </c>
      <c r="P123" s="46" t="s">
        <v>158</v>
      </c>
      <c r="Q123" s="46" t="str">
        <f t="shared" si="1"/>
        <v>September, 2015</v>
      </c>
      <c r="R123" s="115">
        <f t="shared" si="2"/>
        <v>42248</v>
      </c>
      <c r="S123" s="49">
        <f t="array" ref="S123">WEEKDAY(D123,2)</f>
        <v>7</v>
      </c>
      <c r="T123" s="46" t="s">
        <v>118</v>
      </c>
      <c r="U123" s="46" t="str">
        <f t="array" ref="U123">TEXT(D123,"dddd")</f>
        <v>Sunday</v>
      </c>
    </row>
    <row r="124" hidden="1">
      <c r="A124" s="46">
        <v>1.79819428E8</v>
      </c>
      <c r="B124" s="137" t="s">
        <v>219</v>
      </c>
      <c r="C124" s="137">
        <v>2012.0</v>
      </c>
      <c r="D124" s="138">
        <v>41034.0</v>
      </c>
      <c r="E124" s="139">
        <v>41062.0</v>
      </c>
      <c r="F124" s="142" t="s">
        <v>220</v>
      </c>
      <c r="G124" s="142">
        <v>2012.0</v>
      </c>
      <c r="H124" s="46">
        <v>8293.0</v>
      </c>
      <c r="I124" s="46">
        <v>1420.0</v>
      </c>
      <c r="J124" s="84">
        <v>620824.0</v>
      </c>
      <c r="K124" s="84">
        <v>373928.6</v>
      </c>
      <c r="L124" s="84">
        <v>246895.40000000002</v>
      </c>
      <c r="M124" s="46" t="s">
        <v>178</v>
      </c>
      <c r="N124" s="46" t="s">
        <v>196</v>
      </c>
      <c r="O124" s="46" t="s">
        <v>146</v>
      </c>
      <c r="P124" s="46" t="s">
        <v>155</v>
      </c>
      <c r="Q124" s="46" t="str">
        <f t="shared" si="1"/>
        <v>May, 2012</v>
      </c>
      <c r="R124" s="115">
        <f t="shared" si="2"/>
        <v>41030</v>
      </c>
      <c r="S124" s="49">
        <f t="array" ref="S124">WEEKDAY(D124,2)</f>
        <v>6</v>
      </c>
      <c r="T124" s="46" t="s">
        <v>125</v>
      </c>
      <c r="U124" s="46" t="str">
        <f t="array" ref="U124">TEXT(D124,"dddd")</f>
        <v>Saturday</v>
      </c>
    </row>
    <row r="125" hidden="1">
      <c r="A125" s="46">
        <v>1.80358016E8</v>
      </c>
      <c r="B125" s="137" t="s">
        <v>223</v>
      </c>
      <c r="C125" s="137">
        <v>2016.0</v>
      </c>
      <c r="D125" s="138">
        <v>42490.0</v>
      </c>
      <c r="E125" s="139">
        <v>42506.0</v>
      </c>
      <c r="F125" s="142" t="s">
        <v>219</v>
      </c>
      <c r="G125" s="142">
        <v>2016.0</v>
      </c>
      <c r="H125" s="46">
        <v>1270.0</v>
      </c>
      <c r="I125" s="46">
        <v>800.0</v>
      </c>
      <c r="J125" s="84">
        <v>37960.0</v>
      </c>
      <c r="K125" s="84">
        <v>25432.0</v>
      </c>
      <c r="L125" s="84">
        <v>12528.0</v>
      </c>
      <c r="M125" s="46" t="s">
        <v>152</v>
      </c>
      <c r="N125" s="46" t="s">
        <v>180</v>
      </c>
      <c r="O125" s="46" t="s">
        <v>146</v>
      </c>
      <c r="P125" s="46" t="s">
        <v>147</v>
      </c>
      <c r="Q125" s="46" t="str">
        <f t="shared" si="1"/>
        <v>April, 2016</v>
      </c>
      <c r="R125" s="115">
        <f t="shared" si="2"/>
        <v>42461</v>
      </c>
      <c r="S125" s="49">
        <f t="array" ref="S125">WEEKDAY(D125,2)</f>
        <v>6</v>
      </c>
      <c r="T125" s="46" t="s">
        <v>112</v>
      </c>
      <c r="U125" s="46" t="str">
        <f t="array" ref="U125">TEXT(D125,"dddd")</f>
        <v>Saturday</v>
      </c>
    </row>
    <row r="126" hidden="1">
      <c r="A126" s="46">
        <v>1.80479466E8</v>
      </c>
      <c r="B126" s="137" t="s">
        <v>227</v>
      </c>
      <c r="C126" s="137">
        <v>2011.0</v>
      </c>
      <c r="D126" s="138">
        <v>40548.0</v>
      </c>
      <c r="E126" s="139">
        <v>40555.0</v>
      </c>
      <c r="F126" s="142" t="s">
        <v>227</v>
      </c>
      <c r="G126" s="142">
        <v>2011.0</v>
      </c>
      <c r="H126" s="46">
        <v>5988.0</v>
      </c>
      <c r="I126" s="46">
        <v>6740.0</v>
      </c>
      <c r="J126" s="84">
        <v>1038364.4</v>
      </c>
      <c r="K126" s="84">
        <v>612868.2000000001</v>
      </c>
      <c r="L126" s="84">
        <v>425496.19999999995</v>
      </c>
      <c r="M126" s="46" t="s">
        <v>159</v>
      </c>
      <c r="N126" s="46" t="s">
        <v>187</v>
      </c>
      <c r="O126" s="46" t="s">
        <v>146</v>
      </c>
      <c r="P126" s="46" t="s">
        <v>155</v>
      </c>
      <c r="Q126" s="46" t="str">
        <f t="shared" si="1"/>
        <v>January, 2011</v>
      </c>
      <c r="R126" s="115">
        <f t="shared" si="2"/>
        <v>40544</v>
      </c>
      <c r="S126" s="49">
        <f t="array" ref="S126">WEEKDAY(D126,2)</f>
        <v>3</v>
      </c>
      <c r="T126" s="46" t="s">
        <v>116</v>
      </c>
      <c r="U126" s="46" t="str">
        <f t="array" ref="U126">TEXT(D126,"dddd")</f>
        <v>Wednesday</v>
      </c>
    </row>
    <row r="127" hidden="1">
      <c r="A127" s="46">
        <v>1.81260526E8</v>
      </c>
      <c r="B127" s="137" t="s">
        <v>219</v>
      </c>
      <c r="C127" s="137">
        <v>2017.0</v>
      </c>
      <c r="D127" s="138">
        <v>42858.0</v>
      </c>
      <c r="E127" s="139">
        <v>42889.0</v>
      </c>
      <c r="F127" s="142" t="s">
        <v>220</v>
      </c>
      <c r="G127" s="142">
        <v>2017.0</v>
      </c>
      <c r="H127" s="46">
        <v>8681.0</v>
      </c>
      <c r="I127" s="46">
        <v>7872.0</v>
      </c>
      <c r="J127" s="84">
        <v>5126325.12</v>
      </c>
      <c r="K127" s="84">
        <v>4132485.12</v>
      </c>
      <c r="L127" s="84">
        <v>993840.0</v>
      </c>
      <c r="M127" s="46" t="s">
        <v>153</v>
      </c>
      <c r="N127" s="46" t="s">
        <v>181</v>
      </c>
      <c r="O127" s="46" t="s">
        <v>146</v>
      </c>
      <c r="P127" s="46" t="s">
        <v>155</v>
      </c>
      <c r="Q127" s="46" t="str">
        <f t="shared" si="1"/>
        <v>May, 2017</v>
      </c>
      <c r="R127" s="115">
        <f t="shared" si="2"/>
        <v>42856</v>
      </c>
      <c r="S127" s="49">
        <f t="array" ref="S127">WEEKDAY(D127,2)</f>
        <v>3</v>
      </c>
      <c r="T127" s="46" t="s">
        <v>113</v>
      </c>
      <c r="U127" s="46" t="str">
        <f t="array" ref="U127">TEXT(D127,"dddd")</f>
        <v>Wednesday</v>
      </c>
    </row>
    <row r="128" hidden="1">
      <c r="A128" s="46">
        <v>1.82078921E8</v>
      </c>
      <c r="B128" s="137" t="s">
        <v>227</v>
      </c>
      <c r="C128" s="137">
        <v>2016.0</v>
      </c>
      <c r="D128" s="138">
        <v>42381.0</v>
      </c>
      <c r="E128" s="139">
        <v>42414.0</v>
      </c>
      <c r="F128" s="142" t="s">
        <v>228</v>
      </c>
      <c r="G128" s="142">
        <v>2016.0</v>
      </c>
      <c r="H128" s="46">
        <v>4594.0</v>
      </c>
      <c r="I128" s="46">
        <v>54.0</v>
      </c>
      <c r="J128" s="84">
        <v>503.82</v>
      </c>
      <c r="K128" s="84">
        <v>373.68</v>
      </c>
      <c r="L128" s="84">
        <v>130.14</v>
      </c>
      <c r="M128" s="46" t="s">
        <v>156</v>
      </c>
      <c r="N128" s="46" t="s">
        <v>201</v>
      </c>
      <c r="O128" s="46" t="s">
        <v>146</v>
      </c>
      <c r="P128" s="46" t="s">
        <v>170</v>
      </c>
      <c r="Q128" s="46" t="str">
        <f t="shared" si="1"/>
        <v>January, 2016</v>
      </c>
      <c r="R128" s="115">
        <f t="shared" si="2"/>
        <v>42370</v>
      </c>
      <c r="S128" s="49">
        <f t="array" ref="S128">WEEKDAY(D128,2)</f>
        <v>2</v>
      </c>
      <c r="T128" s="46" t="s">
        <v>130</v>
      </c>
      <c r="U128" s="46" t="str">
        <f t="array" ref="U128">TEXT(D128,"dddd")</f>
        <v>Tuesday</v>
      </c>
    </row>
    <row r="129" hidden="1">
      <c r="A129" s="46">
        <v>1.82228696E8</v>
      </c>
      <c r="B129" s="137" t="s">
        <v>219</v>
      </c>
      <c r="C129" s="137">
        <v>2010.0</v>
      </c>
      <c r="D129" s="138">
        <v>40329.0</v>
      </c>
      <c r="E129" s="139">
        <v>40371.0</v>
      </c>
      <c r="F129" s="142" t="s">
        <v>217</v>
      </c>
      <c r="G129" s="142">
        <v>2010.0</v>
      </c>
      <c r="H129" s="46">
        <v>8681.0</v>
      </c>
      <c r="I129" s="46">
        <v>4375.0</v>
      </c>
      <c r="J129" s="84">
        <v>2849043.75</v>
      </c>
      <c r="K129" s="84">
        <v>2296700.0</v>
      </c>
      <c r="L129" s="84">
        <v>552343.75</v>
      </c>
      <c r="M129" s="46" t="s">
        <v>153</v>
      </c>
      <c r="N129" s="46" t="s">
        <v>195</v>
      </c>
      <c r="O129" s="46" t="s">
        <v>146</v>
      </c>
      <c r="P129" s="46" t="s">
        <v>170</v>
      </c>
      <c r="Q129" s="46" t="str">
        <f t="shared" si="1"/>
        <v>May, 2010</v>
      </c>
      <c r="R129" s="115">
        <f t="shared" si="2"/>
        <v>40299</v>
      </c>
      <c r="S129" s="49">
        <f t="array" ref="S129">WEEKDAY(D129,2)</f>
        <v>1</v>
      </c>
      <c r="T129" s="46" t="s">
        <v>124</v>
      </c>
      <c r="U129" s="46" t="str">
        <f t="array" ref="U129">TEXT(D129,"dddd")</f>
        <v>Monday</v>
      </c>
    </row>
    <row r="130" hidden="1">
      <c r="A130" s="46">
        <v>1.83778369E8</v>
      </c>
      <c r="B130" s="137" t="s">
        <v>225</v>
      </c>
      <c r="C130" s="137">
        <v>2012.0</v>
      </c>
      <c r="D130" s="138">
        <v>41267.0</v>
      </c>
      <c r="E130" s="139">
        <v>41281.0</v>
      </c>
      <c r="F130" s="142" t="s">
        <v>227</v>
      </c>
      <c r="G130" s="142">
        <v>2013.0</v>
      </c>
      <c r="H130" s="46">
        <v>8969.0</v>
      </c>
      <c r="I130" s="46">
        <v>2958.0</v>
      </c>
      <c r="J130" s="84">
        <v>451331.64</v>
      </c>
      <c r="K130" s="84">
        <v>288227.52</v>
      </c>
      <c r="L130" s="84">
        <v>163104.12</v>
      </c>
      <c r="M130" s="46" t="s">
        <v>182</v>
      </c>
      <c r="N130" s="46" t="s">
        <v>204</v>
      </c>
      <c r="O130" s="46" t="s">
        <v>146</v>
      </c>
      <c r="P130" s="46" t="s">
        <v>147</v>
      </c>
      <c r="Q130" s="46" t="str">
        <f t="shared" si="1"/>
        <v>December, 2012</v>
      </c>
      <c r="R130" s="115">
        <f t="shared" si="2"/>
        <v>41244</v>
      </c>
      <c r="S130" s="49">
        <f t="array" ref="S130">WEEKDAY(D130,2)</f>
        <v>1</v>
      </c>
      <c r="T130" s="46" t="s">
        <v>133</v>
      </c>
      <c r="U130" s="46" t="str">
        <f t="array" ref="U130">TEXT(D130,"dddd")</f>
        <v>Monday</v>
      </c>
    </row>
    <row r="131" hidden="1">
      <c r="A131" s="46">
        <v>1.83910119E8</v>
      </c>
      <c r="B131" s="137" t="s">
        <v>220</v>
      </c>
      <c r="C131" s="137">
        <v>2014.0</v>
      </c>
      <c r="D131" s="138">
        <v>41799.0</v>
      </c>
      <c r="E131" s="139">
        <v>41801.0</v>
      </c>
      <c r="F131" s="142" t="s">
        <v>220</v>
      </c>
      <c r="G131" s="142">
        <v>2014.0</v>
      </c>
      <c r="H131" s="46">
        <v>8293.0</v>
      </c>
      <c r="I131" s="46">
        <v>1946.0</v>
      </c>
      <c r="J131" s="84">
        <v>850791.2</v>
      </c>
      <c r="K131" s="84">
        <v>512440.18</v>
      </c>
      <c r="L131" s="84">
        <v>338351.01999999996</v>
      </c>
      <c r="M131" s="46" t="s">
        <v>178</v>
      </c>
      <c r="N131" s="46" t="s">
        <v>181</v>
      </c>
      <c r="O131" s="46" t="s">
        <v>146</v>
      </c>
      <c r="P131" s="46" t="s">
        <v>155</v>
      </c>
      <c r="Q131" s="46" t="str">
        <f t="shared" si="1"/>
        <v>June, 2014</v>
      </c>
      <c r="R131" s="115">
        <f t="shared" si="2"/>
        <v>41791</v>
      </c>
      <c r="S131" s="49">
        <f t="array" ref="S131">WEEKDAY(D131,2)</f>
        <v>1</v>
      </c>
      <c r="T131" s="46" t="s">
        <v>113</v>
      </c>
      <c r="U131" s="46" t="str">
        <f t="array" ref="U131">TEXT(D131,"dddd")</f>
        <v>Monday</v>
      </c>
    </row>
    <row r="132" hidden="1">
      <c r="A132" s="46">
        <v>1.84120833E8</v>
      </c>
      <c r="B132" s="137" t="s">
        <v>226</v>
      </c>
      <c r="C132" s="137">
        <v>2014.0</v>
      </c>
      <c r="D132" s="138">
        <v>41939.0</v>
      </c>
      <c r="E132" s="139">
        <v>41943.0</v>
      </c>
      <c r="F132" s="142" t="s">
        <v>226</v>
      </c>
      <c r="G132" s="142">
        <v>2014.0</v>
      </c>
      <c r="H132" s="46">
        <v>2455.0</v>
      </c>
      <c r="I132" s="46">
        <v>4301.0</v>
      </c>
      <c r="J132" s="84">
        <v>470013.28</v>
      </c>
      <c r="K132" s="84">
        <v>154147.84000000003</v>
      </c>
      <c r="L132" s="84">
        <v>315865.44</v>
      </c>
      <c r="M132" s="46" t="s">
        <v>150</v>
      </c>
      <c r="N132" s="46" t="s">
        <v>205</v>
      </c>
      <c r="O132" s="46" t="s">
        <v>146</v>
      </c>
      <c r="P132" s="46" t="s">
        <v>170</v>
      </c>
      <c r="Q132" s="46" t="str">
        <f t="shared" si="1"/>
        <v>October, 2014</v>
      </c>
      <c r="R132" s="115">
        <f t="shared" si="2"/>
        <v>41913</v>
      </c>
      <c r="S132" s="49">
        <f t="array" ref="S132">WEEKDAY(D132,2)</f>
        <v>1</v>
      </c>
      <c r="T132" s="46" t="s">
        <v>135</v>
      </c>
      <c r="U132" s="46" t="str">
        <f t="array" ref="U132">TEXT(D132,"dddd")</f>
        <v>Monday</v>
      </c>
    </row>
    <row r="133" hidden="1">
      <c r="A133" s="46">
        <v>1.84412229E8</v>
      </c>
      <c r="B133" s="137" t="s">
        <v>223</v>
      </c>
      <c r="C133" s="137">
        <v>2015.0</v>
      </c>
      <c r="D133" s="138">
        <v>42098.0</v>
      </c>
      <c r="E133" s="139">
        <v>42101.0</v>
      </c>
      <c r="F133" s="142" t="s">
        <v>223</v>
      </c>
      <c r="G133" s="142">
        <v>2015.0</v>
      </c>
      <c r="H133" s="46">
        <v>7331.0</v>
      </c>
      <c r="I133" s="46">
        <v>531.0</v>
      </c>
      <c r="J133" s="84">
        <v>135553.68</v>
      </c>
      <c r="K133" s="84">
        <v>84652.01999999999</v>
      </c>
      <c r="L133" s="84">
        <v>50901.66</v>
      </c>
      <c r="M133" s="46" t="s">
        <v>161</v>
      </c>
      <c r="N133" s="46" t="s">
        <v>204</v>
      </c>
      <c r="O133" s="46" t="s">
        <v>146</v>
      </c>
      <c r="P133" s="46" t="s">
        <v>147</v>
      </c>
      <c r="Q133" s="46" t="str">
        <f t="shared" si="1"/>
        <v>April, 2015</v>
      </c>
      <c r="R133" s="115">
        <f t="shared" si="2"/>
        <v>42095</v>
      </c>
      <c r="S133" s="49">
        <f t="array" ref="S133">WEEKDAY(D133,2)</f>
        <v>6</v>
      </c>
      <c r="T133" s="46" t="s">
        <v>133</v>
      </c>
      <c r="U133" s="46" t="str">
        <f t="array" ref="U133">TEXT(D133,"dddd")</f>
        <v>Saturday</v>
      </c>
    </row>
    <row r="134" hidden="1">
      <c r="A134" s="46">
        <v>1.84708344E8</v>
      </c>
      <c r="B134" s="137" t="s">
        <v>224</v>
      </c>
      <c r="C134" s="137">
        <v>2016.0</v>
      </c>
      <c r="D134" s="138">
        <v>42701.0</v>
      </c>
      <c r="E134" s="139">
        <v>42706.0</v>
      </c>
      <c r="F134" s="142" t="s">
        <v>225</v>
      </c>
      <c r="G134" s="142">
        <v>2016.0</v>
      </c>
      <c r="H134" s="46">
        <v>5988.0</v>
      </c>
      <c r="I134" s="46">
        <v>8159.0</v>
      </c>
      <c r="J134" s="84">
        <v>1256975.54</v>
      </c>
      <c r="K134" s="84">
        <v>741897.8700000001</v>
      </c>
      <c r="L134" s="84">
        <v>515077.6699999999</v>
      </c>
      <c r="M134" s="46" t="s">
        <v>159</v>
      </c>
      <c r="N134" s="46" t="s">
        <v>204</v>
      </c>
      <c r="O134" s="46" t="s">
        <v>146</v>
      </c>
      <c r="P134" s="46" t="s">
        <v>147</v>
      </c>
      <c r="Q134" s="46" t="str">
        <f t="shared" si="1"/>
        <v>November, 2016</v>
      </c>
      <c r="R134" s="115">
        <f t="shared" si="2"/>
        <v>42675</v>
      </c>
      <c r="S134" s="49">
        <f t="array" ref="S134">WEEKDAY(D134,2)</f>
        <v>7</v>
      </c>
      <c r="T134" s="46" t="s">
        <v>133</v>
      </c>
      <c r="U134" s="46" t="str">
        <f t="array" ref="U134">TEXT(D134,"dddd")</f>
        <v>Sunday</v>
      </c>
    </row>
    <row r="135" hidden="1">
      <c r="A135" s="46">
        <v>1.84976994E8</v>
      </c>
      <c r="B135" s="137" t="s">
        <v>216</v>
      </c>
      <c r="C135" s="137">
        <v>2015.0</v>
      </c>
      <c r="D135" s="138">
        <v>42237.0</v>
      </c>
      <c r="E135" s="139">
        <v>42268.0</v>
      </c>
      <c r="F135" s="142" t="s">
        <v>221</v>
      </c>
      <c r="G135" s="142">
        <v>2015.0</v>
      </c>
      <c r="H135" s="46">
        <v>7940.0</v>
      </c>
      <c r="I135" s="46">
        <v>7658.0</v>
      </c>
      <c r="J135" s="84">
        <v>5117611.66</v>
      </c>
      <c r="K135" s="84">
        <v>3848451.3200000003</v>
      </c>
      <c r="L135" s="84">
        <v>1269160.3399999999</v>
      </c>
      <c r="M135" s="46" t="s">
        <v>148</v>
      </c>
      <c r="N135" s="46" t="s">
        <v>200</v>
      </c>
      <c r="O135" s="46" t="s">
        <v>146</v>
      </c>
      <c r="P135" s="46" t="s">
        <v>158</v>
      </c>
      <c r="Q135" s="46" t="str">
        <f t="shared" si="1"/>
        <v>August, 2015</v>
      </c>
      <c r="R135" s="115">
        <f t="shared" si="2"/>
        <v>42217</v>
      </c>
      <c r="S135" s="49">
        <f t="array" ref="S135">WEEKDAY(D135,2)</f>
        <v>5</v>
      </c>
      <c r="T135" s="46" t="s">
        <v>129</v>
      </c>
      <c r="U135" s="46" t="str">
        <f t="array" ref="U135">TEXT(D135,"dddd")</f>
        <v>Friday</v>
      </c>
    </row>
    <row r="136" hidden="1">
      <c r="A136" s="46">
        <v>1.8594731E8</v>
      </c>
      <c r="B136" s="137" t="s">
        <v>227</v>
      </c>
      <c r="C136" s="137">
        <v>2012.0</v>
      </c>
      <c r="D136" s="138">
        <v>40914.0</v>
      </c>
      <c r="E136" s="139">
        <v>40935.0</v>
      </c>
      <c r="F136" s="142" t="s">
        <v>227</v>
      </c>
      <c r="G136" s="142">
        <v>2012.0</v>
      </c>
      <c r="H136" s="46">
        <v>3127.0</v>
      </c>
      <c r="I136" s="46">
        <v>4796.0</v>
      </c>
      <c r="J136" s="84">
        <v>391977.08</v>
      </c>
      <c r="K136" s="84">
        <v>271789.32</v>
      </c>
      <c r="L136" s="84">
        <v>120187.76000000001</v>
      </c>
      <c r="M136" s="46" t="s">
        <v>185</v>
      </c>
      <c r="N136" s="46" t="s">
        <v>191</v>
      </c>
      <c r="O136" s="46" t="s">
        <v>146</v>
      </c>
      <c r="P136" s="46" t="s">
        <v>147</v>
      </c>
      <c r="Q136" s="46" t="str">
        <f t="shared" si="1"/>
        <v>January, 2012</v>
      </c>
      <c r="R136" s="115">
        <f t="shared" si="2"/>
        <v>40909</v>
      </c>
      <c r="S136" s="49">
        <f t="array" ref="S136">WEEKDAY(D136,2)</f>
        <v>5</v>
      </c>
      <c r="T136" s="46" t="s">
        <v>120</v>
      </c>
      <c r="U136" s="46" t="str">
        <f t="array" ref="U136">TEXT(D136,"dddd")</f>
        <v>Friday</v>
      </c>
    </row>
    <row r="137" hidden="1">
      <c r="A137" s="46">
        <v>1.85960614E8</v>
      </c>
      <c r="B137" s="137" t="s">
        <v>223</v>
      </c>
      <c r="C137" s="137">
        <v>2011.0</v>
      </c>
      <c r="D137" s="138">
        <v>40653.0</v>
      </c>
      <c r="E137" s="139">
        <v>40691.0</v>
      </c>
      <c r="F137" s="142" t="s">
        <v>219</v>
      </c>
      <c r="G137" s="142">
        <v>2011.0</v>
      </c>
      <c r="H137" s="46">
        <v>4594.0</v>
      </c>
      <c r="I137" s="46">
        <v>8733.0</v>
      </c>
      <c r="J137" s="84">
        <v>81478.89</v>
      </c>
      <c r="K137" s="84">
        <v>60432.36</v>
      </c>
      <c r="L137" s="84">
        <v>21046.53</v>
      </c>
      <c r="M137" s="46" t="s">
        <v>156</v>
      </c>
      <c r="N137" s="46" t="s">
        <v>189</v>
      </c>
      <c r="O137" s="46" t="s">
        <v>146</v>
      </c>
      <c r="P137" s="46" t="s">
        <v>158</v>
      </c>
      <c r="Q137" s="46" t="str">
        <f t="shared" si="1"/>
        <v>April, 2011</v>
      </c>
      <c r="R137" s="115">
        <f t="shared" si="2"/>
        <v>40634</v>
      </c>
      <c r="S137" s="49">
        <f t="array" ref="S137">WEEKDAY(D137,2)</f>
        <v>3</v>
      </c>
      <c r="T137" s="46" t="s">
        <v>118</v>
      </c>
      <c r="U137" s="46" t="str">
        <f t="array" ref="U137">TEXT(D137,"dddd")</f>
        <v>Wednesday</v>
      </c>
    </row>
    <row r="138" hidden="1">
      <c r="A138" s="46">
        <v>1.8607949E8</v>
      </c>
      <c r="B138" s="137" t="s">
        <v>216</v>
      </c>
      <c r="C138" s="137">
        <v>2015.0</v>
      </c>
      <c r="D138" s="138">
        <v>42241.0</v>
      </c>
      <c r="E138" s="139">
        <v>42245.0</v>
      </c>
      <c r="F138" s="142" t="s">
        <v>216</v>
      </c>
      <c r="G138" s="142">
        <v>2015.0</v>
      </c>
      <c r="H138" s="46">
        <v>5988.0</v>
      </c>
      <c r="I138" s="46">
        <v>3911.0</v>
      </c>
      <c r="J138" s="84">
        <v>602528.66</v>
      </c>
      <c r="K138" s="84">
        <v>355627.23000000004</v>
      </c>
      <c r="L138" s="84">
        <v>246901.43</v>
      </c>
      <c r="M138" s="46" t="s">
        <v>159</v>
      </c>
      <c r="N138" s="46" t="s">
        <v>205</v>
      </c>
      <c r="O138" s="46" t="s">
        <v>146</v>
      </c>
      <c r="P138" s="46" t="s">
        <v>170</v>
      </c>
      <c r="Q138" s="46" t="str">
        <f t="shared" si="1"/>
        <v>August, 2015</v>
      </c>
      <c r="R138" s="115">
        <f t="shared" si="2"/>
        <v>42217</v>
      </c>
      <c r="S138" s="49">
        <f t="array" ref="S138">WEEKDAY(D138,2)</f>
        <v>2</v>
      </c>
      <c r="T138" s="46" t="s">
        <v>135</v>
      </c>
      <c r="U138" s="46" t="str">
        <f t="array" ref="U138">TEXT(D138,"dddd")</f>
        <v>Tuesday</v>
      </c>
    </row>
    <row r="139" hidden="1">
      <c r="A139" s="46">
        <v>1.86597907E8</v>
      </c>
      <c r="B139" s="137" t="s">
        <v>224</v>
      </c>
      <c r="C139" s="137">
        <v>2015.0</v>
      </c>
      <c r="D139" s="138">
        <v>42309.0</v>
      </c>
      <c r="E139" s="139">
        <v>42353.0</v>
      </c>
      <c r="F139" s="142" t="s">
        <v>225</v>
      </c>
      <c r="G139" s="142">
        <v>2015.0</v>
      </c>
      <c r="H139" s="46">
        <v>8681.0</v>
      </c>
      <c r="I139" s="46">
        <v>7322.0</v>
      </c>
      <c r="J139" s="84">
        <v>4768159.62</v>
      </c>
      <c r="K139" s="84">
        <v>3843757.12</v>
      </c>
      <c r="L139" s="84">
        <v>924402.5</v>
      </c>
      <c r="M139" s="46" t="s">
        <v>153</v>
      </c>
      <c r="N139" s="46" t="s">
        <v>200</v>
      </c>
      <c r="O139" s="46" t="s">
        <v>146</v>
      </c>
      <c r="P139" s="46" t="s">
        <v>158</v>
      </c>
      <c r="Q139" s="46" t="str">
        <f t="shared" si="1"/>
        <v>November, 2015</v>
      </c>
      <c r="R139" s="115">
        <f t="shared" si="2"/>
        <v>42309</v>
      </c>
      <c r="S139" s="49">
        <f t="array" ref="S139">WEEKDAY(D139,2)</f>
        <v>7</v>
      </c>
      <c r="T139" s="46" t="s">
        <v>129</v>
      </c>
      <c r="U139" s="46" t="str">
        <f t="array" ref="U139">TEXT(D139,"dddd")</f>
        <v>Sunday</v>
      </c>
    </row>
    <row r="140" hidden="1">
      <c r="A140" s="46">
        <v>1.86847674E8</v>
      </c>
      <c r="B140" s="137" t="s">
        <v>223</v>
      </c>
      <c r="C140" s="137">
        <v>2017.0</v>
      </c>
      <c r="D140" s="138">
        <v>42841.0</v>
      </c>
      <c r="E140" s="139">
        <v>42848.0</v>
      </c>
      <c r="F140" s="142" t="s">
        <v>223</v>
      </c>
      <c r="G140" s="142">
        <v>2017.0</v>
      </c>
      <c r="H140" s="46">
        <v>8293.0</v>
      </c>
      <c r="I140" s="46">
        <v>1234.0</v>
      </c>
      <c r="J140" s="84">
        <v>539504.7999999999</v>
      </c>
      <c r="K140" s="84">
        <v>324949.22</v>
      </c>
      <c r="L140" s="84">
        <v>214555.57999999996</v>
      </c>
      <c r="M140" s="46" t="s">
        <v>178</v>
      </c>
      <c r="N140" s="46" t="s">
        <v>207</v>
      </c>
      <c r="O140" s="46" t="s">
        <v>146</v>
      </c>
      <c r="P140" s="46" t="s">
        <v>170</v>
      </c>
      <c r="Q140" s="46" t="str">
        <f t="shared" si="1"/>
        <v>April, 2017</v>
      </c>
      <c r="R140" s="115">
        <f t="shared" si="2"/>
        <v>42826</v>
      </c>
      <c r="S140" s="49">
        <f t="array" ref="S140">WEEKDAY(D140,2)</f>
        <v>7</v>
      </c>
      <c r="T140" s="46" t="s">
        <v>137</v>
      </c>
      <c r="U140" s="46" t="str">
        <f t="array" ref="U140">TEXT(D140,"dddd")</f>
        <v>Sunday</v>
      </c>
    </row>
    <row r="141" hidden="1">
      <c r="A141" s="46">
        <v>1.8710345E8</v>
      </c>
      <c r="B141" s="137" t="s">
        <v>219</v>
      </c>
      <c r="C141" s="137">
        <v>2011.0</v>
      </c>
      <c r="D141" s="138">
        <v>40667.0</v>
      </c>
      <c r="E141" s="139">
        <v>40677.0</v>
      </c>
      <c r="F141" s="142" t="s">
        <v>219</v>
      </c>
      <c r="G141" s="142">
        <v>2011.0</v>
      </c>
      <c r="H141" s="46">
        <v>4594.0</v>
      </c>
      <c r="I141" s="46">
        <v>6924.0</v>
      </c>
      <c r="J141" s="84">
        <v>64600.92</v>
      </c>
      <c r="K141" s="84">
        <v>47914.08</v>
      </c>
      <c r="L141" s="84">
        <v>16686.839999999997</v>
      </c>
      <c r="M141" s="46" t="s">
        <v>156</v>
      </c>
      <c r="N141" s="46" t="s">
        <v>176</v>
      </c>
      <c r="O141" s="46" t="s">
        <v>146</v>
      </c>
      <c r="P141" s="46" t="s">
        <v>158</v>
      </c>
      <c r="Q141" s="46" t="str">
        <f t="shared" si="1"/>
        <v>May, 2011</v>
      </c>
      <c r="R141" s="115">
        <f t="shared" si="2"/>
        <v>40664</v>
      </c>
      <c r="S141" s="49">
        <f t="array" ref="S141">WEEKDAY(D141,2)</f>
        <v>3</v>
      </c>
      <c r="T141" s="46" t="s">
        <v>109</v>
      </c>
      <c r="U141" s="46" t="str">
        <f t="array" ref="U141">TEXT(D141,"dddd")</f>
        <v>Wednesday</v>
      </c>
    </row>
    <row r="142" hidden="1">
      <c r="A142" s="46">
        <v>1.88866841E8</v>
      </c>
      <c r="B142" s="137" t="s">
        <v>219</v>
      </c>
      <c r="C142" s="137">
        <v>2014.0</v>
      </c>
      <c r="D142" s="138">
        <v>41775.0</v>
      </c>
      <c r="E142" s="139">
        <v>41779.0</v>
      </c>
      <c r="F142" s="142" t="s">
        <v>219</v>
      </c>
      <c r="G142" s="142">
        <v>2014.0</v>
      </c>
      <c r="H142" s="46">
        <v>2455.0</v>
      </c>
      <c r="I142" s="46">
        <v>8750.0</v>
      </c>
      <c r="J142" s="84">
        <v>956200.0</v>
      </c>
      <c r="K142" s="84">
        <v>313600.00000000006</v>
      </c>
      <c r="L142" s="84">
        <v>642600.0</v>
      </c>
      <c r="M142" s="46" t="s">
        <v>150</v>
      </c>
      <c r="N142" s="46" t="s">
        <v>171</v>
      </c>
      <c r="O142" s="46" t="s">
        <v>146</v>
      </c>
      <c r="P142" s="46" t="s">
        <v>147</v>
      </c>
      <c r="Q142" s="46" t="str">
        <f t="shared" si="1"/>
        <v>May, 2014</v>
      </c>
      <c r="R142" s="115">
        <f t="shared" si="2"/>
        <v>41760</v>
      </c>
      <c r="S142" s="49">
        <f t="array" ref="S142">WEEKDAY(D142,2)</f>
        <v>5</v>
      </c>
      <c r="T142" s="46" t="s">
        <v>104</v>
      </c>
      <c r="U142" s="46" t="str">
        <f t="array" ref="U142">TEXT(D142,"dddd")</f>
        <v>Friday</v>
      </c>
    </row>
    <row r="143" hidden="1">
      <c r="A143" s="46">
        <v>1.89108455E8</v>
      </c>
      <c r="B143" s="137" t="s">
        <v>219</v>
      </c>
      <c r="C143" s="137">
        <v>2012.0</v>
      </c>
      <c r="D143" s="138">
        <v>41040.0</v>
      </c>
      <c r="E143" s="139">
        <v>41090.0</v>
      </c>
      <c r="F143" s="142" t="s">
        <v>220</v>
      </c>
      <c r="G143" s="142">
        <v>2012.0</v>
      </c>
      <c r="H143" s="46">
        <v>8681.0</v>
      </c>
      <c r="I143" s="46">
        <v>249.0</v>
      </c>
      <c r="J143" s="84">
        <v>162151.29</v>
      </c>
      <c r="K143" s="84">
        <v>130715.04000000001</v>
      </c>
      <c r="L143" s="84">
        <v>31436.25</v>
      </c>
      <c r="M143" s="46" t="s">
        <v>153</v>
      </c>
      <c r="N143" s="46" t="s">
        <v>184</v>
      </c>
      <c r="O143" s="46" t="s">
        <v>146</v>
      </c>
      <c r="P143" s="46" t="s">
        <v>155</v>
      </c>
      <c r="Q143" s="46" t="str">
        <f t="shared" si="1"/>
        <v>May, 2012</v>
      </c>
      <c r="R143" s="115">
        <f t="shared" si="2"/>
        <v>41030</v>
      </c>
      <c r="S143" s="49">
        <f t="array" ref="S143">WEEKDAY(D143,2)</f>
        <v>5</v>
      </c>
      <c r="T143" s="46" t="s">
        <v>114</v>
      </c>
      <c r="U143" s="46" t="str">
        <f t="array" ref="U143">TEXT(D143,"dddd")</f>
        <v>Friday</v>
      </c>
    </row>
    <row r="144" hidden="1">
      <c r="A144" s="46">
        <v>1.89667212E8</v>
      </c>
      <c r="B144" s="137" t="s">
        <v>217</v>
      </c>
      <c r="C144" s="137">
        <v>2012.0</v>
      </c>
      <c r="D144" s="138">
        <v>41118.0</v>
      </c>
      <c r="E144" s="139">
        <v>41155.0</v>
      </c>
      <c r="F144" s="142" t="s">
        <v>221</v>
      </c>
      <c r="G144" s="142">
        <v>2012.0</v>
      </c>
      <c r="H144" s="46">
        <v>8969.0</v>
      </c>
      <c r="I144" s="46">
        <v>5598.0</v>
      </c>
      <c r="J144" s="84">
        <v>854142.8400000001</v>
      </c>
      <c r="K144" s="84">
        <v>545469.12</v>
      </c>
      <c r="L144" s="84">
        <v>308673.7200000001</v>
      </c>
      <c r="M144" s="46" t="s">
        <v>182</v>
      </c>
      <c r="N144" s="46" t="s">
        <v>179</v>
      </c>
      <c r="O144" s="46" t="s">
        <v>146</v>
      </c>
      <c r="P144" s="46" t="s">
        <v>155</v>
      </c>
      <c r="Q144" s="46" t="str">
        <f t="shared" si="1"/>
        <v>July, 2012</v>
      </c>
      <c r="R144" s="115">
        <f t="shared" si="2"/>
        <v>41091</v>
      </c>
      <c r="S144" s="49">
        <f t="array" ref="S144">WEEKDAY(D144,2)</f>
        <v>6</v>
      </c>
      <c r="T144" s="46" t="s">
        <v>111</v>
      </c>
      <c r="U144" s="46" t="str">
        <f t="array" ref="U144">TEXT(D144,"dddd")</f>
        <v>Saturday</v>
      </c>
    </row>
    <row r="145" hidden="1">
      <c r="A145" s="46">
        <v>1.89924275E8</v>
      </c>
      <c r="B145" s="137" t="s">
        <v>228</v>
      </c>
      <c r="C145" s="137">
        <v>2013.0</v>
      </c>
      <c r="D145" s="138">
        <v>41327.0</v>
      </c>
      <c r="E145" s="139">
        <v>41354.0</v>
      </c>
      <c r="F145" s="142" t="s">
        <v>222</v>
      </c>
      <c r="G145" s="142">
        <v>2013.0</v>
      </c>
      <c r="H145" s="46">
        <v>1270.0</v>
      </c>
      <c r="I145" s="46">
        <v>1668.0</v>
      </c>
      <c r="J145" s="84">
        <v>79146.6</v>
      </c>
      <c r="K145" s="84">
        <v>53025.72</v>
      </c>
      <c r="L145" s="84">
        <v>26120.880000000005</v>
      </c>
      <c r="M145" s="46" t="s">
        <v>152</v>
      </c>
      <c r="N145" s="46" t="s">
        <v>162</v>
      </c>
      <c r="O145" s="46" t="s">
        <v>146</v>
      </c>
      <c r="P145" s="46" t="s">
        <v>147</v>
      </c>
      <c r="Q145" s="46" t="str">
        <f t="shared" si="1"/>
        <v>February, 2013</v>
      </c>
      <c r="R145" s="115">
        <f t="shared" si="2"/>
        <v>41306</v>
      </c>
      <c r="S145" s="49">
        <f t="array" ref="S145">WEEKDAY(D145,2)</f>
        <v>5</v>
      </c>
      <c r="T145" s="46" t="s">
        <v>99</v>
      </c>
      <c r="U145" s="46" t="str">
        <f t="array" ref="U145">TEXT(D145,"dddd")</f>
        <v>Friday</v>
      </c>
    </row>
    <row r="146" hidden="1">
      <c r="A146" s="46">
        <v>1.9000281E8</v>
      </c>
      <c r="B146" s="137" t="s">
        <v>220</v>
      </c>
      <c r="C146" s="137">
        <v>2017.0</v>
      </c>
      <c r="D146" s="138">
        <v>42906.0</v>
      </c>
      <c r="E146" s="139">
        <v>42952.0</v>
      </c>
      <c r="F146" s="142" t="s">
        <v>216</v>
      </c>
      <c r="G146" s="142">
        <v>2017.0</v>
      </c>
      <c r="H146" s="46">
        <v>2455.0</v>
      </c>
      <c r="I146" s="46">
        <v>4909.0</v>
      </c>
      <c r="J146" s="84">
        <v>536455.52</v>
      </c>
      <c r="K146" s="84">
        <v>175938.56000000003</v>
      </c>
      <c r="L146" s="84">
        <v>360516.95999999996</v>
      </c>
      <c r="M146" s="46" t="s">
        <v>150</v>
      </c>
      <c r="N146" s="46" t="s">
        <v>199</v>
      </c>
      <c r="O146" s="46" t="s">
        <v>146</v>
      </c>
      <c r="P146" s="46" t="s">
        <v>147</v>
      </c>
      <c r="Q146" s="46" t="str">
        <f t="shared" si="1"/>
        <v>June, 2017</v>
      </c>
      <c r="R146" s="115">
        <f t="shared" si="2"/>
        <v>42887</v>
      </c>
      <c r="S146" s="49">
        <f t="array" ref="S146">WEEKDAY(D146,2)</f>
        <v>2</v>
      </c>
      <c r="T146" s="46" t="s">
        <v>128</v>
      </c>
      <c r="U146" s="46" t="str">
        <f t="array" ref="U146">TEXT(D146,"dddd")</f>
        <v>Tuesday</v>
      </c>
    </row>
    <row r="147" hidden="1">
      <c r="A147" s="46">
        <v>1.92236125E8</v>
      </c>
      <c r="B147" s="137" t="s">
        <v>222</v>
      </c>
      <c r="C147" s="137">
        <v>2017.0</v>
      </c>
      <c r="D147" s="138">
        <v>42805.0</v>
      </c>
      <c r="E147" s="139">
        <v>42816.0</v>
      </c>
      <c r="F147" s="142" t="s">
        <v>222</v>
      </c>
      <c r="G147" s="142">
        <v>2017.0</v>
      </c>
      <c r="H147" s="46">
        <v>1270.0</v>
      </c>
      <c r="I147" s="46">
        <v>5796.0</v>
      </c>
      <c r="J147" s="84">
        <v>275020.2</v>
      </c>
      <c r="K147" s="84">
        <v>184254.84</v>
      </c>
      <c r="L147" s="84">
        <v>90765.36000000002</v>
      </c>
      <c r="M147" s="46" t="s">
        <v>152</v>
      </c>
      <c r="N147" s="46" t="s">
        <v>162</v>
      </c>
      <c r="O147" s="46" t="s">
        <v>146</v>
      </c>
      <c r="P147" s="46" t="s">
        <v>147</v>
      </c>
      <c r="Q147" s="46" t="str">
        <f t="shared" si="1"/>
        <v>March, 2017</v>
      </c>
      <c r="R147" s="115">
        <f t="shared" si="2"/>
        <v>42795</v>
      </c>
      <c r="S147" s="49">
        <f t="array" ref="S147">WEEKDAY(D147,2)</f>
        <v>6</v>
      </c>
      <c r="T147" s="46" t="s">
        <v>99</v>
      </c>
      <c r="U147" s="46" t="str">
        <f t="array" ref="U147">TEXT(D147,"dddd")</f>
        <v>Saturday</v>
      </c>
    </row>
    <row r="148" hidden="1">
      <c r="A148" s="46">
        <v>1.92589318E8</v>
      </c>
      <c r="B148" s="137" t="s">
        <v>224</v>
      </c>
      <c r="C148" s="137">
        <v>2012.0</v>
      </c>
      <c r="D148" s="138">
        <v>41214.0</v>
      </c>
      <c r="E148" s="139">
        <v>41259.0</v>
      </c>
      <c r="F148" s="142" t="s">
        <v>225</v>
      </c>
      <c r="G148" s="142">
        <v>2012.0</v>
      </c>
      <c r="H148" s="46">
        <v>4594.0</v>
      </c>
      <c r="I148" s="46">
        <v>314.0</v>
      </c>
      <c r="J148" s="84">
        <v>2929.62</v>
      </c>
      <c r="K148" s="84">
        <v>2172.88</v>
      </c>
      <c r="L148" s="84">
        <v>756.7399999999998</v>
      </c>
      <c r="M148" s="46" t="s">
        <v>156</v>
      </c>
      <c r="N148" s="46" t="s">
        <v>184</v>
      </c>
      <c r="O148" s="46" t="s">
        <v>146</v>
      </c>
      <c r="P148" s="46" t="s">
        <v>155</v>
      </c>
      <c r="Q148" s="46" t="str">
        <f t="shared" si="1"/>
        <v>November, 2012</v>
      </c>
      <c r="R148" s="115">
        <f t="shared" si="2"/>
        <v>41214</v>
      </c>
      <c r="S148" s="49">
        <f t="array" ref="S148">WEEKDAY(D148,2)</f>
        <v>4</v>
      </c>
      <c r="T148" s="46" t="s">
        <v>114</v>
      </c>
      <c r="U148" s="46" t="str">
        <f t="array" ref="U148">TEXT(D148,"dddd")</f>
        <v>Thursday</v>
      </c>
    </row>
    <row r="149" hidden="1">
      <c r="A149" s="46">
        <v>1.92922341E8</v>
      </c>
      <c r="B149" s="137" t="s">
        <v>223</v>
      </c>
      <c r="C149" s="137">
        <v>2012.0</v>
      </c>
      <c r="D149" s="138">
        <v>41001.0</v>
      </c>
      <c r="E149" s="139">
        <v>41030.0</v>
      </c>
      <c r="F149" s="142" t="s">
        <v>219</v>
      </c>
      <c r="G149" s="142">
        <v>2012.0</v>
      </c>
      <c r="H149" s="46">
        <v>1270.0</v>
      </c>
      <c r="I149" s="46">
        <v>8863.0</v>
      </c>
      <c r="J149" s="84">
        <v>420549.35000000003</v>
      </c>
      <c r="K149" s="84">
        <v>281754.77</v>
      </c>
      <c r="L149" s="84">
        <v>138794.58000000002</v>
      </c>
      <c r="M149" s="46" t="s">
        <v>152</v>
      </c>
      <c r="N149" s="46" t="s">
        <v>189</v>
      </c>
      <c r="O149" s="46" t="s">
        <v>146</v>
      </c>
      <c r="P149" s="46" t="s">
        <v>158</v>
      </c>
      <c r="Q149" s="46" t="str">
        <f t="shared" si="1"/>
        <v>April, 2012</v>
      </c>
      <c r="R149" s="115">
        <f t="shared" si="2"/>
        <v>41000</v>
      </c>
      <c r="S149" s="49">
        <f t="array" ref="S149">WEEKDAY(D149,2)</f>
        <v>1</v>
      </c>
      <c r="T149" s="46" t="s">
        <v>118</v>
      </c>
      <c r="U149" s="46" t="str">
        <f t="array" ref="U149">TEXT(D149,"dddd")</f>
        <v>Monday</v>
      </c>
    </row>
    <row r="150" hidden="1">
      <c r="A150" s="46">
        <v>1.93472945E8</v>
      </c>
      <c r="B150" s="137" t="s">
        <v>217</v>
      </c>
      <c r="C150" s="137">
        <v>2016.0</v>
      </c>
      <c r="D150" s="138">
        <v>42578.0</v>
      </c>
      <c r="E150" s="139">
        <v>42626.0</v>
      </c>
      <c r="F150" s="142" t="s">
        <v>221</v>
      </c>
      <c r="G150" s="142">
        <v>2016.0</v>
      </c>
      <c r="H150" s="46">
        <v>8293.0</v>
      </c>
      <c r="I150" s="46">
        <v>1799.0</v>
      </c>
      <c r="J150" s="84">
        <v>786522.7999999999</v>
      </c>
      <c r="K150" s="84">
        <v>473730.67</v>
      </c>
      <c r="L150" s="84">
        <v>312792.12999999995</v>
      </c>
      <c r="M150" s="46" t="s">
        <v>178</v>
      </c>
      <c r="N150" s="46" t="s">
        <v>176</v>
      </c>
      <c r="O150" s="46" t="s">
        <v>146</v>
      </c>
      <c r="P150" s="46" t="s">
        <v>158</v>
      </c>
      <c r="Q150" s="46" t="str">
        <f t="shared" si="1"/>
        <v>July, 2016</v>
      </c>
      <c r="R150" s="115">
        <f t="shared" si="2"/>
        <v>42552</v>
      </c>
      <c r="S150" s="49">
        <f t="array" ref="S150">WEEKDAY(D150,2)</f>
        <v>3</v>
      </c>
      <c r="T150" s="46" t="s">
        <v>109</v>
      </c>
      <c r="U150" s="46" t="str">
        <f t="array" ref="U150">TEXT(D150,"dddd")</f>
        <v>Wednesday</v>
      </c>
    </row>
    <row r="151" hidden="1">
      <c r="A151" s="46">
        <v>1.94176757E8</v>
      </c>
      <c r="B151" s="137" t="s">
        <v>217</v>
      </c>
      <c r="C151" s="137">
        <v>2017.0</v>
      </c>
      <c r="D151" s="138">
        <v>42926.0</v>
      </c>
      <c r="E151" s="139">
        <v>42967.0</v>
      </c>
      <c r="F151" s="142" t="s">
        <v>216</v>
      </c>
      <c r="G151" s="142">
        <v>2017.0</v>
      </c>
      <c r="H151" s="46">
        <v>7940.0</v>
      </c>
      <c r="I151" s="46">
        <v>72.0</v>
      </c>
      <c r="J151" s="84">
        <v>48115.44</v>
      </c>
      <c r="K151" s="84">
        <v>36182.880000000005</v>
      </c>
      <c r="L151" s="84">
        <v>11932.559999999998</v>
      </c>
      <c r="M151" s="46" t="s">
        <v>148</v>
      </c>
      <c r="N151" s="46" t="s">
        <v>179</v>
      </c>
      <c r="O151" s="46" t="s">
        <v>146</v>
      </c>
      <c r="P151" s="46" t="s">
        <v>155</v>
      </c>
      <c r="Q151" s="46" t="str">
        <f t="shared" si="1"/>
        <v>July, 2017</v>
      </c>
      <c r="R151" s="115">
        <f t="shared" si="2"/>
        <v>42917</v>
      </c>
      <c r="S151" s="49">
        <f t="array" ref="S151">WEEKDAY(D151,2)</f>
        <v>1</v>
      </c>
      <c r="T151" s="46" t="s">
        <v>111</v>
      </c>
      <c r="U151" s="46" t="str">
        <f t="array" ref="U151">TEXT(D151,"dddd")</f>
        <v>Monday</v>
      </c>
    </row>
    <row r="152" hidden="1">
      <c r="A152" s="46">
        <v>1.94785726E8</v>
      </c>
      <c r="B152" s="137" t="s">
        <v>226</v>
      </c>
      <c r="C152" s="137">
        <v>2014.0</v>
      </c>
      <c r="D152" s="138">
        <v>41928.0</v>
      </c>
      <c r="E152" s="139">
        <v>41956.0</v>
      </c>
      <c r="F152" s="142" t="s">
        <v>224</v>
      </c>
      <c r="G152" s="142">
        <v>2014.0</v>
      </c>
      <c r="H152" s="46">
        <v>2103.0</v>
      </c>
      <c r="I152" s="46">
        <v>280.0</v>
      </c>
      <c r="J152" s="84">
        <v>57596.0</v>
      </c>
      <c r="K152" s="84">
        <v>32790.8</v>
      </c>
      <c r="L152" s="84">
        <v>24805.199999999997</v>
      </c>
      <c r="M152" s="46" t="s">
        <v>144</v>
      </c>
      <c r="N152" s="46" t="s">
        <v>200</v>
      </c>
      <c r="O152" s="46" t="s">
        <v>146</v>
      </c>
      <c r="P152" s="46" t="s">
        <v>158</v>
      </c>
      <c r="Q152" s="46" t="str">
        <f t="shared" si="1"/>
        <v>October, 2014</v>
      </c>
      <c r="R152" s="115">
        <f t="shared" si="2"/>
        <v>41913</v>
      </c>
      <c r="S152" s="49">
        <f t="array" ref="S152">WEEKDAY(D152,2)</f>
        <v>4</v>
      </c>
      <c r="T152" s="46" t="s">
        <v>129</v>
      </c>
      <c r="U152" s="46" t="str">
        <f t="array" ref="U152">TEXT(D152,"dddd")</f>
        <v>Thursday</v>
      </c>
    </row>
    <row r="153" hidden="1">
      <c r="A153" s="46">
        <v>1.94858253E8</v>
      </c>
      <c r="B153" s="137" t="s">
        <v>219</v>
      </c>
      <c r="C153" s="137">
        <v>2011.0</v>
      </c>
      <c r="D153" s="138">
        <v>40680.0</v>
      </c>
      <c r="E153" s="139">
        <v>40685.0</v>
      </c>
      <c r="F153" s="142" t="s">
        <v>219</v>
      </c>
      <c r="G153" s="142">
        <v>2011.0</v>
      </c>
      <c r="H153" s="46">
        <v>3127.0</v>
      </c>
      <c r="I153" s="46">
        <v>1742.0</v>
      </c>
      <c r="J153" s="84">
        <v>142373.66</v>
      </c>
      <c r="K153" s="84">
        <v>98719.14</v>
      </c>
      <c r="L153" s="84">
        <v>43654.520000000004</v>
      </c>
      <c r="M153" s="46" t="s">
        <v>185</v>
      </c>
      <c r="N153" s="46" t="s">
        <v>174</v>
      </c>
      <c r="O153" s="46" t="s">
        <v>146</v>
      </c>
      <c r="P153" s="46" t="s">
        <v>158</v>
      </c>
      <c r="Q153" s="46" t="str">
        <f t="shared" si="1"/>
        <v>May, 2011</v>
      </c>
      <c r="R153" s="115">
        <f t="shared" si="2"/>
        <v>40664</v>
      </c>
      <c r="S153" s="49">
        <f t="array" ref="S153">WEEKDAY(D153,2)</f>
        <v>2</v>
      </c>
      <c r="T153" s="46" t="s">
        <v>107</v>
      </c>
      <c r="U153" s="46" t="str">
        <f t="array" ref="U153">TEXT(D153,"dddd")</f>
        <v>Tuesday</v>
      </c>
    </row>
    <row r="154" hidden="1">
      <c r="A154" s="46">
        <v>1.94922626E8</v>
      </c>
      <c r="B154" s="137" t="s">
        <v>227</v>
      </c>
      <c r="C154" s="137">
        <v>2012.0</v>
      </c>
      <c r="D154" s="138">
        <v>40931.0</v>
      </c>
      <c r="E154" s="139">
        <v>40946.0</v>
      </c>
      <c r="F154" s="142" t="s">
        <v>228</v>
      </c>
      <c r="G154" s="142">
        <v>2012.0</v>
      </c>
      <c r="H154" s="46">
        <v>7331.0</v>
      </c>
      <c r="I154" s="46">
        <v>791.0</v>
      </c>
      <c r="J154" s="84">
        <v>201926.48</v>
      </c>
      <c r="K154" s="84">
        <v>126101.21999999999</v>
      </c>
      <c r="L154" s="84">
        <v>75825.26000000002</v>
      </c>
      <c r="M154" s="46" t="s">
        <v>161</v>
      </c>
      <c r="N154" s="46" t="s">
        <v>164</v>
      </c>
      <c r="O154" s="46" t="s">
        <v>165</v>
      </c>
      <c r="P154" s="46" t="s">
        <v>166</v>
      </c>
      <c r="Q154" s="46" t="str">
        <f t="shared" si="1"/>
        <v>January, 2012</v>
      </c>
      <c r="R154" s="115">
        <f t="shared" si="2"/>
        <v>40909</v>
      </c>
      <c r="S154" s="49">
        <f t="array" ref="S154">WEEKDAY(D154,2)</f>
        <v>1</v>
      </c>
      <c r="T154" s="46" t="s">
        <v>101</v>
      </c>
      <c r="U154" s="46" t="str">
        <f t="array" ref="U154">TEXT(D154,"dddd")</f>
        <v>Monday</v>
      </c>
    </row>
    <row r="155" hidden="1">
      <c r="A155" s="46">
        <v>1.95171105E8</v>
      </c>
      <c r="B155" s="137" t="s">
        <v>217</v>
      </c>
      <c r="C155" s="137">
        <v>2014.0</v>
      </c>
      <c r="D155" s="138">
        <v>41845.0</v>
      </c>
      <c r="E155" s="139">
        <v>41886.0</v>
      </c>
      <c r="F155" s="142" t="s">
        <v>221</v>
      </c>
      <c r="G155" s="142">
        <v>2014.0</v>
      </c>
      <c r="H155" s="46">
        <v>3127.0</v>
      </c>
      <c r="I155" s="46">
        <v>4322.0</v>
      </c>
      <c r="J155" s="84">
        <v>353237.06</v>
      </c>
      <c r="K155" s="84">
        <v>244927.74000000002</v>
      </c>
      <c r="L155" s="84">
        <v>108309.31999999998</v>
      </c>
      <c r="M155" s="46" t="s">
        <v>185</v>
      </c>
      <c r="N155" s="46" t="s">
        <v>201</v>
      </c>
      <c r="O155" s="46" t="s">
        <v>146</v>
      </c>
      <c r="P155" s="46" t="s">
        <v>170</v>
      </c>
      <c r="Q155" s="46" t="str">
        <f t="shared" si="1"/>
        <v>July, 2014</v>
      </c>
      <c r="R155" s="115">
        <f t="shared" si="2"/>
        <v>41821</v>
      </c>
      <c r="S155" s="49">
        <f t="array" ref="S155">WEEKDAY(D155,2)</f>
        <v>5</v>
      </c>
      <c r="T155" s="46" t="s">
        <v>130</v>
      </c>
      <c r="U155" s="46" t="str">
        <f t="array" ref="U155">TEXT(D155,"dddd")</f>
        <v>Friday</v>
      </c>
    </row>
    <row r="156" hidden="1">
      <c r="A156" s="46">
        <v>1.95212733E8</v>
      </c>
      <c r="B156" s="137" t="s">
        <v>217</v>
      </c>
      <c r="C156" s="137">
        <v>2013.0</v>
      </c>
      <c r="D156" s="138">
        <v>41473.0</v>
      </c>
      <c r="E156" s="139">
        <v>41500.0</v>
      </c>
      <c r="F156" s="142" t="s">
        <v>216</v>
      </c>
      <c r="G156" s="142">
        <v>2013.0</v>
      </c>
      <c r="H156" s="46">
        <v>2103.0</v>
      </c>
      <c r="I156" s="46">
        <v>6641.0</v>
      </c>
      <c r="J156" s="84">
        <v>1366053.7</v>
      </c>
      <c r="K156" s="84">
        <v>777727.51</v>
      </c>
      <c r="L156" s="84">
        <v>588326.19</v>
      </c>
      <c r="M156" s="46" t="s">
        <v>144</v>
      </c>
      <c r="N156" s="46" t="s">
        <v>188</v>
      </c>
      <c r="O156" s="46" t="s">
        <v>146</v>
      </c>
      <c r="P156" s="46" t="s">
        <v>170</v>
      </c>
      <c r="Q156" s="46" t="str">
        <f t="shared" si="1"/>
        <v>July, 2013</v>
      </c>
      <c r="R156" s="115">
        <f t="shared" si="2"/>
        <v>41456</v>
      </c>
      <c r="S156" s="49">
        <f t="array" ref="S156">WEEKDAY(D156,2)</f>
        <v>4</v>
      </c>
      <c r="T156" s="46" t="s">
        <v>117</v>
      </c>
      <c r="U156" s="46" t="str">
        <f t="array" ref="U156">TEXT(D156,"dddd")</f>
        <v>Thursday</v>
      </c>
    </row>
    <row r="157" hidden="1">
      <c r="A157" s="46">
        <v>1.95259082E8</v>
      </c>
      <c r="B157" s="137" t="s">
        <v>221</v>
      </c>
      <c r="C157" s="137">
        <v>2013.0</v>
      </c>
      <c r="D157" s="138">
        <v>41543.0</v>
      </c>
      <c r="E157" s="139">
        <v>41558.0</v>
      </c>
      <c r="F157" s="142" t="s">
        <v>226</v>
      </c>
      <c r="G157" s="142">
        <v>2013.0</v>
      </c>
      <c r="H157" s="46">
        <v>7940.0</v>
      </c>
      <c r="I157" s="46">
        <v>356.0</v>
      </c>
      <c r="J157" s="84">
        <v>237904.12</v>
      </c>
      <c r="K157" s="84">
        <v>178904.24000000002</v>
      </c>
      <c r="L157" s="84">
        <v>58999.879999999976</v>
      </c>
      <c r="M157" s="46" t="s">
        <v>148</v>
      </c>
      <c r="N157" s="46" t="s">
        <v>208</v>
      </c>
      <c r="O157" s="46" t="s">
        <v>146</v>
      </c>
      <c r="P157" s="46" t="s">
        <v>147</v>
      </c>
      <c r="Q157" s="46" t="str">
        <f t="shared" si="1"/>
        <v>September, 2013</v>
      </c>
      <c r="R157" s="115">
        <f t="shared" si="2"/>
        <v>41518</v>
      </c>
      <c r="S157" s="49">
        <f t="array" ref="S157">WEEKDAY(D157,2)</f>
        <v>4</v>
      </c>
      <c r="T157" s="46" t="s">
        <v>138</v>
      </c>
      <c r="U157" s="46" t="str">
        <f t="array" ref="U157">TEXT(D157,"dddd")</f>
        <v>Thursday</v>
      </c>
    </row>
    <row r="158" hidden="1">
      <c r="A158" s="46">
        <v>1.96346127E8</v>
      </c>
      <c r="B158" s="137" t="s">
        <v>228</v>
      </c>
      <c r="C158" s="137">
        <v>2011.0</v>
      </c>
      <c r="D158" s="138">
        <v>40602.0</v>
      </c>
      <c r="E158" s="139">
        <v>40645.0</v>
      </c>
      <c r="F158" s="142" t="s">
        <v>223</v>
      </c>
      <c r="G158" s="142">
        <v>2011.0</v>
      </c>
      <c r="H158" s="46">
        <v>8969.0</v>
      </c>
      <c r="I158" s="46">
        <v>2037.0</v>
      </c>
      <c r="J158" s="84">
        <v>310805.46</v>
      </c>
      <c r="K158" s="84">
        <v>198485.28</v>
      </c>
      <c r="L158" s="84">
        <v>112320.18000000002</v>
      </c>
      <c r="M158" s="46" t="s">
        <v>182</v>
      </c>
      <c r="N158" s="46" t="s">
        <v>164</v>
      </c>
      <c r="O158" s="46" t="s">
        <v>165</v>
      </c>
      <c r="P158" s="46" t="s">
        <v>166</v>
      </c>
      <c r="Q158" s="46" t="str">
        <f t="shared" si="1"/>
        <v>February, 2011</v>
      </c>
      <c r="R158" s="115">
        <f t="shared" si="2"/>
        <v>40575</v>
      </c>
      <c r="S158" s="49">
        <f t="array" ref="S158">WEEKDAY(D158,2)</f>
        <v>1</v>
      </c>
      <c r="T158" s="46" t="s">
        <v>101</v>
      </c>
      <c r="U158" s="46" t="str">
        <f t="array" ref="U158">TEXT(D158,"dddd")</f>
        <v>Monday</v>
      </c>
    </row>
    <row r="159" hidden="1">
      <c r="A159" s="46">
        <v>1.98537814E8</v>
      </c>
      <c r="B159" s="137" t="s">
        <v>224</v>
      </c>
      <c r="C159" s="137">
        <v>2011.0</v>
      </c>
      <c r="D159" s="138">
        <v>40873.0</v>
      </c>
      <c r="E159" s="139">
        <v>40896.0</v>
      </c>
      <c r="F159" s="142" t="s">
        <v>225</v>
      </c>
      <c r="G159" s="142">
        <v>2011.0</v>
      </c>
      <c r="H159" s="46">
        <v>8875.0</v>
      </c>
      <c r="I159" s="46">
        <v>606.0</v>
      </c>
      <c r="J159" s="84">
        <v>255665.34</v>
      </c>
      <c r="K159" s="84">
        <v>221002.13999999998</v>
      </c>
      <c r="L159" s="84">
        <v>34663.20000000001</v>
      </c>
      <c r="M159" s="46" t="s">
        <v>167</v>
      </c>
      <c r="N159" s="46" t="s">
        <v>205</v>
      </c>
      <c r="O159" s="46" t="s">
        <v>146</v>
      </c>
      <c r="P159" s="46" t="s">
        <v>170</v>
      </c>
      <c r="Q159" s="46" t="str">
        <f t="shared" si="1"/>
        <v>November, 2011</v>
      </c>
      <c r="R159" s="115">
        <f t="shared" si="2"/>
        <v>40848</v>
      </c>
      <c r="S159" s="49">
        <f t="array" ref="S159">WEEKDAY(D159,2)</f>
        <v>6</v>
      </c>
      <c r="T159" s="46" t="s">
        <v>135</v>
      </c>
      <c r="U159" s="46" t="str">
        <f t="array" ref="U159">TEXT(D159,"dddd")</f>
        <v>Saturday</v>
      </c>
    </row>
    <row r="160" hidden="1">
      <c r="A160" s="46">
        <v>2.0035485E8</v>
      </c>
      <c r="B160" s="137" t="s">
        <v>223</v>
      </c>
      <c r="C160" s="137">
        <v>2014.0</v>
      </c>
      <c r="D160" s="138">
        <v>41730.0</v>
      </c>
      <c r="E160" s="139">
        <v>41763.0</v>
      </c>
      <c r="F160" s="142" t="s">
        <v>219</v>
      </c>
      <c r="G160" s="142">
        <v>2014.0</v>
      </c>
      <c r="H160" s="46">
        <v>7331.0</v>
      </c>
      <c r="I160" s="46">
        <v>8307.0</v>
      </c>
      <c r="J160" s="84">
        <v>2120610.96</v>
      </c>
      <c r="K160" s="84">
        <v>1324301.94</v>
      </c>
      <c r="L160" s="84">
        <v>796309.02</v>
      </c>
      <c r="M160" s="46" t="s">
        <v>161</v>
      </c>
      <c r="N160" s="46" t="s">
        <v>190</v>
      </c>
      <c r="O160" s="46" t="s">
        <v>146</v>
      </c>
      <c r="P160" s="46" t="s">
        <v>147</v>
      </c>
      <c r="Q160" s="46" t="str">
        <f t="shared" si="1"/>
        <v>April, 2014</v>
      </c>
      <c r="R160" s="115">
        <f t="shared" si="2"/>
        <v>41730</v>
      </c>
      <c r="S160" s="49">
        <f t="array" ref="S160">WEEKDAY(D160,2)</f>
        <v>2</v>
      </c>
      <c r="T160" s="46" t="s">
        <v>119</v>
      </c>
      <c r="U160" s="46" t="str">
        <f t="array" ref="U160">TEXT(D160,"dddd")</f>
        <v>Tuesday</v>
      </c>
    </row>
    <row r="161" hidden="1">
      <c r="A161" s="46">
        <v>2.00432097E8</v>
      </c>
      <c r="B161" s="137" t="s">
        <v>227</v>
      </c>
      <c r="C161" s="137">
        <v>2012.0</v>
      </c>
      <c r="D161" s="138">
        <v>40925.0</v>
      </c>
      <c r="E161" s="139">
        <v>40939.0</v>
      </c>
      <c r="F161" s="142" t="s">
        <v>227</v>
      </c>
      <c r="G161" s="142">
        <v>2012.0</v>
      </c>
      <c r="H161" s="46">
        <v>7940.0</v>
      </c>
      <c r="I161" s="46">
        <v>1167.0</v>
      </c>
      <c r="J161" s="84">
        <v>779871.09</v>
      </c>
      <c r="K161" s="84">
        <v>586464.18</v>
      </c>
      <c r="L161" s="84">
        <v>193406.90999999992</v>
      </c>
      <c r="M161" s="46" t="s">
        <v>148</v>
      </c>
      <c r="N161" s="46" t="s">
        <v>186</v>
      </c>
      <c r="O161" s="46" t="s">
        <v>146</v>
      </c>
      <c r="P161" s="46" t="s">
        <v>147</v>
      </c>
      <c r="Q161" s="46" t="str">
        <f t="shared" si="1"/>
        <v>January, 2012</v>
      </c>
      <c r="R161" s="115">
        <f t="shared" si="2"/>
        <v>40909</v>
      </c>
      <c r="S161" s="49">
        <f t="array" ref="S161">WEEKDAY(D161,2)</f>
        <v>2</v>
      </c>
      <c r="T161" s="46" t="s">
        <v>115</v>
      </c>
      <c r="U161" s="46" t="str">
        <f t="array" ref="U161">TEXT(D161,"dddd")</f>
        <v>Tuesday</v>
      </c>
    </row>
    <row r="162" hidden="1">
      <c r="A162" s="46">
        <v>2.00507199E8</v>
      </c>
      <c r="B162" s="137" t="s">
        <v>228</v>
      </c>
      <c r="C162" s="137">
        <v>2014.0</v>
      </c>
      <c r="D162" s="138">
        <v>41679.0</v>
      </c>
      <c r="E162" s="139">
        <v>41695.0</v>
      </c>
      <c r="F162" s="142" t="s">
        <v>228</v>
      </c>
      <c r="G162" s="142">
        <v>2014.0</v>
      </c>
      <c r="H162" s="46">
        <v>8681.0</v>
      </c>
      <c r="I162" s="46">
        <v>3391.0</v>
      </c>
      <c r="J162" s="84">
        <v>2208253.1100000003</v>
      </c>
      <c r="K162" s="84">
        <v>1780139.36</v>
      </c>
      <c r="L162" s="84">
        <v>428113.75000000023</v>
      </c>
      <c r="M162" s="46" t="s">
        <v>153</v>
      </c>
      <c r="N162" s="46" t="s">
        <v>196</v>
      </c>
      <c r="O162" s="46" t="s">
        <v>146</v>
      </c>
      <c r="P162" s="46" t="s">
        <v>155</v>
      </c>
      <c r="Q162" s="46" t="str">
        <f t="shared" si="1"/>
        <v>February, 2014</v>
      </c>
      <c r="R162" s="115">
        <f t="shared" si="2"/>
        <v>41671</v>
      </c>
      <c r="S162" s="49">
        <f t="array" ref="S162">WEEKDAY(D162,2)</f>
        <v>7</v>
      </c>
      <c r="T162" s="46" t="s">
        <v>125</v>
      </c>
      <c r="U162" s="46" t="str">
        <f t="array" ref="U162">TEXT(D162,"dddd")</f>
        <v>Sunday</v>
      </c>
    </row>
    <row r="163" hidden="1">
      <c r="A163" s="46">
        <v>2.01294267E8</v>
      </c>
      <c r="B163" s="137" t="s">
        <v>227</v>
      </c>
      <c r="C163" s="137">
        <v>2013.0</v>
      </c>
      <c r="D163" s="138">
        <v>41283.0</v>
      </c>
      <c r="E163" s="139">
        <v>41314.0</v>
      </c>
      <c r="F163" s="142" t="s">
        <v>228</v>
      </c>
      <c r="G163" s="142">
        <v>2013.0</v>
      </c>
      <c r="H163" s="46">
        <v>8969.0</v>
      </c>
      <c r="I163" s="46">
        <v>6302.0</v>
      </c>
      <c r="J163" s="84">
        <v>961559.16</v>
      </c>
      <c r="K163" s="84">
        <v>614066.88</v>
      </c>
      <c r="L163" s="84">
        <v>347492.28</v>
      </c>
      <c r="M163" s="46" t="s">
        <v>182</v>
      </c>
      <c r="N163" s="46" t="s">
        <v>191</v>
      </c>
      <c r="O163" s="46" t="s">
        <v>146</v>
      </c>
      <c r="P163" s="46" t="s">
        <v>147</v>
      </c>
      <c r="Q163" s="46" t="str">
        <f t="shared" si="1"/>
        <v>January, 2013</v>
      </c>
      <c r="R163" s="115">
        <f t="shared" si="2"/>
        <v>41275</v>
      </c>
      <c r="S163" s="49">
        <f t="array" ref="S163">WEEKDAY(D163,2)</f>
        <v>3</v>
      </c>
      <c r="T163" s="46" t="s">
        <v>120</v>
      </c>
      <c r="U163" s="46" t="str">
        <f t="array" ref="U163">TEXT(D163,"dddd")</f>
        <v>Wednesday</v>
      </c>
    </row>
    <row r="164" hidden="1">
      <c r="A164" s="46">
        <v>2.02047002E8</v>
      </c>
      <c r="B164" s="137" t="s">
        <v>227</v>
      </c>
      <c r="C164" s="137">
        <v>2012.0</v>
      </c>
      <c r="D164" s="138">
        <v>40937.0</v>
      </c>
      <c r="E164" s="139">
        <v>40974.0</v>
      </c>
      <c r="F164" s="142" t="s">
        <v>222</v>
      </c>
      <c r="G164" s="142">
        <v>2012.0</v>
      </c>
      <c r="H164" s="46">
        <v>8293.0</v>
      </c>
      <c r="I164" s="46">
        <v>9053.0</v>
      </c>
      <c r="J164" s="84">
        <v>3957971.6</v>
      </c>
      <c r="K164" s="84">
        <v>2383926.4899999998</v>
      </c>
      <c r="L164" s="84">
        <v>1574045.1100000003</v>
      </c>
      <c r="M164" s="46" t="s">
        <v>178</v>
      </c>
      <c r="N164" s="46" t="s">
        <v>181</v>
      </c>
      <c r="O164" s="46" t="s">
        <v>146</v>
      </c>
      <c r="P164" s="46" t="s">
        <v>155</v>
      </c>
      <c r="Q164" s="46" t="str">
        <f t="shared" si="1"/>
        <v>January, 2012</v>
      </c>
      <c r="R164" s="115">
        <f t="shared" si="2"/>
        <v>40909</v>
      </c>
      <c r="S164" s="49">
        <f t="array" ref="S164">WEEKDAY(D164,2)</f>
        <v>7</v>
      </c>
      <c r="T164" s="46" t="s">
        <v>113</v>
      </c>
      <c r="U164" s="46" t="str">
        <f t="array" ref="U164">TEXT(D164,"dddd")</f>
        <v>Sunday</v>
      </c>
    </row>
    <row r="165" hidden="1">
      <c r="A165" s="46">
        <v>2.0303663E8</v>
      </c>
      <c r="B165" s="137" t="s">
        <v>220</v>
      </c>
      <c r="C165" s="137">
        <v>2015.0</v>
      </c>
      <c r="D165" s="138">
        <v>42179.0</v>
      </c>
      <c r="E165" s="139">
        <v>42213.0</v>
      </c>
      <c r="F165" s="142" t="s">
        <v>217</v>
      </c>
      <c r="G165" s="142">
        <v>2015.0</v>
      </c>
      <c r="H165" s="46">
        <v>7331.0</v>
      </c>
      <c r="I165" s="46">
        <v>1905.0</v>
      </c>
      <c r="J165" s="84">
        <v>486308.4</v>
      </c>
      <c r="K165" s="84">
        <v>303695.1</v>
      </c>
      <c r="L165" s="84">
        <v>182613.30000000005</v>
      </c>
      <c r="M165" s="46" t="s">
        <v>161</v>
      </c>
      <c r="N165" s="46" t="s">
        <v>168</v>
      </c>
      <c r="O165" s="46" t="s">
        <v>165</v>
      </c>
      <c r="P165" s="46" t="s">
        <v>166</v>
      </c>
      <c r="Q165" s="46" t="str">
        <f t="shared" si="1"/>
        <v>June, 2015</v>
      </c>
      <c r="R165" s="115">
        <f t="shared" si="2"/>
        <v>42156</v>
      </c>
      <c r="S165" s="49">
        <f t="array" ref="S165">WEEKDAY(D165,2)</f>
        <v>3</v>
      </c>
      <c r="T165" s="46" t="s">
        <v>102</v>
      </c>
      <c r="U165" s="46" t="str">
        <f t="array" ref="U165">TEXT(D165,"dddd")</f>
        <v>Wednesday</v>
      </c>
    </row>
    <row r="166" hidden="1">
      <c r="A166" s="46">
        <v>2.03955876E8</v>
      </c>
      <c r="B166" s="137" t="s">
        <v>220</v>
      </c>
      <c r="C166" s="137">
        <v>2010.0</v>
      </c>
      <c r="D166" s="138">
        <v>40344.0</v>
      </c>
      <c r="E166" s="139">
        <v>40377.0</v>
      </c>
      <c r="F166" s="142" t="s">
        <v>217</v>
      </c>
      <c r="G166" s="142">
        <v>2010.0</v>
      </c>
      <c r="H166" s="46">
        <v>2103.0</v>
      </c>
      <c r="I166" s="46">
        <v>3931.0</v>
      </c>
      <c r="J166" s="84">
        <v>808606.7</v>
      </c>
      <c r="K166" s="84">
        <v>460359.41</v>
      </c>
      <c r="L166" s="84">
        <v>348247.29</v>
      </c>
      <c r="M166" s="46" t="s">
        <v>144</v>
      </c>
      <c r="N166" s="46" t="s">
        <v>207</v>
      </c>
      <c r="O166" s="46" t="s">
        <v>146</v>
      </c>
      <c r="P166" s="46" t="s">
        <v>170</v>
      </c>
      <c r="Q166" s="46" t="str">
        <f t="shared" si="1"/>
        <v>June, 2010</v>
      </c>
      <c r="R166" s="115">
        <f t="shared" si="2"/>
        <v>40330</v>
      </c>
      <c r="S166" s="49">
        <f t="array" ref="S166">WEEKDAY(D166,2)</f>
        <v>2</v>
      </c>
      <c r="T166" s="46" t="s">
        <v>137</v>
      </c>
      <c r="U166" s="46" t="str">
        <f t="array" ref="U166">TEXT(D166,"dddd")</f>
        <v>Tuesday</v>
      </c>
    </row>
    <row r="167" hidden="1">
      <c r="A167" s="46">
        <v>2.04392325E8</v>
      </c>
      <c r="B167" s="137" t="s">
        <v>216</v>
      </c>
      <c r="C167" s="137">
        <v>2011.0</v>
      </c>
      <c r="D167" s="138">
        <v>40775.0</v>
      </c>
      <c r="E167" s="139">
        <v>40812.0</v>
      </c>
      <c r="F167" s="142" t="s">
        <v>221</v>
      </c>
      <c r="G167" s="142">
        <v>2011.0</v>
      </c>
      <c r="H167" s="46">
        <v>8681.0</v>
      </c>
      <c r="I167" s="46">
        <v>3086.0</v>
      </c>
      <c r="J167" s="84">
        <v>2009634.06</v>
      </c>
      <c r="K167" s="84">
        <v>1620026.56</v>
      </c>
      <c r="L167" s="84">
        <v>389607.5</v>
      </c>
      <c r="M167" s="46" t="s">
        <v>153</v>
      </c>
      <c r="N167" s="46" t="s">
        <v>194</v>
      </c>
      <c r="O167" s="46" t="s">
        <v>146</v>
      </c>
      <c r="P167" s="46" t="s">
        <v>155</v>
      </c>
      <c r="Q167" s="46" t="str">
        <f t="shared" si="1"/>
        <v>August, 2011</v>
      </c>
      <c r="R167" s="115">
        <f t="shared" si="2"/>
        <v>40756</v>
      </c>
      <c r="S167" s="49">
        <f t="array" ref="S167">WEEKDAY(D167,2)</f>
        <v>6</v>
      </c>
      <c r="T167" s="46" t="s">
        <v>123</v>
      </c>
      <c r="U167" s="46" t="str">
        <f t="array" ref="U167">TEXT(D167,"dddd")</f>
        <v>Saturday</v>
      </c>
    </row>
    <row r="168" hidden="1">
      <c r="A168" s="46">
        <v>2.04418504E8</v>
      </c>
      <c r="B168" s="137" t="s">
        <v>216</v>
      </c>
      <c r="C168" s="137">
        <v>2015.0</v>
      </c>
      <c r="D168" s="138">
        <v>42223.0</v>
      </c>
      <c r="E168" s="139">
        <v>42250.0</v>
      </c>
      <c r="F168" s="142" t="s">
        <v>221</v>
      </c>
      <c r="G168" s="142">
        <v>2015.0</v>
      </c>
      <c r="H168" s="46">
        <v>5988.0</v>
      </c>
      <c r="I168" s="46">
        <v>833.0</v>
      </c>
      <c r="J168" s="84">
        <v>128331.98</v>
      </c>
      <c r="K168" s="84">
        <v>75744.69</v>
      </c>
      <c r="L168" s="84">
        <v>52587.28999999999</v>
      </c>
      <c r="M168" s="46" t="s">
        <v>159</v>
      </c>
      <c r="N168" s="46" t="s">
        <v>163</v>
      </c>
      <c r="O168" s="46" t="s">
        <v>146</v>
      </c>
      <c r="P168" s="46" t="s">
        <v>158</v>
      </c>
      <c r="Q168" s="46" t="str">
        <f t="shared" si="1"/>
        <v>August, 2015</v>
      </c>
      <c r="R168" s="115">
        <f t="shared" si="2"/>
        <v>42217</v>
      </c>
      <c r="S168" s="49">
        <f t="array" ref="S168">WEEKDAY(D168,2)</f>
        <v>5</v>
      </c>
      <c r="T168" s="46" t="s">
        <v>100</v>
      </c>
      <c r="U168" s="46" t="str">
        <f t="array" ref="U168">TEXT(D168,"dddd")</f>
        <v>Friday</v>
      </c>
    </row>
    <row r="169" hidden="1">
      <c r="A169" s="46">
        <v>2.05354487E8</v>
      </c>
      <c r="B169" s="137" t="s">
        <v>228</v>
      </c>
      <c r="C169" s="137">
        <v>2012.0</v>
      </c>
      <c r="D169" s="138">
        <v>40951.0</v>
      </c>
      <c r="E169" s="139">
        <v>40959.0</v>
      </c>
      <c r="F169" s="142" t="s">
        <v>228</v>
      </c>
      <c r="G169" s="142">
        <v>2012.0</v>
      </c>
      <c r="H169" s="46">
        <v>8293.0</v>
      </c>
      <c r="I169" s="46">
        <v>7811.0</v>
      </c>
      <c r="J169" s="84">
        <v>3414969.1999999997</v>
      </c>
      <c r="K169" s="84">
        <v>2056870.63</v>
      </c>
      <c r="L169" s="84">
        <v>1358098.5699999998</v>
      </c>
      <c r="M169" s="46" t="s">
        <v>178</v>
      </c>
      <c r="N169" s="46" t="s">
        <v>204</v>
      </c>
      <c r="O169" s="46" t="s">
        <v>146</v>
      </c>
      <c r="P169" s="46" t="s">
        <v>147</v>
      </c>
      <c r="Q169" s="46" t="str">
        <f t="shared" si="1"/>
        <v>February, 2012</v>
      </c>
      <c r="R169" s="115">
        <f t="shared" si="2"/>
        <v>40940</v>
      </c>
      <c r="S169" s="49">
        <f t="array" ref="S169">WEEKDAY(D169,2)</f>
        <v>7</v>
      </c>
      <c r="T169" s="46" t="s">
        <v>133</v>
      </c>
      <c r="U169" s="46" t="str">
        <f t="array" ref="U169">TEXT(D169,"dddd")</f>
        <v>Sunday</v>
      </c>
    </row>
    <row r="170" hidden="1">
      <c r="A170" s="46">
        <v>2.08238399E8</v>
      </c>
      <c r="B170" s="137" t="s">
        <v>216</v>
      </c>
      <c r="C170" s="137">
        <v>2015.0</v>
      </c>
      <c r="D170" s="138">
        <v>42245.0</v>
      </c>
      <c r="E170" s="139">
        <v>42292.0</v>
      </c>
      <c r="F170" s="142" t="s">
        <v>226</v>
      </c>
      <c r="G170" s="142">
        <v>2015.0</v>
      </c>
      <c r="H170" s="46">
        <v>8293.0</v>
      </c>
      <c r="I170" s="46">
        <v>1224.0</v>
      </c>
      <c r="J170" s="84">
        <v>535132.7999999999</v>
      </c>
      <c r="K170" s="84">
        <v>322315.92</v>
      </c>
      <c r="L170" s="84">
        <v>212816.87999999995</v>
      </c>
      <c r="M170" s="46" t="s">
        <v>178</v>
      </c>
      <c r="N170" s="46" t="s">
        <v>202</v>
      </c>
      <c r="O170" s="46" t="s">
        <v>146</v>
      </c>
      <c r="P170" s="46" t="s">
        <v>147</v>
      </c>
      <c r="Q170" s="46" t="str">
        <f t="shared" si="1"/>
        <v>August, 2015</v>
      </c>
      <c r="R170" s="115">
        <f t="shared" si="2"/>
        <v>42217</v>
      </c>
      <c r="S170" s="49">
        <f t="array" ref="S170">WEEKDAY(D170,2)</f>
        <v>6</v>
      </c>
      <c r="T170" s="46" t="s">
        <v>131</v>
      </c>
      <c r="U170" s="46" t="str">
        <f t="array" ref="U170">TEXT(D170,"dddd")</f>
        <v>Saturday</v>
      </c>
    </row>
    <row r="171" hidden="1">
      <c r="A171" s="46">
        <v>2.08365428E8</v>
      </c>
      <c r="B171" s="137" t="s">
        <v>224</v>
      </c>
      <c r="C171" s="137">
        <v>2015.0</v>
      </c>
      <c r="D171" s="138">
        <v>42335.0</v>
      </c>
      <c r="E171" s="139">
        <v>42367.0</v>
      </c>
      <c r="F171" s="142" t="s">
        <v>225</v>
      </c>
      <c r="G171" s="142">
        <v>2015.0</v>
      </c>
      <c r="H171" s="46">
        <v>8681.0</v>
      </c>
      <c r="I171" s="46">
        <v>8815.0</v>
      </c>
      <c r="J171" s="84">
        <v>5740416.15</v>
      </c>
      <c r="K171" s="84">
        <v>4627522.4</v>
      </c>
      <c r="L171" s="84">
        <v>1112893.75</v>
      </c>
      <c r="M171" s="46" t="s">
        <v>153</v>
      </c>
      <c r="N171" s="46" t="s">
        <v>173</v>
      </c>
      <c r="O171" s="46" t="s">
        <v>146</v>
      </c>
      <c r="P171" s="46" t="s">
        <v>155</v>
      </c>
      <c r="Q171" s="46" t="str">
        <f t="shared" si="1"/>
        <v>November, 2015</v>
      </c>
      <c r="R171" s="115">
        <f t="shared" si="2"/>
        <v>42309</v>
      </c>
      <c r="S171" s="49">
        <f t="array" ref="S171">WEEKDAY(D171,2)</f>
        <v>5</v>
      </c>
      <c r="T171" s="46" t="s">
        <v>106</v>
      </c>
      <c r="U171" s="46" t="str">
        <f t="array" ref="U171">TEXT(D171,"dddd")</f>
        <v>Friday</v>
      </c>
    </row>
    <row r="172" hidden="1">
      <c r="A172" s="46">
        <v>2.09357202E8</v>
      </c>
      <c r="B172" s="137" t="s">
        <v>227</v>
      </c>
      <c r="C172" s="137">
        <v>2015.0</v>
      </c>
      <c r="D172" s="138">
        <v>42018.0</v>
      </c>
      <c r="E172" s="139">
        <v>42026.0</v>
      </c>
      <c r="F172" s="142" t="s">
        <v>227</v>
      </c>
      <c r="G172" s="142">
        <v>2015.0</v>
      </c>
      <c r="H172" s="46">
        <v>2103.0</v>
      </c>
      <c r="I172" s="46">
        <v>2303.0</v>
      </c>
      <c r="J172" s="84">
        <v>473727.1</v>
      </c>
      <c r="K172" s="84">
        <v>269704.33</v>
      </c>
      <c r="L172" s="84">
        <v>204022.76999999996</v>
      </c>
      <c r="M172" s="46" t="s">
        <v>144</v>
      </c>
      <c r="N172" s="46" t="s">
        <v>154</v>
      </c>
      <c r="O172" s="46" t="s">
        <v>146</v>
      </c>
      <c r="P172" s="46" t="s">
        <v>155</v>
      </c>
      <c r="Q172" s="46" t="str">
        <f t="shared" si="1"/>
        <v>January, 2015</v>
      </c>
      <c r="R172" s="115">
        <f t="shared" si="2"/>
        <v>42005</v>
      </c>
      <c r="S172" s="49">
        <f t="array" ref="S172">WEEKDAY(D172,2)</f>
        <v>3</v>
      </c>
      <c r="T172" s="46" t="s">
        <v>96</v>
      </c>
      <c r="U172" s="46" t="str">
        <f t="array" ref="U172">TEXT(D172,"dddd")</f>
        <v>Wednesday</v>
      </c>
    </row>
    <row r="173" hidden="1">
      <c r="A173" s="46">
        <v>2.09445178E8</v>
      </c>
      <c r="B173" s="137" t="s">
        <v>222</v>
      </c>
      <c r="C173" s="137">
        <v>2014.0</v>
      </c>
      <c r="D173" s="138">
        <v>41716.0</v>
      </c>
      <c r="E173" s="139">
        <v>41749.0</v>
      </c>
      <c r="F173" s="142" t="s">
        <v>223</v>
      </c>
      <c r="G173" s="142">
        <v>2014.0</v>
      </c>
      <c r="H173" s="46">
        <v>8293.0</v>
      </c>
      <c r="I173" s="46">
        <v>8337.0</v>
      </c>
      <c r="J173" s="84">
        <v>3644936.4</v>
      </c>
      <c r="K173" s="84">
        <v>2195382.21</v>
      </c>
      <c r="L173" s="84">
        <v>1449554.19</v>
      </c>
      <c r="M173" s="46" t="s">
        <v>178</v>
      </c>
      <c r="N173" s="46" t="s">
        <v>193</v>
      </c>
      <c r="O173" s="46" t="s">
        <v>146</v>
      </c>
      <c r="P173" s="46" t="s">
        <v>158</v>
      </c>
      <c r="Q173" s="46" t="str">
        <f t="shared" si="1"/>
        <v>March, 2014</v>
      </c>
      <c r="R173" s="115">
        <f t="shared" si="2"/>
        <v>41699</v>
      </c>
      <c r="S173" s="49">
        <f t="array" ref="S173">WEEKDAY(D173,2)</f>
        <v>2</v>
      </c>
      <c r="T173" s="46" t="s">
        <v>122</v>
      </c>
      <c r="U173" s="46" t="str">
        <f t="array" ref="U173">TEXT(D173,"dddd")</f>
        <v>Tuesday</v>
      </c>
    </row>
    <row r="174" hidden="1">
      <c r="A174" s="46">
        <v>2.09598815E8</v>
      </c>
      <c r="B174" s="137" t="s">
        <v>227</v>
      </c>
      <c r="C174" s="137">
        <v>2013.0</v>
      </c>
      <c r="D174" s="138">
        <v>41283.0</v>
      </c>
      <c r="E174" s="139">
        <v>41285.0</v>
      </c>
      <c r="F174" s="142" t="s">
        <v>227</v>
      </c>
      <c r="G174" s="142">
        <v>2013.0</v>
      </c>
      <c r="H174" s="46">
        <v>2455.0</v>
      </c>
      <c r="I174" s="46">
        <v>3802.0</v>
      </c>
      <c r="J174" s="84">
        <v>415482.56</v>
      </c>
      <c r="K174" s="84">
        <v>136263.68000000002</v>
      </c>
      <c r="L174" s="84">
        <v>279218.88</v>
      </c>
      <c r="M174" s="46" t="s">
        <v>150</v>
      </c>
      <c r="N174" s="46" t="s">
        <v>175</v>
      </c>
      <c r="O174" s="46" t="s">
        <v>165</v>
      </c>
      <c r="P174" s="46" t="s">
        <v>166</v>
      </c>
      <c r="Q174" s="46" t="str">
        <f t="shared" si="1"/>
        <v>January, 2013</v>
      </c>
      <c r="R174" s="115">
        <f t="shared" si="2"/>
        <v>41275</v>
      </c>
      <c r="S174" s="49">
        <f t="array" ref="S174">WEEKDAY(D174,2)</f>
        <v>3</v>
      </c>
      <c r="T174" s="46" t="s">
        <v>108</v>
      </c>
      <c r="U174" s="46" t="str">
        <f t="array" ref="U174">TEXT(D174,"dddd")</f>
        <v>Wednesday</v>
      </c>
    </row>
    <row r="175" hidden="1">
      <c r="A175" s="46">
        <v>2.09736573E8</v>
      </c>
      <c r="B175" s="137" t="s">
        <v>216</v>
      </c>
      <c r="C175" s="137">
        <v>2014.0</v>
      </c>
      <c r="D175" s="138">
        <v>41875.0</v>
      </c>
      <c r="E175" s="139">
        <v>41906.0</v>
      </c>
      <c r="F175" s="142" t="s">
        <v>221</v>
      </c>
      <c r="G175" s="142">
        <v>2014.0</v>
      </c>
      <c r="H175" s="46">
        <v>8681.0</v>
      </c>
      <c r="I175" s="46">
        <v>4568.0</v>
      </c>
      <c r="J175" s="84">
        <v>2974727.2800000003</v>
      </c>
      <c r="K175" s="84">
        <v>2398017.2800000003</v>
      </c>
      <c r="L175" s="84">
        <v>576710.0</v>
      </c>
      <c r="M175" s="46" t="s">
        <v>153</v>
      </c>
      <c r="N175" s="46" t="s">
        <v>145</v>
      </c>
      <c r="O175" s="46" t="s">
        <v>146</v>
      </c>
      <c r="P175" s="46" t="s">
        <v>147</v>
      </c>
      <c r="Q175" s="46" t="str">
        <f t="shared" si="1"/>
        <v>August, 2014</v>
      </c>
      <c r="R175" s="115">
        <f t="shared" si="2"/>
        <v>41852</v>
      </c>
      <c r="S175" s="49">
        <f t="array" ref="S175">WEEKDAY(D175,2)</f>
        <v>7</v>
      </c>
      <c r="T175" s="46" t="s">
        <v>91</v>
      </c>
      <c r="U175" s="46" t="str">
        <f t="array" ref="U175">TEXT(D175,"dddd")</f>
        <v>Sunday</v>
      </c>
    </row>
    <row r="176" hidden="1">
      <c r="A176" s="46">
        <v>2.11344611E8</v>
      </c>
      <c r="B176" s="137" t="s">
        <v>222</v>
      </c>
      <c r="C176" s="137">
        <v>2010.0</v>
      </c>
      <c r="D176" s="138">
        <v>40238.0</v>
      </c>
      <c r="E176" s="139">
        <v>40260.0</v>
      </c>
      <c r="F176" s="142" t="s">
        <v>222</v>
      </c>
      <c r="G176" s="142">
        <v>2010.0</v>
      </c>
      <c r="H176" s="46">
        <v>8969.0</v>
      </c>
      <c r="I176" s="46">
        <v>422.0</v>
      </c>
      <c r="J176" s="84">
        <v>64388.76</v>
      </c>
      <c r="K176" s="84">
        <v>41119.68</v>
      </c>
      <c r="L176" s="84">
        <v>23269.08</v>
      </c>
      <c r="M176" s="46" t="s">
        <v>182</v>
      </c>
      <c r="N176" s="46" t="s">
        <v>196</v>
      </c>
      <c r="O176" s="46" t="s">
        <v>146</v>
      </c>
      <c r="P176" s="46" t="s">
        <v>155</v>
      </c>
      <c r="Q176" s="46" t="str">
        <f t="shared" si="1"/>
        <v>March, 2010</v>
      </c>
      <c r="R176" s="115">
        <f t="shared" si="2"/>
        <v>40238</v>
      </c>
      <c r="S176" s="49">
        <f t="array" ref="S176">WEEKDAY(D176,2)</f>
        <v>1</v>
      </c>
      <c r="T176" s="46" t="s">
        <v>125</v>
      </c>
      <c r="U176" s="46" t="str">
        <f t="array" ref="U176">TEXT(D176,"dddd")</f>
        <v>Monday</v>
      </c>
    </row>
    <row r="177" hidden="1">
      <c r="A177" s="46">
        <v>2.12106788E8</v>
      </c>
      <c r="B177" s="137" t="s">
        <v>216</v>
      </c>
      <c r="C177" s="137">
        <v>2011.0</v>
      </c>
      <c r="D177" s="138">
        <v>40778.0</v>
      </c>
      <c r="E177" s="139">
        <v>40812.0</v>
      </c>
      <c r="F177" s="142" t="s">
        <v>221</v>
      </c>
      <c r="G177" s="142">
        <v>2011.0</v>
      </c>
      <c r="H177" s="46">
        <v>8681.0</v>
      </c>
      <c r="I177" s="46">
        <v>5967.0</v>
      </c>
      <c r="J177" s="84">
        <v>3885770.0700000003</v>
      </c>
      <c r="K177" s="84">
        <v>3132436.3200000003</v>
      </c>
      <c r="L177" s="84">
        <v>753333.75</v>
      </c>
      <c r="M177" s="46" t="s">
        <v>153</v>
      </c>
      <c r="N177" s="46" t="s">
        <v>177</v>
      </c>
      <c r="O177" s="46" t="s">
        <v>146</v>
      </c>
      <c r="P177" s="46" t="s">
        <v>170</v>
      </c>
      <c r="Q177" s="46" t="str">
        <f t="shared" si="1"/>
        <v>August, 2011</v>
      </c>
      <c r="R177" s="115">
        <f t="shared" si="2"/>
        <v>40756</v>
      </c>
      <c r="S177" s="49">
        <f t="array" ref="S177">WEEKDAY(D177,2)</f>
        <v>2</v>
      </c>
      <c r="T177" s="46" t="s">
        <v>110</v>
      </c>
      <c r="U177" s="46" t="str">
        <f t="array" ref="U177">TEXT(D177,"dddd")</f>
        <v>Tuesday</v>
      </c>
    </row>
    <row r="178" hidden="1">
      <c r="A178" s="46">
        <v>2.12319648E8</v>
      </c>
      <c r="B178" s="137" t="s">
        <v>223</v>
      </c>
      <c r="C178" s="137">
        <v>2015.0</v>
      </c>
      <c r="D178" s="138">
        <v>42124.0</v>
      </c>
      <c r="E178" s="139">
        <v>42139.0</v>
      </c>
      <c r="F178" s="142" t="s">
        <v>219</v>
      </c>
      <c r="G178" s="142">
        <v>2015.0</v>
      </c>
      <c r="H178" s="46">
        <v>1270.0</v>
      </c>
      <c r="I178" s="46">
        <v>8957.0</v>
      </c>
      <c r="J178" s="84">
        <v>425009.65</v>
      </c>
      <c r="K178" s="84">
        <v>284743.02999999997</v>
      </c>
      <c r="L178" s="84">
        <v>140266.62000000005</v>
      </c>
      <c r="M178" s="46" t="s">
        <v>152</v>
      </c>
      <c r="N178" s="46" t="s">
        <v>190</v>
      </c>
      <c r="O178" s="46" t="s">
        <v>146</v>
      </c>
      <c r="P178" s="46" t="s">
        <v>147</v>
      </c>
      <c r="Q178" s="46" t="str">
        <f t="shared" si="1"/>
        <v>April, 2015</v>
      </c>
      <c r="R178" s="115">
        <f t="shared" si="2"/>
        <v>42095</v>
      </c>
      <c r="S178" s="49">
        <f t="array" ref="S178">WEEKDAY(D178,2)</f>
        <v>4</v>
      </c>
      <c r="T178" s="46" t="s">
        <v>119</v>
      </c>
      <c r="U178" s="46" t="str">
        <f t="array" ref="U178">TEXT(D178,"dddd")</f>
        <v>Thursday</v>
      </c>
    </row>
    <row r="179" hidden="1">
      <c r="A179" s="46">
        <v>2.12903726E8</v>
      </c>
      <c r="B179" s="137" t="s">
        <v>228</v>
      </c>
      <c r="C179" s="137">
        <v>2015.0</v>
      </c>
      <c r="D179" s="138">
        <v>42061.0</v>
      </c>
      <c r="E179" s="139">
        <v>42061.0</v>
      </c>
      <c r="F179" s="142" t="s">
        <v>228</v>
      </c>
      <c r="G179" s="142">
        <v>2015.0</v>
      </c>
      <c r="H179" s="46">
        <v>8875.0</v>
      </c>
      <c r="I179" s="46">
        <v>1798.0</v>
      </c>
      <c r="J179" s="84">
        <v>758558.22</v>
      </c>
      <c r="K179" s="84">
        <v>655712.62</v>
      </c>
      <c r="L179" s="84">
        <v>102845.59999999998</v>
      </c>
      <c r="M179" s="46" t="s">
        <v>167</v>
      </c>
      <c r="N179" s="46" t="s">
        <v>199</v>
      </c>
      <c r="O179" s="46" t="s">
        <v>146</v>
      </c>
      <c r="P179" s="46" t="s">
        <v>147</v>
      </c>
      <c r="Q179" s="46" t="str">
        <f t="shared" si="1"/>
        <v>February, 2015</v>
      </c>
      <c r="R179" s="115">
        <f t="shared" si="2"/>
        <v>42036</v>
      </c>
      <c r="S179" s="49">
        <f t="array" ref="S179">WEEKDAY(D179,2)</f>
        <v>4</v>
      </c>
      <c r="T179" s="46" t="s">
        <v>128</v>
      </c>
      <c r="U179" s="46" t="str">
        <f t="array" ref="U179">TEXT(D179,"dddd")</f>
        <v>Thursday</v>
      </c>
    </row>
    <row r="180" hidden="1">
      <c r="A180" s="46">
        <v>2.14033257E8</v>
      </c>
      <c r="B180" s="137" t="s">
        <v>224</v>
      </c>
      <c r="C180" s="137">
        <v>2015.0</v>
      </c>
      <c r="D180" s="138">
        <v>42337.0</v>
      </c>
      <c r="E180" s="139">
        <v>42341.0</v>
      </c>
      <c r="F180" s="142" t="s">
        <v>225</v>
      </c>
      <c r="G180" s="142">
        <v>2015.0</v>
      </c>
      <c r="H180" s="46">
        <v>8969.0</v>
      </c>
      <c r="I180" s="46">
        <v>6052.0</v>
      </c>
      <c r="J180" s="84">
        <v>923414.16</v>
      </c>
      <c r="K180" s="84">
        <v>589706.88</v>
      </c>
      <c r="L180" s="84">
        <v>333707.28</v>
      </c>
      <c r="M180" s="46" t="s">
        <v>182</v>
      </c>
      <c r="N180" s="46" t="s">
        <v>179</v>
      </c>
      <c r="O180" s="46" t="s">
        <v>146</v>
      </c>
      <c r="P180" s="46" t="s">
        <v>155</v>
      </c>
      <c r="Q180" s="46" t="str">
        <f t="shared" si="1"/>
        <v>November, 2015</v>
      </c>
      <c r="R180" s="115">
        <f t="shared" si="2"/>
        <v>42309</v>
      </c>
      <c r="S180" s="49">
        <f t="array" ref="S180">WEEKDAY(D180,2)</f>
        <v>7</v>
      </c>
      <c r="T180" s="46" t="s">
        <v>111</v>
      </c>
      <c r="U180" s="46" t="str">
        <f t="array" ref="U180">TEXT(D180,"dddd")</f>
        <v>Sunday</v>
      </c>
    </row>
    <row r="181" hidden="1">
      <c r="A181" s="46">
        <v>2.14292466E8</v>
      </c>
      <c r="B181" s="137" t="s">
        <v>222</v>
      </c>
      <c r="C181" s="137">
        <v>2012.0</v>
      </c>
      <c r="D181" s="138">
        <v>40988.0</v>
      </c>
      <c r="E181" s="139">
        <v>41012.0</v>
      </c>
      <c r="F181" s="142" t="s">
        <v>223</v>
      </c>
      <c r="G181" s="142">
        <v>2012.0</v>
      </c>
      <c r="H181" s="46">
        <v>8969.0</v>
      </c>
      <c r="I181" s="46">
        <v>2758.0</v>
      </c>
      <c r="J181" s="84">
        <v>420815.64</v>
      </c>
      <c r="K181" s="84">
        <v>268739.52</v>
      </c>
      <c r="L181" s="84">
        <v>152076.12</v>
      </c>
      <c r="M181" s="46" t="s">
        <v>182</v>
      </c>
      <c r="N181" s="46" t="s">
        <v>193</v>
      </c>
      <c r="O181" s="46" t="s">
        <v>146</v>
      </c>
      <c r="P181" s="46" t="s">
        <v>158</v>
      </c>
      <c r="Q181" s="46" t="str">
        <f t="shared" si="1"/>
        <v>March, 2012</v>
      </c>
      <c r="R181" s="115">
        <f t="shared" si="2"/>
        <v>40969</v>
      </c>
      <c r="S181" s="49">
        <f t="array" ref="S181">WEEKDAY(D181,2)</f>
        <v>2</v>
      </c>
      <c r="T181" s="46" t="s">
        <v>122</v>
      </c>
      <c r="U181" s="46" t="str">
        <f t="array" ref="U181">TEXT(D181,"dddd")</f>
        <v>Tuesday</v>
      </c>
    </row>
    <row r="182" hidden="1">
      <c r="A182" s="46">
        <v>2.15540015E8</v>
      </c>
      <c r="B182" s="137" t="s">
        <v>225</v>
      </c>
      <c r="C182" s="137">
        <v>2012.0</v>
      </c>
      <c r="D182" s="138">
        <v>41264.0</v>
      </c>
      <c r="E182" s="139">
        <v>41267.0</v>
      </c>
      <c r="F182" s="142" t="s">
        <v>225</v>
      </c>
      <c r="G182" s="142">
        <v>2012.0</v>
      </c>
      <c r="H182" s="46">
        <v>3127.0</v>
      </c>
      <c r="I182" s="46">
        <v>1935.0</v>
      </c>
      <c r="J182" s="84">
        <v>158147.55000000002</v>
      </c>
      <c r="K182" s="84">
        <v>109656.45</v>
      </c>
      <c r="L182" s="84">
        <v>48491.10000000002</v>
      </c>
      <c r="M182" s="46" t="s">
        <v>185</v>
      </c>
      <c r="N182" s="46" t="s">
        <v>172</v>
      </c>
      <c r="O182" s="46" t="s">
        <v>146</v>
      </c>
      <c r="P182" s="46" t="s">
        <v>155</v>
      </c>
      <c r="Q182" s="46" t="str">
        <f t="shared" si="1"/>
        <v>December, 2012</v>
      </c>
      <c r="R182" s="115">
        <f t="shared" si="2"/>
        <v>41244</v>
      </c>
      <c r="S182" s="49">
        <f t="array" ref="S182">WEEKDAY(D182,2)</f>
        <v>5</v>
      </c>
      <c r="T182" s="46" t="s">
        <v>105</v>
      </c>
      <c r="U182" s="46" t="str">
        <f t="array" ref="U182">TEXT(D182,"dddd")</f>
        <v>Friday</v>
      </c>
    </row>
    <row r="183" hidden="1">
      <c r="A183" s="46">
        <v>2.15584218E8</v>
      </c>
      <c r="B183" s="137" t="s">
        <v>220</v>
      </c>
      <c r="C183" s="137">
        <v>2017.0</v>
      </c>
      <c r="D183" s="138">
        <v>42893.0</v>
      </c>
      <c r="E183" s="139">
        <v>42907.0</v>
      </c>
      <c r="F183" s="142" t="s">
        <v>220</v>
      </c>
      <c r="G183" s="142">
        <v>2017.0</v>
      </c>
      <c r="H183" s="46">
        <v>5988.0</v>
      </c>
      <c r="I183" s="46">
        <v>5016.0</v>
      </c>
      <c r="J183" s="84">
        <v>772764.96</v>
      </c>
      <c r="K183" s="84">
        <v>456104.88000000006</v>
      </c>
      <c r="L183" s="84">
        <v>316660.0799999999</v>
      </c>
      <c r="M183" s="46" t="s">
        <v>159</v>
      </c>
      <c r="N183" s="46" t="s">
        <v>187</v>
      </c>
      <c r="O183" s="46" t="s">
        <v>146</v>
      </c>
      <c r="P183" s="46" t="s">
        <v>155</v>
      </c>
      <c r="Q183" s="46" t="str">
        <f t="shared" si="1"/>
        <v>June, 2017</v>
      </c>
      <c r="R183" s="115">
        <f t="shared" si="2"/>
        <v>42887</v>
      </c>
      <c r="S183" s="49">
        <f t="array" ref="S183">WEEKDAY(D183,2)</f>
        <v>3</v>
      </c>
      <c r="T183" s="46" t="s">
        <v>116</v>
      </c>
      <c r="U183" s="46" t="str">
        <f t="array" ref="U183">TEXT(D183,"dddd")</f>
        <v>Wednesday</v>
      </c>
    </row>
    <row r="184" hidden="1">
      <c r="A184" s="46">
        <v>2.16278588E8</v>
      </c>
      <c r="B184" s="137" t="s">
        <v>225</v>
      </c>
      <c r="C184" s="137">
        <v>2015.0</v>
      </c>
      <c r="D184" s="138">
        <v>42357.0</v>
      </c>
      <c r="E184" s="139">
        <v>42357.0</v>
      </c>
      <c r="F184" s="142" t="s">
        <v>225</v>
      </c>
      <c r="G184" s="142">
        <v>2015.0</v>
      </c>
      <c r="H184" s="46">
        <v>8875.0</v>
      </c>
      <c r="I184" s="46">
        <v>495.0</v>
      </c>
      <c r="J184" s="84">
        <v>208835.55</v>
      </c>
      <c r="K184" s="84">
        <v>180521.55</v>
      </c>
      <c r="L184" s="84">
        <v>28314.0</v>
      </c>
      <c r="M184" s="46" t="s">
        <v>167</v>
      </c>
      <c r="N184" s="46" t="s">
        <v>174</v>
      </c>
      <c r="O184" s="46" t="s">
        <v>146</v>
      </c>
      <c r="P184" s="46" t="s">
        <v>158</v>
      </c>
      <c r="Q184" s="46" t="str">
        <f t="shared" si="1"/>
        <v>December, 2015</v>
      </c>
      <c r="R184" s="115">
        <f t="shared" si="2"/>
        <v>42339</v>
      </c>
      <c r="S184" s="49">
        <f t="array" ref="S184">WEEKDAY(D184,2)</f>
        <v>6</v>
      </c>
      <c r="T184" s="46" t="s">
        <v>107</v>
      </c>
      <c r="U184" s="46" t="str">
        <f t="array" ref="U184">TEXT(D184,"dddd")</f>
        <v>Saturday</v>
      </c>
    </row>
    <row r="185" hidden="1">
      <c r="A185" s="46">
        <v>2.17165648E8</v>
      </c>
      <c r="B185" s="137" t="s">
        <v>219</v>
      </c>
      <c r="C185" s="137">
        <v>2014.0</v>
      </c>
      <c r="D185" s="138">
        <v>41779.0</v>
      </c>
      <c r="E185" s="139">
        <v>41798.0</v>
      </c>
      <c r="F185" s="142" t="s">
        <v>220</v>
      </c>
      <c r="G185" s="142">
        <v>2014.0</v>
      </c>
      <c r="H185" s="46">
        <v>8875.0</v>
      </c>
      <c r="I185" s="46">
        <v>4958.0</v>
      </c>
      <c r="J185" s="84">
        <v>2091730.6199999999</v>
      </c>
      <c r="K185" s="84">
        <v>1808133.02</v>
      </c>
      <c r="L185" s="84">
        <v>283597.59999999986</v>
      </c>
      <c r="M185" s="46" t="s">
        <v>167</v>
      </c>
      <c r="N185" s="46" t="s">
        <v>160</v>
      </c>
      <c r="O185" s="46" t="s">
        <v>146</v>
      </c>
      <c r="P185" s="46" t="s">
        <v>147</v>
      </c>
      <c r="Q185" s="46" t="str">
        <f t="shared" si="1"/>
        <v>May, 2014</v>
      </c>
      <c r="R185" s="115">
        <f t="shared" si="2"/>
        <v>41760</v>
      </c>
      <c r="S185" s="49">
        <f t="array" ref="S185">WEEKDAY(D185,2)</f>
        <v>2</v>
      </c>
      <c r="T185" s="46" t="s">
        <v>98</v>
      </c>
      <c r="U185" s="46" t="str">
        <f t="array" ref="U185">TEXT(D185,"dddd")</f>
        <v>Tuesday</v>
      </c>
    </row>
    <row r="186" hidden="1">
      <c r="A186" s="46">
        <v>2.17248904E8</v>
      </c>
      <c r="B186" s="137" t="s">
        <v>219</v>
      </c>
      <c r="C186" s="137">
        <v>2012.0</v>
      </c>
      <c r="D186" s="138">
        <v>41034.0</v>
      </c>
      <c r="E186" s="139">
        <v>41075.0</v>
      </c>
      <c r="F186" s="142" t="s">
        <v>220</v>
      </c>
      <c r="G186" s="142">
        <v>2012.0</v>
      </c>
      <c r="H186" s="46">
        <v>8681.0</v>
      </c>
      <c r="I186" s="46">
        <v>7633.0</v>
      </c>
      <c r="J186" s="84">
        <v>4970685.930000001</v>
      </c>
      <c r="K186" s="84">
        <v>4007019.68</v>
      </c>
      <c r="L186" s="84">
        <v>963666.2500000005</v>
      </c>
      <c r="M186" s="46" t="s">
        <v>153</v>
      </c>
      <c r="N186" s="46" t="s">
        <v>154</v>
      </c>
      <c r="O186" s="46" t="s">
        <v>146</v>
      </c>
      <c r="P186" s="46" t="s">
        <v>155</v>
      </c>
      <c r="Q186" s="46" t="str">
        <f t="shared" si="1"/>
        <v>May, 2012</v>
      </c>
      <c r="R186" s="115">
        <f t="shared" si="2"/>
        <v>41030</v>
      </c>
      <c r="S186" s="49">
        <f t="array" ref="S186">WEEKDAY(D186,2)</f>
        <v>6</v>
      </c>
      <c r="T186" s="46" t="s">
        <v>96</v>
      </c>
      <c r="U186" s="46" t="str">
        <f t="array" ref="U186">TEXT(D186,"dddd")</f>
        <v>Saturday</v>
      </c>
    </row>
    <row r="187" hidden="1">
      <c r="A187" s="46">
        <v>2.1785916E8</v>
      </c>
      <c r="B187" s="137" t="s">
        <v>228</v>
      </c>
      <c r="C187" s="137">
        <v>2016.0</v>
      </c>
      <c r="D187" s="138">
        <v>42419.0</v>
      </c>
      <c r="E187" s="139">
        <v>42434.0</v>
      </c>
      <c r="F187" s="142" t="s">
        <v>222</v>
      </c>
      <c r="G187" s="142">
        <v>2016.0</v>
      </c>
      <c r="H187" s="46">
        <v>1270.0</v>
      </c>
      <c r="I187" s="46">
        <v>8222.0</v>
      </c>
      <c r="J187" s="84">
        <v>390133.9</v>
      </c>
      <c r="K187" s="84">
        <v>261377.38</v>
      </c>
      <c r="L187" s="84">
        <v>128756.52000000002</v>
      </c>
      <c r="M187" s="46" t="s">
        <v>152</v>
      </c>
      <c r="N187" s="46" t="s">
        <v>188</v>
      </c>
      <c r="O187" s="46" t="s">
        <v>146</v>
      </c>
      <c r="P187" s="46" t="s">
        <v>170</v>
      </c>
      <c r="Q187" s="46" t="str">
        <f t="shared" si="1"/>
        <v>February, 2016</v>
      </c>
      <c r="R187" s="115">
        <f t="shared" si="2"/>
        <v>42401</v>
      </c>
      <c r="S187" s="49">
        <f t="array" ref="S187">WEEKDAY(D187,2)</f>
        <v>5</v>
      </c>
      <c r="T187" s="46" t="s">
        <v>117</v>
      </c>
      <c r="U187" s="46" t="str">
        <f t="array" ref="U187">TEXT(D187,"dddd")</f>
        <v>Friday</v>
      </c>
    </row>
    <row r="188" hidden="1">
      <c r="A188" s="46">
        <v>2.17920958E8</v>
      </c>
      <c r="B188" s="137" t="s">
        <v>219</v>
      </c>
      <c r="C188" s="137">
        <v>2011.0</v>
      </c>
      <c r="D188" s="138">
        <v>40669.0</v>
      </c>
      <c r="E188" s="139">
        <v>40719.0</v>
      </c>
      <c r="F188" s="142" t="s">
        <v>220</v>
      </c>
      <c r="G188" s="142">
        <v>2011.0</v>
      </c>
      <c r="H188" s="46">
        <v>7331.0</v>
      </c>
      <c r="I188" s="46">
        <v>6509.0</v>
      </c>
      <c r="J188" s="84">
        <v>1661617.52</v>
      </c>
      <c r="K188" s="84">
        <v>1037664.7799999999</v>
      </c>
      <c r="L188" s="84">
        <v>623952.7400000001</v>
      </c>
      <c r="M188" s="46" t="s">
        <v>161</v>
      </c>
      <c r="N188" s="46" t="s">
        <v>194</v>
      </c>
      <c r="O188" s="46" t="s">
        <v>146</v>
      </c>
      <c r="P188" s="46" t="s">
        <v>155</v>
      </c>
      <c r="Q188" s="46" t="str">
        <f t="shared" si="1"/>
        <v>May, 2011</v>
      </c>
      <c r="R188" s="115">
        <f t="shared" si="2"/>
        <v>40664</v>
      </c>
      <c r="S188" s="49">
        <f t="array" ref="S188">WEEKDAY(D188,2)</f>
        <v>5</v>
      </c>
      <c r="T188" s="46" t="s">
        <v>123</v>
      </c>
      <c r="U188" s="46" t="str">
        <f t="array" ref="U188">TEXT(D188,"dddd")</f>
        <v>Friday</v>
      </c>
    </row>
    <row r="189" hidden="1">
      <c r="A189" s="46">
        <v>2.1945132E8</v>
      </c>
      <c r="B189" s="137" t="s">
        <v>220</v>
      </c>
      <c r="C189" s="137">
        <v>2014.0</v>
      </c>
      <c r="D189" s="138">
        <v>41808.0</v>
      </c>
      <c r="E189" s="139">
        <v>41822.0</v>
      </c>
      <c r="F189" s="142" t="s">
        <v>217</v>
      </c>
      <c r="G189" s="142">
        <v>2014.0</v>
      </c>
      <c r="H189" s="46">
        <v>8875.0</v>
      </c>
      <c r="I189" s="46">
        <v>9377.0</v>
      </c>
      <c r="J189" s="84">
        <v>3956062.53</v>
      </c>
      <c r="K189" s="84">
        <v>3419698.13</v>
      </c>
      <c r="L189" s="84">
        <v>536364.3999999999</v>
      </c>
      <c r="M189" s="46" t="s">
        <v>167</v>
      </c>
      <c r="N189" s="46" t="s">
        <v>181</v>
      </c>
      <c r="O189" s="46" t="s">
        <v>146</v>
      </c>
      <c r="P189" s="46" t="s">
        <v>155</v>
      </c>
      <c r="Q189" s="46" t="str">
        <f t="shared" si="1"/>
        <v>June, 2014</v>
      </c>
      <c r="R189" s="115">
        <f t="shared" si="2"/>
        <v>41791</v>
      </c>
      <c r="S189" s="49">
        <f t="array" ref="S189">WEEKDAY(D189,2)</f>
        <v>3</v>
      </c>
      <c r="T189" s="46" t="s">
        <v>113</v>
      </c>
      <c r="U189" s="46" t="str">
        <f t="array" ref="U189">TEXT(D189,"dddd")</f>
        <v>Wednesday</v>
      </c>
    </row>
    <row r="190" hidden="1">
      <c r="A190" s="46">
        <v>2.20607459E8</v>
      </c>
      <c r="B190" s="137" t="s">
        <v>226</v>
      </c>
      <c r="C190" s="137">
        <v>2013.0</v>
      </c>
      <c r="D190" s="138">
        <v>41561.0</v>
      </c>
      <c r="E190" s="139">
        <v>41564.0</v>
      </c>
      <c r="F190" s="142" t="s">
        <v>226</v>
      </c>
      <c r="G190" s="142">
        <v>2013.0</v>
      </c>
      <c r="H190" s="46">
        <v>2103.0</v>
      </c>
      <c r="I190" s="46">
        <v>1504.0</v>
      </c>
      <c r="J190" s="84">
        <v>309372.8</v>
      </c>
      <c r="K190" s="84">
        <v>176133.44</v>
      </c>
      <c r="L190" s="84">
        <v>133239.36</v>
      </c>
      <c r="M190" s="46" t="s">
        <v>144</v>
      </c>
      <c r="N190" s="46" t="s">
        <v>188</v>
      </c>
      <c r="O190" s="46" t="s">
        <v>146</v>
      </c>
      <c r="P190" s="46" t="s">
        <v>170</v>
      </c>
      <c r="Q190" s="46" t="str">
        <f t="shared" si="1"/>
        <v>October, 2013</v>
      </c>
      <c r="R190" s="115">
        <f t="shared" si="2"/>
        <v>41548</v>
      </c>
      <c r="S190" s="49">
        <f t="array" ref="S190">WEEKDAY(D190,2)</f>
        <v>1</v>
      </c>
      <c r="T190" s="46" t="s">
        <v>117</v>
      </c>
      <c r="U190" s="46" t="str">
        <f t="array" ref="U190">TEXT(D190,"dddd")</f>
        <v>Monday</v>
      </c>
    </row>
    <row r="191" hidden="1">
      <c r="A191" s="46">
        <v>2.21628844E8</v>
      </c>
      <c r="B191" s="137" t="s">
        <v>217</v>
      </c>
      <c r="C191" s="137">
        <v>2011.0</v>
      </c>
      <c r="D191" s="138">
        <v>40752.0</v>
      </c>
      <c r="E191" s="139">
        <v>40787.0</v>
      </c>
      <c r="F191" s="142" t="s">
        <v>221</v>
      </c>
      <c r="G191" s="142">
        <v>2011.0</v>
      </c>
      <c r="H191" s="46">
        <v>2455.0</v>
      </c>
      <c r="I191" s="46">
        <v>3755.0</v>
      </c>
      <c r="J191" s="84">
        <v>410346.4</v>
      </c>
      <c r="K191" s="84">
        <v>134579.2</v>
      </c>
      <c r="L191" s="84">
        <v>275767.2</v>
      </c>
      <c r="M191" s="46" t="s">
        <v>150</v>
      </c>
      <c r="N191" s="46" t="s">
        <v>179</v>
      </c>
      <c r="O191" s="46" t="s">
        <v>146</v>
      </c>
      <c r="P191" s="46" t="s">
        <v>155</v>
      </c>
      <c r="Q191" s="46" t="str">
        <f t="shared" si="1"/>
        <v>July, 2011</v>
      </c>
      <c r="R191" s="115">
        <f t="shared" si="2"/>
        <v>40725</v>
      </c>
      <c r="S191" s="49">
        <f t="array" ref="S191">WEEKDAY(D191,2)</f>
        <v>4</v>
      </c>
      <c r="T191" s="46" t="s">
        <v>111</v>
      </c>
      <c r="U191" s="46" t="str">
        <f t="array" ref="U191">TEXT(D191,"dddd")</f>
        <v>Thursday</v>
      </c>
    </row>
    <row r="192" hidden="1">
      <c r="A192" s="46">
        <v>2.22720611E8</v>
      </c>
      <c r="B192" s="137" t="s">
        <v>222</v>
      </c>
      <c r="C192" s="137">
        <v>2010.0</v>
      </c>
      <c r="D192" s="138">
        <v>40253.0</v>
      </c>
      <c r="E192" s="139">
        <v>40269.0</v>
      </c>
      <c r="F192" s="142" t="s">
        <v>223</v>
      </c>
      <c r="G192" s="142">
        <v>2010.0</v>
      </c>
      <c r="H192" s="46">
        <v>7331.0</v>
      </c>
      <c r="I192" s="46">
        <v>6833.0</v>
      </c>
      <c r="J192" s="84">
        <v>1744328.24</v>
      </c>
      <c r="K192" s="84">
        <v>1089316.8599999999</v>
      </c>
      <c r="L192" s="84">
        <v>655011.3800000001</v>
      </c>
      <c r="M192" s="46" t="s">
        <v>161</v>
      </c>
      <c r="N192" s="46" t="s">
        <v>180</v>
      </c>
      <c r="O192" s="46" t="s">
        <v>146</v>
      </c>
      <c r="P192" s="46" t="s">
        <v>147</v>
      </c>
      <c r="Q192" s="46" t="str">
        <f t="shared" si="1"/>
        <v>March, 2010</v>
      </c>
      <c r="R192" s="115">
        <f t="shared" si="2"/>
        <v>40238</v>
      </c>
      <c r="S192" s="49">
        <f t="array" ref="S192">WEEKDAY(D192,2)</f>
        <v>2</v>
      </c>
      <c r="T192" s="46" t="s">
        <v>112</v>
      </c>
      <c r="U192" s="46" t="str">
        <f t="array" ref="U192">TEXT(D192,"dddd")</f>
        <v>Tuesday</v>
      </c>
    </row>
    <row r="193" hidden="1">
      <c r="A193" s="46">
        <v>2.23199975E8</v>
      </c>
      <c r="B193" s="137" t="s">
        <v>224</v>
      </c>
      <c r="C193" s="137">
        <v>2016.0</v>
      </c>
      <c r="D193" s="138">
        <v>42695.0</v>
      </c>
      <c r="E193" s="139">
        <v>42739.0</v>
      </c>
      <c r="F193" s="142" t="s">
        <v>227</v>
      </c>
      <c r="G193" s="142">
        <v>2017.0</v>
      </c>
      <c r="H193" s="46">
        <v>1270.0</v>
      </c>
      <c r="I193" s="46">
        <v>8687.0</v>
      </c>
      <c r="J193" s="84">
        <v>412198.15</v>
      </c>
      <c r="K193" s="84">
        <v>276159.73</v>
      </c>
      <c r="L193" s="84">
        <v>136038.42000000004</v>
      </c>
      <c r="M193" s="46" t="s">
        <v>152</v>
      </c>
      <c r="N193" s="46" t="s">
        <v>205</v>
      </c>
      <c r="O193" s="46" t="s">
        <v>146</v>
      </c>
      <c r="P193" s="46" t="s">
        <v>170</v>
      </c>
      <c r="Q193" s="46" t="str">
        <f t="shared" si="1"/>
        <v>November, 2016</v>
      </c>
      <c r="R193" s="115">
        <f t="shared" si="2"/>
        <v>42675</v>
      </c>
      <c r="S193" s="49">
        <f t="array" ref="S193">WEEKDAY(D193,2)</f>
        <v>1</v>
      </c>
      <c r="T193" s="46" t="s">
        <v>135</v>
      </c>
      <c r="U193" s="46" t="str">
        <f t="array" ref="U193">TEXT(D193,"dddd")</f>
        <v>Monday</v>
      </c>
    </row>
    <row r="194" hidden="1">
      <c r="A194" s="46">
        <v>2.23869454E8</v>
      </c>
      <c r="B194" s="137" t="s">
        <v>219</v>
      </c>
      <c r="C194" s="137">
        <v>2010.0</v>
      </c>
      <c r="D194" s="138">
        <v>40328.0</v>
      </c>
      <c r="E194" s="139">
        <v>40356.0</v>
      </c>
      <c r="F194" s="142" t="s">
        <v>220</v>
      </c>
      <c r="G194" s="142">
        <v>2010.0</v>
      </c>
      <c r="H194" s="46">
        <v>4594.0</v>
      </c>
      <c r="I194" s="46">
        <v>6801.0</v>
      </c>
      <c r="J194" s="84">
        <v>63453.33</v>
      </c>
      <c r="K194" s="84">
        <v>47062.92</v>
      </c>
      <c r="L194" s="84">
        <v>16390.410000000003</v>
      </c>
      <c r="M194" s="46" t="s">
        <v>156</v>
      </c>
      <c r="N194" s="46" t="s">
        <v>198</v>
      </c>
      <c r="O194" s="46" t="s">
        <v>146</v>
      </c>
      <c r="P194" s="46" t="s">
        <v>170</v>
      </c>
      <c r="Q194" s="46" t="str">
        <f t="shared" si="1"/>
        <v>May, 2010</v>
      </c>
      <c r="R194" s="115">
        <f t="shared" si="2"/>
        <v>40299</v>
      </c>
      <c r="S194" s="49">
        <f t="array" ref="S194">WEEKDAY(D194,2)</f>
        <v>7</v>
      </c>
      <c r="T194" s="46" t="s">
        <v>127</v>
      </c>
      <c r="U194" s="46" t="str">
        <f t="array" ref="U194">TEXT(D194,"dddd")</f>
        <v>Sunday</v>
      </c>
    </row>
    <row r="195" hidden="1">
      <c r="A195" s="46">
        <v>2.2464708E8</v>
      </c>
      <c r="B195" s="137" t="s">
        <v>220</v>
      </c>
      <c r="C195" s="137">
        <v>2014.0</v>
      </c>
      <c r="D195" s="138">
        <v>41813.0</v>
      </c>
      <c r="E195" s="139">
        <v>41850.0</v>
      </c>
      <c r="F195" s="142" t="s">
        <v>217</v>
      </c>
      <c r="G195" s="142">
        <v>2014.0</v>
      </c>
      <c r="H195" s="46">
        <v>8681.0</v>
      </c>
      <c r="I195" s="46">
        <v>6918.0</v>
      </c>
      <c r="J195" s="84">
        <v>4505070.78</v>
      </c>
      <c r="K195" s="84">
        <v>3631673.2800000003</v>
      </c>
      <c r="L195" s="84">
        <v>873397.5</v>
      </c>
      <c r="M195" s="46" t="s">
        <v>153</v>
      </c>
      <c r="N195" s="46" t="s">
        <v>154</v>
      </c>
      <c r="O195" s="46" t="s">
        <v>146</v>
      </c>
      <c r="P195" s="46" t="s">
        <v>155</v>
      </c>
      <c r="Q195" s="46" t="str">
        <f t="shared" si="1"/>
        <v>June, 2014</v>
      </c>
      <c r="R195" s="115">
        <f t="shared" si="2"/>
        <v>41791</v>
      </c>
      <c r="S195" s="49">
        <f t="array" ref="S195">WEEKDAY(D195,2)</f>
        <v>1</v>
      </c>
      <c r="T195" s="46" t="s">
        <v>96</v>
      </c>
      <c r="U195" s="46" t="str">
        <f t="array" ref="U195">TEXT(D195,"dddd")</f>
        <v>Monday</v>
      </c>
    </row>
    <row r="196" hidden="1">
      <c r="A196" s="46">
        <v>2.282112E8</v>
      </c>
      <c r="B196" s="137" t="s">
        <v>224</v>
      </c>
      <c r="C196" s="137">
        <v>2012.0</v>
      </c>
      <c r="D196" s="138">
        <v>41243.0</v>
      </c>
      <c r="E196" s="139">
        <v>41246.0</v>
      </c>
      <c r="F196" s="142" t="s">
        <v>225</v>
      </c>
      <c r="G196" s="142">
        <v>2012.0</v>
      </c>
      <c r="H196" s="46">
        <v>8293.0</v>
      </c>
      <c r="I196" s="46">
        <v>1620.0</v>
      </c>
      <c r="J196" s="84">
        <v>708264.0</v>
      </c>
      <c r="K196" s="84">
        <v>426594.6</v>
      </c>
      <c r="L196" s="84">
        <v>281669.4</v>
      </c>
      <c r="M196" s="46" t="s">
        <v>178</v>
      </c>
      <c r="N196" s="46" t="s">
        <v>191</v>
      </c>
      <c r="O196" s="46" t="s">
        <v>146</v>
      </c>
      <c r="P196" s="46" t="s">
        <v>147</v>
      </c>
      <c r="Q196" s="46" t="str">
        <f t="shared" si="1"/>
        <v>November, 2012</v>
      </c>
      <c r="R196" s="115">
        <f t="shared" si="2"/>
        <v>41214</v>
      </c>
      <c r="S196" s="49">
        <f t="array" ref="S196">WEEKDAY(D196,2)</f>
        <v>5</v>
      </c>
      <c r="T196" s="46" t="s">
        <v>120</v>
      </c>
      <c r="U196" s="46" t="str">
        <f t="array" ref="U196">TEXT(D196,"dddd")</f>
        <v>Friday</v>
      </c>
    </row>
    <row r="197">
      <c r="A197" s="46">
        <v>2.29105556E8</v>
      </c>
      <c r="B197" s="137" t="s">
        <v>220</v>
      </c>
      <c r="C197" s="137">
        <v>2010.0</v>
      </c>
      <c r="D197" s="138">
        <v>40343.0</v>
      </c>
      <c r="E197" s="139">
        <v>40393.0</v>
      </c>
      <c r="F197" s="142" t="s">
        <v>216</v>
      </c>
      <c r="G197" s="142">
        <v>2010.0</v>
      </c>
      <c r="H197" s="46">
        <v>8875.0</v>
      </c>
      <c r="I197" s="46">
        <v>6280.0</v>
      </c>
      <c r="J197" s="84">
        <v>2649469.1999999997</v>
      </c>
      <c r="K197" s="84">
        <v>2290253.2</v>
      </c>
      <c r="L197" s="84">
        <v>359215.99999999953</v>
      </c>
      <c r="M197" s="46" t="s">
        <v>167</v>
      </c>
      <c r="N197" s="46" t="s">
        <v>149</v>
      </c>
      <c r="O197" s="46" t="s">
        <v>149</v>
      </c>
      <c r="P197" s="46" t="s">
        <v>218</v>
      </c>
      <c r="Q197" s="46" t="str">
        <f t="shared" si="1"/>
        <v>June, 2010</v>
      </c>
      <c r="R197" s="115">
        <f t="shared" si="2"/>
        <v>40330</v>
      </c>
      <c r="S197" s="49">
        <f t="array" ref="S197">WEEKDAY(D197,2)</f>
        <v>1</v>
      </c>
      <c r="T197" s="46" t="s">
        <v>92</v>
      </c>
      <c r="U197" s="46" t="str">
        <f t="array" ref="U197">TEXT(D197,"dddd")</f>
        <v>Monday</v>
      </c>
    </row>
    <row r="198" hidden="1">
      <c r="A198" s="46">
        <v>2.29355323E8</v>
      </c>
      <c r="B198" s="137" t="s">
        <v>224</v>
      </c>
      <c r="C198" s="137">
        <v>2011.0</v>
      </c>
      <c r="D198" s="138">
        <v>40875.0</v>
      </c>
      <c r="E198" s="139">
        <v>40887.0</v>
      </c>
      <c r="F198" s="142" t="s">
        <v>225</v>
      </c>
      <c r="G198" s="142">
        <v>2011.0</v>
      </c>
      <c r="H198" s="46">
        <v>5988.0</v>
      </c>
      <c r="I198" s="46">
        <v>192.0</v>
      </c>
      <c r="J198" s="84">
        <v>29579.52</v>
      </c>
      <c r="K198" s="84">
        <v>17458.56</v>
      </c>
      <c r="L198" s="84">
        <v>12120.96</v>
      </c>
      <c r="M198" s="46" t="s">
        <v>159</v>
      </c>
      <c r="N198" s="46" t="s">
        <v>200</v>
      </c>
      <c r="O198" s="46" t="s">
        <v>146</v>
      </c>
      <c r="P198" s="46" t="s">
        <v>158</v>
      </c>
      <c r="Q198" s="46" t="str">
        <f t="shared" si="1"/>
        <v>November, 2011</v>
      </c>
      <c r="R198" s="115">
        <f t="shared" si="2"/>
        <v>40848</v>
      </c>
      <c r="S198" s="49">
        <f t="array" ref="S198">WEEKDAY(D198,2)</f>
        <v>1</v>
      </c>
      <c r="T198" s="46" t="s">
        <v>129</v>
      </c>
      <c r="U198" s="46" t="str">
        <f t="array" ref="U198">TEXT(D198,"dddd")</f>
        <v>Monday</v>
      </c>
    </row>
    <row r="199" hidden="1">
      <c r="A199" s="46">
        <v>2.29693067E8</v>
      </c>
      <c r="B199" s="137" t="s">
        <v>217</v>
      </c>
      <c r="C199" s="137">
        <v>2012.0</v>
      </c>
      <c r="D199" s="138">
        <v>41105.0</v>
      </c>
      <c r="E199" s="139">
        <v>41105.0</v>
      </c>
      <c r="F199" s="142" t="s">
        <v>217</v>
      </c>
      <c r="G199" s="142">
        <v>2012.0</v>
      </c>
      <c r="H199" s="46">
        <v>8293.0</v>
      </c>
      <c r="I199" s="46">
        <v>138.0</v>
      </c>
      <c r="J199" s="84">
        <v>60333.6</v>
      </c>
      <c r="K199" s="84">
        <v>36339.54</v>
      </c>
      <c r="L199" s="84">
        <v>23994.059999999998</v>
      </c>
      <c r="M199" s="46" t="s">
        <v>178</v>
      </c>
      <c r="N199" s="46" t="s">
        <v>200</v>
      </c>
      <c r="O199" s="46" t="s">
        <v>146</v>
      </c>
      <c r="P199" s="46" t="s">
        <v>158</v>
      </c>
      <c r="Q199" s="46" t="str">
        <f t="shared" si="1"/>
        <v>July, 2012</v>
      </c>
      <c r="R199" s="115">
        <f t="shared" si="2"/>
        <v>41091</v>
      </c>
      <c r="S199" s="49">
        <f t="array" ref="S199">WEEKDAY(D199,2)</f>
        <v>7</v>
      </c>
      <c r="T199" s="46" t="s">
        <v>129</v>
      </c>
      <c r="U199" s="46" t="str">
        <f t="array" ref="U199">TEXT(D199,"dddd")</f>
        <v>Sunday</v>
      </c>
    </row>
    <row r="200" hidden="1">
      <c r="A200" s="46">
        <v>2.31341445E8</v>
      </c>
      <c r="B200" s="137" t="s">
        <v>216</v>
      </c>
      <c r="C200" s="137">
        <v>2015.0</v>
      </c>
      <c r="D200" s="138">
        <v>42244.0</v>
      </c>
      <c r="E200" s="139">
        <v>42284.0</v>
      </c>
      <c r="F200" s="142" t="s">
        <v>226</v>
      </c>
      <c r="G200" s="142">
        <v>2015.0</v>
      </c>
      <c r="H200" s="46">
        <v>1270.0</v>
      </c>
      <c r="I200" s="46">
        <v>7929.0</v>
      </c>
      <c r="J200" s="84">
        <v>376231.05000000005</v>
      </c>
      <c r="K200" s="84">
        <v>252062.91</v>
      </c>
      <c r="L200" s="84">
        <v>124168.14000000004</v>
      </c>
      <c r="M200" s="46" t="s">
        <v>152</v>
      </c>
      <c r="N200" s="46" t="s">
        <v>204</v>
      </c>
      <c r="O200" s="46" t="s">
        <v>146</v>
      </c>
      <c r="P200" s="46" t="s">
        <v>147</v>
      </c>
      <c r="Q200" s="46" t="str">
        <f t="shared" si="1"/>
        <v>August, 2015</v>
      </c>
      <c r="R200" s="115">
        <f t="shared" si="2"/>
        <v>42217</v>
      </c>
      <c r="S200" s="49">
        <f t="array" ref="S200">WEEKDAY(D200,2)</f>
        <v>5</v>
      </c>
      <c r="T200" s="46" t="s">
        <v>133</v>
      </c>
      <c r="U200" s="46" t="str">
        <f t="array" ref="U200">TEXT(D200,"dddd")</f>
        <v>Friday</v>
      </c>
    </row>
    <row r="201" hidden="1">
      <c r="A201" s="46">
        <v>2.31369769E8</v>
      </c>
      <c r="B201" s="137" t="s">
        <v>219</v>
      </c>
      <c r="C201" s="137">
        <v>2015.0</v>
      </c>
      <c r="D201" s="138">
        <v>42133.0</v>
      </c>
      <c r="E201" s="139">
        <v>42140.0</v>
      </c>
      <c r="F201" s="142" t="s">
        <v>219</v>
      </c>
      <c r="G201" s="142">
        <v>2015.0</v>
      </c>
      <c r="H201" s="46">
        <v>2455.0</v>
      </c>
      <c r="I201" s="46">
        <v>6311.0</v>
      </c>
      <c r="J201" s="84">
        <v>689666.08</v>
      </c>
      <c r="K201" s="84">
        <v>226186.24000000002</v>
      </c>
      <c r="L201" s="84">
        <v>463479.83999999997</v>
      </c>
      <c r="M201" s="46" t="s">
        <v>150</v>
      </c>
      <c r="N201" s="46" t="s">
        <v>154</v>
      </c>
      <c r="O201" s="46" t="s">
        <v>146</v>
      </c>
      <c r="P201" s="46" t="s">
        <v>155</v>
      </c>
      <c r="Q201" s="46" t="str">
        <f t="shared" si="1"/>
        <v>May, 2015</v>
      </c>
      <c r="R201" s="115">
        <f t="shared" si="2"/>
        <v>42125</v>
      </c>
      <c r="S201" s="49">
        <f t="array" ref="S201">WEEKDAY(D201,2)</f>
        <v>6</v>
      </c>
      <c r="T201" s="46" t="s">
        <v>96</v>
      </c>
      <c r="U201" s="46" t="str">
        <f t="array" ref="U201">TEXT(D201,"dddd")</f>
        <v>Saturday</v>
      </c>
    </row>
    <row r="202" hidden="1">
      <c r="A202" s="46">
        <v>2.31450879E8</v>
      </c>
      <c r="B202" s="137" t="s">
        <v>227</v>
      </c>
      <c r="C202" s="137">
        <v>2010.0</v>
      </c>
      <c r="D202" s="138">
        <v>40181.0</v>
      </c>
      <c r="E202" s="139">
        <v>40231.0</v>
      </c>
      <c r="F202" s="142" t="s">
        <v>228</v>
      </c>
      <c r="G202" s="142">
        <v>2010.0</v>
      </c>
      <c r="H202" s="46">
        <v>2455.0</v>
      </c>
      <c r="I202" s="46">
        <v>313.0</v>
      </c>
      <c r="J202" s="84">
        <v>34204.64</v>
      </c>
      <c r="K202" s="84">
        <v>11217.920000000002</v>
      </c>
      <c r="L202" s="84">
        <v>22986.719999999998</v>
      </c>
      <c r="M202" s="46" t="s">
        <v>150</v>
      </c>
      <c r="N202" s="46" t="s">
        <v>164</v>
      </c>
      <c r="O202" s="46" t="s">
        <v>165</v>
      </c>
      <c r="P202" s="46" t="s">
        <v>166</v>
      </c>
      <c r="Q202" s="46" t="str">
        <f t="shared" si="1"/>
        <v>January, 2010</v>
      </c>
      <c r="R202" s="115">
        <f t="shared" si="2"/>
        <v>40179</v>
      </c>
      <c r="S202" s="49">
        <f t="array" ref="S202">WEEKDAY(D202,2)</f>
        <v>7</v>
      </c>
      <c r="T202" s="46" t="s">
        <v>101</v>
      </c>
      <c r="U202" s="46" t="str">
        <f t="array" ref="U202">TEXT(D202,"dddd")</f>
        <v>Sunday</v>
      </c>
    </row>
    <row r="203" hidden="1">
      <c r="A203" s="46">
        <v>2.3186115E8</v>
      </c>
      <c r="B203" s="137" t="s">
        <v>226</v>
      </c>
      <c r="C203" s="137">
        <v>2014.0</v>
      </c>
      <c r="D203" s="138">
        <v>41929.0</v>
      </c>
      <c r="E203" s="139">
        <v>41944.0</v>
      </c>
      <c r="F203" s="142" t="s">
        <v>224</v>
      </c>
      <c r="G203" s="142">
        <v>2014.0</v>
      </c>
      <c r="H203" s="46">
        <v>8293.0</v>
      </c>
      <c r="I203" s="46">
        <v>1722.0</v>
      </c>
      <c r="J203" s="84">
        <v>752858.4</v>
      </c>
      <c r="K203" s="84">
        <v>453454.25999999995</v>
      </c>
      <c r="L203" s="84">
        <v>299404.1400000001</v>
      </c>
      <c r="M203" s="46" t="s">
        <v>178</v>
      </c>
      <c r="N203" s="46" t="s">
        <v>187</v>
      </c>
      <c r="O203" s="46" t="s">
        <v>146</v>
      </c>
      <c r="P203" s="46" t="s">
        <v>155</v>
      </c>
      <c r="Q203" s="46" t="str">
        <f t="shared" si="1"/>
        <v>October, 2014</v>
      </c>
      <c r="R203" s="115">
        <f t="shared" si="2"/>
        <v>41913</v>
      </c>
      <c r="S203" s="49">
        <f t="array" ref="S203">WEEKDAY(D203,2)</f>
        <v>5</v>
      </c>
      <c r="T203" s="46" t="s">
        <v>116</v>
      </c>
      <c r="U203" s="46" t="str">
        <f t="array" ref="U203">TEXT(D203,"dddd")</f>
        <v>Friday</v>
      </c>
    </row>
    <row r="204" hidden="1">
      <c r="A204" s="46">
        <v>2.32196319E8</v>
      </c>
      <c r="B204" s="137" t="s">
        <v>217</v>
      </c>
      <c r="C204" s="137">
        <v>2017.0</v>
      </c>
      <c r="D204" s="138">
        <v>42923.0</v>
      </c>
      <c r="E204" s="139">
        <v>42951.0</v>
      </c>
      <c r="F204" s="142" t="s">
        <v>216</v>
      </c>
      <c r="G204" s="142">
        <v>2017.0</v>
      </c>
      <c r="H204" s="46">
        <v>7940.0</v>
      </c>
      <c r="I204" s="46">
        <v>905.0</v>
      </c>
      <c r="J204" s="84">
        <v>604784.35</v>
      </c>
      <c r="K204" s="84">
        <v>454798.7</v>
      </c>
      <c r="L204" s="84">
        <v>149985.64999999997</v>
      </c>
      <c r="M204" s="46" t="s">
        <v>148</v>
      </c>
      <c r="N204" s="46" t="s">
        <v>173</v>
      </c>
      <c r="O204" s="46" t="s">
        <v>146</v>
      </c>
      <c r="P204" s="46" t="s">
        <v>155</v>
      </c>
      <c r="Q204" s="46" t="str">
        <f t="shared" si="1"/>
        <v>July, 2017</v>
      </c>
      <c r="R204" s="115">
        <f t="shared" si="2"/>
        <v>42917</v>
      </c>
      <c r="S204" s="49">
        <f t="array" ref="S204">WEEKDAY(D204,2)</f>
        <v>5</v>
      </c>
      <c r="T204" s="46" t="s">
        <v>106</v>
      </c>
      <c r="U204" s="46" t="str">
        <f t="array" ref="U204">TEXT(D204,"dddd")</f>
        <v>Friday</v>
      </c>
    </row>
    <row r="205" hidden="1">
      <c r="A205" s="46">
        <v>2.33440434E8</v>
      </c>
      <c r="B205" s="137" t="s">
        <v>227</v>
      </c>
      <c r="C205" s="137">
        <v>2016.0</v>
      </c>
      <c r="D205" s="138">
        <v>42374.0</v>
      </c>
      <c r="E205" s="139">
        <v>42417.0</v>
      </c>
      <c r="F205" s="142" t="s">
        <v>228</v>
      </c>
      <c r="G205" s="142">
        <v>2016.0</v>
      </c>
      <c r="H205" s="46">
        <v>8681.0</v>
      </c>
      <c r="I205" s="46">
        <v>9067.0</v>
      </c>
      <c r="J205" s="84">
        <v>5904521.07</v>
      </c>
      <c r="K205" s="84">
        <v>4759812.32</v>
      </c>
      <c r="L205" s="84">
        <v>1144708.75</v>
      </c>
      <c r="M205" s="46" t="s">
        <v>153</v>
      </c>
      <c r="N205" s="46" t="s">
        <v>176</v>
      </c>
      <c r="O205" s="46" t="s">
        <v>146</v>
      </c>
      <c r="P205" s="46" t="s">
        <v>158</v>
      </c>
      <c r="Q205" s="46" t="str">
        <f t="shared" si="1"/>
        <v>January, 2016</v>
      </c>
      <c r="R205" s="115">
        <f t="shared" si="2"/>
        <v>42370</v>
      </c>
      <c r="S205" s="49">
        <f t="array" ref="S205">WEEKDAY(D205,2)</f>
        <v>2</v>
      </c>
      <c r="T205" s="46" t="s">
        <v>109</v>
      </c>
      <c r="U205" s="46" t="str">
        <f t="array" ref="U205">TEXT(D205,"dddd")</f>
        <v>Tuesday</v>
      </c>
    </row>
    <row r="206" hidden="1">
      <c r="A206" s="46">
        <v>2.33709084E8</v>
      </c>
      <c r="B206" s="137" t="s">
        <v>221</v>
      </c>
      <c r="C206" s="137">
        <v>2014.0</v>
      </c>
      <c r="D206" s="138">
        <v>41910.0</v>
      </c>
      <c r="E206" s="139">
        <v>41928.0</v>
      </c>
      <c r="F206" s="142" t="s">
        <v>226</v>
      </c>
      <c r="G206" s="142">
        <v>2014.0</v>
      </c>
      <c r="H206" s="46">
        <v>2455.0</v>
      </c>
      <c r="I206" s="46">
        <v>8566.0</v>
      </c>
      <c r="J206" s="84">
        <v>936092.48</v>
      </c>
      <c r="K206" s="84">
        <v>307005.44</v>
      </c>
      <c r="L206" s="84">
        <v>629087.04</v>
      </c>
      <c r="M206" s="46" t="s">
        <v>150</v>
      </c>
      <c r="N206" s="46" t="s">
        <v>195</v>
      </c>
      <c r="O206" s="46" t="s">
        <v>146</v>
      </c>
      <c r="P206" s="46" t="s">
        <v>170</v>
      </c>
      <c r="Q206" s="46" t="str">
        <f t="shared" si="1"/>
        <v>September, 2014</v>
      </c>
      <c r="R206" s="115">
        <f t="shared" si="2"/>
        <v>41883</v>
      </c>
      <c r="S206" s="49">
        <f t="array" ref="S206">WEEKDAY(D206,2)</f>
        <v>7</v>
      </c>
      <c r="T206" s="46" t="s">
        <v>124</v>
      </c>
      <c r="U206" s="46" t="str">
        <f t="array" ref="U206">TEXT(D206,"dddd")</f>
        <v>Sunday</v>
      </c>
    </row>
    <row r="207" hidden="1">
      <c r="A207" s="46">
        <v>2.33811223E8</v>
      </c>
      <c r="B207" s="137" t="s">
        <v>217</v>
      </c>
      <c r="C207" s="137">
        <v>2017.0</v>
      </c>
      <c r="D207" s="138">
        <v>42936.0</v>
      </c>
      <c r="E207" s="139">
        <v>42936.0</v>
      </c>
      <c r="F207" s="142" t="s">
        <v>217</v>
      </c>
      <c r="G207" s="142">
        <v>2017.0</v>
      </c>
      <c r="H207" s="46">
        <v>8293.0</v>
      </c>
      <c r="I207" s="46">
        <v>8792.0</v>
      </c>
      <c r="J207" s="84">
        <v>3843862.4</v>
      </c>
      <c r="K207" s="84">
        <v>2315197.36</v>
      </c>
      <c r="L207" s="84">
        <v>1528665.04</v>
      </c>
      <c r="M207" s="46" t="s">
        <v>178</v>
      </c>
      <c r="N207" s="46" t="s">
        <v>193</v>
      </c>
      <c r="O207" s="46" t="s">
        <v>146</v>
      </c>
      <c r="P207" s="46" t="s">
        <v>158</v>
      </c>
      <c r="Q207" s="46" t="str">
        <f t="shared" si="1"/>
        <v>July, 2017</v>
      </c>
      <c r="R207" s="115">
        <f t="shared" si="2"/>
        <v>42917</v>
      </c>
      <c r="S207" s="49">
        <f t="array" ref="S207">WEEKDAY(D207,2)</f>
        <v>4</v>
      </c>
      <c r="T207" s="46" t="s">
        <v>122</v>
      </c>
      <c r="U207" s="46" t="str">
        <f t="array" ref="U207">TEXT(D207,"dddd")</f>
        <v>Thursday</v>
      </c>
    </row>
    <row r="208" hidden="1">
      <c r="A208" s="46">
        <v>2.34082448E8</v>
      </c>
      <c r="B208" s="137" t="s">
        <v>222</v>
      </c>
      <c r="C208" s="137">
        <v>2014.0</v>
      </c>
      <c r="D208" s="138">
        <v>41707.0</v>
      </c>
      <c r="E208" s="139">
        <v>41707.0</v>
      </c>
      <c r="F208" s="142" t="s">
        <v>222</v>
      </c>
      <c r="G208" s="142">
        <v>2014.0</v>
      </c>
      <c r="H208" s="46">
        <v>2455.0</v>
      </c>
      <c r="I208" s="46">
        <v>9053.0</v>
      </c>
      <c r="J208" s="84">
        <v>989311.84</v>
      </c>
      <c r="K208" s="84">
        <v>324459.52</v>
      </c>
      <c r="L208" s="84">
        <v>664852.32</v>
      </c>
      <c r="M208" s="46" t="s">
        <v>150</v>
      </c>
      <c r="N208" s="46" t="s">
        <v>151</v>
      </c>
      <c r="O208" s="46" t="s">
        <v>146</v>
      </c>
      <c r="P208" s="46" t="s">
        <v>147</v>
      </c>
      <c r="Q208" s="46" t="str">
        <f t="shared" si="1"/>
        <v>March, 2014</v>
      </c>
      <c r="R208" s="115">
        <f t="shared" si="2"/>
        <v>41699</v>
      </c>
      <c r="S208" s="49">
        <f t="array" ref="S208">WEEKDAY(D208,2)</f>
        <v>7</v>
      </c>
      <c r="T208" s="46" t="s">
        <v>94</v>
      </c>
      <c r="U208" s="46" t="str">
        <f t="array" ref="U208">TEXT(D208,"dddd")</f>
        <v>Sunday</v>
      </c>
    </row>
    <row r="209" hidden="1">
      <c r="A209" s="46">
        <v>2.36042392E8</v>
      </c>
      <c r="B209" s="137" t="s">
        <v>225</v>
      </c>
      <c r="C209" s="137">
        <v>2013.0</v>
      </c>
      <c r="D209" s="138">
        <v>41627.0</v>
      </c>
      <c r="E209" s="139">
        <v>41665.0</v>
      </c>
      <c r="F209" s="142" t="s">
        <v>227</v>
      </c>
      <c r="G209" s="142">
        <v>2014.0</v>
      </c>
      <c r="H209" s="46">
        <v>8681.0</v>
      </c>
      <c r="I209" s="46">
        <v>9044.0</v>
      </c>
      <c r="J209" s="84">
        <v>5889543.24</v>
      </c>
      <c r="K209" s="84">
        <v>4747738.24</v>
      </c>
      <c r="L209" s="84">
        <v>1141805.0</v>
      </c>
      <c r="M209" s="46" t="s">
        <v>153</v>
      </c>
      <c r="N209" s="46" t="s">
        <v>163</v>
      </c>
      <c r="O209" s="46" t="s">
        <v>146</v>
      </c>
      <c r="P209" s="46" t="s">
        <v>158</v>
      </c>
      <c r="Q209" s="46" t="str">
        <f t="shared" si="1"/>
        <v>December, 2013</v>
      </c>
      <c r="R209" s="115">
        <f t="shared" si="2"/>
        <v>41609</v>
      </c>
      <c r="S209" s="49">
        <f t="array" ref="S209">WEEKDAY(D209,2)</f>
        <v>4</v>
      </c>
      <c r="T209" s="46" t="s">
        <v>100</v>
      </c>
      <c r="U209" s="46" t="str">
        <f t="array" ref="U209">TEXT(D209,"dddd")</f>
        <v>Thursday</v>
      </c>
    </row>
    <row r="210" hidden="1">
      <c r="A210" s="46">
        <v>2.38170993E8</v>
      </c>
      <c r="B210" s="137" t="s">
        <v>225</v>
      </c>
      <c r="C210" s="137">
        <v>2012.0</v>
      </c>
      <c r="D210" s="138">
        <v>41265.0</v>
      </c>
      <c r="E210" s="139">
        <v>41312.0</v>
      </c>
      <c r="F210" s="142" t="s">
        <v>228</v>
      </c>
      <c r="G210" s="142">
        <v>2013.0</v>
      </c>
      <c r="H210" s="46">
        <v>1270.0</v>
      </c>
      <c r="I210" s="46">
        <v>8944.0</v>
      </c>
      <c r="J210" s="84">
        <v>424392.80000000005</v>
      </c>
      <c r="K210" s="84">
        <v>284329.76</v>
      </c>
      <c r="L210" s="84">
        <v>140063.04000000004</v>
      </c>
      <c r="M210" s="46" t="s">
        <v>152</v>
      </c>
      <c r="N210" s="46" t="s">
        <v>183</v>
      </c>
      <c r="O210" s="46" t="s">
        <v>146</v>
      </c>
      <c r="P210" s="46" t="s">
        <v>170</v>
      </c>
      <c r="Q210" s="46" t="str">
        <f t="shared" si="1"/>
        <v>December, 2012</v>
      </c>
      <c r="R210" s="115">
        <f t="shared" si="2"/>
        <v>41244</v>
      </c>
      <c r="S210" s="49">
        <f t="array" ref="S210">WEEKDAY(D210,2)</f>
        <v>6</v>
      </c>
      <c r="T210" s="46" t="s">
        <v>90</v>
      </c>
      <c r="U210" s="46" t="str">
        <f t="array" ref="U210">TEXT(D210,"dddd")</f>
        <v>Saturday</v>
      </c>
    </row>
    <row r="211" hidden="1">
      <c r="A211" s="46">
        <v>2.39048612E8</v>
      </c>
      <c r="B211" s="137" t="s">
        <v>217</v>
      </c>
      <c r="C211" s="137">
        <v>2016.0</v>
      </c>
      <c r="D211" s="138">
        <v>42568.0</v>
      </c>
      <c r="E211" s="139">
        <v>42577.0</v>
      </c>
      <c r="F211" s="142" t="s">
        <v>217</v>
      </c>
      <c r="G211" s="142">
        <v>2016.0</v>
      </c>
      <c r="H211" s="46">
        <v>3127.0</v>
      </c>
      <c r="I211" s="46">
        <v>8651.0</v>
      </c>
      <c r="J211" s="84">
        <v>707046.23</v>
      </c>
      <c r="K211" s="84">
        <v>490252.17000000004</v>
      </c>
      <c r="L211" s="84">
        <v>216794.05999999994</v>
      </c>
      <c r="M211" s="46" t="s">
        <v>185</v>
      </c>
      <c r="N211" s="46" t="s">
        <v>191</v>
      </c>
      <c r="O211" s="46" t="s">
        <v>146</v>
      </c>
      <c r="P211" s="46" t="s">
        <v>147</v>
      </c>
      <c r="Q211" s="46" t="str">
        <f t="shared" si="1"/>
        <v>July, 2016</v>
      </c>
      <c r="R211" s="115">
        <f t="shared" si="2"/>
        <v>42552</v>
      </c>
      <c r="S211" s="49">
        <f t="array" ref="S211">WEEKDAY(D211,2)</f>
        <v>7</v>
      </c>
      <c r="T211" s="46" t="s">
        <v>120</v>
      </c>
      <c r="U211" s="46" t="str">
        <f t="array" ref="U211">TEXT(D211,"dddd")</f>
        <v>Sunday</v>
      </c>
    </row>
    <row r="212" hidden="1">
      <c r="A212" s="46">
        <v>2.39386355E8</v>
      </c>
      <c r="B212" s="137" t="s">
        <v>222</v>
      </c>
      <c r="C212" s="137">
        <v>2017.0</v>
      </c>
      <c r="D212" s="138">
        <v>42798.0</v>
      </c>
      <c r="E212" s="139">
        <v>42845.0</v>
      </c>
      <c r="F212" s="142" t="s">
        <v>223</v>
      </c>
      <c r="G212" s="142">
        <v>2017.0</v>
      </c>
      <c r="H212" s="46">
        <v>8681.0</v>
      </c>
      <c r="I212" s="46">
        <v>8597.0</v>
      </c>
      <c r="J212" s="84">
        <v>5598452.37</v>
      </c>
      <c r="K212" s="84">
        <v>4513081.12</v>
      </c>
      <c r="L212" s="84">
        <v>1085371.25</v>
      </c>
      <c r="M212" s="46" t="s">
        <v>153</v>
      </c>
      <c r="N212" s="46" t="s">
        <v>191</v>
      </c>
      <c r="O212" s="46" t="s">
        <v>146</v>
      </c>
      <c r="P212" s="46" t="s">
        <v>147</v>
      </c>
      <c r="Q212" s="46" t="str">
        <f t="shared" si="1"/>
        <v>March, 2017</v>
      </c>
      <c r="R212" s="115">
        <f t="shared" si="2"/>
        <v>42795</v>
      </c>
      <c r="S212" s="49">
        <f t="array" ref="S212">WEEKDAY(D212,2)</f>
        <v>6</v>
      </c>
      <c r="T212" s="46" t="s">
        <v>120</v>
      </c>
      <c r="U212" s="46" t="str">
        <f t="array" ref="U212">TEXT(D212,"dddd")</f>
        <v>Saturday</v>
      </c>
    </row>
    <row r="213" hidden="1">
      <c r="A213" s="46">
        <v>2.39554154E8</v>
      </c>
      <c r="B213" s="137" t="s">
        <v>227</v>
      </c>
      <c r="C213" s="137">
        <v>2012.0</v>
      </c>
      <c r="D213" s="138">
        <v>40926.0</v>
      </c>
      <c r="E213" s="139">
        <v>40952.0</v>
      </c>
      <c r="F213" s="142" t="s">
        <v>228</v>
      </c>
      <c r="G213" s="142">
        <v>2012.0</v>
      </c>
      <c r="H213" s="46">
        <v>8681.0</v>
      </c>
      <c r="I213" s="46">
        <v>8253.0</v>
      </c>
      <c r="J213" s="84">
        <v>5374436.13</v>
      </c>
      <c r="K213" s="84">
        <v>4332494.88</v>
      </c>
      <c r="L213" s="84">
        <v>1041941.25</v>
      </c>
      <c r="M213" s="46" t="s">
        <v>153</v>
      </c>
      <c r="N213" s="46" t="s">
        <v>207</v>
      </c>
      <c r="O213" s="46" t="s">
        <v>146</v>
      </c>
      <c r="P213" s="46" t="s">
        <v>170</v>
      </c>
      <c r="Q213" s="46" t="str">
        <f t="shared" si="1"/>
        <v>January, 2012</v>
      </c>
      <c r="R213" s="115">
        <f t="shared" si="2"/>
        <v>40909</v>
      </c>
      <c r="S213" s="49">
        <f t="array" ref="S213">WEEKDAY(D213,2)</f>
        <v>3</v>
      </c>
      <c r="T213" s="46" t="s">
        <v>137</v>
      </c>
      <c r="U213" s="46" t="str">
        <f t="array" ref="U213">TEXT(D213,"dddd")</f>
        <v>Wednesday</v>
      </c>
    </row>
    <row r="214" hidden="1">
      <c r="A214" s="46">
        <v>2.41392648E8</v>
      </c>
      <c r="B214" s="137" t="s">
        <v>228</v>
      </c>
      <c r="C214" s="137">
        <v>2017.0</v>
      </c>
      <c r="D214" s="138">
        <v>42788.0</v>
      </c>
      <c r="E214" s="139">
        <v>42810.0</v>
      </c>
      <c r="F214" s="142" t="s">
        <v>222</v>
      </c>
      <c r="G214" s="142">
        <v>2017.0</v>
      </c>
      <c r="H214" s="46">
        <v>7940.0</v>
      </c>
      <c r="I214" s="46">
        <v>2304.0</v>
      </c>
      <c r="J214" s="84">
        <v>1539694.08</v>
      </c>
      <c r="K214" s="84">
        <v>1157852.1600000001</v>
      </c>
      <c r="L214" s="84">
        <v>381841.9199999999</v>
      </c>
      <c r="M214" s="46" t="s">
        <v>148</v>
      </c>
      <c r="N214" s="46" t="s">
        <v>190</v>
      </c>
      <c r="O214" s="46" t="s">
        <v>146</v>
      </c>
      <c r="P214" s="46" t="s">
        <v>147</v>
      </c>
      <c r="Q214" s="46" t="str">
        <f t="shared" si="1"/>
        <v>February, 2017</v>
      </c>
      <c r="R214" s="115">
        <f t="shared" si="2"/>
        <v>42767</v>
      </c>
      <c r="S214" s="49">
        <f t="array" ref="S214">WEEKDAY(D214,2)</f>
        <v>3</v>
      </c>
      <c r="T214" s="46" t="s">
        <v>119</v>
      </c>
      <c r="U214" s="46" t="str">
        <f t="array" ref="U214">TEXT(D214,"dddd")</f>
        <v>Wednesday</v>
      </c>
    </row>
    <row r="215" hidden="1">
      <c r="A215" s="46">
        <v>2.42168128E8</v>
      </c>
      <c r="B215" s="137" t="s">
        <v>219</v>
      </c>
      <c r="C215" s="137">
        <v>2010.0</v>
      </c>
      <c r="D215" s="138">
        <v>40300.0</v>
      </c>
      <c r="E215" s="139">
        <v>40301.0</v>
      </c>
      <c r="F215" s="142" t="s">
        <v>219</v>
      </c>
      <c r="G215" s="142">
        <v>2010.0</v>
      </c>
      <c r="H215" s="46">
        <v>1270.0</v>
      </c>
      <c r="I215" s="46">
        <v>1785.0</v>
      </c>
      <c r="J215" s="84">
        <v>84698.25</v>
      </c>
      <c r="K215" s="84">
        <v>56745.15</v>
      </c>
      <c r="L215" s="84">
        <v>27953.1</v>
      </c>
      <c r="M215" s="46" t="s">
        <v>152</v>
      </c>
      <c r="N215" s="46" t="s">
        <v>184</v>
      </c>
      <c r="O215" s="46" t="s">
        <v>146</v>
      </c>
      <c r="P215" s="46" t="s">
        <v>155</v>
      </c>
      <c r="Q215" s="46" t="str">
        <f t="shared" si="1"/>
        <v>May, 2010</v>
      </c>
      <c r="R215" s="115">
        <f t="shared" si="2"/>
        <v>40299</v>
      </c>
      <c r="S215" s="49">
        <f t="array" ref="S215">WEEKDAY(D215,2)</f>
        <v>7</v>
      </c>
      <c r="T215" s="46" t="s">
        <v>114</v>
      </c>
      <c r="U215" s="46" t="str">
        <f t="array" ref="U215">TEXT(D215,"dddd")</f>
        <v>Sunday</v>
      </c>
    </row>
    <row r="216" hidden="1">
      <c r="A216" s="46">
        <v>2.42265546E8</v>
      </c>
      <c r="B216" s="137" t="s">
        <v>225</v>
      </c>
      <c r="C216" s="137">
        <v>2011.0</v>
      </c>
      <c r="D216" s="138">
        <v>40883.0</v>
      </c>
      <c r="E216" s="139">
        <v>40915.0</v>
      </c>
      <c r="F216" s="142" t="s">
        <v>227</v>
      </c>
      <c r="G216" s="142">
        <v>2012.0</v>
      </c>
      <c r="H216" s="46">
        <v>4594.0</v>
      </c>
      <c r="I216" s="46">
        <v>614.0</v>
      </c>
      <c r="J216" s="84">
        <v>5728.62</v>
      </c>
      <c r="K216" s="84">
        <v>4248.88</v>
      </c>
      <c r="L216" s="84">
        <v>1479.7399999999998</v>
      </c>
      <c r="M216" s="46" t="s">
        <v>156</v>
      </c>
      <c r="N216" s="46" t="s">
        <v>174</v>
      </c>
      <c r="O216" s="46" t="s">
        <v>146</v>
      </c>
      <c r="P216" s="46" t="s">
        <v>158</v>
      </c>
      <c r="Q216" s="46" t="str">
        <f t="shared" si="1"/>
        <v>December, 2011</v>
      </c>
      <c r="R216" s="115">
        <f t="shared" si="2"/>
        <v>40878</v>
      </c>
      <c r="S216" s="49">
        <f t="array" ref="S216">WEEKDAY(D216,2)</f>
        <v>2</v>
      </c>
      <c r="T216" s="46" t="s">
        <v>107</v>
      </c>
      <c r="U216" s="46" t="str">
        <f t="array" ref="U216">TEXT(D216,"dddd")</f>
        <v>Tuesday</v>
      </c>
    </row>
    <row r="217" hidden="1">
      <c r="A217" s="46">
        <v>2.43070638E8</v>
      </c>
      <c r="B217" s="137" t="s">
        <v>219</v>
      </c>
      <c r="C217" s="137">
        <v>2011.0</v>
      </c>
      <c r="D217" s="138">
        <v>40668.0</v>
      </c>
      <c r="E217" s="139">
        <v>40685.0</v>
      </c>
      <c r="F217" s="142" t="s">
        <v>219</v>
      </c>
      <c r="G217" s="142">
        <v>2011.0</v>
      </c>
      <c r="H217" s="46">
        <v>8681.0</v>
      </c>
      <c r="I217" s="46">
        <v>8858.0</v>
      </c>
      <c r="J217" s="84">
        <v>5768418.180000001</v>
      </c>
      <c r="K217" s="84">
        <v>4650095.680000001</v>
      </c>
      <c r="L217" s="84">
        <v>1118322.5</v>
      </c>
      <c r="M217" s="46" t="s">
        <v>153</v>
      </c>
      <c r="N217" s="46" t="s">
        <v>180</v>
      </c>
      <c r="O217" s="46" t="s">
        <v>146</v>
      </c>
      <c r="P217" s="46" t="s">
        <v>147</v>
      </c>
      <c r="Q217" s="46" t="str">
        <f t="shared" si="1"/>
        <v>May, 2011</v>
      </c>
      <c r="R217" s="115">
        <f t="shared" si="2"/>
        <v>40664</v>
      </c>
      <c r="S217" s="49">
        <f t="array" ref="S217">WEEKDAY(D217,2)</f>
        <v>4</v>
      </c>
      <c r="T217" s="46" t="s">
        <v>112</v>
      </c>
      <c r="U217" s="46" t="str">
        <f t="array" ref="U217">TEXT(D217,"dddd")</f>
        <v>Thursday</v>
      </c>
    </row>
    <row r="218" hidden="1">
      <c r="A218" s="46">
        <v>2.43144452E8</v>
      </c>
      <c r="B218" s="137" t="s">
        <v>220</v>
      </c>
      <c r="C218" s="137">
        <v>2014.0</v>
      </c>
      <c r="D218" s="138">
        <v>41804.0</v>
      </c>
      <c r="E218" s="139">
        <v>41836.0</v>
      </c>
      <c r="F218" s="142" t="s">
        <v>217</v>
      </c>
      <c r="G218" s="142">
        <v>2014.0</v>
      </c>
      <c r="H218" s="46">
        <v>2103.0</v>
      </c>
      <c r="I218" s="46">
        <v>701.0</v>
      </c>
      <c r="J218" s="84">
        <v>144195.69999999998</v>
      </c>
      <c r="K218" s="84">
        <v>82094.11</v>
      </c>
      <c r="L218" s="84">
        <v>62101.58999999998</v>
      </c>
      <c r="M218" s="46" t="s">
        <v>144</v>
      </c>
      <c r="N218" s="46" t="s">
        <v>168</v>
      </c>
      <c r="O218" s="46" t="s">
        <v>165</v>
      </c>
      <c r="P218" s="46" t="s">
        <v>166</v>
      </c>
      <c r="Q218" s="46" t="str">
        <f t="shared" si="1"/>
        <v>June, 2014</v>
      </c>
      <c r="R218" s="115">
        <f t="shared" si="2"/>
        <v>41791</v>
      </c>
      <c r="S218" s="49">
        <f t="array" ref="S218">WEEKDAY(D218,2)</f>
        <v>6</v>
      </c>
      <c r="T218" s="46" t="s">
        <v>102</v>
      </c>
      <c r="U218" s="46" t="str">
        <f t="array" ref="U218">TEXT(D218,"dddd")</f>
        <v>Saturday</v>
      </c>
    </row>
    <row r="219">
      <c r="A219" s="46">
        <v>2.4322642E8</v>
      </c>
      <c r="B219" s="137" t="s">
        <v>220</v>
      </c>
      <c r="C219" s="137">
        <v>2013.0</v>
      </c>
      <c r="D219" s="138">
        <v>41442.0</v>
      </c>
      <c r="E219" s="139">
        <v>41458.0</v>
      </c>
      <c r="F219" s="142" t="s">
        <v>217</v>
      </c>
      <c r="G219" s="142">
        <v>2013.0</v>
      </c>
      <c r="H219" s="46">
        <v>1270.0</v>
      </c>
      <c r="I219" s="46">
        <v>4958.0</v>
      </c>
      <c r="J219" s="84">
        <v>235257.1</v>
      </c>
      <c r="K219" s="84">
        <v>157614.82</v>
      </c>
      <c r="L219" s="84">
        <v>77642.28</v>
      </c>
      <c r="M219" s="46" t="s">
        <v>152</v>
      </c>
      <c r="N219" s="46" t="s">
        <v>149</v>
      </c>
      <c r="O219" s="46" t="s">
        <v>149</v>
      </c>
      <c r="P219" s="46" t="s">
        <v>218</v>
      </c>
      <c r="Q219" s="46" t="str">
        <f t="shared" si="1"/>
        <v>June, 2013</v>
      </c>
      <c r="R219" s="115">
        <f t="shared" si="2"/>
        <v>41426</v>
      </c>
      <c r="S219" s="49">
        <f t="array" ref="S219">WEEKDAY(D219,2)</f>
        <v>1</v>
      </c>
      <c r="T219" s="46" t="s">
        <v>92</v>
      </c>
      <c r="U219" s="46" t="str">
        <f t="array" ref="U219">TEXT(D219,"dddd")</f>
        <v>Monday</v>
      </c>
    </row>
    <row r="220" hidden="1">
      <c r="A220" s="46">
        <v>2.43340575E8</v>
      </c>
      <c r="B220" s="137" t="s">
        <v>216</v>
      </c>
      <c r="C220" s="137">
        <v>2016.0</v>
      </c>
      <c r="D220" s="138">
        <v>42588.0</v>
      </c>
      <c r="E220" s="139">
        <v>42617.0</v>
      </c>
      <c r="F220" s="142" t="s">
        <v>221</v>
      </c>
      <c r="G220" s="142">
        <v>2016.0</v>
      </c>
      <c r="H220" s="46">
        <v>1270.0</v>
      </c>
      <c r="I220" s="46">
        <v>8739.0</v>
      </c>
      <c r="J220" s="84">
        <v>414665.55000000005</v>
      </c>
      <c r="K220" s="84">
        <v>277812.81</v>
      </c>
      <c r="L220" s="84">
        <v>136852.74000000005</v>
      </c>
      <c r="M220" s="46" t="s">
        <v>152</v>
      </c>
      <c r="N220" s="46" t="s">
        <v>151</v>
      </c>
      <c r="O220" s="46" t="s">
        <v>146</v>
      </c>
      <c r="P220" s="46" t="s">
        <v>147</v>
      </c>
      <c r="Q220" s="46" t="str">
        <f t="shared" si="1"/>
        <v>August, 2016</v>
      </c>
      <c r="R220" s="115">
        <f t="shared" si="2"/>
        <v>42583</v>
      </c>
      <c r="S220" s="49">
        <f t="array" ref="S220">WEEKDAY(D220,2)</f>
        <v>6</v>
      </c>
      <c r="T220" s="46" t="s">
        <v>94</v>
      </c>
      <c r="U220" s="46" t="str">
        <f t="array" ref="U220">TEXT(D220,"dddd")</f>
        <v>Saturday</v>
      </c>
    </row>
    <row r="221" hidden="1">
      <c r="A221" s="46">
        <v>2.43391644E8</v>
      </c>
      <c r="B221" s="137" t="s">
        <v>220</v>
      </c>
      <c r="C221" s="137">
        <v>2010.0</v>
      </c>
      <c r="D221" s="138">
        <v>40335.0</v>
      </c>
      <c r="E221" s="139">
        <v>40356.0</v>
      </c>
      <c r="F221" s="142" t="s">
        <v>220</v>
      </c>
      <c r="G221" s="142">
        <v>2010.0</v>
      </c>
      <c r="H221" s="46">
        <v>3127.0</v>
      </c>
      <c r="I221" s="46">
        <v>3851.0</v>
      </c>
      <c r="J221" s="84">
        <v>314742.23000000004</v>
      </c>
      <c r="K221" s="84">
        <v>218236.17</v>
      </c>
      <c r="L221" s="84">
        <v>96506.06000000003</v>
      </c>
      <c r="M221" s="46" t="s">
        <v>185</v>
      </c>
      <c r="N221" s="46" t="s">
        <v>171</v>
      </c>
      <c r="O221" s="46" t="s">
        <v>146</v>
      </c>
      <c r="P221" s="46" t="s">
        <v>147</v>
      </c>
      <c r="Q221" s="46" t="str">
        <f t="shared" si="1"/>
        <v>June, 2010</v>
      </c>
      <c r="R221" s="115">
        <f t="shared" si="2"/>
        <v>40330</v>
      </c>
      <c r="S221" s="49">
        <f t="array" ref="S221">WEEKDAY(D221,2)</f>
        <v>7</v>
      </c>
      <c r="T221" s="46" t="s">
        <v>104</v>
      </c>
      <c r="U221" s="46" t="str">
        <f t="array" ref="U221">TEXT(D221,"dddd")</f>
        <v>Sunday</v>
      </c>
    </row>
    <row r="222" hidden="1">
      <c r="A222" s="46">
        <v>2.43521249E8</v>
      </c>
      <c r="B222" s="137" t="s">
        <v>228</v>
      </c>
      <c r="C222" s="137">
        <v>2016.0</v>
      </c>
      <c r="D222" s="138">
        <v>42426.0</v>
      </c>
      <c r="E222" s="139">
        <v>42457.0</v>
      </c>
      <c r="F222" s="142" t="s">
        <v>222</v>
      </c>
      <c r="G222" s="142">
        <v>2016.0</v>
      </c>
      <c r="H222" s="46">
        <v>8293.0</v>
      </c>
      <c r="I222" s="46">
        <v>2204.0</v>
      </c>
      <c r="J222" s="84">
        <v>963588.7999999999</v>
      </c>
      <c r="K222" s="84">
        <v>580379.32</v>
      </c>
      <c r="L222" s="84">
        <v>383209.48</v>
      </c>
      <c r="M222" s="46" t="s">
        <v>178</v>
      </c>
      <c r="N222" s="46" t="s">
        <v>193</v>
      </c>
      <c r="O222" s="46" t="s">
        <v>146</v>
      </c>
      <c r="P222" s="46" t="s">
        <v>158</v>
      </c>
      <c r="Q222" s="46" t="str">
        <f t="shared" si="1"/>
        <v>February, 2016</v>
      </c>
      <c r="R222" s="115">
        <f t="shared" si="2"/>
        <v>42401</v>
      </c>
      <c r="S222" s="49">
        <f t="array" ref="S222">WEEKDAY(D222,2)</f>
        <v>5</v>
      </c>
      <c r="T222" s="46" t="s">
        <v>122</v>
      </c>
      <c r="U222" s="46" t="str">
        <f t="array" ref="U222">TEXT(D222,"dddd")</f>
        <v>Friday</v>
      </c>
    </row>
    <row r="223" hidden="1">
      <c r="A223" s="46">
        <v>2.43684327E8</v>
      </c>
      <c r="B223" s="137" t="s">
        <v>219</v>
      </c>
      <c r="C223" s="137">
        <v>2017.0</v>
      </c>
      <c r="D223" s="138">
        <v>42878.0</v>
      </c>
      <c r="E223" s="139">
        <v>42885.0</v>
      </c>
      <c r="F223" s="142" t="s">
        <v>219</v>
      </c>
      <c r="G223" s="142">
        <v>2017.0</v>
      </c>
      <c r="H223" s="46">
        <v>7331.0</v>
      </c>
      <c r="I223" s="46">
        <v>462.0</v>
      </c>
      <c r="J223" s="84">
        <v>117939.36</v>
      </c>
      <c r="K223" s="84">
        <v>73652.04</v>
      </c>
      <c r="L223" s="84">
        <v>44287.32000000001</v>
      </c>
      <c r="M223" s="46" t="s">
        <v>161</v>
      </c>
      <c r="N223" s="46" t="s">
        <v>198</v>
      </c>
      <c r="O223" s="46" t="s">
        <v>146</v>
      </c>
      <c r="P223" s="46" t="s">
        <v>170</v>
      </c>
      <c r="Q223" s="46" t="str">
        <f t="shared" si="1"/>
        <v>May, 2017</v>
      </c>
      <c r="R223" s="115">
        <f t="shared" si="2"/>
        <v>42856</v>
      </c>
      <c r="S223" s="49">
        <f t="array" ref="S223">WEEKDAY(D223,2)</f>
        <v>2</v>
      </c>
      <c r="T223" s="46" t="s">
        <v>127</v>
      </c>
      <c r="U223" s="46" t="str">
        <f t="array" ref="U223">TEXT(D223,"dddd")</f>
        <v>Tuesday</v>
      </c>
    </row>
    <row r="224" hidden="1">
      <c r="A224" s="46">
        <v>2.44023358E8</v>
      </c>
      <c r="B224" s="137" t="s">
        <v>225</v>
      </c>
      <c r="C224" s="137">
        <v>2016.0</v>
      </c>
      <c r="D224" s="138">
        <v>42725.0</v>
      </c>
      <c r="E224" s="139">
        <v>42757.0</v>
      </c>
      <c r="F224" s="142" t="s">
        <v>227</v>
      </c>
      <c r="G224" s="142">
        <v>2017.0</v>
      </c>
      <c r="H224" s="46">
        <v>1270.0</v>
      </c>
      <c r="I224" s="46">
        <v>789.0</v>
      </c>
      <c r="J224" s="84">
        <v>37438.05</v>
      </c>
      <c r="K224" s="84">
        <v>25082.309999999998</v>
      </c>
      <c r="L224" s="84">
        <v>12355.740000000005</v>
      </c>
      <c r="M224" s="46" t="s">
        <v>152</v>
      </c>
      <c r="N224" s="46" t="s">
        <v>176</v>
      </c>
      <c r="O224" s="46" t="s">
        <v>146</v>
      </c>
      <c r="P224" s="46" t="s">
        <v>158</v>
      </c>
      <c r="Q224" s="46" t="str">
        <f t="shared" si="1"/>
        <v>December, 2016</v>
      </c>
      <c r="R224" s="115">
        <f t="shared" si="2"/>
        <v>42705</v>
      </c>
      <c r="S224" s="49">
        <f t="array" ref="S224">WEEKDAY(D224,2)</f>
        <v>3</v>
      </c>
      <c r="T224" s="46" t="s">
        <v>109</v>
      </c>
      <c r="U224" s="46" t="str">
        <f t="array" ref="U224">TEXT(D224,"dddd")</f>
        <v>Wednesday</v>
      </c>
    </row>
    <row r="225" hidden="1">
      <c r="A225" s="46">
        <v>2.45440852E8</v>
      </c>
      <c r="B225" s="137" t="s">
        <v>224</v>
      </c>
      <c r="C225" s="137">
        <v>2015.0</v>
      </c>
      <c r="D225" s="138">
        <v>42336.0</v>
      </c>
      <c r="E225" s="139">
        <v>42355.0</v>
      </c>
      <c r="F225" s="142" t="s">
        <v>225</v>
      </c>
      <c r="G225" s="142">
        <v>2015.0</v>
      </c>
      <c r="H225" s="46">
        <v>8875.0</v>
      </c>
      <c r="I225" s="46">
        <v>257.0</v>
      </c>
      <c r="J225" s="84">
        <v>108425.73</v>
      </c>
      <c r="K225" s="84">
        <v>93725.33</v>
      </c>
      <c r="L225" s="84">
        <v>14700.399999999994</v>
      </c>
      <c r="M225" s="46" t="s">
        <v>167</v>
      </c>
      <c r="N225" s="46" t="s">
        <v>157</v>
      </c>
      <c r="O225" s="46" t="s">
        <v>146</v>
      </c>
      <c r="P225" s="46" t="s">
        <v>158</v>
      </c>
      <c r="Q225" s="46" t="str">
        <f t="shared" si="1"/>
        <v>November, 2015</v>
      </c>
      <c r="R225" s="115">
        <f t="shared" si="2"/>
        <v>42309</v>
      </c>
      <c r="S225" s="49">
        <f t="array" ref="S225">WEEKDAY(D225,2)</f>
        <v>6</v>
      </c>
      <c r="T225" s="46" t="s">
        <v>97</v>
      </c>
      <c r="U225" s="46" t="str">
        <f t="array" ref="U225">TEXT(D225,"dddd")</f>
        <v>Saturday</v>
      </c>
    </row>
    <row r="226" hidden="1">
      <c r="A226" s="46">
        <v>2.45556294E8</v>
      </c>
      <c r="B226" s="137" t="s">
        <v>220</v>
      </c>
      <c r="C226" s="137">
        <v>2010.0</v>
      </c>
      <c r="D226" s="138">
        <v>40334.0</v>
      </c>
      <c r="E226" s="139">
        <v>40354.0</v>
      </c>
      <c r="F226" s="142" t="s">
        <v>220</v>
      </c>
      <c r="G226" s="142">
        <v>2010.0</v>
      </c>
      <c r="H226" s="46">
        <v>3127.0</v>
      </c>
      <c r="I226" s="46">
        <v>4419.0</v>
      </c>
      <c r="J226" s="84">
        <v>361164.87</v>
      </c>
      <c r="K226" s="84">
        <v>250424.73</v>
      </c>
      <c r="L226" s="84">
        <v>110740.13999999998</v>
      </c>
      <c r="M226" s="46" t="s">
        <v>185</v>
      </c>
      <c r="N226" s="46" t="s">
        <v>199</v>
      </c>
      <c r="O226" s="46" t="s">
        <v>146</v>
      </c>
      <c r="P226" s="46" t="s">
        <v>147</v>
      </c>
      <c r="Q226" s="46" t="str">
        <f t="shared" si="1"/>
        <v>June, 2010</v>
      </c>
      <c r="R226" s="115">
        <f t="shared" si="2"/>
        <v>40330</v>
      </c>
      <c r="S226" s="49">
        <f t="array" ref="S226">WEEKDAY(D226,2)</f>
        <v>6</v>
      </c>
      <c r="T226" s="46" t="s">
        <v>128</v>
      </c>
      <c r="U226" s="46" t="str">
        <f t="array" ref="U226">TEXT(D226,"dddd")</f>
        <v>Saturday</v>
      </c>
    </row>
    <row r="227" hidden="1">
      <c r="A227" s="46">
        <v>2.46603858E8</v>
      </c>
      <c r="B227" s="137" t="s">
        <v>222</v>
      </c>
      <c r="C227" s="137">
        <v>2012.0</v>
      </c>
      <c r="D227" s="138">
        <v>40973.0</v>
      </c>
      <c r="E227" s="139">
        <v>41014.0</v>
      </c>
      <c r="F227" s="142" t="s">
        <v>223</v>
      </c>
      <c r="G227" s="142">
        <v>2012.0</v>
      </c>
      <c r="H227" s="46">
        <v>8293.0</v>
      </c>
      <c r="I227" s="46">
        <v>4417.0</v>
      </c>
      <c r="J227" s="84">
        <v>1931112.4</v>
      </c>
      <c r="K227" s="84">
        <v>1163128.6099999999</v>
      </c>
      <c r="L227" s="84">
        <v>767983.79</v>
      </c>
      <c r="M227" s="46" t="s">
        <v>178</v>
      </c>
      <c r="N227" s="46" t="s">
        <v>195</v>
      </c>
      <c r="O227" s="46" t="s">
        <v>146</v>
      </c>
      <c r="P227" s="46" t="s">
        <v>170</v>
      </c>
      <c r="Q227" s="46" t="str">
        <f t="shared" si="1"/>
        <v>March, 2012</v>
      </c>
      <c r="R227" s="115">
        <f t="shared" si="2"/>
        <v>40969</v>
      </c>
      <c r="S227" s="49">
        <f t="array" ref="S227">WEEKDAY(D227,2)</f>
        <v>1</v>
      </c>
      <c r="T227" s="46" t="s">
        <v>124</v>
      </c>
      <c r="U227" s="46" t="str">
        <f t="array" ref="U227">TEXT(D227,"dddd")</f>
        <v>Monday</v>
      </c>
    </row>
    <row r="228" hidden="1">
      <c r="A228" s="46">
        <v>2.46922719E8</v>
      </c>
      <c r="B228" s="137" t="s">
        <v>217</v>
      </c>
      <c r="C228" s="137">
        <v>2015.0</v>
      </c>
      <c r="D228" s="138">
        <v>42198.0</v>
      </c>
      <c r="E228" s="139">
        <v>42214.0</v>
      </c>
      <c r="F228" s="142" t="s">
        <v>217</v>
      </c>
      <c r="G228" s="142">
        <v>2015.0</v>
      </c>
      <c r="H228" s="46">
        <v>8681.0</v>
      </c>
      <c r="I228" s="46">
        <v>8775.0</v>
      </c>
      <c r="J228" s="84">
        <v>5714367.75</v>
      </c>
      <c r="K228" s="84">
        <v>4606524.0</v>
      </c>
      <c r="L228" s="84">
        <v>1107843.75</v>
      </c>
      <c r="M228" s="46" t="s">
        <v>153</v>
      </c>
      <c r="N228" s="46" t="s">
        <v>202</v>
      </c>
      <c r="O228" s="46" t="s">
        <v>146</v>
      </c>
      <c r="P228" s="46" t="s">
        <v>147</v>
      </c>
      <c r="Q228" s="46" t="str">
        <f t="shared" si="1"/>
        <v>July, 2015</v>
      </c>
      <c r="R228" s="115">
        <f t="shared" si="2"/>
        <v>42186</v>
      </c>
      <c r="S228" s="49">
        <f t="array" ref="S228">WEEKDAY(D228,2)</f>
        <v>1</v>
      </c>
      <c r="T228" s="46" t="s">
        <v>131</v>
      </c>
      <c r="U228" s="46" t="str">
        <f t="array" ref="U228">TEXT(D228,"dddd")</f>
        <v>Monday</v>
      </c>
    </row>
    <row r="229" hidden="1">
      <c r="A229" s="46">
        <v>2.49039304E8</v>
      </c>
      <c r="B229" s="137" t="s">
        <v>222</v>
      </c>
      <c r="C229" s="137">
        <v>2014.0</v>
      </c>
      <c r="D229" s="138">
        <v>41715.0</v>
      </c>
      <c r="E229" s="139">
        <v>41760.0</v>
      </c>
      <c r="F229" s="142" t="s">
        <v>219</v>
      </c>
      <c r="G229" s="142">
        <v>2014.0</v>
      </c>
      <c r="H229" s="46">
        <v>5988.0</v>
      </c>
      <c r="I229" s="46">
        <v>5119.0</v>
      </c>
      <c r="J229" s="84">
        <v>788633.14</v>
      </c>
      <c r="K229" s="84">
        <v>465470.67000000004</v>
      </c>
      <c r="L229" s="84">
        <v>323162.47</v>
      </c>
      <c r="M229" s="46" t="s">
        <v>159</v>
      </c>
      <c r="N229" s="46" t="s">
        <v>179</v>
      </c>
      <c r="O229" s="46" t="s">
        <v>146</v>
      </c>
      <c r="P229" s="46" t="s">
        <v>155</v>
      </c>
      <c r="Q229" s="46" t="str">
        <f t="shared" si="1"/>
        <v>March, 2014</v>
      </c>
      <c r="R229" s="115">
        <f t="shared" si="2"/>
        <v>41699</v>
      </c>
      <c r="S229" s="49">
        <f t="array" ref="S229">WEEKDAY(D229,2)</f>
        <v>1</v>
      </c>
      <c r="T229" s="46" t="s">
        <v>111</v>
      </c>
      <c r="U229" s="46" t="str">
        <f t="array" ref="U229">TEXT(D229,"dddd")</f>
        <v>Monday</v>
      </c>
    </row>
    <row r="230" hidden="1">
      <c r="A230" s="46">
        <v>2.49606645E8</v>
      </c>
      <c r="B230" s="137" t="s">
        <v>220</v>
      </c>
      <c r="C230" s="137">
        <v>2012.0</v>
      </c>
      <c r="D230" s="138">
        <v>41089.0</v>
      </c>
      <c r="E230" s="139">
        <v>41135.0</v>
      </c>
      <c r="F230" s="142" t="s">
        <v>216</v>
      </c>
      <c r="G230" s="142">
        <v>2012.0</v>
      </c>
      <c r="H230" s="46">
        <v>4594.0</v>
      </c>
      <c r="I230" s="46">
        <v>3008.0</v>
      </c>
      <c r="J230" s="84">
        <v>28064.64</v>
      </c>
      <c r="K230" s="84">
        <v>20815.36</v>
      </c>
      <c r="L230" s="84">
        <v>7249.279999999999</v>
      </c>
      <c r="M230" s="46" t="s">
        <v>156</v>
      </c>
      <c r="N230" s="46" t="s">
        <v>200</v>
      </c>
      <c r="O230" s="46" t="s">
        <v>146</v>
      </c>
      <c r="P230" s="46" t="s">
        <v>158</v>
      </c>
      <c r="Q230" s="46" t="str">
        <f t="shared" si="1"/>
        <v>June, 2012</v>
      </c>
      <c r="R230" s="115">
        <f t="shared" si="2"/>
        <v>41061</v>
      </c>
      <c r="S230" s="49">
        <f t="array" ref="S230">WEEKDAY(D230,2)</f>
        <v>5</v>
      </c>
      <c r="T230" s="46" t="s">
        <v>129</v>
      </c>
      <c r="U230" s="46" t="str">
        <f t="array" ref="U230">TEXT(D230,"dddd")</f>
        <v>Friday</v>
      </c>
    </row>
    <row r="231" hidden="1">
      <c r="A231" s="46">
        <v>2.49765861E8</v>
      </c>
      <c r="B231" s="137" t="s">
        <v>224</v>
      </c>
      <c r="C231" s="137">
        <v>2016.0</v>
      </c>
      <c r="D231" s="138">
        <v>42687.0</v>
      </c>
      <c r="E231" s="139">
        <v>42698.0</v>
      </c>
      <c r="F231" s="142" t="s">
        <v>224</v>
      </c>
      <c r="G231" s="142">
        <v>2016.0</v>
      </c>
      <c r="H231" s="46">
        <v>2455.0</v>
      </c>
      <c r="I231" s="46">
        <v>123.0</v>
      </c>
      <c r="J231" s="84">
        <v>13441.44</v>
      </c>
      <c r="K231" s="84">
        <v>4408.320000000001</v>
      </c>
      <c r="L231" s="84">
        <v>9033.119999999999</v>
      </c>
      <c r="M231" s="46" t="s">
        <v>150</v>
      </c>
      <c r="N231" s="46" t="s">
        <v>169</v>
      </c>
      <c r="O231" s="46" t="s">
        <v>146</v>
      </c>
      <c r="P231" s="46" t="s">
        <v>170</v>
      </c>
      <c r="Q231" s="46" t="str">
        <f t="shared" si="1"/>
        <v>November, 2016</v>
      </c>
      <c r="R231" s="115">
        <f t="shared" si="2"/>
        <v>42675</v>
      </c>
      <c r="S231" s="49">
        <f t="array" ref="S231">WEEKDAY(D231,2)</f>
        <v>7</v>
      </c>
      <c r="T231" s="46" t="s">
        <v>103</v>
      </c>
      <c r="U231" s="46" t="str">
        <f t="array" ref="U231">TEXT(D231,"dddd")</f>
        <v>Sunday</v>
      </c>
    </row>
    <row r="232" hidden="1">
      <c r="A232" s="46">
        <v>2.50848186E8</v>
      </c>
      <c r="B232" s="137" t="s">
        <v>227</v>
      </c>
      <c r="C232" s="137">
        <v>2013.0</v>
      </c>
      <c r="D232" s="138">
        <v>41304.0</v>
      </c>
      <c r="E232" s="139">
        <v>41340.0</v>
      </c>
      <c r="F232" s="142" t="s">
        <v>222</v>
      </c>
      <c r="G232" s="142">
        <v>2013.0</v>
      </c>
      <c r="H232" s="46">
        <v>2455.0</v>
      </c>
      <c r="I232" s="46">
        <v>407.0</v>
      </c>
      <c r="J232" s="84">
        <v>44476.96</v>
      </c>
      <c r="K232" s="84">
        <v>14586.880000000001</v>
      </c>
      <c r="L232" s="84">
        <v>29890.079999999998</v>
      </c>
      <c r="M232" s="46" t="s">
        <v>150</v>
      </c>
      <c r="N232" s="46" t="s">
        <v>174</v>
      </c>
      <c r="O232" s="46" t="s">
        <v>146</v>
      </c>
      <c r="P232" s="46" t="s">
        <v>158</v>
      </c>
      <c r="Q232" s="46" t="str">
        <f t="shared" si="1"/>
        <v>January, 2013</v>
      </c>
      <c r="R232" s="115">
        <f t="shared" si="2"/>
        <v>41275</v>
      </c>
      <c r="S232" s="49">
        <f t="array" ref="S232">WEEKDAY(D232,2)</f>
        <v>3</v>
      </c>
      <c r="T232" s="46" t="s">
        <v>107</v>
      </c>
      <c r="U232" s="46" t="str">
        <f t="array" ref="U232">TEXT(D232,"dddd")</f>
        <v>Wednesday</v>
      </c>
    </row>
    <row r="233" hidden="1">
      <c r="A233" s="46">
        <v>2.51208674E8</v>
      </c>
      <c r="B233" s="137" t="s">
        <v>220</v>
      </c>
      <c r="C233" s="137">
        <v>2015.0</v>
      </c>
      <c r="D233" s="138">
        <v>42157.0</v>
      </c>
      <c r="E233" s="139">
        <v>42204.0</v>
      </c>
      <c r="F233" s="142" t="s">
        <v>217</v>
      </c>
      <c r="G233" s="142">
        <v>2015.0</v>
      </c>
      <c r="H233" s="46">
        <v>8875.0</v>
      </c>
      <c r="I233" s="46">
        <v>7084.0</v>
      </c>
      <c r="J233" s="84">
        <v>2988668.76</v>
      </c>
      <c r="K233" s="84">
        <v>2583463.96</v>
      </c>
      <c r="L233" s="84">
        <v>405204.7999999998</v>
      </c>
      <c r="M233" s="46" t="s">
        <v>167</v>
      </c>
      <c r="N233" s="46" t="s">
        <v>164</v>
      </c>
      <c r="O233" s="46" t="s">
        <v>165</v>
      </c>
      <c r="P233" s="46" t="s">
        <v>166</v>
      </c>
      <c r="Q233" s="46" t="str">
        <f t="shared" si="1"/>
        <v>June, 2015</v>
      </c>
      <c r="R233" s="115">
        <f t="shared" si="2"/>
        <v>42156</v>
      </c>
      <c r="S233" s="49">
        <f t="array" ref="S233">WEEKDAY(D233,2)</f>
        <v>2</v>
      </c>
      <c r="T233" s="46" t="s">
        <v>101</v>
      </c>
      <c r="U233" s="46" t="str">
        <f t="array" ref="U233">TEXT(D233,"dddd")</f>
        <v>Tuesday</v>
      </c>
    </row>
    <row r="234" hidden="1">
      <c r="A234" s="46">
        <v>2.51823222E8</v>
      </c>
      <c r="B234" s="137" t="s">
        <v>221</v>
      </c>
      <c r="C234" s="137">
        <v>2010.0</v>
      </c>
      <c r="D234" s="138">
        <v>40424.0</v>
      </c>
      <c r="E234" s="139">
        <v>40452.0</v>
      </c>
      <c r="F234" s="142" t="s">
        <v>226</v>
      </c>
      <c r="G234" s="142">
        <v>2010.0</v>
      </c>
      <c r="H234" s="46">
        <v>2455.0</v>
      </c>
      <c r="I234" s="46">
        <v>8942.0</v>
      </c>
      <c r="J234" s="84">
        <v>977181.76</v>
      </c>
      <c r="K234" s="84">
        <v>320481.28</v>
      </c>
      <c r="L234" s="84">
        <v>656700.48</v>
      </c>
      <c r="M234" s="46" t="s">
        <v>150</v>
      </c>
      <c r="N234" s="46" t="s">
        <v>169</v>
      </c>
      <c r="O234" s="46" t="s">
        <v>146</v>
      </c>
      <c r="P234" s="46" t="s">
        <v>170</v>
      </c>
      <c r="Q234" s="46" t="str">
        <f t="shared" si="1"/>
        <v>September, 2010</v>
      </c>
      <c r="R234" s="115">
        <f t="shared" si="2"/>
        <v>40422</v>
      </c>
      <c r="S234" s="49">
        <f t="array" ref="S234">WEEKDAY(D234,2)</f>
        <v>5</v>
      </c>
      <c r="T234" s="46" t="s">
        <v>103</v>
      </c>
      <c r="U234" s="46" t="str">
        <f t="array" ref="U234">TEXT(D234,"dddd")</f>
        <v>Friday</v>
      </c>
    </row>
    <row r="235">
      <c r="A235" s="46">
        <v>2.51907765E8</v>
      </c>
      <c r="B235" s="137" t="s">
        <v>222</v>
      </c>
      <c r="C235" s="137">
        <v>2015.0</v>
      </c>
      <c r="D235" s="138">
        <v>42064.0</v>
      </c>
      <c r="E235" s="139">
        <v>42101.0</v>
      </c>
      <c r="F235" s="142" t="s">
        <v>223</v>
      </c>
      <c r="G235" s="142">
        <v>2015.0</v>
      </c>
      <c r="H235" s="46">
        <v>8969.0</v>
      </c>
      <c r="I235" s="46">
        <v>3961.0</v>
      </c>
      <c r="J235" s="84">
        <v>604369.38</v>
      </c>
      <c r="K235" s="84">
        <v>385959.83999999997</v>
      </c>
      <c r="L235" s="84">
        <v>218409.54000000004</v>
      </c>
      <c r="M235" s="46" t="s">
        <v>182</v>
      </c>
      <c r="N235" s="46" t="s">
        <v>149</v>
      </c>
      <c r="O235" s="46" t="s">
        <v>149</v>
      </c>
      <c r="P235" s="46" t="s">
        <v>218</v>
      </c>
      <c r="Q235" s="46" t="str">
        <f t="shared" si="1"/>
        <v>March, 2015</v>
      </c>
      <c r="R235" s="115">
        <f t="shared" si="2"/>
        <v>42064</v>
      </c>
      <c r="S235" s="49">
        <f t="array" ref="S235">WEEKDAY(D235,2)</f>
        <v>7</v>
      </c>
      <c r="T235" s="46" t="s">
        <v>92</v>
      </c>
      <c r="U235" s="46" t="str">
        <f t="array" ref="U235">TEXT(D235,"dddd")</f>
        <v>Sunday</v>
      </c>
    </row>
    <row r="236">
      <c r="A236" s="46">
        <v>2.52541625E8</v>
      </c>
      <c r="B236" s="137" t="s">
        <v>220</v>
      </c>
      <c r="C236" s="137">
        <v>2017.0</v>
      </c>
      <c r="D236" s="138">
        <v>42895.0</v>
      </c>
      <c r="E236" s="139">
        <v>42921.0</v>
      </c>
      <c r="F236" s="142" t="s">
        <v>217</v>
      </c>
      <c r="G236" s="142">
        <v>2017.0</v>
      </c>
      <c r="H236" s="46">
        <v>7331.0</v>
      </c>
      <c r="I236" s="46">
        <v>1534.0</v>
      </c>
      <c r="J236" s="84">
        <v>391599.52</v>
      </c>
      <c r="K236" s="84">
        <v>244550.27999999997</v>
      </c>
      <c r="L236" s="84">
        <v>147049.24000000005</v>
      </c>
      <c r="M236" s="46" t="s">
        <v>161</v>
      </c>
      <c r="N236" s="46" t="s">
        <v>149</v>
      </c>
      <c r="O236" s="46" t="s">
        <v>149</v>
      </c>
      <c r="P236" s="46" t="s">
        <v>218</v>
      </c>
      <c r="Q236" s="46" t="str">
        <f t="shared" si="1"/>
        <v>June, 2017</v>
      </c>
      <c r="R236" s="115">
        <f t="shared" si="2"/>
        <v>42887</v>
      </c>
      <c r="S236" s="49">
        <f t="array" ref="S236">WEEKDAY(D236,2)</f>
        <v>5</v>
      </c>
      <c r="T236" s="46" t="s">
        <v>92</v>
      </c>
      <c r="U236" s="46" t="str">
        <f t="array" ref="U236">TEXT(D236,"dddd")</f>
        <v>Friday</v>
      </c>
    </row>
    <row r="237" hidden="1">
      <c r="A237" s="46">
        <v>2.53055322E8</v>
      </c>
      <c r="B237" s="137" t="s">
        <v>219</v>
      </c>
      <c r="C237" s="137">
        <v>2016.0</v>
      </c>
      <c r="D237" s="138">
        <v>42521.0</v>
      </c>
      <c r="E237" s="139">
        <v>42533.0</v>
      </c>
      <c r="F237" s="142" t="s">
        <v>220</v>
      </c>
      <c r="G237" s="142">
        <v>2016.0</v>
      </c>
      <c r="H237" s="46">
        <v>1270.0</v>
      </c>
      <c r="I237" s="46">
        <v>3548.0</v>
      </c>
      <c r="J237" s="84">
        <v>168352.6</v>
      </c>
      <c r="K237" s="84">
        <v>112790.92</v>
      </c>
      <c r="L237" s="84">
        <v>55561.68000000001</v>
      </c>
      <c r="M237" s="46" t="s">
        <v>152</v>
      </c>
      <c r="N237" s="46" t="s">
        <v>172</v>
      </c>
      <c r="O237" s="46" t="s">
        <v>146</v>
      </c>
      <c r="P237" s="46" t="s">
        <v>155</v>
      </c>
      <c r="Q237" s="46" t="str">
        <f t="shared" si="1"/>
        <v>May, 2016</v>
      </c>
      <c r="R237" s="115">
        <f t="shared" si="2"/>
        <v>42491</v>
      </c>
      <c r="S237" s="49">
        <f t="array" ref="S237">WEEKDAY(D237,2)</f>
        <v>2</v>
      </c>
      <c r="T237" s="46" t="s">
        <v>105</v>
      </c>
      <c r="U237" s="46" t="str">
        <f t="array" ref="U237">TEXT(D237,"dddd")</f>
        <v>Tuesday</v>
      </c>
    </row>
    <row r="238" hidden="1">
      <c r="A238" s="46">
        <v>2.53211104E8</v>
      </c>
      <c r="B238" s="137" t="s">
        <v>225</v>
      </c>
      <c r="C238" s="137">
        <v>2010.0</v>
      </c>
      <c r="D238" s="138">
        <v>40528.0</v>
      </c>
      <c r="E238" s="139">
        <v>40539.0</v>
      </c>
      <c r="F238" s="142" t="s">
        <v>225</v>
      </c>
      <c r="G238" s="142">
        <v>2010.0</v>
      </c>
      <c r="H238" s="46">
        <v>8681.0</v>
      </c>
      <c r="I238" s="46">
        <v>9648.0</v>
      </c>
      <c r="J238" s="84">
        <v>6282874.08</v>
      </c>
      <c r="K238" s="84">
        <v>5064814.08</v>
      </c>
      <c r="L238" s="84">
        <v>1218060.0</v>
      </c>
      <c r="M238" s="46" t="s">
        <v>153</v>
      </c>
      <c r="N238" s="46" t="s">
        <v>179</v>
      </c>
      <c r="O238" s="46" t="s">
        <v>146</v>
      </c>
      <c r="P238" s="46" t="s">
        <v>155</v>
      </c>
      <c r="Q238" s="46" t="str">
        <f t="shared" si="1"/>
        <v>December, 2010</v>
      </c>
      <c r="R238" s="115">
        <f t="shared" si="2"/>
        <v>40513</v>
      </c>
      <c r="S238" s="49">
        <f t="array" ref="S238">WEEKDAY(D238,2)</f>
        <v>4</v>
      </c>
      <c r="T238" s="46" t="s">
        <v>111</v>
      </c>
      <c r="U238" s="46" t="str">
        <f t="array" ref="U238">TEXT(D238,"dddd")</f>
        <v>Thursday</v>
      </c>
    </row>
    <row r="239" hidden="1">
      <c r="A239" s="46">
        <v>2.55047452E8</v>
      </c>
      <c r="B239" s="137" t="s">
        <v>226</v>
      </c>
      <c r="C239" s="137">
        <v>2012.0</v>
      </c>
      <c r="D239" s="138">
        <v>41183.0</v>
      </c>
      <c r="E239" s="139">
        <v>41212.0</v>
      </c>
      <c r="F239" s="142" t="s">
        <v>226</v>
      </c>
      <c r="G239" s="142">
        <v>2012.0</v>
      </c>
      <c r="H239" s="46">
        <v>8969.0</v>
      </c>
      <c r="I239" s="46">
        <v>3064.0</v>
      </c>
      <c r="J239" s="84">
        <v>467505.12000000005</v>
      </c>
      <c r="K239" s="84">
        <v>298556.16</v>
      </c>
      <c r="L239" s="84">
        <v>168948.96000000008</v>
      </c>
      <c r="M239" s="46" t="s">
        <v>182</v>
      </c>
      <c r="N239" s="46" t="s">
        <v>175</v>
      </c>
      <c r="O239" s="46" t="s">
        <v>165</v>
      </c>
      <c r="P239" s="46" t="s">
        <v>166</v>
      </c>
      <c r="Q239" s="46" t="str">
        <f t="shared" si="1"/>
        <v>October, 2012</v>
      </c>
      <c r="R239" s="115">
        <f t="shared" si="2"/>
        <v>41183</v>
      </c>
      <c r="S239" s="49">
        <f t="array" ref="S239">WEEKDAY(D239,2)</f>
        <v>1</v>
      </c>
      <c r="T239" s="46" t="s">
        <v>108</v>
      </c>
      <c r="U239" s="46" t="str">
        <f t="array" ref="U239">TEXT(D239,"dddd")</f>
        <v>Monday</v>
      </c>
    </row>
    <row r="240" hidden="1">
      <c r="A240" s="46">
        <v>2.56095016E8</v>
      </c>
      <c r="B240" s="137" t="s">
        <v>217</v>
      </c>
      <c r="C240" s="137">
        <v>2014.0</v>
      </c>
      <c r="D240" s="138">
        <v>41822.0</v>
      </c>
      <c r="E240" s="139">
        <v>41872.0</v>
      </c>
      <c r="F240" s="142" t="s">
        <v>216</v>
      </c>
      <c r="G240" s="142">
        <v>2014.0</v>
      </c>
      <c r="H240" s="46">
        <v>8681.0</v>
      </c>
      <c r="I240" s="46">
        <v>3061.0</v>
      </c>
      <c r="J240" s="84">
        <v>1993353.81</v>
      </c>
      <c r="K240" s="84">
        <v>1606902.56</v>
      </c>
      <c r="L240" s="84">
        <v>386451.25</v>
      </c>
      <c r="M240" s="46" t="s">
        <v>153</v>
      </c>
      <c r="N240" s="46" t="s">
        <v>151</v>
      </c>
      <c r="O240" s="46" t="s">
        <v>146</v>
      </c>
      <c r="P240" s="46" t="s">
        <v>147</v>
      </c>
      <c r="Q240" s="46" t="str">
        <f t="shared" si="1"/>
        <v>July, 2014</v>
      </c>
      <c r="R240" s="115">
        <f t="shared" si="2"/>
        <v>41821</v>
      </c>
      <c r="S240" s="49">
        <f t="array" ref="S240">WEEKDAY(D240,2)</f>
        <v>3</v>
      </c>
      <c r="T240" s="46" t="s">
        <v>94</v>
      </c>
      <c r="U240" s="46" t="str">
        <f t="array" ref="U240">TEXT(D240,"dddd")</f>
        <v>Wednesday</v>
      </c>
    </row>
    <row r="241" hidden="1">
      <c r="A241" s="46">
        <v>2.59006392E8</v>
      </c>
      <c r="B241" s="137" t="s">
        <v>219</v>
      </c>
      <c r="C241" s="137">
        <v>2013.0</v>
      </c>
      <c r="D241" s="138">
        <v>41416.0</v>
      </c>
      <c r="E241" s="139">
        <v>41431.0</v>
      </c>
      <c r="F241" s="142" t="s">
        <v>220</v>
      </c>
      <c r="G241" s="142">
        <v>2013.0</v>
      </c>
      <c r="H241" s="46">
        <v>8681.0</v>
      </c>
      <c r="I241" s="46">
        <v>4602.0</v>
      </c>
      <c r="J241" s="84">
        <v>2996868.4200000004</v>
      </c>
      <c r="K241" s="84">
        <v>2415865.9200000004</v>
      </c>
      <c r="L241" s="84">
        <v>581002.5</v>
      </c>
      <c r="M241" s="46" t="s">
        <v>153</v>
      </c>
      <c r="N241" s="46" t="s">
        <v>162</v>
      </c>
      <c r="O241" s="46" t="s">
        <v>146</v>
      </c>
      <c r="P241" s="46" t="s">
        <v>147</v>
      </c>
      <c r="Q241" s="46" t="str">
        <f t="shared" si="1"/>
        <v>May, 2013</v>
      </c>
      <c r="R241" s="115">
        <f t="shared" si="2"/>
        <v>41395</v>
      </c>
      <c r="S241" s="49">
        <f t="array" ref="S241">WEEKDAY(D241,2)</f>
        <v>3</v>
      </c>
      <c r="T241" s="46" t="s">
        <v>99</v>
      </c>
      <c r="U241" s="46" t="str">
        <f t="array" ref="U241">TEXT(D241,"dddd")</f>
        <v>Wednesday</v>
      </c>
    </row>
    <row r="242" hidden="1">
      <c r="A242" s="46">
        <v>2.59032571E8</v>
      </c>
      <c r="B242" s="137" t="s">
        <v>219</v>
      </c>
      <c r="C242" s="137">
        <v>2017.0</v>
      </c>
      <c r="D242" s="138">
        <v>42864.0</v>
      </c>
      <c r="E242" s="139">
        <v>42868.0</v>
      </c>
      <c r="F242" s="142" t="s">
        <v>219</v>
      </c>
      <c r="G242" s="142">
        <v>2017.0</v>
      </c>
      <c r="H242" s="46">
        <v>5988.0</v>
      </c>
      <c r="I242" s="46">
        <v>2349.0</v>
      </c>
      <c r="J242" s="84">
        <v>361886.94</v>
      </c>
      <c r="K242" s="84">
        <v>213594.57</v>
      </c>
      <c r="L242" s="84">
        <v>148292.37</v>
      </c>
      <c r="M242" s="46" t="s">
        <v>159</v>
      </c>
      <c r="N242" s="46" t="s">
        <v>176</v>
      </c>
      <c r="O242" s="46" t="s">
        <v>146</v>
      </c>
      <c r="P242" s="46" t="s">
        <v>158</v>
      </c>
      <c r="Q242" s="46" t="str">
        <f t="shared" si="1"/>
        <v>May, 2017</v>
      </c>
      <c r="R242" s="115">
        <f t="shared" si="2"/>
        <v>42856</v>
      </c>
      <c r="S242" s="49">
        <f t="array" ref="S242">WEEKDAY(D242,2)</f>
        <v>2</v>
      </c>
      <c r="T242" s="46" t="s">
        <v>109</v>
      </c>
      <c r="U242" s="46" t="str">
        <f t="array" ref="U242">TEXT(D242,"dddd")</f>
        <v>Tuesday</v>
      </c>
    </row>
    <row r="243">
      <c r="A243" s="46">
        <v>2.60630738E8</v>
      </c>
      <c r="B243" s="137" t="s">
        <v>224</v>
      </c>
      <c r="C243" s="137">
        <v>2015.0</v>
      </c>
      <c r="D243" s="138">
        <v>42313.0</v>
      </c>
      <c r="E243" s="139">
        <v>42357.0</v>
      </c>
      <c r="F243" s="142" t="s">
        <v>225</v>
      </c>
      <c r="G243" s="142">
        <v>2015.0</v>
      </c>
      <c r="H243" s="46">
        <v>8293.0</v>
      </c>
      <c r="I243" s="46">
        <v>5282.0</v>
      </c>
      <c r="J243" s="84">
        <v>2309290.4</v>
      </c>
      <c r="K243" s="84">
        <v>1390909.0599999998</v>
      </c>
      <c r="L243" s="84">
        <v>918381.3400000001</v>
      </c>
      <c r="M243" s="46" t="s">
        <v>178</v>
      </c>
      <c r="N243" s="46" t="s">
        <v>149</v>
      </c>
      <c r="O243" s="46" t="s">
        <v>149</v>
      </c>
      <c r="P243" s="46" t="s">
        <v>218</v>
      </c>
      <c r="Q243" s="46" t="str">
        <f t="shared" si="1"/>
        <v>November, 2015</v>
      </c>
      <c r="R243" s="115">
        <f t="shared" si="2"/>
        <v>42309</v>
      </c>
      <c r="S243" s="49">
        <f t="array" ref="S243">WEEKDAY(D243,2)</f>
        <v>4</v>
      </c>
      <c r="T243" s="46" t="s">
        <v>92</v>
      </c>
      <c r="U243" s="46" t="str">
        <f t="array" ref="U243">TEXT(D243,"dddd")</f>
        <v>Thursday</v>
      </c>
    </row>
    <row r="244" hidden="1">
      <c r="A244" s="46">
        <v>2.6118735E8</v>
      </c>
      <c r="B244" s="137" t="s">
        <v>226</v>
      </c>
      <c r="C244" s="137">
        <v>2012.0</v>
      </c>
      <c r="D244" s="138">
        <v>41184.0</v>
      </c>
      <c r="E244" s="139">
        <v>41185.0</v>
      </c>
      <c r="F244" s="142" t="s">
        <v>226</v>
      </c>
      <c r="G244" s="142">
        <v>2012.0</v>
      </c>
      <c r="H244" s="46">
        <v>2455.0</v>
      </c>
      <c r="I244" s="46">
        <v>9996.0</v>
      </c>
      <c r="J244" s="84">
        <v>1092362.8800000001</v>
      </c>
      <c r="K244" s="84">
        <v>358256.64</v>
      </c>
      <c r="L244" s="84">
        <v>734106.2400000001</v>
      </c>
      <c r="M244" s="46" t="s">
        <v>150</v>
      </c>
      <c r="N244" s="46" t="s">
        <v>198</v>
      </c>
      <c r="O244" s="46" t="s">
        <v>146</v>
      </c>
      <c r="P244" s="46" t="s">
        <v>170</v>
      </c>
      <c r="Q244" s="46" t="str">
        <f t="shared" si="1"/>
        <v>October, 2012</v>
      </c>
      <c r="R244" s="115">
        <f t="shared" si="2"/>
        <v>41183</v>
      </c>
      <c r="S244" s="49">
        <f t="array" ref="S244">WEEKDAY(D244,2)</f>
        <v>2</v>
      </c>
      <c r="T244" s="46" t="s">
        <v>127</v>
      </c>
      <c r="U244" s="46" t="str">
        <f t="array" ref="U244">TEXT(D244,"dddd")</f>
        <v>Tuesday</v>
      </c>
    </row>
    <row r="245" hidden="1">
      <c r="A245" s="46">
        <v>2.61640536E8</v>
      </c>
      <c r="B245" s="137" t="s">
        <v>220</v>
      </c>
      <c r="C245" s="137">
        <v>2015.0</v>
      </c>
      <c r="D245" s="138">
        <v>42177.0</v>
      </c>
      <c r="E245" s="139">
        <v>42217.0</v>
      </c>
      <c r="F245" s="142" t="s">
        <v>216</v>
      </c>
      <c r="G245" s="142">
        <v>2015.0</v>
      </c>
      <c r="H245" s="46">
        <v>7940.0</v>
      </c>
      <c r="I245" s="46">
        <v>4104.0</v>
      </c>
      <c r="J245" s="84">
        <v>2742580.08</v>
      </c>
      <c r="K245" s="84">
        <v>2062424.1600000001</v>
      </c>
      <c r="L245" s="84">
        <v>680155.9199999999</v>
      </c>
      <c r="M245" s="46" t="s">
        <v>148</v>
      </c>
      <c r="N245" s="46" t="s">
        <v>204</v>
      </c>
      <c r="O245" s="46" t="s">
        <v>146</v>
      </c>
      <c r="P245" s="46" t="s">
        <v>147</v>
      </c>
      <c r="Q245" s="46" t="str">
        <f t="shared" si="1"/>
        <v>June, 2015</v>
      </c>
      <c r="R245" s="115">
        <f t="shared" si="2"/>
        <v>42156</v>
      </c>
      <c r="S245" s="49">
        <f t="array" ref="S245">WEEKDAY(D245,2)</f>
        <v>1</v>
      </c>
      <c r="T245" s="46" t="s">
        <v>133</v>
      </c>
      <c r="U245" s="46" t="str">
        <f t="array" ref="U245">TEXT(D245,"dddd")</f>
        <v>Monday</v>
      </c>
    </row>
    <row r="246" hidden="1">
      <c r="A246" s="46">
        <v>2.62177836E8</v>
      </c>
      <c r="B246" s="137" t="s">
        <v>225</v>
      </c>
      <c r="C246" s="137">
        <v>2012.0</v>
      </c>
      <c r="D246" s="138">
        <v>41249.0</v>
      </c>
      <c r="E246" s="139">
        <v>41290.0</v>
      </c>
      <c r="F246" s="142" t="s">
        <v>227</v>
      </c>
      <c r="G246" s="142">
        <v>2013.0</v>
      </c>
      <c r="H246" s="46">
        <v>4594.0</v>
      </c>
      <c r="I246" s="46">
        <v>3103.0</v>
      </c>
      <c r="J246" s="84">
        <v>28950.99</v>
      </c>
      <c r="K246" s="84">
        <v>21472.76</v>
      </c>
      <c r="L246" s="84">
        <v>7478.230000000003</v>
      </c>
      <c r="M246" s="46" t="s">
        <v>156</v>
      </c>
      <c r="N246" s="46" t="s">
        <v>160</v>
      </c>
      <c r="O246" s="46" t="s">
        <v>146</v>
      </c>
      <c r="P246" s="46" t="s">
        <v>147</v>
      </c>
      <c r="Q246" s="46" t="str">
        <f t="shared" si="1"/>
        <v>December, 2012</v>
      </c>
      <c r="R246" s="115">
        <f t="shared" si="2"/>
        <v>41244</v>
      </c>
      <c r="S246" s="49">
        <f t="array" ref="S246">WEEKDAY(D246,2)</f>
        <v>4</v>
      </c>
      <c r="T246" s="46" t="s">
        <v>98</v>
      </c>
      <c r="U246" s="46" t="str">
        <f t="array" ref="U246">TEXT(D246,"dddd")</f>
        <v>Thursday</v>
      </c>
    </row>
    <row r="247" hidden="1">
      <c r="A247" s="46">
        <v>2.63098371E8</v>
      </c>
      <c r="B247" s="137" t="s">
        <v>220</v>
      </c>
      <c r="C247" s="137">
        <v>2014.0</v>
      </c>
      <c r="D247" s="138">
        <v>41798.0</v>
      </c>
      <c r="E247" s="139">
        <v>41824.0</v>
      </c>
      <c r="F247" s="142" t="s">
        <v>217</v>
      </c>
      <c r="G247" s="142">
        <v>2014.0</v>
      </c>
      <c r="H247" s="46">
        <v>3127.0</v>
      </c>
      <c r="I247" s="46">
        <v>5509.0</v>
      </c>
      <c r="J247" s="84">
        <v>450250.57</v>
      </c>
      <c r="K247" s="84">
        <v>312195.03</v>
      </c>
      <c r="L247" s="84">
        <v>138055.53999999998</v>
      </c>
      <c r="M247" s="46" t="s">
        <v>185</v>
      </c>
      <c r="N247" s="46" t="s">
        <v>206</v>
      </c>
      <c r="O247" s="46" t="s">
        <v>146</v>
      </c>
      <c r="P247" s="46" t="s">
        <v>158</v>
      </c>
      <c r="Q247" s="46" t="str">
        <f t="shared" si="1"/>
        <v>June, 2014</v>
      </c>
      <c r="R247" s="115">
        <f t="shared" si="2"/>
        <v>41791</v>
      </c>
      <c r="S247" s="49">
        <f t="array" ref="S247">WEEKDAY(D247,2)</f>
        <v>7</v>
      </c>
      <c r="T247" s="46" t="s">
        <v>136</v>
      </c>
      <c r="U247" s="46" t="str">
        <f t="array" ref="U247">TEXT(D247,"dddd")</f>
        <v>Sunday</v>
      </c>
    </row>
    <row r="248" hidden="1">
      <c r="A248" s="46">
        <v>2.6342796E8</v>
      </c>
      <c r="B248" s="137" t="s">
        <v>216</v>
      </c>
      <c r="C248" s="137">
        <v>2011.0</v>
      </c>
      <c r="D248" s="138">
        <v>40761.0</v>
      </c>
      <c r="E248" s="139">
        <v>40806.0</v>
      </c>
      <c r="F248" s="142" t="s">
        <v>221</v>
      </c>
      <c r="G248" s="142">
        <v>2011.0</v>
      </c>
      <c r="H248" s="46">
        <v>4594.0</v>
      </c>
      <c r="I248" s="46">
        <v>3042.0</v>
      </c>
      <c r="J248" s="84">
        <v>28381.86</v>
      </c>
      <c r="K248" s="84">
        <v>21050.64</v>
      </c>
      <c r="L248" s="84">
        <v>7331.220000000001</v>
      </c>
      <c r="M248" s="46" t="s">
        <v>156</v>
      </c>
      <c r="N248" s="46" t="s">
        <v>189</v>
      </c>
      <c r="O248" s="46" t="s">
        <v>146</v>
      </c>
      <c r="P248" s="46" t="s">
        <v>158</v>
      </c>
      <c r="Q248" s="46" t="str">
        <f t="shared" si="1"/>
        <v>August, 2011</v>
      </c>
      <c r="R248" s="115">
        <f t="shared" si="2"/>
        <v>40756</v>
      </c>
      <c r="S248" s="49">
        <f t="array" ref="S248">WEEKDAY(D248,2)</f>
        <v>6</v>
      </c>
      <c r="T248" s="46" t="s">
        <v>118</v>
      </c>
      <c r="U248" s="46" t="str">
        <f t="array" ref="U248">TEXT(D248,"dddd")</f>
        <v>Saturday</v>
      </c>
    </row>
    <row r="249">
      <c r="A249" s="46">
        <v>2.63647687E8</v>
      </c>
      <c r="B249" s="137" t="s">
        <v>222</v>
      </c>
      <c r="C249" s="137">
        <v>2012.0</v>
      </c>
      <c r="D249" s="138">
        <v>40991.0</v>
      </c>
      <c r="E249" s="139">
        <v>40998.0</v>
      </c>
      <c r="F249" s="142" t="s">
        <v>222</v>
      </c>
      <c r="G249" s="142">
        <v>2012.0</v>
      </c>
      <c r="H249" s="46">
        <v>2455.0</v>
      </c>
      <c r="I249" s="46">
        <v>8064.0</v>
      </c>
      <c r="J249" s="84">
        <v>881233.92</v>
      </c>
      <c r="K249" s="84">
        <v>289013.76</v>
      </c>
      <c r="L249" s="84">
        <v>592220.16</v>
      </c>
      <c r="M249" s="46" t="s">
        <v>150</v>
      </c>
      <c r="N249" s="46" t="s">
        <v>149</v>
      </c>
      <c r="O249" s="46" t="s">
        <v>149</v>
      </c>
      <c r="P249" s="46" t="s">
        <v>218</v>
      </c>
      <c r="Q249" s="46" t="str">
        <f t="shared" si="1"/>
        <v>March, 2012</v>
      </c>
      <c r="R249" s="115">
        <f t="shared" si="2"/>
        <v>40969</v>
      </c>
      <c r="S249" s="49">
        <f t="array" ref="S249">WEEKDAY(D249,2)</f>
        <v>5</v>
      </c>
      <c r="T249" s="46" t="s">
        <v>92</v>
      </c>
      <c r="U249" s="46" t="str">
        <f t="array" ref="U249">TEXT(D249,"dddd")</f>
        <v>Friday</v>
      </c>
    </row>
    <row r="250">
      <c r="A250" s="46">
        <v>2.63852393E8</v>
      </c>
      <c r="B250" s="137" t="s">
        <v>220</v>
      </c>
      <c r="C250" s="137">
        <v>2012.0</v>
      </c>
      <c r="D250" s="138">
        <v>41070.0</v>
      </c>
      <c r="E250" s="139">
        <v>41089.0</v>
      </c>
      <c r="F250" s="142" t="s">
        <v>220</v>
      </c>
      <c r="G250" s="142">
        <v>2012.0</v>
      </c>
      <c r="H250" s="46">
        <v>7331.0</v>
      </c>
      <c r="I250" s="46">
        <v>8641.0</v>
      </c>
      <c r="J250" s="84">
        <v>2205874.48</v>
      </c>
      <c r="K250" s="84">
        <v>1377548.22</v>
      </c>
      <c r="L250" s="84">
        <v>828326.26</v>
      </c>
      <c r="M250" s="46" t="s">
        <v>161</v>
      </c>
      <c r="N250" s="46" t="s">
        <v>149</v>
      </c>
      <c r="O250" s="46" t="s">
        <v>149</v>
      </c>
      <c r="P250" s="46" t="s">
        <v>218</v>
      </c>
      <c r="Q250" s="46" t="str">
        <f t="shared" si="1"/>
        <v>June, 2012</v>
      </c>
      <c r="R250" s="115">
        <f t="shared" si="2"/>
        <v>41061</v>
      </c>
      <c r="S250" s="49">
        <f t="array" ref="S250">WEEKDAY(D250,2)</f>
        <v>7</v>
      </c>
      <c r="T250" s="46" t="s">
        <v>92</v>
      </c>
      <c r="U250" s="46" t="str">
        <f t="array" ref="U250">TEXT(D250,"dddd")</f>
        <v>Sunday</v>
      </c>
    </row>
    <row r="251" hidden="1">
      <c r="A251" s="46">
        <v>2.63882005E8</v>
      </c>
      <c r="B251" s="137" t="s">
        <v>228</v>
      </c>
      <c r="C251" s="137">
        <v>2011.0</v>
      </c>
      <c r="D251" s="138">
        <v>40577.0</v>
      </c>
      <c r="E251" s="139">
        <v>40601.0</v>
      </c>
      <c r="F251" s="142" t="s">
        <v>228</v>
      </c>
      <c r="G251" s="142">
        <v>2011.0</v>
      </c>
      <c r="H251" s="46">
        <v>1270.0</v>
      </c>
      <c r="I251" s="46">
        <v>7404.0</v>
      </c>
      <c r="J251" s="84">
        <v>351319.80000000005</v>
      </c>
      <c r="K251" s="84">
        <v>235373.16</v>
      </c>
      <c r="L251" s="84">
        <v>115946.64000000004</v>
      </c>
      <c r="M251" s="46" t="s">
        <v>152</v>
      </c>
      <c r="N251" s="46" t="s">
        <v>171</v>
      </c>
      <c r="O251" s="46" t="s">
        <v>146</v>
      </c>
      <c r="P251" s="46" t="s">
        <v>147</v>
      </c>
      <c r="Q251" s="46" t="str">
        <f t="shared" si="1"/>
        <v>February, 2011</v>
      </c>
      <c r="R251" s="115">
        <f t="shared" si="2"/>
        <v>40575</v>
      </c>
      <c r="S251" s="49">
        <f t="array" ref="S251">WEEKDAY(D251,2)</f>
        <v>4</v>
      </c>
      <c r="T251" s="46" t="s">
        <v>104</v>
      </c>
      <c r="U251" s="46" t="str">
        <f t="array" ref="U251">TEXT(D251,"dddd")</f>
        <v>Thursday</v>
      </c>
    </row>
    <row r="252" hidden="1">
      <c r="A252" s="46">
        <v>2.63977277E8</v>
      </c>
      <c r="B252" s="137" t="s">
        <v>225</v>
      </c>
      <c r="C252" s="137">
        <v>2016.0</v>
      </c>
      <c r="D252" s="138">
        <v>42719.0</v>
      </c>
      <c r="E252" s="139">
        <v>42745.0</v>
      </c>
      <c r="F252" s="142" t="s">
        <v>227</v>
      </c>
      <c r="G252" s="142">
        <v>2017.0</v>
      </c>
      <c r="H252" s="46">
        <v>8681.0</v>
      </c>
      <c r="I252" s="46">
        <v>5597.0</v>
      </c>
      <c r="J252" s="84">
        <v>3644822.37</v>
      </c>
      <c r="K252" s="84">
        <v>2938201.12</v>
      </c>
      <c r="L252" s="84">
        <v>706621.25</v>
      </c>
      <c r="M252" s="46" t="s">
        <v>153</v>
      </c>
      <c r="N252" s="46" t="s">
        <v>198</v>
      </c>
      <c r="O252" s="46" t="s">
        <v>146</v>
      </c>
      <c r="P252" s="46" t="s">
        <v>170</v>
      </c>
      <c r="Q252" s="46" t="str">
        <f t="shared" si="1"/>
        <v>December, 2016</v>
      </c>
      <c r="R252" s="115">
        <f t="shared" si="2"/>
        <v>42705</v>
      </c>
      <c r="S252" s="49">
        <f t="array" ref="S252">WEEKDAY(D252,2)</f>
        <v>4</v>
      </c>
      <c r="T252" s="46" t="s">
        <v>127</v>
      </c>
      <c r="U252" s="46" t="str">
        <f t="array" ref="U252">TEXT(D252,"dddd")</f>
        <v>Thursday</v>
      </c>
    </row>
    <row r="253" hidden="1">
      <c r="A253" s="46">
        <v>2.64163959E8</v>
      </c>
      <c r="B253" s="137" t="s">
        <v>221</v>
      </c>
      <c r="C253" s="137">
        <v>2016.0</v>
      </c>
      <c r="D253" s="138">
        <v>42618.0</v>
      </c>
      <c r="E253" s="139">
        <v>42635.0</v>
      </c>
      <c r="F253" s="142" t="s">
        <v>221</v>
      </c>
      <c r="G253" s="142">
        <v>2016.0</v>
      </c>
      <c r="H253" s="46">
        <v>1270.0</v>
      </c>
      <c r="I253" s="46">
        <v>840.0</v>
      </c>
      <c r="J253" s="84">
        <v>39858.0</v>
      </c>
      <c r="K253" s="84">
        <v>26703.6</v>
      </c>
      <c r="L253" s="84">
        <v>13154.400000000001</v>
      </c>
      <c r="M253" s="46" t="s">
        <v>152</v>
      </c>
      <c r="N253" s="46" t="s">
        <v>200</v>
      </c>
      <c r="O253" s="46" t="s">
        <v>146</v>
      </c>
      <c r="P253" s="46" t="s">
        <v>158</v>
      </c>
      <c r="Q253" s="46" t="str">
        <f t="shared" si="1"/>
        <v>September, 2016</v>
      </c>
      <c r="R253" s="115">
        <f t="shared" si="2"/>
        <v>42614</v>
      </c>
      <c r="S253" s="49">
        <f t="array" ref="S253">WEEKDAY(D253,2)</f>
        <v>1</v>
      </c>
      <c r="T253" s="46" t="s">
        <v>129</v>
      </c>
      <c r="U253" s="46" t="str">
        <f t="array" ref="U253">TEXT(D253,"dddd")</f>
        <v>Monday</v>
      </c>
    </row>
    <row r="254" hidden="1">
      <c r="A254" s="46">
        <v>2.64526593E8</v>
      </c>
      <c r="B254" s="137" t="s">
        <v>221</v>
      </c>
      <c r="C254" s="137">
        <v>2014.0</v>
      </c>
      <c r="D254" s="138">
        <v>41912.0</v>
      </c>
      <c r="E254" s="139">
        <v>41919.0</v>
      </c>
      <c r="F254" s="142" t="s">
        <v>226</v>
      </c>
      <c r="G254" s="142">
        <v>2014.0</v>
      </c>
      <c r="H254" s="46">
        <v>3127.0</v>
      </c>
      <c r="I254" s="46">
        <v>8152.0</v>
      </c>
      <c r="J254" s="84">
        <v>666262.9600000001</v>
      </c>
      <c r="K254" s="84">
        <v>461973.84</v>
      </c>
      <c r="L254" s="84">
        <v>204289.12000000005</v>
      </c>
      <c r="M254" s="46" t="s">
        <v>185</v>
      </c>
      <c r="N254" s="46" t="s">
        <v>172</v>
      </c>
      <c r="O254" s="46" t="s">
        <v>146</v>
      </c>
      <c r="P254" s="46" t="s">
        <v>155</v>
      </c>
      <c r="Q254" s="46" t="str">
        <f t="shared" si="1"/>
        <v>September, 2014</v>
      </c>
      <c r="R254" s="115">
        <f t="shared" si="2"/>
        <v>41883</v>
      </c>
      <c r="S254" s="49">
        <f t="array" ref="S254">WEEKDAY(D254,2)</f>
        <v>2</v>
      </c>
      <c r="T254" s="46" t="s">
        <v>105</v>
      </c>
      <c r="U254" s="46" t="str">
        <f t="array" ref="U254">TEXT(D254,"dddd")</f>
        <v>Tuesday</v>
      </c>
    </row>
    <row r="255" hidden="1">
      <c r="A255" s="46">
        <v>2.64856183E8</v>
      </c>
      <c r="B255" s="137" t="s">
        <v>224</v>
      </c>
      <c r="C255" s="137">
        <v>2011.0</v>
      </c>
      <c r="D255" s="138">
        <v>40874.0</v>
      </c>
      <c r="E255" s="139">
        <v>40900.0</v>
      </c>
      <c r="F255" s="142" t="s">
        <v>225</v>
      </c>
      <c r="G255" s="142">
        <v>2011.0</v>
      </c>
      <c r="H255" s="46">
        <v>4594.0</v>
      </c>
      <c r="I255" s="46">
        <v>5685.0</v>
      </c>
      <c r="J255" s="84">
        <v>53041.05</v>
      </c>
      <c r="K255" s="84">
        <v>39340.2</v>
      </c>
      <c r="L255" s="84">
        <v>13700.850000000006</v>
      </c>
      <c r="M255" s="46" t="s">
        <v>156</v>
      </c>
      <c r="N255" s="46" t="s">
        <v>175</v>
      </c>
      <c r="O255" s="46" t="s">
        <v>165</v>
      </c>
      <c r="P255" s="46" t="s">
        <v>166</v>
      </c>
      <c r="Q255" s="46" t="str">
        <f t="shared" si="1"/>
        <v>November, 2011</v>
      </c>
      <c r="R255" s="115">
        <f t="shared" si="2"/>
        <v>40848</v>
      </c>
      <c r="S255" s="49">
        <f t="array" ref="S255">WEEKDAY(D255,2)</f>
        <v>7</v>
      </c>
      <c r="T255" s="46" t="s">
        <v>108</v>
      </c>
      <c r="U255" s="46" t="str">
        <f t="array" ref="U255">TEXT(D255,"dddd")</f>
        <v>Sunday</v>
      </c>
    </row>
    <row r="256" hidden="1">
      <c r="A256" s="46">
        <v>2.6492871E8</v>
      </c>
      <c r="B256" s="137" t="s">
        <v>227</v>
      </c>
      <c r="C256" s="137">
        <v>2016.0</v>
      </c>
      <c r="D256" s="138">
        <v>42393.0</v>
      </c>
      <c r="E256" s="139">
        <v>42396.0</v>
      </c>
      <c r="F256" s="142" t="s">
        <v>227</v>
      </c>
      <c r="G256" s="142">
        <v>2016.0</v>
      </c>
      <c r="H256" s="46">
        <v>2455.0</v>
      </c>
      <c r="I256" s="46">
        <v>7147.0</v>
      </c>
      <c r="J256" s="84">
        <v>781024.16</v>
      </c>
      <c r="K256" s="84">
        <v>256148.48</v>
      </c>
      <c r="L256" s="84">
        <v>524875.68</v>
      </c>
      <c r="M256" s="46" t="s">
        <v>150</v>
      </c>
      <c r="N256" s="46" t="s">
        <v>188</v>
      </c>
      <c r="O256" s="46" t="s">
        <v>146</v>
      </c>
      <c r="P256" s="46" t="s">
        <v>170</v>
      </c>
      <c r="Q256" s="46" t="str">
        <f t="shared" si="1"/>
        <v>January, 2016</v>
      </c>
      <c r="R256" s="115">
        <f t="shared" si="2"/>
        <v>42370</v>
      </c>
      <c r="S256" s="49">
        <f t="array" ref="S256">WEEKDAY(D256,2)</f>
        <v>7</v>
      </c>
      <c r="T256" s="46" t="s">
        <v>117</v>
      </c>
      <c r="U256" s="46" t="str">
        <f t="array" ref="U256">TEXT(D256,"dddd")</f>
        <v>Sunday</v>
      </c>
    </row>
    <row r="257" hidden="1">
      <c r="A257" s="46">
        <v>2.64959609E8</v>
      </c>
      <c r="B257" s="137" t="s">
        <v>221</v>
      </c>
      <c r="C257" s="137">
        <v>2013.0</v>
      </c>
      <c r="D257" s="138">
        <v>41518.0</v>
      </c>
      <c r="E257" s="139">
        <v>41565.0</v>
      </c>
      <c r="F257" s="142" t="s">
        <v>226</v>
      </c>
      <c r="G257" s="142">
        <v>2013.0</v>
      </c>
      <c r="H257" s="46">
        <v>8969.0</v>
      </c>
      <c r="I257" s="46">
        <v>6291.0</v>
      </c>
      <c r="J257" s="84">
        <v>959880.78</v>
      </c>
      <c r="K257" s="84">
        <v>612995.04</v>
      </c>
      <c r="L257" s="84">
        <v>346885.74</v>
      </c>
      <c r="M257" s="46" t="s">
        <v>182</v>
      </c>
      <c r="N257" s="46" t="s">
        <v>168</v>
      </c>
      <c r="O257" s="46" t="s">
        <v>165</v>
      </c>
      <c r="P257" s="46" t="s">
        <v>166</v>
      </c>
      <c r="Q257" s="46" t="str">
        <f t="shared" si="1"/>
        <v>September, 2013</v>
      </c>
      <c r="R257" s="115">
        <f t="shared" si="2"/>
        <v>41518</v>
      </c>
      <c r="S257" s="49">
        <f t="array" ref="S257">WEEKDAY(D257,2)</f>
        <v>7</v>
      </c>
      <c r="T257" s="46" t="s">
        <v>102</v>
      </c>
      <c r="U257" s="46" t="str">
        <f t="array" ref="U257">TEXT(D257,"dddd")</f>
        <v>Sunday</v>
      </c>
    </row>
    <row r="258" hidden="1">
      <c r="A258" s="46">
        <v>2.65191352E8</v>
      </c>
      <c r="B258" s="137" t="s">
        <v>216</v>
      </c>
      <c r="C258" s="137">
        <v>2014.0</v>
      </c>
      <c r="D258" s="138">
        <v>41869.0</v>
      </c>
      <c r="E258" s="139">
        <v>41908.0</v>
      </c>
      <c r="F258" s="142" t="s">
        <v>221</v>
      </c>
      <c r="G258" s="142">
        <v>2014.0</v>
      </c>
      <c r="H258" s="46">
        <v>8969.0</v>
      </c>
      <c r="I258" s="46">
        <v>4869.0</v>
      </c>
      <c r="J258" s="84">
        <v>742912.02</v>
      </c>
      <c r="K258" s="84">
        <v>474435.36</v>
      </c>
      <c r="L258" s="84">
        <v>268476.66000000003</v>
      </c>
      <c r="M258" s="46" t="s">
        <v>182</v>
      </c>
      <c r="N258" s="46" t="s">
        <v>145</v>
      </c>
      <c r="O258" s="46" t="s">
        <v>146</v>
      </c>
      <c r="P258" s="46" t="s">
        <v>147</v>
      </c>
      <c r="Q258" s="46" t="str">
        <f t="shared" si="1"/>
        <v>August, 2014</v>
      </c>
      <c r="R258" s="115">
        <f t="shared" si="2"/>
        <v>41852</v>
      </c>
      <c r="S258" s="49">
        <f t="array" ref="S258">WEEKDAY(D258,2)</f>
        <v>1</v>
      </c>
      <c r="T258" s="46" t="s">
        <v>91</v>
      </c>
      <c r="U258" s="46" t="str">
        <f t="array" ref="U258">TEXT(D258,"dddd")</f>
        <v>Monday</v>
      </c>
    </row>
    <row r="259" hidden="1">
      <c r="A259" s="46">
        <v>2.65914475E8</v>
      </c>
      <c r="B259" s="137" t="s">
        <v>227</v>
      </c>
      <c r="C259" s="137">
        <v>2015.0</v>
      </c>
      <c r="D259" s="138">
        <v>42016.0</v>
      </c>
      <c r="E259" s="139">
        <v>42056.0</v>
      </c>
      <c r="F259" s="142" t="s">
        <v>228</v>
      </c>
      <c r="G259" s="142">
        <v>2015.0</v>
      </c>
      <c r="H259" s="46">
        <v>8293.0</v>
      </c>
      <c r="I259" s="46">
        <v>8857.0</v>
      </c>
      <c r="J259" s="84">
        <v>3872280.4</v>
      </c>
      <c r="K259" s="84">
        <v>2332313.81</v>
      </c>
      <c r="L259" s="84">
        <v>1539966.5899999999</v>
      </c>
      <c r="M259" s="46" t="s">
        <v>178</v>
      </c>
      <c r="N259" s="46" t="s">
        <v>180</v>
      </c>
      <c r="O259" s="46" t="s">
        <v>146</v>
      </c>
      <c r="P259" s="46" t="s">
        <v>147</v>
      </c>
      <c r="Q259" s="46" t="str">
        <f t="shared" si="1"/>
        <v>January, 2015</v>
      </c>
      <c r="R259" s="115">
        <f t="shared" si="2"/>
        <v>42005</v>
      </c>
      <c r="S259" s="49">
        <f t="array" ref="S259">WEEKDAY(D259,2)</f>
        <v>1</v>
      </c>
      <c r="T259" s="46" t="s">
        <v>112</v>
      </c>
      <c r="U259" s="46" t="str">
        <f t="array" ref="U259">TEXT(D259,"dddd")</f>
        <v>Monday</v>
      </c>
    </row>
    <row r="260" hidden="1">
      <c r="A260" s="46">
        <v>2.66614854E8</v>
      </c>
      <c r="B260" s="137" t="s">
        <v>221</v>
      </c>
      <c r="C260" s="137">
        <v>2013.0</v>
      </c>
      <c r="D260" s="138">
        <v>41540.0</v>
      </c>
      <c r="E260" s="139">
        <v>41557.0</v>
      </c>
      <c r="F260" s="142" t="s">
        <v>226</v>
      </c>
      <c r="G260" s="142">
        <v>2013.0</v>
      </c>
      <c r="H260" s="46">
        <v>7940.0</v>
      </c>
      <c r="I260" s="46">
        <v>6115.0</v>
      </c>
      <c r="J260" s="84">
        <v>4086471.05</v>
      </c>
      <c r="K260" s="84">
        <v>3073032.1</v>
      </c>
      <c r="L260" s="84">
        <v>1013438.9499999997</v>
      </c>
      <c r="M260" s="46" t="s">
        <v>148</v>
      </c>
      <c r="N260" s="46" t="s">
        <v>145</v>
      </c>
      <c r="O260" s="46" t="s">
        <v>146</v>
      </c>
      <c r="P260" s="46" t="s">
        <v>147</v>
      </c>
      <c r="Q260" s="46" t="str">
        <f t="shared" si="1"/>
        <v>September, 2013</v>
      </c>
      <c r="R260" s="115">
        <f t="shared" si="2"/>
        <v>41518</v>
      </c>
      <c r="S260" s="49">
        <f t="array" ref="S260">WEEKDAY(D260,2)</f>
        <v>1</v>
      </c>
      <c r="T260" s="46" t="s">
        <v>91</v>
      </c>
      <c r="U260" s="46" t="str">
        <f t="array" ref="U260">TEXT(D260,"dddd")</f>
        <v>Monday</v>
      </c>
    </row>
    <row r="261" hidden="1">
      <c r="A261" s="46">
        <v>2.66638886E8</v>
      </c>
      <c r="B261" s="137" t="s">
        <v>219</v>
      </c>
      <c r="C261" s="137">
        <v>2014.0</v>
      </c>
      <c r="D261" s="138">
        <v>41781.0</v>
      </c>
      <c r="E261" s="139">
        <v>41809.0</v>
      </c>
      <c r="F261" s="142" t="s">
        <v>220</v>
      </c>
      <c r="G261" s="142">
        <v>2014.0</v>
      </c>
      <c r="H261" s="46">
        <v>7940.0</v>
      </c>
      <c r="I261" s="46">
        <v>3227.0</v>
      </c>
      <c r="J261" s="84">
        <v>2156507.29</v>
      </c>
      <c r="K261" s="84">
        <v>1621696.58</v>
      </c>
      <c r="L261" s="84">
        <v>534810.71</v>
      </c>
      <c r="M261" s="46" t="s">
        <v>148</v>
      </c>
      <c r="N261" s="46" t="s">
        <v>199</v>
      </c>
      <c r="O261" s="46" t="s">
        <v>146</v>
      </c>
      <c r="P261" s="46" t="s">
        <v>147</v>
      </c>
      <c r="Q261" s="46" t="str">
        <f t="shared" si="1"/>
        <v>May, 2014</v>
      </c>
      <c r="R261" s="115">
        <f t="shared" si="2"/>
        <v>41760</v>
      </c>
      <c r="S261" s="49">
        <f t="array" ref="S261">WEEKDAY(D261,2)</f>
        <v>4</v>
      </c>
      <c r="T261" s="46" t="s">
        <v>128</v>
      </c>
      <c r="U261" s="46" t="str">
        <f t="array" ref="U261">TEXT(D261,"dddd")</f>
        <v>Thursday</v>
      </c>
    </row>
    <row r="262" hidden="1">
      <c r="A262" s="46">
        <v>2.68373954E8</v>
      </c>
      <c r="B262" s="137" t="s">
        <v>228</v>
      </c>
      <c r="C262" s="137">
        <v>2010.0</v>
      </c>
      <c r="D262" s="138">
        <v>40234.0</v>
      </c>
      <c r="E262" s="139">
        <v>40237.0</v>
      </c>
      <c r="F262" s="142" t="s">
        <v>228</v>
      </c>
      <c r="G262" s="142">
        <v>2010.0</v>
      </c>
      <c r="H262" s="46">
        <v>8681.0</v>
      </c>
      <c r="I262" s="46">
        <v>6672.0</v>
      </c>
      <c r="J262" s="84">
        <v>4344873.12</v>
      </c>
      <c r="K262" s="84">
        <v>3502533.12</v>
      </c>
      <c r="L262" s="84">
        <v>842340.0</v>
      </c>
      <c r="M262" s="46" t="s">
        <v>153</v>
      </c>
      <c r="N262" s="46" t="s">
        <v>189</v>
      </c>
      <c r="O262" s="46" t="s">
        <v>146</v>
      </c>
      <c r="P262" s="46" t="s">
        <v>158</v>
      </c>
      <c r="Q262" s="46" t="str">
        <f t="shared" si="1"/>
        <v>February, 2010</v>
      </c>
      <c r="R262" s="115">
        <f t="shared" si="2"/>
        <v>40210</v>
      </c>
      <c r="S262" s="49">
        <f t="array" ref="S262">WEEKDAY(D262,2)</f>
        <v>4</v>
      </c>
      <c r="T262" s="46" t="s">
        <v>118</v>
      </c>
      <c r="U262" s="46" t="str">
        <f t="array" ref="U262">TEXT(D262,"dddd")</f>
        <v>Thursday</v>
      </c>
    </row>
    <row r="263" hidden="1">
      <c r="A263" s="46">
        <v>2.70358788E8</v>
      </c>
      <c r="B263" s="137" t="s">
        <v>225</v>
      </c>
      <c r="C263" s="137">
        <v>2014.0</v>
      </c>
      <c r="D263" s="138">
        <v>41984.0</v>
      </c>
      <c r="E263" s="139">
        <v>42028.0</v>
      </c>
      <c r="F263" s="142" t="s">
        <v>227</v>
      </c>
      <c r="G263" s="142">
        <v>2015.0</v>
      </c>
      <c r="H263" s="46">
        <v>1270.0</v>
      </c>
      <c r="I263" s="46">
        <v>4028.0</v>
      </c>
      <c r="J263" s="84">
        <v>191128.6</v>
      </c>
      <c r="K263" s="84">
        <v>128050.12</v>
      </c>
      <c r="L263" s="84">
        <v>63078.48000000001</v>
      </c>
      <c r="M263" s="46" t="s">
        <v>152</v>
      </c>
      <c r="N263" s="46" t="s">
        <v>202</v>
      </c>
      <c r="O263" s="46" t="s">
        <v>146</v>
      </c>
      <c r="P263" s="46" t="s">
        <v>147</v>
      </c>
      <c r="Q263" s="46" t="str">
        <f t="shared" si="1"/>
        <v>December, 2014</v>
      </c>
      <c r="R263" s="115">
        <f t="shared" si="2"/>
        <v>41974</v>
      </c>
      <c r="S263" s="49">
        <f t="array" ref="S263">WEEKDAY(D263,2)</f>
        <v>4</v>
      </c>
      <c r="T263" s="46" t="s">
        <v>131</v>
      </c>
      <c r="U263" s="46" t="str">
        <f t="array" ref="U263">TEXT(D263,"dddd")</f>
        <v>Thursday</v>
      </c>
    </row>
    <row r="264" hidden="1">
      <c r="A264" s="46">
        <v>2.72361218E8</v>
      </c>
      <c r="B264" s="137" t="s">
        <v>220</v>
      </c>
      <c r="C264" s="137">
        <v>2010.0</v>
      </c>
      <c r="D264" s="138">
        <v>40355.0</v>
      </c>
      <c r="E264" s="139">
        <v>40362.0</v>
      </c>
      <c r="F264" s="142" t="s">
        <v>217</v>
      </c>
      <c r="G264" s="142">
        <v>2010.0</v>
      </c>
      <c r="H264" s="46">
        <v>8969.0</v>
      </c>
      <c r="I264" s="46">
        <v>6592.0</v>
      </c>
      <c r="J264" s="84">
        <v>1005807.3600000001</v>
      </c>
      <c r="K264" s="84">
        <v>642324.48</v>
      </c>
      <c r="L264" s="84">
        <v>363482.8800000001</v>
      </c>
      <c r="M264" s="46" t="s">
        <v>182</v>
      </c>
      <c r="N264" s="46" t="s">
        <v>186</v>
      </c>
      <c r="O264" s="46" t="s">
        <v>146</v>
      </c>
      <c r="P264" s="46" t="s">
        <v>147</v>
      </c>
      <c r="Q264" s="46" t="str">
        <f t="shared" si="1"/>
        <v>June, 2010</v>
      </c>
      <c r="R264" s="115">
        <f t="shared" si="2"/>
        <v>40330</v>
      </c>
      <c r="S264" s="49">
        <f t="array" ref="S264">WEEKDAY(D264,2)</f>
        <v>6</v>
      </c>
      <c r="T264" s="46" t="s">
        <v>115</v>
      </c>
      <c r="U264" s="46" t="str">
        <f t="array" ref="U264">TEXT(D264,"dddd")</f>
        <v>Saturday</v>
      </c>
    </row>
    <row r="265" hidden="1">
      <c r="A265" s="46">
        <v>2.72425591E8</v>
      </c>
      <c r="B265" s="137" t="s">
        <v>222</v>
      </c>
      <c r="C265" s="137">
        <v>2011.0</v>
      </c>
      <c r="D265" s="138">
        <v>40606.0</v>
      </c>
      <c r="E265" s="139">
        <v>40623.0</v>
      </c>
      <c r="F265" s="142" t="s">
        <v>222</v>
      </c>
      <c r="G265" s="142">
        <v>2011.0</v>
      </c>
      <c r="H265" s="46">
        <v>4594.0</v>
      </c>
      <c r="I265" s="46">
        <v>5641.0</v>
      </c>
      <c r="J265" s="84">
        <v>52630.53</v>
      </c>
      <c r="K265" s="84">
        <v>39035.72</v>
      </c>
      <c r="L265" s="84">
        <v>13594.809999999998</v>
      </c>
      <c r="M265" s="46" t="s">
        <v>156</v>
      </c>
      <c r="N265" s="46" t="s">
        <v>205</v>
      </c>
      <c r="O265" s="46" t="s">
        <v>146</v>
      </c>
      <c r="P265" s="46" t="s">
        <v>170</v>
      </c>
      <c r="Q265" s="46" t="str">
        <f t="shared" si="1"/>
        <v>March, 2011</v>
      </c>
      <c r="R265" s="115">
        <f t="shared" si="2"/>
        <v>40603</v>
      </c>
      <c r="S265" s="49">
        <f t="array" ref="S265">WEEKDAY(D265,2)</f>
        <v>5</v>
      </c>
      <c r="T265" s="46" t="s">
        <v>135</v>
      </c>
      <c r="U265" s="46" t="str">
        <f t="array" ref="U265">TEXT(D265,"dddd")</f>
        <v>Friday</v>
      </c>
    </row>
    <row r="266" hidden="1">
      <c r="A266" s="46">
        <v>2.73662412E8</v>
      </c>
      <c r="B266" s="137" t="s">
        <v>217</v>
      </c>
      <c r="C266" s="137">
        <v>2010.0</v>
      </c>
      <c r="D266" s="138">
        <v>40379.0</v>
      </c>
      <c r="E266" s="139">
        <v>40382.0</v>
      </c>
      <c r="F266" s="142" t="s">
        <v>217</v>
      </c>
      <c r="G266" s="142">
        <v>2010.0</v>
      </c>
      <c r="H266" s="46">
        <v>8875.0</v>
      </c>
      <c r="I266" s="46">
        <v>1644.0</v>
      </c>
      <c r="J266" s="84">
        <v>693587.16</v>
      </c>
      <c r="K266" s="84">
        <v>599550.36</v>
      </c>
      <c r="L266" s="84">
        <v>94036.80000000005</v>
      </c>
      <c r="M266" s="46" t="s">
        <v>167</v>
      </c>
      <c r="N266" s="46" t="s">
        <v>196</v>
      </c>
      <c r="O266" s="46" t="s">
        <v>146</v>
      </c>
      <c r="P266" s="46" t="s">
        <v>155</v>
      </c>
      <c r="Q266" s="46" t="str">
        <f t="shared" si="1"/>
        <v>July, 2010</v>
      </c>
      <c r="R266" s="115">
        <f t="shared" si="2"/>
        <v>40360</v>
      </c>
      <c r="S266" s="49">
        <f t="array" ref="S266">WEEKDAY(D266,2)</f>
        <v>2</v>
      </c>
      <c r="T266" s="46" t="s">
        <v>125</v>
      </c>
      <c r="U266" s="46" t="str">
        <f t="array" ref="U266">TEXT(D266,"dddd")</f>
        <v>Tuesday</v>
      </c>
    </row>
    <row r="267" hidden="1">
      <c r="A267" s="46">
        <v>2.73940503E8</v>
      </c>
      <c r="B267" s="137" t="s">
        <v>221</v>
      </c>
      <c r="C267" s="137">
        <v>2011.0</v>
      </c>
      <c r="D267" s="138">
        <v>40800.0</v>
      </c>
      <c r="E267" s="139">
        <v>40835.0</v>
      </c>
      <c r="F267" s="142" t="s">
        <v>226</v>
      </c>
      <c r="G267" s="142">
        <v>2011.0</v>
      </c>
      <c r="H267" s="46">
        <v>2103.0</v>
      </c>
      <c r="I267" s="46">
        <v>3937.0</v>
      </c>
      <c r="J267" s="84">
        <v>809840.8999999999</v>
      </c>
      <c r="K267" s="84">
        <v>461062.07</v>
      </c>
      <c r="L267" s="84">
        <v>348778.8299999999</v>
      </c>
      <c r="M267" s="46" t="s">
        <v>144</v>
      </c>
      <c r="N267" s="46" t="s">
        <v>172</v>
      </c>
      <c r="O267" s="46" t="s">
        <v>146</v>
      </c>
      <c r="P267" s="46" t="s">
        <v>155</v>
      </c>
      <c r="Q267" s="46" t="str">
        <f t="shared" si="1"/>
        <v>September, 2011</v>
      </c>
      <c r="R267" s="115">
        <f t="shared" si="2"/>
        <v>40787</v>
      </c>
      <c r="S267" s="49">
        <f t="array" ref="S267">WEEKDAY(D267,2)</f>
        <v>3</v>
      </c>
      <c r="T267" s="46" t="s">
        <v>105</v>
      </c>
      <c r="U267" s="46" t="str">
        <f t="array" ref="U267">TEXT(D267,"dddd")</f>
        <v>Wednesday</v>
      </c>
    </row>
    <row r="268" hidden="1">
      <c r="A268" s="46">
        <v>2.74694526E8</v>
      </c>
      <c r="B268" s="137" t="s">
        <v>223</v>
      </c>
      <c r="C268" s="137">
        <v>2017.0</v>
      </c>
      <c r="D268" s="138">
        <v>42838.0</v>
      </c>
      <c r="E268" s="139">
        <v>42866.0</v>
      </c>
      <c r="F268" s="142" t="s">
        <v>219</v>
      </c>
      <c r="G268" s="142">
        <v>2017.0</v>
      </c>
      <c r="H268" s="46">
        <v>3127.0</v>
      </c>
      <c r="I268" s="46">
        <v>7069.0</v>
      </c>
      <c r="J268" s="84">
        <v>577749.37</v>
      </c>
      <c r="K268" s="84">
        <v>400600.23000000004</v>
      </c>
      <c r="L268" s="84">
        <v>177149.13999999996</v>
      </c>
      <c r="M268" s="46" t="s">
        <v>185</v>
      </c>
      <c r="N268" s="46" t="s">
        <v>180</v>
      </c>
      <c r="O268" s="46" t="s">
        <v>146</v>
      </c>
      <c r="P268" s="46" t="s">
        <v>147</v>
      </c>
      <c r="Q268" s="46" t="str">
        <f t="shared" si="1"/>
        <v>April, 2017</v>
      </c>
      <c r="R268" s="115">
        <f t="shared" si="2"/>
        <v>42826</v>
      </c>
      <c r="S268" s="49">
        <f t="array" ref="S268">WEEKDAY(D268,2)</f>
        <v>4</v>
      </c>
      <c r="T268" s="46" t="s">
        <v>112</v>
      </c>
      <c r="U268" s="46" t="str">
        <f t="array" ref="U268">TEXT(D268,"dddd")</f>
        <v>Thursday</v>
      </c>
    </row>
    <row r="269" hidden="1">
      <c r="A269" s="46">
        <v>2.74989354E8</v>
      </c>
      <c r="B269" s="137" t="s">
        <v>219</v>
      </c>
      <c r="C269" s="137">
        <v>2012.0</v>
      </c>
      <c r="D269" s="138">
        <v>41057.0</v>
      </c>
      <c r="E269" s="139">
        <v>41100.0</v>
      </c>
      <c r="F269" s="142" t="s">
        <v>217</v>
      </c>
      <c r="G269" s="142">
        <v>2012.0</v>
      </c>
      <c r="H269" s="46">
        <v>8969.0</v>
      </c>
      <c r="I269" s="46">
        <v>4316.0</v>
      </c>
      <c r="J269" s="84">
        <v>658535.28</v>
      </c>
      <c r="K269" s="84">
        <v>420551.04</v>
      </c>
      <c r="L269" s="84">
        <v>237984.24000000005</v>
      </c>
      <c r="M269" s="46" t="s">
        <v>182</v>
      </c>
      <c r="N269" s="46" t="s">
        <v>203</v>
      </c>
      <c r="O269" s="46" t="s">
        <v>146</v>
      </c>
      <c r="P269" s="46" t="s">
        <v>170</v>
      </c>
      <c r="Q269" s="46" t="str">
        <f t="shared" si="1"/>
        <v>May, 2012</v>
      </c>
      <c r="R269" s="115">
        <f t="shared" si="2"/>
        <v>41030</v>
      </c>
      <c r="S269" s="49">
        <f t="array" ref="S269">WEEKDAY(D269,2)</f>
        <v>1</v>
      </c>
      <c r="T269" s="46" t="s">
        <v>132</v>
      </c>
      <c r="U269" s="46" t="str">
        <f t="array" ref="U269">TEXT(D269,"dddd")</f>
        <v>Monday</v>
      </c>
    </row>
    <row r="270" hidden="1">
      <c r="A270" s="46">
        <v>2.76784074E8</v>
      </c>
      <c r="B270" s="137" t="s">
        <v>222</v>
      </c>
      <c r="C270" s="137">
        <v>2015.0</v>
      </c>
      <c r="D270" s="138">
        <v>42084.0</v>
      </c>
      <c r="E270" s="139">
        <v>42109.0</v>
      </c>
      <c r="F270" s="142" t="s">
        <v>223</v>
      </c>
      <c r="G270" s="142">
        <v>2015.0</v>
      </c>
      <c r="H270" s="46">
        <v>2455.0</v>
      </c>
      <c r="I270" s="46">
        <v>5413.0</v>
      </c>
      <c r="J270" s="84">
        <v>591532.64</v>
      </c>
      <c r="K270" s="84">
        <v>194001.92</v>
      </c>
      <c r="L270" s="84">
        <v>397530.72</v>
      </c>
      <c r="M270" s="46" t="s">
        <v>150</v>
      </c>
      <c r="N270" s="46" t="s">
        <v>163</v>
      </c>
      <c r="O270" s="46" t="s">
        <v>146</v>
      </c>
      <c r="P270" s="46" t="s">
        <v>158</v>
      </c>
      <c r="Q270" s="46" t="str">
        <f t="shared" si="1"/>
        <v>March, 2015</v>
      </c>
      <c r="R270" s="115">
        <f t="shared" si="2"/>
        <v>42064</v>
      </c>
      <c r="S270" s="49">
        <f t="array" ref="S270">WEEKDAY(D270,2)</f>
        <v>6</v>
      </c>
      <c r="T270" s="46" t="s">
        <v>100</v>
      </c>
      <c r="U270" s="46" t="str">
        <f t="array" ref="U270">TEXT(D270,"dddd")</f>
        <v>Saturday</v>
      </c>
    </row>
    <row r="271" hidden="1">
      <c r="A271" s="46">
        <v>2.76850593E8</v>
      </c>
      <c r="B271" s="137" t="s">
        <v>216</v>
      </c>
      <c r="C271" s="137">
        <v>2011.0</v>
      </c>
      <c r="D271" s="138">
        <v>40776.0</v>
      </c>
      <c r="E271" s="139">
        <v>40789.0</v>
      </c>
      <c r="F271" s="142" t="s">
        <v>221</v>
      </c>
      <c r="G271" s="142">
        <v>2011.0</v>
      </c>
      <c r="H271" s="46">
        <v>7331.0</v>
      </c>
      <c r="I271" s="46">
        <v>5097.0</v>
      </c>
      <c r="J271" s="84">
        <v>1301162.16</v>
      </c>
      <c r="K271" s="84">
        <v>812563.74</v>
      </c>
      <c r="L271" s="84">
        <v>488598.4199999999</v>
      </c>
      <c r="M271" s="46" t="s">
        <v>161</v>
      </c>
      <c r="N271" s="46" t="s">
        <v>180</v>
      </c>
      <c r="O271" s="46" t="s">
        <v>146</v>
      </c>
      <c r="P271" s="46" t="s">
        <v>147</v>
      </c>
      <c r="Q271" s="46" t="str">
        <f t="shared" si="1"/>
        <v>August, 2011</v>
      </c>
      <c r="R271" s="115">
        <f t="shared" si="2"/>
        <v>40756</v>
      </c>
      <c r="S271" s="49">
        <f t="array" ref="S271">WEEKDAY(D271,2)</f>
        <v>7</v>
      </c>
      <c r="T271" s="46" t="s">
        <v>112</v>
      </c>
      <c r="U271" s="46" t="str">
        <f t="array" ref="U271">TEXT(D271,"dddd")</f>
        <v>Sunday</v>
      </c>
    </row>
    <row r="272" hidden="1">
      <c r="A272" s="46">
        <v>2.78513133E8</v>
      </c>
      <c r="B272" s="137" t="s">
        <v>226</v>
      </c>
      <c r="C272" s="137">
        <v>2010.0</v>
      </c>
      <c r="D272" s="138">
        <v>40476.0</v>
      </c>
      <c r="E272" s="139">
        <v>40487.0</v>
      </c>
      <c r="F272" s="142" t="s">
        <v>224</v>
      </c>
      <c r="G272" s="142">
        <v>2010.0</v>
      </c>
      <c r="H272" s="46">
        <v>4594.0</v>
      </c>
      <c r="I272" s="46">
        <v>7080.0</v>
      </c>
      <c r="J272" s="84">
        <v>66056.4</v>
      </c>
      <c r="K272" s="84">
        <v>48993.6</v>
      </c>
      <c r="L272" s="84">
        <v>17062.799999999996</v>
      </c>
      <c r="M272" s="46" t="s">
        <v>156</v>
      </c>
      <c r="N272" s="46" t="s">
        <v>190</v>
      </c>
      <c r="O272" s="46" t="s">
        <v>146</v>
      </c>
      <c r="P272" s="46" t="s">
        <v>147</v>
      </c>
      <c r="Q272" s="46" t="str">
        <f t="shared" si="1"/>
        <v>October, 2010</v>
      </c>
      <c r="R272" s="115">
        <f t="shared" si="2"/>
        <v>40452</v>
      </c>
      <c r="S272" s="49">
        <f t="array" ref="S272">WEEKDAY(D272,2)</f>
        <v>1</v>
      </c>
      <c r="T272" s="46" t="s">
        <v>119</v>
      </c>
      <c r="U272" s="46" t="str">
        <f t="array" ref="U272">TEXT(D272,"dddd")</f>
        <v>Monday</v>
      </c>
    </row>
    <row r="273" hidden="1">
      <c r="A273" s="46">
        <v>2.79338395E8</v>
      </c>
      <c r="B273" s="137" t="s">
        <v>227</v>
      </c>
      <c r="C273" s="137">
        <v>2014.0</v>
      </c>
      <c r="D273" s="138">
        <v>41649.0</v>
      </c>
      <c r="E273" s="139">
        <v>41694.0</v>
      </c>
      <c r="F273" s="142" t="s">
        <v>228</v>
      </c>
      <c r="G273" s="142">
        <v>2014.0</v>
      </c>
      <c r="H273" s="46">
        <v>2103.0</v>
      </c>
      <c r="I273" s="46">
        <v>1293.0</v>
      </c>
      <c r="J273" s="84">
        <v>265970.1</v>
      </c>
      <c r="K273" s="84">
        <v>151423.23</v>
      </c>
      <c r="L273" s="84">
        <v>114546.86999999997</v>
      </c>
      <c r="M273" s="46" t="s">
        <v>144</v>
      </c>
      <c r="N273" s="46" t="s">
        <v>179</v>
      </c>
      <c r="O273" s="46" t="s">
        <v>146</v>
      </c>
      <c r="P273" s="46" t="s">
        <v>155</v>
      </c>
      <c r="Q273" s="46" t="str">
        <f t="shared" si="1"/>
        <v>January, 2014</v>
      </c>
      <c r="R273" s="115">
        <f t="shared" si="2"/>
        <v>41640</v>
      </c>
      <c r="S273" s="49">
        <f t="array" ref="S273">WEEKDAY(D273,2)</f>
        <v>5</v>
      </c>
      <c r="T273" s="46" t="s">
        <v>111</v>
      </c>
      <c r="U273" s="46" t="str">
        <f t="array" ref="U273">TEXT(D273,"dddd")</f>
        <v>Friday</v>
      </c>
    </row>
    <row r="274" hidden="1">
      <c r="A274" s="46">
        <v>2.79703605E8</v>
      </c>
      <c r="B274" s="137" t="s">
        <v>227</v>
      </c>
      <c r="C274" s="137">
        <v>2010.0</v>
      </c>
      <c r="D274" s="138">
        <v>40179.0</v>
      </c>
      <c r="E274" s="139">
        <v>40188.0</v>
      </c>
      <c r="F274" s="142" t="s">
        <v>227</v>
      </c>
      <c r="G274" s="142">
        <v>2010.0</v>
      </c>
      <c r="H274" s="46">
        <v>7331.0</v>
      </c>
      <c r="I274" s="46">
        <v>9367.0</v>
      </c>
      <c r="J274" s="84">
        <v>2391207.7600000002</v>
      </c>
      <c r="K274" s="84">
        <v>1493287.14</v>
      </c>
      <c r="L274" s="84">
        <v>897920.6200000003</v>
      </c>
      <c r="M274" s="46" t="s">
        <v>161</v>
      </c>
      <c r="N274" s="46" t="s">
        <v>194</v>
      </c>
      <c r="O274" s="46" t="s">
        <v>146</v>
      </c>
      <c r="P274" s="46" t="s">
        <v>155</v>
      </c>
      <c r="Q274" s="46" t="str">
        <f t="shared" si="1"/>
        <v>January, 2010</v>
      </c>
      <c r="R274" s="115">
        <f t="shared" si="2"/>
        <v>40179</v>
      </c>
      <c r="S274" s="49">
        <f t="array" ref="S274">WEEKDAY(D274,2)</f>
        <v>5</v>
      </c>
      <c r="T274" s="46" t="s">
        <v>123</v>
      </c>
      <c r="U274" s="46" t="str">
        <f t="array" ref="U274">TEXT(D274,"dddd")</f>
        <v>Friday</v>
      </c>
    </row>
    <row r="275" hidden="1">
      <c r="A275" s="46">
        <v>2.79816472E8</v>
      </c>
      <c r="B275" s="137" t="s">
        <v>222</v>
      </c>
      <c r="C275" s="137">
        <v>2014.0</v>
      </c>
      <c r="D275" s="138">
        <v>41707.0</v>
      </c>
      <c r="E275" s="139">
        <v>41743.0</v>
      </c>
      <c r="F275" s="142" t="s">
        <v>223</v>
      </c>
      <c r="G275" s="142">
        <v>2014.0</v>
      </c>
      <c r="H275" s="46">
        <v>8969.0</v>
      </c>
      <c r="I275" s="46">
        <v>2767.0</v>
      </c>
      <c r="J275" s="84">
        <v>422188.86000000004</v>
      </c>
      <c r="K275" s="84">
        <v>269616.48</v>
      </c>
      <c r="L275" s="84">
        <v>152572.38000000006</v>
      </c>
      <c r="M275" s="46" t="s">
        <v>182</v>
      </c>
      <c r="N275" s="46" t="s">
        <v>186</v>
      </c>
      <c r="O275" s="46" t="s">
        <v>146</v>
      </c>
      <c r="P275" s="46" t="s">
        <v>147</v>
      </c>
      <c r="Q275" s="46" t="str">
        <f t="shared" si="1"/>
        <v>March, 2014</v>
      </c>
      <c r="R275" s="115">
        <f t="shared" si="2"/>
        <v>41699</v>
      </c>
      <c r="S275" s="49">
        <f t="array" ref="S275">WEEKDAY(D275,2)</f>
        <v>7</v>
      </c>
      <c r="T275" s="46" t="s">
        <v>115</v>
      </c>
      <c r="U275" s="46" t="str">
        <f t="array" ref="U275">TEXT(D275,"dddd")</f>
        <v>Sunday</v>
      </c>
    </row>
    <row r="276" hidden="1">
      <c r="A276" s="46">
        <v>2.8019241E8</v>
      </c>
      <c r="B276" s="137" t="s">
        <v>217</v>
      </c>
      <c r="C276" s="137">
        <v>2011.0</v>
      </c>
      <c r="D276" s="138">
        <v>40740.0</v>
      </c>
      <c r="E276" s="139">
        <v>40783.0</v>
      </c>
      <c r="F276" s="142" t="s">
        <v>216</v>
      </c>
      <c r="G276" s="142">
        <v>2011.0</v>
      </c>
      <c r="H276" s="46">
        <v>2103.0</v>
      </c>
      <c r="I276" s="46">
        <v>4016.0</v>
      </c>
      <c r="J276" s="84">
        <v>826091.2</v>
      </c>
      <c r="K276" s="84">
        <v>470313.76</v>
      </c>
      <c r="L276" s="84">
        <v>355777.43999999994</v>
      </c>
      <c r="M276" s="46" t="s">
        <v>144</v>
      </c>
      <c r="N276" s="46" t="s">
        <v>201</v>
      </c>
      <c r="O276" s="46" t="s">
        <v>146</v>
      </c>
      <c r="P276" s="46" t="s">
        <v>170</v>
      </c>
      <c r="Q276" s="46" t="str">
        <f t="shared" si="1"/>
        <v>July, 2011</v>
      </c>
      <c r="R276" s="115">
        <f t="shared" si="2"/>
        <v>40725</v>
      </c>
      <c r="S276" s="49">
        <f t="array" ref="S276">WEEKDAY(D276,2)</f>
        <v>6</v>
      </c>
      <c r="T276" s="46" t="s">
        <v>130</v>
      </c>
      <c r="U276" s="46" t="str">
        <f t="array" ref="U276">TEXT(D276,"dddd")</f>
        <v>Saturday</v>
      </c>
    </row>
    <row r="277" hidden="1">
      <c r="A277" s="46">
        <v>2.80477797E8</v>
      </c>
      <c r="B277" s="137" t="s">
        <v>226</v>
      </c>
      <c r="C277" s="137">
        <v>2011.0</v>
      </c>
      <c r="D277" s="138">
        <v>40839.0</v>
      </c>
      <c r="E277" s="139">
        <v>40840.0</v>
      </c>
      <c r="F277" s="142" t="s">
        <v>226</v>
      </c>
      <c r="G277" s="142">
        <v>2011.0</v>
      </c>
      <c r="H277" s="46">
        <v>2103.0</v>
      </c>
      <c r="I277" s="46">
        <v>8468.0</v>
      </c>
      <c r="J277" s="84">
        <v>1741867.5999999999</v>
      </c>
      <c r="K277" s="84">
        <v>991687.48</v>
      </c>
      <c r="L277" s="84">
        <v>750180.1199999999</v>
      </c>
      <c r="M277" s="46" t="s">
        <v>144</v>
      </c>
      <c r="N277" s="46" t="s">
        <v>208</v>
      </c>
      <c r="O277" s="46" t="s">
        <v>146</v>
      </c>
      <c r="P277" s="46" t="s">
        <v>147</v>
      </c>
      <c r="Q277" s="46" t="str">
        <f t="shared" si="1"/>
        <v>October, 2011</v>
      </c>
      <c r="R277" s="115">
        <f t="shared" si="2"/>
        <v>40817</v>
      </c>
      <c r="S277" s="49">
        <f t="array" ref="S277">WEEKDAY(D277,2)</f>
        <v>7</v>
      </c>
      <c r="T277" s="46" t="s">
        <v>138</v>
      </c>
      <c r="U277" s="46" t="str">
        <f t="array" ref="U277">TEXT(D277,"dddd")</f>
        <v>Sunday</v>
      </c>
    </row>
    <row r="278" hidden="1">
      <c r="A278" s="46">
        <v>2.81100928E8</v>
      </c>
      <c r="B278" s="137" t="s">
        <v>221</v>
      </c>
      <c r="C278" s="137">
        <v>2012.0</v>
      </c>
      <c r="D278" s="138">
        <v>41168.0</v>
      </c>
      <c r="E278" s="139">
        <v>41216.0</v>
      </c>
      <c r="F278" s="142" t="s">
        <v>224</v>
      </c>
      <c r="G278" s="142">
        <v>2012.0</v>
      </c>
      <c r="H278" s="46">
        <v>8969.0</v>
      </c>
      <c r="I278" s="46">
        <v>2866.0</v>
      </c>
      <c r="J278" s="84">
        <v>437294.28</v>
      </c>
      <c r="K278" s="84">
        <v>279263.04</v>
      </c>
      <c r="L278" s="84">
        <v>158031.24000000005</v>
      </c>
      <c r="M278" s="46" t="s">
        <v>182</v>
      </c>
      <c r="N278" s="46" t="s">
        <v>197</v>
      </c>
      <c r="O278" s="46" t="s">
        <v>146</v>
      </c>
      <c r="P278" s="46" t="s">
        <v>147</v>
      </c>
      <c r="Q278" s="46" t="str">
        <f t="shared" si="1"/>
        <v>September, 2012</v>
      </c>
      <c r="R278" s="115">
        <f t="shared" si="2"/>
        <v>41153</v>
      </c>
      <c r="S278" s="49">
        <f t="array" ref="S278">WEEKDAY(D278,2)</f>
        <v>7</v>
      </c>
      <c r="T278" s="46" t="s">
        <v>126</v>
      </c>
      <c r="U278" s="46" t="str">
        <f t="array" ref="U278">TEXT(D278,"dddd")</f>
        <v>Sunday</v>
      </c>
    </row>
    <row r="279" hidden="1">
      <c r="A279" s="46">
        <v>2.82917964E8</v>
      </c>
      <c r="B279" s="137" t="s">
        <v>227</v>
      </c>
      <c r="C279" s="137">
        <v>2015.0</v>
      </c>
      <c r="D279" s="138">
        <v>42024.0</v>
      </c>
      <c r="E279" s="139">
        <v>42031.0</v>
      </c>
      <c r="F279" s="142" t="s">
        <v>227</v>
      </c>
      <c r="G279" s="142">
        <v>2015.0</v>
      </c>
      <c r="H279" s="46">
        <v>8681.0</v>
      </c>
      <c r="I279" s="46">
        <v>567.0</v>
      </c>
      <c r="J279" s="84">
        <v>369236.07</v>
      </c>
      <c r="K279" s="84">
        <v>297652.32</v>
      </c>
      <c r="L279" s="84">
        <v>71583.75</v>
      </c>
      <c r="M279" s="46" t="s">
        <v>153</v>
      </c>
      <c r="N279" s="46" t="s">
        <v>179</v>
      </c>
      <c r="O279" s="46" t="s">
        <v>146</v>
      </c>
      <c r="P279" s="46" t="s">
        <v>155</v>
      </c>
      <c r="Q279" s="46" t="str">
        <f t="shared" si="1"/>
        <v>January, 2015</v>
      </c>
      <c r="R279" s="115">
        <f t="shared" si="2"/>
        <v>42005</v>
      </c>
      <c r="S279" s="49">
        <f t="array" ref="S279">WEEKDAY(D279,2)</f>
        <v>2</v>
      </c>
      <c r="T279" s="46" t="s">
        <v>111</v>
      </c>
      <c r="U279" s="46" t="str">
        <f t="array" ref="U279">TEXT(D279,"dddd")</f>
        <v>Tuesday</v>
      </c>
    </row>
    <row r="280" hidden="1">
      <c r="A280" s="46">
        <v>2.84108436E8</v>
      </c>
      <c r="B280" s="137" t="s">
        <v>222</v>
      </c>
      <c r="C280" s="137">
        <v>2014.0</v>
      </c>
      <c r="D280" s="138">
        <v>41727.0</v>
      </c>
      <c r="E280" s="139">
        <v>41732.0</v>
      </c>
      <c r="F280" s="142" t="s">
        <v>223</v>
      </c>
      <c r="G280" s="142">
        <v>2014.0</v>
      </c>
      <c r="H280" s="46">
        <v>8293.0</v>
      </c>
      <c r="I280" s="46">
        <v>2854.0</v>
      </c>
      <c r="J280" s="84">
        <v>1247768.8</v>
      </c>
      <c r="K280" s="84">
        <v>751543.82</v>
      </c>
      <c r="L280" s="84">
        <v>496224.9800000001</v>
      </c>
      <c r="M280" s="46" t="s">
        <v>178</v>
      </c>
      <c r="N280" s="46" t="s">
        <v>180</v>
      </c>
      <c r="O280" s="46" t="s">
        <v>146</v>
      </c>
      <c r="P280" s="46" t="s">
        <v>147</v>
      </c>
      <c r="Q280" s="46" t="str">
        <f t="shared" si="1"/>
        <v>March, 2014</v>
      </c>
      <c r="R280" s="115">
        <f t="shared" si="2"/>
        <v>41699</v>
      </c>
      <c r="S280" s="49">
        <f t="array" ref="S280">WEEKDAY(D280,2)</f>
        <v>6</v>
      </c>
      <c r="T280" s="46" t="s">
        <v>112</v>
      </c>
      <c r="U280" s="46" t="str">
        <f t="array" ref="U280">TEXT(D280,"dddd")</f>
        <v>Saturday</v>
      </c>
    </row>
    <row r="281" hidden="1">
      <c r="A281" s="46">
        <v>2.84310567E8</v>
      </c>
      <c r="B281" s="137" t="s">
        <v>217</v>
      </c>
      <c r="C281" s="137">
        <v>2016.0</v>
      </c>
      <c r="D281" s="138">
        <v>42571.0</v>
      </c>
      <c r="E281" s="139">
        <v>42615.0</v>
      </c>
      <c r="F281" s="142" t="s">
        <v>221</v>
      </c>
      <c r="G281" s="142">
        <v>2016.0</v>
      </c>
      <c r="H281" s="46">
        <v>8293.0</v>
      </c>
      <c r="I281" s="46">
        <v>2670.0</v>
      </c>
      <c r="J281" s="84">
        <v>1167324.0</v>
      </c>
      <c r="K281" s="84">
        <v>703091.1</v>
      </c>
      <c r="L281" s="84">
        <v>464232.9</v>
      </c>
      <c r="M281" s="46" t="s">
        <v>178</v>
      </c>
      <c r="N281" s="46" t="s">
        <v>173</v>
      </c>
      <c r="O281" s="46" t="s">
        <v>146</v>
      </c>
      <c r="P281" s="46" t="s">
        <v>155</v>
      </c>
      <c r="Q281" s="46" t="str">
        <f t="shared" si="1"/>
        <v>July, 2016</v>
      </c>
      <c r="R281" s="115">
        <f t="shared" si="2"/>
        <v>42552</v>
      </c>
      <c r="S281" s="49">
        <f t="array" ref="S281">WEEKDAY(D281,2)</f>
        <v>3</v>
      </c>
      <c r="T281" s="46" t="s">
        <v>106</v>
      </c>
      <c r="U281" s="46" t="str">
        <f t="array" ref="U281">TEXT(D281,"dddd")</f>
        <v>Wednesday</v>
      </c>
    </row>
    <row r="282" hidden="1">
      <c r="A282" s="46">
        <v>2.84403264E8</v>
      </c>
      <c r="B282" s="137" t="s">
        <v>225</v>
      </c>
      <c r="C282" s="137">
        <v>2016.0</v>
      </c>
      <c r="D282" s="138">
        <v>42711.0</v>
      </c>
      <c r="E282" s="139">
        <v>42731.0</v>
      </c>
      <c r="F282" s="142" t="s">
        <v>225</v>
      </c>
      <c r="G282" s="142">
        <v>2016.0</v>
      </c>
      <c r="H282" s="46">
        <v>5988.0</v>
      </c>
      <c r="I282" s="46">
        <v>101.0</v>
      </c>
      <c r="J282" s="84">
        <v>15560.06</v>
      </c>
      <c r="K282" s="84">
        <v>9183.93</v>
      </c>
      <c r="L282" s="84">
        <v>6376.129999999999</v>
      </c>
      <c r="M282" s="46" t="s">
        <v>159</v>
      </c>
      <c r="N282" s="46" t="s">
        <v>203</v>
      </c>
      <c r="O282" s="46" t="s">
        <v>146</v>
      </c>
      <c r="P282" s="46" t="s">
        <v>170</v>
      </c>
      <c r="Q282" s="46" t="str">
        <f t="shared" si="1"/>
        <v>December, 2016</v>
      </c>
      <c r="R282" s="115">
        <f t="shared" si="2"/>
        <v>42705</v>
      </c>
      <c r="S282" s="49">
        <f t="array" ref="S282">WEEKDAY(D282,2)</f>
        <v>3</v>
      </c>
      <c r="T282" s="46" t="s">
        <v>132</v>
      </c>
      <c r="U282" s="46" t="str">
        <f t="array" ref="U282">TEXT(D282,"dddd")</f>
        <v>Wednesday</v>
      </c>
    </row>
    <row r="283" hidden="1">
      <c r="A283" s="46">
        <v>2.84435451E8</v>
      </c>
      <c r="B283" s="137" t="s">
        <v>220</v>
      </c>
      <c r="C283" s="137">
        <v>2013.0</v>
      </c>
      <c r="D283" s="138">
        <v>41454.0</v>
      </c>
      <c r="E283" s="139">
        <v>41454.0</v>
      </c>
      <c r="F283" s="142" t="s">
        <v>220</v>
      </c>
      <c r="G283" s="142">
        <v>2013.0</v>
      </c>
      <c r="H283" s="46">
        <v>3127.0</v>
      </c>
      <c r="I283" s="46">
        <v>9625.0</v>
      </c>
      <c r="J283" s="84">
        <v>786651.25</v>
      </c>
      <c r="K283" s="84">
        <v>545448.75</v>
      </c>
      <c r="L283" s="84">
        <v>241202.5</v>
      </c>
      <c r="M283" s="46" t="s">
        <v>185</v>
      </c>
      <c r="N283" s="46" t="s">
        <v>151</v>
      </c>
      <c r="O283" s="46" t="s">
        <v>146</v>
      </c>
      <c r="P283" s="46" t="s">
        <v>147</v>
      </c>
      <c r="Q283" s="46" t="str">
        <f t="shared" si="1"/>
        <v>June, 2013</v>
      </c>
      <c r="R283" s="115">
        <f t="shared" si="2"/>
        <v>41426</v>
      </c>
      <c r="S283" s="49">
        <f t="array" ref="S283">WEEKDAY(D283,2)</f>
        <v>6</v>
      </c>
      <c r="T283" s="46" t="s">
        <v>94</v>
      </c>
      <c r="U283" s="46" t="str">
        <f t="array" ref="U283">TEXT(D283,"dddd")</f>
        <v>Saturday</v>
      </c>
    </row>
    <row r="284" hidden="1">
      <c r="A284" s="46">
        <v>2.84595954E8</v>
      </c>
      <c r="B284" s="137" t="s">
        <v>226</v>
      </c>
      <c r="C284" s="137">
        <v>2016.0</v>
      </c>
      <c r="D284" s="138">
        <v>42670.0</v>
      </c>
      <c r="E284" s="139">
        <v>42672.0</v>
      </c>
      <c r="F284" s="142" t="s">
        <v>226</v>
      </c>
      <c r="G284" s="142">
        <v>2016.0</v>
      </c>
      <c r="H284" s="46">
        <v>8293.0</v>
      </c>
      <c r="I284" s="46">
        <v>7122.0</v>
      </c>
      <c r="J284" s="84">
        <v>3113738.4</v>
      </c>
      <c r="K284" s="84">
        <v>1875436.2599999998</v>
      </c>
      <c r="L284" s="84">
        <v>1238302.1400000001</v>
      </c>
      <c r="M284" s="46" t="s">
        <v>178</v>
      </c>
      <c r="N284" s="46" t="s">
        <v>191</v>
      </c>
      <c r="O284" s="46" t="s">
        <v>146</v>
      </c>
      <c r="P284" s="46" t="s">
        <v>147</v>
      </c>
      <c r="Q284" s="46" t="str">
        <f t="shared" si="1"/>
        <v>October, 2016</v>
      </c>
      <c r="R284" s="115">
        <f t="shared" si="2"/>
        <v>42644</v>
      </c>
      <c r="S284" s="49">
        <f t="array" ref="S284">WEEKDAY(D284,2)</f>
        <v>4</v>
      </c>
      <c r="T284" s="46" t="s">
        <v>120</v>
      </c>
      <c r="U284" s="46" t="str">
        <f t="array" ref="U284">TEXT(D284,"dddd")</f>
        <v>Thursday</v>
      </c>
    </row>
    <row r="285" hidden="1">
      <c r="A285" s="46">
        <v>2.85343968E8</v>
      </c>
      <c r="B285" s="137" t="s">
        <v>216</v>
      </c>
      <c r="C285" s="137">
        <v>2014.0</v>
      </c>
      <c r="D285" s="138">
        <v>41882.0</v>
      </c>
      <c r="E285" s="139">
        <v>41887.0</v>
      </c>
      <c r="F285" s="142" t="s">
        <v>221</v>
      </c>
      <c r="G285" s="142">
        <v>2014.0</v>
      </c>
      <c r="H285" s="46">
        <v>5988.0</v>
      </c>
      <c r="I285" s="46">
        <v>8476.0</v>
      </c>
      <c r="J285" s="84">
        <v>1305812.56</v>
      </c>
      <c r="K285" s="84">
        <v>770722.68</v>
      </c>
      <c r="L285" s="84">
        <v>535089.88</v>
      </c>
      <c r="M285" s="46" t="s">
        <v>159</v>
      </c>
      <c r="N285" s="46" t="s">
        <v>145</v>
      </c>
      <c r="O285" s="46" t="s">
        <v>146</v>
      </c>
      <c r="P285" s="46" t="s">
        <v>147</v>
      </c>
      <c r="Q285" s="46" t="str">
        <f t="shared" si="1"/>
        <v>August, 2014</v>
      </c>
      <c r="R285" s="115">
        <f t="shared" si="2"/>
        <v>41852</v>
      </c>
      <c r="S285" s="49">
        <f t="array" ref="S285">WEEKDAY(D285,2)</f>
        <v>7</v>
      </c>
      <c r="T285" s="46" t="s">
        <v>91</v>
      </c>
      <c r="U285" s="46" t="str">
        <f t="array" ref="U285">TEXT(D285,"dddd")</f>
        <v>Sunday</v>
      </c>
    </row>
    <row r="286" hidden="1">
      <c r="A286" s="46">
        <v>2.87151563E8</v>
      </c>
      <c r="B286" s="137" t="s">
        <v>216</v>
      </c>
      <c r="C286" s="137">
        <v>2014.0</v>
      </c>
      <c r="D286" s="138">
        <v>41853.0</v>
      </c>
      <c r="E286" s="139">
        <v>41862.0</v>
      </c>
      <c r="F286" s="142" t="s">
        <v>216</v>
      </c>
      <c r="G286" s="142">
        <v>2014.0</v>
      </c>
      <c r="H286" s="46">
        <v>3127.0</v>
      </c>
      <c r="I286" s="46">
        <v>3383.0</v>
      </c>
      <c r="J286" s="84">
        <v>276492.59</v>
      </c>
      <c r="K286" s="84">
        <v>191714.61000000002</v>
      </c>
      <c r="L286" s="84">
        <v>84777.98000000001</v>
      </c>
      <c r="M286" s="46" t="s">
        <v>185</v>
      </c>
      <c r="N286" s="46" t="s">
        <v>193</v>
      </c>
      <c r="O286" s="46" t="s">
        <v>146</v>
      </c>
      <c r="P286" s="46" t="s">
        <v>158</v>
      </c>
      <c r="Q286" s="46" t="str">
        <f t="shared" si="1"/>
        <v>August, 2014</v>
      </c>
      <c r="R286" s="115">
        <f t="shared" si="2"/>
        <v>41852</v>
      </c>
      <c r="S286" s="49">
        <f t="array" ref="S286">WEEKDAY(D286,2)</f>
        <v>6</v>
      </c>
      <c r="T286" s="46" t="s">
        <v>122</v>
      </c>
      <c r="U286" s="46" t="str">
        <f t="array" ref="U286">TEXT(D286,"dddd")</f>
        <v>Saturday</v>
      </c>
    </row>
    <row r="287" hidden="1">
      <c r="A287" s="46">
        <v>2.87917602E8</v>
      </c>
      <c r="B287" s="137" t="s">
        <v>225</v>
      </c>
      <c r="C287" s="137">
        <v>2012.0</v>
      </c>
      <c r="D287" s="138">
        <v>41246.0</v>
      </c>
      <c r="E287" s="139">
        <v>41279.0</v>
      </c>
      <c r="F287" s="142" t="s">
        <v>227</v>
      </c>
      <c r="G287" s="142">
        <v>2013.0</v>
      </c>
      <c r="H287" s="46">
        <v>3127.0</v>
      </c>
      <c r="I287" s="46">
        <v>71.0</v>
      </c>
      <c r="J287" s="84">
        <v>5802.83</v>
      </c>
      <c r="K287" s="84">
        <v>4023.57</v>
      </c>
      <c r="L287" s="84">
        <v>1779.2599999999998</v>
      </c>
      <c r="M287" s="46" t="s">
        <v>185</v>
      </c>
      <c r="N287" s="46" t="s">
        <v>163</v>
      </c>
      <c r="O287" s="46" t="s">
        <v>146</v>
      </c>
      <c r="P287" s="46" t="s">
        <v>158</v>
      </c>
      <c r="Q287" s="46" t="str">
        <f t="shared" si="1"/>
        <v>December, 2012</v>
      </c>
      <c r="R287" s="115">
        <f t="shared" si="2"/>
        <v>41244</v>
      </c>
      <c r="S287" s="49">
        <f t="array" ref="S287">WEEKDAY(D287,2)</f>
        <v>1</v>
      </c>
      <c r="T287" s="46" t="s">
        <v>100</v>
      </c>
      <c r="U287" s="46" t="str">
        <f t="array" ref="U287">TEXT(D287,"dddd")</f>
        <v>Monday</v>
      </c>
    </row>
    <row r="288" hidden="1">
      <c r="A288" s="46">
        <v>2.88073384E8</v>
      </c>
      <c r="B288" s="137" t="s">
        <v>227</v>
      </c>
      <c r="C288" s="137">
        <v>2015.0</v>
      </c>
      <c r="D288" s="138">
        <v>42019.0</v>
      </c>
      <c r="E288" s="139">
        <v>42051.0</v>
      </c>
      <c r="F288" s="142" t="s">
        <v>228</v>
      </c>
      <c r="G288" s="142">
        <v>2015.0</v>
      </c>
      <c r="H288" s="46">
        <v>7331.0</v>
      </c>
      <c r="I288" s="46">
        <v>6171.0</v>
      </c>
      <c r="J288" s="84">
        <v>1575332.8800000001</v>
      </c>
      <c r="K288" s="84">
        <v>983780.82</v>
      </c>
      <c r="L288" s="84">
        <v>591552.0600000002</v>
      </c>
      <c r="M288" s="46" t="s">
        <v>161</v>
      </c>
      <c r="N288" s="46" t="s">
        <v>208</v>
      </c>
      <c r="O288" s="46" t="s">
        <v>146</v>
      </c>
      <c r="P288" s="46" t="s">
        <v>147</v>
      </c>
      <c r="Q288" s="46" t="str">
        <f t="shared" si="1"/>
        <v>January, 2015</v>
      </c>
      <c r="R288" s="115">
        <f t="shared" si="2"/>
        <v>42005</v>
      </c>
      <c r="S288" s="49">
        <f t="array" ref="S288">WEEKDAY(D288,2)</f>
        <v>4</v>
      </c>
      <c r="T288" s="46" t="s">
        <v>138</v>
      </c>
      <c r="U288" s="46" t="str">
        <f t="array" ref="U288">TEXT(D288,"dddd")</f>
        <v>Thursday</v>
      </c>
    </row>
    <row r="289" hidden="1">
      <c r="A289" s="46">
        <v>2.88656175E8</v>
      </c>
      <c r="B289" s="137" t="s">
        <v>224</v>
      </c>
      <c r="C289" s="137">
        <v>2015.0</v>
      </c>
      <c r="D289" s="138">
        <v>42338.0</v>
      </c>
      <c r="E289" s="139">
        <v>42368.0</v>
      </c>
      <c r="F289" s="142" t="s">
        <v>225</v>
      </c>
      <c r="G289" s="142">
        <v>2015.0</v>
      </c>
      <c r="H289" s="46">
        <v>8681.0</v>
      </c>
      <c r="I289" s="46">
        <v>8632.0</v>
      </c>
      <c r="J289" s="84">
        <v>5621244.720000001</v>
      </c>
      <c r="K289" s="84">
        <v>4531454.720000001</v>
      </c>
      <c r="L289" s="84">
        <v>1089790.0</v>
      </c>
      <c r="M289" s="46" t="s">
        <v>153</v>
      </c>
      <c r="N289" s="46" t="s">
        <v>204</v>
      </c>
      <c r="O289" s="46" t="s">
        <v>146</v>
      </c>
      <c r="P289" s="46" t="s">
        <v>147</v>
      </c>
      <c r="Q289" s="46" t="str">
        <f t="shared" si="1"/>
        <v>November, 2015</v>
      </c>
      <c r="R289" s="115">
        <f t="shared" si="2"/>
        <v>42309</v>
      </c>
      <c r="S289" s="49">
        <f t="array" ref="S289">WEEKDAY(D289,2)</f>
        <v>1</v>
      </c>
      <c r="T289" s="46" t="s">
        <v>133</v>
      </c>
      <c r="U289" s="46" t="str">
        <f t="array" ref="U289">TEXT(D289,"dddd")</f>
        <v>Monday</v>
      </c>
    </row>
    <row r="290" hidden="1">
      <c r="A290" s="46">
        <v>2.90317428E8</v>
      </c>
      <c r="B290" s="137" t="s">
        <v>228</v>
      </c>
      <c r="C290" s="137">
        <v>2016.0</v>
      </c>
      <c r="D290" s="138">
        <v>42421.0</v>
      </c>
      <c r="E290" s="139">
        <v>42462.0</v>
      </c>
      <c r="F290" s="142" t="s">
        <v>223</v>
      </c>
      <c r="G290" s="142">
        <v>2016.0</v>
      </c>
      <c r="H290" s="46">
        <v>8875.0</v>
      </c>
      <c r="I290" s="46">
        <v>233.0</v>
      </c>
      <c r="J290" s="84">
        <v>98300.37</v>
      </c>
      <c r="K290" s="84">
        <v>84972.77</v>
      </c>
      <c r="L290" s="84">
        <v>13327.599999999991</v>
      </c>
      <c r="M290" s="46" t="s">
        <v>167</v>
      </c>
      <c r="N290" s="46" t="s">
        <v>197</v>
      </c>
      <c r="O290" s="46" t="s">
        <v>146</v>
      </c>
      <c r="P290" s="46" t="s">
        <v>147</v>
      </c>
      <c r="Q290" s="46" t="str">
        <f t="shared" si="1"/>
        <v>February, 2016</v>
      </c>
      <c r="R290" s="115">
        <f t="shared" si="2"/>
        <v>42401</v>
      </c>
      <c r="S290" s="49">
        <f t="array" ref="S290">WEEKDAY(D290,2)</f>
        <v>7</v>
      </c>
      <c r="T290" s="46" t="s">
        <v>126</v>
      </c>
      <c r="U290" s="46" t="str">
        <f t="array" ref="U290">TEXT(D290,"dddd")</f>
        <v>Sunday</v>
      </c>
    </row>
    <row r="291" hidden="1">
      <c r="A291" s="46">
        <v>2.91160714E8</v>
      </c>
      <c r="B291" s="137" t="s">
        <v>223</v>
      </c>
      <c r="C291" s="137">
        <v>2012.0</v>
      </c>
      <c r="D291" s="138">
        <v>41009.0</v>
      </c>
      <c r="E291" s="139">
        <v>41055.0</v>
      </c>
      <c r="F291" s="142" t="s">
        <v>219</v>
      </c>
      <c r="G291" s="142">
        <v>2012.0</v>
      </c>
      <c r="H291" s="46">
        <v>8293.0</v>
      </c>
      <c r="I291" s="46">
        <v>9780.0</v>
      </c>
      <c r="J291" s="84">
        <v>4275816.0</v>
      </c>
      <c r="K291" s="84">
        <v>2575367.4</v>
      </c>
      <c r="L291" s="84">
        <v>1700448.6</v>
      </c>
      <c r="M291" s="46" t="s">
        <v>178</v>
      </c>
      <c r="N291" s="46" t="s">
        <v>199</v>
      </c>
      <c r="O291" s="46" t="s">
        <v>146</v>
      </c>
      <c r="P291" s="46" t="s">
        <v>147</v>
      </c>
      <c r="Q291" s="46" t="str">
        <f t="shared" si="1"/>
        <v>April, 2012</v>
      </c>
      <c r="R291" s="115">
        <f t="shared" si="2"/>
        <v>41000</v>
      </c>
      <c r="S291" s="49">
        <f t="array" ref="S291">WEEKDAY(D291,2)</f>
        <v>2</v>
      </c>
      <c r="T291" s="46" t="s">
        <v>128</v>
      </c>
      <c r="U291" s="46" t="str">
        <f t="array" ref="U291">TEXT(D291,"dddd")</f>
        <v>Tuesday</v>
      </c>
    </row>
    <row r="292" hidden="1">
      <c r="A292" s="46">
        <v>2.91179597E8</v>
      </c>
      <c r="B292" s="137" t="s">
        <v>228</v>
      </c>
      <c r="C292" s="137">
        <v>2017.0</v>
      </c>
      <c r="D292" s="138">
        <v>42779.0</v>
      </c>
      <c r="E292" s="139">
        <v>42786.0</v>
      </c>
      <c r="F292" s="142" t="s">
        <v>228</v>
      </c>
      <c r="G292" s="142">
        <v>2017.0</v>
      </c>
      <c r="H292" s="46">
        <v>7940.0</v>
      </c>
      <c r="I292" s="46">
        <v>5368.0</v>
      </c>
      <c r="J292" s="84">
        <v>3587273.36</v>
      </c>
      <c r="K292" s="84">
        <v>2697634.72</v>
      </c>
      <c r="L292" s="84">
        <v>889638.6399999997</v>
      </c>
      <c r="M292" s="46" t="s">
        <v>148</v>
      </c>
      <c r="N292" s="46" t="s">
        <v>200</v>
      </c>
      <c r="O292" s="46" t="s">
        <v>146</v>
      </c>
      <c r="P292" s="46" t="s">
        <v>158</v>
      </c>
      <c r="Q292" s="46" t="str">
        <f t="shared" si="1"/>
        <v>February, 2017</v>
      </c>
      <c r="R292" s="115">
        <f t="shared" si="2"/>
        <v>42767</v>
      </c>
      <c r="S292" s="49">
        <f t="array" ref="S292">WEEKDAY(D292,2)</f>
        <v>1</v>
      </c>
      <c r="T292" s="46" t="s">
        <v>129</v>
      </c>
      <c r="U292" s="46" t="str">
        <f t="array" ref="U292">TEXT(D292,"dddd")</f>
        <v>Monday</v>
      </c>
    </row>
    <row r="293" hidden="1">
      <c r="A293" s="46">
        <v>2.91305768E8</v>
      </c>
      <c r="B293" s="137" t="s">
        <v>227</v>
      </c>
      <c r="C293" s="137">
        <v>2013.0</v>
      </c>
      <c r="D293" s="138">
        <v>41279.0</v>
      </c>
      <c r="E293" s="139">
        <v>41280.0</v>
      </c>
      <c r="F293" s="142" t="s">
        <v>227</v>
      </c>
      <c r="G293" s="142">
        <v>2013.0</v>
      </c>
      <c r="H293" s="46">
        <v>4594.0</v>
      </c>
      <c r="I293" s="46">
        <v>2705.0</v>
      </c>
      <c r="J293" s="84">
        <v>25237.65</v>
      </c>
      <c r="K293" s="84">
        <v>18718.6</v>
      </c>
      <c r="L293" s="84">
        <v>6519.050000000003</v>
      </c>
      <c r="M293" s="46" t="s">
        <v>156</v>
      </c>
      <c r="N293" s="46" t="s">
        <v>204</v>
      </c>
      <c r="O293" s="46" t="s">
        <v>146</v>
      </c>
      <c r="P293" s="46" t="s">
        <v>147</v>
      </c>
      <c r="Q293" s="46" t="str">
        <f t="shared" si="1"/>
        <v>January, 2013</v>
      </c>
      <c r="R293" s="115">
        <f t="shared" si="2"/>
        <v>41275</v>
      </c>
      <c r="S293" s="49">
        <f t="array" ref="S293">WEEKDAY(D293,2)</f>
        <v>6</v>
      </c>
      <c r="T293" s="46" t="s">
        <v>133</v>
      </c>
      <c r="U293" s="46" t="str">
        <f t="array" ref="U293">TEXT(D293,"dddd")</f>
        <v>Saturday</v>
      </c>
    </row>
    <row r="294" hidden="1">
      <c r="A294" s="46">
        <v>2.91531503E8</v>
      </c>
      <c r="B294" s="137" t="s">
        <v>226</v>
      </c>
      <c r="C294" s="137">
        <v>2013.0</v>
      </c>
      <c r="D294" s="138">
        <v>41570.0</v>
      </c>
      <c r="E294" s="139">
        <v>41573.0</v>
      </c>
      <c r="F294" s="142" t="s">
        <v>226</v>
      </c>
      <c r="G294" s="142">
        <v>2013.0</v>
      </c>
      <c r="H294" s="46">
        <v>1270.0</v>
      </c>
      <c r="I294" s="46">
        <v>9505.0</v>
      </c>
      <c r="J294" s="84">
        <v>451012.25</v>
      </c>
      <c r="K294" s="84">
        <v>302163.95</v>
      </c>
      <c r="L294" s="84">
        <v>148848.3</v>
      </c>
      <c r="M294" s="46" t="s">
        <v>152</v>
      </c>
      <c r="N294" s="46" t="s">
        <v>154</v>
      </c>
      <c r="O294" s="46" t="s">
        <v>146</v>
      </c>
      <c r="P294" s="46" t="s">
        <v>155</v>
      </c>
      <c r="Q294" s="46" t="str">
        <f t="shared" si="1"/>
        <v>October, 2013</v>
      </c>
      <c r="R294" s="115">
        <f t="shared" si="2"/>
        <v>41548</v>
      </c>
      <c r="S294" s="49">
        <f t="array" ref="S294">WEEKDAY(D294,2)</f>
        <v>3</v>
      </c>
      <c r="T294" s="46" t="s">
        <v>96</v>
      </c>
      <c r="U294" s="46" t="str">
        <f t="array" ref="U294">TEXT(D294,"dddd")</f>
        <v>Wednesday</v>
      </c>
    </row>
    <row r="295" hidden="1">
      <c r="A295" s="46">
        <v>2.91611325E8</v>
      </c>
      <c r="B295" s="137" t="s">
        <v>228</v>
      </c>
      <c r="C295" s="137">
        <v>2017.0</v>
      </c>
      <c r="D295" s="138">
        <v>42767.0</v>
      </c>
      <c r="E295" s="139">
        <v>42776.0</v>
      </c>
      <c r="F295" s="142" t="s">
        <v>228</v>
      </c>
      <c r="G295" s="142">
        <v>2017.0</v>
      </c>
      <c r="H295" s="46">
        <v>8969.0</v>
      </c>
      <c r="I295" s="46">
        <v>3126.0</v>
      </c>
      <c r="J295" s="84">
        <v>476965.08</v>
      </c>
      <c r="K295" s="84">
        <v>304597.44</v>
      </c>
      <c r="L295" s="84">
        <v>172367.64</v>
      </c>
      <c r="M295" s="46" t="s">
        <v>182</v>
      </c>
      <c r="N295" s="46" t="s">
        <v>194</v>
      </c>
      <c r="O295" s="46" t="s">
        <v>146</v>
      </c>
      <c r="P295" s="46" t="s">
        <v>155</v>
      </c>
      <c r="Q295" s="46" t="str">
        <f t="shared" si="1"/>
        <v>February, 2017</v>
      </c>
      <c r="R295" s="115">
        <f t="shared" si="2"/>
        <v>42767</v>
      </c>
      <c r="S295" s="49">
        <f t="array" ref="S295">WEEKDAY(D295,2)</f>
        <v>3</v>
      </c>
      <c r="T295" s="46" t="s">
        <v>123</v>
      </c>
      <c r="U295" s="46" t="str">
        <f t="array" ref="U295">TEXT(D295,"dddd")</f>
        <v>Wednesday</v>
      </c>
    </row>
    <row r="296">
      <c r="A296" s="46">
        <v>2.91995418E8</v>
      </c>
      <c r="B296" s="137" t="s">
        <v>219</v>
      </c>
      <c r="C296" s="137">
        <v>2010.0</v>
      </c>
      <c r="D296" s="138">
        <v>40300.0</v>
      </c>
      <c r="E296" s="139">
        <v>40335.0</v>
      </c>
      <c r="F296" s="142" t="s">
        <v>220</v>
      </c>
      <c r="G296" s="142">
        <v>2010.0</v>
      </c>
      <c r="H296" s="46">
        <v>4594.0</v>
      </c>
      <c r="I296" s="46">
        <v>6788.0</v>
      </c>
      <c r="J296" s="84">
        <v>63332.04</v>
      </c>
      <c r="K296" s="84">
        <v>46972.96</v>
      </c>
      <c r="L296" s="84">
        <v>16359.080000000002</v>
      </c>
      <c r="M296" s="46" t="s">
        <v>156</v>
      </c>
      <c r="N296" s="46" t="s">
        <v>149</v>
      </c>
      <c r="O296" s="46" t="s">
        <v>149</v>
      </c>
      <c r="P296" s="46" t="s">
        <v>218</v>
      </c>
      <c r="Q296" s="46" t="str">
        <f t="shared" si="1"/>
        <v>May, 2010</v>
      </c>
      <c r="R296" s="115">
        <f t="shared" si="2"/>
        <v>40299</v>
      </c>
      <c r="S296" s="49">
        <f t="array" ref="S296">WEEKDAY(D296,2)</f>
        <v>7</v>
      </c>
      <c r="T296" s="46" t="s">
        <v>92</v>
      </c>
      <c r="U296" s="46" t="str">
        <f t="array" ref="U296">TEXT(D296,"dddd")</f>
        <v>Sunday</v>
      </c>
    </row>
    <row r="297">
      <c r="A297" s="46">
        <v>2.92424571E8</v>
      </c>
      <c r="B297" s="137" t="s">
        <v>219</v>
      </c>
      <c r="C297" s="137">
        <v>2012.0</v>
      </c>
      <c r="D297" s="138">
        <v>41053.0</v>
      </c>
      <c r="E297" s="139">
        <v>41065.0</v>
      </c>
      <c r="F297" s="142" t="s">
        <v>220</v>
      </c>
      <c r="G297" s="142">
        <v>2012.0</v>
      </c>
      <c r="H297" s="46">
        <v>8293.0</v>
      </c>
      <c r="I297" s="46">
        <v>3784.0</v>
      </c>
      <c r="J297" s="84">
        <v>1654364.8</v>
      </c>
      <c r="K297" s="84">
        <v>996440.72</v>
      </c>
      <c r="L297" s="84">
        <v>657924.0800000001</v>
      </c>
      <c r="M297" s="46" t="s">
        <v>178</v>
      </c>
      <c r="N297" s="46" t="s">
        <v>149</v>
      </c>
      <c r="O297" s="46" t="s">
        <v>149</v>
      </c>
      <c r="P297" s="46" t="s">
        <v>218</v>
      </c>
      <c r="Q297" s="46" t="str">
        <f t="shared" si="1"/>
        <v>May, 2012</v>
      </c>
      <c r="R297" s="115">
        <f t="shared" si="2"/>
        <v>41030</v>
      </c>
      <c r="S297" s="49">
        <f t="array" ref="S297">WEEKDAY(D297,2)</f>
        <v>4</v>
      </c>
      <c r="T297" s="46" t="s">
        <v>92</v>
      </c>
      <c r="U297" s="46" t="str">
        <f t="array" ref="U297">TEXT(D297,"dddd")</f>
        <v>Thursday</v>
      </c>
    </row>
    <row r="298" hidden="1">
      <c r="A298" s="46">
        <v>2.93178594E8</v>
      </c>
      <c r="B298" s="137" t="s">
        <v>219</v>
      </c>
      <c r="C298" s="137">
        <v>2010.0</v>
      </c>
      <c r="D298" s="138">
        <v>40325.0</v>
      </c>
      <c r="E298" s="139">
        <v>40330.0</v>
      </c>
      <c r="F298" s="142" t="s">
        <v>220</v>
      </c>
      <c r="G298" s="142">
        <v>2010.0</v>
      </c>
      <c r="H298" s="46">
        <v>3127.0</v>
      </c>
      <c r="I298" s="46">
        <v>6916.0</v>
      </c>
      <c r="J298" s="84">
        <v>565244.68</v>
      </c>
      <c r="K298" s="84">
        <v>391929.72000000003</v>
      </c>
      <c r="L298" s="84">
        <v>173314.96000000002</v>
      </c>
      <c r="M298" s="46" t="s">
        <v>185</v>
      </c>
      <c r="N298" s="46" t="s">
        <v>191</v>
      </c>
      <c r="O298" s="46" t="s">
        <v>146</v>
      </c>
      <c r="P298" s="46" t="s">
        <v>147</v>
      </c>
      <c r="Q298" s="46" t="str">
        <f t="shared" si="1"/>
        <v>May, 2010</v>
      </c>
      <c r="R298" s="115">
        <f t="shared" si="2"/>
        <v>40299</v>
      </c>
      <c r="S298" s="49">
        <f t="array" ref="S298">WEEKDAY(D298,2)</f>
        <v>4</v>
      </c>
      <c r="T298" s="46" t="s">
        <v>120</v>
      </c>
      <c r="U298" s="46" t="str">
        <f t="array" ref="U298">TEXT(D298,"dddd")</f>
        <v>Thursday</v>
      </c>
    </row>
    <row r="299" hidden="1">
      <c r="A299" s="46">
        <v>2.95168149E8</v>
      </c>
      <c r="B299" s="137" t="s">
        <v>219</v>
      </c>
      <c r="C299" s="137">
        <v>2016.0</v>
      </c>
      <c r="D299" s="138">
        <v>42518.0</v>
      </c>
      <c r="E299" s="139">
        <v>42567.0</v>
      </c>
      <c r="F299" s="142" t="s">
        <v>217</v>
      </c>
      <c r="G299" s="142">
        <v>2016.0</v>
      </c>
      <c r="H299" s="46">
        <v>4594.0</v>
      </c>
      <c r="I299" s="46">
        <v>5669.0</v>
      </c>
      <c r="J299" s="84">
        <v>52891.77</v>
      </c>
      <c r="K299" s="84">
        <v>39229.48</v>
      </c>
      <c r="L299" s="84">
        <v>13662.289999999994</v>
      </c>
      <c r="M299" s="46" t="s">
        <v>156</v>
      </c>
      <c r="N299" s="46" t="s">
        <v>171</v>
      </c>
      <c r="O299" s="46" t="s">
        <v>146</v>
      </c>
      <c r="P299" s="46" t="s">
        <v>147</v>
      </c>
      <c r="Q299" s="46" t="str">
        <f t="shared" si="1"/>
        <v>May, 2016</v>
      </c>
      <c r="R299" s="115">
        <f t="shared" si="2"/>
        <v>42491</v>
      </c>
      <c r="S299" s="49">
        <f t="array" ref="S299">WEEKDAY(D299,2)</f>
        <v>6</v>
      </c>
      <c r="T299" s="46" t="s">
        <v>104</v>
      </c>
      <c r="U299" s="46" t="str">
        <f t="array" ref="U299">TEXT(D299,"dddd")</f>
        <v>Saturday</v>
      </c>
    </row>
    <row r="300" hidden="1">
      <c r="A300" s="46">
        <v>2.95787847E8</v>
      </c>
      <c r="B300" s="137" t="s">
        <v>227</v>
      </c>
      <c r="C300" s="137">
        <v>2015.0</v>
      </c>
      <c r="D300" s="138">
        <v>42022.0</v>
      </c>
      <c r="E300" s="139">
        <v>42051.0</v>
      </c>
      <c r="F300" s="142" t="s">
        <v>228</v>
      </c>
      <c r="G300" s="142">
        <v>2015.0</v>
      </c>
      <c r="H300" s="46">
        <v>7331.0</v>
      </c>
      <c r="I300" s="46">
        <v>9052.0</v>
      </c>
      <c r="J300" s="84">
        <v>2310794.56</v>
      </c>
      <c r="K300" s="84">
        <v>1443069.8399999999</v>
      </c>
      <c r="L300" s="84">
        <v>867724.7200000002</v>
      </c>
      <c r="M300" s="46" t="s">
        <v>161</v>
      </c>
      <c r="N300" s="46" t="s">
        <v>200</v>
      </c>
      <c r="O300" s="46" t="s">
        <v>146</v>
      </c>
      <c r="P300" s="46" t="s">
        <v>158</v>
      </c>
      <c r="Q300" s="46" t="str">
        <f t="shared" si="1"/>
        <v>January, 2015</v>
      </c>
      <c r="R300" s="115">
        <f t="shared" si="2"/>
        <v>42005</v>
      </c>
      <c r="S300" s="49">
        <f t="array" ref="S300">WEEKDAY(D300,2)</f>
        <v>7</v>
      </c>
      <c r="T300" s="46" t="s">
        <v>129</v>
      </c>
      <c r="U300" s="46" t="str">
        <f t="array" ref="U300">TEXT(D300,"dddd")</f>
        <v>Sunday</v>
      </c>
    </row>
    <row r="301" hidden="1">
      <c r="A301" s="46">
        <v>2.96073234E8</v>
      </c>
      <c r="B301" s="137" t="s">
        <v>223</v>
      </c>
      <c r="C301" s="137">
        <v>2015.0</v>
      </c>
      <c r="D301" s="138">
        <v>42121.0</v>
      </c>
      <c r="E301" s="139">
        <v>42159.0</v>
      </c>
      <c r="F301" s="142" t="s">
        <v>220</v>
      </c>
      <c r="G301" s="142">
        <v>2015.0</v>
      </c>
      <c r="H301" s="46">
        <v>7331.0</v>
      </c>
      <c r="I301" s="46">
        <v>3504.0</v>
      </c>
      <c r="J301" s="84">
        <v>894501.12</v>
      </c>
      <c r="K301" s="84">
        <v>558607.6799999999</v>
      </c>
      <c r="L301" s="84">
        <v>335893.44000000006</v>
      </c>
      <c r="M301" s="46" t="s">
        <v>161</v>
      </c>
      <c r="N301" s="46" t="s">
        <v>180</v>
      </c>
      <c r="O301" s="46" t="s">
        <v>146</v>
      </c>
      <c r="P301" s="46" t="s">
        <v>147</v>
      </c>
      <c r="Q301" s="46" t="str">
        <f t="shared" si="1"/>
        <v>April, 2015</v>
      </c>
      <c r="R301" s="115">
        <f t="shared" si="2"/>
        <v>42095</v>
      </c>
      <c r="S301" s="49">
        <f t="array" ref="S301">WEEKDAY(D301,2)</f>
        <v>1</v>
      </c>
      <c r="T301" s="46" t="s">
        <v>112</v>
      </c>
      <c r="U301" s="46" t="str">
        <f t="array" ref="U301">TEXT(D301,"dddd")</f>
        <v>Monday</v>
      </c>
    </row>
    <row r="302" hidden="1">
      <c r="A302" s="46">
        <v>2.98228013E8</v>
      </c>
      <c r="B302" s="137" t="s">
        <v>221</v>
      </c>
      <c r="C302" s="137">
        <v>2010.0</v>
      </c>
      <c r="D302" s="138">
        <v>40441.0</v>
      </c>
      <c r="E302" s="139">
        <v>40476.0</v>
      </c>
      <c r="F302" s="142" t="s">
        <v>226</v>
      </c>
      <c r="G302" s="142">
        <v>2010.0</v>
      </c>
      <c r="H302" s="46">
        <v>5988.0</v>
      </c>
      <c r="I302" s="46">
        <v>1151.0</v>
      </c>
      <c r="J302" s="84">
        <v>177323.06</v>
      </c>
      <c r="K302" s="84">
        <v>104660.43000000001</v>
      </c>
      <c r="L302" s="84">
        <v>72662.62999999999</v>
      </c>
      <c r="M302" s="46" t="s">
        <v>159</v>
      </c>
      <c r="N302" s="46" t="s">
        <v>203</v>
      </c>
      <c r="O302" s="46" t="s">
        <v>146</v>
      </c>
      <c r="P302" s="46" t="s">
        <v>170</v>
      </c>
      <c r="Q302" s="46" t="str">
        <f t="shared" si="1"/>
        <v>September, 2010</v>
      </c>
      <c r="R302" s="115">
        <f t="shared" si="2"/>
        <v>40422</v>
      </c>
      <c r="S302" s="49">
        <f t="array" ref="S302">WEEKDAY(D302,2)</f>
        <v>1</v>
      </c>
      <c r="T302" s="46" t="s">
        <v>132</v>
      </c>
      <c r="U302" s="46" t="str">
        <f t="array" ref="U302">TEXT(D302,"dddd")</f>
        <v>Monday</v>
      </c>
    </row>
    <row r="303" hidden="1">
      <c r="A303" s="46">
        <v>2.98978602E8</v>
      </c>
      <c r="B303" s="137" t="s">
        <v>227</v>
      </c>
      <c r="C303" s="137">
        <v>2014.0</v>
      </c>
      <c r="D303" s="138">
        <v>41655.0</v>
      </c>
      <c r="E303" s="139">
        <v>41667.0</v>
      </c>
      <c r="F303" s="142" t="s">
        <v>227</v>
      </c>
      <c r="G303" s="142">
        <v>2014.0</v>
      </c>
      <c r="H303" s="46">
        <v>2455.0</v>
      </c>
      <c r="I303" s="46">
        <v>3267.0</v>
      </c>
      <c r="J303" s="84">
        <v>357017.76</v>
      </c>
      <c r="K303" s="84">
        <v>117089.28000000001</v>
      </c>
      <c r="L303" s="84">
        <v>239928.47999999998</v>
      </c>
      <c r="M303" s="46" t="s">
        <v>150</v>
      </c>
      <c r="N303" s="46" t="s">
        <v>157</v>
      </c>
      <c r="O303" s="46" t="s">
        <v>146</v>
      </c>
      <c r="P303" s="46" t="s">
        <v>158</v>
      </c>
      <c r="Q303" s="46" t="str">
        <f t="shared" si="1"/>
        <v>January, 2014</v>
      </c>
      <c r="R303" s="115">
        <f t="shared" si="2"/>
        <v>41640</v>
      </c>
      <c r="S303" s="49">
        <f t="array" ref="S303">WEEKDAY(D303,2)</f>
        <v>4</v>
      </c>
      <c r="T303" s="46" t="s">
        <v>97</v>
      </c>
      <c r="U303" s="46" t="str">
        <f t="array" ref="U303">TEXT(D303,"dddd")</f>
        <v>Thursday</v>
      </c>
    </row>
    <row r="304" hidden="1">
      <c r="A304" s="46">
        <v>2.99335229E8</v>
      </c>
      <c r="B304" s="137" t="s">
        <v>225</v>
      </c>
      <c r="C304" s="137">
        <v>2011.0</v>
      </c>
      <c r="D304" s="138">
        <v>40889.0</v>
      </c>
      <c r="E304" s="139">
        <v>40901.0</v>
      </c>
      <c r="F304" s="142" t="s">
        <v>225</v>
      </c>
      <c r="G304" s="142">
        <v>2011.0</v>
      </c>
      <c r="H304" s="46">
        <v>8293.0</v>
      </c>
      <c r="I304" s="46">
        <v>8801.0</v>
      </c>
      <c r="J304" s="84">
        <v>3847797.1999999997</v>
      </c>
      <c r="K304" s="84">
        <v>2317567.33</v>
      </c>
      <c r="L304" s="84">
        <v>1530229.8699999996</v>
      </c>
      <c r="M304" s="46" t="s">
        <v>178</v>
      </c>
      <c r="N304" s="46" t="s">
        <v>172</v>
      </c>
      <c r="O304" s="46" t="s">
        <v>146</v>
      </c>
      <c r="P304" s="46" t="s">
        <v>155</v>
      </c>
      <c r="Q304" s="46" t="str">
        <f t="shared" si="1"/>
        <v>December, 2011</v>
      </c>
      <c r="R304" s="115">
        <f t="shared" si="2"/>
        <v>40878</v>
      </c>
      <c r="S304" s="49">
        <f t="array" ref="S304">WEEKDAY(D304,2)</f>
        <v>1</v>
      </c>
      <c r="T304" s="46" t="s">
        <v>105</v>
      </c>
      <c r="U304" s="46" t="str">
        <f t="array" ref="U304">TEXT(D304,"dddd")</f>
        <v>Monday</v>
      </c>
    </row>
    <row r="305">
      <c r="A305" s="46">
        <v>2.99739491E8</v>
      </c>
      <c r="B305" s="137" t="s">
        <v>217</v>
      </c>
      <c r="C305" s="137">
        <v>2016.0</v>
      </c>
      <c r="D305" s="138">
        <v>42576.0</v>
      </c>
      <c r="E305" s="139">
        <v>42614.0</v>
      </c>
      <c r="F305" s="142" t="s">
        <v>221</v>
      </c>
      <c r="G305" s="142">
        <v>2016.0</v>
      </c>
      <c r="H305" s="46">
        <v>4594.0</v>
      </c>
      <c r="I305" s="46">
        <v>8431.0</v>
      </c>
      <c r="J305" s="84">
        <v>78661.23</v>
      </c>
      <c r="K305" s="84">
        <v>58342.52</v>
      </c>
      <c r="L305" s="84">
        <v>20318.71</v>
      </c>
      <c r="M305" s="46" t="s">
        <v>156</v>
      </c>
      <c r="N305" s="46" t="s">
        <v>149</v>
      </c>
      <c r="O305" s="46" t="s">
        <v>149</v>
      </c>
      <c r="P305" s="46" t="s">
        <v>218</v>
      </c>
      <c r="Q305" s="46" t="str">
        <f t="shared" si="1"/>
        <v>July, 2016</v>
      </c>
      <c r="R305" s="115">
        <f t="shared" si="2"/>
        <v>42552</v>
      </c>
      <c r="S305" s="49">
        <f t="array" ref="S305">WEEKDAY(D305,2)</f>
        <v>1</v>
      </c>
      <c r="T305" s="46" t="s">
        <v>92</v>
      </c>
      <c r="U305" s="46" t="str">
        <f t="array" ref="U305">TEXT(D305,"dddd")</f>
        <v>Monday</v>
      </c>
    </row>
    <row r="306" hidden="1">
      <c r="A306" s="46">
        <v>3.02015721E8</v>
      </c>
      <c r="B306" s="137" t="s">
        <v>222</v>
      </c>
      <c r="C306" s="137">
        <v>2014.0</v>
      </c>
      <c r="D306" s="138">
        <v>41720.0</v>
      </c>
      <c r="E306" s="139">
        <v>41746.0</v>
      </c>
      <c r="F306" s="142" t="s">
        <v>223</v>
      </c>
      <c r="G306" s="142">
        <v>2014.0</v>
      </c>
      <c r="H306" s="46">
        <v>7331.0</v>
      </c>
      <c r="I306" s="46">
        <v>2018.0</v>
      </c>
      <c r="J306" s="84">
        <v>515155.04</v>
      </c>
      <c r="K306" s="84">
        <v>321709.56</v>
      </c>
      <c r="L306" s="84">
        <v>193445.47999999998</v>
      </c>
      <c r="M306" s="46" t="s">
        <v>161</v>
      </c>
      <c r="N306" s="46" t="s">
        <v>145</v>
      </c>
      <c r="O306" s="46" t="s">
        <v>146</v>
      </c>
      <c r="P306" s="46" t="s">
        <v>147</v>
      </c>
      <c r="Q306" s="46" t="str">
        <f t="shared" si="1"/>
        <v>March, 2014</v>
      </c>
      <c r="R306" s="115">
        <f t="shared" si="2"/>
        <v>41699</v>
      </c>
      <c r="S306" s="49">
        <f t="array" ref="S306">WEEKDAY(D306,2)</f>
        <v>6</v>
      </c>
      <c r="T306" s="46" t="s">
        <v>91</v>
      </c>
      <c r="U306" s="46" t="str">
        <f t="array" ref="U306">TEXT(D306,"dddd")</f>
        <v>Saturday</v>
      </c>
    </row>
    <row r="307" hidden="1">
      <c r="A307" s="46">
        <v>3.02442729E8</v>
      </c>
      <c r="B307" s="137" t="s">
        <v>225</v>
      </c>
      <c r="C307" s="137">
        <v>2012.0</v>
      </c>
      <c r="D307" s="138">
        <v>41266.0</v>
      </c>
      <c r="E307" s="139">
        <v>41291.0</v>
      </c>
      <c r="F307" s="142" t="s">
        <v>227</v>
      </c>
      <c r="G307" s="142">
        <v>2013.0</v>
      </c>
      <c r="H307" s="46">
        <v>7331.0</v>
      </c>
      <c r="I307" s="46">
        <v>8379.0</v>
      </c>
      <c r="J307" s="84">
        <v>2138991.12</v>
      </c>
      <c r="K307" s="84">
        <v>1335780.18</v>
      </c>
      <c r="L307" s="84">
        <v>803210.9400000002</v>
      </c>
      <c r="M307" s="46" t="s">
        <v>161</v>
      </c>
      <c r="N307" s="46" t="s">
        <v>180</v>
      </c>
      <c r="O307" s="46" t="s">
        <v>146</v>
      </c>
      <c r="P307" s="46" t="s">
        <v>147</v>
      </c>
      <c r="Q307" s="46" t="str">
        <f t="shared" si="1"/>
        <v>December, 2012</v>
      </c>
      <c r="R307" s="115">
        <f t="shared" si="2"/>
        <v>41244</v>
      </c>
      <c r="S307" s="49">
        <f t="array" ref="S307">WEEKDAY(D307,2)</f>
        <v>7</v>
      </c>
      <c r="T307" s="46" t="s">
        <v>112</v>
      </c>
      <c r="U307" s="46" t="str">
        <f t="array" ref="U307">TEXT(D307,"dddd")</f>
        <v>Sunday</v>
      </c>
    </row>
    <row r="308" hidden="1">
      <c r="A308" s="46">
        <v>3.02744853E8</v>
      </c>
      <c r="B308" s="137" t="s">
        <v>226</v>
      </c>
      <c r="C308" s="137">
        <v>2014.0</v>
      </c>
      <c r="D308" s="138">
        <v>41928.0</v>
      </c>
      <c r="E308" s="139">
        <v>41945.0</v>
      </c>
      <c r="F308" s="142" t="s">
        <v>224</v>
      </c>
      <c r="G308" s="142">
        <v>2014.0</v>
      </c>
      <c r="H308" s="46">
        <v>3127.0</v>
      </c>
      <c r="I308" s="46">
        <v>7785.0</v>
      </c>
      <c r="J308" s="84">
        <v>636268.05</v>
      </c>
      <c r="K308" s="84">
        <v>441175.95</v>
      </c>
      <c r="L308" s="84">
        <v>195092.10000000003</v>
      </c>
      <c r="M308" s="46" t="s">
        <v>185</v>
      </c>
      <c r="N308" s="46" t="s">
        <v>194</v>
      </c>
      <c r="O308" s="46" t="s">
        <v>146</v>
      </c>
      <c r="P308" s="46" t="s">
        <v>155</v>
      </c>
      <c r="Q308" s="46" t="str">
        <f t="shared" si="1"/>
        <v>October, 2014</v>
      </c>
      <c r="R308" s="115">
        <f t="shared" si="2"/>
        <v>41913</v>
      </c>
      <c r="S308" s="49">
        <f t="array" ref="S308">WEEKDAY(D308,2)</f>
        <v>4</v>
      </c>
      <c r="T308" s="46" t="s">
        <v>123</v>
      </c>
      <c r="U308" s="46" t="str">
        <f t="array" ref="U308">TEXT(D308,"dddd")</f>
        <v>Thursday</v>
      </c>
    </row>
    <row r="309" hidden="1">
      <c r="A309" s="46">
        <v>3.03534495E8</v>
      </c>
      <c r="B309" s="137" t="s">
        <v>216</v>
      </c>
      <c r="C309" s="137">
        <v>2011.0</v>
      </c>
      <c r="D309" s="138">
        <v>40768.0</v>
      </c>
      <c r="E309" s="139">
        <v>40773.0</v>
      </c>
      <c r="F309" s="142" t="s">
        <v>216</v>
      </c>
      <c r="G309" s="142">
        <v>2011.0</v>
      </c>
      <c r="H309" s="46">
        <v>4594.0</v>
      </c>
      <c r="I309" s="46">
        <v>1457.0</v>
      </c>
      <c r="J309" s="84">
        <v>13593.81</v>
      </c>
      <c r="K309" s="84">
        <v>10082.44</v>
      </c>
      <c r="L309" s="84">
        <v>3511.369999999999</v>
      </c>
      <c r="M309" s="46" t="s">
        <v>156</v>
      </c>
      <c r="N309" s="46" t="s">
        <v>207</v>
      </c>
      <c r="O309" s="46" t="s">
        <v>146</v>
      </c>
      <c r="P309" s="46" t="s">
        <v>170</v>
      </c>
      <c r="Q309" s="46" t="str">
        <f t="shared" si="1"/>
        <v>August, 2011</v>
      </c>
      <c r="R309" s="115">
        <f t="shared" si="2"/>
        <v>40756</v>
      </c>
      <c r="S309" s="49">
        <f t="array" ref="S309">WEEKDAY(D309,2)</f>
        <v>6</v>
      </c>
      <c r="T309" s="46" t="s">
        <v>137</v>
      </c>
      <c r="U309" s="46" t="str">
        <f t="array" ref="U309">TEXT(D309,"dddd")</f>
        <v>Saturday</v>
      </c>
    </row>
    <row r="310" hidden="1">
      <c r="A310" s="46">
        <v>3.05569112E8</v>
      </c>
      <c r="B310" s="137" t="s">
        <v>223</v>
      </c>
      <c r="C310" s="137">
        <v>2011.0</v>
      </c>
      <c r="D310" s="138">
        <v>40647.0</v>
      </c>
      <c r="E310" s="139">
        <v>40697.0</v>
      </c>
      <c r="F310" s="142" t="s">
        <v>220</v>
      </c>
      <c r="G310" s="142">
        <v>2011.0</v>
      </c>
      <c r="H310" s="46">
        <v>5988.0</v>
      </c>
      <c r="I310" s="46">
        <v>3545.0</v>
      </c>
      <c r="J310" s="84">
        <v>546142.7</v>
      </c>
      <c r="K310" s="84">
        <v>322346.85000000003</v>
      </c>
      <c r="L310" s="84">
        <v>223795.84999999992</v>
      </c>
      <c r="M310" s="46" t="s">
        <v>159</v>
      </c>
      <c r="N310" s="46" t="s">
        <v>160</v>
      </c>
      <c r="O310" s="46" t="s">
        <v>146</v>
      </c>
      <c r="P310" s="46" t="s">
        <v>147</v>
      </c>
      <c r="Q310" s="46" t="str">
        <f t="shared" si="1"/>
        <v>April, 2011</v>
      </c>
      <c r="R310" s="115">
        <f t="shared" si="2"/>
        <v>40634</v>
      </c>
      <c r="S310" s="49">
        <f t="array" ref="S310">WEEKDAY(D310,2)</f>
        <v>4</v>
      </c>
      <c r="T310" s="46" t="s">
        <v>98</v>
      </c>
      <c r="U310" s="46" t="str">
        <f t="array" ref="U310">TEXT(D310,"dddd")</f>
        <v>Thursday</v>
      </c>
    </row>
    <row r="311" hidden="1">
      <c r="A311" s="46">
        <v>3.05616748E8</v>
      </c>
      <c r="B311" s="137" t="s">
        <v>220</v>
      </c>
      <c r="C311" s="137">
        <v>2010.0</v>
      </c>
      <c r="D311" s="138">
        <v>40335.0</v>
      </c>
      <c r="E311" s="139">
        <v>40360.0</v>
      </c>
      <c r="F311" s="142" t="s">
        <v>217</v>
      </c>
      <c r="G311" s="142">
        <v>2010.0</v>
      </c>
      <c r="H311" s="46">
        <v>2103.0</v>
      </c>
      <c r="I311" s="46">
        <v>7642.0</v>
      </c>
      <c r="J311" s="84">
        <v>1571959.4</v>
      </c>
      <c r="K311" s="84">
        <v>894954.62</v>
      </c>
      <c r="L311" s="84">
        <v>677004.7799999999</v>
      </c>
      <c r="M311" s="46" t="s">
        <v>144</v>
      </c>
      <c r="N311" s="46" t="s">
        <v>151</v>
      </c>
      <c r="O311" s="46" t="s">
        <v>146</v>
      </c>
      <c r="P311" s="46" t="s">
        <v>147</v>
      </c>
      <c r="Q311" s="46" t="str">
        <f t="shared" si="1"/>
        <v>June, 2010</v>
      </c>
      <c r="R311" s="115">
        <f t="shared" si="2"/>
        <v>40330</v>
      </c>
      <c r="S311" s="49">
        <f t="array" ref="S311">WEEKDAY(D311,2)</f>
        <v>7</v>
      </c>
      <c r="T311" s="46" t="s">
        <v>94</v>
      </c>
      <c r="U311" s="46" t="str">
        <f t="array" ref="U311">TEXT(D311,"dddd")</f>
        <v>Sunday</v>
      </c>
    </row>
    <row r="312" hidden="1">
      <c r="A312" s="46">
        <v>3.06256616E8</v>
      </c>
      <c r="B312" s="137" t="s">
        <v>224</v>
      </c>
      <c r="C312" s="137">
        <v>2012.0</v>
      </c>
      <c r="D312" s="138">
        <v>41227.0</v>
      </c>
      <c r="E312" s="139">
        <v>41231.0</v>
      </c>
      <c r="F312" s="142" t="s">
        <v>224</v>
      </c>
      <c r="G312" s="142">
        <v>2012.0</v>
      </c>
      <c r="H312" s="46">
        <v>3127.0</v>
      </c>
      <c r="I312" s="46">
        <v>6993.0</v>
      </c>
      <c r="J312" s="84">
        <v>571537.89</v>
      </c>
      <c r="K312" s="84">
        <v>396293.31</v>
      </c>
      <c r="L312" s="84">
        <v>175244.58000000002</v>
      </c>
      <c r="M312" s="46" t="s">
        <v>185</v>
      </c>
      <c r="N312" s="46" t="s">
        <v>197</v>
      </c>
      <c r="O312" s="46" t="s">
        <v>146</v>
      </c>
      <c r="P312" s="46" t="s">
        <v>147</v>
      </c>
      <c r="Q312" s="46" t="str">
        <f t="shared" si="1"/>
        <v>November, 2012</v>
      </c>
      <c r="R312" s="115">
        <f t="shared" si="2"/>
        <v>41214</v>
      </c>
      <c r="S312" s="49">
        <f t="array" ref="S312">WEEKDAY(D312,2)</f>
        <v>3</v>
      </c>
      <c r="T312" s="46" t="s">
        <v>126</v>
      </c>
      <c r="U312" s="46" t="str">
        <f t="array" ref="U312">TEXT(D312,"dddd")</f>
        <v>Wednesday</v>
      </c>
    </row>
    <row r="313" hidden="1">
      <c r="A313" s="46">
        <v>3.06839406E8</v>
      </c>
      <c r="B313" s="137" t="s">
        <v>221</v>
      </c>
      <c r="C313" s="137">
        <v>2013.0</v>
      </c>
      <c r="D313" s="138">
        <v>41546.0</v>
      </c>
      <c r="E313" s="139">
        <v>41548.0</v>
      </c>
      <c r="F313" s="142" t="s">
        <v>226</v>
      </c>
      <c r="G313" s="142">
        <v>2013.0</v>
      </c>
      <c r="H313" s="46">
        <v>7331.0</v>
      </c>
      <c r="I313" s="46">
        <v>9454.0</v>
      </c>
      <c r="J313" s="84">
        <v>2413417.12</v>
      </c>
      <c r="K313" s="84">
        <v>1507156.68</v>
      </c>
      <c r="L313" s="84">
        <v>906260.4400000002</v>
      </c>
      <c r="M313" s="46" t="s">
        <v>161</v>
      </c>
      <c r="N313" s="46" t="s">
        <v>205</v>
      </c>
      <c r="O313" s="46" t="s">
        <v>146</v>
      </c>
      <c r="P313" s="46" t="s">
        <v>170</v>
      </c>
      <c r="Q313" s="46" t="str">
        <f t="shared" si="1"/>
        <v>September, 2013</v>
      </c>
      <c r="R313" s="115">
        <f t="shared" si="2"/>
        <v>41518</v>
      </c>
      <c r="S313" s="49">
        <f t="array" ref="S313">WEEKDAY(D313,2)</f>
        <v>7</v>
      </c>
      <c r="T313" s="46" t="s">
        <v>135</v>
      </c>
      <c r="U313" s="46" t="str">
        <f t="array" ref="U313">TEXT(D313,"dddd")</f>
        <v>Sunday</v>
      </c>
    </row>
    <row r="314">
      <c r="A314" s="46">
        <v>3.07305467E8</v>
      </c>
      <c r="B314" s="137" t="s">
        <v>217</v>
      </c>
      <c r="C314" s="137">
        <v>2013.0</v>
      </c>
      <c r="D314" s="138">
        <v>41484.0</v>
      </c>
      <c r="E314" s="139">
        <v>41496.0</v>
      </c>
      <c r="F314" s="142" t="s">
        <v>216</v>
      </c>
      <c r="G314" s="142">
        <v>2013.0</v>
      </c>
      <c r="H314" s="46">
        <v>4594.0</v>
      </c>
      <c r="I314" s="46">
        <v>7371.0</v>
      </c>
      <c r="J314" s="84">
        <v>68771.43000000001</v>
      </c>
      <c r="K314" s="84">
        <v>51007.32</v>
      </c>
      <c r="L314" s="84">
        <v>17764.110000000008</v>
      </c>
      <c r="M314" s="46" t="s">
        <v>156</v>
      </c>
      <c r="N314" s="46" t="s">
        <v>149</v>
      </c>
      <c r="O314" s="46" t="s">
        <v>149</v>
      </c>
      <c r="P314" s="46" t="s">
        <v>218</v>
      </c>
      <c r="Q314" s="46" t="str">
        <f t="shared" si="1"/>
        <v>July, 2013</v>
      </c>
      <c r="R314" s="115">
        <f t="shared" si="2"/>
        <v>41456</v>
      </c>
      <c r="S314" s="49">
        <f t="array" ref="S314">WEEKDAY(D314,2)</f>
        <v>1</v>
      </c>
      <c r="T314" s="46" t="s">
        <v>92</v>
      </c>
      <c r="U314" s="46" t="str">
        <f t="array" ref="U314">TEXT(D314,"dddd")</f>
        <v>Monday</v>
      </c>
    </row>
    <row r="315" hidden="1">
      <c r="A315" s="46">
        <v>3.07721745E8</v>
      </c>
      <c r="B315" s="137" t="s">
        <v>225</v>
      </c>
      <c r="C315" s="137">
        <v>2010.0</v>
      </c>
      <c r="D315" s="138">
        <v>40526.0</v>
      </c>
      <c r="E315" s="139">
        <v>40544.0</v>
      </c>
      <c r="F315" s="142" t="s">
        <v>227</v>
      </c>
      <c r="G315" s="142">
        <v>2011.0</v>
      </c>
      <c r="H315" s="46">
        <v>8969.0</v>
      </c>
      <c r="I315" s="46">
        <v>558.0</v>
      </c>
      <c r="J315" s="84">
        <v>85139.64000000001</v>
      </c>
      <c r="K315" s="84">
        <v>54371.52</v>
      </c>
      <c r="L315" s="84">
        <v>30768.120000000017</v>
      </c>
      <c r="M315" s="46" t="s">
        <v>182</v>
      </c>
      <c r="N315" s="46" t="s">
        <v>197</v>
      </c>
      <c r="O315" s="46" t="s">
        <v>146</v>
      </c>
      <c r="P315" s="46" t="s">
        <v>147</v>
      </c>
      <c r="Q315" s="46" t="str">
        <f t="shared" si="1"/>
        <v>December, 2010</v>
      </c>
      <c r="R315" s="115">
        <f t="shared" si="2"/>
        <v>40513</v>
      </c>
      <c r="S315" s="49">
        <f t="array" ref="S315">WEEKDAY(D315,2)</f>
        <v>2</v>
      </c>
      <c r="T315" s="46" t="s">
        <v>126</v>
      </c>
      <c r="U315" s="46" t="str">
        <f t="array" ref="U315">TEXT(D315,"dddd")</f>
        <v>Tuesday</v>
      </c>
    </row>
    <row r="316" hidden="1">
      <c r="A316" s="46">
        <v>3.08582627E8</v>
      </c>
      <c r="B316" s="137" t="s">
        <v>225</v>
      </c>
      <c r="C316" s="137">
        <v>2012.0</v>
      </c>
      <c r="D316" s="138">
        <v>41266.0</v>
      </c>
      <c r="E316" s="139">
        <v>41314.0</v>
      </c>
      <c r="F316" s="142" t="s">
        <v>228</v>
      </c>
      <c r="G316" s="142">
        <v>2013.0</v>
      </c>
      <c r="H316" s="46">
        <v>1270.0</v>
      </c>
      <c r="I316" s="46">
        <v>5312.0</v>
      </c>
      <c r="J316" s="84">
        <v>252054.40000000002</v>
      </c>
      <c r="K316" s="84">
        <v>168868.47999999998</v>
      </c>
      <c r="L316" s="84">
        <v>83185.92000000004</v>
      </c>
      <c r="M316" s="46" t="s">
        <v>152</v>
      </c>
      <c r="N316" s="46" t="s">
        <v>145</v>
      </c>
      <c r="O316" s="46" t="s">
        <v>146</v>
      </c>
      <c r="P316" s="46" t="s">
        <v>147</v>
      </c>
      <c r="Q316" s="46" t="str">
        <f t="shared" si="1"/>
        <v>December, 2012</v>
      </c>
      <c r="R316" s="115">
        <f t="shared" si="2"/>
        <v>41244</v>
      </c>
      <c r="S316" s="49">
        <f t="array" ref="S316">WEEKDAY(D316,2)</f>
        <v>7</v>
      </c>
      <c r="T316" s="46" t="s">
        <v>91</v>
      </c>
      <c r="U316" s="46" t="str">
        <f t="array" ref="U316">TEXT(D316,"dddd")</f>
        <v>Sunday</v>
      </c>
    </row>
    <row r="317" hidden="1">
      <c r="A317" s="46">
        <v>3.09148681E8</v>
      </c>
      <c r="B317" s="137" t="s">
        <v>223</v>
      </c>
      <c r="C317" s="137">
        <v>2012.0</v>
      </c>
      <c r="D317" s="138">
        <v>41022.0</v>
      </c>
      <c r="E317" s="139">
        <v>41034.0</v>
      </c>
      <c r="F317" s="142" t="s">
        <v>219</v>
      </c>
      <c r="G317" s="142">
        <v>2012.0</v>
      </c>
      <c r="H317" s="46">
        <v>7940.0</v>
      </c>
      <c r="I317" s="46">
        <v>2819.0</v>
      </c>
      <c r="J317" s="84">
        <v>1883853.13</v>
      </c>
      <c r="K317" s="84">
        <v>1416660.26</v>
      </c>
      <c r="L317" s="84">
        <v>467192.8699999999</v>
      </c>
      <c r="M317" s="46" t="s">
        <v>148</v>
      </c>
      <c r="N317" s="46" t="s">
        <v>160</v>
      </c>
      <c r="O317" s="46" t="s">
        <v>146</v>
      </c>
      <c r="P317" s="46" t="s">
        <v>147</v>
      </c>
      <c r="Q317" s="46" t="str">
        <f t="shared" si="1"/>
        <v>April, 2012</v>
      </c>
      <c r="R317" s="115">
        <f t="shared" si="2"/>
        <v>41000</v>
      </c>
      <c r="S317" s="49">
        <f t="array" ref="S317">WEEKDAY(D317,2)</f>
        <v>1</v>
      </c>
      <c r="T317" s="46" t="s">
        <v>98</v>
      </c>
      <c r="U317" s="46" t="str">
        <f t="array" ref="U317">TEXT(D317,"dddd")</f>
        <v>Monday</v>
      </c>
    </row>
    <row r="318" hidden="1">
      <c r="A318" s="46">
        <v>3.09188163E8</v>
      </c>
      <c r="B318" s="137" t="s">
        <v>217</v>
      </c>
      <c r="C318" s="137">
        <v>2015.0</v>
      </c>
      <c r="D318" s="138">
        <v>42209.0</v>
      </c>
      <c r="E318" s="139">
        <v>42228.0</v>
      </c>
      <c r="F318" s="142" t="s">
        <v>216</v>
      </c>
      <c r="G318" s="142">
        <v>2015.0</v>
      </c>
      <c r="H318" s="46">
        <v>4594.0</v>
      </c>
      <c r="I318" s="46">
        <v>4503.0</v>
      </c>
      <c r="J318" s="84">
        <v>42012.99</v>
      </c>
      <c r="K318" s="84">
        <v>31160.76</v>
      </c>
      <c r="L318" s="84">
        <v>10852.23</v>
      </c>
      <c r="M318" s="46" t="s">
        <v>156</v>
      </c>
      <c r="N318" s="46" t="s">
        <v>176</v>
      </c>
      <c r="O318" s="46" t="s">
        <v>146</v>
      </c>
      <c r="P318" s="46" t="s">
        <v>158</v>
      </c>
      <c r="Q318" s="46" t="str">
        <f t="shared" si="1"/>
        <v>July, 2015</v>
      </c>
      <c r="R318" s="115">
        <f t="shared" si="2"/>
        <v>42186</v>
      </c>
      <c r="S318" s="49">
        <f t="array" ref="S318">WEEKDAY(D318,2)</f>
        <v>5</v>
      </c>
      <c r="T318" s="46" t="s">
        <v>109</v>
      </c>
      <c r="U318" s="46" t="str">
        <f t="array" ref="U318">TEXT(D318,"dddd")</f>
        <v>Friday</v>
      </c>
    </row>
    <row r="319" hidden="1">
      <c r="A319" s="46">
        <v>3.09285581E8</v>
      </c>
      <c r="B319" s="137" t="s">
        <v>228</v>
      </c>
      <c r="C319" s="137">
        <v>2017.0</v>
      </c>
      <c r="D319" s="138">
        <v>42792.0</v>
      </c>
      <c r="E319" s="139">
        <v>42842.0</v>
      </c>
      <c r="F319" s="142" t="s">
        <v>223</v>
      </c>
      <c r="G319" s="142">
        <v>2017.0</v>
      </c>
      <c r="H319" s="46">
        <v>3127.0</v>
      </c>
      <c r="I319" s="46">
        <v>3331.0</v>
      </c>
      <c r="J319" s="84">
        <v>272242.63</v>
      </c>
      <c r="K319" s="84">
        <v>188767.77000000002</v>
      </c>
      <c r="L319" s="84">
        <v>83474.85999999999</v>
      </c>
      <c r="M319" s="46" t="s">
        <v>185</v>
      </c>
      <c r="N319" s="46" t="s">
        <v>198</v>
      </c>
      <c r="O319" s="46" t="s">
        <v>146</v>
      </c>
      <c r="P319" s="46" t="s">
        <v>170</v>
      </c>
      <c r="Q319" s="46" t="str">
        <f t="shared" si="1"/>
        <v>February, 2017</v>
      </c>
      <c r="R319" s="115">
        <f t="shared" si="2"/>
        <v>42767</v>
      </c>
      <c r="S319" s="49">
        <f t="array" ref="S319">WEEKDAY(D319,2)</f>
        <v>7</v>
      </c>
      <c r="T319" s="46" t="s">
        <v>127</v>
      </c>
      <c r="U319" s="46" t="str">
        <f t="array" ref="U319">TEXT(D319,"dddd")</f>
        <v>Sunday</v>
      </c>
    </row>
    <row r="320" hidden="1">
      <c r="A320" s="46">
        <v>3.09342658E8</v>
      </c>
      <c r="B320" s="137" t="s">
        <v>228</v>
      </c>
      <c r="C320" s="137">
        <v>2011.0</v>
      </c>
      <c r="D320" s="138">
        <v>40599.0</v>
      </c>
      <c r="E320" s="139">
        <v>40630.0</v>
      </c>
      <c r="F320" s="142" t="s">
        <v>222</v>
      </c>
      <c r="G320" s="142">
        <v>2011.0</v>
      </c>
      <c r="H320" s="46">
        <v>3127.0</v>
      </c>
      <c r="I320" s="46">
        <v>222.0</v>
      </c>
      <c r="J320" s="84">
        <v>18144.06</v>
      </c>
      <c r="K320" s="84">
        <v>12580.74</v>
      </c>
      <c r="L320" s="84">
        <v>5563.3200000000015</v>
      </c>
      <c r="M320" s="46" t="s">
        <v>185</v>
      </c>
      <c r="N320" s="46" t="s">
        <v>197</v>
      </c>
      <c r="O320" s="46" t="s">
        <v>146</v>
      </c>
      <c r="P320" s="46" t="s">
        <v>147</v>
      </c>
      <c r="Q320" s="46" t="str">
        <f t="shared" si="1"/>
        <v>February, 2011</v>
      </c>
      <c r="R320" s="115">
        <f t="shared" si="2"/>
        <v>40575</v>
      </c>
      <c r="S320" s="49">
        <f t="array" ref="S320">WEEKDAY(D320,2)</f>
        <v>5</v>
      </c>
      <c r="T320" s="46" t="s">
        <v>126</v>
      </c>
      <c r="U320" s="46" t="str">
        <f t="array" ref="U320">TEXT(D320,"dddd")</f>
        <v>Friday</v>
      </c>
    </row>
    <row r="321" hidden="1">
      <c r="A321" s="46">
        <v>3.09655511E8</v>
      </c>
      <c r="B321" s="137" t="s">
        <v>219</v>
      </c>
      <c r="C321" s="137">
        <v>2014.0</v>
      </c>
      <c r="D321" s="138">
        <v>41764.0</v>
      </c>
      <c r="E321" s="139">
        <v>41780.0</v>
      </c>
      <c r="F321" s="142" t="s">
        <v>219</v>
      </c>
      <c r="G321" s="142">
        <v>2014.0</v>
      </c>
      <c r="H321" s="46">
        <v>3127.0</v>
      </c>
      <c r="I321" s="46">
        <v>4958.0</v>
      </c>
      <c r="J321" s="84">
        <v>405217.34</v>
      </c>
      <c r="K321" s="84">
        <v>280969.86</v>
      </c>
      <c r="L321" s="84">
        <v>124247.48000000004</v>
      </c>
      <c r="M321" s="46" t="s">
        <v>185</v>
      </c>
      <c r="N321" s="46" t="s">
        <v>162</v>
      </c>
      <c r="O321" s="46" t="s">
        <v>146</v>
      </c>
      <c r="P321" s="46" t="s">
        <v>147</v>
      </c>
      <c r="Q321" s="46" t="str">
        <f t="shared" si="1"/>
        <v>May, 2014</v>
      </c>
      <c r="R321" s="115">
        <f t="shared" si="2"/>
        <v>41760</v>
      </c>
      <c r="S321" s="49">
        <f t="array" ref="S321">WEEKDAY(D321,2)</f>
        <v>1</v>
      </c>
      <c r="T321" s="46" t="s">
        <v>99</v>
      </c>
      <c r="U321" s="46" t="str">
        <f t="array" ref="U321">TEXT(D321,"dddd")</f>
        <v>Monday</v>
      </c>
    </row>
    <row r="322" hidden="1">
      <c r="A322" s="46">
        <v>3.1058892E8</v>
      </c>
      <c r="B322" s="137" t="s">
        <v>225</v>
      </c>
      <c r="C322" s="137">
        <v>2012.0</v>
      </c>
      <c r="D322" s="138">
        <v>41257.0</v>
      </c>
      <c r="E322" s="139">
        <v>41280.0</v>
      </c>
      <c r="F322" s="142" t="s">
        <v>227</v>
      </c>
      <c r="G322" s="142">
        <v>2013.0</v>
      </c>
      <c r="H322" s="46">
        <v>8293.0</v>
      </c>
      <c r="I322" s="46">
        <v>9018.0</v>
      </c>
      <c r="J322" s="84">
        <v>3942669.6</v>
      </c>
      <c r="K322" s="84">
        <v>2374709.94</v>
      </c>
      <c r="L322" s="84">
        <v>1567959.6600000001</v>
      </c>
      <c r="M322" s="46" t="s">
        <v>178</v>
      </c>
      <c r="N322" s="46" t="s">
        <v>180</v>
      </c>
      <c r="O322" s="46" t="s">
        <v>146</v>
      </c>
      <c r="P322" s="46" t="s">
        <v>147</v>
      </c>
      <c r="Q322" s="46" t="str">
        <f t="shared" si="1"/>
        <v>December, 2012</v>
      </c>
      <c r="R322" s="115">
        <f t="shared" si="2"/>
        <v>41244</v>
      </c>
      <c r="S322" s="49">
        <f t="array" ref="S322">WEEKDAY(D322,2)</f>
        <v>5</v>
      </c>
      <c r="T322" s="46" t="s">
        <v>112</v>
      </c>
      <c r="U322" s="46" t="str">
        <f t="array" ref="U322">TEXT(D322,"dddd")</f>
        <v>Friday</v>
      </c>
    </row>
    <row r="323" hidden="1">
      <c r="A323" s="46">
        <v>3.11221492E8</v>
      </c>
      <c r="B323" s="137" t="s">
        <v>223</v>
      </c>
      <c r="C323" s="137">
        <v>2016.0</v>
      </c>
      <c r="D323" s="138">
        <v>42471.0</v>
      </c>
      <c r="E323" s="139">
        <v>42497.0</v>
      </c>
      <c r="F323" s="142" t="s">
        <v>219</v>
      </c>
      <c r="G323" s="142">
        <v>2016.0</v>
      </c>
      <c r="H323" s="46">
        <v>4594.0</v>
      </c>
      <c r="I323" s="46">
        <v>6210.0</v>
      </c>
      <c r="J323" s="84">
        <v>57939.3</v>
      </c>
      <c r="K323" s="84">
        <v>42973.2</v>
      </c>
      <c r="L323" s="84">
        <v>14966.100000000006</v>
      </c>
      <c r="M323" s="46" t="s">
        <v>156</v>
      </c>
      <c r="N323" s="46" t="s">
        <v>203</v>
      </c>
      <c r="O323" s="46" t="s">
        <v>146</v>
      </c>
      <c r="P323" s="46" t="s">
        <v>170</v>
      </c>
      <c r="Q323" s="46" t="str">
        <f t="shared" si="1"/>
        <v>April, 2016</v>
      </c>
      <c r="R323" s="115">
        <f t="shared" si="2"/>
        <v>42461</v>
      </c>
      <c r="S323" s="49">
        <f t="array" ref="S323">WEEKDAY(D323,2)</f>
        <v>1</v>
      </c>
      <c r="T323" s="46" t="s">
        <v>132</v>
      </c>
      <c r="U323" s="46" t="str">
        <f t="array" ref="U323">TEXT(D323,"dddd")</f>
        <v>Monday</v>
      </c>
    </row>
    <row r="324" hidden="1">
      <c r="A324" s="46">
        <v>3.1168884E8</v>
      </c>
      <c r="B324" s="137" t="s">
        <v>227</v>
      </c>
      <c r="C324" s="137">
        <v>2015.0</v>
      </c>
      <c r="D324" s="138">
        <v>42026.0</v>
      </c>
      <c r="E324" s="139">
        <v>42049.0</v>
      </c>
      <c r="F324" s="142" t="s">
        <v>228</v>
      </c>
      <c r="G324" s="142">
        <v>2015.0</v>
      </c>
      <c r="H324" s="46">
        <v>3127.0</v>
      </c>
      <c r="I324" s="46">
        <v>4509.0</v>
      </c>
      <c r="J324" s="84">
        <v>368520.57</v>
      </c>
      <c r="K324" s="84">
        <v>255525.03</v>
      </c>
      <c r="L324" s="84">
        <v>112995.54000000001</v>
      </c>
      <c r="M324" s="46" t="s">
        <v>185</v>
      </c>
      <c r="N324" s="46" t="s">
        <v>169</v>
      </c>
      <c r="O324" s="46" t="s">
        <v>146</v>
      </c>
      <c r="P324" s="46" t="s">
        <v>170</v>
      </c>
      <c r="Q324" s="46" t="str">
        <f t="shared" si="1"/>
        <v>January, 2015</v>
      </c>
      <c r="R324" s="115">
        <f t="shared" si="2"/>
        <v>42005</v>
      </c>
      <c r="S324" s="49">
        <f t="array" ref="S324">WEEKDAY(D324,2)</f>
        <v>4</v>
      </c>
      <c r="T324" s="46" t="s">
        <v>103</v>
      </c>
      <c r="U324" s="46" t="str">
        <f t="array" ref="U324">TEXT(D324,"dddd")</f>
        <v>Thursday</v>
      </c>
    </row>
    <row r="325" hidden="1">
      <c r="A325" s="46">
        <v>3.11921012E8</v>
      </c>
      <c r="B325" s="137" t="s">
        <v>216</v>
      </c>
      <c r="C325" s="137">
        <v>2010.0</v>
      </c>
      <c r="D325" s="138">
        <v>40405.0</v>
      </c>
      <c r="E325" s="139">
        <v>40416.0</v>
      </c>
      <c r="F325" s="142" t="s">
        <v>216</v>
      </c>
      <c r="G325" s="142">
        <v>2010.0</v>
      </c>
      <c r="H325" s="46">
        <v>1270.0</v>
      </c>
      <c r="I325" s="46">
        <v>3214.0</v>
      </c>
      <c r="J325" s="84">
        <v>152504.30000000002</v>
      </c>
      <c r="K325" s="84">
        <v>102173.06</v>
      </c>
      <c r="L325" s="84">
        <v>50331.24000000002</v>
      </c>
      <c r="M325" s="46" t="s">
        <v>152</v>
      </c>
      <c r="N325" s="46" t="s">
        <v>187</v>
      </c>
      <c r="O325" s="46" t="s">
        <v>146</v>
      </c>
      <c r="P325" s="46" t="s">
        <v>155</v>
      </c>
      <c r="Q325" s="46" t="str">
        <f t="shared" si="1"/>
        <v>August, 2010</v>
      </c>
      <c r="R325" s="115">
        <f t="shared" si="2"/>
        <v>40391</v>
      </c>
      <c r="S325" s="49">
        <f t="array" ref="S325">WEEKDAY(D325,2)</f>
        <v>7</v>
      </c>
      <c r="T325" s="46" t="s">
        <v>116</v>
      </c>
      <c r="U325" s="46" t="str">
        <f t="array" ref="U325">TEXT(D325,"dddd")</f>
        <v>Sunday</v>
      </c>
    </row>
    <row r="326" hidden="1">
      <c r="A326" s="46">
        <v>3.11956632E8</v>
      </c>
      <c r="B326" s="137" t="s">
        <v>227</v>
      </c>
      <c r="C326" s="137">
        <v>2017.0</v>
      </c>
      <c r="D326" s="138">
        <v>42739.0</v>
      </c>
      <c r="E326" s="139">
        <v>42745.0</v>
      </c>
      <c r="F326" s="142" t="s">
        <v>227</v>
      </c>
      <c r="G326" s="142">
        <v>2017.0</v>
      </c>
      <c r="H326" s="46">
        <v>8293.0</v>
      </c>
      <c r="I326" s="46">
        <v>3755.0</v>
      </c>
      <c r="J326" s="84">
        <v>1641686.0</v>
      </c>
      <c r="K326" s="84">
        <v>988804.1499999999</v>
      </c>
      <c r="L326" s="84">
        <v>652881.8500000001</v>
      </c>
      <c r="M326" s="46" t="s">
        <v>178</v>
      </c>
      <c r="N326" s="46" t="s">
        <v>188</v>
      </c>
      <c r="O326" s="46" t="s">
        <v>146</v>
      </c>
      <c r="P326" s="46" t="s">
        <v>170</v>
      </c>
      <c r="Q326" s="46" t="str">
        <f t="shared" si="1"/>
        <v>January, 2017</v>
      </c>
      <c r="R326" s="115">
        <f t="shared" si="2"/>
        <v>42736</v>
      </c>
      <c r="S326" s="49">
        <f t="array" ref="S326">WEEKDAY(D326,2)</f>
        <v>3</v>
      </c>
      <c r="T326" s="46" t="s">
        <v>117</v>
      </c>
      <c r="U326" s="46" t="str">
        <f t="array" ref="U326">TEXT(D326,"dddd")</f>
        <v>Wednesday</v>
      </c>
    </row>
    <row r="327" hidden="1">
      <c r="A327" s="46">
        <v>3.13178002E8</v>
      </c>
      <c r="B327" s="137" t="s">
        <v>226</v>
      </c>
      <c r="C327" s="137">
        <v>2013.0</v>
      </c>
      <c r="D327" s="138">
        <v>41566.0</v>
      </c>
      <c r="E327" s="139">
        <v>41614.0</v>
      </c>
      <c r="F327" s="142" t="s">
        <v>225</v>
      </c>
      <c r="G327" s="142">
        <v>2013.0</v>
      </c>
      <c r="H327" s="46">
        <v>1270.0</v>
      </c>
      <c r="I327" s="46">
        <v>5185.0</v>
      </c>
      <c r="J327" s="84">
        <v>246028.25000000003</v>
      </c>
      <c r="K327" s="84">
        <v>164831.15</v>
      </c>
      <c r="L327" s="84">
        <v>81197.10000000003</v>
      </c>
      <c r="M327" s="46" t="s">
        <v>152</v>
      </c>
      <c r="N327" s="46" t="s">
        <v>196</v>
      </c>
      <c r="O327" s="46" t="s">
        <v>146</v>
      </c>
      <c r="P327" s="46" t="s">
        <v>155</v>
      </c>
      <c r="Q327" s="46" t="str">
        <f t="shared" si="1"/>
        <v>October, 2013</v>
      </c>
      <c r="R327" s="115">
        <f t="shared" si="2"/>
        <v>41548</v>
      </c>
      <c r="S327" s="49">
        <f t="array" ref="S327">WEEKDAY(D327,2)</f>
        <v>6</v>
      </c>
      <c r="T327" s="46" t="s">
        <v>125</v>
      </c>
      <c r="U327" s="46" t="str">
        <f t="array" ref="U327">TEXT(D327,"dddd")</f>
        <v>Saturday</v>
      </c>
    </row>
    <row r="328" hidden="1">
      <c r="A328" s="46">
        <v>3.13705861E8</v>
      </c>
      <c r="B328" s="137" t="s">
        <v>219</v>
      </c>
      <c r="C328" s="137">
        <v>2016.0</v>
      </c>
      <c r="D328" s="138">
        <v>42519.0</v>
      </c>
      <c r="E328" s="139">
        <v>42561.0</v>
      </c>
      <c r="F328" s="142" t="s">
        <v>217</v>
      </c>
      <c r="G328" s="142">
        <v>2016.0</v>
      </c>
      <c r="H328" s="46">
        <v>4594.0</v>
      </c>
      <c r="I328" s="46">
        <v>1390.0</v>
      </c>
      <c r="J328" s="84">
        <v>12968.7</v>
      </c>
      <c r="K328" s="84">
        <v>9618.8</v>
      </c>
      <c r="L328" s="84">
        <v>3349.9000000000015</v>
      </c>
      <c r="M328" s="46" t="s">
        <v>156</v>
      </c>
      <c r="N328" s="46" t="s">
        <v>151</v>
      </c>
      <c r="O328" s="46" t="s">
        <v>146</v>
      </c>
      <c r="P328" s="46" t="s">
        <v>147</v>
      </c>
      <c r="Q328" s="46" t="str">
        <f t="shared" si="1"/>
        <v>May, 2016</v>
      </c>
      <c r="R328" s="115">
        <f t="shared" si="2"/>
        <v>42491</v>
      </c>
      <c r="S328" s="49">
        <f t="array" ref="S328">WEEKDAY(D328,2)</f>
        <v>7</v>
      </c>
      <c r="T328" s="46" t="s">
        <v>94</v>
      </c>
      <c r="U328" s="46" t="str">
        <f t="array" ref="U328">TEXT(D328,"dddd")</f>
        <v>Sunday</v>
      </c>
    </row>
    <row r="329" hidden="1">
      <c r="A329" s="46">
        <v>3.13821303E8</v>
      </c>
      <c r="B329" s="137" t="s">
        <v>225</v>
      </c>
      <c r="C329" s="137">
        <v>2010.0</v>
      </c>
      <c r="D329" s="138">
        <v>40517.0</v>
      </c>
      <c r="E329" s="139">
        <v>40560.0</v>
      </c>
      <c r="F329" s="142" t="s">
        <v>227</v>
      </c>
      <c r="G329" s="142">
        <v>2011.0</v>
      </c>
      <c r="H329" s="46">
        <v>8681.0</v>
      </c>
      <c r="I329" s="46">
        <v>5552.0</v>
      </c>
      <c r="J329" s="84">
        <v>3615517.9200000004</v>
      </c>
      <c r="K329" s="84">
        <v>2914577.9200000004</v>
      </c>
      <c r="L329" s="84">
        <v>700940.0</v>
      </c>
      <c r="M329" s="46" t="s">
        <v>153</v>
      </c>
      <c r="N329" s="46" t="s">
        <v>194</v>
      </c>
      <c r="O329" s="46" t="s">
        <v>146</v>
      </c>
      <c r="P329" s="46" t="s">
        <v>155</v>
      </c>
      <c r="Q329" s="46" t="str">
        <f t="shared" si="1"/>
        <v>December, 2010</v>
      </c>
      <c r="R329" s="115">
        <f t="shared" si="2"/>
        <v>40513</v>
      </c>
      <c r="S329" s="49">
        <f t="array" ref="S329">WEEKDAY(D329,2)</f>
        <v>7</v>
      </c>
      <c r="T329" s="46" t="s">
        <v>123</v>
      </c>
      <c r="U329" s="46" t="str">
        <f t="array" ref="U329">TEXT(D329,"dddd")</f>
        <v>Sunday</v>
      </c>
    </row>
    <row r="330" hidden="1">
      <c r="A330" s="46">
        <v>3.14782178E8</v>
      </c>
      <c r="B330" s="137" t="s">
        <v>220</v>
      </c>
      <c r="C330" s="137">
        <v>2012.0</v>
      </c>
      <c r="D330" s="138">
        <v>41075.0</v>
      </c>
      <c r="E330" s="139">
        <v>41102.0</v>
      </c>
      <c r="F330" s="142" t="s">
        <v>217</v>
      </c>
      <c r="G330" s="142">
        <v>2012.0</v>
      </c>
      <c r="H330" s="46">
        <v>7331.0</v>
      </c>
      <c r="I330" s="46">
        <v>9896.0</v>
      </c>
      <c r="J330" s="84">
        <v>2526250.88</v>
      </c>
      <c r="K330" s="84">
        <v>1577620.3199999998</v>
      </c>
      <c r="L330" s="84">
        <v>948630.56</v>
      </c>
      <c r="M330" s="46" t="s">
        <v>161</v>
      </c>
      <c r="N330" s="46" t="s">
        <v>197</v>
      </c>
      <c r="O330" s="46" t="s">
        <v>146</v>
      </c>
      <c r="P330" s="46" t="s">
        <v>147</v>
      </c>
      <c r="Q330" s="46" t="str">
        <f t="shared" si="1"/>
        <v>June, 2012</v>
      </c>
      <c r="R330" s="115">
        <f t="shared" si="2"/>
        <v>41061</v>
      </c>
      <c r="S330" s="49">
        <f t="array" ref="S330">WEEKDAY(D330,2)</f>
        <v>5</v>
      </c>
      <c r="T330" s="46" t="s">
        <v>126</v>
      </c>
      <c r="U330" s="46" t="str">
        <f t="array" ref="U330">TEXT(D330,"dddd")</f>
        <v>Friday</v>
      </c>
    </row>
    <row r="331" hidden="1">
      <c r="A331" s="46">
        <v>3.15066277E8</v>
      </c>
      <c r="B331" s="137" t="s">
        <v>226</v>
      </c>
      <c r="C331" s="137">
        <v>2013.0</v>
      </c>
      <c r="D331" s="138">
        <v>41557.0</v>
      </c>
      <c r="E331" s="139">
        <v>41606.0</v>
      </c>
      <c r="F331" s="142" t="s">
        <v>224</v>
      </c>
      <c r="G331" s="142">
        <v>2013.0</v>
      </c>
      <c r="H331" s="46">
        <v>8969.0</v>
      </c>
      <c r="I331" s="46">
        <v>3968.0</v>
      </c>
      <c r="J331" s="84">
        <v>605437.4400000001</v>
      </c>
      <c r="K331" s="84">
        <v>386641.92</v>
      </c>
      <c r="L331" s="84">
        <v>218795.52000000008</v>
      </c>
      <c r="M331" s="46" t="s">
        <v>182</v>
      </c>
      <c r="N331" s="46" t="s">
        <v>154</v>
      </c>
      <c r="O331" s="46" t="s">
        <v>146</v>
      </c>
      <c r="P331" s="46" t="s">
        <v>155</v>
      </c>
      <c r="Q331" s="46" t="str">
        <f t="shared" si="1"/>
        <v>October, 2013</v>
      </c>
      <c r="R331" s="115">
        <f t="shared" si="2"/>
        <v>41548</v>
      </c>
      <c r="S331" s="49">
        <f t="array" ref="S331">WEEKDAY(D331,2)</f>
        <v>4</v>
      </c>
      <c r="T331" s="46" t="s">
        <v>96</v>
      </c>
      <c r="U331" s="46" t="str">
        <f t="array" ref="U331">TEXT(D331,"dddd")</f>
        <v>Thursday</v>
      </c>
    </row>
    <row r="332" hidden="1">
      <c r="A332" s="46">
        <v>3.16466176E8</v>
      </c>
      <c r="B332" s="137" t="s">
        <v>219</v>
      </c>
      <c r="C332" s="137">
        <v>2014.0</v>
      </c>
      <c r="D332" s="138">
        <v>41781.0</v>
      </c>
      <c r="E332" s="139">
        <v>41792.0</v>
      </c>
      <c r="F332" s="142" t="s">
        <v>220</v>
      </c>
      <c r="G332" s="142">
        <v>2014.0</v>
      </c>
      <c r="H332" s="46">
        <v>7331.0</v>
      </c>
      <c r="I332" s="46">
        <v>8229.0</v>
      </c>
      <c r="J332" s="84">
        <v>2100699.12</v>
      </c>
      <c r="K332" s="84">
        <v>1311867.18</v>
      </c>
      <c r="L332" s="84">
        <v>788831.9400000002</v>
      </c>
      <c r="M332" s="46" t="s">
        <v>161</v>
      </c>
      <c r="N332" s="46" t="s">
        <v>188</v>
      </c>
      <c r="O332" s="46" t="s">
        <v>146</v>
      </c>
      <c r="P332" s="46" t="s">
        <v>170</v>
      </c>
      <c r="Q332" s="46" t="str">
        <f t="shared" si="1"/>
        <v>May, 2014</v>
      </c>
      <c r="R332" s="115">
        <f t="shared" si="2"/>
        <v>41760</v>
      </c>
      <c r="S332" s="49">
        <f t="array" ref="S332">WEEKDAY(D332,2)</f>
        <v>4</v>
      </c>
      <c r="T332" s="46" t="s">
        <v>117</v>
      </c>
      <c r="U332" s="46" t="str">
        <f t="array" ref="U332">TEXT(D332,"dddd")</f>
        <v>Thursday</v>
      </c>
    </row>
    <row r="333" hidden="1">
      <c r="A333" s="46">
        <v>3.17006051E8</v>
      </c>
      <c r="B333" s="137" t="s">
        <v>223</v>
      </c>
      <c r="C333" s="137">
        <v>2017.0</v>
      </c>
      <c r="D333" s="138">
        <v>42855.0</v>
      </c>
      <c r="E333" s="139">
        <v>42891.0</v>
      </c>
      <c r="F333" s="142" t="s">
        <v>220</v>
      </c>
      <c r="G333" s="142">
        <v>2017.0</v>
      </c>
      <c r="H333" s="46">
        <v>1270.0</v>
      </c>
      <c r="I333" s="46">
        <v>7990.0</v>
      </c>
      <c r="J333" s="84">
        <v>379125.5</v>
      </c>
      <c r="K333" s="84">
        <v>254002.1</v>
      </c>
      <c r="L333" s="84">
        <v>125123.4</v>
      </c>
      <c r="M333" s="46" t="s">
        <v>152</v>
      </c>
      <c r="N333" s="46" t="s">
        <v>208</v>
      </c>
      <c r="O333" s="46" t="s">
        <v>146</v>
      </c>
      <c r="P333" s="46" t="s">
        <v>147</v>
      </c>
      <c r="Q333" s="46" t="str">
        <f t="shared" si="1"/>
        <v>April, 2017</v>
      </c>
      <c r="R333" s="115">
        <f t="shared" si="2"/>
        <v>42826</v>
      </c>
      <c r="S333" s="49">
        <f t="array" ref="S333">WEEKDAY(D333,2)</f>
        <v>7</v>
      </c>
      <c r="T333" s="46" t="s">
        <v>138</v>
      </c>
      <c r="U333" s="46" t="str">
        <f t="array" ref="U333">TEXT(D333,"dddd")</f>
        <v>Sunday</v>
      </c>
    </row>
    <row r="334" hidden="1">
      <c r="A334" s="46">
        <v>3.18523538E8</v>
      </c>
      <c r="B334" s="137" t="s">
        <v>226</v>
      </c>
      <c r="C334" s="137">
        <v>2015.0</v>
      </c>
      <c r="D334" s="138">
        <v>42284.0</v>
      </c>
      <c r="E334" s="139">
        <v>42313.0</v>
      </c>
      <c r="F334" s="142" t="s">
        <v>224</v>
      </c>
      <c r="G334" s="142">
        <v>2015.0</v>
      </c>
      <c r="H334" s="46">
        <v>2103.0</v>
      </c>
      <c r="I334" s="46">
        <v>7048.0</v>
      </c>
      <c r="J334" s="84">
        <v>1449773.5999999999</v>
      </c>
      <c r="K334" s="84">
        <v>825391.28</v>
      </c>
      <c r="L334" s="84">
        <v>624382.3199999998</v>
      </c>
      <c r="M334" s="46" t="s">
        <v>144</v>
      </c>
      <c r="N334" s="46" t="s">
        <v>188</v>
      </c>
      <c r="O334" s="46" t="s">
        <v>146</v>
      </c>
      <c r="P334" s="46" t="s">
        <v>170</v>
      </c>
      <c r="Q334" s="46" t="str">
        <f t="shared" si="1"/>
        <v>October, 2015</v>
      </c>
      <c r="R334" s="115">
        <f t="shared" si="2"/>
        <v>42278</v>
      </c>
      <c r="S334" s="49">
        <f t="array" ref="S334">WEEKDAY(D334,2)</f>
        <v>3</v>
      </c>
      <c r="T334" s="46" t="s">
        <v>117</v>
      </c>
      <c r="U334" s="46" t="str">
        <f t="array" ref="U334">TEXT(D334,"dddd")</f>
        <v>Wednesday</v>
      </c>
    </row>
    <row r="335" hidden="1">
      <c r="A335" s="46">
        <v>3.20431125E8</v>
      </c>
      <c r="B335" s="137" t="s">
        <v>222</v>
      </c>
      <c r="C335" s="137">
        <v>2015.0</v>
      </c>
      <c r="D335" s="138">
        <v>42074.0</v>
      </c>
      <c r="E335" s="139">
        <v>42111.0</v>
      </c>
      <c r="F335" s="142" t="s">
        <v>223</v>
      </c>
      <c r="G335" s="142">
        <v>2015.0</v>
      </c>
      <c r="H335" s="46">
        <v>1270.0</v>
      </c>
      <c r="I335" s="46">
        <v>1545.0</v>
      </c>
      <c r="J335" s="84">
        <v>73310.25</v>
      </c>
      <c r="K335" s="84">
        <v>49115.549999999996</v>
      </c>
      <c r="L335" s="84">
        <v>24194.700000000004</v>
      </c>
      <c r="M335" s="46" t="s">
        <v>152</v>
      </c>
      <c r="N335" s="46" t="s">
        <v>199</v>
      </c>
      <c r="O335" s="46" t="s">
        <v>146</v>
      </c>
      <c r="P335" s="46" t="s">
        <v>147</v>
      </c>
      <c r="Q335" s="46" t="str">
        <f t="shared" si="1"/>
        <v>March, 2015</v>
      </c>
      <c r="R335" s="115">
        <f t="shared" si="2"/>
        <v>42064</v>
      </c>
      <c r="S335" s="49">
        <f t="array" ref="S335">WEEKDAY(D335,2)</f>
        <v>3</v>
      </c>
      <c r="T335" s="46" t="s">
        <v>128</v>
      </c>
      <c r="U335" s="46" t="str">
        <f t="array" ref="U335">TEXT(D335,"dddd")</f>
        <v>Wednesday</v>
      </c>
    </row>
    <row r="336" hidden="1">
      <c r="A336" s="46">
        <v>3.21628463E8</v>
      </c>
      <c r="B336" s="137" t="s">
        <v>223</v>
      </c>
      <c r="C336" s="137">
        <v>2011.0</v>
      </c>
      <c r="D336" s="138">
        <v>40660.0</v>
      </c>
      <c r="E336" s="139">
        <v>40677.0</v>
      </c>
      <c r="F336" s="142" t="s">
        <v>219</v>
      </c>
      <c r="G336" s="142">
        <v>2011.0</v>
      </c>
      <c r="H336" s="46">
        <v>7940.0</v>
      </c>
      <c r="I336" s="46">
        <v>5864.0</v>
      </c>
      <c r="J336" s="84">
        <v>3918735.28</v>
      </c>
      <c r="K336" s="84">
        <v>2946894.56</v>
      </c>
      <c r="L336" s="84">
        <v>971840.7199999997</v>
      </c>
      <c r="M336" s="46" t="s">
        <v>148</v>
      </c>
      <c r="N336" s="46" t="s">
        <v>173</v>
      </c>
      <c r="O336" s="46" t="s">
        <v>146</v>
      </c>
      <c r="P336" s="46" t="s">
        <v>155</v>
      </c>
      <c r="Q336" s="46" t="str">
        <f t="shared" si="1"/>
        <v>April, 2011</v>
      </c>
      <c r="R336" s="115">
        <f t="shared" si="2"/>
        <v>40634</v>
      </c>
      <c r="S336" s="49">
        <f t="array" ref="S336">WEEKDAY(D336,2)</f>
        <v>3</v>
      </c>
      <c r="T336" s="46" t="s">
        <v>106</v>
      </c>
      <c r="U336" s="46" t="str">
        <f t="array" ref="U336">TEXT(D336,"dddd")</f>
        <v>Wednesday</v>
      </c>
    </row>
    <row r="337" hidden="1">
      <c r="A337" s="46">
        <v>3.22524106E8</v>
      </c>
      <c r="B337" s="137" t="s">
        <v>219</v>
      </c>
      <c r="C337" s="137">
        <v>2015.0</v>
      </c>
      <c r="D337" s="138">
        <v>42144.0</v>
      </c>
      <c r="E337" s="139">
        <v>42144.0</v>
      </c>
      <c r="F337" s="142" t="s">
        <v>219</v>
      </c>
      <c r="G337" s="142">
        <v>2015.0</v>
      </c>
      <c r="H337" s="46">
        <v>2103.0</v>
      </c>
      <c r="I337" s="46">
        <v>905.0</v>
      </c>
      <c r="J337" s="84">
        <v>186158.5</v>
      </c>
      <c r="K337" s="84">
        <v>105984.55</v>
      </c>
      <c r="L337" s="84">
        <v>80173.95</v>
      </c>
      <c r="M337" s="46" t="s">
        <v>144</v>
      </c>
      <c r="N337" s="46" t="s">
        <v>184</v>
      </c>
      <c r="O337" s="46" t="s">
        <v>146</v>
      </c>
      <c r="P337" s="46" t="s">
        <v>155</v>
      </c>
      <c r="Q337" s="46" t="str">
        <f t="shared" si="1"/>
        <v>May, 2015</v>
      </c>
      <c r="R337" s="115">
        <f t="shared" si="2"/>
        <v>42125</v>
      </c>
      <c r="S337" s="49">
        <f t="array" ref="S337">WEEKDAY(D337,2)</f>
        <v>3</v>
      </c>
      <c r="T337" s="46" t="s">
        <v>114</v>
      </c>
      <c r="U337" s="46" t="str">
        <f t="array" ref="U337">TEXT(D337,"dddd")</f>
        <v>Wednesday</v>
      </c>
    </row>
    <row r="338" hidden="1">
      <c r="A338" s="46">
        <v>3.23293578E8</v>
      </c>
      <c r="B338" s="137" t="s">
        <v>225</v>
      </c>
      <c r="C338" s="137">
        <v>2015.0</v>
      </c>
      <c r="D338" s="138">
        <v>42362.0</v>
      </c>
      <c r="E338" s="139">
        <v>42402.0</v>
      </c>
      <c r="F338" s="142" t="s">
        <v>228</v>
      </c>
      <c r="G338" s="142">
        <v>2016.0</v>
      </c>
      <c r="H338" s="46">
        <v>2103.0</v>
      </c>
      <c r="I338" s="46">
        <v>8609.0</v>
      </c>
      <c r="J338" s="84">
        <v>1770871.2999999998</v>
      </c>
      <c r="K338" s="84">
        <v>1008199.99</v>
      </c>
      <c r="L338" s="84">
        <v>762671.3099999998</v>
      </c>
      <c r="M338" s="46" t="s">
        <v>144</v>
      </c>
      <c r="N338" s="46" t="s">
        <v>189</v>
      </c>
      <c r="O338" s="46" t="s">
        <v>146</v>
      </c>
      <c r="P338" s="46" t="s">
        <v>158</v>
      </c>
      <c r="Q338" s="46" t="str">
        <f t="shared" si="1"/>
        <v>December, 2015</v>
      </c>
      <c r="R338" s="115">
        <f t="shared" si="2"/>
        <v>42339</v>
      </c>
      <c r="S338" s="49">
        <f t="array" ref="S338">WEEKDAY(D338,2)</f>
        <v>4</v>
      </c>
      <c r="T338" s="46" t="s">
        <v>118</v>
      </c>
      <c r="U338" s="46" t="str">
        <f t="array" ref="U338">TEXT(D338,"dddd")</f>
        <v>Thursday</v>
      </c>
    </row>
    <row r="339" hidden="1">
      <c r="A339" s="46">
        <v>3.25314033E8</v>
      </c>
      <c r="B339" s="137" t="s">
        <v>227</v>
      </c>
      <c r="C339" s="137">
        <v>2012.0</v>
      </c>
      <c r="D339" s="138">
        <v>40914.0</v>
      </c>
      <c r="E339" s="139">
        <v>40938.0</v>
      </c>
      <c r="F339" s="142" t="s">
        <v>227</v>
      </c>
      <c r="G339" s="142">
        <v>2012.0</v>
      </c>
      <c r="H339" s="46">
        <v>2455.0</v>
      </c>
      <c r="I339" s="46">
        <v>6506.0</v>
      </c>
      <c r="J339" s="84">
        <v>710975.68</v>
      </c>
      <c r="K339" s="84">
        <v>233175.04</v>
      </c>
      <c r="L339" s="84">
        <v>477800.64</v>
      </c>
      <c r="M339" s="46" t="s">
        <v>150</v>
      </c>
      <c r="N339" s="46" t="s">
        <v>175</v>
      </c>
      <c r="O339" s="46" t="s">
        <v>165</v>
      </c>
      <c r="P339" s="46" t="s">
        <v>166</v>
      </c>
      <c r="Q339" s="46" t="str">
        <f t="shared" si="1"/>
        <v>January, 2012</v>
      </c>
      <c r="R339" s="115">
        <f t="shared" si="2"/>
        <v>40909</v>
      </c>
      <c r="S339" s="49">
        <f t="array" ref="S339">WEEKDAY(D339,2)</f>
        <v>5</v>
      </c>
      <c r="T339" s="46" t="s">
        <v>108</v>
      </c>
      <c r="U339" s="46" t="str">
        <f t="array" ref="U339">TEXT(D339,"dddd")</f>
        <v>Friday</v>
      </c>
    </row>
    <row r="340" hidden="1">
      <c r="A340" s="46">
        <v>3.27072703E8</v>
      </c>
      <c r="B340" s="137" t="s">
        <v>224</v>
      </c>
      <c r="C340" s="137">
        <v>2013.0</v>
      </c>
      <c r="D340" s="138">
        <v>41579.0</v>
      </c>
      <c r="E340" s="139">
        <v>41594.0</v>
      </c>
      <c r="F340" s="142" t="s">
        <v>224</v>
      </c>
      <c r="G340" s="142">
        <v>2013.0</v>
      </c>
      <c r="H340" s="46">
        <v>8293.0</v>
      </c>
      <c r="I340" s="46">
        <v>6936.0</v>
      </c>
      <c r="J340" s="84">
        <v>3032419.1999999997</v>
      </c>
      <c r="K340" s="84">
        <v>1826456.88</v>
      </c>
      <c r="L340" s="84">
        <v>1205962.3199999998</v>
      </c>
      <c r="M340" s="46" t="s">
        <v>178</v>
      </c>
      <c r="N340" s="46" t="s">
        <v>154</v>
      </c>
      <c r="O340" s="46" t="s">
        <v>146</v>
      </c>
      <c r="P340" s="46" t="s">
        <v>155</v>
      </c>
      <c r="Q340" s="46" t="str">
        <f t="shared" si="1"/>
        <v>November, 2013</v>
      </c>
      <c r="R340" s="115">
        <f t="shared" si="2"/>
        <v>41579</v>
      </c>
      <c r="S340" s="49">
        <f t="array" ref="S340">WEEKDAY(D340,2)</f>
        <v>5</v>
      </c>
      <c r="T340" s="46" t="s">
        <v>96</v>
      </c>
      <c r="U340" s="46" t="str">
        <f t="array" ref="U340">TEXT(D340,"dddd")</f>
        <v>Friday</v>
      </c>
    </row>
    <row r="341" hidden="1">
      <c r="A341" s="46">
        <v>3.27604424E8</v>
      </c>
      <c r="B341" s="137" t="s">
        <v>223</v>
      </c>
      <c r="C341" s="137">
        <v>2013.0</v>
      </c>
      <c r="D341" s="138">
        <v>41385.0</v>
      </c>
      <c r="E341" s="139">
        <v>41407.0</v>
      </c>
      <c r="F341" s="142" t="s">
        <v>219</v>
      </c>
      <c r="G341" s="142">
        <v>2013.0</v>
      </c>
      <c r="H341" s="46">
        <v>1270.0</v>
      </c>
      <c r="I341" s="46">
        <v>4284.0</v>
      </c>
      <c r="J341" s="84">
        <v>203275.80000000002</v>
      </c>
      <c r="K341" s="84">
        <v>136188.36</v>
      </c>
      <c r="L341" s="84">
        <v>67087.44000000003</v>
      </c>
      <c r="M341" s="46" t="s">
        <v>152</v>
      </c>
      <c r="N341" s="46" t="s">
        <v>194</v>
      </c>
      <c r="O341" s="46" t="s">
        <v>146</v>
      </c>
      <c r="P341" s="46" t="s">
        <v>155</v>
      </c>
      <c r="Q341" s="46" t="str">
        <f t="shared" si="1"/>
        <v>April, 2013</v>
      </c>
      <c r="R341" s="115">
        <f t="shared" si="2"/>
        <v>41365</v>
      </c>
      <c r="S341" s="49">
        <f t="array" ref="S341">WEEKDAY(D341,2)</f>
        <v>7</v>
      </c>
      <c r="T341" s="46" t="s">
        <v>123</v>
      </c>
      <c r="U341" s="46" t="str">
        <f t="array" ref="U341">TEXT(D341,"dddd")</f>
        <v>Sunday</v>
      </c>
    </row>
    <row r="342" hidden="1">
      <c r="A342" s="46">
        <v>3.28322827E8</v>
      </c>
      <c r="B342" s="137" t="s">
        <v>220</v>
      </c>
      <c r="C342" s="137">
        <v>2012.0</v>
      </c>
      <c r="D342" s="138">
        <v>41090.0</v>
      </c>
      <c r="E342" s="139">
        <v>41109.0</v>
      </c>
      <c r="F342" s="142" t="s">
        <v>217</v>
      </c>
      <c r="G342" s="142">
        <v>2012.0</v>
      </c>
      <c r="H342" s="46">
        <v>8293.0</v>
      </c>
      <c r="I342" s="46">
        <v>6876.0</v>
      </c>
      <c r="J342" s="84">
        <v>3006187.1999999997</v>
      </c>
      <c r="K342" s="84">
        <v>1810657.0799999998</v>
      </c>
      <c r="L342" s="84">
        <v>1195530.1199999999</v>
      </c>
      <c r="M342" s="46" t="s">
        <v>178</v>
      </c>
      <c r="N342" s="46" t="s">
        <v>199</v>
      </c>
      <c r="O342" s="46" t="s">
        <v>146</v>
      </c>
      <c r="P342" s="46" t="s">
        <v>147</v>
      </c>
      <c r="Q342" s="46" t="str">
        <f t="shared" si="1"/>
        <v>June, 2012</v>
      </c>
      <c r="R342" s="115">
        <f t="shared" si="2"/>
        <v>41061</v>
      </c>
      <c r="S342" s="49">
        <f t="array" ref="S342">WEEKDAY(D342,2)</f>
        <v>6</v>
      </c>
      <c r="T342" s="46" t="s">
        <v>128</v>
      </c>
      <c r="U342" s="46" t="str">
        <f t="array" ref="U342">TEXT(D342,"dddd")</f>
        <v>Saturday</v>
      </c>
    </row>
    <row r="343">
      <c r="A343" s="46">
        <v>3.28721082E8</v>
      </c>
      <c r="B343" s="137" t="s">
        <v>225</v>
      </c>
      <c r="C343" s="137">
        <v>2016.0</v>
      </c>
      <c r="D343" s="138">
        <v>42718.0</v>
      </c>
      <c r="E343" s="139">
        <v>42722.0</v>
      </c>
      <c r="F343" s="142" t="s">
        <v>225</v>
      </c>
      <c r="G343" s="142">
        <v>2016.0</v>
      </c>
      <c r="H343" s="46">
        <v>7331.0</v>
      </c>
      <c r="I343" s="46">
        <v>4728.0</v>
      </c>
      <c r="J343" s="84">
        <v>1206963.84</v>
      </c>
      <c r="K343" s="84">
        <v>753737.7599999999</v>
      </c>
      <c r="L343" s="84">
        <v>453226.0800000002</v>
      </c>
      <c r="M343" s="46" t="s">
        <v>161</v>
      </c>
      <c r="N343" s="46" t="s">
        <v>149</v>
      </c>
      <c r="O343" s="46" t="s">
        <v>149</v>
      </c>
      <c r="P343" s="46" t="s">
        <v>218</v>
      </c>
      <c r="Q343" s="46" t="str">
        <f t="shared" si="1"/>
        <v>December, 2016</v>
      </c>
      <c r="R343" s="115">
        <f t="shared" si="2"/>
        <v>42705</v>
      </c>
      <c r="S343" s="49">
        <f t="array" ref="S343">WEEKDAY(D343,2)</f>
        <v>3</v>
      </c>
      <c r="T343" s="46" t="s">
        <v>92</v>
      </c>
      <c r="U343" s="46" t="str">
        <f t="array" ref="U343">TEXT(D343,"dddd")</f>
        <v>Wednesday</v>
      </c>
    </row>
    <row r="344" hidden="1">
      <c r="A344" s="46">
        <v>3.29529607E8</v>
      </c>
      <c r="B344" s="137" t="s">
        <v>227</v>
      </c>
      <c r="C344" s="137">
        <v>2011.0</v>
      </c>
      <c r="D344" s="138">
        <v>40561.0</v>
      </c>
      <c r="E344" s="139">
        <v>40566.0</v>
      </c>
      <c r="F344" s="142" t="s">
        <v>227</v>
      </c>
      <c r="G344" s="142">
        <v>2011.0</v>
      </c>
      <c r="H344" s="46">
        <v>8293.0</v>
      </c>
      <c r="I344" s="46">
        <v>3988.0</v>
      </c>
      <c r="J344" s="84">
        <v>1743553.5999999999</v>
      </c>
      <c r="K344" s="84">
        <v>1050160.04</v>
      </c>
      <c r="L344" s="84">
        <v>693393.5599999998</v>
      </c>
      <c r="M344" s="46" t="s">
        <v>178</v>
      </c>
      <c r="N344" s="46" t="s">
        <v>181</v>
      </c>
      <c r="O344" s="46" t="s">
        <v>146</v>
      </c>
      <c r="P344" s="46" t="s">
        <v>155</v>
      </c>
      <c r="Q344" s="46" t="str">
        <f t="shared" si="1"/>
        <v>January, 2011</v>
      </c>
      <c r="R344" s="115">
        <f t="shared" si="2"/>
        <v>40544</v>
      </c>
      <c r="S344" s="49">
        <f t="array" ref="S344">WEEKDAY(D344,2)</f>
        <v>2</v>
      </c>
      <c r="T344" s="46" t="s">
        <v>113</v>
      </c>
      <c r="U344" s="46" t="str">
        <f t="array" ref="U344">TEXT(D344,"dddd")</f>
        <v>Tuesday</v>
      </c>
    </row>
    <row r="345" hidden="1">
      <c r="A345" s="46">
        <v>3.30590474E8</v>
      </c>
      <c r="B345" s="137" t="s">
        <v>227</v>
      </c>
      <c r="C345" s="137">
        <v>2012.0</v>
      </c>
      <c r="D345" s="138">
        <v>40938.0</v>
      </c>
      <c r="E345" s="139">
        <v>40982.0</v>
      </c>
      <c r="F345" s="142" t="s">
        <v>222</v>
      </c>
      <c r="G345" s="142">
        <v>2012.0</v>
      </c>
      <c r="H345" s="46">
        <v>8681.0</v>
      </c>
      <c r="I345" s="46">
        <v>7923.0</v>
      </c>
      <c r="J345" s="84">
        <v>5159536.83</v>
      </c>
      <c r="K345" s="84">
        <v>4159258.08</v>
      </c>
      <c r="L345" s="84">
        <v>1000278.75</v>
      </c>
      <c r="M345" s="46" t="s">
        <v>153</v>
      </c>
      <c r="N345" s="46" t="s">
        <v>183</v>
      </c>
      <c r="O345" s="46" t="s">
        <v>146</v>
      </c>
      <c r="P345" s="46" t="s">
        <v>170</v>
      </c>
      <c r="Q345" s="46" t="str">
        <f t="shared" si="1"/>
        <v>January, 2012</v>
      </c>
      <c r="R345" s="115">
        <f t="shared" si="2"/>
        <v>40909</v>
      </c>
      <c r="S345" s="49">
        <f t="array" ref="S345">WEEKDAY(D345,2)</f>
        <v>1</v>
      </c>
      <c r="T345" s="46" t="s">
        <v>90</v>
      </c>
      <c r="U345" s="46" t="str">
        <f t="array" ref="U345">TEXT(D345,"dddd")</f>
        <v>Monday</v>
      </c>
    </row>
    <row r="346" hidden="1">
      <c r="A346" s="46">
        <v>3.32268464E8</v>
      </c>
      <c r="B346" s="137" t="s">
        <v>224</v>
      </c>
      <c r="C346" s="137">
        <v>2013.0</v>
      </c>
      <c r="D346" s="138">
        <v>41584.0</v>
      </c>
      <c r="E346" s="139">
        <v>41622.0</v>
      </c>
      <c r="F346" s="142" t="s">
        <v>225</v>
      </c>
      <c r="G346" s="142">
        <v>2013.0</v>
      </c>
      <c r="H346" s="46">
        <v>2103.0</v>
      </c>
      <c r="I346" s="46">
        <v>4477.0</v>
      </c>
      <c r="J346" s="84">
        <v>920918.8999999999</v>
      </c>
      <c r="K346" s="84">
        <v>524301.47</v>
      </c>
      <c r="L346" s="84">
        <v>396617.42999999993</v>
      </c>
      <c r="M346" s="46" t="s">
        <v>144</v>
      </c>
      <c r="N346" s="46" t="s">
        <v>173</v>
      </c>
      <c r="O346" s="46" t="s">
        <v>146</v>
      </c>
      <c r="P346" s="46" t="s">
        <v>155</v>
      </c>
      <c r="Q346" s="46" t="str">
        <f t="shared" si="1"/>
        <v>November, 2013</v>
      </c>
      <c r="R346" s="115">
        <f t="shared" si="2"/>
        <v>41579</v>
      </c>
      <c r="S346" s="49">
        <f t="array" ref="S346">WEEKDAY(D346,2)</f>
        <v>3</v>
      </c>
      <c r="T346" s="46" t="s">
        <v>106</v>
      </c>
      <c r="U346" s="46" t="str">
        <f t="array" ref="U346">TEXT(D346,"dddd")</f>
        <v>Wednesday</v>
      </c>
    </row>
    <row r="347" hidden="1">
      <c r="A347" s="46">
        <v>3.32353007E8</v>
      </c>
      <c r="B347" s="137" t="s">
        <v>226</v>
      </c>
      <c r="C347" s="137">
        <v>2010.0</v>
      </c>
      <c r="D347" s="138">
        <v>40457.0</v>
      </c>
      <c r="E347" s="139">
        <v>40504.0</v>
      </c>
      <c r="F347" s="142" t="s">
        <v>224</v>
      </c>
      <c r="G347" s="142">
        <v>2010.0</v>
      </c>
      <c r="H347" s="46">
        <v>8293.0</v>
      </c>
      <c r="I347" s="46">
        <v>9495.0</v>
      </c>
      <c r="J347" s="84">
        <v>4151214.0</v>
      </c>
      <c r="K347" s="84">
        <v>2500318.3499999996</v>
      </c>
      <c r="L347" s="84">
        <v>1650895.6500000004</v>
      </c>
      <c r="M347" s="46" t="s">
        <v>178</v>
      </c>
      <c r="N347" s="46" t="s">
        <v>194</v>
      </c>
      <c r="O347" s="46" t="s">
        <v>146</v>
      </c>
      <c r="P347" s="46" t="s">
        <v>155</v>
      </c>
      <c r="Q347" s="46" t="str">
        <f t="shared" si="1"/>
        <v>October, 2010</v>
      </c>
      <c r="R347" s="115">
        <f t="shared" si="2"/>
        <v>40452</v>
      </c>
      <c r="S347" s="49">
        <f t="array" ref="S347">WEEKDAY(D347,2)</f>
        <v>3</v>
      </c>
      <c r="T347" s="46" t="s">
        <v>123</v>
      </c>
      <c r="U347" s="46" t="str">
        <f t="array" ref="U347">TEXT(D347,"dddd")</f>
        <v>Wednesday</v>
      </c>
    </row>
    <row r="348" hidden="1">
      <c r="A348" s="46">
        <v>3.3330444E8</v>
      </c>
      <c r="B348" s="137" t="s">
        <v>220</v>
      </c>
      <c r="C348" s="137">
        <v>2017.0</v>
      </c>
      <c r="D348" s="138">
        <v>42897.0</v>
      </c>
      <c r="E348" s="139">
        <v>42921.0</v>
      </c>
      <c r="F348" s="142" t="s">
        <v>217</v>
      </c>
      <c r="G348" s="142">
        <v>2017.0</v>
      </c>
      <c r="H348" s="46">
        <v>8875.0</v>
      </c>
      <c r="I348" s="46">
        <v>1046.0</v>
      </c>
      <c r="J348" s="84">
        <v>441296.94</v>
      </c>
      <c r="K348" s="84">
        <v>381465.74</v>
      </c>
      <c r="L348" s="84">
        <v>59831.20000000001</v>
      </c>
      <c r="M348" s="46" t="s">
        <v>167</v>
      </c>
      <c r="N348" s="46" t="s">
        <v>175</v>
      </c>
      <c r="O348" s="46" t="s">
        <v>165</v>
      </c>
      <c r="P348" s="46" t="s">
        <v>166</v>
      </c>
      <c r="Q348" s="46" t="str">
        <f t="shared" si="1"/>
        <v>June, 2017</v>
      </c>
      <c r="R348" s="115">
        <f t="shared" si="2"/>
        <v>42887</v>
      </c>
      <c r="S348" s="49">
        <f t="array" ref="S348">WEEKDAY(D348,2)</f>
        <v>7</v>
      </c>
      <c r="T348" s="46" t="s">
        <v>108</v>
      </c>
      <c r="U348" s="46" t="str">
        <f t="array" ref="U348">TEXT(D348,"dddd")</f>
        <v>Sunday</v>
      </c>
    </row>
    <row r="349" hidden="1">
      <c r="A349" s="46">
        <v>3.34539973E8</v>
      </c>
      <c r="B349" s="137" t="s">
        <v>223</v>
      </c>
      <c r="C349" s="137">
        <v>2010.0</v>
      </c>
      <c r="D349" s="138">
        <v>40286.0</v>
      </c>
      <c r="E349" s="139">
        <v>40309.0</v>
      </c>
      <c r="F349" s="142" t="s">
        <v>219</v>
      </c>
      <c r="G349" s="142">
        <v>2010.0</v>
      </c>
      <c r="H349" s="46">
        <v>2455.0</v>
      </c>
      <c r="I349" s="46">
        <v>6667.0</v>
      </c>
      <c r="J349" s="84">
        <v>728569.76</v>
      </c>
      <c r="K349" s="84">
        <v>238945.28000000003</v>
      </c>
      <c r="L349" s="84">
        <v>489624.48</v>
      </c>
      <c r="M349" s="46" t="s">
        <v>150</v>
      </c>
      <c r="N349" s="46" t="s">
        <v>197</v>
      </c>
      <c r="O349" s="46" t="s">
        <v>146</v>
      </c>
      <c r="P349" s="46" t="s">
        <v>147</v>
      </c>
      <c r="Q349" s="46" t="str">
        <f t="shared" si="1"/>
        <v>April, 2010</v>
      </c>
      <c r="R349" s="115">
        <f t="shared" si="2"/>
        <v>40269</v>
      </c>
      <c r="S349" s="49">
        <f t="array" ref="S349">WEEKDAY(D349,2)</f>
        <v>7</v>
      </c>
      <c r="T349" s="46" t="s">
        <v>126</v>
      </c>
      <c r="U349" s="46" t="str">
        <f t="array" ref="U349">TEXT(D349,"dddd")</f>
        <v>Sunday</v>
      </c>
    </row>
    <row r="350">
      <c r="A350" s="46">
        <v>3.36111962E8</v>
      </c>
      <c r="B350" s="137" t="s">
        <v>219</v>
      </c>
      <c r="C350" s="137">
        <v>2012.0</v>
      </c>
      <c r="D350" s="138">
        <v>41053.0</v>
      </c>
      <c r="E350" s="139">
        <v>41076.0</v>
      </c>
      <c r="F350" s="142" t="s">
        <v>220</v>
      </c>
      <c r="G350" s="142">
        <v>2012.0</v>
      </c>
      <c r="H350" s="46">
        <v>3127.0</v>
      </c>
      <c r="I350" s="46">
        <v>1854.0</v>
      </c>
      <c r="J350" s="84">
        <v>151527.42</v>
      </c>
      <c r="K350" s="84">
        <v>105066.18000000001</v>
      </c>
      <c r="L350" s="84">
        <v>46461.240000000005</v>
      </c>
      <c r="M350" s="46" t="s">
        <v>185</v>
      </c>
      <c r="N350" s="46" t="s">
        <v>149</v>
      </c>
      <c r="O350" s="46" t="s">
        <v>149</v>
      </c>
      <c r="P350" s="46" t="s">
        <v>218</v>
      </c>
      <c r="Q350" s="46" t="str">
        <f t="shared" si="1"/>
        <v>May, 2012</v>
      </c>
      <c r="R350" s="115">
        <f t="shared" si="2"/>
        <v>41030</v>
      </c>
      <c r="S350" s="49">
        <f t="array" ref="S350">WEEKDAY(D350,2)</f>
        <v>4</v>
      </c>
      <c r="T350" s="46" t="s">
        <v>92</v>
      </c>
      <c r="U350" s="46" t="str">
        <f t="array" ref="U350">TEXT(D350,"dddd")</f>
        <v>Thursday</v>
      </c>
    </row>
    <row r="351" hidden="1">
      <c r="A351" s="46">
        <v>3.36813628E8</v>
      </c>
      <c r="B351" s="137" t="s">
        <v>227</v>
      </c>
      <c r="C351" s="137">
        <v>2010.0</v>
      </c>
      <c r="D351" s="138">
        <v>40194.0</v>
      </c>
      <c r="E351" s="139">
        <v>40232.0</v>
      </c>
      <c r="F351" s="142" t="s">
        <v>228</v>
      </c>
      <c r="G351" s="142">
        <v>2010.0</v>
      </c>
      <c r="H351" s="46">
        <v>8293.0</v>
      </c>
      <c r="I351" s="46">
        <v>9492.0</v>
      </c>
      <c r="J351" s="84">
        <v>4149902.4</v>
      </c>
      <c r="K351" s="84">
        <v>2499528.36</v>
      </c>
      <c r="L351" s="84">
        <v>1650374.04</v>
      </c>
      <c r="M351" s="46" t="s">
        <v>178</v>
      </c>
      <c r="N351" s="46" t="s">
        <v>203</v>
      </c>
      <c r="O351" s="46" t="s">
        <v>146</v>
      </c>
      <c r="P351" s="46" t="s">
        <v>170</v>
      </c>
      <c r="Q351" s="46" t="str">
        <f t="shared" si="1"/>
        <v>January, 2010</v>
      </c>
      <c r="R351" s="115">
        <f t="shared" si="2"/>
        <v>40179</v>
      </c>
      <c r="S351" s="49">
        <f t="array" ref="S351">WEEKDAY(D351,2)</f>
        <v>6</v>
      </c>
      <c r="T351" s="46" t="s">
        <v>132</v>
      </c>
      <c r="U351" s="46" t="str">
        <f t="array" ref="U351">TEXT(D351,"dddd")</f>
        <v>Saturday</v>
      </c>
    </row>
    <row r="352" hidden="1">
      <c r="A352" s="46">
        <v>3.37354791E8</v>
      </c>
      <c r="B352" s="137" t="s">
        <v>225</v>
      </c>
      <c r="C352" s="137">
        <v>2011.0</v>
      </c>
      <c r="D352" s="138">
        <v>40886.0</v>
      </c>
      <c r="E352" s="139">
        <v>40936.0</v>
      </c>
      <c r="F352" s="142" t="s">
        <v>227</v>
      </c>
      <c r="G352" s="142">
        <v>2012.0</v>
      </c>
      <c r="H352" s="46">
        <v>8293.0</v>
      </c>
      <c r="I352" s="46">
        <v>9634.0</v>
      </c>
      <c r="J352" s="84">
        <v>4211984.8</v>
      </c>
      <c r="K352" s="84">
        <v>2536921.2199999997</v>
      </c>
      <c r="L352" s="84">
        <v>1675063.58</v>
      </c>
      <c r="M352" s="46" t="s">
        <v>178</v>
      </c>
      <c r="N352" s="46" t="s">
        <v>183</v>
      </c>
      <c r="O352" s="46" t="s">
        <v>146</v>
      </c>
      <c r="P352" s="46" t="s">
        <v>170</v>
      </c>
      <c r="Q352" s="46" t="str">
        <f t="shared" si="1"/>
        <v>December, 2011</v>
      </c>
      <c r="R352" s="115">
        <f t="shared" si="2"/>
        <v>40878</v>
      </c>
      <c r="S352" s="49">
        <f t="array" ref="S352">WEEKDAY(D352,2)</f>
        <v>5</v>
      </c>
      <c r="T352" s="46" t="s">
        <v>90</v>
      </c>
      <c r="U352" s="46" t="str">
        <f t="array" ref="U352">TEXT(D352,"dddd")</f>
        <v>Friday</v>
      </c>
    </row>
    <row r="353" hidden="1">
      <c r="A353" s="46">
        <v>3.39786803E8</v>
      </c>
      <c r="B353" s="137" t="s">
        <v>221</v>
      </c>
      <c r="C353" s="137">
        <v>2011.0</v>
      </c>
      <c r="D353" s="138">
        <v>40803.0</v>
      </c>
      <c r="E353" s="139">
        <v>40841.0</v>
      </c>
      <c r="F353" s="142" t="s">
        <v>226</v>
      </c>
      <c r="G353" s="142">
        <v>2011.0</v>
      </c>
      <c r="H353" s="46">
        <v>8681.0</v>
      </c>
      <c r="I353" s="46">
        <v>9321.0</v>
      </c>
      <c r="J353" s="84">
        <v>6069928.41</v>
      </c>
      <c r="K353" s="84">
        <v>4893152.16</v>
      </c>
      <c r="L353" s="84">
        <v>1176776.25</v>
      </c>
      <c r="M353" s="46" t="s">
        <v>153</v>
      </c>
      <c r="N353" s="46" t="s">
        <v>174</v>
      </c>
      <c r="O353" s="46" t="s">
        <v>146</v>
      </c>
      <c r="P353" s="46" t="s">
        <v>158</v>
      </c>
      <c r="Q353" s="46" t="str">
        <f t="shared" si="1"/>
        <v>September, 2011</v>
      </c>
      <c r="R353" s="115">
        <f t="shared" si="2"/>
        <v>40787</v>
      </c>
      <c r="S353" s="49">
        <f t="array" ref="S353">WEEKDAY(D353,2)</f>
        <v>6</v>
      </c>
      <c r="T353" s="46" t="s">
        <v>107</v>
      </c>
      <c r="U353" s="46" t="str">
        <f t="array" ref="U353">TEXT(D353,"dddd")</f>
        <v>Saturday</v>
      </c>
    </row>
    <row r="354" hidden="1">
      <c r="A354" s="46">
        <v>3.39999663E8</v>
      </c>
      <c r="B354" s="137" t="s">
        <v>219</v>
      </c>
      <c r="C354" s="137">
        <v>2015.0</v>
      </c>
      <c r="D354" s="138">
        <v>42150.0</v>
      </c>
      <c r="E354" s="139">
        <v>42168.0</v>
      </c>
      <c r="F354" s="142" t="s">
        <v>220</v>
      </c>
      <c r="G354" s="142">
        <v>2015.0</v>
      </c>
      <c r="H354" s="46">
        <v>8969.0</v>
      </c>
      <c r="I354" s="46">
        <v>2311.0</v>
      </c>
      <c r="J354" s="84">
        <v>352612.38</v>
      </c>
      <c r="K354" s="84">
        <v>225183.84</v>
      </c>
      <c r="L354" s="84">
        <v>127428.54000000001</v>
      </c>
      <c r="M354" s="46" t="s">
        <v>182</v>
      </c>
      <c r="N354" s="46" t="s">
        <v>180</v>
      </c>
      <c r="O354" s="46" t="s">
        <v>146</v>
      </c>
      <c r="P354" s="46" t="s">
        <v>147</v>
      </c>
      <c r="Q354" s="46" t="str">
        <f t="shared" si="1"/>
        <v>May, 2015</v>
      </c>
      <c r="R354" s="115">
        <f t="shared" si="2"/>
        <v>42125</v>
      </c>
      <c r="S354" s="49">
        <f t="array" ref="S354">WEEKDAY(D354,2)</f>
        <v>2</v>
      </c>
      <c r="T354" s="46" t="s">
        <v>112</v>
      </c>
      <c r="U354" s="46" t="str">
        <f t="array" ref="U354">TEXT(D354,"dddd")</f>
        <v>Tuesday</v>
      </c>
    </row>
    <row r="355" hidden="1">
      <c r="A355" s="46">
        <v>3.40213811E8</v>
      </c>
      <c r="B355" s="137" t="s">
        <v>220</v>
      </c>
      <c r="C355" s="137">
        <v>2010.0</v>
      </c>
      <c r="D355" s="138">
        <v>40349.0</v>
      </c>
      <c r="E355" s="139">
        <v>40385.0</v>
      </c>
      <c r="F355" s="142" t="s">
        <v>217</v>
      </c>
      <c r="G355" s="142">
        <v>2010.0</v>
      </c>
      <c r="H355" s="46">
        <v>8681.0</v>
      </c>
      <c r="I355" s="46">
        <v>5682.0</v>
      </c>
      <c r="J355" s="84">
        <v>3700175.22</v>
      </c>
      <c r="K355" s="84">
        <v>2982822.72</v>
      </c>
      <c r="L355" s="84">
        <v>717352.5</v>
      </c>
      <c r="M355" s="46" t="s">
        <v>153</v>
      </c>
      <c r="N355" s="46" t="s">
        <v>157</v>
      </c>
      <c r="O355" s="46" t="s">
        <v>146</v>
      </c>
      <c r="P355" s="46" t="s">
        <v>158</v>
      </c>
      <c r="Q355" s="46" t="str">
        <f t="shared" si="1"/>
        <v>June, 2010</v>
      </c>
      <c r="R355" s="115">
        <f t="shared" si="2"/>
        <v>40330</v>
      </c>
      <c r="S355" s="49">
        <f t="array" ref="S355">WEEKDAY(D355,2)</f>
        <v>7</v>
      </c>
      <c r="T355" s="46" t="s">
        <v>97</v>
      </c>
      <c r="U355" s="46" t="str">
        <f t="array" ref="U355">TEXT(D355,"dddd")</f>
        <v>Sunday</v>
      </c>
    </row>
    <row r="356" hidden="1">
      <c r="A356" s="46">
        <v>3.41398274E8</v>
      </c>
      <c r="B356" s="137" t="s">
        <v>227</v>
      </c>
      <c r="C356" s="137">
        <v>2017.0</v>
      </c>
      <c r="D356" s="138">
        <v>42757.0</v>
      </c>
      <c r="E356" s="139">
        <v>42801.0</v>
      </c>
      <c r="F356" s="142" t="s">
        <v>222</v>
      </c>
      <c r="G356" s="142">
        <v>2017.0</v>
      </c>
      <c r="H356" s="46">
        <v>8969.0</v>
      </c>
      <c r="I356" s="46">
        <v>6191.0</v>
      </c>
      <c r="J356" s="84">
        <v>944622.78</v>
      </c>
      <c r="K356" s="84">
        <v>603251.04</v>
      </c>
      <c r="L356" s="84">
        <v>341371.74</v>
      </c>
      <c r="M356" s="46" t="s">
        <v>182</v>
      </c>
      <c r="N356" s="46" t="s">
        <v>168</v>
      </c>
      <c r="O356" s="46" t="s">
        <v>165</v>
      </c>
      <c r="P356" s="46" t="s">
        <v>166</v>
      </c>
      <c r="Q356" s="46" t="str">
        <f t="shared" si="1"/>
        <v>January, 2017</v>
      </c>
      <c r="R356" s="115">
        <f t="shared" si="2"/>
        <v>42736</v>
      </c>
      <c r="S356" s="49">
        <f t="array" ref="S356">WEEKDAY(D356,2)</f>
        <v>7</v>
      </c>
      <c r="T356" s="46" t="s">
        <v>102</v>
      </c>
      <c r="U356" s="46" t="str">
        <f t="array" ref="U356">TEXT(D356,"dddd")</f>
        <v>Sunday</v>
      </c>
    </row>
    <row r="357" hidden="1">
      <c r="A357" s="46">
        <v>3.43185698E8</v>
      </c>
      <c r="B357" s="137" t="s">
        <v>222</v>
      </c>
      <c r="C357" s="137">
        <v>2013.0</v>
      </c>
      <c r="D357" s="138">
        <v>41340.0</v>
      </c>
      <c r="E357" s="139">
        <v>41389.0</v>
      </c>
      <c r="F357" s="142" t="s">
        <v>223</v>
      </c>
      <c r="G357" s="142">
        <v>2013.0</v>
      </c>
      <c r="H357" s="46">
        <v>8681.0</v>
      </c>
      <c r="I357" s="46">
        <v>5129.0</v>
      </c>
      <c r="J357" s="84">
        <v>3340056.0900000003</v>
      </c>
      <c r="K357" s="84">
        <v>2692519.8400000003</v>
      </c>
      <c r="L357" s="84">
        <v>647536.25</v>
      </c>
      <c r="M357" s="46" t="s">
        <v>153</v>
      </c>
      <c r="N357" s="46" t="s">
        <v>188</v>
      </c>
      <c r="O357" s="46" t="s">
        <v>146</v>
      </c>
      <c r="P357" s="46" t="s">
        <v>170</v>
      </c>
      <c r="Q357" s="46" t="str">
        <f t="shared" si="1"/>
        <v>March, 2013</v>
      </c>
      <c r="R357" s="115">
        <f t="shared" si="2"/>
        <v>41334</v>
      </c>
      <c r="S357" s="49">
        <f t="array" ref="S357">WEEKDAY(D357,2)</f>
        <v>4</v>
      </c>
      <c r="T357" s="46" t="s">
        <v>117</v>
      </c>
      <c r="U357" s="46" t="str">
        <f t="array" ref="U357">TEXT(D357,"dddd")</f>
        <v>Thursday</v>
      </c>
    </row>
    <row r="358" hidden="1">
      <c r="A358" s="46">
        <v>3.43730294E8</v>
      </c>
      <c r="B358" s="137" t="s">
        <v>219</v>
      </c>
      <c r="C358" s="137">
        <v>2017.0</v>
      </c>
      <c r="D358" s="138">
        <v>42856.0</v>
      </c>
      <c r="E358" s="139">
        <v>42883.0</v>
      </c>
      <c r="F358" s="142" t="s">
        <v>219</v>
      </c>
      <c r="G358" s="142">
        <v>2017.0</v>
      </c>
      <c r="H358" s="46">
        <v>8681.0</v>
      </c>
      <c r="I358" s="46">
        <v>6287.0</v>
      </c>
      <c r="J358" s="84">
        <v>4094157.27</v>
      </c>
      <c r="K358" s="84">
        <v>3300423.52</v>
      </c>
      <c r="L358" s="84">
        <v>793733.75</v>
      </c>
      <c r="M358" s="46" t="s">
        <v>153</v>
      </c>
      <c r="N358" s="46" t="s">
        <v>195</v>
      </c>
      <c r="O358" s="46" t="s">
        <v>146</v>
      </c>
      <c r="P358" s="46" t="s">
        <v>170</v>
      </c>
      <c r="Q358" s="46" t="str">
        <f t="shared" si="1"/>
        <v>May, 2017</v>
      </c>
      <c r="R358" s="115">
        <f t="shared" si="2"/>
        <v>42856</v>
      </c>
      <c r="S358" s="49">
        <f t="array" ref="S358">WEEKDAY(D358,2)</f>
        <v>1</v>
      </c>
      <c r="T358" s="46" t="s">
        <v>124</v>
      </c>
      <c r="U358" s="46" t="str">
        <f t="array" ref="U358">TEXT(D358,"dddd")</f>
        <v>Monday</v>
      </c>
    </row>
    <row r="359" hidden="1">
      <c r="A359" s="46">
        <v>3.4388951E8</v>
      </c>
      <c r="B359" s="137" t="s">
        <v>228</v>
      </c>
      <c r="C359" s="137">
        <v>2014.0</v>
      </c>
      <c r="D359" s="138">
        <v>41689.0</v>
      </c>
      <c r="E359" s="139">
        <v>41731.0</v>
      </c>
      <c r="F359" s="142" t="s">
        <v>223</v>
      </c>
      <c r="G359" s="142">
        <v>2014.0</v>
      </c>
      <c r="H359" s="46">
        <v>1270.0</v>
      </c>
      <c r="I359" s="46">
        <v>3403.0</v>
      </c>
      <c r="J359" s="84">
        <v>161472.35</v>
      </c>
      <c r="K359" s="84">
        <v>108181.37</v>
      </c>
      <c r="L359" s="84">
        <v>53290.98000000001</v>
      </c>
      <c r="M359" s="46" t="s">
        <v>152</v>
      </c>
      <c r="N359" s="46" t="s">
        <v>181</v>
      </c>
      <c r="O359" s="46" t="s">
        <v>146</v>
      </c>
      <c r="P359" s="46" t="s">
        <v>155</v>
      </c>
      <c r="Q359" s="46" t="str">
        <f t="shared" si="1"/>
        <v>February, 2014</v>
      </c>
      <c r="R359" s="115">
        <f t="shared" si="2"/>
        <v>41671</v>
      </c>
      <c r="S359" s="49">
        <f t="array" ref="S359">WEEKDAY(D359,2)</f>
        <v>3</v>
      </c>
      <c r="T359" s="46" t="s">
        <v>113</v>
      </c>
      <c r="U359" s="46" t="str">
        <f t="array" ref="U359">TEXT(D359,"dddd")</f>
        <v>Wednesday</v>
      </c>
    </row>
    <row r="360" hidden="1">
      <c r="A360" s="46">
        <v>3.44160735E8</v>
      </c>
      <c r="B360" s="137" t="s">
        <v>226</v>
      </c>
      <c r="C360" s="137">
        <v>2010.0</v>
      </c>
      <c r="D360" s="138">
        <v>40460.0</v>
      </c>
      <c r="E360" s="139">
        <v>40502.0</v>
      </c>
      <c r="F360" s="142" t="s">
        <v>224</v>
      </c>
      <c r="G360" s="142">
        <v>2010.0</v>
      </c>
      <c r="H360" s="46">
        <v>8875.0</v>
      </c>
      <c r="I360" s="46">
        <v>3664.0</v>
      </c>
      <c r="J360" s="84">
        <v>1545804.96</v>
      </c>
      <c r="K360" s="84">
        <v>1336224.16</v>
      </c>
      <c r="L360" s="84">
        <v>209580.80000000005</v>
      </c>
      <c r="M360" s="46" t="s">
        <v>167</v>
      </c>
      <c r="N360" s="46" t="s">
        <v>192</v>
      </c>
      <c r="O360" s="46" t="s">
        <v>146</v>
      </c>
      <c r="P360" s="46" t="s">
        <v>158</v>
      </c>
      <c r="Q360" s="46" t="str">
        <f t="shared" si="1"/>
        <v>October, 2010</v>
      </c>
      <c r="R360" s="115">
        <f t="shared" si="2"/>
        <v>40452</v>
      </c>
      <c r="S360" s="49">
        <f t="array" ref="S360">WEEKDAY(D360,2)</f>
        <v>6</v>
      </c>
      <c r="T360" s="46" t="s">
        <v>121</v>
      </c>
      <c r="U360" s="46" t="str">
        <f t="array" ref="U360">TEXT(D360,"dddd")</f>
        <v>Saturday</v>
      </c>
    </row>
    <row r="361" hidden="1">
      <c r="A361" s="46">
        <v>3.46498763E8</v>
      </c>
      <c r="B361" s="137" t="s">
        <v>222</v>
      </c>
      <c r="C361" s="137">
        <v>2011.0</v>
      </c>
      <c r="D361" s="138">
        <v>40620.0</v>
      </c>
      <c r="E361" s="139">
        <v>40635.0</v>
      </c>
      <c r="F361" s="142" t="s">
        <v>223</v>
      </c>
      <c r="G361" s="142">
        <v>2011.0</v>
      </c>
      <c r="H361" s="46">
        <v>5988.0</v>
      </c>
      <c r="I361" s="46">
        <v>5539.0</v>
      </c>
      <c r="J361" s="84">
        <v>853338.34</v>
      </c>
      <c r="K361" s="84">
        <v>503661.27</v>
      </c>
      <c r="L361" s="84">
        <v>349677.06999999995</v>
      </c>
      <c r="M361" s="46" t="s">
        <v>159</v>
      </c>
      <c r="N361" s="46" t="s">
        <v>206</v>
      </c>
      <c r="O361" s="46" t="s">
        <v>146</v>
      </c>
      <c r="P361" s="46" t="s">
        <v>158</v>
      </c>
      <c r="Q361" s="46" t="str">
        <f t="shared" si="1"/>
        <v>March, 2011</v>
      </c>
      <c r="R361" s="115">
        <f t="shared" si="2"/>
        <v>40603</v>
      </c>
      <c r="S361" s="49">
        <f t="array" ref="S361">WEEKDAY(D361,2)</f>
        <v>5</v>
      </c>
      <c r="T361" s="46" t="s">
        <v>136</v>
      </c>
      <c r="U361" s="46" t="str">
        <f t="array" ref="U361">TEXT(D361,"dddd")</f>
        <v>Friday</v>
      </c>
    </row>
    <row r="362" hidden="1">
      <c r="A362" s="46">
        <v>3.47609412E8</v>
      </c>
      <c r="B362" s="137" t="s">
        <v>221</v>
      </c>
      <c r="C362" s="137">
        <v>2014.0</v>
      </c>
      <c r="D362" s="138">
        <v>41892.0</v>
      </c>
      <c r="E362" s="139">
        <v>41899.0</v>
      </c>
      <c r="F362" s="142" t="s">
        <v>221</v>
      </c>
      <c r="G362" s="142">
        <v>2014.0</v>
      </c>
      <c r="H362" s="46">
        <v>8293.0</v>
      </c>
      <c r="I362" s="46">
        <v>4205.0</v>
      </c>
      <c r="J362" s="84">
        <v>1838426.0</v>
      </c>
      <c r="K362" s="84">
        <v>1107302.65</v>
      </c>
      <c r="L362" s="84">
        <v>731123.3500000001</v>
      </c>
      <c r="M362" s="46" t="s">
        <v>178</v>
      </c>
      <c r="N362" s="46" t="s">
        <v>193</v>
      </c>
      <c r="O362" s="46" t="s">
        <v>146</v>
      </c>
      <c r="P362" s="46" t="s">
        <v>158</v>
      </c>
      <c r="Q362" s="46" t="str">
        <f t="shared" si="1"/>
        <v>September, 2014</v>
      </c>
      <c r="R362" s="115">
        <f t="shared" si="2"/>
        <v>41883</v>
      </c>
      <c r="S362" s="49">
        <f t="array" ref="S362">WEEKDAY(D362,2)</f>
        <v>3</v>
      </c>
      <c r="T362" s="46" t="s">
        <v>122</v>
      </c>
      <c r="U362" s="46" t="str">
        <f t="array" ref="U362">TEXT(D362,"dddd")</f>
        <v>Wednesday</v>
      </c>
    </row>
    <row r="363" hidden="1">
      <c r="A363" s="46">
        <v>3.48080623E8</v>
      </c>
      <c r="B363" s="137" t="s">
        <v>219</v>
      </c>
      <c r="C363" s="137">
        <v>2010.0</v>
      </c>
      <c r="D363" s="138">
        <v>40301.0</v>
      </c>
      <c r="E363" s="139">
        <v>40317.0</v>
      </c>
      <c r="F363" s="142" t="s">
        <v>219</v>
      </c>
      <c r="G363" s="142">
        <v>2010.0</v>
      </c>
      <c r="H363" s="46">
        <v>8969.0</v>
      </c>
      <c r="I363" s="46">
        <v>3646.0</v>
      </c>
      <c r="J363" s="84">
        <v>556306.68</v>
      </c>
      <c r="K363" s="84">
        <v>355266.24</v>
      </c>
      <c r="L363" s="84">
        <v>201040.44000000006</v>
      </c>
      <c r="M363" s="46" t="s">
        <v>182</v>
      </c>
      <c r="N363" s="46" t="s">
        <v>199</v>
      </c>
      <c r="O363" s="46" t="s">
        <v>146</v>
      </c>
      <c r="P363" s="46" t="s">
        <v>147</v>
      </c>
      <c r="Q363" s="46" t="str">
        <f t="shared" si="1"/>
        <v>May, 2010</v>
      </c>
      <c r="R363" s="115">
        <f t="shared" si="2"/>
        <v>40299</v>
      </c>
      <c r="S363" s="49">
        <f t="array" ref="S363">WEEKDAY(D363,2)</f>
        <v>1</v>
      </c>
      <c r="T363" s="46" t="s">
        <v>128</v>
      </c>
      <c r="U363" s="46" t="str">
        <f t="array" ref="U363">TEXT(D363,"dddd")</f>
        <v>Monday</v>
      </c>
    </row>
    <row r="364" hidden="1">
      <c r="A364" s="46">
        <v>3.4906038E8</v>
      </c>
      <c r="B364" s="137" t="s">
        <v>221</v>
      </c>
      <c r="C364" s="137">
        <v>2016.0</v>
      </c>
      <c r="D364" s="138">
        <v>42629.0</v>
      </c>
      <c r="E364" s="139">
        <v>42641.0</v>
      </c>
      <c r="F364" s="142" t="s">
        <v>221</v>
      </c>
      <c r="G364" s="142">
        <v>2016.0</v>
      </c>
      <c r="H364" s="46">
        <v>7331.0</v>
      </c>
      <c r="I364" s="46">
        <v>3578.0</v>
      </c>
      <c r="J364" s="84">
        <v>913391.84</v>
      </c>
      <c r="K364" s="84">
        <v>570404.76</v>
      </c>
      <c r="L364" s="84">
        <v>342987.07999999996</v>
      </c>
      <c r="M364" s="46" t="s">
        <v>161</v>
      </c>
      <c r="N364" s="46" t="s">
        <v>190</v>
      </c>
      <c r="O364" s="46" t="s">
        <v>146</v>
      </c>
      <c r="P364" s="46" t="s">
        <v>147</v>
      </c>
      <c r="Q364" s="46" t="str">
        <f t="shared" si="1"/>
        <v>September, 2016</v>
      </c>
      <c r="R364" s="115">
        <f t="shared" si="2"/>
        <v>42614</v>
      </c>
      <c r="S364" s="49">
        <f t="array" ref="S364">WEEKDAY(D364,2)</f>
        <v>5</v>
      </c>
      <c r="T364" s="46" t="s">
        <v>119</v>
      </c>
      <c r="U364" s="46" t="str">
        <f t="array" ref="U364">TEXT(D364,"dddd")</f>
        <v>Friday</v>
      </c>
    </row>
    <row r="365" hidden="1">
      <c r="A365" s="46">
        <v>3.49212729E8</v>
      </c>
      <c r="B365" s="137" t="s">
        <v>217</v>
      </c>
      <c r="C365" s="137">
        <v>2016.0</v>
      </c>
      <c r="D365" s="138">
        <v>42578.0</v>
      </c>
      <c r="E365" s="139">
        <v>42624.0</v>
      </c>
      <c r="F365" s="142" t="s">
        <v>221</v>
      </c>
      <c r="G365" s="142">
        <v>2016.0</v>
      </c>
      <c r="H365" s="46">
        <v>8875.0</v>
      </c>
      <c r="I365" s="46">
        <v>8662.0</v>
      </c>
      <c r="J365" s="84">
        <v>3654411.1799999997</v>
      </c>
      <c r="K365" s="84">
        <v>3158944.78</v>
      </c>
      <c r="L365" s="84">
        <v>495466.3999999999</v>
      </c>
      <c r="M365" s="46" t="s">
        <v>167</v>
      </c>
      <c r="N365" s="46" t="s">
        <v>196</v>
      </c>
      <c r="O365" s="46" t="s">
        <v>146</v>
      </c>
      <c r="P365" s="46" t="s">
        <v>155</v>
      </c>
      <c r="Q365" s="46" t="str">
        <f t="shared" si="1"/>
        <v>July, 2016</v>
      </c>
      <c r="R365" s="115">
        <f t="shared" si="2"/>
        <v>42552</v>
      </c>
      <c r="S365" s="49">
        <f t="array" ref="S365">WEEKDAY(D365,2)</f>
        <v>3</v>
      </c>
      <c r="T365" s="46" t="s">
        <v>125</v>
      </c>
      <c r="U365" s="46" t="str">
        <f t="array" ref="U365">TEXT(D365,"dddd")</f>
        <v>Wednesday</v>
      </c>
    </row>
    <row r="366" hidden="1">
      <c r="A366" s="46">
        <v>3.50550401E8</v>
      </c>
      <c r="B366" s="137" t="s">
        <v>222</v>
      </c>
      <c r="C366" s="137">
        <v>2012.0</v>
      </c>
      <c r="D366" s="138">
        <v>40993.0</v>
      </c>
      <c r="E366" s="139">
        <v>41021.0</v>
      </c>
      <c r="F366" s="142" t="s">
        <v>223</v>
      </c>
      <c r="G366" s="142">
        <v>2012.0</v>
      </c>
      <c r="H366" s="46">
        <v>8293.0</v>
      </c>
      <c r="I366" s="46">
        <v>4508.0</v>
      </c>
      <c r="J366" s="84">
        <v>1970897.5999999999</v>
      </c>
      <c r="K366" s="84">
        <v>1187091.64</v>
      </c>
      <c r="L366" s="84">
        <v>783805.96</v>
      </c>
      <c r="M366" s="46" t="s">
        <v>178</v>
      </c>
      <c r="N366" s="46" t="s">
        <v>145</v>
      </c>
      <c r="O366" s="46" t="s">
        <v>146</v>
      </c>
      <c r="P366" s="46" t="s">
        <v>147</v>
      </c>
      <c r="Q366" s="46" t="str">
        <f t="shared" si="1"/>
        <v>March, 2012</v>
      </c>
      <c r="R366" s="115">
        <f t="shared" si="2"/>
        <v>40969</v>
      </c>
      <c r="S366" s="49">
        <f t="array" ref="S366">WEEKDAY(D366,2)</f>
        <v>7</v>
      </c>
      <c r="T366" s="46" t="s">
        <v>91</v>
      </c>
      <c r="U366" s="46" t="str">
        <f t="array" ref="U366">TEXT(D366,"dddd")</f>
        <v>Sunday</v>
      </c>
    </row>
    <row r="367" hidden="1">
      <c r="A367" s="46">
        <v>3.50977408E8</v>
      </c>
      <c r="B367" s="137" t="s">
        <v>225</v>
      </c>
      <c r="C367" s="137">
        <v>2010.0</v>
      </c>
      <c r="D367" s="138">
        <v>40538.0</v>
      </c>
      <c r="E367" s="139">
        <v>40565.0</v>
      </c>
      <c r="F367" s="142" t="s">
        <v>227</v>
      </c>
      <c r="G367" s="142">
        <v>2011.0</v>
      </c>
      <c r="H367" s="46">
        <v>8293.0</v>
      </c>
      <c r="I367" s="46">
        <v>869.0</v>
      </c>
      <c r="J367" s="84">
        <v>379926.8</v>
      </c>
      <c r="K367" s="84">
        <v>228833.77</v>
      </c>
      <c r="L367" s="84">
        <v>151093.03</v>
      </c>
      <c r="M367" s="46" t="s">
        <v>178</v>
      </c>
      <c r="N367" s="46" t="s">
        <v>190</v>
      </c>
      <c r="O367" s="46" t="s">
        <v>146</v>
      </c>
      <c r="P367" s="46" t="s">
        <v>147</v>
      </c>
      <c r="Q367" s="46" t="str">
        <f t="shared" si="1"/>
        <v>December, 2010</v>
      </c>
      <c r="R367" s="115">
        <f t="shared" si="2"/>
        <v>40513</v>
      </c>
      <c r="S367" s="49">
        <f t="array" ref="S367">WEEKDAY(D367,2)</f>
        <v>7</v>
      </c>
      <c r="T367" s="46" t="s">
        <v>119</v>
      </c>
      <c r="U367" s="46" t="str">
        <f t="array" ref="U367">TEXT(D367,"dddd")</f>
        <v>Sunday</v>
      </c>
    </row>
    <row r="368" hidden="1">
      <c r="A368" s="46">
        <v>3.51247346E8</v>
      </c>
      <c r="B368" s="137" t="s">
        <v>222</v>
      </c>
      <c r="C368" s="137">
        <v>2016.0</v>
      </c>
      <c r="D368" s="138">
        <v>42458.0</v>
      </c>
      <c r="E368" s="139">
        <v>42498.0</v>
      </c>
      <c r="F368" s="142" t="s">
        <v>219</v>
      </c>
      <c r="G368" s="142">
        <v>2016.0</v>
      </c>
      <c r="H368" s="46">
        <v>3127.0</v>
      </c>
      <c r="I368" s="46">
        <v>750.0</v>
      </c>
      <c r="J368" s="84">
        <v>61297.5</v>
      </c>
      <c r="K368" s="84">
        <v>42502.5</v>
      </c>
      <c r="L368" s="84">
        <v>18795.0</v>
      </c>
      <c r="M368" s="46" t="s">
        <v>185</v>
      </c>
      <c r="N368" s="46" t="s">
        <v>206</v>
      </c>
      <c r="O368" s="46" t="s">
        <v>146</v>
      </c>
      <c r="P368" s="46" t="s">
        <v>158</v>
      </c>
      <c r="Q368" s="46" t="str">
        <f t="shared" si="1"/>
        <v>March, 2016</v>
      </c>
      <c r="R368" s="115">
        <f t="shared" si="2"/>
        <v>42430</v>
      </c>
      <c r="S368" s="49">
        <f t="array" ref="S368">WEEKDAY(D368,2)</f>
        <v>2</v>
      </c>
      <c r="T368" s="46" t="s">
        <v>136</v>
      </c>
      <c r="U368" s="46" t="str">
        <f t="array" ref="U368">TEXT(D368,"dddd")</f>
        <v>Tuesday</v>
      </c>
    </row>
    <row r="369" hidden="1">
      <c r="A369" s="46">
        <v>3.52342545E8</v>
      </c>
      <c r="B369" s="137" t="s">
        <v>228</v>
      </c>
      <c r="C369" s="137">
        <v>2017.0</v>
      </c>
      <c r="D369" s="138">
        <v>42785.0</v>
      </c>
      <c r="E369" s="139">
        <v>42821.0</v>
      </c>
      <c r="F369" s="142" t="s">
        <v>222</v>
      </c>
      <c r="G369" s="142">
        <v>2017.0</v>
      </c>
      <c r="H369" s="46">
        <v>8969.0</v>
      </c>
      <c r="I369" s="46">
        <v>4844.0</v>
      </c>
      <c r="J369" s="84">
        <v>739097.52</v>
      </c>
      <c r="K369" s="84">
        <v>471999.36</v>
      </c>
      <c r="L369" s="84">
        <v>267098.16000000003</v>
      </c>
      <c r="M369" s="46" t="s">
        <v>182</v>
      </c>
      <c r="N369" s="46" t="s">
        <v>160</v>
      </c>
      <c r="O369" s="46" t="s">
        <v>146</v>
      </c>
      <c r="P369" s="46" t="s">
        <v>147</v>
      </c>
      <c r="Q369" s="46" t="str">
        <f t="shared" si="1"/>
        <v>February, 2017</v>
      </c>
      <c r="R369" s="115">
        <f t="shared" si="2"/>
        <v>42767</v>
      </c>
      <c r="S369" s="49">
        <f t="array" ref="S369">WEEKDAY(D369,2)</f>
        <v>7</v>
      </c>
      <c r="T369" s="46" t="s">
        <v>98</v>
      </c>
      <c r="U369" s="46" t="str">
        <f t="array" ref="U369">TEXT(D369,"dddd")</f>
        <v>Sunday</v>
      </c>
    </row>
    <row r="370" hidden="1">
      <c r="A370" s="46">
        <v>3.5319184E8</v>
      </c>
      <c r="B370" s="137" t="s">
        <v>220</v>
      </c>
      <c r="C370" s="137">
        <v>2013.0</v>
      </c>
      <c r="D370" s="138">
        <v>41433.0</v>
      </c>
      <c r="E370" s="139">
        <v>41464.0</v>
      </c>
      <c r="F370" s="142" t="s">
        <v>217</v>
      </c>
      <c r="G370" s="142">
        <v>2013.0</v>
      </c>
      <c r="H370" s="46">
        <v>2455.0</v>
      </c>
      <c r="I370" s="46">
        <v>6169.0</v>
      </c>
      <c r="J370" s="84">
        <v>674148.3200000001</v>
      </c>
      <c r="K370" s="84">
        <v>221096.96000000002</v>
      </c>
      <c r="L370" s="84">
        <v>453051.36000000004</v>
      </c>
      <c r="M370" s="46" t="s">
        <v>150</v>
      </c>
      <c r="N370" s="46" t="s">
        <v>188</v>
      </c>
      <c r="O370" s="46" t="s">
        <v>146</v>
      </c>
      <c r="P370" s="46" t="s">
        <v>170</v>
      </c>
      <c r="Q370" s="46" t="str">
        <f t="shared" si="1"/>
        <v>June, 2013</v>
      </c>
      <c r="R370" s="115">
        <f t="shared" si="2"/>
        <v>41426</v>
      </c>
      <c r="S370" s="49">
        <f t="array" ref="S370">WEEKDAY(D370,2)</f>
        <v>6</v>
      </c>
      <c r="T370" s="46" t="s">
        <v>117</v>
      </c>
      <c r="U370" s="46" t="str">
        <f t="array" ref="U370">TEXT(D370,"dddd")</f>
        <v>Saturday</v>
      </c>
    </row>
    <row r="371" hidden="1">
      <c r="A371" s="46">
        <v>3.53320157E8</v>
      </c>
      <c r="B371" s="137" t="s">
        <v>216</v>
      </c>
      <c r="C371" s="137">
        <v>2012.0</v>
      </c>
      <c r="D371" s="138">
        <v>41140.0</v>
      </c>
      <c r="E371" s="139">
        <v>41143.0</v>
      </c>
      <c r="F371" s="142" t="s">
        <v>216</v>
      </c>
      <c r="G371" s="142">
        <v>2012.0</v>
      </c>
      <c r="H371" s="46">
        <v>8293.0</v>
      </c>
      <c r="I371" s="46">
        <v>4141.0</v>
      </c>
      <c r="J371" s="84">
        <v>1810445.2</v>
      </c>
      <c r="K371" s="84">
        <v>1090449.53</v>
      </c>
      <c r="L371" s="84">
        <v>719995.6699999999</v>
      </c>
      <c r="M371" s="46" t="s">
        <v>178</v>
      </c>
      <c r="N371" s="46" t="s">
        <v>151</v>
      </c>
      <c r="O371" s="46" t="s">
        <v>146</v>
      </c>
      <c r="P371" s="46" t="s">
        <v>147</v>
      </c>
      <c r="Q371" s="46" t="str">
        <f t="shared" si="1"/>
        <v>August, 2012</v>
      </c>
      <c r="R371" s="115">
        <f t="shared" si="2"/>
        <v>41122</v>
      </c>
      <c r="S371" s="49">
        <f t="array" ref="S371">WEEKDAY(D371,2)</f>
        <v>7</v>
      </c>
      <c r="T371" s="46" t="s">
        <v>94</v>
      </c>
      <c r="U371" s="46" t="str">
        <f t="array" ref="U371">TEXT(D371,"dddd")</f>
        <v>Sunday</v>
      </c>
    </row>
    <row r="372">
      <c r="A372" s="46">
        <v>3.53383243E8</v>
      </c>
      <c r="B372" s="137" t="s">
        <v>219</v>
      </c>
      <c r="C372" s="137">
        <v>2014.0</v>
      </c>
      <c r="D372" s="138">
        <v>41774.0</v>
      </c>
      <c r="E372" s="139">
        <v>41799.0</v>
      </c>
      <c r="F372" s="142" t="s">
        <v>220</v>
      </c>
      <c r="G372" s="142">
        <v>2014.0</v>
      </c>
      <c r="H372" s="46">
        <v>8681.0</v>
      </c>
      <c r="I372" s="46">
        <v>2809.0</v>
      </c>
      <c r="J372" s="84">
        <v>1829248.8900000001</v>
      </c>
      <c r="K372" s="84">
        <v>1474612.6400000001</v>
      </c>
      <c r="L372" s="84">
        <v>354636.25</v>
      </c>
      <c r="M372" s="46" t="s">
        <v>153</v>
      </c>
      <c r="N372" s="46" t="s">
        <v>149</v>
      </c>
      <c r="O372" s="46" t="s">
        <v>149</v>
      </c>
      <c r="P372" s="46" t="s">
        <v>218</v>
      </c>
      <c r="Q372" s="46" t="str">
        <f t="shared" si="1"/>
        <v>May, 2014</v>
      </c>
      <c r="R372" s="115">
        <f t="shared" si="2"/>
        <v>41760</v>
      </c>
      <c r="S372" s="49">
        <f t="array" ref="S372">WEEKDAY(D372,2)</f>
        <v>4</v>
      </c>
      <c r="T372" s="46" t="s">
        <v>92</v>
      </c>
      <c r="U372" s="46" t="str">
        <f t="array" ref="U372">TEXT(D372,"dddd")</f>
        <v>Thursday</v>
      </c>
    </row>
    <row r="373" hidden="1">
      <c r="A373" s="46">
        <v>3.53415429E8</v>
      </c>
      <c r="B373" s="137" t="s">
        <v>225</v>
      </c>
      <c r="C373" s="137">
        <v>2010.0</v>
      </c>
      <c r="D373" s="138">
        <v>40516.0</v>
      </c>
      <c r="E373" s="139">
        <v>40520.0</v>
      </c>
      <c r="F373" s="142" t="s">
        <v>225</v>
      </c>
      <c r="G373" s="142">
        <v>2010.0</v>
      </c>
      <c r="H373" s="46">
        <v>3127.0</v>
      </c>
      <c r="I373" s="46">
        <v>2334.0</v>
      </c>
      <c r="J373" s="84">
        <v>190757.82</v>
      </c>
      <c r="K373" s="84">
        <v>132267.78</v>
      </c>
      <c r="L373" s="84">
        <v>58490.04000000001</v>
      </c>
      <c r="M373" s="46" t="s">
        <v>185</v>
      </c>
      <c r="N373" s="46" t="s">
        <v>184</v>
      </c>
      <c r="O373" s="46" t="s">
        <v>146</v>
      </c>
      <c r="P373" s="46" t="s">
        <v>155</v>
      </c>
      <c r="Q373" s="46" t="str">
        <f t="shared" si="1"/>
        <v>December, 2010</v>
      </c>
      <c r="R373" s="115">
        <f t="shared" si="2"/>
        <v>40513</v>
      </c>
      <c r="S373" s="49">
        <f t="array" ref="S373">WEEKDAY(D373,2)</f>
        <v>6</v>
      </c>
      <c r="T373" s="46" t="s">
        <v>114</v>
      </c>
      <c r="U373" s="46" t="str">
        <f t="array" ref="U373">TEXT(D373,"dddd")</f>
        <v>Saturday</v>
      </c>
    </row>
    <row r="374" hidden="1">
      <c r="A374" s="46">
        <v>3.5347594E8</v>
      </c>
      <c r="B374" s="137" t="s">
        <v>226</v>
      </c>
      <c r="C374" s="137">
        <v>2014.0</v>
      </c>
      <c r="D374" s="138">
        <v>41914.0</v>
      </c>
      <c r="E374" s="139">
        <v>41916.0</v>
      </c>
      <c r="F374" s="142" t="s">
        <v>226</v>
      </c>
      <c r="G374" s="142">
        <v>2014.0</v>
      </c>
      <c r="H374" s="46">
        <v>3127.0</v>
      </c>
      <c r="I374" s="46">
        <v>240.0</v>
      </c>
      <c r="J374" s="84">
        <v>19615.2</v>
      </c>
      <c r="K374" s="84">
        <v>13600.800000000001</v>
      </c>
      <c r="L374" s="84">
        <v>6014.4</v>
      </c>
      <c r="M374" s="46" t="s">
        <v>185</v>
      </c>
      <c r="N374" s="46" t="s">
        <v>192</v>
      </c>
      <c r="O374" s="46" t="s">
        <v>146</v>
      </c>
      <c r="P374" s="46" t="s">
        <v>158</v>
      </c>
      <c r="Q374" s="46" t="str">
        <f t="shared" si="1"/>
        <v>October, 2014</v>
      </c>
      <c r="R374" s="115">
        <f t="shared" si="2"/>
        <v>41913</v>
      </c>
      <c r="S374" s="49">
        <f t="array" ref="S374">WEEKDAY(D374,2)</f>
        <v>4</v>
      </c>
      <c r="T374" s="46" t="s">
        <v>121</v>
      </c>
      <c r="U374" s="46" t="str">
        <f t="array" ref="U374">TEXT(D374,"dddd")</f>
        <v>Thursday</v>
      </c>
    </row>
    <row r="375" hidden="1">
      <c r="A375" s="46">
        <v>3.53492677E8</v>
      </c>
      <c r="B375" s="137" t="s">
        <v>223</v>
      </c>
      <c r="C375" s="137">
        <v>2016.0</v>
      </c>
      <c r="D375" s="138">
        <v>42477.0</v>
      </c>
      <c r="E375" s="139">
        <v>42513.0</v>
      </c>
      <c r="F375" s="142" t="s">
        <v>219</v>
      </c>
      <c r="G375" s="142">
        <v>2016.0</v>
      </c>
      <c r="H375" s="46">
        <v>4594.0</v>
      </c>
      <c r="I375" s="46">
        <v>5193.0</v>
      </c>
      <c r="J375" s="84">
        <v>48450.69</v>
      </c>
      <c r="K375" s="84">
        <v>35935.56</v>
      </c>
      <c r="L375" s="84">
        <v>12515.130000000005</v>
      </c>
      <c r="M375" s="46" t="s">
        <v>156</v>
      </c>
      <c r="N375" s="46" t="s">
        <v>194</v>
      </c>
      <c r="O375" s="46" t="s">
        <v>146</v>
      </c>
      <c r="P375" s="46" t="s">
        <v>155</v>
      </c>
      <c r="Q375" s="46" t="str">
        <f t="shared" si="1"/>
        <v>April, 2016</v>
      </c>
      <c r="R375" s="115">
        <f t="shared" si="2"/>
        <v>42461</v>
      </c>
      <c r="S375" s="49">
        <f t="array" ref="S375">WEEKDAY(D375,2)</f>
        <v>7</v>
      </c>
      <c r="T375" s="46" t="s">
        <v>123</v>
      </c>
      <c r="U375" s="46" t="str">
        <f t="array" ref="U375">TEXT(D375,"dddd")</f>
        <v>Sunday</v>
      </c>
    </row>
    <row r="376" hidden="1">
      <c r="A376" s="46">
        <v>3.54270303E8</v>
      </c>
      <c r="B376" s="137" t="s">
        <v>226</v>
      </c>
      <c r="C376" s="137">
        <v>2012.0</v>
      </c>
      <c r="D376" s="138">
        <v>41196.0</v>
      </c>
      <c r="E376" s="139">
        <v>41240.0</v>
      </c>
      <c r="F376" s="142" t="s">
        <v>224</v>
      </c>
      <c r="G376" s="142">
        <v>2012.0</v>
      </c>
      <c r="H376" s="46">
        <v>5988.0</v>
      </c>
      <c r="I376" s="46">
        <v>5310.0</v>
      </c>
      <c r="J376" s="84">
        <v>818058.6</v>
      </c>
      <c r="K376" s="84">
        <v>482838.30000000005</v>
      </c>
      <c r="L376" s="84">
        <v>335220.29999999993</v>
      </c>
      <c r="M376" s="46" t="s">
        <v>159</v>
      </c>
      <c r="N376" s="46" t="s">
        <v>191</v>
      </c>
      <c r="O376" s="46" t="s">
        <v>146</v>
      </c>
      <c r="P376" s="46" t="s">
        <v>147</v>
      </c>
      <c r="Q376" s="46" t="str">
        <f t="shared" si="1"/>
        <v>October, 2012</v>
      </c>
      <c r="R376" s="115">
        <f t="shared" si="2"/>
        <v>41183</v>
      </c>
      <c r="S376" s="49">
        <f t="array" ref="S376">WEEKDAY(D376,2)</f>
        <v>7</v>
      </c>
      <c r="T376" s="46" t="s">
        <v>120</v>
      </c>
      <c r="U376" s="46" t="str">
        <f t="array" ref="U376">TEXT(D376,"dddd")</f>
        <v>Sunday</v>
      </c>
    </row>
    <row r="377" hidden="1">
      <c r="A377" s="46">
        <v>3.54655683E8</v>
      </c>
      <c r="B377" s="137" t="s">
        <v>217</v>
      </c>
      <c r="C377" s="137">
        <v>2012.0</v>
      </c>
      <c r="D377" s="138">
        <v>41114.0</v>
      </c>
      <c r="E377" s="139">
        <v>41121.0</v>
      </c>
      <c r="F377" s="142" t="s">
        <v>217</v>
      </c>
      <c r="G377" s="142">
        <v>2012.0</v>
      </c>
      <c r="H377" s="46">
        <v>1270.0</v>
      </c>
      <c r="I377" s="46">
        <v>9353.0</v>
      </c>
      <c r="J377" s="84">
        <v>443799.85000000003</v>
      </c>
      <c r="K377" s="84">
        <v>297331.87</v>
      </c>
      <c r="L377" s="84">
        <v>146467.98000000004</v>
      </c>
      <c r="M377" s="46" t="s">
        <v>152</v>
      </c>
      <c r="N377" s="46" t="s">
        <v>190</v>
      </c>
      <c r="O377" s="46" t="s">
        <v>146</v>
      </c>
      <c r="P377" s="46" t="s">
        <v>147</v>
      </c>
      <c r="Q377" s="46" t="str">
        <f t="shared" si="1"/>
        <v>July, 2012</v>
      </c>
      <c r="R377" s="115">
        <f t="shared" si="2"/>
        <v>41091</v>
      </c>
      <c r="S377" s="49">
        <f t="array" ref="S377">WEEKDAY(D377,2)</f>
        <v>2</v>
      </c>
      <c r="T377" s="46" t="s">
        <v>119</v>
      </c>
      <c r="U377" s="46" t="str">
        <f t="array" ref="U377">TEXT(D377,"dddd")</f>
        <v>Tuesday</v>
      </c>
    </row>
    <row r="378" hidden="1">
      <c r="A378" s="46">
        <v>3.54667699E8</v>
      </c>
      <c r="B378" s="137" t="s">
        <v>224</v>
      </c>
      <c r="C378" s="137">
        <v>2012.0</v>
      </c>
      <c r="D378" s="138">
        <v>41234.0</v>
      </c>
      <c r="E378" s="139">
        <v>41272.0</v>
      </c>
      <c r="F378" s="142" t="s">
        <v>225</v>
      </c>
      <c r="G378" s="142">
        <v>2012.0</v>
      </c>
      <c r="H378" s="46">
        <v>8681.0</v>
      </c>
      <c r="I378" s="46">
        <v>2908.0</v>
      </c>
      <c r="J378" s="84">
        <v>1893718.6800000002</v>
      </c>
      <c r="K378" s="84">
        <v>1526583.6800000002</v>
      </c>
      <c r="L378" s="84">
        <v>367135.0</v>
      </c>
      <c r="M378" s="46" t="s">
        <v>153</v>
      </c>
      <c r="N378" s="46" t="s">
        <v>162</v>
      </c>
      <c r="O378" s="46" t="s">
        <v>146</v>
      </c>
      <c r="P378" s="46" t="s">
        <v>147</v>
      </c>
      <c r="Q378" s="46" t="str">
        <f t="shared" si="1"/>
        <v>November, 2012</v>
      </c>
      <c r="R378" s="115">
        <f t="shared" si="2"/>
        <v>41214</v>
      </c>
      <c r="S378" s="49">
        <f t="array" ref="S378">WEEKDAY(D378,2)</f>
        <v>3</v>
      </c>
      <c r="T378" s="46" t="s">
        <v>99</v>
      </c>
      <c r="U378" s="46" t="str">
        <f t="array" ref="U378">TEXT(D378,"dddd")</f>
        <v>Wednesday</v>
      </c>
    </row>
    <row r="379" hidden="1">
      <c r="A379" s="46">
        <v>3.54931628E8</v>
      </c>
      <c r="B379" s="137" t="s">
        <v>219</v>
      </c>
      <c r="C379" s="137">
        <v>2010.0</v>
      </c>
      <c r="D379" s="138">
        <v>40328.0</v>
      </c>
      <c r="E379" s="139">
        <v>40337.0</v>
      </c>
      <c r="F379" s="142" t="s">
        <v>220</v>
      </c>
      <c r="G379" s="142">
        <v>2010.0</v>
      </c>
      <c r="H379" s="46">
        <v>3127.0</v>
      </c>
      <c r="I379" s="46">
        <v>1011.0</v>
      </c>
      <c r="J379" s="84">
        <v>82629.03</v>
      </c>
      <c r="K379" s="84">
        <v>57293.37</v>
      </c>
      <c r="L379" s="84">
        <v>25335.659999999996</v>
      </c>
      <c r="M379" s="46" t="s">
        <v>185</v>
      </c>
      <c r="N379" s="46" t="s">
        <v>198</v>
      </c>
      <c r="O379" s="46" t="s">
        <v>146</v>
      </c>
      <c r="P379" s="46" t="s">
        <v>170</v>
      </c>
      <c r="Q379" s="46" t="str">
        <f t="shared" si="1"/>
        <v>May, 2010</v>
      </c>
      <c r="R379" s="115">
        <f t="shared" si="2"/>
        <v>40299</v>
      </c>
      <c r="S379" s="49">
        <f t="array" ref="S379">WEEKDAY(D379,2)</f>
        <v>7</v>
      </c>
      <c r="T379" s="46" t="s">
        <v>127</v>
      </c>
      <c r="U379" s="46" t="str">
        <f t="array" ref="U379">TEXT(D379,"dddd")</f>
        <v>Sunday</v>
      </c>
    </row>
    <row r="380" hidden="1">
      <c r="A380" s="46">
        <v>3.55534589E8</v>
      </c>
      <c r="B380" s="137" t="s">
        <v>227</v>
      </c>
      <c r="C380" s="137">
        <v>2015.0</v>
      </c>
      <c r="D380" s="138">
        <v>42035.0</v>
      </c>
      <c r="E380" s="139">
        <v>42041.0</v>
      </c>
      <c r="F380" s="142" t="s">
        <v>228</v>
      </c>
      <c r="G380" s="142">
        <v>2015.0</v>
      </c>
      <c r="H380" s="46">
        <v>2455.0</v>
      </c>
      <c r="I380" s="46">
        <v>9440.0</v>
      </c>
      <c r="J380" s="84">
        <v>1031603.2</v>
      </c>
      <c r="K380" s="84">
        <v>338329.60000000003</v>
      </c>
      <c r="L380" s="84">
        <v>693273.5999999999</v>
      </c>
      <c r="M380" s="46" t="s">
        <v>150</v>
      </c>
      <c r="N380" s="46" t="s">
        <v>208</v>
      </c>
      <c r="O380" s="46" t="s">
        <v>146</v>
      </c>
      <c r="P380" s="46" t="s">
        <v>147</v>
      </c>
      <c r="Q380" s="46" t="str">
        <f t="shared" si="1"/>
        <v>January, 2015</v>
      </c>
      <c r="R380" s="115">
        <f t="shared" si="2"/>
        <v>42005</v>
      </c>
      <c r="S380" s="49">
        <f t="array" ref="S380">WEEKDAY(D380,2)</f>
        <v>6</v>
      </c>
      <c r="T380" s="46" t="s">
        <v>138</v>
      </c>
      <c r="U380" s="46" t="str">
        <f t="array" ref="U380">TEXT(D380,"dddd")</f>
        <v>Saturday</v>
      </c>
    </row>
    <row r="381" hidden="1">
      <c r="A381" s="46">
        <v>3.56413495E8</v>
      </c>
      <c r="B381" s="137" t="s">
        <v>227</v>
      </c>
      <c r="C381" s="137">
        <v>2010.0</v>
      </c>
      <c r="D381" s="138">
        <v>40190.0</v>
      </c>
      <c r="E381" s="139">
        <v>40196.0</v>
      </c>
      <c r="F381" s="142" t="s">
        <v>227</v>
      </c>
      <c r="G381" s="142">
        <v>2010.0</v>
      </c>
      <c r="H381" s="46">
        <v>3127.0</v>
      </c>
      <c r="I381" s="46">
        <v>9528.0</v>
      </c>
      <c r="J381" s="84">
        <v>778723.4400000001</v>
      </c>
      <c r="K381" s="84">
        <v>539951.76</v>
      </c>
      <c r="L381" s="84">
        <v>238771.68000000005</v>
      </c>
      <c r="M381" s="46" t="s">
        <v>185</v>
      </c>
      <c r="N381" s="46" t="s">
        <v>204</v>
      </c>
      <c r="O381" s="46" t="s">
        <v>146</v>
      </c>
      <c r="P381" s="46" t="s">
        <v>147</v>
      </c>
      <c r="Q381" s="46" t="str">
        <f t="shared" si="1"/>
        <v>January, 2010</v>
      </c>
      <c r="R381" s="115">
        <f t="shared" si="2"/>
        <v>40179</v>
      </c>
      <c r="S381" s="49">
        <f t="array" ref="S381">WEEKDAY(D381,2)</f>
        <v>2</v>
      </c>
      <c r="T381" s="46" t="s">
        <v>133</v>
      </c>
      <c r="U381" s="46" t="str">
        <f t="array" ref="U381">TEXT(D381,"dddd")</f>
        <v>Tuesday</v>
      </c>
    </row>
    <row r="382" hidden="1">
      <c r="A382" s="46">
        <v>3.5743488E8</v>
      </c>
      <c r="B382" s="137" t="s">
        <v>219</v>
      </c>
      <c r="C382" s="137">
        <v>2015.0</v>
      </c>
      <c r="D382" s="138">
        <v>42146.0</v>
      </c>
      <c r="E382" s="139">
        <v>42184.0</v>
      </c>
      <c r="F382" s="142" t="s">
        <v>220</v>
      </c>
      <c r="G382" s="142">
        <v>2015.0</v>
      </c>
      <c r="H382" s="46">
        <v>8293.0</v>
      </c>
      <c r="I382" s="46">
        <v>1779.0</v>
      </c>
      <c r="J382" s="84">
        <v>777778.7999999999</v>
      </c>
      <c r="K382" s="84">
        <v>468464.06999999995</v>
      </c>
      <c r="L382" s="84">
        <v>309314.73</v>
      </c>
      <c r="M382" s="46" t="s">
        <v>178</v>
      </c>
      <c r="N382" s="46" t="s">
        <v>151</v>
      </c>
      <c r="O382" s="46" t="s">
        <v>146</v>
      </c>
      <c r="P382" s="46" t="s">
        <v>147</v>
      </c>
      <c r="Q382" s="46" t="str">
        <f t="shared" si="1"/>
        <v>May, 2015</v>
      </c>
      <c r="R382" s="115">
        <f t="shared" si="2"/>
        <v>42125</v>
      </c>
      <c r="S382" s="49">
        <f t="array" ref="S382">WEEKDAY(D382,2)</f>
        <v>5</v>
      </c>
      <c r="T382" s="46" t="s">
        <v>94</v>
      </c>
      <c r="U382" s="46" t="str">
        <f t="array" ref="U382">TEXT(D382,"dddd")</f>
        <v>Friday</v>
      </c>
    </row>
    <row r="383" hidden="1">
      <c r="A383" s="46">
        <v>3.57482516E8</v>
      </c>
      <c r="B383" s="137" t="s">
        <v>217</v>
      </c>
      <c r="C383" s="137">
        <v>2014.0</v>
      </c>
      <c r="D383" s="138">
        <v>41834.0</v>
      </c>
      <c r="E383" s="139">
        <v>41848.0</v>
      </c>
      <c r="F383" s="142" t="s">
        <v>217</v>
      </c>
      <c r="G383" s="142">
        <v>2014.0</v>
      </c>
      <c r="H383" s="46">
        <v>1270.0</v>
      </c>
      <c r="I383" s="46">
        <v>5875.0</v>
      </c>
      <c r="J383" s="84">
        <v>278768.75</v>
      </c>
      <c r="K383" s="84">
        <v>186766.25</v>
      </c>
      <c r="L383" s="84">
        <v>92002.5</v>
      </c>
      <c r="M383" s="46" t="s">
        <v>152</v>
      </c>
      <c r="N383" s="46" t="s">
        <v>198</v>
      </c>
      <c r="O383" s="46" t="s">
        <v>146</v>
      </c>
      <c r="P383" s="46" t="s">
        <v>170</v>
      </c>
      <c r="Q383" s="46" t="str">
        <f t="shared" si="1"/>
        <v>July, 2014</v>
      </c>
      <c r="R383" s="115">
        <f t="shared" si="2"/>
        <v>41821</v>
      </c>
      <c r="S383" s="49">
        <f t="array" ref="S383">WEEKDAY(D383,2)</f>
        <v>1</v>
      </c>
      <c r="T383" s="46" t="s">
        <v>127</v>
      </c>
      <c r="U383" s="46" t="str">
        <f t="array" ref="U383">TEXT(D383,"dddd")</f>
        <v>Monday</v>
      </c>
    </row>
    <row r="384" hidden="1">
      <c r="A384" s="46">
        <v>3.57930982E8</v>
      </c>
      <c r="B384" s="137" t="s">
        <v>227</v>
      </c>
      <c r="C384" s="137">
        <v>2016.0</v>
      </c>
      <c r="D384" s="138">
        <v>42385.0</v>
      </c>
      <c r="E384" s="139">
        <v>42434.0</v>
      </c>
      <c r="F384" s="142" t="s">
        <v>222</v>
      </c>
      <c r="G384" s="142">
        <v>2016.0</v>
      </c>
      <c r="H384" s="46">
        <v>2455.0</v>
      </c>
      <c r="I384" s="46">
        <v>8586.0</v>
      </c>
      <c r="J384" s="84">
        <v>938278.08</v>
      </c>
      <c r="K384" s="84">
        <v>307722.24000000005</v>
      </c>
      <c r="L384" s="84">
        <v>630555.8399999999</v>
      </c>
      <c r="M384" s="46" t="s">
        <v>150</v>
      </c>
      <c r="N384" s="46" t="s">
        <v>202</v>
      </c>
      <c r="O384" s="46" t="s">
        <v>146</v>
      </c>
      <c r="P384" s="46" t="s">
        <v>147</v>
      </c>
      <c r="Q384" s="46" t="str">
        <f t="shared" si="1"/>
        <v>January, 2016</v>
      </c>
      <c r="R384" s="115">
        <f t="shared" si="2"/>
        <v>42370</v>
      </c>
      <c r="S384" s="49">
        <f t="array" ref="S384">WEEKDAY(D384,2)</f>
        <v>6</v>
      </c>
      <c r="T384" s="46" t="s">
        <v>131</v>
      </c>
      <c r="U384" s="46" t="str">
        <f t="array" ref="U384">TEXT(D384,"dddd")</f>
        <v>Saturday</v>
      </c>
    </row>
    <row r="385" hidden="1">
      <c r="A385" s="46">
        <v>3.57943856E8</v>
      </c>
      <c r="B385" s="137" t="s">
        <v>228</v>
      </c>
      <c r="C385" s="137">
        <v>2013.0</v>
      </c>
      <c r="D385" s="138">
        <v>41329.0</v>
      </c>
      <c r="E385" s="139">
        <v>41350.0</v>
      </c>
      <c r="F385" s="142" t="s">
        <v>222</v>
      </c>
      <c r="G385" s="142">
        <v>2013.0</v>
      </c>
      <c r="H385" s="46">
        <v>7331.0</v>
      </c>
      <c r="I385" s="46">
        <v>2396.0</v>
      </c>
      <c r="J385" s="84">
        <v>611650.88</v>
      </c>
      <c r="K385" s="84">
        <v>381970.31999999995</v>
      </c>
      <c r="L385" s="84">
        <v>229680.56000000006</v>
      </c>
      <c r="M385" s="46" t="s">
        <v>161</v>
      </c>
      <c r="N385" s="46" t="s">
        <v>183</v>
      </c>
      <c r="O385" s="46" t="s">
        <v>146</v>
      </c>
      <c r="P385" s="46" t="s">
        <v>170</v>
      </c>
      <c r="Q385" s="46" t="str">
        <f t="shared" si="1"/>
        <v>February, 2013</v>
      </c>
      <c r="R385" s="115">
        <f t="shared" si="2"/>
        <v>41306</v>
      </c>
      <c r="S385" s="49">
        <f t="array" ref="S385">WEEKDAY(D385,2)</f>
        <v>7</v>
      </c>
      <c r="T385" s="46" t="s">
        <v>90</v>
      </c>
      <c r="U385" s="46" t="str">
        <f t="array" ref="U385">TEXT(D385,"dddd")</f>
        <v>Sunday</v>
      </c>
    </row>
    <row r="386" hidden="1">
      <c r="A386" s="46">
        <v>3.58594453E8</v>
      </c>
      <c r="B386" s="137" t="s">
        <v>225</v>
      </c>
      <c r="C386" s="137">
        <v>2016.0</v>
      </c>
      <c r="D386" s="138">
        <v>42724.0</v>
      </c>
      <c r="E386" s="139">
        <v>42768.0</v>
      </c>
      <c r="F386" s="142" t="s">
        <v>228</v>
      </c>
      <c r="G386" s="142">
        <v>2017.0</v>
      </c>
      <c r="H386" s="46">
        <v>8969.0</v>
      </c>
      <c r="I386" s="46">
        <v>4922.0</v>
      </c>
      <c r="J386" s="84">
        <v>750998.76</v>
      </c>
      <c r="K386" s="84">
        <v>479599.68</v>
      </c>
      <c r="L386" s="84">
        <v>271399.08</v>
      </c>
      <c r="M386" s="46" t="s">
        <v>182</v>
      </c>
      <c r="N386" s="46" t="s">
        <v>207</v>
      </c>
      <c r="O386" s="46" t="s">
        <v>146</v>
      </c>
      <c r="P386" s="46" t="s">
        <v>170</v>
      </c>
      <c r="Q386" s="46" t="str">
        <f t="shared" si="1"/>
        <v>December, 2016</v>
      </c>
      <c r="R386" s="115">
        <f t="shared" si="2"/>
        <v>42705</v>
      </c>
      <c r="S386" s="49">
        <f t="array" ref="S386">WEEKDAY(D386,2)</f>
        <v>2</v>
      </c>
      <c r="T386" s="46" t="s">
        <v>137</v>
      </c>
      <c r="U386" s="46" t="str">
        <f t="array" ref="U386">TEXT(D386,"dddd")</f>
        <v>Tuesday</v>
      </c>
    </row>
    <row r="387" hidden="1">
      <c r="A387" s="46">
        <v>3.58624064E8</v>
      </c>
      <c r="B387" s="137" t="s">
        <v>216</v>
      </c>
      <c r="C387" s="137">
        <v>2015.0</v>
      </c>
      <c r="D387" s="138">
        <v>42231.0</v>
      </c>
      <c r="E387" s="139">
        <v>42280.0</v>
      </c>
      <c r="F387" s="142" t="s">
        <v>226</v>
      </c>
      <c r="G387" s="142">
        <v>2015.0</v>
      </c>
      <c r="H387" s="46">
        <v>2455.0</v>
      </c>
      <c r="I387" s="46">
        <v>3685.0</v>
      </c>
      <c r="J387" s="84">
        <v>402696.8</v>
      </c>
      <c r="K387" s="84">
        <v>132070.40000000002</v>
      </c>
      <c r="L387" s="84">
        <v>270626.39999999997</v>
      </c>
      <c r="M387" s="46" t="s">
        <v>150</v>
      </c>
      <c r="N387" s="46" t="s">
        <v>179</v>
      </c>
      <c r="O387" s="46" t="s">
        <v>146</v>
      </c>
      <c r="P387" s="46" t="s">
        <v>155</v>
      </c>
      <c r="Q387" s="46" t="str">
        <f t="shared" si="1"/>
        <v>August, 2015</v>
      </c>
      <c r="R387" s="115">
        <f t="shared" si="2"/>
        <v>42217</v>
      </c>
      <c r="S387" s="49">
        <f t="array" ref="S387">WEEKDAY(D387,2)</f>
        <v>6</v>
      </c>
      <c r="T387" s="46" t="s">
        <v>111</v>
      </c>
      <c r="U387" s="46" t="str">
        <f t="array" ref="U387">TEXT(D387,"dddd")</f>
        <v>Saturday</v>
      </c>
    </row>
    <row r="388" hidden="1">
      <c r="A388" s="46">
        <v>3.59197413E8</v>
      </c>
      <c r="B388" s="137" t="s">
        <v>227</v>
      </c>
      <c r="C388" s="137">
        <v>2014.0</v>
      </c>
      <c r="D388" s="138">
        <v>41665.0</v>
      </c>
      <c r="E388" s="139">
        <v>41706.0</v>
      </c>
      <c r="F388" s="142" t="s">
        <v>222</v>
      </c>
      <c r="G388" s="142">
        <v>2014.0</v>
      </c>
      <c r="H388" s="46">
        <v>7331.0</v>
      </c>
      <c r="I388" s="46">
        <v>3352.0</v>
      </c>
      <c r="J388" s="84">
        <v>855698.56</v>
      </c>
      <c r="K388" s="84">
        <v>534375.84</v>
      </c>
      <c r="L388" s="84">
        <v>321322.7200000001</v>
      </c>
      <c r="M388" s="46" t="s">
        <v>161</v>
      </c>
      <c r="N388" s="46" t="s">
        <v>168</v>
      </c>
      <c r="O388" s="46" t="s">
        <v>165</v>
      </c>
      <c r="P388" s="46" t="s">
        <v>166</v>
      </c>
      <c r="Q388" s="46" t="str">
        <f t="shared" si="1"/>
        <v>January, 2014</v>
      </c>
      <c r="R388" s="115">
        <f t="shared" si="2"/>
        <v>41640</v>
      </c>
      <c r="S388" s="49">
        <f t="array" ref="S388">WEEKDAY(D388,2)</f>
        <v>7</v>
      </c>
      <c r="T388" s="46" t="s">
        <v>102</v>
      </c>
      <c r="U388" s="46" t="str">
        <f t="array" ref="U388">TEXT(D388,"dddd")</f>
        <v>Sunday</v>
      </c>
    </row>
    <row r="389" hidden="1">
      <c r="A389" s="46">
        <v>3.59893071E8</v>
      </c>
      <c r="B389" s="137" t="s">
        <v>217</v>
      </c>
      <c r="C389" s="137">
        <v>2011.0</v>
      </c>
      <c r="D389" s="138">
        <v>40746.0</v>
      </c>
      <c r="E389" s="139">
        <v>40761.0</v>
      </c>
      <c r="F389" s="142" t="s">
        <v>216</v>
      </c>
      <c r="G389" s="142">
        <v>2011.0</v>
      </c>
      <c r="H389" s="46">
        <v>5988.0</v>
      </c>
      <c r="I389" s="46">
        <v>9212.0</v>
      </c>
      <c r="J389" s="84">
        <v>1419200.72</v>
      </c>
      <c r="K389" s="84">
        <v>837647.16</v>
      </c>
      <c r="L389" s="84">
        <v>581553.5599999999</v>
      </c>
      <c r="M389" s="46" t="s">
        <v>159</v>
      </c>
      <c r="N389" s="46" t="s">
        <v>197</v>
      </c>
      <c r="O389" s="46" t="s">
        <v>146</v>
      </c>
      <c r="P389" s="46" t="s">
        <v>147</v>
      </c>
      <c r="Q389" s="46" t="str">
        <f t="shared" si="1"/>
        <v>July, 2011</v>
      </c>
      <c r="R389" s="115">
        <f t="shared" si="2"/>
        <v>40725</v>
      </c>
      <c r="S389" s="49">
        <f t="array" ref="S389">WEEKDAY(D389,2)</f>
        <v>5</v>
      </c>
      <c r="T389" s="46" t="s">
        <v>126</v>
      </c>
      <c r="U389" s="46" t="str">
        <f t="array" ref="U389">TEXT(D389,"dddd")</f>
        <v>Friday</v>
      </c>
    </row>
    <row r="390" hidden="1">
      <c r="A390" s="46">
        <v>3.61311852E8</v>
      </c>
      <c r="B390" s="137" t="s">
        <v>227</v>
      </c>
      <c r="C390" s="137">
        <v>2017.0</v>
      </c>
      <c r="D390" s="138">
        <v>42741.0</v>
      </c>
      <c r="E390" s="139">
        <v>42781.0</v>
      </c>
      <c r="F390" s="142" t="s">
        <v>228</v>
      </c>
      <c r="G390" s="142">
        <v>2017.0</v>
      </c>
      <c r="H390" s="46">
        <v>7331.0</v>
      </c>
      <c r="I390" s="46">
        <v>9061.0</v>
      </c>
      <c r="J390" s="84">
        <v>2313092.08</v>
      </c>
      <c r="K390" s="84">
        <v>1444504.6199999999</v>
      </c>
      <c r="L390" s="84">
        <v>868587.4600000002</v>
      </c>
      <c r="M390" s="46" t="s">
        <v>161</v>
      </c>
      <c r="N390" s="46" t="s">
        <v>163</v>
      </c>
      <c r="O390" s="46" t="s">
        <v>146</v>
      </c>
      <c r="P390" s="46" t="s">
        <v>158</v>
      </c>
      <c r="Q390" s="46" t="str">
        <f t="shared" si="1"/>
        <v>January, 2017</v>
      </c>
      <c r="R390" s="115">
        <f t="shared" si="2"/>
        <v>42736</v>
      </c>
      <c r="S390" s="49">
        <f t="array" ref="S390">WEEKDAY(D390,2)</f>
        <v>5</v>
      </c>
      <c r="T390" s="46" t="s">
        <v>100</v>
      </c>
      <c r="U390" s="46" t="str">
        <f t="array" ref="U390">TEXT(D390,"dddd")</f>
        <v>Friday</v>
      </c>
    </row>
    <row r="391" hidden="1">
      <c r="A391" s="46">
        <v>3.61659038E8</v>
      </c>
      <c r="B391" s="137" t="s">
        <v>220</v>
      </c>
      <c r="C391" s="137">
        <v>2012.0</v>
      </c>
      <c r="D391" s="138">
        <v>41090.0</v>
      </c>
      <c r="E391" s="139">
        <v>41124.0</v>
      </c>
      <c r="F391" s="142" t="s">
        <v>216</v>
      </c>
      <c r="G391" s="142">
        <v>2012.0</v>
      </c>
      <c r="H391" s="46">
        <v>2103.0</v>
      </c>
      <c r="I391" s="46">
        <v>1801.0</v>
      </c>
      <c r="J391" s="84">
        <v>370465.69999999995</v>
      </c>
      <c r="K391" s="84">
        <v>210915.11</v>
      </c>
      <c r="L391" s="84">
        <v>159550.58999999997</v>
      </c>
      <c r="M391" s="46" t="s">
        <v>144</v>
      </c>
      <c r="N391" s="46" t="s">
        <v>174</v>
      </c>
      <c r="O391" s="46" t="s">
        <v>146</v>
      </c>
      <c r="P391" s="46" t="s">
        <v>158</v>
      </c>
      <c r="Q391" s="46" t="str">
        <f t="shared" si="1"/>
        <v>June, 2012</v>
      </c>
      <c r="R391" s="115">
        <f t="shared" si="2"/>
        <v>41061</v>
      </c>
      <c r="S391" s="49">
        <f t="array" ref="S391">WEEKDAY(D391,2)</f>
        <v>6</v>
      </c>
      <c r="T391" s="46" t="s">
        <v>107</v>
      </c>
      <c r="U391" s="46" t="str">
        <f t="array" ref="U391">TEXT(D391,"dddd")</f>
        <v>Saturday</v>
      </c>
    </row>
    <row r="392" hidden="1">
      <c r="A392" s="46">
        <v>3.61725556E8</v>
      </c>
      <c r="B392" s="137" t="s">
        <v>220</v>
      </c>
      <c r="C392" s="137">
        <v>2016.0</v>
      </c>
      <c r="D392" s="138">
        <v>42548.0</v>
      </c>
      <c r="E392" s="139">
        <v>42569.0</v>
      </c>
      <c r="F392" s="142" t="s">
        <v>217</v>
      </c>
      <c r="G392" s="142">
        <v>2016.0</v>
      </c>
      <c r="H392" s="46">
        <v>5988.0</v>
      </c>
      <c r="I392" s="46">
        <v>1485.0</v>
      </c>
      <c r="J392" s="84">
        <v>228779.1</v>
      </c>
      <c r="K392" s="84">
        <v>135031.05000000002</v>
      </c>
      <c r="L392" s="84">
        <v>93748.04999999999</v>
      </c>
      <c r="M392" s="46" t="s">
        <v>159</v>
      </c>
      <c r="N392" s="46" t="s">
        <v>191</v>
      </c>
      <c r="O392" s="46" t="s">
        <v>146</v>
      </c>
      <c r="P392" s="46" t="s">
        <v>147</v>
      </c>
      <c r="Q392" s="46" t="str">
        <f t="shared" si="1"/>
        <v>June, 2016</v>
      </c>
      <c r="R392" s="115">
        <f t="shared" si="2"/>
        <v>42522</v>
      </c>
      <c r="S392" s="49">
        <f t="array" ref="S392">WEEKDAY(D392,2)</f>
        <v>1</v>
      </c>
      <c r="T392" s="46" t="s">
        <v>120</v>
      </c>
      <c r="U392" s="46" t="str">
        <f t="array" ref="U392">TEXT(D392,"dddd")</f>
        <v>Monday</v>
      </c>
    </row>
    <row r="393" hidden="1">
      <c r="A393" s="46">
        <v>3.62258565E8</v>
      </c>
      <c r="B393" s="137" t="s">
        <v>224</v>
      </c>
      <c r="C393" s="137">
        <v>2014.0</v>
      </c>
      <c r="D393" s="138">
        <v>41972.0</v>
      </c>
      <c r="E393" s="139">
        <v>41987.0</v>
      </c>
      <c r="F393" s="142" t="s">
        <v>225</v>
      </c>
      <c r="G393" s="142">
        <v>2014.0</v>
      </c>
      <c r="H393" s="46">
        <v>4594.0</v>
      </c>
      <c r="I393" s="46">
        <v>9214.0</v>
      </c>
      <c r="J393" s="84">
        <v>85966.62</v>
      </c>
      <c r="K393" s="84">
        <v>63760.88</v>
      </c>
      <c r="L393" s="84">
        <v>22205.739999999998</v>
      </c>
      <c r="M393" s="46" t="s">
        <v>156</v>
      </c>
      <c r="N393" s="46" t="s">
        <v>164</v>
      </c>
      <c r="O393" s="46" t="s">
        <v>165</v>
      </c>
      <c r="P393" s="46" t="s">
        <v>166</v>
      </c>
      <c r="Q393" s="46" t="str">
        <f t="shared" si="1"/>
        <v>November, 2014</v>
      </c>
      <c r="R393" s="115">
        <f t="shared" si="2"/>
        <v>41944</v>
      </c>
      <c r="S393" s="49">
        <f t="array" ref="S393">WEEKDAY(D393,2)</f>
        <v>6</v>
      </c>
      <c r="T393" s="46" t="s">
        <v>101</v>
      </c>
      <c r="U393" s="46" t="str">
        <f t="array" ref="U393">TEXT(D393,"dddd")</f>
        <v>Saturday</v>
      </c>
    </row>
    <row r="394" hidden="1">
      <c r="A394" s="46">
        <v>3.64715468E8</v>
      </c>
      <c r="B394" s="137" t="s">
        <v>228</v>
      </c>
      <c r="C394" s="137">
        <v>2012.0</v>
      </c>
      <c r="D394" s="138">
        <v>40954.0</v>
      </c>
      <c r="E394" s="139">
        <v>40958.0</v>
      </c>
      <c r="F394" s="142" t="s">
        <v>228</v>
      </c>
      <c r="G394" s="142">
        <v>2012.0</v>
      </c>
      <c r="H394" s="46">
        <v>8293.0</v>
      </c>
      <c r="I394" s="46">
        <v>6267.0</v>
      </c>
      <c r="J394" s="84">
        <v>2739932.4</v>
      </c>
      <c r="K394" s="84">
        <v>1650289.1099999999</v>
      </c>
      <c r="L394" s="84">
        <v>1089643.29</v>
      </c>
      <c r="M394" s="46" t="s">
        <v>178</v>
      </c>
      <c r="N394" s="46" t="s">
        <v>162</v>
      </c>
      <c r="O394" s="46" t="s">
        <v>146</v>
      </c>
      <c r="P394" s="46" t="s">
        <v>147</v>
      </c>
      <c r="Q394" s="46" t="str">
        <f t="shared" si="1"/>
        <v>February, 2012</v>
      </c>
      <c r="R394" s="115">
        <f t="shared" si="2"/>
        <v>40940</v>
      </c>
      <c r="S394" s="49">
        <f t="array" ref="S394">WEEKDAY(D394,2)</f>
        <v>3</v>
      </c>
      <c r="T394" s="46" t="s">
        <v>99</v>
      </c>
      <c r="U394" s="46" t="str">
        <f t="array" ref="U394">TEXT(D394,"dddd")</f>
        <v>Wednesday</v>
      </c>
    </row>
    <row r="395">
      <c r="A395" s="46">
        <v>3.64854514E8</v>
      </c>
      <c r="B395" s="137" t="s">
        <v>221</v>
      </c>
      <c r="C395" s="137">
        <v>2012.0</v>
      </c>
      <c r="D395" s="138">
        <v>41165.0</v>
      </c>
      <c r="E395" s="139">
        <v>41185.0</v>
      </c>
      <c r="F395" s="142" t="s">
        <v>226</v>
      </c>
      <c r="G395" s="142">
        <v>2012.0</v>
      </c>
      <c r="H395" s="46">
        <v>7331.0</v>
      </c>
      <c r="I395" s="46">
        <v>7413.0</v>
      </c>
      <c r="J395" s="84">
        <v>1892390.64</v>
      </c>
      <c r="K395" s="84">
        <v>1181780.46</v>
      </c>
      <c r="L395" s="84">
        <v>710610.1799999999</v>
      </c>
      <c r="M395" s="46" t="s">
        <v>161</v>
      </c>
      <c r="N395" s="46" t="s">
        <v>149</v>
      </c>
      <c r="O395" s="46" t="s">
        <v>149</v>
      </c>
      <c r="P395" s="46" t="s">
        <v>218</v>
      </c>
      <c r="Q395" s="46" t="str">
        <f t="shared" si="1"/>
        <v>September, 2012</v>
      </c>
      <c r="R395" s="115">
        <f t="shared" si="2"/>
        <v>41153</v>
      </c>
      <c r="S395" s="49">
        <f t="array" ref="S395">WEEKDAY(D395,2)</f>
        <v>4</v>
      </c>
      <c r="T395" s="46" t="s">
        <v>92</v>
      </c>
      <c r="U395" s="46" t="str">
        <f t="array" ref="U395">TEXT(D395,"dddd")</f>
        <v>Thursday</v>
      </c>
    </row>
    <row r="396" hidden="1">
      <c r="A396" s="46">
        <v>3.67328155E8</v>
      </c>
      <c r="B396" s="137" t="s">
        <v>220</v>
      </c>
      <c r="C396" s="137">
        <v>2011.0</v>
      </c>
      <c r="D396" s="138">
        <v>40710.0</v>
      </c>
      <c r="E396" s="139">
        <v>40754.0</v>
      </c>
      <c r="F396" s="142" t="s">
        <v>217</v>
      </c>
      <c r="G396" s="142">
        <v>2011.0</v>
      </c>
      <c r="H396" s="46">
        <v>7940.0</v>
      </c>
      <c r="I396" s="46">
        <v>9419.0</v>
      </c>
      <c r="J396" s="84">
        <v>6294435.13</v>
      </c>
      <c r="K396" s="84">
        <v>4733424.26</v>
      </c>
      <c r="L396" s="84">
        <v>1561010.87</v>
      </c>
      <c r="M396" s="46" t="s">
        <v>148</v>
      </c>
      <c r="N396" s="46" t="s">
        <v>157</v>
      </c>
      <c r="O396" s="46" t="s">
        <v>146</v>
      </c>
      <c r="P396" s="46" t="s">
        <v>158</v>
      </c>
      <c r="Q396" s="46" t="str">
        <f t="shared" si="1"/>
        <v>June, 2011</v>
      </c>
      <c r="R396" s="115">
        <f t="shared" si="2"/>
        <v>40695</v>
      </c>
      <c r="S396" s="49">
        <f t="array" ref="S396">WEEKDAY(D396,2)</f>
        <v>4</v>
      </c>
      <c r="T396" s="46" t="s">
        <v>97</v>
      </c>
      <c r="U396" s="46" t="str">
        <f t="array" ref="U396">TEXT(D396,"dddd")</f>
        <v>Thursday</v>
      </c>
    </row>
    <row r="397" hidden="1">
      <c r="A397" s="46">
        <v>3.68865811E8</v>
      </c>
      <c r="B397" s="137" t="s">
        <v>221</v>
      </c>
      <c r="C397" s="137">
        <v>2013.0</v>
      </c>
      <c r="D397" s="138">
        <v>41528.0</v>
      </c>
      <c r="E397" s="139">
        <v>41563.0</v>
      </c>
      <c r="F397" s="142" t="s">
        <v>226</v>
      </c>
      <c r="G397" s="142">
        <v>2013.0</v>
      </c>
      <c r="H397" s="46">
        <v>8681.0</v>
      </c>
      <c r="I397" s="46">
        <v>4445.0</v>
      </c>
      <c r="J397" s="84">
        <v>2894628.45</v>
      </c>
      <c r="K397" s="84">
        <v>2333447.2</v>
      </c>
      <c r="L397" s="84">
        <v>561181.25</v>
      </c>
      <c r="M397" s="46" t="s">
        <v>153</v>
      </c>
      <c r="N397" s="46" t="s">
        <v>163</v>
      </c>
      <c r="O397" s="46" t="s">
        <v>146</v>
      </c>
      <c r="P397" s="46" t="s">
        <v>158</v>
      </c>
      <c r="Q397" s="46" t="str">
        <f t="shared" si="1"/>
        <v>September, 2013</v>
      </c>
      <c r="R397" s="115">
        <f t="shared" si="2"/>
        <v>41518</v>
      </c>
      <c r="S397" s="49">
        <f t="array" ref="S397">WEEKDAY(D397,2)</f>
        <v>3</v>
      </c>
      <c r="T397" s="46" t="s">
        <v>100</v>
      </c>
      <c r="U397" s="46" t="str">
        <f t="array" ref="U397">TEXT(D397,"dddd")</f>
        <v>Wednesday</v>
      </c>
    </row>
    <row r="398" hidden="1">
      <c r="A398" s="46">
        <v>3.69170081E8</v>
      </c>
      <c r="B398" s="137" t="s">
        <v>222</v>
      </c>
      <c r="C398" s="137">
        <v>2011.0</v>
      </c>
      <c r="D398" s="138">
        <v>40631.0</v>
      </c>
      <c r="E398" s="139">
        <v>40636.0</v>
      </c>
      <c r="F398" s="142" t="s">
        <v>223</v>
      </c>
      <c r="G398" s="142">
        <v>2011.0</v>
      </c>
      <c r="H398" s="46">
        <v>7331.0</v>
      </c>
      <c r="I398" s="46">
        <v>4486.0</v>
      </c>
      <c r="J398" s="84">
        <v>1145186.08</v>
      </c>
      <c r="K398" s="84">
        <v>715158.12</v>
      </c>
      <c r="L398" s="84">
        <v>430027.9600000001</v>
      </c>
      <c r="M398" s="46" t="s">
        <v>161</v>
      </c>
      <c r="N398" s="46" t="s">
        <v>203</v>
      </c>
      <c r="O398" s="46" t="s">
        <v>146</v>
      </c>
      <c r="P398" s="46" t="s">
        <v>170</v>
      </c>
      <c r="Q398" s="46" t="str">
        <f t="shared" si="1"/>
        <v>March, 2011</v>
      </c>
      <c r="R398" s="115">
        <f t="shared" si="2"/>
        <v>40603</v>
      </c>
      <c r="S398" s="49">
        <f t="array" ref="S398">WEEKDAY(D398,2)</f>
        <v>2</v>
      </c>
      <c r="T398" s="46" t="s">
        <v>132</v>
      </c>
      <c r="U398" s="46" t="str">
        <f t="array" ref="U398">TEXT(D398,"dddd")</f>
        <v>Tuesday</v>
      </c>
    </row>
    <row r="399">
      <c r="A399" s="46">
        <v>3.70484149E8</v>
      </c>
      <c r="B399" s="137" t="s">
        <v>225</v>
      </c>
      <c r="C399" s="137">
        <v>2015.0</v>
      </c>
      <c r="D399" s="138">
        <v>42365.0</v>
      </c>
      <c r="E399" s="139">
        <v>42388.0</v>
      </c>
      <c r="F399" s="142" t="s">
        <v>227</v>
      </c>
      <c r="G399" s="142">
        <v>2016.0</v>
      </c>
      <c r="H399" s="46">
        <v>1270.0</v>
      </c>
      <c r="I399" s="46">
        <v>3348.0</v>
      </c>
      <c r="J399" s="84">
        <v>158862.6</v>
      </c>
      <c r="K399" s="84">
        <v>106432.92</v>
      </c>
      <c r="L399" s="84">
        <v>52429.68000000001</v>
      </c>
      <c r="M399" s="46" t="s">
        <v>152</v>
      </c>
      <c r="N399" s="46" t="s">
        <v>149</v>
      </c>
      <c r="O399" s="46" t="s">
        <v>149</v>
      </c>
      <c r="P399" s="46" t="s">
        <v>218</v>
      </c>
      <c r="Q399" s="46" t="str">
        <f t="shared" si="1"/>
        <v>December, 2015</v>
      </c>
      <c r="R399" s="115">
        <f t="shared" si="2"/>
        <v>42339</v>
      </c>
      <c r="S399" s="49">
        <f t="array" ref="S399">WEEKDAY(D399,2)</f>
        <v>7</v>
      </c>
      <c r="T399" s="46" t="s">
        <v>92</v>
      </c>
      <c r="U399" s="46" t="str">
        <f t="array" ref="U399">TEXT(D399,"dddd")</f>
        <v>Sunday</v>
      </c>
    </row>
    <row r="400" hidden="1">
      <c r="A400" s="46">
        <v>3.71814954E8</v>
      </c>
      <c r="B400" s="137" t="s">
        <v>221</v>
      </c>
      <c r="C400" s="137">
        <v>2014.0</v>
      </c>
      <c r="D400" s="138">
        <v>41896.0</v>
      </c>
      <c r="E400" s="139">
        <v>41920.0</v>
      </c>
      <c r="F400" s="142" t="s">
        <v>226</v>
      </c>
      <c r="G400" s="142">
        <v>2014.0</v>
      </c>
      <c r="H400" s="46">
        <v>3127.0</v>
      </c>
      <c r="I400" s="46">
        <v>7162.0</v>
      </c>
      <c r="J400" s="84">
        <v>585350.26</v>
      </c>
      <c r="K400" s="84">
        <v>405870.54000000004</v>
      </c>
      <c r="L400" s="84">
        <v>179479.71999999997</v>
      </c>
      <c r="M400" s="46" t="s">
        <v>185</v>
      </c>
      <c r="N400" s="46" t="s">
        <v>179</v>
      </c>
      <c r="O400" s="46" t="s">
        <v>146</v>
      </c>
      <c r="P400" s="46" t="s">
        <v>155</v>
      </c>
      <c r="Q400" s="46" t="str">
        <f t="shared" si="1"/>
        <v>September, 2014</v>
      </c>
      <c r="R400" s="115">
        <f t="shared" si="2"/>
        <v>41883</v>
      </c>
      <c r="S400" s="49">
        <f t="array" ref="S400">WEEKDAY(D400,2)</f>
        <v>7</v>
      </c>
      <c r="T400" s="46" t="s">
        <v>111</v>
      </c>
      <c r="U400" s="46" t="str">
        <f t="array" ref="U400">TEXT(D400,"dddd")</f>
        <v>Sunday</v>
      </c>
    </row>
    <row r="401">
      <c r="A401" s="46">
        <v>3.74663245E8</v>
      </c>
      <c r="B401" s="137" t="s">
        <v>224</v>
      </c>
      <c r="C401" s="137">
        <v>2011.0</v>
      </c>
      <c r="D401" s="138">
        <v>40856.0</v>
      </c>
      <c r="E401" s="139">
        <v>40873.0</v>
      </c>
      <c r="F401" s="142" t="s">
        <v>224</v>
      </c>
      <c r="G401" s="142">
        <v>2011.0</v>
      </c>
      <c r="H401" s="46">
        <v>8681.0</v>
      </c>
      <c r="I401" s="46">
        <v>35.0</v>
      </c>
      <c r="J401" s="84">
        <v>22792.350000000002</v>
      </c>
      <c r="K401" s="84">
        <v>18373.600000000002</v>
      </c>
      <c r="L401" s="84">
        <v>4418.75</v>
      </c>
      <c r="M401" s="46" t="s">
        <v>153</v>
      </c>
      <c r="N401" s="46" t="s">
        <v>149</v>
      </c>
      <c r="O401" s="46" t="s">
        <v>149</v>
      </c>
      <c r="P401" s="46" t="s">
        <v>218</v>
      </c>
      <c r="Q401" s="46" t="str">
        <f t="shared" si="1"/>
        <v>November, 2011</v>
      </c>
      <c r="R401" s="115">
        <f t="shared" si="2"/>
        <v>40848</v>
      </c>
      <c r="S401" s="49">
        <f t="array" ref="S401">WEEKDAY(D401,2)</f>
        <v>3</v>
      </c>
      <c r="T401" s="46" t="s">
        <v>92</v>
      </c>
      <c r="U401" s="46" t="str">
        <f t="array" ref="U401">TEXT(D401,"dddd")</f>
        <v>Wednesday</v>
      </c>
    </row>
    <row r="402" hidden="1">
      <c r="A402" s="46">
        <v>3.74848639E8</v>
      </c>
      <c r="B402" s="137" t="s">
        <v>216</v>
      </c>
      <c r="C402" s="137">
        <v>2012.0</v>
      </c>
      <c r="D402" s="138">
        <v>41137.0</v>
      </c>
      <c r="E402" s="139">
        <v>41158.0</v>
      </c>
      <c r="F402" s="142" t="s">
        <v>221</v>
      </c>
      <c r="G402" s="142">
        <v>2012.0</v>
      </c>
      <c r="H402" s="46">
        <v>2455.0</v>
      </c>
      <c r="I402" s="46">
        <v>4897.0</v>
      </c>
      <c r="J402" s="84">
        <v>535144.16</v>
      </c>
      <c r="K402" s="84">
        <v>175508.48</v>
      </c>
      <c r="L402" s="84">
        <v>359635.68000000005</v>
      </c>
      <c r="M402" s="46" t="s">
        <v>150</v>
      </c>
      <c r="N402" s="46" t="s">
        <v>160</v>
      </c>
      <c r="O402" s="46" t="s">
        <v>146</v>
      </c>
      <c r="P402" s="46" t="s">
        <v>147</v>
      </c>
      <c r="Q402" s="46" t="str">
        <f t="shared" si="1"/>
        <v>August, 2012</v>
      </c>
      <c r="R402" s="115">
        <f t="shared" si="2"/>
        <v>41122</v>
      </c>
      <c r="S402" s="49">
        <f t="array" ref="S402">WEEKDAY(D402,2)</f>
        <v>4</v>
      </c>
      <c r="T402" s="46" t="s">
        <v>98</v>
      </c>
      <c r="U402" s="46" t="str">
        <f t="array" ref="U402">TEXT(D402,"dddd")</f>
        <v>Thursday</v>
      </c>
    </row>
    <row r="403" hidden="1">
      <c r="A403" s="46">
        <v>3.78216636E8</v>
      </c>
      <c r="B403" s="137" t="s">
        <v>220</v>
      </c>
      <c r="C403" s="137">
        <v>2016.0</v>
      </c>
      <c r="D403" s="138">
        <v>42549.0</v>
      </c>
      <c r="E403" s="139">
        <v>42590.0</v>
      </c>
      <c r="F403" s="142" t="s">
        <v>216</v>
      </c>
      <c r="G403" s="142">
        <v>2016.0</v>
      </c>
      <c r="H403" s="46">
        <v>2455.0</v>
      </c>
      <c r="I403" s="46">
        <v>1562.0</v>
      </c>
      <c r="J403" s="84">
        <v>170695.36000000002</v>
      </c>
      <c r="K403" s="84">
        <v>55982.08</v>
      </c>
      <c r="L403" s="84">
        <v>114713.28000000001</v>
      </c>
      <c r="M403" s="46" t="s">
        <v>150</v>
      </c>
      <c r="N403" s="46" t="s">
        <v>177</v>
      </c>
      <c r="O403" s="46" t="s">
        <v>146</v>
      </c>
      <c r="P403" s="46" t="s">
        <v>170</v>
      </c>
      <c r="Q403" s="46" t="str">
        <f t="shared" si="1"/>
        <v>June, 2016</v>
      </c>
      <c r="R403" s="115">
        <f t="shared" si="2"/>
        <v>42522</v>
      </c>
      <c r="S403" s="49">
        <f t="array" ref="S403">WEEKDAY(D403,2)</f>
        <v>2</v>
      </c>
      <c r="T403" s="46" t="s">
        <v>110</v>
      </c>
      <c r="U403" s="46" t="str">
        <f t="array" ref="U403">TEXT(D403,"dddd")</f>
        <v>Tuesday</v>
      </c>
    </row>
    <row r="404" hidden="1">
      <c r="A404" s="46">
        <v>3.78714883E8</v>
      </c>
      <c r="B404" s="137" t="s">
        <v>224</v>
      </c>
      <c r="C404" s="137">
        <v>2012.0</v>
      </c>
      <c r="D404" s="138">
        <v>41229.0</v>
      </c>
      <c r="E404" s="139">
        <v>41259.0</v>
      </c>
      <c r="F404" s="142" t="s">
        <v>225</v>
      </c>
      <c r="G404" s="142">
        <v>2012.0</v>
      </c>
      <c r="H404" s="46">
        <v>8293.0</v>
      </c>
      <c r="I404" s="46">
        <v>9005.0</v>
      </c>
      <c r="J404" s="84">
        <v>3936986.0</v>
      </c>
      <c r="K404" s="84">
        <v>2371286.65</v>
      </c>
      <c r="L404" s="84">
        <v>1565699.35</v>
      </c>
      <c r="M404" s="46" t="s">
        <v>178</v>
      </c>
      <c r="N404" s="46" t="s">
        <v>151</v>
      </c>
      <c r="O404" s="46" t="s">
        <v>146</v>
      </c>
      <c r="P404" s="46" t="s">
        <v>147</v>
      </c>
      <c r="Q404" s="46" t="str">
        <f t="shared" si="1"/>
        <v>November, 2012</v>
      </c>
      <c r="R404" s="115">
        <f t="shared" si="2"/>
        <v>41214</v>
      </c>
      <c r="S404" s="49">
        <f t="array" ref="S404">WEEKDAY(D404,2)</f>
        <v>5</v>
      </c>
      <c r="T404" s="46" t="s">
        <v>94</v>
      </c>
      <c r="U404" s="46" t="str">
        <f t="array" ref="U404">TEXT(D404,"dddd")</f>
        <v>Friday</v>
      </c>
    </row>
    <row r="405" hidden="1">
      <c r="A405" s="46">
        <v>3.7887324E8</v>
      </c>
      <c r="B405" s="137" t="s">
        <v>224</v>
      </c>
      <c r="C405" s="137">
        <v>2012.0</v>
      </c>
      <c r="D405" s="138">
        <v>41238.0</v>
      </c>
      <c r="E405" s="139">
        <v>41241.0</v>
      </c>
      <c r="F405" s="142" t="s">
        <v>224</v>
      </c>
      <c r="G405" s="142">
        <v>2012.0</v>
      </c>
      <c r="H405" s="46">
        <v>1270.0</v>
      </c>
      <c r="I405" s="46">
        <v>5866.0</v>
      </c>
      <c r="J405" s="84">
        <v>278341.7</v>
      </c>
      <c r="K405" s="84">
        <v>186480.13999999998</v>
      </c>
      <c r="L405" s="84">
        <v>91861.56000000003</v>
      </c>
      <c r="M405" s="46" t="s">
        <v>152</v>
      </c>
      <c r="N405" s="46" t="s">
        <v>199</v>
      </c>
      <c r="O405" s="46" t="s">
        <v>146</v>
      </c>
      <c r="P405" s="46" t="s">
        <v>147</v>
      </c>
      <c r="Q405" s="46" t="str">
        <f t="shared" si="1"/>
        <v>November, 2012</v>
      </c>
      <c r="R405" s="115">
        <f t="shared" si="2"/>
        <v>41214</v>
      </c>
      <c r="S405" s="49">
        <f t="array" ref="S405">WEEKDAY(D405,2)</f>
        <v>7</v>
      </c>
      <c r="T405" s="46" t="s">
        <v>128</v>
      </c>
      <c r="U405" s="46" t="str">
        <f t="array" ref="U405">TEXT(D405,"dddd")</f>
        <v>Sunday</v>
      </c>
    </row>
    <row r="406" hidden="1">
      <c r="A406" s="46">
        <v>3.79900634E8</v>
      </c>
      <c r="B406" s="137" t="s">
        <v>224</v>
      </c>
      <c r="C406" s="137">
        <v>2010.0</v>
      </c>
      <c r="D406" s="138">
        <v>40489.0</v>
      </c>
      <c r="E406" s="139">
        <v>40514.0</v>
      </c>
      <c r="F406" s="142" t="s">
        <v>225</v>
      </c>
      <c r="G406" s="142">
        <v>2010.0</v>
      </c>
      <c r="H406" s="46">
        <v>2455.0</v>
      </c>
      <c r="I406" s="46">
        <v>9895.0</v>
      </c>
      <c r="J406" s="84">
        <v>1081325.6</v>
      </c>
      <c r="K406" s="84">
        <v>354636.80000000005</v>
      </c>
      <c r="L406" s="84">
        <v>726688.8</v>
      </c>
      <c r="M406" s="46" t="s">
        <v>150</v>
      </c>
      <c r="N406" s="46" t="s">
        <v>163</v>
      </c>
      <c r="O406" s="46" t="s">
        <v>146</v>
      </c>
      <c r="P406" s="46" t="s">
        <v>158</v>
      </c>
      <c r="Q406" s="46" t="str">
        <f t="shared" si="1"/>
        <v>November, 2010</v>
      </c>
      <c r="R406" s="115">
        <f t="shared" si="2"/>
        <v>40483</v>
      </c>
      <c r="S406" s="49">
        <f t="array" ref="S406">WEEKDAY(D406,2)</f>
        <v>7</v>
      </c>
      <c r="T406" s="46" t="s">
        <v>100</v>
      </c>
      <c r="U406" s="46" t="str">
        <f t="array" ref="U406">TEXT(D406,"dddd")</f>
        <v>Sunday</v>
      </c>
    </row>
    <row r="407" hidden="1">
      <c r="A407" s="46">
        <v>3.80379998E8</v>
      </c>
      <c r="B407" s="137" t="s">
        <v>217</v>
      </c>
      <c r="C407" s="137">
        <v>2017.0</v>
      </c>
      <c r="D407" s="138">
        <v>42930.0</v>
      </c>
      <c r="E407" s="139">
        <v>42932.0</v>
      </c>
      <c r="F407" s="142" t="s">
        <v>217</v>
      </c>
      <c r="G407" s="142">
        <v>2017.0</v>
      </c>
      <c r="H407" s="46">
        <v>7940.0</v>
      </c>
      <c r="I407" s="46">
        <v>1749.0</v>
      </c>
      <c r="J407" s="84">
        <v>1168804.23</v>
      </c>
      <c r="K407" s="84">
        <v>878942.4600000001</v>
      </c>
      <c r="L407" s="84">
        <v>289861.7699999999</v>
      </c>
      <c r="M407" s="46" t="s">
        <v>148</v>
      </c>
      <c r="N407" s="46" t="s">
        <v>202</v>
      </c>
      <c r="O407" s="46" t="s">
        <v>146</v>
      </c>
      <c r="P407" s="46" t="s">
        <v>147</v>
      </c>
      <c r="Q407" s="46" t="str">
        <f t="shared" si="1"/>
        <v>July, 2017</v>
      </c>
      <c r="R407" s="115">
        <f t="shared" si="2"/>
        <v>42917</v>
      </c>
      <c r="S407" s="49">
        <f t="array" ref="S407">WEEKDAY(D407,2)</f>
        <v>5</v>
      </c>
      <c r="T407" s="46" t="s">
        <v>131</v>
      </c>
      <c r="U407" s="46" t="str">
        <f t="array" ref="U407">TEXT(D407,"dddd")</f>
        <v>Friday</v>
      </c>
    </row>
    <row r="408" hidden="1">
      <c r="A408" s="46">
        <v>3.80498874E8</v>
      </c>
      <c r="B408" s="137" t="s">
        <v>223</v>
      </c>
      <c r="C408" s="137">
        <v>2014.0</v>
      </c>
      <c r="D408" s="138">
        <v>41753.0</v>
      </c>
      <c r="E408" s="139">
        <v>41772.0</v>
      </c>
      <c r="F408" s="142" t="s">
        <v>219</v>
      </c>
      <c r="G408" s="142">
        <v>2014.0</v>
      </c>
      <c r="H408" s="46">
        <v>2455.0</v>
      </c>
      <c r="I408" s="46">
        <v>6927.0</v>
      </c>
      <c r="J408" s="84">
        <v>756982.56</v>
      </c>
      <c r="K408" s="84">
        <v>248263.68000000002</v>
      </c>
      <c r="L408" s="84">
        <v>508718.88</v>
      </c>
      <c r="M408" s="46" t="s">
        <v>150</v>
      </c>
      <c r="N408" s="46" t="s">
        <v>196</v>
      </c>
      <c r="O408" s="46" t="s">
        <v>146</v>
      </c>
      <c r="P408" s="46" t="s">
        <v>155</v>
      </c>
      <c r="Q408" s="46" t="str">
        <f t="shared" si="1"/>
        <v>April, 2014</v>
      </c>
      <c r="R408" s="115">
        <f t="shared" si="2"/>
        <v>41730</v>
      </c>
      <c r="S408" s="49">
        <f t="array" ref="S408">WEEKDAY(D408,2)</f>
        <v>4</v>
      </c>
      <c r="T408" s="46" t="s">
        <v>125</v>
      </c>
      <c r="U408" s="46" t="str">
        <f t="array" ref="U408">TEXT(D408,"dddd")</f>
        <v>Thursday</v>
      </c>
    </row>
    <row r="409" hidden="1">
      <c r="A409" s="46">
        <v>3.80610454E8</v>
      </c>
      <c r="B409" s="137" t="s">
        <v>225</v>
      </c>
      <c r="C409" s="137">
        <v>2011.0</v>
      </c>
      <c r="D409" s="138">
        <v>40898.0</v>
      </c>
      <c r="E409" s="139">
        <v>40906.0</v>
      </c>
      <c r="F409" s="142" t="s">
        <v>225</v>
      </c>
      <c r="G409" s="142">
        <v>2011.0</v>
      </c>
      <c r="H409" s="46">
        <v>8875.0</v>
      </c>
      <c r="I409" s="46">
        <v>9946.0</v>
      </c>
      <c r="J409" s="84">
        <v>4196117.9399999995</v>
      </c>
      <c r="K409" s="84">
        <v>3627206.7399999998</v>
      </c>
      <c r="L409" s="84">
        <v>568911.1999999997</v>
      </c>
      <c r="M409" s="46" t="s">
        <v>167</v>
      </c>
      <c r="N409" s="46" t="s">
        <v>145</v>
      </c>
      <c r="O409" s="46" t="s">
        <v>146</v>
      </c>
      <c r="P409" s="46" t="s">
        <v>147</v>
      </c>
      <c r="Q409" s="46" t="str">
        <f t="shared" si="1"/>
        <v>December, 2011</v>
      </c>
      <c r="R409" s="115">
        <f t="shared" si="2"/>
        <v>40878</v>
      </c>
      <c r="S409" s="49">
        <f t="array" ref="S409">WEEKDAY(D409,2)</f>
        <v>3</v>
      </c>
      <c r="T409" s="46" t="s">
        <v>91</v>
      </c>
      <c r="U409" s="46" t="str">
        <f t="array" ref="U409">TEXT(D409,"dddd")</f>
        <v>Wednesday</v>
      </c>
    </row>
    <row r="410" hidden="1">
      <c r="A410" s="46">
        <v>3.80684268E8</v>
      </c>
      <c r="B410" s="137" t="s">
        <v>227</v>
      </c>
      <c r="C410" s="137">
        <v>2015.0</v>
      </c>
      <c r="D410" s="138">
        <v>42034.0</v>
      </c>
      <c r="E410" s="139">
        <v>42058.0</v>
      </c>
      <c r="F410" s="142" t="s">
        <v>228</v>
      </c>
      <c r="G410" s="142">
        <v>2015.0</v>
      </c>
      <c r="H410" s="46">
        <v>8293.0</v>
      </c>
      <c r="I410" s="46">
        <v>1789.0</v>
      </c>
      <c r="J410" s="84">
        <v>782150.7999999999</v>
      </c>
      <c r="K410" s="84">
        <v>471097.37</v>
      </c>
      <c r="L410" s="84">
        <v>311053.42999999993</v>
      </c>
      <c r="M410" s="46" t="s">
        <v>178</v>
      </c>
      <c r="N410" s="46" t="s">
        <v>174</v>
      </c>
      <c r="O410" s="46" t="s">
        <v>146</v>
      </c>
      <c r="P410" s="46" t="s">
        <v>158</v>
      </c>
      <c r="Q410" s="46" t="str">
        <f t="shared" si="1"/>
        <v>January, 2015</v>
      </c>
      <c r="R410" s="115">
        <f t="shared" si="2"/>
        <v>42005</v>
      </c>
      <c r="S410" s="49">
        <f t="array" ref="S410">WEEKDAY(D410,2)</f>
        <v>5</v>
      </c>
      <c r="T410" s="46" t="s">
        <v>107</v>
      </c>
      <c r="U410" s="46" t="str">
        <f t="array" ref="U410">TEXT(D410,"dddd")</f>
        <v>Friday</v>
      </c>
    </row>
    <row r="411" hidden="1">
      <c r="A411" s="46">
        <v>3.80733191E8</v>
      </c>
      <c r="B411" s="137" t="s">
        <v>222</v>
      </c>
      <c r="C411" s="137">
        <v>2013.0</v>
      </c>
      <c r="D411" s="138">
        <v>41340.0</v>
      </c>
      <c r="E411" s="139">
        <v>41377.0</v>
      </c>
      <c r="F411" s="142" t="s">
        <v>223</v>
      </c>
      <c r="G411" s="142">
        <v>2013.0</v>
      </c>
      <c r="H411" s="46">
        <v>7331.0</v>
      </c>
      <c r="I411" s="46">
        <v>6267.0</v>
      </c>
      <c r="J411" s="84">
        <v>1599839.76</v>
      </c>
      <c r="K411" s="84">
        <v>999085.1399999999</v>
      </c>
      <c r="L411" s="84">
        <v>600754.6200000001</v>
      </c>
      <c r="M411" s="46" t="s">
        <v>161</v>
      </c>
      <c r="N411" s="46" t="s">
        <v>199</v>
      </c>
      <c r="O411" s="46" t="s">
        <v>146</v>
      </c>
      <c r="P411" s="46" t="s">
        <v>147</v>
      </c>
      <c r="Q411" s="46" t="str">
        <f t="shared" si="1"/>
        <v>March, 2013</v>
      </c>
      <c r="R411" s="115">
        <f t="shared" si="2"/>
        <v>41334</v>
      </c>
      <c r="S411" s="49">
        <f t="array" ref="S411">WEEKDAY(D411,2)</f>
        <v>4</v>
      </c>
      <c r="T411" s="46" t="s">
        <v>128</v>
      </c>
      <c r="U411" s="46" t="str">
        <f t="array" ref="U411">TEXT(D411,"dddd")</f>
        <v>Thursday</v>
      </c>
    </row>
    <row r="412" hidden="1">
      <c r="A412" s="46">
        <v>3.81759297E8</v>
      </c>
      <c r="B412" s="137" t="s">
        <v>222</v>
      </c>
      <c r="C412" s="137">
        <v>2012.0</v>
      </c>
      <c r="D412" s="138">
        <v>40972.0</v>
      </c>
      <c r="E412" s="139">
        <v>40993.0</v>
      </c>
      <c r="F412" s="142" t="s">
        <v>222</v>
      </c>
      <c r="G412" s="142">
        <v>2012.0</v>
      </c>
      <c r="H412" s="46">
        <v>2455.0</v>
      </c>
      <c r="I412" s="46">
        <v>9914.0</v>
      </c>
      <c r="J412" s="84">
        <v>1083401.92</v>
      </c>
      <c r="K412" s="84">
        <v>355317.76</v>
      </c>
      <c r="L412" s="84">
        <v>728084.1599999999</v>
      </c>
      <c r="M412" s="46" t="s">
        <v>150</v>
      </c>
      <c r="N412" s="46" t="s">
        <v>151</v>
      </c>
      <c r="O412" s="46" t="s">
        <v>146</v>
      </c>
      <c r="P412" s="46" t="s">
        <v>147</v>
      </c>
      <c r="Q412" s="46" t="str">
        <f t="shared" si="1"/>
        <v>March, 2012</v>
      </c>
      <c r="R412" s="115">
        <f t="shared" si="2"/>
        <v>40969</v>
      </c>
      <c r="S412" s="49">
        <f t="array" ref="S412">WEEKDAY(D412,2)</f>
        <v>7</v>
      </c>
      <c r="T412" s="46" t="s">
        <v>94</v>
      </c>
      <c r="U412" s="46" t="str">
        <f t="array" ref="U412">TEXT(D412,"dddd")</f>
        <v>Sunday</v>
      </c>
    </row>
    <row r="413" hidden="1">
      <c r="A413" s="46">
        <v>3.81774747E8</v>
      </c>
      <c r="B413" s="137" t="s">
        <v>226</v>
      </c>
      <c r="C413" s="137">
        <v>2014.0</v>
      </c>
      <c r="D413" s="138">
        <v>41918.0</v>
      </c>
      <c r="E413" s="139">
        <v>41935.0</v>
      </c>
      <c r="F413" s="142" t="s">
        <v>226</v>
      </c>
      <c r="G413" s="142">
        <v>2014.0</v>
      </c>
      <c r="H413" s="46">
        <v>4594.0</v>
      </c>
      <c r="I413" s="46">
        <v>4486.0</v>
      </c>
      <c r="J413" s="84">
        <v>41854.38</v>
      </c>
      <c r="K413" s="84">
        <v>31043.12</v>
      </c>
      <c r="L413" s="84">
        <v>10811.259999999998</v>
      </c>
      <c r="M413" s="46" t="s">
        <v>156</v>
      </c>
      <c r="N413" s="46" t="s">
        <v>183</v>
      </c>
      <c r="O413" s="46" t="s">
        <v>146</v>
      </c>
      <c r="P413" s="46" t="s">
        <v>170</v>
      </c>
      <c r="Q413" s="46" t="str">
        <f t="shared" si="1"/>
        <v>October, 2014</v>
      </c>
      <c r="R413" s="115">
        <f t="shared" si="2"/>
        <v>41913</v>
      </c>
      <c r="S413" s="49">
        <f t="array" ref="S413">WEEKDAY(D413,2)</f>
        <v>1</v>
      </c>
      <c r="T413" s="46" t="s">
        <v>90</v>
      </c>
      <c r="U413" s="46" t="str">
        <f t="array" ref="U413">TEXT(D413,"dddd")</f>
        <v>Monday</v>
      </c>
    </row>
    <row r="414" hidden="1">
      <c r="A414" s="46">
        <v>3.82581126E8</v>
      </c>
      <c r="B414" s="137" t="s">
        <v>228</v>
      </c>
      <c r="C414" s="137">
        <v>2013.0</v>
      </c>
      <c r="D414" s="138">
        <v>41321.0</v>
      </c>
      <c r="E414" s="139">
        <v>41360.0</v>
      </c>
      <c r="F414" s="142" t="s">
        <v>222</v>
      </c>
      <c r="G414" s="142">
        <v>2013.0</v>
      </c>
      <c r="H414" s="46">
        <v>3127.0</v>
      </c>
      <c r="I414" s="46">
        <v>3112.0</v>
      </c>
      <c r="J414" s="84">
        <v>254343.76</v>
      </c>
      <c r="K414" s="84">
        <v>176357.04</v>
      </c>
      <c r="L414" s="84">
        <v>77986.72</v>
      </c>
      <c r="M414" s="46" t="s">
        <v>185</v>
      </c>
      <c r="N414" s="46" t="s">
        <v>198</v>
      </c>
      <c r="O414" s="46" t="s">
        <v>146</v>
      </c>
      <c r="P414" s="46" t="s">
        <v>170</v>
      </c>
      <c r="Q414" s="46" t="str">
        <f t="shared" si="1"/>
        <v>February, 2013</v>
      </c>
      <c r="R414" s="115">
        <f t="shared" si="2"/>
        <v>41306</v>
      </c>
      <c r="S414" s="49">
        <f t="array" ref="S414">WEEKDAY(D414,2)</f>
        <v>6</v>
      </c>
      <c r="T414" s="46" t="s">
        <v>127</v>
      </c>
      <c r="U414" s="46" t="str">
        <f t="array" ref="U414">TEXT(D414,"dddd")</f>
        <v>Saturday</v>
      </c>
    </row>
    <row r="415" hidden="1">
      <c r="A415" s="46">
        <v>3.83611094E8</v>
      </c>
      <c r="B415" s="137" t="s">
        <v>217</v>
      </c>
      <c r="C415" s="137">
        <v>2016.0</v>
      </c>
      <c r="D415" s="138">
        <v>42573.0</v>
      </c>
      <c r="E415" s="139">
        <v>42608.0</v>
      </c>
      <c r="F415" s="142" t="s">
        <v>216</v>
      </c>
      <c r="G415" s="142">
        <v>2016.0</v>
      </c>
      <c r="H415" s="46">
        <v>2455.0</v>
      </c>
      <c r="I415" s="46">
        <v>7902.0</v>
      </c>
      <c r="J415" s="84">
        <v>863530.56</v>
      </c>
      <c r="K415" s="84">
        <v>283207.68000000005</v>
      </c>
      <c r="L415" s="84">
        <v>580322.88</v>
      </c>
      <c r="M415" s="46" t="s">
        <v>150</v>
      </c>
      <c r="N415" s="46" t="s">
        <v>187</v>
      </c>
      <c r="O415" s="46" t="s">
        <v>146</v>
      </c>
      <c r="P415" s="46" t="s">
        <v>155</v>
      </c>
      <c r="Q415" s="46" t="str">
        <f t="shared" si="1"/>
        <v>July, 2016</v>
      </c>
      <c r="R415" s="115">
        <f t="shared" si="2"/>
        <v>42552</v>
      </c>
      <c r="S415" s="49">
        <f t="array" ref="S415">WEEKDAY(D415,2)</f>
        <v>5</v>
      </c>
      <c r="T415" s="46" t="s">
        <v>116</v>
      </c>
      <c r="U415" s="46" t="str">
        <f t="array" ref="U415">TEXT(D415,"dddd")</f>
        <v>Friday</v>
      </c>
    </row>
    <row r="416" hidden="1">
      <c r="A416" s="46">
        <v>3.84128224E8</v>
      </c>
      <c r="B416" s="137" t="s">
        <v>222</v>
      </c>
      <c r="C416" s="137">
        <v>2010.0</v>
      </c>
      <c r="D416" s="138">
        <v>40257.0</v>
      </c>
      <c r="E416" s="139">
        <v>40294.0</v>
      </c>
      <c r="F416" s="142" t="s">
        <v>223</v>
      </c>
      <c r="G416" s="142">
        <v>2010.0</v>
      </c>
      <c r="H416" s="46">
        <v>7940.0</v>
      </c>
      <c r="I416" s="46">
        <v>933.0</v>
      </c>
      <c r="J416" s="84">
        <v>623495.91</v>
      </c>
      <c r="K416" s="84">
        <v>468869.82</v>
      </c>
      <c r="L416" s="84">
        <v>154626.09000000003</v>
      </c>
      <c r="M416" s="46" t="s">
        <v>148</v>
      </c>
      <c r="N416" s="46" t="s">
        <v>183</v>
      </c>
      <c r="O416" s="46" t="s">
        <v>146</v>
      </c>
      <c r="P416" s="46" t="s">
        <v>170</v>
      </c>
      <c r="Q416" s="46" t="str">
        <f t="shared" si="1"/>
        <v>March, 2010</v>
      </c>
      <c r="R416" s="115">
        <f t="shared" si="2"/>
        <v>40238</v>
      </c>
      <c r="S416" s="49">
        <f t="array" ref="S416">WEEKDAY(D416,2)</f>
        <v>6</v>
      </c>
      <c r="T416" s="46" t="s">
        <v>90</v>
      </c>
      <c r="U416" s="46" t="str">
        <f t="array" ref="U416">TEXT(D416,"dddd")</f>
        <v>Saturday</v>
      </c>
    </row>
    <row r="417" hidden="1">
      <c r="A417" s="46">
        <v>3.84483993E8</v>
      </c>
      <c r="B417" s="137" t="s">
        <v>219</v>
      </c>
      <c r="C417" s="137">
        <v>2011.0</v>
      </c>
      <c r="D417" s="138">
        <v>40668.0</v>
      </c>
      <c r="E417" s="139">
        <v>40713.0</v>
      </c>
      <c r="F417" s="142" t="s">
        <v>220</v>
      </c>
      <c r="G417" s="142">
        <v>2011.0</v>
      </c>
      <c r="H417" s="46">
        <v>5988.0</v>
      </c>
      <c r="I417" s="46">
        <v>6212.0</v>
      </c>
      <c r="J417" s="84">
        <v>957020.72</v>
      </c>
      <c r="K417" s="84">
        <v>564857.16</v>
      </c>
      <c r="L417" s="84">
        <v>392163.55999999994</v>
      </c>
      <c r="M417" s="46" t="s">
        <v>159</v>
      </c>
      <c r="N417" s="46" t="s">
        <v>189</v>
      </c>
      <c r="O417" s="46" t="s">
        <v>146</v>
      </c>
      <c r="P417" s="46" t="s">
        <v>158</v>
      </c>
      <c r="Q417" s="46" t="str">
        <f t="shared" si="1"/>
        <v>May, 2011</v>
      </c>
      <c r="R417" s="115">
        <f t="shared" si="2"/>
        <v>40664</v>
      </c>
      <c r="S417" s="49">
        <f t="array" ref="S417">WEEKDAY(D417,2)</f>
        <v>4</v>
      </c>
      <c r="T417" s="46" t="s">
        <v>118</v>
      </c>
      <c r="U417" s="46" t="str">
        <f t="array" ref="U417">TEXT(D417,"dddd")</f>
        <v>Thursday</v>
      </c>
    </row>
    <row r="418" hidden="1">
      <c r="A418" s="46">
        <v>3.84601581E8</v>
      </c>
      <c r="B418" s="137" t="s">
        <v>221</v>
      </c>
      <c r="C418" s="137">
        <v>2016.0</v>
      </c>
      <c r="D418" s="138">
        <v>42638.0</v>
      </c>
      <c r="E418" s="139">
        <v>42662.0</v>
      </c>
      <c r="F418" s="142" t="s">
        <v>226</v>
      </c>
      <c r="G418" s="142">
        <v>2016.0</v>
      </c>
      <c r="H418" s="46">
        <v>4594.0</v>
      </c>
      <c r="I418" s="46">
        <v>1009.0</v>
      </c>
      <c r="J418" s="84">
        <v>9413.97</v>
      </c>
      <c r="K418" s="84">
        <v>6982.28</v>
      </c>
      <c r="L418" s="84">
        <v>2431.6899999999996</v>
      </c>
      <c r="M418" s="46" t="s">
        <v>156</v>
      </c>
      <c r="N418" s="46" t="s">
        <v>174</v>
      </c>
      <c r="O418" s="46" t="s">
        <v>146</v>
      </c>
      <c r="P418" s="46" t="s">
        <v>158</v>
      </c>
      <c r="Q418" s="46" t="str">
        <f t="shared" si="1"/>
        <v>September, 2016</v>
      </c>
      <c r="R418" s="115">
        <f t="shared" si="2"/>
        <v>42614</v>
      </c>
      <c r="S418" s="49">
        <f t="array" ref="S418">WEEKDAY(D418,2)</f>
        <v>7</v>
      </c>
      <c r="T418" s="46" t="s">
        <v>107</v>
      </c>
      <c r="U418" s="46" t="str">
        <f t="array" ref="U418">TEXT(D418,"dddd")</f>
        <v>Sunday</v>
      </c>
    </row>
    <row r="419" hidden="1">
      <c r="A419" s="46">
        <v>3.84976232E8</v>
      </c>
      <c r="B419" s="137" t="s">
        <v>228</v>
      </c>
      <c r="C419" s="137">
        <v>2015.0</v>
      </c>
      <c r="D419" s="138">
        <v>42053.0</v>
      </c>
      <c r="E419" s="139">
        <v>42097.0</v>
      </c>
      <c r="F419" s="142" t="s">
        <v>223</v>
      </c>
      <c r="G419" s="142">
        <v>2015.0</v>
      </c>
      <c r="H419" s="46">
        <v>8681.0</v>
      </c>
      <c r="I419" s="46">
        <v>1877.0</v>
      </c>
      <c r="J419" s="84">
        <v>1222321.1700000002</v>
      </c>
      <c r="K419" s="84">
        <v>985349.92</v>
      </c>
      <c r="L419" s="84">
        <v>236971.25000000012</v>
      </c>
      <c r="M419" s="46" t="s">
        <v>153</v>
      </c>
      <c r="N419" s="46" t="s">
        <v>207</v>
      </c>
      <c r="O419" s="46" t="s">
        <v>146</v>
      </c>
      <c r="P419" s="46" t="s">
        <v>170</v>
      </c>
      <c r="Q419" s="46" t="str">
        <f t="shared" si="1"/>
        <v>February, 2015</v>
      </c>
      <c r="R419" s="115">
        <f t="shared" si="2"/>
        <v>42036</v>
      </c>
      <c r="S419" s="49">
        <f t="array" ref="S419">WEEKDAY(D419,2)</f>
        <v>3</v>
      </c>
      <c r="T419" s="46" t="s">
        <v>137</v>
      </c>
      <c r="U419" s="46" t="str">
        <f t="array" ref="U419">TEXT(D419,"dddd")</f>
        <v>Wednesday</v>
      </c>
    </row>
    <row r="420" hidden="1">
      <c r="A420" s="46">
        <v>3.85080945E8</v>
      </c>
      <c r="B420" s="137" t="s">
        <v>224</v>
      </c>
      <c r="C420" s="137">
        <v>2015.0</v>
      </c>
      <c r="D420" s="138">
        <v>42314.0</v>
      </c>
      <c r="E420" s="139">
        <v>42315.0</v>
      </c>
      <c r="F420" s="142" t="s">
        <v>224</v>
      </c>
      <c r="G420" s="142">
        <v>2015.0</v>
      </c>
      <c r="H420" s="46">
        <v>8293.0</v>
      </c>
      <c r="I420" s="46">
        <v>2864.0</v>
      </c>
      <c r="J420" s="84">
        <v>1252140.8</v>
      </c>
      <c r="K420" s="84">
        <v>754177.12</v>
      </c>
      <c r="L420" s="84">
        <v>497963.68000000005</v>
      </c>
      <c r="M420" s="46" t="s">
        <v>178</v>
      </c>
      <c r="N420" s="46" t="s">
        <v>175</v>
      </c>
      <c r="O420" s="46" t="s">
        <v>165</v>
      </c>
      <c r="P420" s="46" t="s">
        <v>166</v>
      </c>
      <c r="Q420" s="46" t="str">
        <f t="shared" si="1"/>
        <v>November, 2015</v>
      </c>
      <c r="R420" s="115">
        <f t="shared" si="2"/>
        <v>42309</v>
      </c>
      <c r="S420" s="49">
        <f t="array" ref="S420">WEEKDAY(D420,2)</f>
        <v>5</v>
      </c>
      <c r="T420" s="46" t="s">
        <v>108</v>
      </c>
      <c r="U420" s="46" t="str">
        <f t="array" ref="U420">TEXT(D420,"dddd")</f>
        <v>Friday</v>
      </c>
    </row>
    <row r="421" hidden="1">
      <c r="A421" s="46">
        <v>3.85340154E8</v>
      </c>
      <c r="B421" s="137" t="s">
        <v>228</v>
      </c>
      <c r="C421" s="137">
        <v>2012.0</v>
      </c>
      <c r="D421" s="138">
        <v>40965.0</v>
      </c>
      <c r="E421" s="139">
        <v>40986.0</v>
      </c>
      <c r="F421" s="142" t="s">
        <v>222</v>
      </c>
      <c r="G421" s="142">
        <v>2012.0</v>
      </c>
      <c r="H421" s="46">
        <v>8293.0</v>
      </c>
      <c r="I421" s="46">
        <v>9569.0</v>
      </c>
      <c r="J421" s="84">
        <v>4183566.8</v>
      </c>
      <c r="K421" s="84">
        <v>2519804.77</v>
      </c>
      <c r="L421" s="84">
        <v>1663762.0299999998</v>
      </c>
      <c r="M421" s="46" t="s">
        <v>178</v>
      </c>
      <c r="N421" s="46" t="s">
        <v>163</v>
      </c>
      <c r="O421" s="46" t="s">
        <v>146</v>
      </c>
      <c r="P421" s="46" t="s">
        <v>158</v>
      </c>
      <c r="Q421" s="46" t="str">
        <f t="shared" si="1"/>
        <v>February, 2012</v>
      </c>
      <c r="R421" s="115">
        <f t="shared" si="2"/>
        <v>40940</v>
      </c>
      <c r="S421" s="49">
        <f t="array" ref="S421">WEEKDAY(D421,2)</f>
        <v>7</v>
      </c>
      <c r="T421" s="46" t="s">
        <v>100</v>
      </c>
      <c r="U421" s="46" t="str">
        <f t="array" ref="U421">TEXT(D421,"dddd")</f>
        <v>Sunday</v>
      </c>
    </row>
    <row r="422" hidden="1">
      <c r="A422" s="46">
        <v>3.86009633E8</v>
      </c>
      <c r="B422" s="137" t="s">
        <v>222</v>
      </c>
      <c r="C422" s="137">
        <v>2013.0</v>
      </c>
      <c r="D422" s="138">
        <v>41364.0</v>
      </c>
      <c r="E422" s="139">
        <v>41369.0</v>
      </c>
      <c r="F422" s="142" t="s">
        <v>223</v>
      </c>
      <c r="G422" s="142">
        <v>2013.0</v>
      </c>
      <c r="H422" s="46">
        <v>3127.0</v>
      </c>
      <c r="I422" s="46">
        <v>7683.0</v>
      </c>
      <c r="J422" s="84">
        <v>627931.5900000001</v>
      </c>
      <c r="K422" s="84">
        <v>435395.61</v>
      </c>
      <c r="L422" s="84">
        <v>192535.9800000001</v>
      </c>
      <c r="M422" s="46" t="s">
        <v>185</v>
      </c>
      <c r="N422" s="46" t="s">
        <v>177</v>
      </c>
      <c r="O422" s="46" t="s">
        <v>146</v>
      </c>
      <c r="P422" s="46" t="s">
        <v>170</v>
      </c>
      <c r="Q422" s="46" t="str">
        <f t="shared" si="1"/>
        <v>March, 2013</v>
      </c>
      <c r="R422" s="115">
        <f t="shared" si="2"/>
        <v>41334</v>
      </c>
      <c r="S422" s="49">
        <f t="array" ref="S422">WEEKDAY(D422,2)</f>
        <v>7</v>
      </c>
      <c r="T422" s="46" t="s">
        <v>110</v>
      </c>
      <c r="U422" s="46" t="str">
        <f t="array" ref="U422">TEXT(D422,"dddd")</f>
        <v>Sunday</v>
      </c>
    </row>
    <row r="423" hidden="1">
      <c r="A423" s="46">
        <v>3.86319911E8</v>
      </c>
      <c r="B423" s="137" t="s">
        <v>225</v>
      </c>
      <c r="C423" s="137">
        <v>2010.0</v>
      </c>
      <c r="D423" s="138">
        <v>40528.0</v>
      </c>
      <c r="E423" s="139">
        <v>40545.0</v>
      </c>
      <c r="F423" s="142" t="s">
        <v>227</v>
      </c>
      <c r="G423" s="142">
        <v>2011.0</v>
      </c>
      <c r="H423" s="46">
        <v>5988.0</v>
      </c>
      <c r="I423" s="46">
        <v>9501.0</v>
      </c>
      <c r="J423" s="84">
        <v>1463724.06</v>
      </c>
      <c r="K423" s="84">
        <v>863925.93</v>
      </c>
      <c r="L423" s="84">
        <v>599798.13</v>
      </c>
      <c r="M423" s="46" t="s">
        <v>159</v>
      </c>
      <c r="N423" s="46" t="s">
        <v>160</v>
      </c>
      <c r="O423" s="46" t="s">
        <v>146</v>
      </c>
      <c r="P423" s="46" t="s">
        <v>147</v>
      </c>
      <c r="Q423" s="46" t="str">
        <f t="shared" si="1"/>
        <v>December, 2010</v>
      </c>
      <c r="R423" s="115">
        <f t="shared" si="2"/>
        <v>40513</v>
      </c>
      <c r="S423" s="49">
        <f t="array" ref="S423">WEEKDAY(D423,2)</f>
        <v>4</v>
      </c>
      <c r="T423" s="46" t="s">
        <v>98</v>
      </c>
      <c r="U423" s="46" t="str">
        <f t="array" ref="U423">TEXT(D423,"dddd")</f>
        <v>Thursday</v>
      </c>
    </row>
    <row r="424" hidden="1">
      <c r="A424" s="46">
        <v>3.86440074E8</v>
      </c>
      <c r="B424" s="137" t="s">
        <v>223</v>
      </c>
      <c r="C424" s="137">
        <v>2014.0</v>
      </c>
      <c r="D424" s="138">
        <v>41734.0</v>
      </c>
      <c r="E424" s="139">
        <v>41754.0</v>
      </c>
      <c r="F424" s="142" t="s">
        <v>223</v>
      </c>
      <c r="G424" s="142">
        <v>2014.0</v>
      </c>
      <c r="H424" s="46">
        <v>3127.0</v>
      </c>
      <c r="I424" s="46">
        <v>5060.0</v>
      </c>
      <c r="J424" s="84">
        <v>413553.80000000005</v>
      </c>
      <c r="K424" s="84">
        <v>286750.2</v>
      </c>
      <c r="L424" s="84">
        <v>126803.60000000003</v>
      </c>
      <c r="M424" s="46" t="s">
        <v>185</v>
      </c>
      <c r="N424" s="46" t="s">
        <v>173</v>
      </c>
      <c r="O424" s="46" t="s">
        <v>146</v>
      </c>
      <c r="P424" s="46" t="s">
        <v>155</v>
      </c>
      <c r="Q424" s="46" t="str">
        <f t="shared" si="1"/>
        <v>April, 2014</v>
      </c>
      <c r="R424" s="115">
        <f t="shared" si="2"/>
        <v>41730</v>
      </c>
      <c r="S424" s="49">
        <f t="array" ref="S424">WEEKDAY(D424,2)</f>
        <v>6</v>
      </c>
      <c r="T424" s="46" t="s">
        <v>106</v>
      </c>
      <c r="U424" s="46" t="str">
        <f t="array" ref="U424">TEXT(D424,"dddd")</f>
        <v>Saturday</v>
      </c>
    </row>
    <row r="425" hidden="1">
      <c r="A425" s="46">
        <v>3.86601865E8</v>
      </c>
      <c r="B425" s="137" t="s">
        <v>217</v>
      </c>
      <c r="C425" s="137">
        <v>2016.0</v>
      </c>
      <c r="D425" s="138">
        <v>42568.0</v>
      </c>
      <c r="E425" s="139">
        <v>42577.0</v>
      </c>
      <c r="F425" s="142" t="s">
        <v>217</v>
      </c>
      <c r="G425" s="142">
        <v>2016.0</v>
      </c>
      <c r="H425" s="46">
        <v>5988.0</v>
      </c>
      <c r="I425" s="46">
        <v>2938.0</v>
      </c>
      <c r="J425" s="84">
        <v>452628.28</v>
      </c>
      <c r="K425" s="84">
        <v>267152.34</v>
      </c>
      <c r="L425" s="84">
        <v>185475.94</v>
      </c>
      <c r="M425" s="46" t="s">
        <v>159</v>
      </c>
      <c r="N425" s="46" t="s">
        <v>177</v>
      </c>
      <c r="O425" s="46" t="s">
        <v>146</v>
      </c>
      <c r="P425" s="46" t="s">
        <v>170</v>
      </c>
      <c r="Q425" s="46" t="str">
        <f t="shared" si="1"/>
        <v>July, 2016</v>
      </c>
      <c r="R425" s="115">
        <f t="shared" si="2"/>
        <v>42552</v>
      </c>
      <c r="S425" s="49">
        <f t="array" ref="S425">WEEKDAY(D425,2)</f>
        <v>7</v>
      </c>
      <c r="T425" s="46" t="s">
        <v>110</v>
      </c>
      <c r="U425" s="46" t="str">
        <f t="array" ref="U425">TEXT(D425,"dddd")</f>
        <v>Sunday</v>
      </c>
    </row>
    <row r="426" hidden="1">
      <c r="A426" s="46">
        <v>3.87098824E8</v>
      </c>
      <c r="B426" s="137" t="s">
        <v>225</v>
      </c>
      <c r="C426" s="137">
        <v>2013.0</v>
      </c>
      <c r="D426" s="138">
        <v>41631.0</v>
      </c>
      <c r="E426" s="139">
        <v>41643.0</v>
      </c>
      <c r="F426" s="142" t="s">
        <v>227</v>
      </c>
      <c r="G426" s="142">
        <v>2014.0</v>
      </c>
      <c r="H426" s="46">
        <v>3127.0</v>
      </c>
      <c r="I426" s="46">
        <v>9999.0</v>
      </c>
      <c r="J426" s="84">
        <v>817218.27</v>
      </c>
      <c r="K426" s="84">
        <v>566643.3300000001</v>
      </c>
      <c r="L426" s="84">
        <v>250574.93999999994</v>
      </c>
      <c r="M426" s="46" t="s">
        <v>185</v>
      </c>
      <c r="N426" s="46" t="s">
        <v>169</v>
      </c>
      <c r="O426" s="46" t="s">
        <v>146</v>
      </c>
      <c r="P426" s="46" t="s">
        <v>170</v>
      </c>
      <c r="Q426" s="46" t="str">
        <f t="shared" si="1"/>
        <v>December, 2013</v>
      </c>
      <c r="R426" s="115">
        <f t="shared" si="2"/>
        <v>41609</v>
      </c>
      <c r="S426" s="49">
        <f t="array" ref="S426">WEEKDAY(D426,2)</f>
        <v>1</v>
      </c>
      <c r="T426" s="46" t="s">
        <v>103</v>
      </c>
      <c r="U426" s="46" t="str">
        <f t="array" ref="U426">TEXT(D426,"dddd")</f>
        <v>Monday</v>
      </c>
    </row>
    <row r="427" hidden="1">
      <c r="A427" s="46">
        <v>3.8872832E8</v>
      </c>
      <c r="B427" s="137" t="s">
        <v>222</v>
      </c>
      <c r="C427" s="137">
        <v>2012.0</v>
      </c>
      <c r="D427" s="138">
        <v>40999.0</v>
      </c>
      <c r="E427" s="139">
        <v>41039.0</v>
      </c>
      <c r="F427" s="142" t="s">
        <v>219</v>
      </c>
      <c r="G427" s="142">
        <v>2012.0</v>
      </c>
      <c r="H427" s="46">
        <v>8969.0</v>
      </c>
      <c r="I427" s="46">
        <v>2203.0</v>
      </c>
      <c r="J427" s="84">
        <v>336133.74000000005</v>
      </c>
      <c r="K427" s="84">
        <v>214660.32</v>
      </c>
      <c r="L427" s="84">
        <v>121473.42000000004</v>
      </c>
      <c r="M427" s="46" t="s">
        <v>182</v>
      </c>
      <c r="N427" s="46" t="s">
        <v>204</v>
      </c>
      <c r="O427" s="46" t="s">
        <v>146</v>
      </c>
      <c r="P427" s="46" t="s">
        <v>147</v>
      </c>
      <c r="Q427" s="46" t="str">
        <f t="shared" si="1"/>
        <v>March, 2012</v>
      </c>
      <c r="R427" s="115">
        <f t="shared" si="2"/>
        <v>40969</v>
      </c>
      <c r="S427" s="49">
        <f t="array" ref="S427">WEEKDAY(D427,2)</f>
        <v>6</v>
      </c>
      <c r="T427" s="46" t="s">
        <v>133</v>
      </c>
      <c r="U427" s="46" t="str">
        <f t="array" ref="U427">TEXT(D427,"dddd")</f>
        <v>Saturday</v>
      </c>
    </row>
    <row r="428" hidden="1">
      <c r="A428" s="46">
        <v>3.91026866E8</v>
      </c>
      <c r="B428" s="137" t="s">
        <v>227</v>
      </c>
      <c r="C428" s="137">
        <v>2017.0</v>
      </c>
      <c r="D428" s="138">
        <v>42738.0</v>
      </c>
      <c r="E428" s="139">
        <v>42743.0</v>
      </c>
      <c r="F428" s="142" t="s">
        <v>227</v>
      </c>
      <c r="G428" s="142">
        <v>2017.0</v>
      </c>
      <c r="H428" s="46">
        <v>8293.0</v>
      </c>
      <c r="I428" s="46">
        <v>2394.0</v>
      </c>
      <c r="J428" s="84">
        <v>1046656.7999999999</v>
      </c>
      <c r="K428" s="84">
        <v>630412.02</v>
      </c>
      <c r="L428" s="84">
        <v>416244.7799999999</v>
      </c>
      <c r="M428" s="46" t="s">
        <v>178</v>
      </c>
      <c r="N428" s="46" t="s">
        <v>160</v>
      </c>
      <c r="O428" s="46" t="s">
        <v>146</v>
      </c>
      <c r="P428" s="46" t="s">
        <v>147</v>
      </c>
      <c r="Q428" s="46" t="str">
        <f t="shared" si="1"/>
        <v>January, 2017</v>
      </c>
      <c r="R428" s="115">
        <f t="shared" si="2"/>
        <v>42736</v>
      </c>
      <c r="S428" s="49">
        <f t="array" ref="S428">WEEKDAY(D428,2)</f>
        <v>2</v>
      </c>
      <c r="T428" s="46" t="s">
        <v>98</v>
      </c>
      <c r="U428" s="46" t="str">
        <f t="array" ref="U428">TEXT(D428,"dddd")</f>
        <v>Tuesday</v>
      </c>
    </row>
    <row r="429" hidden="1">
      <c r="A429" s="46">
        <v>3.91200673E8</v>
      </c>
      <c r="B429" s="137" t="s">
        <v>227</v>
      </c>
      <c r="C429" s="137">
        <v>2012.0</v>
      </c>
      <c r="D429" s="138">
        <v>40927.0</v>
      </c>
      <c r="E429" s="139">
        <v>40952.0</v>
      </c>
      <c r="F429" s="142" t="s">
        <v>228</v>
      </c>
      <c r="G429" s="142">
        <v>2012.0</v>
      </c>
      <c r="H429" s="46">
        <v>8681.0</v>
      </c>
      <c r="I429" s="46">
        <v>3827.0</v>
      </c>
      <c r="J429" s="84">
        <v>2492180.67</v>
      </c>
      <c r="K429" s="84">
        <v>2009021.9200000002</v>
      </c>
      <c r="L429" s="84">
        <v>483158.74999999977</v>
      </c>
      <c r="M429" s="46" t="s">
        <v>153</v>
      </c>
      <c r="N429" s="46" t="s">
        <v>157</v>
      </c>
      <c r="O429" s="46" t="s">
        <v>146</v>
      </c>
      <c r="P429" s="46" t="s">
        <v>158</v>
      </c>
      <c r="Q429" s="46" t="str">
        <f t="shared" si="1"/>
        <v>January, 2012</v>
      </c>
      <c r="R429" s="115">
        <f t="shared" si="2"/>
        <v>40909</v>
      </c>
      <c r="S429" s="49">
        <f t="array" ref="S429">WEEKDAY(D429,2)</f>
        <v>4</v>
      </c>
      <c r="T429" s="46" t="s">
        <v>97</v>
      </c>
      <c r="U429" s="46" t="str">
        <f t="array" ref="U429">TEXT(D429,"dddd")</f>
        <v>Thursday</v>
      </c>
    </row>
    <row r="430" hidden="1">
      <c r="A430" s="46">
        <v>3.91849982E8</v>
      </c>
      <c r="B430" s="137" t="s">
        <v>224</v>
      </c>
      <c r="C430" s="137">
        <v>2016.0</v>
      </c>
      <c r="D430" s="138">
        <v>42704.0</v>
      </c>
      <c r="E430" s="139">
        <v>42715.0</v>
      </c>
      <c r="F430" s="142" t="s">
        <v>225</v>
      </c>
      <c r="G430" s="142">
        <v>2016.0</v>
      </c>
      <c r="H430" s="46">
        <v>2103.0</v>
      </c>
      <c r="I430" s="46">
        <v>5972.0</v>
      </c>
      <c r="J430" s="84">
        <v>1228440.4</v>
      </c>
      <c r="K430" s="84">
        <v>699380.92</v>
      </c>
      <c r="L430" s="84">
        <v>529059.4799999999</v>
      </c>
      <c r="M430" s="46" t="s">
        <v>144</v>
      </c>
      <c r="N430" s="46" t="s">
        <v>168</v>
      </c>
      <c r="O430" s="46" t="s">
        <v>165</v>
      </c>
      <c r="P430" s="46" t="s">
        <v>166</v>
      </c>
      <c r="Q430" s="46" t="str">
        <f t="shared" si="1"/>
        <v>November, 2016</v>
      </c>
      <c r="R430" s="115">
        <f t="shared" si="2"/>
        <v>42675</v>
      </c>
      <c r="S430" s="49">
        <f t="array" ref="S430">WEEKDAY(D430,2)</f>
        <v>3</v>
      </c>
      <c r="T430" s="46" t="s">
        <v>102</v>
      </c>
      <c r="U430" s="46" t="str">
        <f t="array" ref="U430">TEXT(D430,"dddd")</f>
        <v>Wednesday</v>
      </c>
    </row>
    <row r="431" hidden="1">
      <c r="A431" s="46">
        <v>3.92217338E8</v>
      </c>
      <c r="B431" s="137" t="s">
        <v>222</v>
      </c>
      <c r="C431" s="137">
        <v>2016.0</v>
      </c>
      <c r="D431" s="138">
        <v>42441.0</v>
      </c>
      <c r="E431" s="139">
        <v>42444.0</v>
      </c>
      <c r="F431" s="142" t="s">
        <v>222</v>
      </c>
      <c r="G431" s="142">
        <v>2016.0</v>
      </c>
      <c r="H431" s="46">
        <v>8969.0</v>
      </c>
      <c r="I431" s="46">
        <v>4681.0</v>
      </c>
      <c r="J431" s="84">
        <v>714226.9800000001</v>
      </c>
      <c r="K431" s="84">
        <v>456116.64</v>
      </c>
      <c r="L431" s="84">
        <v>258110.34000000008</v>
      </c>
      <c r="M431" s="46" t="s">
        <v>182</v>
      </c>
      <c r="N431" s="46" t="s">
        <v>183</v>
      </c>
      <c r="O431" s="46" t="s">
        <v>146</v>
      </c>
      <c r="P431" s="46" t="s">
        <v>170</v>
      </c>
      <c r="Q431" s="46" t="str">
        <f t="shared" si="1"/>
        <v>March, 2016</v>
      </c>
      <c r="R431" s="115">
        <f t="shared" si="2"/>
        <v>42430</v>
      </c>
      <c r="S431" s="49">
        <f t="array" ref="S431">WEEKDAY(D431,2)</f>
        <v>6</v>
      </c>
      <c r="T431" s="46" t="s">
        <v>90</v>
      </c>
      <c r="U431" s="46" t="str">
        <f t="array" ref="U431">TEXT(D431,"dddd")</f>
        <v>Saturday</v>
      </c>
    </row>
    <row r="432" hidden="1">
      <c r="A432" s="46">
        <v>3.92252957E8</v>
      </c>
      <c r="B432" s="137" t="s">
        <v>227</v>
      </c>
      <c r="C432" s="137">
        <v>2015.0</v>
      </c>
      <c r="D432" s="138">
        <v>42008.0</v>
      </c>
      <c r="E432" s="139">
        <v>42057.0</v>
      </c>
      <c r="F432" s="142" t="s">
        <v>228</v>
      </c>
      <c r="G432" s="142">
        <v>2015.0</v>
      </c>
      <c r="H432" s="46">
        <v>2103.0</v>
      </c>
      <c r="I432" s="46">
        <v>5222.0</v>
      </c>
      <c r="J432" s="84">
        <v>1074165.4</v>
      </c>
      <c r="K432" s="84">
        <v>611548.42</v>
      </c>
      <c r="L432" s="84">
        <v>462616.97999999986</v>
      </c>
      <c r="M432" s="46" t="s">
        <v>144</v>
      </c>
      <c r="N432" s="46" t="s">
        <v>160</v>
      </c>
      <c r="O432" s="46" t="s">
        <v>146</v>
      </c>
      <c r="P432" s="46" t="s">
        <v>147</v>
      </c>
      <c r="Q432" s="46" t="str">
        <f t="shared" si="1"/>
        <v>January, 2015</v>
      </c>
      <c r="R432" s="115">
        <f t="shared" si="2"/>
        <v>42005</v>
      </c>
      <c r="S432" s="49">
        <f t="array" ref="S432">WEEKDAY(D432,2)</f>
        <v>7</v>
      </c>
      <c r="T432" s="46" t="s">
        <v>98</v>
      </c>
      <c r="U432" s="46" t="str">
        <f t="array" ref="U432">TEXT(D432,"dddd")</f>
        <v>Sunday</v>
      </c>
    </row>
    <row r="433" hidden="1">
      <c r="A433" s="46">
        <v>3.92518174E8</v>
      </c>
      <c r="B433" s="137" t="s">
        <v>220</v>
      </c>
      <c r="C433" s="137">
        <v>2011.0</v>
      </c>
      <c r="D433" s="138">
        <v>40719.0</v>
      </c>
      <c r="E433" s="139">
        <v>40727.0</v>
      </c>
      <c r="F433" s="142" t="s">
        <v>217</v>
      </c>
      <c r="G433" s="142">
        <v>2011.0</v>
      </c>
      <c r="H433" s="46">
        <v>5988.0</v>
      </c>
      <c r="I433" s="46">
        <v>3705.0</v>
      </c>
      <c r="J433" s="84">
        <v>570792.3</v>
      </c>
      <c r="K433" s="84">
        <v>336895.65</v>
      </c>
      <c r="L433" s="84">
        <v>233896.65000000002</v>
      </c>
      <c r="M433" s="46" t="s">
        <v>159</v>
      </c>
      <c r="N433" s="46" t="s">
        <v>145</v>
      </c>
      <c r="O433" s="46" t="s">
        <v>146</v>
      </c>
      <c r="P433" s="46" t="s">
        <v>147</v>
      </c>
      <c r="Q433" s="46" t="str">
        <f t="shared" si="1"/>
        <v>June, 2011</v>
      </c>
      <c r="R433" s="115">
        <f t="shared" si="2"/>
        <v>40695</v>
      </c>
      <c r="S433" s="49">
        <f t="array" ref="S433">WEEKDAY(D433,2)</f>
        <v>6</v>
      </c>
      <c r="T433" s="46" t="s">
        <v>91</v>
      </c>
      <c r="U433" s="46" t="str">
        <f t="array" ref="U433">TEXT(D433,"dddd")</f>
        <v>Saturday</v>
      </c>
    </row>
    <row r="434" hidden="1">
      <c r="A434" s="46">
        <v>3.92676532E8</v>
      </c>
      <c r="B434" s="137" t="s">
        <v>217</v>
      </c>
      <c r="C434" s="137">
        <v>2011.0</v>
      </c>
      <c r="D434" s="138">
        <v>40729.0</v>
      </c>
      <c r="E434" s="139">
        <v>40761.0</v>
      </c>
      <c r="F434" s="142" t="s">
        <v>216</v>
      </c>
      <c r="G434" s="142">
        <v>2011.0</v>
      </c>
      <c r="H434" s="46">
        <v>2103.0</v>
      </c>
      <c r="I434" s="46">
        <v>567.0</v>
      </c>
      <c r="J434" s="84">
        <v>116631.9</v>
      </c>
      <c r="K434" s="84">
        <v>66401.37</v>
      </c>
      <c r="L434" s="84">
        <v>50230.53</v>
      </c>
      <c r="M434" s="46" t="s">
        <v>144</v>
      </c>
      <c r="N434" s="46" t="s">
        <v>175</v>
      </c>
      <c r="O434" s="46" t="s">
        <v>165</v>
      </c>
      <c r="P434" s="46" t="s">
        <v>166</v>
      </c>
      <c r="Q434" s="46" t="str">
        <f t="shared" si="1"/>
        <v>July, 2011</v>
      </c>
      <c r="R434" s="115">
        <f t="shared" si="2"/>
        <v>40725</v>
      </c>
      <c r="S434" s="49">
        <f t="array" ref="S434">WEEKDAY(D434,2)</f>
        <v>2</v>
      </c>
      <c r="T434" s="46" t="s">
        <v>108</v>
      </c>
      <c r="U434" s="46" t="str">
        <f t="array" ref="U434">TEXT(D434,"dddd")</f>
        <v>Tuesday</v>
      </c>
    </row>
    <row r="435" hidden="1">
      <c r="A435" s="46">
        <v>3.92752492E8</v>
      </c>
      <c r="B435" s="137" t="s">
        <v>219</v>
      </c>
      <c r="C435" s="137">
        <v>2010.0</v>
      </c>
      <c r="D435" s="138">
        <v>40306.0</v>
      </c>
      <c r="E435" s="139">
        <v>40332.0</v>
      </c>
      <c r="F435" s="142" t="s">
        <v>220</v>
      </c>
      <c r="G435" s="142">
        <v>2010.0</v>
      </c>
      <c r="H435" s="46">
        <v>3127.0</v>
      </c>
      <c r="I435" s="46">
        <v>3045.0</v>
      </c>
      <c r="J435" s="84">
        <v>248867.85</v>
      </c>
      <c r="K435" s="84">
        <v>172560.15</v>
      </c>
      <c r="L435" s="84">
        <v>76307.70000000001</v>
      </c>
      <c r="M435" s="46" t="s">
        <v>185</v>
      </c>
      <c r="N435" s="46" t="s">
        <v>192</v>
      </c>
      <c r="O435" s="46" t="s">
        <v>146</v>
      </c>
      <c r="P435" s="46" t="s">
        <v>158</v>
      </c>
      <c r="Q435" s="46" t="str">
        <f t="shared" si="1"/>
        <v>May, 2010</v>
      </c>
      <c r="R435" s="115">
        <f t="shared" si="2"/>
        <v>40299</v>
      </c>
      <c r="S435" s="49">
        <f t="array" ref="S435">WEEKDAY(D435,2)</f>
        <v>6</v>
      </c>
      <c r="T435" s="46" t="s">
        <v>121</v>
      </c>
      <c r="U435" s="46" t="str">
        <f t="array" ref="U435">TEXT(D435,"dddd")</f>
        <v>Saturday</v>
      </c>
    </row>
    <row r="436" hidden="1">
      <c r="A436" s="46">
        <v>3.93709933E8</v>
      </c>
      <c r="B436" s="137" t="s">
        <v>222</v>
      </c>
      <c r="C436" s="137">
        <v>2017.0</v>
      </c>
      <c r="D436" s="138">
        <v>42806.0</v>
      </c>
      <c r="E436" s="139">
        <v>42850.0</v>
      </c>
      <c r="F436" s="142" t="s">
        <v>223</v>
      </c>
      <c r="G436" s="142">
        <v>2017.0</v>
      </c>
      <c r="H436" s="46">
        <v>4594.0</v>
      </c>
      <c r="I436" s="46">
        <v>6373.0</v>
      </c>
      <c r="J436" s="84">
        <v>59460.090000000004</v>
      </c>
      <c r="K436" s="84">
        <v>44101.159999999996</v>
      </c>
      <c r="L436" s="84">
        <v>15358.930000000008</v>
      </c>
      <c r="M436" s="46" t="s">
        <v>156</v>
      </c>
      <c r="N436" s="46" t="s">
        <v>157</v>
      </c>
      <c r="O436" s="46" t="s">
        <v>146</v>
      </c>
      <c r="P436" s="46" t="s">
        <v>158</v>
      </c>
      <c r="Q436" s="46" t="str">
        <f t="shared" si="1"/>
        <v>March, 2017</v>
      </c>
      <c r="R436" s="115">
        <f t="shared" si="2"/>
        <v>42795</v>
      </c>
      <c r="S436" s="49">
        <f t="array" ref="S436">WEEKDAY(D436,2)</f>
        <v>7</v>
      </c>
      <c r="T436" s="46" t="s">
        <v>97</v>
      </c>
      <c r="U436" s="46" t="str">
        <f t="array" ref="U436">TEXT(D436,"dddd")</f>
        <v>Sunday</v>
      </c>
    </row>
    <row r="437" hidden="1">
      <c r="A437" s="46">
        <v>3.93842971E8</v>
      </c>
      <c r="B437" s="137" t="s">
        <v>227</v>
      </c>
      <c r="C437" s="137">
        <v>2010.0</v>
      </c>
      <c r="D437" s="138">
        <v>40190.0</v>
      </c>
      <c r="E437" s="139">
        <v>40209.0</v>
      </c>
      <c r="F437" s="142" t="s">
        <v>227</v>
      </c>
      <c r="G437" s="142">
        <v>2010.0</v>
      </c>
      <c r="H437" s="46">
        <v>2455.0</v>
      </c>
      <c r="I437" s="46">
        <v>5742.0</v>
      </c>
      <c r="J437" s="84">
        <v>627485.76</v>
      </c>
      <c r="K437" s="84">
        <v>205793.28000000003</v>
      </c>
      <c r="L437" s="84">
        <v>421692.48</v>
      </c>
      <c r="M437" s="46" t="s">
        <v>150</v>
      </c>
      <c r="N437" s="46" t="s">
        <v>145</v>
      </c>
      <c r="O437" s="46" t="s">
        <v>146</v>
      </c>
      <c r="P437" s="46" t="s">
        <v>147</v>
      </c>
      <c r="Q437" s="46" t="str">
        <f t="shared" si="1"/>
        <v>January, 2010</v>
      </c>
      <c r="R437" s="115">
        <f t="shared" si="2"/>
        <v>40179</v>
      </c>
      <c r="S437" s="49">
        <f t="array" ref="S437">WEEKDAY(D437,2)</f>
        <v>2</v>
      </c>
      <c r="T437" s="46" t="s">
        <v>91</v>
      </c>
      <c r="U437" s="46" t="str">
        <f t="array" ref="U437">TEXT(D437,"dddd")</f>
        <v>Tuesday</v>
      </c>
    </row>
    <row r="438" hidden="1">
      <c r="A438" s="46">
        <v>3.9385842E8</v>
      </c>
      <c r="B438" s="137" t="s">
        <v>216</v>
      </c>
      <c r="C438" s="137">
        <v>2012.0</v>
      </c>
      <c r="D438" s="138">
        <v>41135.0</v>
      </c>
      <c r="E438" s="139">
        <v>41150.0</v>
      </c>
      <c r="F438" s="142" t="s">
        <v>216</v>
      </c>
      <c r="G438" s="142">
        <v>2012.0</v>
      </c>
      <c r="H438" s="46">
        <v>4594.0</v>
      </c>
      <c r="I438" s="46">
        <v>314.0</v>
      </c>
      <c r="J438" s="84">
        <v>2929.62</v>
      </c>
      <c r="K438" s="84">
        <v>2172.88</v>
      </c>
      <c r="L438" s="84">
        <v>756.7399999999998</v>
      </c>
      <c r="M438" s="46" t="s">
        <v>156</v>
      </c>
      <c r="N438" s="46" t="s">
        <v>154</v>
      </c>
      <c r="O438" s="46" t="s">
        <v>146</v>
      </c>
      <c r="P438" s="46" t="s">
        <v>155</v>
      </c>
      <c r="Q438" s="46" t="str">
        <f t="shared" si="1"/>
        <v>August, 2012</v>
      </c>
      <c r="R438" s="115">
        <f t="shared" si="2"/>
        <v>41122</v>
      </c>
      <c r="S438" s="49">
        <f t="array" ref="S438">WEEKDAY(D438,2)</f>
        <v>2</v>
      </c>
      <c r="T438" s="46" t="s">
        <v>96</v>
      </c>
      <c r="U438" s="46" t="str">
        <f t="array" ref="U438">TEXT(D438,"dddd")</f>
        <v>Tuesday</v>
      </c>
    </row>
    <row r="439" hidden="1">
      <c r="A439" s="46">
        <v>3.94110763E8</v>
      </c>
      <c r="B439" s="137" t="s">
        <v>225</v>
      </c>
      <c r="C439" s="137">
        <v>2011.0</v>
      </c>
      <c r="D439" s="138">
        <v>40903.0</v>
      </c>
      <c r="E439" s="139">
        <v>40906.0</v>
      </c>
      <c r="F439" s="142" t="s">
        <v>225</v>
      </c>
      <c r="G439" s="142">
        <v>2011.0</v>
      </c>
      <c r="H439" s="46">
        <v>5988.0</v>
      </c>
      <c r="I439" s="46">
        <v>4988.0</v>
      </c>
      <c r="J439" s="84">
        <v>768451.28</v>
      </c>
      <c r="K439" s="84">
        <v>453558.84</v>
      </c>
      <c r="L439" s="84">
        <v>314892.44</v>
      </c>
      <c r="M439" s="46" t="s">
        <v>159</v>
      </c>
      <c r="N439" s="46" t="s">
        <v>176</v>
      </c>
      <c r="O439" s="46" t="s">
        <v>146</v>
      </c>
      <c r="P439" s="46" t="s">
        <v>158</v>
      </c>
      <c r="Q439" s="46" t="str">
        <f t="shared" si="1"/>
        <v>December, 2011</v>
      </c>
      <c r="R439" s="115">
        <f t="shared" si="2"/>
        <v>40878</v>
      </c>
      <c r="S439" s="49">
        <f t="array" ref="S439">WEEKDAY(D439,2)</f>
        <v>1</v>
      </c>
      <c r="T439" s="46" t="s">
        <v>109</v>
      </c>
      <c r="U439" s="46" t="str">
        <f t="array" ref="U439">TEXT(D439,"dddd")</f>
        <v>Monday</v>
      </c>
    </row>
    <row r="440" hidden="1">
      <c r="A440" s="46">
        <v>3.94356667E8</v>
      </c>
      <c r="B440" s="137" t="s">
        <v>217</v>
      </c>
      <c r="C440" s="137">
        <v>2016.0</v>
      </c>
      <c r="D440" s="138">
        <v>42581.0</v>
      </c>
      <c r="E440" s="139">
        <v>42586.0</v>
      </c>
      <c r="F440" s="142" t="s">
        <v>216</v>
      </c>
      <c r="G440" s="142">
        <v>2016.0</v>
      </c>
      <c r="H440" s="46">
        <v>7940.0</v>
      </c>
      <c r="I440" s="46">
        <v>7756.0</v>
      </c>
      <c r="J440" s="84">
        <v>5183102.12</v>
      </c>
      <c r="K440" s="84">
        <v>3897700.24</v>
      </c>
      <c r="L440" s="84">
        <v>1285401.88</v>
      </c>
      <c r="M440" s="46" t="s">
        <v>148</v>
      </c>
      <c r="N440" s="46" t="s">
        <v>169</v>
      </c>
      <c r="O440" s="46" t="s">
        <v>146</v>
      </c>
      <c r="P440" s="46" t="s">
        <v>170</v>
      </c>
      <c r="Q440" s="46" t="str">
        <f t="shared" si="1"/>
        <v>July, 2016</v>
      </c>
      <c r="R440" s="115">
        <f t="shared" si="2"/>
        <v>42552</v>
      </c>
      <c r="S440" s="49">
        <f t="array" ref="S440">WEEKDAY(D440,2)</f>
        <v>6</v>
      </c>
      <c r="T440" s="46" t="s">
        <v>103</v>
      </c>
      <c r="U440" s="46" t="str">
        <f t="array" ref="U440">TEXT(D440,"dddd")</f>
        <v>Saturday</v>
      </c>
    </row>
    <row r="441" hidden="1">
      <c r="A441" s="46">
        <v>3.9445666E8</v>
      </c>
      <c r="B441" s="137" t="s">
        <v>227</v>
      </c>
      <c r="C441" s="137">
        <v>2016.0</v>
      </c>
      <c r="D441" s="138">
        <v>42400.0</v>
      </c>
      <c r="E441" s="139">
        <v>42409.0</v>
      </c>
      <c r="F441" s="142" t="s">
        <v>228</v>
      </c>
      <c r="G441" s="142">
        <v>2016.0</v>
      </c>
      <c r="H441" s="46">
        <v>4594.0</v>
      </c>
      <c r="I441" s="46">
        <v>7346.0</v>
      </c>
      <c r="J441" s="84">
        <v>68538.18000000001</v>
      </c>
      <c r="K441" s="84">
        <v>50834.32</v>
      </c>
      <c r="L441" s="84">
        <v>17703.860000000008</v>
      </c>
      <c r="M441" s="46" t="s">
        <v>156</v>
      </c>
      <c r="N441" s="46" t="s">
        <v>151</v>
      </c>
      <c r="O441" s="46" t="s">
        <v>146</v>
      </c>
      <c r="P441" s="46" t="s">
        <v>147</v>
      </c>
      <c r="Q441" s="46" t="str">
        <f t="shared" si="1"/>
        <v>January, 2016</v>
      </c>
      <c r="R441" s="115">
        <f t="shared" si="2"/>
        <v>42370</v>
      </c>
      <c r="S441" s="49">
        <f t="array" ref="S441">WEEKDAY(D441,2)</f>
        <v>7</v>
      </c>
      <c r="T441" s="46" t="s">
        <v>94</v>
      </c>
      <c r="U441" s="46" t="str">
        <f t="array" ref="U441">TEXT(D441,"dddd")</f>
        <v>Sunday</v>
      </c>
    </row>
    <row r="442" hidden="1">
      <c r="A442" s="46">
        <v>3.95562589E8</v>
      </c>
      <c r="B442" s="137" t="s">
        <v>226</v>
      </c>
      <c r="C442" s="137">
        <v>2010.0</v>
      </c>
      <c r="D442" s="138">
        <v>40463.0</v>
      </c>
      <c r="E442" s="139">
        <v>40513.0</v>
      </c>
      <c r="F442" s="142" t="s">
        <v>225</v>
      </c>
      <c r="G442" s="142">
        <v>2010.0</v>
      </c>
      <c r="H442" s="46">
        <v>1270.0</v>
      </c>
      <c r="I442" s="46">
        <v>4615.0</v>
      </c>
      <c r="J442" s="84">
        <v>218981.75</v>
      </c>
      <c r="K442" s="84">
        <v>146710.85</v>
      </c>
      <c r="L442" s="84">
        <v>72270.9</v>
      </c>
      <c r="M442" s="46" t="s">
        <v>152</v>
      </c>
      <c r="N442" s="46" t="s">
        <v>145</v>
      </c>
      <c r="O442" s="46" t="s">
        <v>146</v>
      </c>
      <c r="P442" s="46" t="s">
        <v>147</v>
      </c>
      <c r="Q442" s="46" t="str">
        <f t="shared" si="1"/>
        <v>October, 2010</v>
      </c>
      <c r="R442" s="115">
        <f t="shared" si="2"/>
        <v>40452</v>
      </c>
      <c r="S442" s="49">
        <f t="array" ref="S442">WEEKDAY(D442,2)</f>
        <v>2</v>
      </c>
      <c r="T442" s="46" t="s">
        <v>91</v>
      </c>
      <c r="U442" s="46" t="str">
        <f t="array" ref="U442">TEXT(D442,"dddd")</f>
        <v>Tuesday</v>
      </c>
    </row>
    <row r="443" hidden="1">
      <c r="A443" s="46">
        <v>3.96462953E8</v>
      </c>
      <c r="B443" s="137" t="s">
        <v>227</v>
      </c>
      <c r="C443" s="137">
        <v>2016.0</v>
      </c>
      <c r="D443" s="138">
        <v>42390.0</v>
      </c>
      <c r="E443" s="139">
        <v>42426.0</v>
      </c>
      <c r="F443" s="142" t="s">
        <v>228</v>
      </c>
      <c r="G443" s="142">
        <v>2016.0</v>
      </c>
      <c r="H443" s="46">
        <v>3127.0</v>
      </c>
      <c r="I443" s="46">
        <v>1053.0</v>
      </c>
      <c r="J443" s="84">
        <v>86061.69</v>
      </c>
      <c r="K443" s="84">
        <v>59673.51</v>
      </c>
      <c r="L443" s="84">
        <v>26388.18</v>
      </c>
      <c r="M443" s="46" t="s">
        <v>185</v>
      </c>
      <c r="N443" s="46" t="s">
        <v>198</v>
      </c>
      <c r="O443" s="46" t="s">
        <v>146</v>
      </c>
      <c r="P443" s="46" t="s">
        <v>170</v>
      </c>
      <c r="Q443" s="46" t="str">
        <f t="shared" si="1"/>
        <v>January, 2016</v>
      </c>
      <c r="R443" s="115">
        <f t="shared" si="2"/>
        <v>42370</v>
      </c>
      <c r="S443" s="49">
        <f t="array" ref="S443">WEEKDAY(D443,2)</f>
        <v>4</v>
      </c>
      <c r="T443" s="46" t="s">
        <v>127</v>
      </c>
      <c r="U443" s="46" t="str">
        <f t="array" ref="U443">TEXT(D443,"dddd")</f>
        <v>Thursday</v>
      </c>
    </row>
    <row r="444" hidden="1">
      <c r="A444" s="46">
        <v>3.96552217E8</v>
      </c>
      <c r="B444" s="137" t="s">
        <v>222</v>
      </c>
      <c r="C444" s="137">
        <v>2014.0</v>
      </c>
      <c r="D444" s="138">
        <v>41706.0</v>
      </c>
      <c r="E444" s="139">
        <v>41753.0</v>
      </c>
      <c r="F444" s="142" t="s">
        <v>223</v>
      </c>
      <c r="G444" s="142">
        <v>2014.0</v>
      </c>
      <c r="H444" s="46">
        <v>2455.0</v>
      </c>
      <c r="I444" s="46">
        <v>7468.0</v>
      </c>
      <c r="J444" s="84">
        <v>816103.04</v>
      </c>
      <c r="K444" s="84">
        <v>267653.12000000005</v>
      </c>
      <c r="L444" s="84">
        <v>548449.9199999999</v>
      </c>
      <c r="M444" s="46" t="s">
        <v>150</v>
      </c>
      <c r="N444" s="46" t="s">
        <v>175</v>
      </c>
      <c r="O444" s="46" t="s">
        <v>165</v>
      </c>
      <c r="P444" s="46" t="s">
        <v>166</v>
      </c>
      <c r="Q444" s="46" t="str">
        <f t="shared" si="1"/>
        <v>March, 2014</v>
      </c>
      <c r="R444" s="115">
        <f t="shared" si="2"/>
        <v>41699</v>
      </c>
      <c r="S444" s="49">
        <f t="array" ref="S444">WEEKDAY(D444,2)</f>
        <v>6</v>
      </c>
      <c r="T444" s="46" t="s">
        <v>108</v>
      </c>
      <c r="U444" s="46" t="str">
        <f t="array" ref="U444">TEXT(D444,"dddd")</f>
        <v>Saturday</v>
      </c>
    </row>
    <row r="445" hidden="1">
      <c r="A445" s="46">
        <v>3.96718728E8</v>
      </c>
      <c r="B445" s="137" t="s">
        <v>228</v>
      </c>
      <c r="C445" s="137">
        <v>2010.0</v>
      </c>
      <c r="D445" s="138">
        <v>40216.0</v>
      </c>
      <c r="E445" s="139">
        <v>40255.0</v>
      </c>
      <c r="F445" s="142" t="s">
        <v>222</v>
      </c>
      <c r="G445" s="142">
        <v>2010.0</v>
      </c>
      <c r="H445" s="46">
        <v>3127.0</v>
      </c>
      <c r="I445" s="46">
        <v>6742.0</v>
      </c>
      <c r="J445" s="84">
        <v>551023.66</v>
      </c>
      <c r="K445" s="84">
        <v>382069.14</v>
      </c>
      <c r="L445" s="84">
        <v>168954.52000000002</v>
      </c>
      <c r="M445" s="46" t="s">
        <v>185</v>
      </c>
      <c r="N445" s="46" t="s">
        <v>204</v>
      </c>
      <c r="O445" s="46" t="s">
        <v>146</v>
      </c>
      <c r="P445" s="46" t="s">
        <v>147</v>
      </c>
      <c r="Q445" s="46" t="str">
        <f t="shared" si="1"/>
        <v>February, 2010</v>
      </c>
      <c r="R445" s="115">
        <f t="shared" si="2"/>
        <v>40210</v>
      </c>
      <c r="S445" s="49">
        <f t="array" ref="S445">WEEKDAY(D445,2)</f>
        <v>7</v>
      </c>
      <c r="T445" s="46" t="s">
        <v>133</v>
      </c>
      <c r="U445" s="46" t="str">
        <f t="array" ref="U445">TEXT(D445,"dddd")</f>
        <v>Sunday</v>
      </c>
    </row>
    <row r="446" hidden="1">
      <c r="A446" s="46">
        <v>3.96832883E8</v>
      </c>
      <c r="B446" s="137" t="s">
        <v>222</v>
      </c>
      <c r="C446" s="137">
        <v>2013.0</v>
      </c>
      <c r="D446" s="138">
        <v>41362.0</v>
      </c>
      <c r="E446" s="139">
        <v>41364.0</v>
      </c>
      <c r="F446" s="142" t="s">
        <v>222</v>
      </c>
      <c r="G446" s="142">
        <v>2013.0</v>
      </c>
      <c r="H446" s="46">
        <v>3127.0</v>
      </c>
      <c r="I446" s="46">
        <v>523.0</v>
      </c>
      <c r="J446" s="84">
        <v>42744.79</v>
      </c>
      <c r="K446" s="84">
        <v>29638.41</v>
      </c>
      <c r="L446" s="84">
        <v>13106.380000000001</v>
      </c>
      <c r="M446" s="46" t="s">
        <v>185</v>
      </c>
      <c r="N446" s="46" t="s">
        <v>162</v>
      </c>
      <c r="O446" s="46" t="s">
        <v>146</v>
      </c>
      <c r="P446" s="46" t="s">
        <v>147</v>
      </c>
      <c r="Q446" s="46" t="str">
        <f t="shared" si="1"/>
        <v>March, 2013</v>
      </c>
      <c r="R446" s="115">
        <f t="shared" si="2"/>
        <v>41334</v>
      </c>
      <c r="S446" s="49">
        <f t="array" ref="S446">WEEKDAY(D446,2)</f>
        <v>5</v>
      </c>
      <c r="T446" s="46" t="s">
        <v>99</v>
      </c>
      <c r="U446" s="46" t="str">
        <f t="array" ref="U446">TEXT(D446,"dddd")</f>
        <v>Friday</v>
      </c>
    </row>
    <row r="447" hidden="1">
      <c r="A447" s="46">
        <v>3.97874438E8</v>
      </c>
      <c r="B447" s="137" t="s">
        <v>226</v>
      </c>
      <c r="C447" s="137">
        <v>2014.0</v>
      </c>
      <c r="D447" s="138">
        <v>41941.0</v>
      </c>
      <c r="E447" s="139">
        <v>41974.0</v>
      </c>
      <c r="F447" s="142" t="s">
        <v>225</v>
      </c>
      <c r="G447" s="142">
        <v>2014.0</v>
      </c>
      <c r="H447" s="46">
        <v>1270.0</v>
      </c>
      <c r="I447" s="46">
        <v>8743.0</v>
      </c>
      <c r="J447" s="84">
        <v>414855.35000000003</v>
      </c>
      <c r="K447" s="84">
        <v>277939.97</v>
      </c>
      <c r="L447" s="84">
        <v>136915.38000000006</v>
      </c>
      <c r="M447" s="46" t="s">
        <v>152</v>
      </c>
      <c r="N447" s="46" t="s">
        <v>154</v>
      </c>
      <c r="O447" s="46" t="s">
        <v>146</v>
      </c>
      <c r="P447" s="46" t="s">
        <v>155</v>
      </c>
      <c r="Q447" s="46" t="str">
        <f t="shared" si="1"/>
        <v>October, 2014</v>
      </c>
      <c r="R447" s="115">
        <f t="shared" si="2"/>
        <v>41913</v>
      </c>
      <c r="S447" s="49">
        <f t="array" ref="S447">WEEKDAY(D447,2)</f>
        <v>3</v>
      </c>
      <c r="T447" s="46" t="s">
        <v>96</v>
      </c>
      <c r="U447" s="46" t="str">
        <f t="array" ref="U447">TEXT(D447,"dddd")</f>
        <v>Wednesday</v>
      </c>
    </row>
    <row r="448" hidden="1">
      <c r="A448" s="46">
        <v>3.98104035E8</v>
      </c>
      <c r="B448" s="137" t="s">
        <v>220</v>
      </c>
      <c r="C448" s="137">
        <v>2012.0</v>
      </c>
      <c r="D448" s="138">
        <v>41085.0</v>
      </c>
      <c r="E448" s="139">
        <v>41133.0</v>
      </c>
      <c r="F448" s="142" t="s">
        <v>216</v>
      </c>
      <c r="G448" s="142">
        <v>2012.0</v>
      </c>
      <c r="H448" s="46">
        <v>7331.0</v>
      </c>
      <c r="I448" s="46">
        <v>6686.0</v>
      </c>
      <c r="J448" s="84">
        <v>1706802.08</v>
      </c>
      <c r="K448" s="84">
        <v>1065882.1199999999</v>
      </c>
      <c r="L448" s="84">
        <v>640919.9600000002</v>
      </c>
      <c r="M448" s="46" t="s">
        <v>161</v>
      </c>
      <c r="N448" s="46" t="s">
        <v>180</v>
      </c>
      <c r="O448" s="46" t="s">
        <v>146</v>
      </c>
      <c r="P448" s="46" t="s">
        <v>147</v>
      </c>
      <c r="Q448" s="46" t="str">
        <f t="shared" si="1"/>
        <v>June, 2012</v>
      </c>
      <c r="R448" s="115">
        <f t="shared" si="2"/>
        <v>41061</v>
      </c>
      <c r="S448" s="49">
        <f t="array" ref="S448">WEEKDAY(D448,2)</f>
        <v>1</v>
      </c>
      <c r="T448" s="46" t="s">
        <v>112</v>
      </c>
      <c r="U448" s="46" t="str">
        <f t="array" ref="U448">TEXT(D448,"dddd")</f>
        <v>Monday</v>
      </c>
    </row>
    <row r="449" hidden="1">
      <c r="A449" s="46">
        <v>3.98333632E8</v>
      </c>
      <c r="B449" s="137" t="s">
        <v>228</v>
      </c>
      <c r="C449" s="137">
        <v>2010.0</v>
      </c>
      <c r="D449" s="138">
        <v>40228.0</v>
      </c>
      <c r="E449" s="139">
        <v>40239.0</v>
      </c>
      <c r="F449" s="142" t="s">
        <v>222</v>
      </c>
      <c r="G449" s="142">
        <v>2010.0</v>
      </c>
      <c r="H449" s="46">
        <v>2103.0</v>
      </c>
      <c r="I449" s="46">
        <v>4629.0</v>
      </c>
      <c r="J449" s="84">
        <v>952185.2999999999</v>
      </c>
      <c r="K449" s="84">
        <v>542102.19</v>
      </c>
      <c r="L449" s="84">
        <v>410083.11</v>
      </c>
      <c r="M449" s="46" t="s">
        <v>144</v>
      </c>
      <c r="N449" s="46" t="s">
        <v>163</v>
      </c>
      <c r="O449" s="46" t="s">
        <v>146</v>
      </c>
      <c r="P449" s="46" t="s">
        <v>158</v>
      </c>
      <c r="Q449" s="46" t="str">
        <f t="shared" si="1"/>
        <v>February, 2010</v>
      </c>
      <c r="R449" s="115">
        <f t="shared" si="2"/>
        <v>40210</v>
      </c>
      <c r="S449" s="49">
        <f t="array" ref="S449">WEEKDAY(D449,2)</f>
        <v>5</v>
      </c>
      <c r="T449" s="46" t="s">
        <v>100</v>
      </c>
      <c r="U449" s="46" t="str">
        <f t="array" ref="U449">TEXT(D449,"dddd")</f>
        <v>Friday</v>
      </c>
    </row>
    <row r="450" hidden="1">
      <c r="A450" s="46">
        <v>3.98645198E8</v>
      </c>
      <c r="B450" s="137" t="s">
        <v>219</v>
      </c>
      <c r="C450" s="137">
        <v>2014.0</v>
      </c>
      <c r="D450" s="138">
        <v>41776.0</v>
      </c>
      <c r="E450" s="139">
        <v>41785.0</v>
      </c>
      <c r="F450" s="142" t="s">
        <v>219</v>
      </c>
      <c r="G450" s="142">
        <v>2014.0</v>
      </c>
      <c r="H450" s="46">
        <v>7331.0</v>
      </c>
      <c r="I450" s="46">
        <v>6828.0</v>
      </c>
      <c r="J450" s="84">
        <v>1743051.84</v>
      </c>
      <c r="K450" s="84">
        <v>1088519.76</v>
      </c>
      <c r="L450" s="84">
        <v>654532.0800000001</v>
      </c>
      <c r="M450" s="46" t="s">
        <v>161</v>
      </c>
      <c r="N450" s="46" t="s">
        <v>194</v>
      </c>
      <c r="O450" s="46" t="s">
        <v>146</v>
      </c>
      <c r="P450" s="46" t="s">
        <v>155</v>
      </c>
      <c r="Q450" s="46" t="str">
        <f t="shared" si="1"/>
        <v>May, 2014</v>
      </c>
      <c r="R450" s="115">
        <f t="shared" si="2"/>
        <v>41760</v>
      </c>
      <c r="S450" s="49">
        <f t="array" ref="S450">WEEKDAY(D450,2)</f>
        <v>6</v>
      </c>
      <c r="T450" s="46" t="s">
        <v>123</v>
      </c>
      <c r="U450" s="46" t="str">
        <f t="array" ref="U450">TEXT(D450,"dddd")</f>
        <v>Saturday</v>
      </c>
    </row>
    <row r="451" hidden="1">
      <c r="A451" s="46">
        <v>3.99115979E8</v>
      </c>
      <c r="B451" s="137" t="s">
        <v>220</v>
      </c>
      <c r="C451" s="137">
        <v>2015.0</v>
      </c>
      <c r="D451" s="138">
        <v>42156.0</v>
      </c>
      <c r="E451" s="139">
        <v>42179.0</v>
      </c>
      <c r="F451" s="142" t="s">
        <v>220</v>
      </c>
      <c r="G451" s="142">
        <v>2015.0</v>
      </c>
      <c r="H451" s="46">
        <v>5988.0</v>
      </c>
      <c r="I451" s="46">
        <v>6142.0</v>
      </c>
      <c r="J451" s="84">
        <v>946236.52</v>
      </c>
      <c r="K451" s="84">
        <v>558492.06</v>
      </c>
      <c r="L451" s="84">
        <v>387744.45999999996</v>
      </c>
      <c r="M451" s="46" t="s">
        <v>159</v>
      </c>
      <c r="N451" s="46" t="s">
        <v>160</v>
      </c>
      <c r="O451" s="46" t="s">
        <v>146</v>
      </c>
      <c r="P451" s="46" t="s">
        <v>147</v>
      </c>
      <c r="Q451" s="46" t="str">
        <f t="shared" si="1"/>
        <v>June, 2015</v>
      </c>
      <c r="R451" s="115">
        <f t="shared" si="2"/>
        <v>42156</v>
      </c>
      <c r="S451" s="49">
        <f t="array" ref="S451">WEEKDAY(D451,2)</f>
        <v>1</v>
      </c>
      <c r="T451" s="46" t="s">
        <v>98</v>
      </c>
      <c r="U451" s="46" t="str">
        <f t="array" ref="U451">TEXT(D451,"dddd")</f>
        <v>Monday</v>
      </c>
    </row>
    <row r="452" hidden="1">
      <c r="A452" s="46">
        <v>3.99256312E8</v>
      </c>
      <c r="B452" s="137" t="s">
        <v>225</v>
      </c>
      <c r="C452" s="137">
        <v>2014.0</v>
      </c>
      <c r="D452" s="138">
        <v>41984.0</v>
      </c>
      <c r="E452" s="139">
        <v>42009.0</v>
      </c>
      <c r="F452" s="142" t="s">
        <v>227</v>
      </c>
      <c r="G452" s="142">
        <v>2015.0</v>
      </c>
      <c r="H452" s="46">
        <v>4594.0</v>
      </c>
      <c r="I452" s="46">
        <v>7670.0</v>
      </c>
      <c r="J452" s="84">
        <v>71561.1</v>
      </c>
      <c r="K452" s="84">
        <v>53076.4</v>
      </c>
      <c r="L452" s="84">
        <v>18484.700000000004</v>
      </c>
      <c r="M452" s="46" t="s">
        <v>156</v>
      </c>
      <c r="N452" s="46" t="s">
        <v>171</v>
      </c>
      <c r="O452" s="46" t="s">
        <v>146</v>
      </c>
      <c r="P452" s="46" t="s">
        <v>147</v>
      </c>
      <c r="Q452" s="46" t="str">
        <f t="shared" si="1"/>
        <v>December, 2014</v>
      </c>
      <c r="R452" s="115">
        <f t="shared" si="2"/>
        <v>41974</v>
      </c>
      <c r="S452" s="49">
        <f t="array" ref="S452">WEEKDAY(D452,2)</f>
        <v>4</v>
      </c>
      <c r="T452" s="46" t="s">
        <v>104</v>
      </c>
      <c r="U452" s="46" t="str">
        <f t="array" ref="U452">TEXT(D452,"dddd")</f>
        <v>Thursday</v>
      </c>
    </row>
    <row r="453" hidden="1">
      <c r="A453" s="46">
        <v>4.00267398E8</v>
      </c>
      <c r="B453" s="137" t="s">
        <v>217</v>
      </c>
      <c r="C453" s="137">
        <v>2013.0</v>
      </c>
      <c r="D453" s="138">
        <v>41466.0</v>
      </c>
      <c r="E453" s="139">
        <v>41475.0</v>
      </c>
      <c r="F453" s="142" t="s">
        <v>217</v>
      </c>
      <c r="G453" s="142">
        <v>2013.0</v>
      </c>
      <c r="H453" s="46">
        <v>8969.0</v>
      </c>
      <c r="I453" s="46">
        <v>6873.0</v>
      </c>
      <c r="J453" s="84">
        <v>1048682.34</v>
      </c>
      <c r="K453" s="84">
        <v>669705.12</v>
      </c>
      <c r="L453" s="84">
        <v>378977.2200000001</v>
      </c>
      <c r="M453" s="46" t="s">
        <v>182</v>
      </c>
      <c r="N453" s="46" t="s">
        <v>189</v>
      </c>
      <c r="O453" s="46" t="s">
        <v>146</v>
      </c>
      <c r="P453" s="46" t="s">
        <v>158</v>
      </c>
      <c r="Q453" s="46" t="str">
        <f t="shared" si="1"/>
        <v>July, 2013</v>
      </c>
      <c r="R453" s="115">
        <f t="shared" si="2"/>
        <v>41456</v>
      </c>
      <c r="S453" s="49">
        <f t="array" ref="S453">WEEKDAY(D453,2)</f>
        <v>4</v>
      </c>
      <c r="T453" s="46" t="s">
        <v>118</v>
      </c>
      <c r="U453" s="46" t="str">
        <f t="array" ref="U453">TEXT(D453,"dddd")</f>
        <v>Thursday</v>
      </c>
    </row>
    <row r="454" hidden="1">
      <c r="A454" s="46">
        <v>4.00904691E8</v>
      </c>
      <c r="B454" s="137" t="s">
        <v>220</v>
      </c>
      <c r="C454" s="137">
        <v>2010.0</v>
      </c>
      <c r="D454" s="138">
        <v>40357.0</v>
      </c>
      <c r="E454" s="139">
        <v>40371.0</v>
      </c>
      <c r="F454" s="142" t="s">
        <v>217</v>
      </c>
      <c r="G454" s="142">
        <v>2010.0</v>
      </c>
      <c r="H454" s="46">
        <v>2103.0</v>
      </c>
      <c r="I454" s="46">
        <v>5462.0</v>
      </c>
      <c r="J454" s="84">
        <v>1123533.4</v>
      </c>
      <c r="K454" s="84">
        <v>639654.82</v>
      </c>
      <c r="L454" s="84">
        <v>483878.57999999996</v>
      </c>
      <c r="M454" s="46" t="s">
        <v>144</v>
      </c>
      <c r="N454" s="46" t="s">
        <v>195</v>
      </c>
      <c r="O454" s="46" t="s">
        <v>146</v>
      </c>
      <c r="P454" s="46" t="s">
        <v>170</v>
      </c>
      <c r="Q454" s="46" t="str">
        <f t="shared" si="1"/>
        <v>June, 2010</v>
      </c>
      <c r="R454" s="115">
        <f t="shared" si="2"/>
        <v>40330</v>
      </c>
      <c r="S454" s="49">
        <f t="array" ref="S454">WEEKDAY(D454,2)</f>
        <v>1</v>
      </c>
      <c r="T454" s="46" t="s">
        <v>124</v>
      </c>
      <c r="U454" s="46" t="str">
        <f t="array" ref="U454">TEXT(D454,"dddd")</f>
        <v>Monday</v>
      </c>
    </row>
    <row r="455" hidden="1">
      <c r="A455" s="46">
        <v>4.01993882E8</v>
      </c>
      <c r="B455" s="137" t="s">
        <v>222</v>
      </c>
      <c r="C455" s="137">
        <v>2011.0</v>
      </c>
      <c r="D455" s="138">
        <v>40623.0</v>
      </c>
      <c r="E455" s="139">
        <v>40644.0</v>
      </c>
      <c r="F455" s="142" t="s">
        <v>223</v>
      </c>
      <c r="G455" s="142">
        <v>2011.0</v>
      </c>
      <c r="H455" s="46">
        <v>2103.0</v>
      </c>
      <c r="I455" s="46">
        <v>7778.0</v>
      </c>
      <c r="J455" s="84">
        <v>1599934.5999999999</v>
      </c>
      <c r="K455" s="84">
        <v>910881.58</v>
      </c>
      <c r="L455" s="84">
        <v>689053.0199999999</v>
      </c>
      <c r="M455" s="46" t="s">
        <v>144</v>
      </c>
      <c r="N455" s="46" t="s">
        <v>181</v>
      </c>
      <c r="O455" s="46" t="s">
        <v>146</v>
      </c>
      <c r="P455" s="46" t="s">
        <v>155</v>
      </c>
      <c r="Q455" s="46" t="str">
        <f t="shared" si="1"/>
        <v>March, 2011</v>
      </c>
      <c r="R455" s="115">
        <f t="shared" si="2"/>
        <v>40603</v>
      </c>
      <c r="S455" s="49">
        <f t="array" ref="S455">WEEKDAY(D455,2)</f>
        <v>1</v>
      </c>
      <c r="T455" s="46" t="s">
        <v>113</v>
      </c>
      <c r="U455" s="46" t="str">
        <f t="array" ref="U455">TEXT(D455,"dddd")</f>
        <v>Monday</v>
      </c>
    </row>
    <row r="456" hidden="1">
      <c r="A456" s="46">
        <v>4.03337991E8</v>
      </c>
      <c r="B456" s="137" t="s">
        <v>226</v>
      </c>
      <c r="C456" s="137">
        <v>2016.0</v>
      </c>
      <c r="D456" s="138">
        <v>42658.0</v>
      </c>
      <c r="E456" s="139">
        <v>42698.0</v>
      </c>
      <c r="F456" s="142" t="s">
        <v>224</v>
      </c>
      <c r="G456" s="142">
        <v>2016.0</v>
      </c>
      <c r="H456" s="46">
        <v>5988.0</v>
      </c>
      <c r="I456" s="46">
        <v>5529.0</v>
      </c>
      <c r="J456" s="84">
        <v>851797.74</v>
      </c>
      <c r="K456" s="84">
        <v>502751.97000000003</v>
      </c>
      <c r="L456" s="84">
        <v>349045.76999999996</v>
      </c>
      <c r="M456" s="46" t="s">
        <v>159</v>
      </c>
      <c r="N456" s="46" t="s">
        <v>199</v>
      </c>
      <c r="O456" s="46" t="s">
        <v>146</v>
      </c>
      <c r="P456" s="46" t="s">
        <v>147</v>
      </c>
      <c r="Q456" s="46" t="str">
        <f t="shared" si="1"/>
        <v>October, 2016</v>
      </c>
      <c r="R456" s="115">
        <f t="shared" si="2"/>
        <v>42644</v>
      </c>
      <c r="S456" s="49">
        <f t="array" ref="S456">WEEKDAY(D456,2)</f>
        <v>6</v>
      </c>
      <c r="T456" s="46" t="s">
        <v>128</v>
      </c>
      <c r="U456" s="46" t="str">
        <f t="array" ref="U456">TEXT(D456,"dddd")</f>
        <v>Saturday</v>
      </c>
    </row>
    <row r="457" hidden="1">
      <c r="A457" s="46">
        <v>4.03665006E8</v>
      </c>
      <c r="B457" s="137" t="s">
        <v>227</v>
      </c>
      <c r="C457" s="137">
        <v>2016.0</v>
      </c>
      <c r="D457" s="138">
        <v>42385.0</v>
      </c>
      <c r="E457" s="139">
        <v>42419.0</v>
      </c>
      <c r="F457" s="142" t="s">
        <v>228</v>
      </c>
      <c r="G457" s="142">
        <v>2016.0</v>
      </c>
      <c r="H457" s="46">
        <v>8969.0</v>
      </c>
      <c r="I457" s="46">
        <v>2300.0</v>
      </c>
      <c r="J457" s="84">
        <v>350934.0</v>
      </c>
      <c r="K457" s="84">
        <v>224112.0</v>
      </c>
      <c r="L457" s="84">
        <v>126822.0</v>
      </c>
      <c r="M457" s="46" t="s">
        <v>182</v>
      </c>
      <c r="N457" s="46" t="s">
        <v>187</v>
      </c>
      <c r="O457" s="46" t="s">
        <v>146</v>
      </c>
      <c r="P457" s="46" t="s">
        <v>155</v>
      </c>
      <c r="Q457" s="46" t="str">
        <f t="shared" si="1"/>
        <v>January, 2016</v>
      </c>
      <c r="R457" s="115">
        <f t="shared" si="2"/>
        <v>42370</v>
      </c>
      <c r="S457" s="49">
        <f t="array" ref="S457">WEEKDAY(D457,2)</f>
        <v>6</v>
      </c>
      <c r="T457" s="46" t="s">
        <v>116</v>
      </c>
      <c r="U457" s="46" t="str">
        <f t="array" ref="U457">TEXT(D457,"dddd")</f>
        <v>Saturday</v>
      </c>
    </row>
    <row r="458" hidden="1">
      <c r="A458" s="46">
        <v>4.04789817E8</v>
      </c>
      <c r="B458" s="137" t="s">
        <v>216</v>
      </c>
      <c r="C458" s="137">
        <v>2015.0</v>
      </c>
      <c r="D458" s="138">
        <v>42219.0</v>
      </c>
      <c r="E458" s="139">
        <v>42255.0</v>
      </c>
      <c r="F458" s="142" t="s">
        <v>221</v>
      </c>
      <c r="G458" s="142">
        <v>2015.0</v>
      </c>
      <c r="H458" s="46">
        <v>7331.0</v>
      </c>
      <c r="I458" s="46">
        <v>5157.0</v>
      </c>
      <c r="J458" s="84">
        <v>1316478.96</v>
      </c>
      <c r="K458" s="84">
        <v>822128.94</v>
      </c>
      <c r="L458" s="84">
        <v>494350.02</v>
      </c>
      <c r="M458" s="46" t="s">
        <v>161</v>
      </c>
      <c r="N458" s="46" t="s">
        <v>186</v>
      </c>
      <c r="O458" s="46" t="s">
        <v>146</v>
      </c>
      <c r="P458" s="46" t="s">
        <v>147</v>
      </c>
      <c r="Q458" s="46" t="str">
        <f t="shared" si="1"/>
        <v>August, 2015</v>
      </c>
      <c r="R458" s="115">
        <f t="shared" si="2"/>
        <v>42217</v>
      </c>
      <c r="S458" s="49">
        <f t="array" ref="S458">WEEKDAY(D458,2)</f>
        <v>1</v>
      </c>
      <c r="T458" s="46" t="s">
        <v>115</v>
      </c>
      <c r="U458" s="46" t="str">
        <f t="array" ref="U458">TEXT(D458,"dddd")</f>
        <v>Monday</v>
      </c>
    </row>
    <row r="459" hidden="1">
      <c r="A459" s="46">
        <v>4.05986297E8</v>
      </c>
      <c r="B459" s="137" t="s">
        <v>225</v>
      </c>
      <c r="C459" s="137">
        <v>2014.0</v>
      </c>
      <c r="D459" s="138">
        <v>41982.0</v>
      </c>
      <c r="E459" s="139">
        <v>42006.0</v>
      </c>
      <c r="F459" s="142" t="s">
        <v>227</v>
      </c>
      <c r="G459" s="142">
        <v>2015.0</v>
      </c>
      <c r="H459" s="46">
        <v>7331.0</v>
      </c>
      <c r="I459" s="46">
        <v>9222.0</v>
      </c>
      <c r="J459" s="84">
        <v>2354192.16</v>
      </c>
      <c r="K459" s="84">
        <v>1470171.24</v>
      </c>
      <c r="L459" s="84">
        <v>884020.9200000002</v>
      </c>
      <c r="M459" s="46" t="s">
        <v>161</v>
      </c>
      <c r="N459" s="46" t="s">
        <v>163</v>
      </c>
      <c r="O459" s="46" t="s">
        <v>146</v>
      </c>
      <c r="P459" s="46" t="s">
        <v>158</v>
      </c>
      <c r="Q459" s="46" t="str">
        <f t="shared" si="1"/>
        <v>December, 2014</v>
      </c>
      <c r="R459" s="115">
        <f t="shared" si="2"/>
        <v>41974</v>
      </c>
      <c r="S459" s="49">
        <f t="array" ref="S459">WEEKDAY(D459,2)</f>
        <v>2</v>
      </c>
      <c r="T459" s="46" t="s">
        <v>100</v>
      </c>
      <c r="U459" s="46" t="str">
        <f t="array" ref="U459">TEXT(D459,"dddd")</f>
        <v>Tuesday</v>
      </c>
    </row>
    <row r="460" hidden="1">
      <c r="A460" s="46">
        <v>4.06270396E8</v>
      </c>
      <c r="B460" s="137" t="s">
        <v>223</v>
      </c>
      <c r="C460" s="137">
        <v>2016.0</v>
      </c>
      <c r="D460" s="138">
        <v>42463.0</v>
      </c>
      <c r="E460" s="139">
        <v>42509.0</v>
      </c>
      <c r="F460" s="142" t="s">
        <v>219</v>
      </c>
      <c r="G460" s="142">
        <v>2016.0</v>
      </c>
      <c r="H460" s="46">
        <v>8969.0</v>
      </c>
      <c r="I460" s="46">
        <v>3293.0</v>
      </c>
      <c r="J460" s="84">
        <v>502445.94000000006</v>
      </c>
      <c r="K460" s="84">
        <v>320869.92</v>
      </c>
      <c r="L460" s="84">
        <v>181576.02000000008</v>
      </c>
      <c r="M460" s="46" t="s">
        <v>182</v>
      </c>
      <c r="N460" s="46" t="s">
        <v>172</v>
      </c>
      <c r="O460" s="46" t="s">
        <v>146</v>
      </c>
      <c r="P460" s="46" t="s">
        <v>155</v>
      </c>
      <c r="Q460" s="46" t="str">
        <f t="shared" si="1"/>
        <v>April, 2016</v>
      </c>
      <c r="R460" s="115">
        <f t="shared" si="2"/>
        <v>42461</v>
      </c>
      <c r="S460" s="49">
        <f t="array" ref="S460">WEEKDAY(D460,2)</f>
        <v>7</v>
      </c>
      <c r="T460" s="46" t="s">
        <v>105</v>
      </c>
      <c r="U460" s="46" t="str">
        <f t="array" ref="U460">TEXT(D460,"dddd")</f>
        <v>Sunday</v>
      </c>
    </row>
    <row r="461" hidden="1">
      <c r="A461" s="46">
        <v>4.06564366E8</v>
      </c>
      <c r="B461" s="137" t="s">
        <v>216</v>
      </c>
      <c r="C461" s="137">
        <v>2014.0</v>
      </c>
      <c r="D461" s="138">
        <v>41858.0</v>
      </c>
      <c r="E461" s="139">
        <v>41876.0</v>
      </c>
      <c r="F461" s="142" t="s">
        <v>216</v>
      </c>
      <c r="G461" s="142">
        <v>2014.0</v>
      </c>
      <c r="H461" s="46">
        <v>5988.0</v>
      </c>
      <c r="I461" s="46">
        <v>286.0</v>
      </c>
      <c r="J461" s="84">
        <v>44061.16</v>
      </c>
      <c r="K461" s="84">
        <v>26005.980000000003</v>
      </c>
      <c r="L461" s="84">
        <v>18055.18</v>
      </c>
      <c r="M461" s="46" t="s">
        <v>159</v>
      </c>
      <c r="N461" s="46" t="s">
        <v>202</v>
      </c>
      <c r="O461" s="46" t="s">
        <v>146</v>
      </c>
      <c r="P461" s="46" t="s">
        <v>147</v>
      </c>
      <c r="Q461" s="46" t="str">
        <f t="shared" si="1"/>
        <v>August, 2014</v>
      </c>
      <c r="R461" s="115">
        <f t="shared" si="2"/>
        <v>41852</v>
      </c>
      <c r="S461" s="49">
        <f t="array" ref="S461">WEEKDAY(D461,2)</f>
        <v>4</v>
      </c>
      <c r="T461" s="46" t="s">
        <v>131</v>
      </c>
      <c r="U461" s="46" t="str">
        <f t="array" ref="U461">TEXT(D461,"dddd")</f>
        <v>Thursday</v>
      </c>
    </row>
    <row r="462" hidden="1">
      <c r="A462" s="46">
        <v>4.07220542E8</v>
      </c>
      <c r="B462" s="137" t="s">
        <v>219</v>
      </c>
      <c r="C462" s="137">
        <v>2016.0</v>
      </c>
      <c r="D462" s="138">
        <v>42519.0</v>
      </c>
      <c r="E462" s="139">
        <v>42555.0</v>
      </c>
      <c r="F462" s="142" t="s">
        <v>217</v>
      </c>
      <c r="G462" s="142">
        <v>2016.0</v>
      </c>
      <c r="H462" s="46">
        <v>2103.0</v>
      </c>
      <c r="I462" s="46">
        <v>4463.0</v>
      </c>
      <c r="J462" s="84">
        <v>918039.1</v>
      </c>
      <c r="K462" s="84">
        <v>522661.93</v>
      </c>
      <c r="L462" s="84">
        <v>395377.17</v>
      </c>
      <c r="M462" s="46" t="s">
        <v>144</v>
      </c>
      <c r="N462" s="46" t="s">
        <v>203</v>
      </c>
      <c r="O462" s="46" t="s">
        <v>146</v>
      </c>
      <c r="P462" s="46" t="s">
        <v>170</v>
      </c>
      <c r="Q462" s="46" t="str">
        <f t="shared" si="1"/>
        <v>May, 2016</v>
      </c>
      <c r="R462" s="115">
        <f t="shared" si="2"/>
        <v>42491</v>
      </c>
      <c r="S462" s="49">
        <f t="array" ref="S462">WEEKDAY(D462,2)</f>
        <v>7</v>
      </c>
      <c r="T462" s="46" t="s">
        <v>132</v>
      </c>
      <c r="U462" s="46" t="str">
        <f t="array" ref="U462">TEXT(D462,"dddd")</f>
        <v>Sunday</v>
      </c>
    </row>
    <row r="463" hidden="1">
      <c r="A463" s="46">
        <v>4.08540618E8</v>
      </c>
      <c r="B463" s="137" t="s">
        <v>221</v>
      </c>
      <c r="C463" s="137">
        <v>2013.0</v>
      </c>
      <c r="D463" s="138">
        <v>41547.0</v>
      </c>
      <c r="E463" s="139">
        <v>41591.0</v>
      </c>
      <c r="F463" s="142" t="s">
        <v>224</v>
      </c>
      <c r="G463" s="142">
        <v>2013.0</v>
      </c>
      <c r="H463" s="46">
        <v>5988.0</v>
      </c>
      <c r="I463" s="46">
        <v>5102.0</v>
      </c>
      <c r="J463" s="84">
        <v>786014.12</v>
      </c>
      <c r="K463" s="84">
        <v>463924.86000000004</v>
      </c>
      <c r="L463" s="84">
        <v>322089.25999999995</v>
      </c>
      <c r="M463" s="46" t="s">
        <v>159</v>
      </c>
      <c r="N463" s="46" t="s">
        <v>191</v>
      </c>
      <c r="O463" s="46" t="s">
        <v>146</v>
      </c>
      <c r="P463" s="46" t="s">
        <v>147</v>
      </c>
      <c r="Q463" s="46" t="str">
        <f t="shared" si="1"/>
        <v>September, 2013</v>
      </c>
      <c r="R463" s="115">
        <f t="shared" si="2"/>
        <v>41518</v>
      </c>
      <c r="S463" s="49">
        <f t="array" ref="S463">WEEKDAY(D463,2)</f>
        <v>1</v>
      </c>
      <c r="T463" s="46" t="s">
        <v>120</v>
      </c>
      <c r="U463" s="46" t="str">
        <f t="array" ref="U463">TEXT(D463,"dddd")</f>
        <v>Monday</v>
      </c>
    </row>
    <row r="464" hidden="1">
      <c r="A464" s="46">
        <v>4.09112679E8</v>
      </c>
      <c r="B464" s="137" t="s">
        <v>222</v>
      </c>
      <c r="C464" s="137">
        <v>2013.0</v>
      </c>
      <c r="D464" s="138">
        <v>41363.0</v>
      </c>
      <c r="E464" s="139">
        <v>41412.0</v>
      </c>
      <c r="F464" s="142" t="s">
        <v>219</v>
      </c>
      <c r="G464" s="142">
        <v>2013.0</v>
      </c>
      <c r="H464" s="46">
        <v>5988.0</v>
      </c>
      <c r="I464" s="46">
        <v>4388.0</v>
      </c>
      <c r="J464" s="84">
        <v>676015.28</v>
      </c>
      <c r="K464" s="84">
        <v>399000.84</v>
      </c>
      <c r="L464" s="84">
        <v>277014.44</v>
      </c>
      <c r="M464" s="46" t="s">
        <v>159</v>
      </c>
      <c r="N464" s="46" t="s">
        <v>151</v>
      </c>
      <c r="O464" s="46" t="s">
        <v>146</v>
      </c>
      <c r="P464" s="46" t="s">
        <v>147</v>
      </c>
      <c r="Q464" s="46" t="str">
        <f t="shared" si="1"/>
        <v>March, 2013</v>
      </c>
      <c r="R464" s="115">
        <f t="shared" si="2"/>
        <v>41334</v>
      </c>
      <c r="S464" s="49">
        <f t="array" ref="S464">WEEKDAY(D464,2)</f>
        <v>6</v>
      </c>
      <c r="T464" s="46" t="s">
        <v>94</v>
      </c>
      <c r="U464" s="46" t="str">
        <f t="array" ref="U464">TEXT(D464,"dddd")</f>
        <v>Saturday</v>
      </c>
    </row>
    <row r="465" hidden="1">
      <c r="A465" s="46">
        <v>4.09514796E8</v>
      </c>
      <c r="B465" s="137" t="s">
        <v>217</v>
      </c>
      <c r="C465" s="137">
        <v>2014.0</v>
      </c>
      <c r="D465" s="138">
        <v>41844.0</v>
      </c>
      <c r="E465" s="139">
        <v>41889.0</v>
      </c>
      <c r="F465" s="142" t="s">
        <v>221</v>
      </c>
      <c r="G465" s="142">
        <v>2014.0</v>
      </c>
      <c r="H465" s="46">
        <v>3127.0</v>
      </c>
      <c r="I465" s="46">
        <v>3383.0</v>
      </c>
      <c r="J465" s="84">
        <v>276492.59</v>
      </c>
      <c r="K465" s="84">
        <v>191714.61000000002</v>
      </c>
      <c r="L465" s="84">
        <v>84777.98000000001</v>
      </c>
      <c r="M465" s="46" t="s">
        <v>185</v>
      </c>
      <c r="N465" s="46" t="s">
        <v>204</v>
      </c>
      <c r="O465" s="46" t="s">
        <v>146</v>
      </c>
      <c r="P465" s="46" t="s">
        <v>147</v>
      </c>
      <c r="Q465" s="46" t="str">
        <f t="shared" si="1"/>
        <v>July, 2014</v>
      </c>
      <c r="R465" s="115">
        <f t="shared" si="2"/>
        <v>41821</v>
      </c>
      <c r="S465" s="49">
        <f t="array" ref="S465">WEEKDAY(D465,2)</f>
        <v>4</v>
      </c>
      <c r="T465" s="46" t="s">
        <v>133</v>
      </c>
      <c r="U465" s="46" t="str">
        <f t="array" ref="U465">TEXT(D465,"dddd")</f>
        <v>Thursday</v>
      </c>
    </row>
    <row r="466" hidden="1">
      <c r="A466" s="46">
        <v>4.10229337E8</v>
      </c>
      <c r="B466" s="137" t="s">
        <v>224</v>
      </c>
      <c r="C466" s="137">
        <v>2016.0</v>
      </c>
      <c r="D466" s="138">
        <v>42695.0</v>
      </c>
      <c r="E466" s="139">
        <v>42726.0</v>
      </c>
      <c r="F466" s="142" t="s">
        <v>225</v>
      </c>
      <c r="G466" s="142">
        <v>2016.0</v>
      </c>
      <c r="H466" s="46">
        <v>8681.0</v>
      </c>
      <c r="I466" s="46">
        <v>4832.0</v>
      </c>
      <c r="J466" s="84">
        <v>3146646.72</v>
      </c>
      <c r="K466" s="84">
        <v>2536606.72</v>
      </c>
      <c r="L466" s="84">
        <v>610040.0</v>
      </c>
      <c r="M466" s="46" t="s">
        <v>153</v>
      </c>
      <c r="N466" s="46" t="s">
        <v>186</v>
      </c>
      <c r="O466" s="46" t="s">
        <v>146</v>
      </c>
      <c r="P466" s="46" t="s">
        <v>147</v>
      </c>
      <c r="Q466" s="46" t="str">
        <f t="shared" si="1"/>
        <v>November, 2016</v>
      </c>
      <c r="R466" s="115">
        <f t="shared" si="2"/>
        <v>42675</v>
      </c>
      <c r="S466" s="49">
        <f t="array" ref="S466">WEEKDAY(D466,2)</f>
        <v>1</v>
      </c>
      <c r="T466" s="46" t="s">
        <v>115</v>
      </c>
      <c r="U466" s="46" t="str">
        <f t="array" ref="U466">TEXT(D466,"dddd")</f>
        <v>Monday</v>
      </c>
    </row>
    <row r="467" hidden="1">
      <c r="A467" s="46">
        <v>4.10291135E8</v>
      </c>
      <c r="B467" s="137" t="s">
        <v>228</v>
      </c>
      <c r="C467" s="137">
        <v>2012.0</v>
      </c>
      <c r="D467" s="138">
        <v>40945.0</v>
      </c>
      <c r="E467" s="139">
        <v>40961.0</v>
      </c>
      <c r="F467" s="142" t="s">
        <v>228</v>
      </c>
      <c r="G467" s="142">
        <v>2012.0</v>
      </c>
      <c r="H467" s="46">
        <v>3127.0</v>
      </c>
      <c r="I467" s="46">
        <v>3119.0</v>
      </c>
      <c r="J467" s="84">
        <v>254915.87000000002</v>
      </c>
      <c r="K467" s="84">
        <v>176753.73</v>
      </c>
      <c r="L467" s="84">
        <v>78162.14000000001</v>
      </c>
      <c r="M467" s="46" t="s">
        <v>185</v>
      </c>
      <c r="N467" s="46" t="s">
        <v>171</v>
      </c>
      <c r="O467" s="46" t="s">
        <v>146</v>
      </c>
      <c r="P467" s="46" t="s">
        <v>147</v>
      </c>
      <c r="Q467" s="46" t="str">
        <f t="shared" si="1"/>
        <v>February, 2012</v>
      </c>
      <c r="R467" s="115">
        <f t="shared" si="2"/>
        <v>40940</v>
      </c>
      <c r="S467" s="49">
        <f t="array" ref="S467">WEEKDAY(D467,2)</f>
        <v>1</v>
      </c>
      <c r="T467" s="46" t="s">
        <v>104</v>
      </c>
      <c r="U467" s="46" t="str">
        <f t="array" ref="U467">TEXT(D467,"dddd")</f>
        <v>Monday</v>
      </c>
    </row>
    <row r="468" hidden="1">
      <c r="A468" s="46">
        <v>4.10514724E8</v>
      </c>
      <c r="B468" s="137" t="s">
        <v>222</v>
      </c>
      <c r="C468" s="137">
        <v>2017.0</v>
      </c>
      <c r="D468" s="138">
        <v>42795.0</v>
      </c>
      <c r="E468" s="139">
        <v>42835.0</v>
      </c>
      <c r="F468" s="142" t="s">
        <v>223</v>
      </c>
      <c r="G468" s="142">
        <v>2017.0</v>
      </c>
      <c r="H468" s="46">
        <v>8681.0</v>
      </c>
      <c r="I468" s="46">
        <v>9284.0</v>
      </c>
      <c r="J468" s="84">
        <v>6045833.640000001</v>
      </c>
      <c r="K468" s="84">
        <v>4873728.640000001</v>
      </c>
      <c r="L468" s="84">
        <v>1172105.0</v>
      </c>
      <c r="M468" s="46" t="s">
        <v>153</v>
      </c>
      <c r="N468" s="46" t="s">
        <v>145</v>
      </c>
      <c r="O468" s="46" t="s">
        <v>146</v>
      </c>
      <c r="P468" s="46" t="s">
        <v>147</v>
      </c>
      <c r="Q468" s="46" t="str">
        <f t="shared" si="1"/>
        <v>March, 2017</v>
      </c>
      <c r="R468" s="115">
        <f t="shared" si="2"/>
        <v>42795</v>
      </c>
      <c r="S468" s="49">
        <f t="array" ref="S468">WEEKDAY(D468,2)</f>
        <v>3</v>
      </c>
      <c r="T468" s="46" t="s">
        <v>91</v>
      </c>
      <c r="U468" s="46" t="str">
        <f t="array" ref="U468">TEXT(D468,"dddd")</f>
        <v>Wednesday</v>
      </c>
    </row>
    <row r="469" hidden="1">
      <c r="A469" s="46">
        <v>4.10740888E8</v>
      </c>
      <c r="B469" s="137" t="s">
        <v>217</v>
      </c>
      <c r="C469" s="137">
        <v>2012.0</v>
      </c>
      <c r="D469" s="138">
        <v>41114.0</v>
      </c>
      <c r="E469" s="139">
        <v>41153.0</v>
      </c>
      <c r="F469" s="142" t="s">
        <v>221</v>
      </c>
      <c r="G469" s="142">
        <v>2012.0</v>
      </c>
      <c r="H469" s="46">
        <v>8875.0</v>
      </c>
      <c r="I469" s="46">
        <v>6211.0</v>
      </c>
      <c r="J469" s="84">
        <v>2620358.79</v>
      </c>
      <c r="K469" s="84">
        <v>2265089.59</v>
      </c>
      <c r="L469" s="84">
        <v>355269.2000000002</v>
      </c>
      <c r="M469" s="46" t="s">
        <v>167</v>
      </c>
      <c r="N469" s="46" t="s">
        <v>204</v>
      </c>
      <c r="O469" s="46" t="s">
        <v>146</v>
      </c>
      <c r="P469" s="46" t="s">
        <v>147</v>
      </c>
      <c r="Q469" s="46" t="str">
        <f t="shared" si="1"/>
        <v>July, 2012</v>
      </c>
      <c r="R469" s="115">
        <f t="shared" si="2"/>
        <v>41091</v>
      </c>
      <c r="S469" s="49">
        <f t="array" ref="S469">WEEKDAY(D469,2)</f>
        <v>2</v>
      </c>
      <c r="T469" s="46" t="s">
        <v>133</v>
      </c>
      <c r="U469" s="46" t="str">
        <f t="array" ref="U469">TEXT(D469,"dddd")</f>
        <v>Tuesday</v>
      </c>
    </row>
    <row r="470" hidden="1">
      <c r="A470" s="46">
        <v>4.12215459E8</v>
      </c>
      <c r="B470" s="137" t="s">
        <v>227</v>
      </c>
      <c r="C470" s="137">
        <v>2013.0</v>
      </c>
      <c r="D470" s="138">
        <v>41298.0</v>
      </c>
      <c r="E470" s="139">
        <v>41305.0</v>
      </c>
      <c r="F470" s="142" t="s">
        <v>227</v>
      </c>
      <c r="G470" s="142">
        <v>2013.0</v>
      </c>
      <c r="H470" s="46">
        <v>2103.0</v>
      </c>
      <c r="I470" s="46">
        <v>2569.0</v>
      </c>
      <c r="J470" s="84">
        <v>528443.2999999999</v>
      </c>
      <c r="K470" s="84">
        <v>300855.59</v>
      </c>
      <c r="L470" s="84">
        <v>227587.7099999999</v>
      </c>
      <c r="M470" s="46" t="s">
        <v>144</v>
      </c>
      <c r="N470" s="46" t="s">
        <v>208</v>
      </c>
      <c r="O470" s="46" t="s">
        <v>146</v>
      </c>
      <c r="P470" s="46" t="s">
        <v>147</v>
      </c>
      <c r="Q470" s="46" t="str">
        <f t="shared" si="1"/>
        <v>January, 2013</v>
      </c>
      <c r="R470" s="115">
        <f t="shared" si="2"/>
        <v>41275</v>
      </c>
      <c r="S470" s="49">
        <f t="array" ref="S470">WEEKDAY(D470,2)</f>
        <v>4</v>
      </c>
      <c r="T470" s="46" t="s">
        <v>138</v>
      </c>
      <c r="U470" s="46" t="str">
        <f t="array" ref="U470">TEXT(D470,"dddd")</f>
        <v>Thursday</v>
      </c>
    </row>
    <row r="471" hidden="1">
      <c r="A471" s="46">
        <v>4.12416303E8</v>
      </c>
      <c r="B471" s="137" t="s">
        <v>220</v>
      </c>
      <c r="C471" s="137">
        <v>2016.0</v>
      </c>
      <c r="D471" s="138">
        <v>42524.0</v>
      </c>
      <c r="E471" s="139">
        <v>42532.0</v>
      </c>
      <c r="F471" s="142" t="s">
        <v>220</v>
      </c>
      <c r="G471" s="142">
        <v>2016.0</v>
      </c>
      <c r="H471" s="46">
        <v>7331.0</v>
      </c>
      <c r="I471" s="46">
        <v>2004.0</v>
      </c>
      <c r="J471" s="84">
        <v>511581.12</v>
      </c>
      <c r="K471" s="84">
        <v>319477.68</v>
      </c>
      <c r="L471" s="84">
        <v>192103.44</v>
      </c>
      <c r="M471" s="46" t="s">
        <v>161</v>
      </c>
      <c r="N471" s="46" t="s">
        <v>191</v>
      </c>
      <c r="O471" s="46" t="s">
        <v>146</v>
      </c>
      <c r="P471" s="46" t="s">
        <v>147</v>
      </c>
      <c r="Q471" s="46" t="str">
        <f t="shared" si="1"/>
        <v>June, 2016</v>
      </c>
      <c r="R471" s="115">
        <f t="shared" si="2"/>
        <v>42522</v>
      </c>
      <c r="S471" s="49">
        <f t="array" ref="S471">WEEKDAY(D471,2)</f>
        <v>5</v>
      </c>
      <c r="T471" s="46" t="s">
        <v>120</v>
      </c>
      <c r="U471" s="46" t="str">
        <f t="array" ref="U471">TEXT(D471,"dddd")</f>
        <v>Friday</v>
      </c>
    </row>
    <row r="472" hidden="1">
      <c r="A472" s="46">
        <v>4.13078916E8</v>
      </c>
      <c r="B472" s="137" t="s">
        <v>225</v>
      </c>
      <c r="C472" s="137">
        <v>2012.0</v>
      </c>
      <c r="D472" s="138">
        <v>41274.0</v>
      </c>
      <c r="E472" s="139">
        <v>41285.0</v>
      </c>
      <c r="F472" s="142" t="s">
        <v>227</v>
      </c>
      <c r="G472" s="142">
        <v>2013.0</v>
      </c>
      <c r="H472" s="46">
        <v>5988.0</v>
      </c>
      <c r="I472" s="46">
        <v>8086.0</v>
      </c>
      <c r="J472" s="84">
        <v>1245729.16</v>
      </c>
      <c r="K472" s="84">
        <v>735259.9800000001</v>
      </c>
      <c r="L472" s="84">
        <v>510469.1799999998</v>
      </c>
      <c r="M472" s="46" t="s">
        <v>159</v>
      </c>
      <c r="N472" s="46" t="s">
        <v>187</v>
      </c>
      <c r="O472" s="46" t="s">
        <v>146</v>
      </c>
      <c r="P472" s="46" t="s">
        <v>155</v>
      </c>
      <c r="Q472" s="46" t="str">
        <f t="shared" si="1"/>
        <v>December, 2012</v>
      </c>
      <c r="R472" s="115">
        <f t="shared" si="2"/>
        <v>41244</v>
      </c>
      <c r="S472" s="49">
        <f t="array" ref="S472">WEEKDAY(D472,2)</f>
        <v>1</v>
      </c>
      <c r="T472" s="46" t="s">
        <v>116</v>
      </c>
      <c r="U472" s="46" t="str">
        <f t="array" ref="U472">TEXT(D472,"dddd")</f>
        <v>Monday</v>
      </c>
    </row>
    <row r="473" hidden="1">
      <c r="A473" s="46">
        <v>4.13245427E8</v>
      </c>
      <c r="B473" s="137" t="s">
        <v>220</v>
      </c>
      <c r="C473" s="137">
        <v>2016.0</v>
      </c>
      <c r="D473" s="138">
        <v>42550.0</v>
      </c>
      <c r="E473" s="139">
        <v>42553.0</v>
      </c>
      <c r="F473" s="142" t="s">
        <v>217</v>
      </c>
      <c r="G473" s="142">
        <v>2016.0</v>
      </c>
      <c r="H473" s="46">
        <v>4594.0</v>
      </c>
      <c r="I473" s="46">
        <v>7360.0</v>
      </c>
      <c r="J473" s="84">
        <v>68668.8</v>
      </c>
      <c r="K473" s="84">
        <v>50931.2</v>
      </c>
      <c r="L473" s="84">
        <v>17737.600000000006</v>
      </c>
      <c r="M473" s="46" t="s">
        <v>156</v>
      </c>
      <c r="N473" s="46" t="s">
        <v>199</v>
      </c>
      <c r="O473" s="46" t="s">
        <v>146</v>
      </c>
      <c r="P473" s="46" t="s">
        <v>147</v>
      </c>
      <c r="Q473" s="46" t="str">
        <f t="shared" si="1"/>
        <v>June, 2016</v>
      </c>
      <c r="R473" s="115">
        <f t="shared" si="2"/>
        <v>42522</v>
      </c>
      <c r="S473" s="49">
        <f t="array" ref="S473">WEEKDAY(D473,2)</f>
        <v>3</v>
      </c>
      <c r="T473" s="46" t="s">
        <v>128</v>
      </c>
      <c r="U473" s="46" t="str">
        <f t="array" ref="U473">TEXT(D473,"dddd")</f>
        <v>Wednesday</v>
      </c>
    </row>
    <row r="474" hidden="1">
      <c r="A474" s="46">
        <v>4.13951814E8</v>
      </c>
      <c r="B474" s="137" t="s">
        <v>219</v>
      </c>
      <c r="C474" s="137">
        <v>2015.0</v>
      </c>
      <c r="D474" s="138">
        <v>42134.0</v>
      </c>
      <c r="E474" s="139">
        <v>42155.0</v>
      </c>
      <c r="F474" s="142" t="s">
        <v>219</v>
      </c>
      <c r="G474" s="142">
        <v>2015.0</v>
      </c>
      <c r="H474" s="46">
        <v>1270.0</v>
      </c>
      <c r="I474" s="46">
        <v>6395.0</v>
      </c>
      <c r="J474" s="84">
        <v>303442.75</v>
      </c>
      <c r="K474" s="84">
        <v>203297.05</v>
      </c>
      <c r="L474" s="84">
        <v>100145.70000000001</v>
      </c>
      <c r="M474" s="46" t="s">
        <v>152</v>
      </c>
      <c r="N474" s="46" t="s">
        <v>189</v>
      </c>
      <c r="O474" s="46" t="s">
        <v>146</v>
      </c>
      <c r="P474" s="46" t="s">
        <v>158</v>
      </c>
      <c r="Q474" s="46" t="str">
        <f t="shared" si="1"/>
        <v>May, 2015</v>
      </c>
      <c r="R474" s="115">
        <f t="shared" si="2"/>
        <v>42125</v>
      </c>
      <c r="S474" s="49">
        <f t="array" ref="S474">WEEKDAY(D474,2)</f>
        <v>7</v>
      </c>
      <c r="T474" s="46" t="s">
        <v>118</v>
      </c>
      <c r="U474" s="46" t="str">
        <f t="array" ref="U474">TEXT(D474,"dddd")</f>
        <v>Sunday</v>
      </c>
    </row>
    <row r="475" hidden="1">
      <c r="A475" s="46">
        <v>4.14359509E8</v>
      </c>
      <c r="B475" s="137" t="s">
        <v>216</v>
      </c>
      <c r="C475" s="137">
        <v>2014.0</v>
      </c>
      <c r="D475" s="138">
        <v>41881.0</v>
      </c>
      <c r="E475" s="139">
        <v>41893.0</v>
      </c>
      <c r="F475" s="142" t="s">
        <v>221</v>
      </c>
      <c r="G475" s="142">
        <v>2014.0</v>
      </c>
      <c r="H475" s="46">
        <v>7331.0</v>
      </c>
      <c r="I475" s="46">
        <v>7042.0</v>
      </c>
      <c r="J475" s="84">
        <v>1797681.76</v>
      </c>
      <c r="K475" s="84">
        <v>1122635.64</v>
      </c>
      <c r="L475" s="84">
        <v>675046.1200000001</v>
      </c>
      <c r="M475" s="46" t="s">
        <v>161</v>
      </c>
      <c r="N475" s="46" t="s">
        <v>172</v>
      </c>
      <c r="O475" s="46" t="s">
        <v>146</v>
      </c>
      <c r="P475" s="46" t="s">
        <v>155</v>
      </c>
      <c r="Q475" s="46" t="str">
        <f t="shared" si="1"/>
        <v>August, 2014</v>
      </c>
      <c r="R475" s="115">
        <f t="shared" si="2"/>
        <v>41852</v>
      </c>
      <c r="S475" s="49">
        <f t="array" ref="S475">WEEKDAY(D475,2)</f>
        <v>6</v>
      </c>
      <c r="T475" s="46" t="s">
        <v>105</v>
      </c>
      <c r="U475" s="46" t="str">
        <f t="array" ref="U475">TEXT(D475,"dddd")</f>
        <v>Saturday</v>
      </c>
    </row>
    <row r="476" hidden="1">
      <c r="A476" s="46">
        <v>4.14579665E8</v>
      </c>
      <c r="B476" s="137" t="s">
        <v>220</v>
      </c>
      <c r="C476" s="137">
        <v>2017.0</v>
      </c>
      <c r="D476" s="138">
        <v>42906.0</v>
      </c>
      <c r="E476" s="139">
        <v>42926.0</v>
      </c>
      <c r="F476" s="142" t="s">
        <v>217</v>
      </c>
      <c r="G476" s="142">
        <v>2017.0</v>
      </c>
      <c r="H476" s="46">
        <v>8969.0</v>
      </c>
      <c r="I476" s="46">
        <v>2191.0</v>
      </c>
      <c r="J476" s="84">
        <v>334302.78</v>
      </c>
      <c r="K476" s="84">
        <v>213491.04</v>
      </c>
      <c r="L476" s="84">
        <v>120811.74000000002</v>
      </c>
      <c r="M476" s="46" t="s">
        <v>182</v>
      </c>
      <c r="N476" s="46" t="s">
        <v>201</v>
      </c>
      <c r="O476" s="46" t="s">
        <v>146</v>
      </c>
      <c r="P476" s="46" t="s">
        <v>170</v>
      </c>
      <c r="Q476" s="46" t="str">
        <f t="shared" si="1"/>
        <v>June, 2017</v>
      </c>
      <c r="R476" s="115">
        <f t="shared" si="2"/>
        <v>42887</v>
      </c>
      <c r="S476" s="49">
        <f t="array" ref="S476">WEEKDAY(D476,2)</f>
        <v>2</v>
      </c>
      <c r="T476" s="46" t="s">
        <v>130</v>
      </c>
      <c r="U476" s="46" t="str">
        <f t="array" ref="U476">TEXT(D476,"dddd")</f>
        <v>Tuesday</v>
      </c>
    </row>
    <row r="477" hidden="1">
      <c r="A477" s="46">
        <v>4.15837943E8</v>
      </c>
      <c r="B477" s="137" t="s">
        <v>227</v>
      </c>
      <c r="C477" s="137">
        <v>2012.0</v>
      </c>
      <c r="D477" s="138">
        <v>40918.0</v>
      </c>
      <c r="E477" s="139">
        <v>40962.0</v>
      </c>
      <c r="F477" s="142" t="s">
        <v>228</v>
      </c>
      <c r="G477" s="142">
        <v>2012.0</v>
      </c>
      <c r="H477" s="46">
        <v>7331.0</v>
      </c>
      <c r="I477" s="46">
        <v>4543.0</v>
      </c>
      <c r="J477" s="84">
        <v>1159737.04</v>
      </c>
      <c r="K477" s="84">
        <v>724245.0599999999</v>
      </c>
      <c r="L477" s="84">
        <v>435491.9800000001</v>
      </c>
      <c r="M477" s="46" t="s">
        <v>161</v>
      </c>
      <c r="N477" s="46" t="s">
        <v>199</v>
      </c>
      <c r="O477" s="46" t="s">
        <v>146</v>
      </c>
      <c r="P477" s="46" t="s">
        <v>147</v>
      </c>
      <c r="Q477" s="46" t="str">
        <f t="shared" si="1"/>
        <v>January, 2012</v>
      </c>
      <c r="R477" s="115">
        <f t="shared" si="2"/>
        <v>40909</v>
      </c>
      <c r="S477" s="49">
        <f t="array" ref="S477">WEEKDAY(D477,2)</f>
        <v>2</v>
      </c>
      <c r="T477" s="46" t="s">
        <v>128</v>
      </c>
      <c r="U477" s="46" t="str">
        <f t="array" ref="U477">TEXT(D477,"dddd")</f>
        <v>Tuesday</v>
      </c>
    </row>
    <row r="478" hidden="1">
      <c r="A478" s="46">
        <v>4.16682088E8</v>
      </c>
      <c r="B478" s="137" t="s">
        <v>217</v>
      </c>
      <c r="C478" s="137">
        <v>2012.0</v>
      </c>
      <c r="D478" s="138">
        <v>41095.0</v>
      </c>
      <c r="E478" s="139">
        <v>41135.0</v>
      </c>
      <c r="F478" s="142" t="s">
        <v>216</v>
      </c>
      <c r="G478" s="142">
        <v>2012.0</v>
      </c>
      <c r="H478" s="46">
        <v>5988.0</v>
      </c>
      <c r="I478" s="46">
        <v>4344.0</v>
      </c>
      <c r="J478" s="84">
        <v>669236.64</v>
      </c>
      <c r="K478" s="84">
        <v>394999.92000000004</v>
      </c>
      <c r="L478" s="84">
        <v>274236.72</v>
      </c>
      <c r="M478" s="46" t="s">
        <v>159</v>
      </c>
      <c r="N478" s="46" t="s">
        <v>183</v>
      </c>
      <c r="O478" s="46" t="s">
        <v>146</v>
      </c>
      <c r="P478" s="46" t="s">
        <v>170</v>
      </c>
      <c r="Q478" s="46" t="str">
        <f t="shared" si="1"/>
        <v>July, 2012</v>
      </c>
      <c r="R478" s="115">
        <f t="shared" si="2"/>
        <v>41091</v>
      </c>
      <c r="S478" s="49">
        <f t="array" ref="S478">WEEKDAY(D478,2)</f>
        <v>4</v>
      </c>
      <c r="T478" s="46" t="s">
        <v>90</v>
      </c>
      <c r="U478" s="46" t="str">
        <f t="array" ref="U478">TEXT(D478,"dddd")</f>
        <v>Thursday</v>
      </c>
    </row>
    <row r="479" hidden="1">
      <c r="A479" s="46">
        <v>4.16953313E8</v>
      </c>
      <c r="B479" s="137" t="s">
        <v>221</v>
      </c>
      <c r="C479" s="137">
        <v>2016.0</v>
      </c>
      <c r="D479" s="138">
        <v>42633.0</v>
      </c>
      <c r="E479" s="139">
        <v>42672.0</v>
      </c>
      <c r="F479" s="142" t="s">
        <v>226</v>
      </c>
      <c r="G479" s="142">
        <v>2016.0</v>
      </c>
      <c r="H479" s="46">
        <v>1270.0</v>
      </c>
      <c r="I479" s="46">
        <v>4606.0</v>
      </c>
      <c r="J479" s="84">
        <v>218554.7</v>
      </c>
      <c r="K479" s="84">
        <v>146424.74</v>
      </c>
      <c r="L479" s="84">
        <v>72129.96000000002</v>
      </c>
      <c r="M479" s="46" t="s">
        <v>152</v>
      </c>
      <c r="N479" s="46" t="s">
        <v>198</v>
      </c>
      <c r="O479" s="46" t="s">
        <v>146</v>
      </c>
      <c r="P479" s="46" t="s">
        <v>170</v>
      </c>
      <c r="Q479" s="46" t="str">
        <f t="shared" si="1"/>
        <v>September, 2016</v>
      </c>
      <c r="R479" s="115">
        <f t="shared" si="2"/>
        <v>42614</v>
      </c>
      <c r="S479" s="49">
        <f t="array" ref="S479">WEEKDAY(D479,2)</f>
        <v>2</v>
      </c>
      <c r="T479" s="46" t="s">
        <v>127</v>
      </c>
      <c r="U479" s="46" t="str">
        <f t="array" ref="U479">TEXT(D479,"dddd")</f>
        <v>Tuesday</v>
      </c>
    </row>
    <row r="480" hidden="1">
      <c r="A480" s="46">
        <v>4.18404281E8</v>
      </c>
      <c r="B480" s="137" t="s">
        <v>222</v>
      </c>
      <c r="C480" s="137">
        <v>2011.0</v>
      </c>
      <c r="D480" s="138">
        <v>40604.0</v>
      </c>
      <c r="E480" s="139">
        <v>40648.0</v>
      </c>
      <c r="F480" s="142" t="s">
        <v>223</v>
      </c>
      <c r="G480" s="142">
        <v>2011.0</v>
      </c>
      <c r="H480" s="46">
        <v>8969.0</v>
      </c>
      <c r="I480" s="46">
        <v>3979.0</v>
      </c>
      <c r="J480" s="84">
        <v>607115.8200000001</v>
      </c>
      <c r="K480" s="84">
        <v>387713.76</v>
      </c>
      <c r="L480" s="84">
        <v>219402.06000000006</v>
      </c>
      <c r="M480" s="46" t="s">
        <v>182</v>
      </c>
      <c r="N480" s="46" t="s">
        <v>164</v>
      </c>
      <c r="O480" s="46" t="s">
        <v>165</v>
      </c>
      <c r="P480" s="46" t="s">
        <v>166</v>
      </c>
      <c r="Q480" s="46" t="str">
        <f t="shared" si="1"/>
        <v>March, 2011</v>
      </c>
      <c r="R480" s="115">
        <f t="shared" si="2"/>
        <v>40603</v>
      </c>
      <c r="S480" s="49">
        <f t="array" ref="S480">WEEKDAY(D480,2)</f>
        <v>3</v>
      </c>
      <c r="T480" s="46" t="s">
        <v>101</v>
      </c>
      <c r="U480" s="46" t="str">
        <f t="array" ref="U480">TEXT(D480,"dddd")</f>
        <v>Wednesday</v>
      </c>
    </row>
    <row r="481" hidden="1">
      <c r="A481" s="46">
        <v>4.20875346E8</v>
      </c>
      <c r="B481" s="137" t="s">
        <v>227</v>
      </c>
      <c r="C481" s="137">
        <v>2012.0</v>
      </c>
      <c r="D481" s="138">
        <v>40914.0</v>
      </c>
      <c r="E481" s="139">
        <v>40957.0</v>
      </c>
      <c r="F481" s="142" t="s">
        <v>228</v>
      </c>
      <c r="G481" s="142">
        <v>2012.0</v>
      </c>
      <c r="H481" s="46">
        <v>8293.0</v>
      </c>
      <c r="I481" s="46">
        <v>5223.0</v>
      </c>
      <c r="J481" s="84">
        <v>2283495.6</v>
      </c>
      <c r="K481" s="84">
        <v>1375372.5899999999</v>
      </c>
      <c r="L481" s="84">
        <v>908123.0100000002</v>
      </c>
      <c r="M481" s="46" t="s">
        <v>178</v>
      </c>
      <c r="N481" s="46" t="s">
        <v>177</v>
      </c>
      <c r="O481" s="46" t="s">
        <v>146</v>
      </c>
      <c r="P481" s="46" t="s">
        <v>170</v>
      </c>
      <c r="Q481" s="46" t="str">
        <f t="shared" si="1"/>
        <v>January, 2012</v>
      </c>
      <c r="R481" s="115">
        <f t="shared" si="2"/>
        <v>40909</v>
      </c>
      <c r="S481" s="49">
        <f t="array" ref="S481">WEEKDAY(D481,2)</f>
        <v>5</v>
      </c>
      <c r="T481" s="46" t="s">
        <v>110</v>
      </c>
      <c r="U481" s="46" t="str">
        <f t="array" ref="U481">TEXT(D481,"dddd")</f>
        <v>Friday</v>
      </c>
    </row>
    <row r="482">
      <c r="A482" s="46">
        <v>4.21456849E8</v>
      </c>
      <c r="B482" s="137" t="s">
        <v>225</v>
      </c>
      <c r="C482" s="137">
        <v>2013.0</v>
      </c>
      <c r="D482" s="138">
        <v>41615.0</v>
      </c>
      <c r="E482" s="139">
        <v>41618.0</v>
      </c>
      <c r="F482" s="142" t="s">
        <v>225</v>
      </c>
      <c r="G482" s="142">
        <v>2013.0</v>
      </c>
      <c r="H482" s="46">
        <v>8875.0</v>
      </c>
      <c r="I482" s="46">
        <v>7302.0</v>
      </c>
      <c r="J482" s="84">
        <v>3080640.78</v>
      </c>
      <c r="K482" s="84">
        <v>2662966.38</v>
      </c>
      <c r="L482" s="84">
        <v>417674.3999999999</v>
      </c>
      <c r="M482" s="46" t="s">
        <v>167</v>
      </c>
      <c r="N482" s="46" t="s">
        <v>149</v>
      </c>
      <c r="O482" s="46" t="s">
        <v>149</v>
      </c>
      <c r="P482" s="46" t="s">
        <v>218</v>
      </c>
      <c r="Q482" s="46" t="str">
        <f t="shared" si="1"/>
        <v>December, 2013</v>
      </c>
      <c r="R482" s="115">
        <f t="shared" si="2"/>
        <v>41609</v>
      </c>
      <c r="S482" s="49">
        <f t="array" ref="S482">WEEKDAY(D482,2)</f>
        <v>6</v>
      </c>
      <c r="T482" s="46" t="s">
        <v>92</v>
      </c>
      <c r="U482" s="46" t="str">
        <f t="array" ref="U482">TEXT(D482,"dddd")</f>
        <v>Saturday</v>
      </c>
    </row>
    <row r="483" hidden="1">
      <c r="A483" s="46">
        <v>4.21660268E8</v>
      </c>
      <c r="B483" s="137" t="s">
        <v>222</v>
      </c>
      <c r="C483" s="137">
        <v>2015.0</v>
      </c>
      <c r="D483" s="138">
        <v>42077.0</v>
      </c>
      <c r="E483" s="139">
        <v>42105.0</v>
      </c>
      <c r="F483" s="142" t="s">
        <v>223</v>
      </c>
      <c r="G483" s="142">
        <v>2015.0</v>
      </c>
      <c r="H483" s="46">
        <v>7940.0</v>
      </c>
      <c r="I483" s="46">
        <v>7498.0</v>
      </c>
      <c r="J483" s="84">
        <v>5010688.46</v>
      </c>
      <c r="K483" s="84">
        <v>3768044.92</v>
      </c>
      <c r="L483" s="84">
        <v>1242643.54</v>
      </c>
      <c r="M483" s="46" t="s">
        <v>148</v>
      </c>
      <c r="N483" s="46" t="s">
        <v>198</v>
      </c>
      <c r="O483" s="46" t="s">
        <v>146</v>
      </c>
      <c r="P483" s="46" t="s">
        <v>170</v>
      </c>
      <c r="Q483" s="46" t="str">
        <f t="shared" si="1"/>
        <v>March, 2015</v>
      </c>
      <c r="R483" s="115">
        <f t="shared" si="2"/>
        <v>42064</v>
      </c>
      <c r="S483" s="49">
        <f t="array" ref="S483">WEEKDAY(D483,2)</f>
        <v>6</v>
      </c>
      <c r="T483" s="46" t="s">
        <v>127</v>
      </c>
      <c r="U483" s="46" t="str">
        <f t="array" ref="U483">TEXT(D483,"dddd")</f>
        <v>Saturday</v>
      </c>
    </row>
    <row r="484" hidden="1">
      <c r="A484" s="46">
        <v>4.22568786E8</v>
      </c>
      <c r="B484" s="137" t="s">
        <v>219</v>
      </c>
      <c r="C484" s="137">
        <v>2016.0</v>
      </c>
      <c r="D484" s="138">
        <v>42505.0</v>
      </c>
      <c r="E484" s="139">
        <v>42538.0</v>
      </c>
      <c r="F484" s="142" t="s">
        <v>220</v>
      </c>
      <c r="G484" s="142">
        <v>2016.0</v>
      </c>
      <c r="H484" s="46">
        <v>8875.0</v>
      </c>
      <c r="I484" s="46">
        <v>6349.0</v>
      </c>
      <c r="J484" s="84">
        <v>2678579.61</v>
      </c>
      <c r="K484" s="84">
        <v>2315416.81</v>
      </c>
      <c r="L484" s="84">
        <v>363162.7999999998</v>
      </c>
      <c r="M484" s="46" t="s">
        <v>167</v>
      </c>
      <c r="N484" s="46" t="s">
        <v>180</v>
      </c>
      <c r="O484" s="46" t="s">
        <v>146</v>
      </c>
      <c r="P484" s="46" t="s">
        <v>147</v>
      </c>
      <c r="Q484" s="46" t="str">
        <f t="shared" si="1"/>
        <v>May, 2016</v>
      </c>
      <c r="R484" s="115">
        <f t="shared" si="2"/>
        <v>42491</v>
      </c>
      <c r="S484" s="49">
        <f t="array" ref="S484">WEEKDAY(D484,2)</f>
        <v>7</v>
      </c>
      <c r="T484" s="46" t="s">
        <v>112</v>
      </c>
      <c r="U484" s="46" t="str">
        <f t="array" ref="U484">TEXT(D484,"dddd")</f>
        <v>Sunday</v>
      </c>
    </row>
    <row r="485" hidden="1">
      <c r="A485" s="46">
        <v>4.24181544E8</v>
      </c>
      <c r="B485" s="137" t="s">
        <v>228</v>
      </c>
      <c r="C485" s="137">
        <v>2013.0</v>
      </c>
      <c r="D485" s="138">
        <v>41310.0</v>
      </c>
      <c r="E485" s="139">
        <v>41337.0</v>
      </c>
      <c r="F485" s="142" t="s">
        <v>222</v>
      </c>
      <c r="G485" s="142">
        <v>2013.0</v>
      </c>
      <c r="H485" s="46">
        <v>2103.0</v>
      </c>
      <c r="I485" s="46">
        <v>3600.0</v>
      </c>
      <c r="J485" s="84">
        <v>740520.0</v>
      </c>
      <c r="K485" s="84">
        <v>421596.0</v>
      </c>
      <c r="L485" s="84">
        <v>318924.0</v>
      </c>
      <c r="M485" s="46" t="s">
        <v>144</v>
      </c>
      <c r="N485" s="46" t="s">
        <v>164</v>
      </c>
      <c r="O485" s="46" t="s">
        <v>165</v>
      </c>
      <c r="P485" s="46" t="s">
        <v>166</v>
      </c>
      <c r="Q485" s="46" t="str">
        <f t="shared" si="1"/>
        <v>February, 2013</v>
      </c>
      <c r="R485" s="115">
        <f t="shared" si="2"/>
        <v>41306</v>
      </c>
      <c r="S485" s="49">
        <f t="array" ref="S485">WEEKDAY(D485,2)</f>
        <v>2</v>
      </c>
      <c r="T485" s="46" t="s">
        <v>101</v>
      </c>
      <c r="U485" s="46" t="str">
        <f t="array" ref="U485">TEXT(D485,"dddd")</f>
        <v>Tuesday</v>
      </c>
    </row>
    <row r="486" hidden="1">
      <c r="A486" s="46">
        <v>4.24297845E8</v>
      </c>
      <c r="B486" s="137" t="s">
        <v>225</v>
      </c>
      <c r="C486" s="137">
        <v>2011.0</v>
      </c>
      <c r="D486" s="138">
        <v>40897.0</v>
      </c>
      <c r="E486" s="139">
        <v>40916.0</v>
      </c>
      <c r="F486" s="142" t="s">
        <v>227</v>
      </c>
      <c r="G486" s="142">
        <v>2012.0</v>
      </c>
      <c r="H486" s="46">
        <v>1270.0</v>
      </c>
      <c r="I486" s="46">
        <v>8016.0</v>
      </c>
      <c r="J486" s="84">
        <v>380359.2</v>
      </c>
      <c r="K486" s="84">
        <v>254828.63999999998</v>
      </c>
      <c r="L486" s="84">
        <v>125530.56000000003</v>
      </c>
      <c r="M486" s="46" t="s">
        <v>152</v>
      </c>
      <c r="N486" s="46" t="s">
        <v>145</v>
      </c>
      <c r="O486" s="46" t="s">
        <v>146</v>
      </c>
      <c r="P486" s="46" t="s">
        <v>147</v>
      </c>
      <c r="Q486" s="46" t="str">
        <f t="shared" si="1"/>
        <v>December, 2011</v>
      </c>
      <c r="R486" s="115">
        <f t="shared" si="2"/>
        <v>40878</v>
      </c>
      <c r="S486" s="49">
        <f t="array" ref="S486">WEEKDAY(D486,2)</f>
        <v>2</v>
      </c>
      <c r="T486" s="46" t="s">
        <v>91</v>
      </c>
      <c r="U486" s="46" t="str">
        <f t="array" ref="U486">TEXT(D486,"dddd")</f>
        <v>Tuesday</v>
      </c>
    </row>
    <row r="487" hidden="1">
      <c r="A487" s="46">
        <v>4.24541604E8</v>
      </c>
      <c r="B487" s="137" t="s">
        <v>223</v>
      </c>
      <c r="C487" s="137">
        <v>2013.0</v>
      </c>
      <c r="D487" s="138">
        <v>41369.0</v>
      </c>
      <c r="E487" s="139">
        <v>41411.0</v>
      </c>
      <c r="F487" s="142" t="s">
        <v>219</v>
      </c>
      <c r="G487" s="142">
        <v>2013.0</v>
      </c>
      <c r="H487" s="46">
        <v>8681.0</v>
      </c>
      <c r="I487" s="46">
        <v>150.0</v>
      </c>
      <c r="J487" s="84">
        <v>97681.5</v>
      </c>
      <c r="K487" s="84">
        <v>78744.0</v>
      </c>
      <c r="L487" s="84">
        <v>18937.5</v>
      </c>
      <c r="M487" s="46" t="s">
        <v>153</v>
      </c>
      <c r="N487" s="46" t="s">
        <v>193</v>
      </c>
      <c r="O487" s="46" t="s">
        <v>146</v>
      </c>
      <c r="P487" s="46" t="s">
        <v>158</v>
      </c>
      <c r="Q487" s="46" t="str">
        <f t="shared" si="1"/>
        <v>April, 2013</v>
      </c>
      <c r="R487" s="115">
        <f t="shared" si="2"/>
        <v>41365</v>
      </c>
      <c r="S487" s="49">
        <f t="array" ref="S487">WEEKDAY(D487,2)</f>
        <v>5</v>
      </c>
      <c r="T487" s="46" t="s">
        <v>122</v>
      </c>
      <c r="U487" s="46" t="str">
        <f t="array" ref="U487">TEXT(D487,"dddd")</f>
        <v>Friday</v>
      </c>
    </row>
    <row r="488" hidden="1">
      <c r="A488" s="46">
        <v>4.25547969E8</v>
      </c>
      <c r="B488" s="137" t="s">
        <v>216</v>
      </c>
      <c r="C488" s="137">
        <v>2010.0</v>
      </c>
      <c r="D488" s="138">
        <v>40409.0</v>
      </c>
      <c r="E488" s="139">
        <v>40432.0</v>
      </c>
      <c r="F488" s="142" t="s">
        <v>221</v>
      </c>
      <c r="G488" s="142">
        <v>2010.0</v>
      </c>
      <c r="H488" s="46">
        <v>1270.0</v>
      </c>
      <c r="I488" s="46">
        <v>7955.0</v>
      </c>
      <c r="J488" s="84">
        <v>377464.75</v>
      </c>
      <c r="K488" s="84">
        <v>252889.44999999998</v>
      </c>
      <c r="L488" s="84">
        <v>124575.30000000002</v>
      </c>
      <c r="M488" s="46" t="s">
        <v>152</v>
      </c>
      <c r="N488" s="46" t="s">
        <v>199</v>
      </c>
      <c r="O488" s="46" t="s">
        <v>146</v>
      </c>
      <c r="P488" s="46" t="s">
        <v>147</v>
      </c>
      <c r="Q488" s="46" t="str">
        <f t="shared" si="1"/>
        <v>August, 2010</v>
      </c>
      <c r="R488" s="115">
        <f t="shared" si="2"/>
        <v>40391</v>
      </c>
      <c r="S488" s="49">
        <f t="array" ref="S488">WEEKDAY(D488,2)</f>
        <v>4</v>
      </c>
      <c r="T488" s="46" t="s">
        <v>128</v>
      </c>
      <c r="U488" s="46" t="str">
        <f t="array" ref="U488">TEXT(D488,"dddd")</f>
        <v>Thursday</v>
      </c>
    </row>
    <row r="489" hidden="1">
      <c r="A489" s="46">
        <v>4.27432811E8</v>
      </c>
      <c r="B489" s="137" t="s">
        <v>225</v>
      </c>
      <c r="C489" s="137">
        <v>2015.0</v>
      </c>
      <c r="D489" s="138">
        <v>42341.0</v>
      </c>
      <c r="E489" s="139">
        <v>42349.0</v>
      </c>
      <c r="F489" s="142" t="s">
        <v>225</v>
      </c>
      <c r="G489" s="142">
        <v>2015.0</v>
      </c>
      <c r="H489" s="46">
        <v>8969.0</v>
      </c>
      <c r="I489" s="46">
        <v>5722.0</v>
      </c>
      <c r="J489" s="84">
        <v>873062.7600000001</v>
      </c>
      <c r="K489" s="84">
        <v>557551.6799999999</v>
      </c>
      <c r="L489" s="84">
        <v>315511.0800000002</v>
      </c>
      <c r="M489" s="46" t="s">
        <v>182</v>
      </c>
      <c r="N489" s="46" t="s">
        <v>201</v>
      </c>
      <c r="O489" s="46" t="s">
        <v>146</v>
      </c>
      <c r="P489" s="46" t="s">
        <v>170</v>
      </c>
      <c r="Q489" s="46" t="str">
        <f t="shared" si="1"/>
        <v>December, 2015</v>
      </c>
      <c r="R489" s="115">
        <f t="shared" si="2"/>
        <v>42339</v>
      </c>
      <c r="S489" s="49">
        <f t="array" ref="S489">WEEKDAY(D489,2)</f>
        <v>4</v>
      </c>
      <c r="T489" s="46" t="s">
        <v>130</v>
      </c>
      <c r="U489" s="46" t="str">
        <f t="array" ref="U489">TEXT(D489,"dddd")</f>
        <v>Thursday</v>
      </c>
    </row>
    <row r="490" hidden="1">
      <c r="A490" s="46">
        <v>4.28419864E8</v>
      </c>
      <c r="B490" s="137" t="s">
        <v>224</v>
      </c>
      <c r="C490" s="137">
        <v>2013.0</v>
      </c>
      <c r="D490" s="138">
        <v>41582.0</v>
      </c>
      <c r="E490" s="139">
        <v>41613.0</v>
      </c>
      <c r="F490" s="142" t="s">
        <v>225</v>
      </c>
      <c r="G490" s="142">
        <v>2013.0</v>
      </c>
      <c r="H490" s="46">
        <v>8681.0</v>
      </c>
      <c r="I490" s="46">
        <v>7813.0</v>
      </c>
      <c r="J490" s="84">
        <v>5087903.73</v>
      </c>
      <c r="K490" s="84">
        <v>4101512.4800000004</v>
      </c>
      <c r="L490" s="84">
        <v>986391.25</v>
      </c>
      <c r="M490" s="46" t="s">
        <v>153</v>
      </c>
      <c r="N490" s="46" t="s">
        <v>157</v>
      </c>
      <c r="O490" s="46" t="s">
        <v>146</v>
      </c>
      <c r="P490" s="46" t="s">
        <v>158</v>
      </c>
      <c r="Q490" s="46" t="str">
        <f t="shared" si="1"/>
        <v>November, 2013</v>
      </c>
      <c r="R490" s="115">
        <f t="shared" si="2"/>
        <v>41579</v>
      </c>
      <c r="S490" s="49">
        <f t="array" ref="S490">WEEKDAY(D490,2)</f>
        <v>1</v>
      </c>
      <c r="T490" s="46" t="s">
        <v>97</v>
      </c>
      <c r="U490" s="46" t="str">
        <f t="array" ref="U490">TEXT(D490,"dddd")</f>
        <v>Monday</v>
      </c>
    </row>
    <row r="491">
      <c r="A491" s="46">
        <v>4.29123675E8</v>
      </c>
      <c r="B491" s="137" t="s">
        <v>226</v>
      </c>
      <c r="C491" s="137">
        <v>2014.0</v>
      </c>
      <c r="D491" s="138">
        <v>41930.0</v>
      </c>
      <c r="E491" s="139">
        <v>41954.0</v>
      </c>
      <c r="F491" s="142" t="s">
        <v>224</v>
      </c>
      <c r="G491" s="142">
        <v>2014.0</v>
      </c>
      <c r="H491" s="46">
        <v>8969.0</v>
      </c>
      <c r="I491" s="46">
        <v>6086.0</v>
      </c>
      <c r="J491" s="84">
        <v>928601.8800000001</v>
      </c>
      <c r="K491" s="84">
        <v>593019.84</v>
      </c>
      <c r="L491" s="84">
        <v>335582.04000000015</v>
      </c>
      <c r="M491" s="46" t="s">
        <v>182</v>
      </c>
      <c r="N491" s="46" t="s">
        <v>149</v>
      </c>
      <c r="O491" s="46" t="s">
        <v>149</v>
      </c>
      <c r="P491" s="46" t="s">
        <v>218</v>
      </c>
      <c r="Q491" s="46" t="str">
        <f t="shared" si="1"/>
        <v>October, 2014</v>
      </c>
      <c r="R491" s="115">
        <f t="shared" si="2"/>
        <v>41913</v>
      </c>
      <c r="S491" s="49">
        <f t="array" ref="S491">WEEKDAY(D491,2)</f>
        <v>6</v>
      </c>
      <c r="T491" s="46" t="s">
        <v>92</v>
      </c>
      <c r="U491" s="46" t="str">
        <f t="array" ref="U491">TEXT(D491,"dddd")</f>
        <v>Saturday</v>
      </c>
    </row>
    <row r="492" hidden="1">
      <c r="A492" s="46">
        <v>4.3068751E8</v>
      </c>
      <c r="B492" s="137" t="s">
        <v>220</v>
      </c>
      <c r="C492" s="137">
        <v>2013.0</v>
      </c>
      <c r="D492" s="138">
        <v>41430.0</v>
      </c>
      <c r="E492" s="139">
        <v>41435.0</v>
      </c>
      <c r="F492" s="142" t="s">
        <v>220</v>
      </c>
      <c r="G492" s="142">
        <v>2013.0</v>
      </c>
      <c r="H492" s="46">
        <v>3127.0</v>
      </c>
      <c r="I492" s="46">
        <v>8860.0</v>
      </c>
      <c r="J492" s="84">
        <v>724127.8</v>
      </c>
      <c r="K492" s="84">
        <v>502096.2</v>
      </c>
      <c r="L492" s="84">
        <v>222031.60000000003</v>
      </c>
      <c r="M492" s="46" t="s">
        <v>185</v>
      </c>
      <c r="N492" s="46" t="s">
        <v>169</v>
      </c>
      <c r="O492" s="46" t="s">
        <v>146</v>
      </c>
      <c r="P492" s="46" t="s">
        <v>170</v>
      </c>
      <c r="Q492" s="46" t="str">
        <f t="shared" si="1"/>
        <v>June, 2013</v>
      </c>
      <c r="R492" s="115">
        <f t="shared" si="2"/>
        <v>41426</v>
      </c>
      <c r="S492" s="49">
        <f t="array" ref="S492">WEEKDAY(D492,2)</f>
        <v>3</v>
      </c>
      <c r="T492" s="46" t="s">
        <v>103</v>
      </c>
      <c r="U492" s="46" t="str">
        <f t="array" ref="U492">TEXT(D492,"dddd")</f>
        <v>Wednesday</v>
      </c>
    </row>
    <row r="493" hidden="1">
      <c r="A493" s="46">
        <v>4.31240689E8</v>
      </c>
      <c r="B493" s="137" t="s">
        <v>216</v>
      </c>
      <c r="C493" s="137">
        <v>2015.0</v>
      </c>
      <c r="D493" s="138">
        <v>42242.0</v>
      </c>
      <c r="E493" s="139">
        <v>42290.0</v>
      </c>
      <c r="F493" s="142" t="s">
        <v>226</v>
      </c>
      <c r="G493" s="142">
        <v>2015.0</v>
      </c>
      <c r="H493" s="46">
        <v>2103.0</v>
      </c>
      <c r="I493" s="46">
        <v>2558.0</v>
      </c>
      <c r="J493" s="84">
        <v>526180.6</v>
      </c>
      <c r="K493" s="84">
        <v>299567.38</v>
      </c>
      <c r="L493" s="84">
        <v>226613.21999999997</v>
      </c>
      <c r="M493" s="46" t="s">
        <v>144</v>
      </c>
      <c r="N493" s="46" t="s">
        <v>208</v>
      </c>
      <c r="O493" s="46" t="s">
        <v>146</v>
      </c>
      <c r="P493" s="46" t="s">
        <v>147</v>
      </c>
      <c r="Q493" s="46" t="str">
        <f t="shared" si="1"/>
        <v>August, 2015</v>
      </c>
      <c r="R493" s="115">
        <f t="shared" si="2"/>
        <v>42217</v>
      </c>
      <c r="S493" s="49">
        <f t="array" ref="S493">WEEKDAY(D493,2)</f>
        <v>3</v>
      </c>
      <c r="T493" s="46" t="s">
        <v>138</v>
      </c>
      <c r="U493" s="46" t="str">
        <f t="array" ref="U493">TEXT(D493,"dddd")</f>
        <v>Wednesday</v>
      </c>
    </row>
    <row r="494" hidden="1">
      <c r="A494" s="46">
        <v>4.31432092E8</v>
      </c>
      <c r="B494" s="137" t="s">
        <v>216</v>
      </c>
      <c r="C494" s="137">
        <v>2016.0</v>
      </c>
      <c r="D494" s="138">
        <v>42583.0</v>
      </c>
      <c r="E494" s="139">
        <v>42626.0</v>
      </c>
      <c r="F494" s="142" t="s">
        <v>221</v>
      </c>
      <c r="G494" s="142">
        <v>2016.0</v>
      </c>
      <c r="H494" s="46">
        <v>2455.0</v>
      </c>
      <c r="I494" s="46">
        <v>9198.0</v>
      </c>
      <c r="J494" s="84">
        <v>1005157.4400000001</v>
      </c>
      <c r="K494" s="84">
        <v>329656.32</v>
      </c>
      <c r="L494" s="84">
        <v>675501.1200000001</v>
      </c>
      <c r="M494" s="46" t="s">
        <v>150</v>
      </c>
      <c r="N494" s="46" t="s">
        <v>190</v>
      </c>
      <c r="O494" s="46" t="s">
        <v>146</v>
      </c>
      <c r="P494" s="46" t="s">
        <v>147</v>
      </c>
      <c r="Q494" s="46" t="str">
        <f t="shared" si="1"/>
        <v>August, 2016</v>
      </c>
      <c r="R494" s="115">
        <f t="shared" si="2"/>
        <v>42583</v>
      </c>
      <c r="S494" s="49">
        <f t="array" ref="S494">WEEKDAY(D494,2)</f>
        <v>1</v>
      </c>
      <c r="T494" s="46" t="s">
        <v>119</v>
      </c>
      <c r="U494" s="46" t="str">
        <f t="array" ref="U494">TEXT(D494,"dddd")</f>
        <v>Monday</v>
      </c>
    </row>
    <row r="495" hidden="1">
      <c r="A495" s="46">
        <v>4.31753098E8</v>
      </c>
      <c r="B495" s="137" t="s">
        <v>221</v>
      </c>
      <c r="C495" s="137">
        <v>2015.0</v>
      </c>
      <c r="D495" s="138">
        <v>42249.0</v>
      </c>
      <c r="E495" s="139">
        <v>42296.0</v>
      </c>
      <c r="F495" s="142" t="s">
        <v>226</v>
      </c>
      <c r="G495" s="142">
        <v>2015.0</v>
      </c>
      <c r="H495" s="46">
        <v>1270.0</v>
      </c>
      <c r="I495" s="46">
        <v>4191.0</v>
      </c>
      <c r="J495" s="84">
        <v>198862.95</v>
      </c>
      <c r="K495" s="84">
        <v>133231.88999999998</v>
      </c>
      <c r="L495" s="84">
        <v>65631.06000000003</v>
      </c>
      <c r="M495" s="46" t="s">
        <v>152</v>
      </c>
      <c r="N495" s="46" t="s">
        <v>154</v>
      </c>
      <c r="O495" s="46" t="s">
        <v>146</v>
      </c>
      <c r="P495" s="46" t="s">
        <v>155</v>
      </c>
      <c r="Q495" s="46" t="str">
        <f t="shared" si="1"/>
        <v>September, 2015</v>
      </c>
      <c r="R495" s="115">
        <f t="shared" si="2"/>
        <v>42248</v>
      </c>
      <c r="S495" s="49">
        <f t="array" ref="S495">WEEKDAY(D495,2)</f>
        <v>3</v>
      </c>
      <c r="T495" s="46" t="s">
        <v>96</v>
      </c>
      <c r="U495" s="46" t="str">
        <f t="array" ref="U495">TEXT(D495,"dddd")</f>
        <v>Wednesday</v>
      </c>
    </row>
    <row r="496" hidden="1">
      <c r="A496" s="46">
        <v>4.32031619E8</v>
      </c>
      <c r="B496" s="137" t="s">
        <v>220</v>
      </c>
      <c r="C496" s="137">
        <v>2011.0</v>
      </c>
      <c r="D496" s="138">
        <v>40699.0</v>
      </c>
      <c r="E496" s="139">
        <v>40723.0</v>
      </c>
      <c r="F496" s="142" t="s">
        <v>220</v>
      </c>
      <c r="G496" s="142">
        <v>2011.0</v>
      </c>
      <c r="H496" s="46">
        <v>1270.0</v>
      </c>
      <c r="I496" s="46">
        <v>6612.0</v>
      </c>
      <c r="J496" s="84">
        <v>313739.4</v>
      </c>
      <c r="K496" s="84">
        <v>210195.47999999998</v>
      </c>
      <c r="L496" s="84">
        <v>103543.92000000004</v>
      </c>
      <c r="M496" s="46" t="s">
        <v>152</v>
      </c>
      <c r="N496" s="46" t="s">
        <v>164</v>
      </c>
      <c r="O496" s="46" t="s">
        <v>165</v>
      </c>
      <c r="P496" s="46" t="s">
        <v>166</v>
      </c>
      <c r="Q496" s="46" t="str">
        <f t="shared" si="1"/>
        <v>June, 2011</v>
      </c>
      <c r="R496" s="115">
        <f t="shared" si="2"/>
        <v>40695</v>
      </c>
      <c r="S496" s="49">
        <f t="array" ref="S496">WEEKDAY(D496,2)</f>
        <v>7</v>
      </c>
      <c r="T496" s="46" t="s">
        <v>101</v>
      </c>
      <c r="U496" s="46" t="str">
        <f t="array" ref="U496">TEXT(D496,"dddd")</f>
        <v>Sunday</v>
      </c>
    </row>
    <row r="497" hidden="1">
      <c r="A497" s="46">
        <v>4.33079183E8</v>
      </c>
      <c r="B497" s="137" t="s">
        <v>222</v>
      </c>
      <c r="C497" s="137">
        <v>2013.0</v>
      </c>
      <c r="D497" s="138">
        <v>41338.0</v>
      </c>
      <c r="E497" s="139">
        <v>41383.0</v>
      </c>
      <c r="F497" s="142" t="s">
        <v>223</v>
      </c>
      <c r="G497" s="142">
        <v>2013.0</v>
      </c>
      <c r="H497" s="46">
        <v>8681.0</v>
      </c>
      <c r="I497" s="46">
        <v>6609.0</v>
      </c>
      <c r="J497" s="84">
        <v>4303846.890000001</v>
      </c>
      <c r="K497" s="84">
        <v>3469460.64</v>
      </c>
      <c r="L497" s="84">
        <v>834386.2500000005</v>
      </c>
      <c r="M497" s="46" t="s">
        <v>153</v>
      </c>
      <c r="N497" s="46" t="s">
        <v>177</v>
      </c>
      <c r="O497" s="46" t="s">
        <v>146</v>
      </c>
      <c r="P497" s="46" t="s">
        <v>170</v>
      </c>
      <c r="Q497" s="46" t="str">
        <f t="shared" si="1"/>
        <v>March, 2013</v>
      </c>
      <c r="R497" s="115">
        <f t="shared" si="2"/>
        <v>41334</v>
      </c>
      <c r="S497" s="49">
        <f t="array" ref="S497">WEEKDAY(D497,2)</f>
        <v>2</v>
      </c>
      <c r="T497" s="46" t="s">
        <v>110</v>
      </c>
      <c r="U497" s="46" t="str">
        <f t="array" ref="U497">TEXT(D497,"dddd")</f>
        <v>Tuesday</v>
      </c>
    </row>
    <row r="498" hidden="1">
      <c r="A498" s="46">
        <v>4.337345E8</v>
      </c>
      <c r="B498" s="137" t="s">
        <v>216</v>
      </c>
      <c r="C498" s="137">
        <v>2010.0</v>
      </c>
      <c r="D498" s="138">
        <v>40409.0</v>
      </c>
      <c r="E498" s="139">
        <v>40429.0</v>
      </c>
      <c r="F498" s="142" t="s">
        <v>221</v>
      </c>
      <c r="G498" s="142">
        <v>2010.0</v>
      </c>
      <c r="H498" s="46">
        <v>8681.0</v>
      </c>
      <c r="I498" s="46">
        <v>532.0</v>
      </c>
      <c r="J498" s="84">
        <v>346443.72000000003</v>
      </c>
      <c r="K498" s="84">
        <v>279278.72000000003</v>
      </c>
      <c r="L498" s="84">
        <v>67165.0</v>
      </c>
      <c r="M498" s="46" t="s">
        <v>153</v>
      </c>
      <c r="N498" s="46" t="s">
        <v>163</v>
      </c>
      <c r="O498" s="46" t="s">
        <v>146</v>
      </c>
      <c r="P498" s="46" t="s">
        <v>158</v>
      </c>
      <c r="Q498" s="46" t="str">
        <f t="shared" si="1"/>
        <v>August, 2010</v>
      </c>
      <c r="R498" s="115">
        <f t="shared" si="2"/>
        <v>40391</v>
      </c>
      <c r="S498" s="49">
        <f t="array" ref="S498">WEEKDAY(D498,2)</f>
        <v>4</v>
      </c>
      <c r="T498" s="46" t="s">
        <v>100</v>
      </c>
      <c r="U498" s="46" t="str">
        <f t="array" ref="U498">TEXT(D498,"dddd")</f>
        <v>Thursday</v>
      </c>
    </row>
    <row r="499" hidden="1">
      <c r="A499" s="46">
        <v>4.34013879E8</v>
      </c>
      <c r="B499" s="137" t="s">
        <v>221</v>
      </c>
      <c r="C499" s="137">
        <v>2010.0</v>
      </c>
      <c r="D499" s="138">
        <v>40448.0</v>
      </c>
      <c r="E499" s="139">
        <v>40487.0</v>
      </c>
      <c r="F499" s="142" t="s">
        <v>224</v>
      </c>
      <c r="G499" s="142">
        <v>2010.0</v>
      </c>
      <c r="H499" s="46">
        <v>8293.0</v>
      </c>
      <c r="I499" s="46">
        <v>3206.0</v>
      </c>
      <c r="J499" s="84">
        <v>1401663.2</v>
      </c>
      <c r="K499" s="84">
        <v>844235.98</v>
      </c>
      <c r="L499" s="84">
        <v>557427.22</v>
      </c>
      <c r="M499" s="46" t="s">
        <v>178</v>
      </c>
      <c r="N499" s="46" t="s">
        <v>206</v>
      </c>
      <c r="O499" s="46" t="s">
        <v>146</v>
      </c>
      <c r="P499" s="46" t="s">
        <v>158</v>
      </c>
      <c r="Q499" s="46" t="str">
        <f t="shared" si="1"/>
        <v>September, 2010</v>
      </c>
      <c r="R499" s="115">
        <f t="shared" si="2"/>
        <v>40422</v>
      </c>
      <c r="S499" s="49">
        <f t="array" ref="S499">WEEKDAY(D499,2)</f>
        <v>1</v>
      </c>
      <c r="T499" s="46" t="s">
        <v>136</v>
      </c>
      <c r="U499" s="46" t="str">
        <f t="array" ref="U499">TEXT(D499,"dddd")</f>
        <v>Monday</v>
      </c>
    </row>
    <row r="500" hidden="1">
      <c r="A500" s="46">
        <v>4.34275662E8</v>
      </c>
      <c r="B500" s="137" t="s">
        <v>217</v>
      </c>
      <c r="C500" s="137">
        <v>2012.0</v>
      </c>
      <c r="D500" s="138">
        <v>41101.0</v>
      </c>
      <c r="E500" s="139">
        <v>41134.0</v>
      </c>
      <c r="F500" s="142" t="s">
        <v>216</v>
      </c>
      <c r="G500" s="142">
        <v>2012.0</v>
      </c>
      <c r="H500" s="46">
        <v>8681.0</v>
      </c>
      <c r="I500" s="46">
        <v>674.0</v>
      </c>
      <c r="J500" s="84">
        <v>438915.54000000004</v>
      </c>
      <c r="K500" s="84">
        <v>353823.04000000004</v>
      </c>
      <c r="L500" s="84">
        <v>85092.5</v>
      </c>
      <c r="M500" s="46" t="s">
        <v>153</v>
      </c>
      <c r="N500" s="46" t="s">
        <v>204</v>
      </c>
      <c r="O500" s="46" t="s">
        <v>146</v>
      </c>
      <c r="P500" s="46" t="s">
        <v>147</v>
      </c>
      <c r="Q500" s="46" t="str">
        <f t="shared" si="1"/>
        <v>July, 2012</v>
      </c>
      <c r="R500" s="115">
        <f t="shared" si="2"/>
        <v>41091</v>
      </c>
      <c r="S500" s="49">
        <f t="array" ref="S500">WEEKDAY(D500,2)</f>
        <v>3</v>
      </c>
      <c r="T500" s="46" t="s">
        <v>133</v>
      </c>
      <c r="U500" s="46" t="str">
        <f t="array" ref="U500">TEXT(D500,"dddd")</f>
        <v>Wednesday</v>
      </c>
    </row>
    <row r="501" hidden="1">
      <c r="A501" s="46">
        <v>4.34485948E8</v>
      </c>
      <c r="B501" s="137" t="s">
        <v>221</v>
      </c>
      <c r="C501" s="137">
        <v>2010.0</v>
      </c>
      <c r="D501" s="138">
        <v>40446.0</v>
      </c>
      <c r="E501" s="139">
        <v>40485.0</v>
      </c>
      <c r="F501" s="142" t="s">
        <v>224</v>
      </c>
      <c r="G501" s="142">
        <v>2010.0</v>
      </c>
      <c r="H501" s="46">
        <v>3127.0</v>
      </c>
      <c r="I501" s="46">
        <v>2902.0</v>
      </c>
      <c r="J501" s="84">
        <v>237180.46000000002</v>
      </c>
      <c r="K501" s="84">
        <v>164456.34</v>
      </c>
      <c r="L501" s="84">
        <v>72724.12000000002</v>
      </c>
      <c r="M501" s="46" t="s">
        <v>185</v>
      </c>
      <c r="N501" s="46" t="s">
        <v>191</v>
      </c>
      <c r="O501" s="46" t="s">
        <v>146</v>
      </c>
      <c r="P501" s="46" t="s">
        <v>147</v>
      </c>
      <c r="Q501" s="46" t="str">
        <f t="shared" si="1"/>
        <v>September, 2010</v>
      </c>
      <c r="R501" s="115">
        <f t="shared" si="2"/>
        <v>40422</v>
      </c>
      <c r="S501" s="49">
        <f t="array" ref="S501">WEEKDAY(D501,2)</f>
        <v>6</v>
      </c>
      <c r="T501" s="46" t="s">
        <v>120</v>
      </c>
      <c r="U501" s="46" t="str">
        <f t="array" ref="U501">TEXT(D501,"dddd")</f>
        <v>Saturday</v>
      </c>
    </row>
    <row r="502" hidden="1">
      <c r="A502" s="46">
        <v>4.35463559E8</v>
      </c>
      <c r="B502" s="137" t="s">
        <v>226</v>
      </c>
      <c r="C502" s="137">
        <v>2013.0</v>
      </c>
      <c r="D502" s="138">
        <v>41568.0</v>
      </c>
      <c r="E502" s="139">
        <v>41574.0</v>
      </c>
      <c r="F502" s="142" t="s">
        <v>226</v>
      </c>
      <c r="G502" s="142">
        <v>2013.0</v>
      </c>
      <c r="H502" s="46">
        <v>1270.0</v>
      </c>
      <c r="I502" s="46">
        <v>2199.0</v>
      </c>
      <c r="J502" s="84">
        <v>104342.55</v>
      </c>
      <c r="K502" s="84">
        <v>69906.20999999999</v>
      </c>
      <c r="L502" s="84">
        <v>34436.34000000001</v>
      </c>
      <c r="M502" s="46" t="s">
        <v>152</v>
      </c>
      <c r="N502" s="46" t="s">
        <v>180</v>
      </c>
      <c r="O502" s="46" t="s">
        <v>146</v>
      </c>
      <c r="P502" s="46" t="s">
        <v>147</v>
      </c>
      <c r="Q502" s="46" t="str">
        <f t="shared" si="1"/>
        <v>October, 2013</v>
      </c>
      <c r="R502" s="115">
        <f t="shared" si="2"/>
        <v>41548</v>
      </c>
      <c r="S502" s="49">
        <f t="array" ref="S502">WEEKDAY(D502,2)</f>
        <v>1</v>
      </c>
      <c r="T502" s="46" t="s">
        <v>112</v>
      </c>
      <c r="U502" s="46" t="str">
        <f t="array" ref="U502">TEXT(D502,"dddd")</f>
        <v>Monday</v>
      </c>
    </row>
    <row r="503">
      <c r="A503" s="46">
        <v>4.36606395E8</v>
      </c>
      <c r="B503" s="137" t="s">
        <v>224</v>
      </c>
      <c r="C503" s="137">
        <v>2013.0</v>
      </c>
      <c r="D503" s="138">
        <v>41582.0</v>
      </c>
      <c r="E503" s="139">
        <v>41611.0</v>
      </c>
      <c r="F503" s="142" t="s">
        <v>225</v>
      </c>
      <c r="G503" s="142">
        <v>2013.0</v>
      </c>
      <c r="H503" s="46">
        <v>1270.0</v>
      </c>
      <c r="I503" s="46">
        <v>389.0</v>
      </c>
      <c r="J503" s="84">
        <v>18458.050000000003</v>
      </c>
      <c r="K503" s="84">
        <v>12366.31</v>
      </c>
      <c r="L503" s="84">
        <v>6091.740000000003</v>
      </c>
      <c r="M503" s="46" t="s">
        <v>152</v>
      </c>
      <c r="N503" s="46" t="s">
        <v>149</v>
      </c>
      <c r="O503" s="46" t="s">
        <v>149</v>
      </c>
      <c r="P503" s="46" t="s">
        <v>218</v>
      </c>
      <c r="Q503" s="46" t="str">
        <f t="shared" si="1"/>
        <v>November, 2013</v>
      </c>
      <c r="R503" s="115">
        <f t="shared" si="2"/>
        <v>41579</v>
      </c>
      <c r="S503" s="49">
        <f t="array" ref="S503">WEEKDAY(D503,2)</f>
        <v>1</v>
      </c>
      <c r="T503" s="46" t="s">
        <v>92</v>
      </c>
      <c r="U503" s="46" t="str">
        <f t="array" ref="U503">TEXT(D503,"dddd")</f>
        <v>Monday</v>
      </c>
    </row>
    <row r="504" hidden="1">
      <c r="A504" s="46">
        <v>4.36969029E8</v>
      </c>
      <c r="B504" s="137" t="s">
        <v>224</v>
      </c>
      <c r="C504" s="137">
        <v>2011.0</v>
      </c>
      <c r="D504" s="138">
        <v>40876.0</v>
      </c>
      <c r="E504" s="139">
        <v>40894.0</v>
      </c>
      <c r="F504" s="142" t="s">
        <v>225</v>
      </c>
      <c r="G504" s="142">
        <v>2011.0</v>
      </c>
      <c r="H504" s="46">
        <v>8875.0</v>
      </c>
      <c r="I504" s="46">
        <v>7701.0</v>
      </c>
      <c r="J504" s="84">
        <v>3248974.8899999997</v>
      </c>
      <c r="K504" s="84">
        <v>2808477.69</v>
      </c>
      <c r="L504" s="84">
        <v>440497.1999999997</v>
      </c>
      <c r="M504" s="46" t="s">
        <v>167</v>
      </c>
      <c r="N504" s="46" t="s">
        <v>160</v>
      </c>
      <c r="O504" s="46" t="s">
        <v>146</v>
      </c>
      <c r="P504" s="46" t="s">
        <v>147</v>
      </c>
      <c r="Q504" s="46" t="str">
        <f t="shared" si="1"/>
        <v>November, 2011</v>
      </c>
      <c r="R504" s="115">
        <f t="shared" si="2"/>
        <v>40848</v>
      </c>
      <c r="S504" s="49">
        <f t="array" ref="S504">WEEKDAY(D504,2)</f>
        <v>2</v>
      </c>
      <c r="T504" s="46" t="s">
        <v>98</v>
      </c>
      <c r="U504" s="46" t="str">
        <f t="array" ref="U504">TEXT(D504,"dddd")</f>
        <v>Tuesday</v>
      </c>
    </row>
    <row r="505" hidden="1">
      <c r="A505" s="46">
        <v>4.37083184E8</v>
      </c>
      <c r="B505" s="137" t="s">
        <v>227</v>
      </c>
      <c r="C505" s="137">
        <v>2015.0</v>
      </c>
      <c r="D505" s="138">
        <v>42022.0</v>
      </c>
      <c r="E505" s="139">
        <v>42054.0</v>
      </c>
      <c r="F505" s="142" t="s">
        <v>228</v>
      </c>
      <c r="G505" s="142">
        <v>2015.0</v>
      </c>
      <c r="H505" s="46">
        <v>8875.0</v>
      </c>
      <c r="I505" s="46">
        <v>1482.0</v>
      </c>
      <c r="J505" s="84">
        <v>625240.98</v>
      </c>
      <c r="K505" s="84">
        <v>540470.58</v>
      </c>
      <c r="L505" s="84">
        <v>84770.40000000002</v>
      </c>
      <c r="M505" s="46" t="s">
        <v>167</v>
      </c>
      <c r="N505" s="46" t="s">
        <v>203</v>
      </c>
      <c r="O505" s="46" t="s">
        <v>146</v>
      </c>
      <c r="P505" s="46" t="s">
        <v>170</v>
      </c>
      <c r="Q505" s="46" t="str">
        <f t="shared" si="1"/>
        <v>January, 2015</v>
      </c>
      <c r="R505" s="115">
        <f t="shared" si="2"/>
        <v>42005</v>
      </c>
      <c r="S505" s="49">
        <f t="array" ref="S505">WEEKDAY(D505,2)</f>
        <v>7</v>
      </c>
      <c r="T505" s="46" t="s">
        <v>132</v>
      </c>
      <c r="U505" s="46" t="str">
        <f t="array" ref="U505">TEXT(D505,"dddd")</f>
        <v>Sunday</v>
      </c>
    </row>
    <row r="506" hidden="1">
      <c r="A506" s="46">
        <v>4.37604176E8</v>
      </c>
      <c r="B506" s="137" t="s">
        <v>228</v>
      </c>
      <c r="C506" s="137">
        <v>2013.0</v>
      </c>
      <c r="D506" s="138">
        <v>41326.0</v>
      </c>
      <c r="E506" s="139">
        <v>41371.0</v>
      </c>
      <c r="F506" s="142" t="s">
        <v>223</v>
      </c>
      <c r="G506" s="142">
        <v>2013.0</v>
      </c>
      <c r="H506" s="46">
        <v>8969.0</v>
      </c>
      <c r="I506" s="46">
        <v>5655.0</v>
      </c>
      <c r="J506" s="84">
        <v>862839.9</v>
      </c>
      <c r="K506" s="84">
        <v>551023.2</v>
      </c>
      <c r="L506" s="84">
        <v>311816.70000000007</v>
      </c>
      <c r="M506" s="46" t="s">
        <v>182</v>
      </c>
      <c r="N506" s="46" t="s">
        <v>174</v>
      </c>
      <c r="O506" s="46" t="s">
        <v>146</v>
      </c>
      <c r="P506" s="46" t="s">
        <v>158</v>
      </c>
      <c r="Q506" s="46" t="str">
        <f t="shared" si="1"/>
        <v>February, 2013</v>
      </c>
      <c r="R506" s="115">
        <f t="shared" si="2"/>
        <v>41306</v>
      </c>
      <c r="S506" s="49">
        <f t="array" ref="S506">WEEKDAY(D506,2)</f>
        <v>4</v>
      </c>
      <c r="T506" s="46" t="s">
        <v>107</v>
      </c>
      <c r="U506" s="46" t="str">
        <f t="array" ref="U506">TEXT(D506,"dddd")</f>
        <v>Thursday</v>
      </c>
    </row>
    <row r="507" hidden="1">
      <c r="A507" s="46">
        <v>4.38683927E8</v>
      </c>
      <c r="B507" s="137" t="s">
        <v>220</v>
      </c>
      <c r="C507" s="137">
        <v>2011.0</v>
      </c>
      <c r="D507" s="138">
        <v>40707.0</v>
      </c>
      <c r="E507" s="139">
        <v>40753.0</v>
      </c>
      <c r="F507" s="142" t="s">
        <v>217</v>
      </c>
      <c r="G507" s="142">
        <v>2011.0</v>
      </c>
      <c r="H507" s="46">
        <v>3127.0</v>
      </c>
      <c r="I507" s="46">
        <v>5177.0</v>
      </c>
      <c r="J507" s="84">
        <v>423116.21</v>
      </c>
      <c r="K507" s="84">
        <v>293380.59</v>
      </c>
      <c r="L507" s="84">
        <v>129735.62</v>
      </c>
      <c r="M507" s="46" t="s">
        <v>185</v>
      </c>
      <c r="N507" s="46" t="s">
        <v>172</v>
      </c>
      <c r="O507" s="46" t="s">
        <v>146</v>
      </c>
      <c r="P507" s="46" t="s">
        <v>155</v>
      </c>
      <c r="Q507" s="46" t="str">
        <f t="shared" si="1"/>
        <v>June, 2011</v>
      </c>
      <c r="R507" s="115">
        <f t="shared" si="2"/>
        <v>40695</v>
      </c>
      <c r="S507" s="49">
        <f t="array" ref="S507">WEEKDAY(D507,2)</f>
        <v>1</v>
      </c>
      <c r="T507" s="46" t="s">
        <v>105</v>
      </c>
      <c r="U507" s="46" t="str">
        <f t="array" ref="U507">TEXT(D507,"dddd")</f>
        <v>Monday</v>
      </c>
    </row>
    <row r="508" hidden="1">
      <c r="A508" s="46">
        <v>4.39114367E8</v>
      </c>
      <c r="B508" s="137" t="s">
        <v>220</v>
      </c>
      <c r="C508" s="137">
        <v>2012.0</v>
      </c>
      <c r="D508" s="138">
        <v>41077.0</v>
      </c>
      <c r="E508" s="139">
        <v>41086.0</v>
      </c>
      <c r="F508" s="142" t="s">
        <v>220</v>
      </c>
      <c r="G508" s="142">
        <v>2012.0</v>
      </c>
      <c r="H508" s="46">
        <v>3127.0</v>
      </c>
      <c r="I508" s="46">
        <v>2554.0</v>
      </c>
      <c r="J508" s="84">
        <v>208738.42</v>
      </c>
      <c r="K508" s="84">
        <v>144735.18</v>
      </c>
      <c r="L508" s="84">
        <v>64003.24000000002</v>
      </c>
      <c r="M508" s="46" t="s">
        <v>185</v>
      </c>
      <c r="N508" s="46" t="s">
        <v>169</v>
      </c>
      <c r="O508" s="46" t="s">
        <v>146</v>
      </c>
      <c r="P508" s="46" t="s">
        <v>170</v>
      </c>
      <c r="Q508" s="46" t="str">
        <f t="shared" si="1"/>
        <v>June, 2012</v>
      </c>
      <c r="R508" s="115">
        <f t="shared" si="2"/>
        <v>41061</v>
      </c>
      <c r="S508" s="49">
        <f t="array" ref="S508">WEEKDAY(D508,2)</f>
        <v>7</v>
      </c>
      <c r="T508" s="46" t="s">
        <v>103</v>
      </c>
      <c r="U508" s="46" t="str">
        <f t="array" ref="U508">TEXT(D508,"dddd")</f>
        <v>Sunday</v>
      </c>
    </row>
    <row r="509" hidden="1">
      <c r="A509" s="46">
        <v>4.39204919E8</v>
      </c>
      <c r="B509" s="137" t="s">
        <v>228</v>
      </c>
      <c r="C509" s="137">
        <v>2017.0</v>
      </c>
      <c r="D509" s="138">
        <v>42777.0</v>
      </c>
      <c r="E509" s="139">
        <v>42785.0</v>
      </c>
      <c r="F509" s="142" t="s">
        <v>228</v>
      </c>
      <c r="G509" s="142">
        <v>2017.0</v>
      </c>
      <c r="H509" s="46">
        <v>1270.0</v>
      </c>
      <c r="I509" s="46">
        <v>9350.0</v>
      </c>
      <c r="J509" s="84">
        <v>443657.5</v>
      </c>
      <c r="K509" s="84">
        <v>297236.5</v>
      </c>
      <c r="L509" s="84">
        <v>146421.0</v>
      </c>
      <c r="M509" s="46" t="s">
        <v>152</v>
      </c>
      <c r="N509" s="46" t="s">
        <v>207</v>
      </c>
      <c r="O509" s="46" t="s">
        <v>146</v>
      </c>
      <c r="P509" s="46" t="s">
        <v>170</v>
      </c>
      <c r="Q509" s="46" t="str">
        <f t="shared" si="1"/>
        <v>February, 2017</v>
      </c>
      <c r="R509" s="115">
        <f t="shared" si="2"/>
        <v>42767</v>
      </c>
      <c r="S509" s="49">
        <f t="array" ref="S509">WEEKDAY(D509,2)</f>
        <v>6</v>
      </c>
      <c r="T509" s="46" t="s">
        <v>137</v>
      </c>
      <c r="U509" s="46" t="str">
        <f t="array" ref="U509">TEXT(D509,"dddd")</f>
        <v>Saturday</v>
      </c>
    </row>
    <row r="510" hidden="1">
      <c r="A510" s="46">
        <v>4.3964008E8</v>
      </c>
      <c r="B510" s="137" t="s">
        <v>226</v>
      </c>
      <c r="C510" s="137">
        <v>2011.0</v>
      </c>
      <c r="D510" s="138">
        <v>40823.0</v>
      </c>
      <c r="E510" s="139">
        <v>40849.0</v>
      </c>
      <c r="F510" s="142" t="s">
        <v>224</v>
      </c>
      <c r="G510" s="142">
        <v>2011.0</v>
      </c>
      <c r="H510" s="46">
        <v>2103.0</v>
      </c>
      <c r="I510" s="46">
        <v>8124.0</v>
      </c>
      <c r="J510" s="84">
        <v>1671106.7999999998</v>
      </c>
      <c r="K510" s="84">
        <v>951401.64</v>
      </c>
      <c r="L510" s="84">
        <v>719705.1599999998</v>
      </c>
      <c r="M510" s="46" t="s">
        <v>144</v>
      </c>
      <c r="N510" s="46" t="s">
        <v>173</v>
      </c>
      <c r="O510" s="46" t="s">
        <v>146</v>
      </c>
      <c r="P510" s="46" t="s">
        <v>155</v>
      </c>
      <c r="Q510" s="46" t="str">
        <f t="shared" si="1"/>
        <v>October, 2011</v>
      </c>
      <c r="R510" s="115">
        <f t="shared" si="2"/>
        <v>40817</v>
      </c>
      <c r="S510" s="49">
        <f t="array" ref="S510">WEEKDAY(D510,2)</f>
        <v>5</v>
      </c>
      <c r="T510" s="46" t="s">
        <v>106</v>
      </c>
      <c r="U510" s="46" t="str">
        <f t="array" ref="U510">TEXT(D510,"dddd")</f>
        <v>Friday</v>
      </c>
    </row>
    <row r="511" hidden="1">
      <c r="A511" s="46">
        <v>4.39725911E8</v>
      </c>
      <c r="B511" s="137" t="s">
        <v>222</v>
      </c>
      <c r="C511" s="137">
        <v>2015.0</v>
      </c>
      <c r="D511" s="138">
        <v>42080.0</v>
      </c>
      <c r="E511" s="139">
        <v>42101.0</v>
      </c>
      <c r="F511" s="142" t="s">
        <v>223</v>
      </c>
      <c r="G511" s="142">
        <v>2015.0</v>
      </c>
      <c r="H511" s="46">
        <v>4594.0</v>
      </c>
      <c r="I511" s="46">
        <v>3524.0</v>
      </c>
      <c r="J511" s="84">
        <v>32878.92</v>
      </c>
      <c r="K511" s="84">
        <v>24386.079999999998</v>
      </c>
      <c r="L511" s="84">
        <v>8492.84</v>
      </c>
      <c r="M511" s="46" t="s">
        <v>156</v>
      </c>
      <c r="N511" s="46" t="s">
        <v>164</v>
      </c>
      <c r="O511" s="46" t="s">
        <v>165</v>
      </c>
      <c r="P511" s="46" t="s">
        <v>166</v>
      </c>
      <c r="Q511" s="46" t="str">
        <f t="shared" si="1"/>
        <v>March, 2015</v>
      </c>
      <c r="R511" s="115">
        <f t="shared" si="2"/>
        <v>42064</v>
      </c>
      <c r="S511" s="49">
        <f t="array" ref="S511">WEEKDAY(D511,2)</f>
        <v>2</v>
      </c>
      <c r="T511" s="46" t="s">
        <v>101</v>
      </c>
      <c r="U511" s="46" t="str">
        <f t="array" ref="U511">TEXT(D511,"dddd")</f>
        <v>Tuesday</v>
      </c>
    </row>
    <row r="512" hidden="1">
      <c r="A512" s="46">
        <v>4.42318427E8</v>
      </c>
      <c r="B512" s="137" t="s">
        <v>221</v>
      </c>
      <c r="C512" s="137">
        <v>2010.0</v>
      </c>
      <c r="D512" s="138">
        <v>40448.0</v>
      </c>
      <c r="E512" s="139">
        <v>40459.0</v>
      </c>
      <c r="F512" s="142" t="s">
        <v>226</v>
      </c>
      <c r="G512" s="142">
        <v>2010.0</v>
      </c>
      <c r="H512" s="46">
        <v>7331.0</v>
      </c>
      <c r="I512" s="46">
        <v>707.0</v>
      </c>
      <c r="J512" s="84">
        <v>180482.96</v>
      </c>
      <c r="K512" s="84">
        <v>112709.93999999999</v>
      </c>
      <c r="L512" s="84">
        <v>67773.02</v>
      </c>
      <c r="M512" s="46" t="s">
        <v>161</v>
      </c>
      <c r="N512" s="46" t="s">
        <v>199</v>
      </c>
      <c r="O512" s="46" t="s">
        <v>146</v>
      </c>
      <c r="P512" s="46" t="s">
        <v>147</v>
      </c>
      <c r="Q512" s="46" t="str">
        <f t="shared" si="1"/>
        <v>September, 2010</v>
      </c>
      <c r="R512" s="115">
        <f t="shared" si="2"/>
        <v>40422</v>
      </c>
      <c r="S512" s="49">
        <f t="array" ref="S512">WEEKDAY(D512,2)</f>
        <v>1</v>
      </c>
      <c r="T512" s="46" t="s">
        <v>128</v>
      </c>
      <c r="U512" s="46" t="str">
        <f t="array" ref="U512">TEXT(D512,"dddd")</f>
        <v>Monday</v>
      </c>
    </row>
    <row r="513" hidden="1">
      <c r="A513" s="46">
        <v>4.43125665E8</v>
      </c>
      <c r="B513" s="137" t="s">
        <v>220</v>
      </c>
      <c r="C513" s="137">
        <v>2013.0</v>
      </c>
      <c r="D513" s="138">
        <v>41440.0</v>
      </c>
      <c r="E513" s="139">
        <v>41464.0</v>
      </c>
      <c r="F513" s="142" t="s">
        <v>217</v>
      </c>
      <c r="G513" s="142">
        <v>2013.0</v>
      </c>
      <c r="H513" s="46">
        <v>2103.0</v>
      </c>
      <c r="I513" s="46">
        <v>9586.0</v>
      </c>
      <c r="J513" s="84">
        <v>1971840.2</v>
      </c>
      <c r="K513" s="84">
        <v>1122616.46</v>
      </c>
      <c r="L513" s="84">
        <v>849223.74</v>
      </c>
      <c r="M513" s="46" t="s">
        <v>144</v>
      </c>
      <c r="N513" s="46" t="s">
        <v>145</v>
      </c>
      <c r="O513" s="46" t="s">
        <v>146</v>
      </c>
      <c r="P513" s="46" t="s">
        <v>147</v>
      </c>
      <c r="Q513" s="46" t="str">
        <f t="shared" si="1"/>
        <v>June, 2013</v>
      </c>
      <c r="R513" s="115">
        <f t="shared" si="2"/>
        <v>41426</v>
      </c>
      <c r="S513" s="49">
        <f t="array" ref="S513">WEEKDAY(D513,2)</f>
        <v>6</v>
      </c>
      <c r="T513" s="46" t="s">
        <v>91</v>
      </c>
      <c r="U513" s="46" t="str">
        <f t="array" ref="U513">TEXT(D513,"dddd")</f>
        <v>Saturday</v>
      </c>
    </row>
    <row r="514" hidden="1">
      <c r="A514" s="46">
        <v>4.43347108E8</v>
      </c>
      <c r="B514" s="137" t="s">
        <v>222</v>
      </c>
      <c r="C514" s="137">
        <v>2015.0</v>
      </c>
      <c r="D514" s="138">
        <v>42083.0</v>
      </c>
      <c r="E514" s="139">
        <v>42103.0</v>
      </c>
      <c r="F514" s="142" t="s">
        <v>223</v>
      </c>
      <c r="G514" s="142">
        <v>2015.0</v>
      </c>
      <c r="H514" s="46">
        <v>2103.0</v>
      </c>
      <c r="I514" s="46">
        <v>5116.0</v>
      </c>
      <c r="J514" s="84">
        <v>1052361.2</v>
      </c>
      <c r="K514" s="84">
        <v>599134.76</v>
      </c>
      <c r="L514" s="84">
        <v>453226.43999999994</v>
      </c>
      <c r="M514" s="46" t="s">
        <v>144</v>
      </c>
      <c r="N514" s="46" t="s">
        <v>199</v>
      </c>
      <c r="O514" s="46" t="s">
        <v>146</v>
      </c>
      <c r="P514" s="46" t="s">
        <v>147</v>
      </c>
      <c r="Q514" s="46" t="str">
        <f t="shared" si="1"/>
        <v>March, 2015</v>
      </c>
      <c r="R514" s="115">
        <f t="shared" si="2"/>
        <v>42064</v>
      </c>
      <c r="S514" s="49">
        <f t="array" ref="S514">WEEKDAY(D514,2)</f>
        <v>5</v>
      </c>
      <c r="T514" s="46" t="s">
        <v>128</v>
      </c>
      <c r="U514" s="46" t="str">
        <f t="array" ref="U514">TEXT(D514,"dddd")</f>
        <v>Friday</v>
      </c>
    </row>
    <row r="515" hidden="1">
      <c r="A515" s="46">
        <v>4.43544518E8</v>
      </c>
      <c r="B515" s="137" t="s">
        <v>223</v>
      </c>
      <c r="C515" s="137">
        <v>2016.0</v>
      </c>
      <c r="D515" s="138">
        <v>42484.0</v>
      </c>
      <c r="E515" s="139">
        <v>42488.0</v>
      </c>
      <c r="F515" s="142" t="s">
        <v>223</v>
      </c>
      <c r="G515" s="142">
        <v>2016.0</v>
      </c>
      <c r="H515" s="46">
        <v>1270.0</v>
      </c>
      <c r="I515" s="46">
        <v>3534.0</v>
      </c>
      <c r="J515" s="84">
        <v>167688.30000000002</v>
      </c>
      <c r="K515" s="84">
        <v>112345.86</v>
      </c>
      <c r="L515" s="84">
        <v>55342.44000000002</v>
      </c>
      <c r="M515" s="46" t="s">
        <v>152</v>
      </c>
      <c r="N515" s="46" t="s">
        <v>199</v>
      </c>
      <c r="O515" s="46" t="s">
        <v>146</v>
      </c>
      <c r="P515" s="46" t="s">
        <v>147</v>
      </c>
      <c r="Q515" s="46" t="str">
        <f t="shared" si="1"/>
        <v>April, 2016</v>
      </c>
      <c r="R515" s="115">
        <f t="shared" si="2"/>
        <v>42461</v>
      </c>
      <c r="S515" s="49">
        <f t="array" ref="S515">WEEKDAY(D515,2)</f>
        <v>7</v>
      </c>
      <c r="T515" s="46" t="s">
        <v>128</v>
      </c>
      <c r="U515" s="46" t="str">
        <f t="array" ref="U515">TEXT(D515,"dddd")</f>
        <v>Sunday</v>
      </c>
    </row>
    <row r="516" hidden="1">
      <c r="A516" s="46">
        <v>4.43551385E8</v>
      </c>
      <c r="B516" s="137" t="s">
        <v>223</v>
      </c>
      <c r="C516" s="137">
        <v>2013.0</v>
      </c>
      <c r="D516" s="138">
        <v>41367.0</v>
      </c>
      <c r="E516" s="139">
        <v>41403.0</v>
      </c>
      <c r="F516" s="142" t="s">
        <v>219</v>
      </c>
      <c r="G516" s="142">
        <v>2013.0</v>
      </c>
      <c r="H516" s="46">
        <v>7331.0</v>
      </c>
      <c r="I516" s="46">
        <v>5566.0</v>
      </c>
      <c r="J516" s="84">
        <v>1420888.48</v>
      </c>
      <c r="K516" s="84">
        <v>887331.72</v>
      </c>
      <c r="L516" s="84">
        <v>533556.76</v>
      </c>
      <c r="M516" s="46" t="s">
        <v>161</v>
      </c>
      <c r="N516" s="46" t="s">
        <v>203</v>
      </c>
      <c r="O516" s="46" t="s">
        <v>146</v>
      </c>
      <c r="P516" s="46" t="s">
        <v>170</v>
      </c>
      <c r="Q516" s="46" t="str">
        <f t="shared" si="1"/>
        <v>April, 2013</v>
      </c>
      <c r="R516" s="115">
        <f t="shared" si="2"/>
        <v>41365</v>
      </c>
      <c r="S516" s="49">
        <f t="array" ref="S516">WEEKDAY(D516,2)</f>
        <v>3</v>
      </c>
      <c r="T516" s="46" t="s">
        <v>132</v>
      </c>
      <c r="U516" s="46" t="str">
        <f t="array" ref="U516">TEXT(D516,"dddd")</f>
        <v>Wednesday</v>
      </c>
    </row>
    <row r="517" hidden="1">
      <c r="A517" s="46">
        <v>4.44234168E8</v>
      </c>
      <c r="B517" s="137" t="s">
        <v>216</v>
      </c>
      <c r="C517" s="137">
        <v>2013.0</v>
      </c>
      <c r="D517" s="138">
        <v>41505.0</v>
      </c>
      <c r="E517" s="139">
        <v>41544.0</v>
      </c>
      <c r="F517" s="142" t="s">
        <v>221</v>
      </c>
      <c r="G517" s="142">
        <v>2013.0</v>
      </c>
      <c r="H517" s="46">
        <v>7331.0</v>
      </c>
      <c r="I517" s="46">
        <v>7617.0</v>
      </c>
      <c r="J517" s="84">
        <v>1944467.76</v>
      </c>
      <c r="K517" s="84">
        <v>1214302.14</v>
      </c>
      <c r="L517" s="84">
        <v>730165.6200000001</v>
      </c>
      <c r="M517" s="46" t="s">
        <v>161</v>
      </c>
      <c r="N517" s="46" t="s">
        <v>208</v>
      </c>
      <c r="O517" s="46" t="s">
        <v>146</v>
      </c>
      <c r="P517" s="46" t="s">
        <v>147</v>
      </c>
      <c r="Q517" s="46" t="str">
        <f t="shared" si="1"/>
        <v>August, 2013</v>
      </c>
      <c r="R517" s="115">
        <f t="shared" si="2"/>
        <v>41487</v>
      </c>
      <c r="S517" s="49">
        <f t="array" ref="S517">WEEKDAY(D517,2)</f>
        <v>1</v>
      </c>
      <c r="T517" s="46" t="s">
        <v>138</v>
      </c>
      <c r="U517" s="46" t="str">
        <f t="array" ref="U517">TEXT(D517,"dddd")</f>
        <v>Monday</v>
      </c>
    </row>
    <row r="518" hidden="1">
      <c r="A518" s="46">
        <v>4.44798934E8</v>
      </c>
      <c r="B518" s="137" t="s">
        <v>227</v>
      </c>
      <c r="C518" s="137">
        <v>2014.0</v>
      </c>
      <c r="D518" s="138">
        <v>41643.0</v>
      </c>
      <c r="E518" s="139">
        <v>41659.0</v>
      </c>
      <c r="F518" s="142" t="s">
        <v>227</v>
      </c>
      <c r="G518" s="142">
        <v>2014.0</v>
      </c>
      <c r="H518" s="46">
        <v>7940.0</v>
      </c>
      <c r="I518" s="46">
        <v>4744.0</v>
      </c>
      <c r="J518" s="84">
        <v>3170272.88</v>
      </c>
      <c r="K518" s="84">
        <v>2384049.7600000002</v>
      </c>
      <c r="L518" s="84">
        <v>786223.1199999996</v>
      </c>
      <c r="M518" s="46" t="s">
        <v>148</v>
      </c>
      <c r="N518" s="46" t="s">
        <v>186</v>
      </c>
      <c r="O518" s="46" t="s">
        <v>146</v>
      </c>
      <c r="P518" s="46" t="s">
        <v>147</v>
      </c>
      <c r="Q518" s="46" t="str">
        <f t="shared" si="1"/>
        <v>January, 2014</v>
      </c>
      <c r="R518" s="115">
        <f t="shared" si="2"/>
        <v>41640</v>
      </c>
      <c r="S518" s="49">
        <f t="array" ref="S518">WEEKDAY(D518,2)</f>
        <v>6</v>
      </c>
      <c r="T518" s="46" t="s">
        <v>115</v>
      </c>
      <c r="U518" s="46" t="str">
        <f t="array" ref="U518">TEXT(D518,"dddd")</f>
        <v>Saturday</v>
      </c>
    </row>
    <row r="519" hidden="1">
      <c r="A519" s="46">
        <v>4.4480623E8</v>
      </c>
      <c r="B519" s="137" t="s">
        <v>228</v>
      </c>
      <c r="C519" s="137">
        <v>2013.0</v>
      </c>
      <c r="D519" s="138">
        <v>41321.0</v>
      </c>
      <c r="E519" s="139">
        <v>41365.0</v>
      </c>
      <c r="F519" s="142" t="s">
        <v>223</v>
      </c>
      <c r="G519" s="142">
        <v>2013.0</v>
      </c>
      <c r="H519" s="46">
        <v>2103.0</v>
      </c>
      <c r="I519" s="46">
        <v>6903.0</v>
      </c>
      <c r="J519" s="84">
        <v>1419947.0999999999</v>
      </c>
      <c r="K519" s="84">
        <v>808410.33</v>
      </c>
      <c r="L519" s="84">
        <v>611536.7699999999</v>
      </c>
      <c r="M519" s="46" t="s">
        <v>144</v>
      </c>
      <c r="N519" s="46" t="s">
        <v>184</v>
      </c>
      <c r="O519" s="46" t="s">
        <v>146</v>
      </c>
      <c r="P519" s="46" t="s">
        <v>155</v>
      </c>
      <c r="Q519" s="46" t="str">
        <f t="shared" si="1"/>
        <v>February, 2013</v>
      </c>
      <c r="R519" s="115">
        <f t="shared" si="2"/>
        <v>41306</v>
      </c>
      <c r="S519" s="49">
        <f t="array" ref="S519">WEEKDAY(D519,2)</f>
        <v>6</v>
      </c>
      <c r="T519" s="46" t="s">
        <v>114</v>
      </c>
      <c r="U519" s="46" t="str">
        <f t="array" ref="U519">TEXT(D519,"dddd")</f>
        <v>Saturday</v>
      </c>
    </row>
    <row r="520" hidden="1">
      <c r="A520" s="46">
        <v>4.45273578E8</v>
      </c>
      <c r="B520" s="137" t="s">
        <v>224</v>
      </c>
      <c r="C520" s="137">
        <v>2011.0</v>
      </c>
      <c r="D520" s="138">
        <v>40876.0</v>
      </c>
      <c r="E520" s="139">
        <v>40917.0</v>
      </c>
      <c r="F520" s="142" t="s">
        <v>227</v>
      </c>
      <c r="G520" s="142">
        <v>2012.0</v>
      </c>
      <c r="H520" s="46">
        <v>8681.0</v>
      </c>
      <c r="I520" s="46">
        <v>5201.0</v>
      </c>
      <c r="J520" s="84">
        <v>3386943.21</v>
      </c>
      <c r="K520" s="84">
        <v>2730316.96</v>
      </c>
      <c r="L520" s="84">
        <v>656626.25</v>
      </c>
      <c r="M520" s="46" t="s">
        <v>153</v>
      </c>
      <c r="N520" s="46" t="s">
        <v>201</v>
      </c>
      <c r="O520" s="46" t="s">
        <v>146</v>
      </c>
      <c r="P520" s="46" t="s">
        <v>170</v>
      </c>
      <c r="Q520" s="46" t="str">
        <f t="shared" si="1"/>
        <v>November, 2011</v>
      </c>
      <c r="R520" s="115">
        <f t="shared" si="2"/>
        <v>40848</v>
      </c>
      <c r="S520" s="49">
        <f t="array" ref="S520">WEEKDAY(D520,2)</f>
        <v>2</v>
      </c>
      <c r="T520" s="46" t="s">
        <v>130</v>
      </c>
      <c r="U520" s="46" t="str">
        <f t="array" ref="U520">TEXT(D520,"dddd")</f>
        <v>Tuesday</v>
      </c>
    </row>
    <row r="521" hidden="1">
      <c r="A521" s="46">
        <v>4.45708739E8</v>
      </c>
      <c r="B521" s="137" t="s">
        <v>228</v>
      </c>
      <c r="C521" s="137">
        <v>2014.0</v>
      </c>
      <c r="D521" s="138">
        <v>41689.0</v>
      </c>
      <c r="E521" s="139">
        <v>41697.0</v>
      </c>
      <c r="F521" s="142" t="s">
        <v>228</v>
      </c>
      <c r="G521" s="142">
        <v>2014.0</v>
      </c>
      <c r="H521" s="46">
        <v>3127.0</v>
      </c>
      <c r="I521" s="46">
        <v>3975.0</v>
      </c>
      <c r="J521" s="84">
        <v>324876.75</v>
      </c>
      <c r="K521" s="84">
        <v>225263.25</v>
      </c>
      <c r="L521" s="84">
        <v>99613.5</v>
      </c>
      <c r="M521" s="46" t="s">
        <v>185</v>
      </c>
      <c r="N521" s="46" t="s">
        <v>180</v>
      </c>
      <c r="O521" s="46" t="s">
        <v>146</v>
      </c>
      <c r="P521" s="46" t="s">
        <v>147</v>
      </c>
      <c r="Q521" s="46" t="str">
        <f t="shared" si="1"/>
        <v>February, 2014</v>
      </c>
      <c r="R521" s="115">
        <f t="shared" si="2"/>
        <v>41671</v>
      </c>
      <c r="S521" s="49">
        <f t="array" ref="S521">WEEKDAY(D521,2)</f>
        <v>3</v>
      </c>
      <c r="T521" s="46" t="s">
        <v>112</v>
      </c>
      <c r="U521" s="46" t="str">
        <f t="array" ref="U521">TEXT(D521,"dddd")</f>
        <v>Wednesday</v>
      </c>
    </row>
    <row r="522" hidden="1">
      <c r="A522" s="46">
        <v>4.45952498E8</v>
      </c>
      <c r="B522" s="137" t="s">
        <v>220</v>
      </c>
      <c r="C522" s="137">
        <v>2015.0</v>
      </c>
      <c r="D522" s="138">
        <v>42161.0</v>
      </c>
      <c r="E522" s="139">
        <v>42192.0</v>
      </c>
      <c r="F522" s="142" t="s">
        <v>217</v>
      </c>
      <c r="G522" s="142">
        <v>2015.0</v>
      </c>
      <c r="H522" s="46">
        <v>2103.0</v>
      </c>
      <c r="I522" s="46">
        <v>6109.0</v>
      </c>
      <c r="J522" s="84">
        <v>1256621.3</v>
      </c>
      <c r="K522" s="84">
        <v>715424.99</v>
      </c>
      <c r="L522" s="84">
        <v>541196.31</v>
      </c>
      <c r="M522" s="46" t="s">
        <v>144</v>
      </c>
      <c r="N522" s="46" t="s">
        <v>183</v>
      </c>
      <c r="O522" s="46" t="s">
        <v>146</v>
      </c>
      <c r="P522" s="46" t="s">
        <v>170</v>
      </c>
      <c r="Q522" s="46" t="str">
        <f t="shared" si="1"/>
        <v>June, 2015</v>
      </c>
      <c r="R522" s="115">
        <f t="shared" si="2"/>
        <v>42156</v>
      </c>
      <c r="S522" s="49">
        <f t="array" ref="S522">WEEKDAY(D522,2)</f>
        <v>6</v>
      </c>
      <c r="T522" s="46" t="s">
        <v>90</v>
      </c>
      <c r="U522" s="46" t="str">
        <f t="array" ref="U522">TEXT(D522,"dddd")</f>
        <v>Saturday</v>
      </c>
    </row>
    <row r="523" hidden="1">
      <c r="A523" s="46">
        <v>4.46019017E8</v>
      </c>
      <c r="B523" s="137" t="s">
        <v>224</v>
      </c>
      <c r="C523" s="137">
        <v>2011.0</v>
      </c>
      <c r="D523" s="138">
        <v>40853.0</v>
      </c>
      <c r="E523" s="139">
        <v>40872.0</v>
      </c>
      <c r="F523" s="142" t="s">
        <v>224</v>
      </c>
      <c r="G523" s="142">
        <v>2011.0</v>
      </c>
      <c r="H523" s="46">
        <v>5988.0</v>
      </c>
      <c r="I523" s="46">
        <v>5794.0</v>
      </c>
      <c r="J523" s="84">
        <v>892623.64</v>
      </c>
      <c r="K523" s="84">
        <v>526848.42</v>
      </c>
      <c r="L523" s="84">
        <v>365775.22</v>
      </c>
      <c r="M523" s="46" t="s">
        <v>159</v>
      </c>
      <c r="N523" s="46" t="s">
        <v>181</v>
      </c>
      <c r="O523" s="46" t="s">
        <v>146</v>
      </c>
      <c r="P523" s="46" t="s">
        <v>155</v>
      </c>
      <c r="Q523" s="46" t="str">
        <f t="shared" si="1"/>
        <v>November, 2011</v>
      </c>
      <c r="R523" s="115">
        <f t="shared" si="2"/>
        <v>40848</v>
      </c>
      <c r="S523" s="49">
        <f t="array" ref="S523">WEEKDAY(D523,2)</f>
        <v>7</v>
      </c>
      <c r="T523" s="46" t="s">
        <v>113</v>
      </c>
      <c r="U523" s="46" t="str">
        <f t="array" ref="U523">TEXT(D523,"dddd")</f>
        <v>Sunday</v>
      </c>
    </row>
    <row r="524" hidden="1">
      <c r="A524" s="46">
        <v>4.46045196E8</v>
      </c>
      <c r="B524" s="137" t="s">
        <v>226</v>
      </c>
      <c r="C524" s="137">
        <v>2015.0</v>
      </c>
      <c r="D524" s="138">
        <v>42301.0</v>
      </c>
      <c r="E524" s="139">
        <v>42309.0</v>
      </c>
      <c r="F524" s="142" t="s">
        <v>224</v>
      </c>
      <c r="G524" s="142">
        <v>2015.0</v>
      </c>
      <c r="H524" s="46">
        <v>4594.0</v>
      </c>
      <c r="I524" s="46">
        <v>3540.0</v>
      </c>
      <c r="J524" s="84">
        <v>33028.2</v>
      </c>
      <c r="K524" s="84">
        <v>24496.8</v>
      </c>
      <c r="L524" s="84">
        <v>8531.399999999998</v>
      </c>
      <c r="M524" s="46" t="s">
        <v>156</v>
      </c>
      <c r="N524" s="46" t="s">
        <v>160</v>
      </c>
      <c r="O524" s="46" t="s">
        <v>146</v>
      </c>
      <c r="P524" s="46" t="s">
        <v>147</v>
      </c>
      <c r="Q524" s="46" t="str">
        <f t="shared" si="1"/>
        <v>October, 2015</v>
      </c>
      <c r="R524" s="115">
        <f t="shared" si="2"/>
        <v>42278</v>
      </c>
      <c r="S524" s="49">
        <f t="array" ref="S524">WEEKDAY(D524,2)</f>
        <v>6</v>
      </c>
      <c r="T524" s="46" t="s">
        <v>98</v>
      </c>
      <c r="U524" s="46" t="str">
        <f t="array" ref="U524">TEXT(D524,"dddd")</f>
        <v>Saturday</v>
      </c>
    </row>
    <row r="525" hidden="1">
      <c r="A525" s="46">
        <v>4.4718331E8</v>
      </c>
      <c r="B525" s="137" t="s">
        <v>216</v>
      </c>
      <c r="C525" s="137">
        <v>2014.0</v>
      </c>
      <c r="D525" s="138">
        <v>41873.0</v>
      </c>
      <c r="E525" s="139">
        <v>41901.0</v>
      </c>
      <c r="F525" s="142" t="s">
        <v>221</v>
      </c>
      <c r="G525" s="142">
        <v>2014.0</v>
      </c>
      <c r="H525" s="46">
        <v>8293.0</v>
      </c>
      <c r="I525" s="46">
        <v>334.0</v>
      </c>
      <c r="J525" s="84">
        <v>146024.8</v>
      </c>
      <c r="K525" s="84">
        <v>87952.22</v>
      </c>
      <c r="L525" s="84">
        <v>58072.57999999999</v>
      </c>
      <c r="M525" s="46" t="s">
        <v>178</v>
      </c>
      <c r="N525" s="46" t="s">
        <v>191</v>
      </c>
      <c r="O525" s="46" t="s">
        <v>146</v>
      </c>
      <c r="P525" s="46" t="s">
        <v>147</v>
      </c>
      <c r="Q525" s="46" t="str">
        <f t="shared" si="1"/>
        <v>August, 2014</v>
      </c>
      <c r="R525" s="115">
        <f t="shared" si="2"/>
        <v>41852</v>
      </c>
      <c r="S525" s="49">
        <f t="array" ref="S525">WEEKDAY(D525,2)</f>
        <v>5</v>
      </c>
      <c r="T525" s="46" t="s">
        <v>120</v>
      </c>
      <c r="U525" s="46" t="str">
        <f t="array" ref="U525">TEXT(D525,"dddd")</f>
        <v>Friday</v>
      </c>
    </row>
    <row r="526" hidden="1">
      <c r="A526" s="46">
        <v>4.47536504E8</v>
      </c>
      <c r="B526" s="137" t="s">
        <v>223</v>
      </c>
      <c r="C526" s="137">
        <v>2010.0</v>
      </c>
      <c r="D526" s="138">
        <v>40282.0</v>
      </c>
      <c r="E526" s="139">
        <v>40293.0</v>
      </c>
      <c r="F526" s="142" t="s">
        <v>223</v>
      </c>
      <c r="G526" s="142">
        <v>2010.0</v>
      </c>
      <c r="H526" s="46">
        <v>8875.0</v>
      </c>
      <c r="I526" s="46">
        <v>4852.0</v>
      </c>
      <c r="J526" s="84">
        <v>2047010.28</v>
      </c>
      <c r="K526" s="84">
        <v>1769475.88</v>
      </c>
      <c r="L526" s="84">
        <v>277534.40000000014</v>
      </c>
      <c r="M526" s="46" t="s">
        <v>167</v>
      </c>
      <c r="N526" s="46" t="s">
        <v>145</v>
      </c>
      <c r="O526" s="46" t="s">
        <v>146</v>
      </c>
      <c r="P526" s="46" t="s">
        <v>147</v>
      </c>
      <c r="Q526" s="46" t="str">
        <f t="shared" si="1"/>
        <v>April, 2010</v>
      </c>
      <c r="R526" s="115">
        <f t="shared" si="2"/>
        <v>40269</v>
      </c>
      <c r="S526" s="49">
        <f t="array" ref="S526">WEEKDAY(D526,2)</f>
        <v>3</v>
      </c>
      <c r="T526" s="46" t="s">
        <v>91</v>
      </c>
      <c r="U526" s="46" t="str">
        <f t="array" ref="U526">TEXT(D526,"dddd")</f>
        <v>Wednesday</v>
      </c>
    </row>
    <row r="527" hidden="1">
      <c r="A527" s="46">
        <v>4.47684133E8</v>
      </c>
      <c r="B527" s="137" t="s">
        <v>217</v>
      </c>
      <c r="C527" s="137">
        <v>2016.0</v>
      </c>
      <c r="D527" s="138">
        <v>42554.0</v>
      </c>
      <c r="E527" s="139">
        <v>42596.0</v>
      </c>
      <c r="F527" s="142" t="s">
        <v>216</v>
      </c>
      <c r="G527" s="142">
        <v>2016.0</v>
      </c>
      <c r="H527" s="46">
        <v>8969.0</v>
      </c>
      <c r="I527" s="46">
        <v>8538.0</v>
      </c>
      <c r="J527" s="84">
        <v>1302728.04</v>
      </c>
      <c r="K527" s="84">
        <v>831942.72</v>
      </c>
      <c r="L527" s="84">
        <v>470785.32000000007</v>
      </c>
      <c r="M527" s="46" t="s">
        <v>182</v>
      </c>
      <c r="N527" s="46" t="s">
        <v>157</v>
      </c>
      <c r="O527" s="46" t="s">
        <v>146</v>
      </c>
      <c r="P527" s="46" t="s">
        <v>158</v>
      </c>
      <c r="Q527" s="46" t="str">
        <f t="shared" si="1"/>
        <v>July, 2016</v>
      </c>
      <c r="R527" s="115">
        <f t="shared" si="2"/>
        <v>42552</v>
      </c>
      <c r="S527" s="49">
        <f t="array" ref="S527">WEEKDAY(D527,2)</f>
        <v>7</v>
      </c>
      <c r="T527" s="46" t="s">
        <v>97</v>
      </c>
      <c r="U527" s="46" t="str">
        <f t="array" ref="U527">TEXT(D527,"dddd")</f>
        <v>Sunday</v>
      </c>
    </row>
    <row r="528" hidden="1">
      <c r="A528" s="46">
        <v>4.4920634E8</v>
      </c>
      <c r="B528" s="137" t="s">
        <v>228</v>
      </c>
      <c r="C528" s="137">
        <v>2016.0</v>
      </c>
      <c r="D528" s="138">
        <v>42426.0</v>
      </c>
      <c r="E528" s="139">
        <v>42463.0</v>
      </c>
      <c r="F528" s="142" t="s">
        <v>223</v>
      </c>
      <c r="G528" s="142">
        <v>2016.0</v>
      </c>
      <c r="H528" s="46">
        <v>2103.0</v>
      </c>
      <c r="I528" s="46">
        <v>8993.0</v>
      </c>
      <c r="J528" s="84">
        <v>1849860.0999999999</v>
      </c>
      <c r="K528" s="84">
        <v>1053170.23</v>
      </c>
      <c r="L528" s="84">
        <v>796689.8699999999</v>
      </c>
      <c r="M528" s="46" t="s">
        <v>144</v>
      </c>
      <c r="N528" s="46" t="s">
        <v>157</v>
      </c>
      <c r="O528" s="46" t="s">
        <v>146</v>
      </c>
      <c r="P528" s="46" t="s">
        <v>158</v>
      </c>
      <c r="Q528" s="46" t="str">
        <f t="shared" si="1"/>
        <v>February, 2016</v>
      </c>
      <c r="R528" s="115">
        <f t="shared" si="2"/>
        <v>42401</v>
      </c>
      <c r="S528" s="49">
        <f t="array" ref="S528">WEEKDAY(D528,2)</f>
        <v>5</v>
      </c>
      <c r="T528" s="46" t="s">
        <v>97</v>
      </c>
      <c r="U528" s="46" t="str">
        <f t="array" ref="U528">TEXT(D528,"dddd")</f>
        <v>Friday</v>
      </c>
    </row>
    <row r="529" hidden="1">
      <c r="A529" s="46">
        <v>4.50041043E8</v>
      </c>
      <c r="B529" s="137" t="s">
        <v>222</v>
      </c>
      <c r="C529" s="137">
        <v>2014.0</v>
      </c>
      <c r="D529" s="138">
        <v>41718.0</v>
      </c>
      <c r="E529" s="139">
        <v>41745.0</v>
      </c>
      <c r="F529" s="142" t="s">
        <v>223</v>
      </c>
      <c r="G529" s="142">
        <v>2014.0</v>
      </c>
      <c r="H529" s="46">
        <v>8293.0</v>
      </c>
      <c r="I529" s="46">
        <v>6000.0</v>
      </c>
      <c r="J529" s="84">
        <v>2623200.0</v>
      </c>
      <c r="K529" s="84">
        <v>1579980.0</v>
      </c>
      <c r="L529" s="84">
        <v>1043220.0</v>
      </c>
      <c r="M529" s="46" t="s">
        <v>178</v>
      </c>
      <c r="N529" s="46" t="s">
        <v>186</v>
      </c>
      <c r="O529" s="46" t="s">
        <v>146</v>
      </c>
      <c r="P529" s="46" t="s">
        <v>147</v>
      </c>
      <c r="Q529" s="46" t="str">
        <f t="shared" si="1"/>
        <v>March, 2014</v>
      </c>
      <c r="R529" s="115">
        <f t="shared" si="2"/>
        <v>41699</v>
      </c>
      <c r="S529" s="49">
        <f t="array" ref="S529">WEEKDAY(D529,2)</f>
        <v>4</v>
      </c>
      <c r="T529" s="46" t="s">
        <v>115</v>
      </c>
      <c r="U529" s="46" t="str">
        <f t="array" ref="U529">TEXT(D529,"dddd")</f>
        <v>Thursday</v>
      </c>
    </row>
    <row r="530" hidden="1">
      <c r="A530" s="46">
        <v>4.50550019E8</v>
      </c>
      <c r="B530" s="137" t="s">
        <v>225</v>
      </c>
      <c r="C530" s="137">
        <v>2011.0</v>
      </c>
      <c r="D530" s="138">
        <v>40901.0</v>
      </c>
      <c r="E530" s="139">
        <v>40910.0</v>
      </c>
      <c r="F530" s="142" t="s">
        <v>227</v>
      </c>
      <c r="G530" s="142">
        <v>2012.0</v>
      </c>
      <c r="H530" s="46">
        <v>7331.0</v>
      </c>
      <c r="I530" s="46">
        <v>6618.0</v>
      </c>
      <c r="J530" s="84">
        <v>1689443.04</v>
      </c>
      <c r="K530" s="84">
        <v>1055041.5599999998</v>
      </c>
      <c r="L530" s="84">
        <v>634401.4800000002</v>
      </c>
      <c r="M530" s="46" t="s">
        <v>161</v>
      </c>
      <c r="N530" s="46" t="s">
        <v>179</v>
      </c>
      <c r="O530" s="46" t="s">
        <v>146</v>
      </c>
      <c r="P530" s="46" t="s">
        <v>155</v>
      </c>
      <c r="Q530" s="46" t="str">
        <f t="shared" si="1"/>
        <v>December, 2011</v>
      </c>
      <c r="R530" s="115">
        <f t="shared" si="2"/>
        <v>40878</v>
      </c>
      <c r="S530" s="49">
        <f t="array" ref="S530">WEEKDAY(D530,2)</f>
        <v>6</v>
      </c>
      <c r="T530" s="46" t="s">
        <v>111</v>
      </c>
      <c r="U530" s="46" t="str">
        <f t="array" ref="U530">TEXT(D530,"dddd")</f>
        <v>Saturday</v>
      </c>
    </row>
    <row r="531" hidden="1">
      <c r="A531" s="46">
        <v>4.52471768E8</v>
      </c>
      <c r="B531" s="137" t="s">
        <v>227</v>
      </c>
      <c r="C531" s="137">
        <v>2015.0</v>
      </c>
      <c r="D531" s="138">
        <v>42018.0</v>
      </c>
      <c r="E531" s="139">
        <v>42045.0</v>
      </c>
      <c r="F531" s="142" t="s">
        <v>228</v>
      </c>
      <c r="G531" s="142">
        <v>2015.0</v>
      </c>
      <c r="H531" s="46">
        <v>4594.0</v>
      </c>
      <c r="I531" s="46">
        <v>5306.0</v>
      </c>
      <c r="J531" s="84">
        <v>49504.98</v>
      </c>
      <c r="K531" s="84">
        <v>36717.52</v>
      </c>
      <c r="L531" s="84">
        <v>12787.460000000006</v>
      </c>
      <c r="M531" s="46" t="s">
        <v>156</v>
      </c>
      <c r="N531" s="46" t="s">
        <v>203</v>
      </c>
      <c r="O531" s="46" t="s">
        <v>146</v>
      </c>
      <c r="P531" s="46" t="s">
        <v>170</v>
      </c>
      <c r="Q531" s="46" t="str">
        <f t="shared" si="1"/>
        <v>January, 2015</v>
      </c>
      <c r="R531" s="115">
        <f t="shared" si="2"/>
        <v>42005</v>
      </c>
      <c r="S531" s="49">
        <f t="array" ref="S531">WEEKDAY(D531,2)</f>
        <v>3</v>
      </c>
      <c r="T531" s="46" t="s">
        <v>132</v>
      </c>
      <c r="U531" s="46" t="str">
        <f t="array" ref="U531">TEXT(D531,"dddd")</f>
        <v>Wednesday</v>
      </c>
    </row>
    <row r="532">
      <c r="A532" s="46">
        <v>4.52559745E8</v>
      </c>
      <c r="B532" s="137" t="s">
        <v>222</v>
      </c>
      <c r="C532" s="137">
        <v>2014.0</v>
      </c>
      <c r="D532" s="138">
        <v>41716.0</v>
      </c>
      <c r="E532" s="139">
        <v>41717.0</v>
      </c>
      <c r="F532" s="142" t="s">
        <v>222</v>
      </c>
      <c r="G532" s="142">
        <v>2014.0</v>
      </c>
      <c r="H532" s="46">
        <v>5988.0</v>
      </c>
      <c r="I532" s="46">
        <v>1340.0</v>
      </c>
      <c r="J532" s="84">
        <v>206440.4</v>
      </c>
      <c r="K532" s="84">
        <v>121846.20000000001</v>
      </c>
      <c r="L532" s="84">
        <v>84594.19999999998</v>
      </c>
      <c r="M532" s="46" t="s">
        <v>159</v>
      </c>
      <c r="N532" s="46" t="s">
        <v>149</v>
      </c>
      <c r="O532" s="46" t="s">
        <v>149</v>
      </c>
      <c r="P532" s="46" t="s">
        <v>218</v>
      </c>
      <c r="Q532" s="46" t="str">
        <f t="shared" si="1"/>
        <v>March, 2014</v>
      </c>
      <c r="R532" s="115">
        <f t="shared" si="2"/>
        <v>41699</v>
      </c>
      <c r="S532" s="49">
        <f t="array" ref="S532">WEEKDAY(D532,2)</f>
        <v>2</v>
      </c>
      <c r="T532" s="46" t="s">
        <v>92</v>
      </c>
      <c r="U532" s="46" t="str">
        <f t="array" ref="U532">TEXT(D532,"dddd")</f>
        <v>Tuesday</v>
      </c>
    </row>
    <row r="533" hidden="1">
      <c r="A533" s="46">
        <v>4.54550588E8</v>
      </c>
      <c r="B533" s="137" t="s">
        <v>216</v>
      </c>
      <c r="C533" s="137">
        <v>2011.0</v>
      </c>
      <c r="D533" s="138">
        <v>40761.0</v>
      </c>
      <c r="E533" s="139">
        <v>40792.0</v>
      </c>
      <c r="F533" s="142" t="s">
        <v>221</v>
      </c>
      <c r="G533" s="142">
        <v>2011.0</v>
      </c>
      <c r="H533" s="46">
        <v>2103.0</v>
      </c>
      <c r="I533" s="46">
        <v>475.0</v>
      </c>
      <c r="J533" s="84">
        <v>97707.5</v>
      </c>
      <c r="K533" s="84">
        <v>55627.25</v>
      </c>
      <c r="L533" s="84">
        <v>42080.25</v>
      </c>
      <c r="M533" s="46" t="s">
        <v>144</v>
      </c>
      <c r="N533" s="46" t="s">
        <v>173</v>
      </c>
      <c r="O533" s="46" t="s">
        <v>146</v>
      </c>
      <c r="P533" s="46" t="s">
        <v>155</v>
      </c>
      <c r="Q533" s="46" t="str">
        <f t="shared" si="1"/>
        <v>August, 2011</v>
      </c>
      <c r="R533" s="115">
        <f t="shared" si="2"/>
        <v>40756</v>
      </c>
      <c r="S533" s="49">
        <f t="array" ref="S533">WEEKDAY(D533,2)</f>
        <v>6</v>
      </c>
      <c r="T533" s="46" t="s">
        <v>106</v>
      </c>
      <c r="U533" s="46" t="str">
        <f t="array" ref="U533">TEXT(D533,"dddd")</f>
        <v>Saturday</v>
      </c>
    </row>
    <row r="534" hidden="1">
      <c r="A534" s="46">
        <v>4.55040681E8</v>
      </c>
      <c r="B534" s="137" t="s">
        <v>228</v>
      </c>
      <c r="C534" s="137">
        <v>2012.0</v>
      </c>
      <c r="D534" s="138">
        <v>40940.0</v>
      </c>
      <c r="E534" s="139">
        <v>40941.0</v>
      </c>
      <c r="F534" s="142" t="s">
        <v>228</v>
      </c>
      <c r="G534" s="142">
        <v>2012.0</v>
      </c>
      <c r="H534" s="46">
        <v>5988.0</v>
      </c>
      <c r="I534" s="46">
        <v>5504.0</v>
      </c>
      <c r="J534" s="84">
        <v>847946.24</v>
      </c>
      <c r="K534" s="84">
        <v>500478.72000000003</v>
      </c>
      <c r="L534" s="84">
        <v>347467.51999999996</v>
      </c>
      <c r="M534" s="46" t="s">
        <v>159</v>
      </c>
      <c r="N534" s="46" t="s">
        <v>157</v>
      </c>
      <c r="O534" s="46" t="s">
        <v>146</v>
      </c>
      <c r="P534" s="46" t="s">
        <v>158</v>
      </c>
      <c r="Q534" s="46" t="str">
        <f t="shared" si="1"/>
        <v>February, 2012</v>
      </c>
      <c r="R534" s="115">
        <f t="shared" si="2"/>
        <v>40940</v>
      </c>
      <c r="S534" s="49">
        <f t="array" ref="S534">WEEKDAY(D534,2)</f>
        <v>3</v>
      </c>
      <c r="T534" s="46" t="s">
        <v>97</v>
      </c>
      <c r="U534" s="46" t="str">
        <f t="array" ref="U534">TEXT(D534,"dddd")</f>
        <v>Wednesday</v>
      </c>
    </row>
    <row r="535" hidden="1">
      <c r="A535" s="46">
        <v>4.56192958E8</v>
      </c>
      <c r="B535" s="137" t="s">
        <v>217</v>
      </c>
      <c r="C535" s="137">
        <v>2014.0</v>
      </c>
      <c r="D535" s="138">
        <v>41839.0</v>
      </c>
      <c r="E535" s="139">
        <v>41869.0</v>
      </c>
      <c r="F535" s="142" t="s">
        <v>216</v>
      </c>
      <c r="G535" s="142">
        <v>2014.0</v>
      </c>
      <c r="H535" s="46">
        <v>3127.0</v>
      </c>
      <c r="I535" s="46">
        <v>6489.0</v>
      </c>
      <c r="J535" s="84">
        <v>530345.97</v>
      </c>
      <c r="K535" s="84">
        <v>367731.63</v>
      </c>
      <c r="L535" s="84">
        <v>162614.33999999997</v>
      </c>
      <c r="M535" s="46" t="s">
        <v>185</v>
      </c>
      <c r="N535" s="46" t="s">
        <v>190</v>
      </c>
      <c r="O535" s="46" t="s">
        <v>146</v>
      </c>
      <c r="P535" s="46" t="s">
        <v>147</v>
      </c>
      <c r="Q535" s="46" t="str">
        <f t="shared" si="1"/>
        <v>July, 2014</v>
      </c>
      <c r="R535" s="115">
        <f t="shared" si="2"/>
        <v>41821</v>
      </c>
      <c r="S535" s="49">
        <f t="array" ref="S535">WEEKDAY(D535,2)</f>
        <v>6</v>
      </c>
      <c r="T535" s="46" t="s">
        <v>119</v>
      </c>
      <c r="U535" s="46" t="str">
        <f t="array" ref="U535">TEXT(D535,"dddd")</f>
        <v>Saturday</v>
      </c>
    </row>
    <row r="536" hidden="1">
      <c r="A536" s="46">
        <v>4.56527268E8</v>
      </c>
      <c r="B536" s="137" t="s">
        <v>225</v>
      </c>
      <c r="C536" s="137">
        <v>2012.0</v>
      </c>
      <c r="D536" s="138">
        <v>41244.0</v>
      </c>
      <c r="E536" s="139">
        <v>41245.0</v>
      </c>
      <c r="F536" s="142" t="s">
        <v>225</v>
      </c>
      <c r="G536" s="142">
        <v>2012.0</v>
      </c>
      <c r="H536" s="46">
        <v>8681.0</v>
      </c>
      <c r="I536" s="46">
        <v>5419.0</v>
      </c>
      <c r="J536" s="84">
        <v>3528906.99</v>
      </c>
      <c r="K536" s="84">
        <v>2844758.24</v>
      </c>
      <c r="L536" s="84">
        <v>684148.75</v>
      </c>
      <c r="M536" s="46" t="s">
        <v>153</v>
      </c>
      <c r="N536" s="46" t="s">
        <v>176</v>
      </c>
      <c r="O536" s="46" t="s">
        <v>146</v>
      </c>
      <c r="P536" s="46" t="s">
        <v>158</v>
      </c>
      <c r="Q536" s="46" t="str">
        <f t="shared" si="1"/>
        <v>December, 2012</v>
      </c>
      <c r="R536" s="115">
        <f t="shared" si="2"/>
        <v>41244</v>
      </c>
      <c r="S536" s="49">
        <f t="array" ref="S536">WEEKDAY(D536,2)</f>
        <v>6</v>
      </c>
      <c r="T536" s="46" t="s">
        <v>109</v>
      </c>
      <c r="U536" s="46" t="str">
        <f t="array" ref="U536">TEXT(D536,"dddd")</f>
        <v>Saturday</v>
      </c>
    </row>
    <row r="537" hidden="1">
      <c r="A537" s="46">
        <v>4.56934964E8</v>
      </c>
      <c r="B537" s="137" t="s">
        <v>222</v>
      </c>
      <c r="C537" s="137">
        <v>2012.0</v>
      </c>
      <c r="D537" s="138">
        <v>40991.0</v>
      </c>
      <c r="E537" s="139">
        <v>41034.0</v>
      </c>
      <c r="F537" s="142" t="s">
        <v>219</v>
      </c>
      <c r="G537" s="142">
        <v>2012.0</v>
      </c>
      <c r="H537" s="46">
        <v>8875.0</v>
      </c>
      <c r="I537" s="46">
        <v>6065.0</v>
      </c>
      <c r="J537" s="84">
        <v>2558762.85</v>
      </c>
      <c r="K537" s="84">
        <v>2211844.85</v>
      </c>
      <c r="L537" s="84">
        <v>346918.0</v>
      </c>
      <c r="M537" s="46" t="s">
        <v>167</v>
      </c>
      <c r="N537" s="46" t="s">
        <v>191</v>
      </c>
      <c r="O537" s="46" t="s">
        <v>146</v>
      </c>
      <c r="P537" s="46" t="s">
        <v>147</v>
      </c>
      <c r="Q537" s="46" t="str">
        <f t="shared" si="1"/>
        <v>March, 2012</v>
      </c>
      <c r="R537" s="115">
        <f t="shared" si="2"/>
        <v>40969</v>
      </c>
      <c r="S537" s="49">
        <f t="array" ref="S537">WEEKDAY(D537,2)</f>
        <v>5</v>
      </c>
      <c r="T537" s="46" t="s">
        <v>120</v>
      </c>
      <c r="U537" s="46" t="str">
        <f t="array" ref="U537">TEXT(D537,"dddd")</f>
        <v>Friday</v>
      </c>
    </row>
    <row r="538">
      <c r="A538" s="46">
        <v>4.58816373E8</v>
      </c>
      <c r="B538" s="137" t="s">
        <v>223</v>
      </c>
      <c r="C538" s="137">
        <v>2015.0</v>
      </c>
      <c r="D538" s="138">
        <v>42098.0</v>
      </c>
      <c r="E538" s="139">
        <v>42110.0</v>
      </c>
      <c r="F538" s="142" t="s">
        <v>223</v>
      </c>
      <c r="G538" s="142">
        <v>2015.0</v>
      </c>
      <c r="H538" s="46">
        <v>8681.0</v>
      </c>
      <c r="I538" s="46">
        <v>2815.0</v>
      </c>
      <c r="J538" s="84">
        <v>1833156.1500000001</v>
      </c>
      <c r="K538" s="84">
        <v>1477762.4000000001</v>
      </c>
      <c r="L538" s="84">
        <v>355393.75</v>
      </c>
      <c r="M538" s="46" t="s">
        <v>153</v>
      </c>
      <c r="N538" s="46" t="s">
        <v>149</v>
      </c>
      <c r="O538" s="46" t="s">
        <v>149</v>
      </c>
      <c r="P538" s="46" t="s">
        <v>218</v>
      </c>
      <c r="Q538" s="46" t="str">
        <f t="shared" si="1"/>
        <v>April, 2015</v>
      </c>
      <c r="R538" s="115">
        <f t="shared" si="2"/>
        <v>42095</v>
      </c>
      <c r="S538" s="49">
        <f t="array" ref="S538">WEEKDAY(D538,2)</f>
        <v>6</v>
      </c>
      <c r="T538" s="46" t="s">
        <v>92</v>
      </c>
      <c r="U538" s="46" t="str">
        <f t="array" ref="U538">TEXT(D538,"dddd")</f>
        <v>Saturday</v>
      </c>
    </row>
    <row r="539" hidden="1">
      <c r="A539" s="46">
        <v>4.59277713E8</v>
      </c>
      <c r="B539" s="137" t="s">
        <v>224</v>
      </c>
      <c r="C539" s="137">
        <v>2013.0</v>
      </c>
      <c r="D539" s="138">
        <v>41593.0</v>
      </c>
      <c r="E539" s="139">
        <v>41612.0</v>
      </c>
      <c r="F539" s="142" t="s">
        <v>225</v>
      </c>
      <c r="G539" s="142">
        <v>2013.0</v>
      </c>
      <c r="H539" s="46">
        <v>8875.0</v>
      </c>
      <c r="I539" s="46">
        <v>9336.0</v>
      </c>
      <c r="J539" s="84">
        <v>3938765.04</v>
      </c>
      <c r="K539" s="84">
        <v>3404745.84</v>
      </c>
      <c r="L539" s="84">
        <v>534019.2000000002</v>
      </c>
      <c r="M539" s="46" t="s">
        <v>167</v>
      </c>
      <c r="N539" s="46" t="s">
        <v>160</v>
      </c>
      <c r="O539" s="46" t="s">
        <v>146</v>
      </c>
      <c r="P539" s="46" t="s">
        <v>147</v>
      </c>
      <c r="Q539" s="46" t="str">
        <f t="shared" si="1"/>
        <v>November, 2013</v>
      </c>
      <c r="R539" s="115">
        <f t="shared" si="2"/>
        <v>41579</v>
      </c>
      <c r="S539" s="49">
        <f t="array" ref="S539">WEEKDAY(D539,2)</f>
        <v>5</v>
      </c>
      <c r="T539" s="46" t="s">
        <v>98</v>
      </c>
      <c r="U539" s="46" t="str">
        <f t="array" ref="U539">TEXT(D539,"dddd")</f>
        <v>Friday</v>
      </c>
    </row>
    <row r="540" hidden="1">
      <c r="A540" s="46">
        <v>4.59372985E8</v>
      </c>
      <c r="B540" s="137" t="s">
        <v>222</v>
      </c>
      <c r="C540" s="137">
        <v>2012.0</v>
      </c>
      <c r="D540" s="138">
        <v>40969.0</v>
      </c>
      <c r="E540" s="139">
        <v>40990.0</v>
      </c>
      <c r="F540" s="142" t="s">
        <v>222</v>
      </c>
      <c r="G540" s="142">
        <v>2012.0</v>
      </c>
      <c r="H540" s="46">
        <v>7331.0</v>
      </c>
      <c r="I540" s="46">
        <v>7529.0</v>
      </c>
      <c r="J540" s="84">
        <v>1922003.12</v>
      </c>
      <c r="K540" s="84">
        <v>1200273.18</v>
      </c>
      <c r="L540" s="84">
        <v>721729.9400000002</v>
      </c>
      <c r="M540" s="46" t="s">
        <v>161</v>
      </c>
      <c r="N540" s="46" t="s">
        <v>197</v>
      </c>
      <c r="O540" s="46" t="s">
        <v>146</v>
      </c>
      <c r="P540" s="46" t="s">
        <v>147</v>
      </c>
      <c r="Q540" s="46" t="str">
        <f t="shared" si="1"/>
        <v>March, 2012</v>
      </c>
      <c r="R540" s="115">
        <f t="shared" si="2"/>
        <v>40969</v>
      </c>
      <c r="S540" s="49">
        <f t="array" ref="S540">WEEKDAY(D540,2)</f>
        <v>4</v>
      </c>
      <c r="T540" s="46" t="s">
        <v>126</v>
      </c>
      <c r="U540" s="46" t="str">
        <f t="array" ref="U540">TEXT(D540,"dddd")</f>
        <v>Thursday</v>
      </c>
    </row>
    <row r="541" hidden="1">
      <c r="A541" s="46">
        <v>4.60693061E8</v>
      </c>
      <c r="B541" s="137" t="s">
        <v>227</v>
      </c>
      <c r="C541" s="137">
        <v>2017.0</v>
      </c>
      <c r="D541" s="138">
        <v>42763.0</v>
      </c>
      <c r="E541" s="139">
        <v>42791.0</v>
      </c>
      <c r="F541" s="142" t="s">
        <v>228</v>
      </c>
      <c r="G541" s="142">
        <v>2017.0</v>
      </c>
      <c r="H541" s="46">
        <v>4594.0</v>
      </c>
      <c r="I541" s="46">
        <v>8169.0</v>
      </c>
      <c r="J541" s="84">
        <v>76216.77</v>
      </c>
      <c r="K541" s="84">
        <v>56529.479999999996</v>
      </c>
      <c r="L541" s="84">
        <v>19687.290000000008</v>
      </c>
      <c r="M541" s="46" t="s">
        <v>156</v>
      </c>
      <c r="N541" s="46" t="s">
        <v>168</v>
      </c>
      <c r="O541" s="46" t="s">
        <v>165</v>
      </c>
      <c r="P541" s="46" t="s">
        <v>166</v>
      </c>
      <c r="Q541" s="46" t="str">
        <f t="shared" si="1"/>
        <v>January, 2017</v>
      </c>
      <c r="R541" s="115">
        <f t="shared" si="2"/>
        <v>42736</v>
      </c>
      <c r="S541" s="49">
        <f t="array" ref="S541">WEEKDAY(D541,2)</f>
        <v>6</v>
      </c>
      <c r="T541" s="46" t="s">
        <v>102</v>
      </c>
      <c r="U541" s="46" t="str">
        <f t="array" ref="U541">TEXT(D541,"dddd")</f>
        <v>Saturday</v>
      </c>
    </row>
    <row r="542">
      <c r="A542" s="46">
        <v>4.61445796E8</v>
      </c>
      <c r="B542" s="137" t="s">
        <v>228</v>
      </c>
      <c r="C542" s="137">
        <v>2016.0</v>
      </c>
      <c r="D542" s="138">
        <v>42417.0</v>
      </c>
      <c r="E542" s="139">
        <v>42451.0</v>
      </c>
      <c r="F542" s="142" t="s">
        <v>222</v>
      </c>
      <c r="G542" s="142">
        <v>2016.0</v>
      </c>
      <c r="H542" s="46">
        <v>3127.0</v>
      </c>
      <c r="I542" s="46">
        <v>920.0</v>
      </c>
      <c r="J542" s="84">
        <v>75191.6</v>
      </c>
      <c r="K542" s="84">
        <v>52136.4</v>
      </c>
      <c r="L542" s="84">
        <v>23055.200000000004</v>
      </c>
      <c r="M542" s="46" t="s">
        <v>185</v>
      </c>
      <c r="N542" s="46" t="s">
        <v>149</v>
      </c>
      <c r="O542" s="46" t="s">
        <v>149</v>
      </c>
      <c r="P542" s="46" t="s">
        <v>218</v>
      </c>
      <c r="Q542" s="46" t="str">
        <f t="shared" si="1"/>
        <v>February, 2016</v>
      </c>
      <c r="R542" s="115">
        <f t="shared" si="2"/>
        <v>42401</v>
      </c>
      <c r="S542" s="49">
        <f t="array" ref="S542">WEEKDAY(D542,2)</f>
        <v>3</v>
      </c>
      <c r="T542" s="46" t="s">
        <v>92</v>
      </c>
      <c r="U542" s="46" t="str">
        <f t="array" ref="U542">TEXT(D542,"dddd")</f>
        <v>Wednesday</v>
      </c>
    </row>
    <row r="543" hidden="1">
      <c r="A543" s="46">
        <v>4.61917865E8</v>
      </c>
      <c r="B543" s="137" t="s">
        <v>228</v>
      </c>
      <c r="C543" s="137">
        <v>2016.0</v>
      </c>
      <c r="D543" s="138">
        <v>42415.0</v>
      </c>
      <c r="E543" s="139">
        <v>42450.0</v>
      </c>
      <c r="F543" s="142" t="s">
        <v>222</v>
      </c>
      <c r="G543" s="142">
        <v>2016.0</v>
      </c>
      <c r="H543" s="46">
        <v>7331.0</v>
      </c>
      <c r="I543" s="46">
        <v>616.0</v>
      </c>
      <c r="J543" s="84">
        <v>157252.48</v>
      </c>
      <c r="K543" s="84">
        <v>98202.71999999999</v>
      </c>
      <c r="L543" s="84">
        <v>59049.760000000024</v>
      </c>
      <c r="M543" s="46" t="s">
        <v>161</v>
      </c>
      <c r="N543" s="46" t="s">
        <v>151</v>
      </c>
      <c r="O543" s="46" t="s">
        <v>146</v>
      </c>
      <c r="P543" s="46" t="s">
        <v>147</v>
      </c>
      <c r="Q543" s="46" t="str">
        <f t="shared" si="1"/>
        <v>February, 2016</v>
      </c>
      <c r="R543" s="115">
        <f t="shared" si="2"/>
        <v>42401</v>
      </c>
      <c r="S543" s="49">
        <f t="array" ref="S543">WEEKDAY(D543,2)</f>
        <v>1</v>
      </c>
      <c r="T543" s="46" t="s">
        <v>94</v>
      </c>
      <c r="U543" s="46" t="str">
        <f t="array" ref="U543">TEXT(D543,"dddd")</f>
        <v>Monday</v>
      </c>
    </row>
    <row r="544" hidden="1">
      <c r="A544" s="46">
        <v>4.62561166E8</v>
      </c>
      <c r="B544" s="137" t="s">
        <v>223</v>
      </c>
      <c r="C544" s="137">
        <v>2013.0</v>
      </c>
      <c r="D544" s="138">
        <v>41366.0</v>
      </c>
      <c r="E544" s="139">
        <v>41396.0</v>
      </c>
      <c r="F544" s="142" t="s">
        <v>219</v>
      </c>
      <c r="G544" s="142">
        <v>2013.0</v>
      </c>
      <c r="H544" s="46">
        <v>8875.0</v>
      </c>
      <c r="I544" s="46">
        <v>983.0</v>
      </c>
      <c r="J544" s="84">
        <v>414717.87</v>
      </c>
      <c r="K544" s="84">
        <v>358490.27</v>
      </c>
      <c r="L544" s="84">
        <v>56227.59999999998</v>
      </c>
      <c r="M544" s="46" t="s">
        <v>167</v>
      </c>
      <c r="N544" s="46" t="s">
        <v>160</v>
      </c>
      <c r="O544" s="46" t="s">
        <v>146</v>
      </c>
      <c r="P544" s="46" t="s">
        <v>147</v>
      </c>
      <c r="Q544" s="46" t="str">
        <f t="shared" si="1"/>
        <v>April, 2013</v>
      </c>
      <c r="R544" s="115">
        <f t="shared" si="2"/>
        <v>41365</v>
      </c>
      <c r="S544" s="49">
        <f t="array" ref="S544">WEEKDAY(D544,2)</f>
        <v>2</v>
      </c>
      <c r="T544" s="46" t="s">
        <v>98</v>
      </c>
      <c r="U544" s="46" t="str">
        <f t="array" ref="U544">TEXT(D544,"dddd")</f>
        <v>Tuesday</v>
      </c>
    </row>
    <row r="545" hidden="1">
      <c r="A545" s="46">
        <v>4.63591134E8</v>
      </c>
      <c r="B545" s="137" t="s">
        <v>221</v>
      </c>
      <c r="C545" s="137">
        <v>2016.0</v>
      </c>
      <c r="D545" s="138">
        <v>42618.0</v>
      </c>
      <c r="E545" s="139">
        <v>42644.0</v>
      </c>
      <c r="F545" s="142" t="s">
        <v>226</v>
      </c>
      <c r="G545" s="142">
        <v>2016.0</v>
      </c>
      <c r="H545" s="46">
        <v>7940.0</v>
      </c>
      <c r="I545" s="46">
        <v>5773.0</v>
      </c>
      <c r="J545" s="84">
        <v>3857922.71</v>
      </c>
      <c r="K545" s="84">
        <v>2901163.42</v>
      </c>
      <c r="L545" s="84">
        <v>956759.29</v>
      </c>
      <c r="M545" s="46" t="s">
        <v>148</v>
      </c>
      <c r="N545" s="46" t="s">
        <v>174</v>
      </c>
      <c r="O545" s="46" t="s">
        <v>146</v>
      </c>
      <c r="P545" s="46" t="s">
        <v>158</v>
      </c>
      <c r="Q545" s="46" t="str">
        <f t="shared" si="1"/>
        <v>September, 2016</v>
      </c>
      <c r="R545" s="115">
        <f t="shared" si="2"/>
        <v>42614</v>
      </c>
      <c r="S545" s="49">
        <f t="array" ref="S545">WEEKDAY(D545,2)</f>
        <v>1</v>
      </c>
      <c r="T545" s="46" t="s">
        <v>107</v>
      </c>
      <c r="U545" s="46" t="str">
        <f t="array" ref="U545">TEXT(D545,"dddd")</f>
        <v>Monday</v>
      </c>
    </row>
    <row r="546" hidden="1">
      <c r="A546" s="46">
        <v>4.6491121E8</v>
      </c>
      <c r="B546" s="137" t="s">
        <v>227</v>
      </c>
      <c r="C546" s="137">
        <v>2014.0</v>
      </c>
      <c r="D546" s="138">
        <v>41646.0</v>
      </c>
      <c r="E546" s="139">
        <v>41680.0</v>
      </c>
      <c r="F546" s="142" t="s">
        <v>228</v>
      </c>
      <c r="G546" s="142">
        <v>2014.0</v>
      </c>
      <c r="H546" s="46">
        <v>8969.0</v>
      </c>
      <c r="I546" s="46">
        <v>6413.0</v>
      </c>
      <c r="J546" s="84">
        <v>978495.54</v>
      </c>
      <c r="K546" s="84">
        <v>624882.72</v>
      </c>
      <c r="L546" s="84">
        <v>353612.82000000007</v>
      </c>
      <c r="M546" s="46" t="s">
        <v>182</v>
      </c>
      <c r="N546" s="46" t="s">
        <v>197</v>
      </c>
      <c r="O546" s="46" t="s">
        <v>146</v>
      </c>
      <c r="P546" s="46" t="s">
        <v>147</v>
      </c>
      <c r="Q546" s="46" t="str">
        <f t="shared" si="1"/>
        <v>January, 2014</v>
      </c>
      <c r="R546" s="115">
        <f t="shared" si="2"/>
        <v>41640</v>
      </c>
      <c r="S546" s="49">
        <f t="array" ref="S546">WEEKDAY(D546,2)</f>
        <v>2</v>
      </c>
      <c r="T546" s="46" t="s">
        <v>126</v>
      </c>
      <c r="U546" s="46" t="str">
        <f t="array" ref="U546">TEXT(D546,"dddd")</f>
        <v>Tuesday</v>
      </c>
    </row>
    <row r="547" hidden="1">
      <c r="A547" s="46">
        <v>4.65753209E8</v>
      </c>
      <c r="B547" s="137" t="s">
        <v>222</v>
      </c>
      <c r="C547" s="137">
        <v>2011.0</v>
      </c>
      <c r="D547" s="138">
        <v>40616.0</v>
      </c>
      <c r="E547" s="139">
        <v>40616.0</v>
      </c>
      <c r="F547" s="142" t="s">
        <v>222</v>
      </c>
      <c r="G547" s="142">
        <v>2011.0</v>
      </c>
      <c r="H547" s="46">
        <v>5988.0</v>
      </c>
      <c r="I547" s="46">
        <v>5579.0</v>
      </c>
      <c r="J547" s="84">
        <v>859500.74</v>
      </c>
      <c r="K547" s="84">
        <v>507298.47000000003</v>
      </c>
      <c r="L547" s="84">
        <v>352202.26999999996</v>
      </c>
      <c r="M547" s="46" t="s">
        <v>159</v>
      </c>
      <c r="N547" s="46" t="s">
        <v>163</v>
      </c>
      <c r="O547" s="46" t="s">
        <v>146</v>
      </c>
      <c r="P547" s="46" t="s">
        <v>158</v>
      </c>
      <c r="Q547" s="46" t="str">
        <f t="shared" si="1"/>
        <v>March, 2011</v>
      </c>
      <c r="R547" s="115">
        <f t="shared" si="2"/>
        <v>40603</v>
      </c>
      <c r="S547" s="49">
        <f t="array" ref="S547">WEEKDAY(D547,2)</f>
        <v>1</v>
      </c>
      <c r="T547" s="46" t="s">
        <v>100</v>
      </c>
      <c r="U547" s="46" t="str">
        <f t="array" ref="U547">TEXT(D547,"dddd")</f>
        <v>Monday</v>
      </c>
    </row>
    <row r="548" hidden="1">
      <c r="A548" s="46">
        <v>4.66517961E8</v>
      </c>
      <c r="B548" s="137" t="s">
        <v>216</v>
      </c>
      <c r="C548" s="137">
        <v>2010.0</v>
      </c>
      <c r="D548" s="138">
        <v>40391.0</v>
      </c>
      <c r="E548" s="139">
        <v>40428.0</v>
      </c>
      <c r="F548" s="142" t="s">
        <v>221</v>
      </c>
      <c r="G548" s="142">
        <v>2010.0</v>
      </c>
      <c r="H548" s="46">
        <v>4594.0</v>
      </c>
      <c r="I548" s="46">
        <v>1886.0</v>
      </c>
      <c r="J548" s="84">
        <v>17596.38</v>
      </c>
      <c r="K548" s="84">
        <v>13051.119999999999</v>
      </c>
      <c r="L548" s="84">
        <v>4545.260000000002</v>
      </c>
      <c r="M548" s="46" t="s">
        <v>156</v>
      </c>
      <c r="N548" s="46" t="s">
        <v>187</v>
      </c>
      <c r="O548" s="46" t="s">
        <v>146</v>
      </c>
      <c r="P548" s="46" t="s">
        <v>155</v>
      </c>
      <c r="Q548" s="46" t="str">
        <f t="shared" si="1"/>
        <v>August, 2010</v>
      </c>
      <c r="R548" s="115">
        <f t="shared" si="2"/>
        <v>40391</v>
      </c>
      <c r="S548" s="49">
        <f t="array" ref="S548">WEEKDAY(D548,2)</f>
        <v>7</v>
      </c>
      <c r="T548" s="46" t="s">
        <v>116</v>
      </c>
      <c r="U548" s="46" t="str">
        <f t="array" ref="U548">TEXT(D548,"dddd")</f>
        <v>Sunday</v>
      </c>
    </row>
    <row r="549" hidden="1">
      <c r="A549" s="46">
        <v>4.66988742E8</v>
      </c>
      <c r="B549" s="137" t="s">
        <v>216</v>
      </c>
      <c r="C549" s="137">
        <v>2011.0</v>
      </c>
      <c r="D549" s="138">
        <v>40771.0</v>
      </c>
      <c r="E549" s="139">
        <v>40771.0</v>
      </c>
      <c r="F549" s="142" t="s">
        <v>216</v>
      </c>
      <c r="G549" s="142">
        <v>2011.0</v>
      </c>
      <c r="H549" s="46">
        <v>3127.0</v>
      </c>
      <c r="I549" s="46">
        <v>1201.0</v>
      </c>
      <c r="J549" s="84">
        <v>98157.73000000001</v>
      </c>
      <c r="K549" s="84">
        <v>68060.67</v>
      </c>
      <c r="L549" s="84">
        <v>30097.060000000012</v>
      </c>
      <c r="M549" s="46" t="s">
        <v>185</v>
      </c>
      <c r="N549" s="46" t="s">
        <v>180</v>
      </c>
      <c r="O549" s="46" t="s">
        <v>146</v>
      </c>
      <c r="P549" s="46" t="s">
        <v>147</v>
      </c>
      <c r="Q549" s="46" t="str">
        <f t="shared" si="1"/>
        <v>August, 2011</v>
      </c>
      <c r="R549" s="115">
        <f t="shared" si="2"/>
        <v>40756</v>
      </c>
      <c r="S549" s="49">
        <f t="array" ref="S549">WEEKDAY(D549,2)</f>
        <v>2</v>
      </c>
      <c r="T549" s="46" t="s">
        <v>112</v>
      </c>
      <c r="U549" s="46" t="str">
        <f t="array" ref="U549">TEXT(D549,"dddd")</f>
        <v>Tuesday</v>
      </c>
    </row>
    <row r="550">
      <c r="A550" s="46">
        <v>4.67045819E8</v>
      </c>
      <c r="B550" s="137" t="s">
        <v>222</v>
      </c>
      <c r="C550" s="137">
        <v>2013.0</v>
      </c>
      <c r="D550" s="138">
        <v>41344.0</v>
      </c>
      <c r="E550" s="139">
        <v>41376.0</v>
      </c>
      <c r="F550" s="142" t="s">
        <v>223</v>
      </c>
      <c r="G550" s="142">
        <v>2013.0</v>
      </c>
      <c r="H550" s="46">
        <v>3127.0</v>
      </c>
      <c r="I550" s="46">
        <v>8092.0</v>
      </c>
      <c r="J550" s="84">
        <v>661359.16</v>
      </c>
      <c r="K550" s="84">
        <v>458573.64</v>
      </c>
      <c r="L550" s="84">
        <v>202785.52000000002</v>
      </c>
      <c r="M550" s="46" t="s">
        <v>185</v>
      </c>
      <c r="N550" s="46" t="s">
        <v>149</v>
      </c>
      <c r="O550" s="46" t="s">
        <v>149</v>
      </c>
      <c r="P550" s="46" t="s">
        <v>218</v>
      </c>
      <c r="Q550" s="46" t="str">
        <f t="shared" si="1"/>
        <v>March, 2013</v>
      </c>
      <c r="R550" s="115">
        <f t="shared" si="2"/>
        <v>41334</v>
      </c>
      <c r="S550" s="49">
        <f t="array" ref="S550">WEEKDAY(D550,2)</f>
        <v>1</v>
      </c>
      <c r="T550" s="46" t="s">
        <v>92</v>
      </c>
      <c r="U550" s="46" t="str">
        <f t="array" ref="U550">TEXT(D550,"dddd")</f>
        <v>Monday</v>
      </c>
    </row>
    <row r="551" hidden="1">
      <c r="A551" s="46">
        <v>4.67138516E8</v>
      </c>
      <c r="B551" s="137" t="s">
        <v>217</v>
      </c>
      <c r="C551" s="137">
        <v>2013.0</v>
      </c>
      <c r="D551" s="138">
        <v>41485.0</v>
      </c>
      <c r="E551" s="139">
        <v>41494.0</v>
      </c>
      <c r="F551" s="142" t="s">
        <v>216</v>
      </c>
      <c r="G551" s="142">
        <v>2013.0</v>
      </c>
      <c r="H551" s="46">
        <v>2455.0</v>
      </c>
      <c r="I551" s="46">
        <v>5523.0</v>
      </c>
      <c r="J551" s="84">
        <v>603553.4400000001</v>
      </c>
      <c r="K551" s="84">
        <v>197944.32</v>
      </c>
      <c r="L551" s="84">
        <v>405609.12000000005</v>
      </c>
      <c r="M551" s="46" t="s">
        <v>150</v>
      </c>
      <c r="N551" s="46" t="s">
        <v>191</v>
      </c>
      <c r="O551" s="46" t="s">
        <v>146</v>
      </c>
      <c r="P551" s="46" t="s">
        <v>147</v>
      </c>
      <c r="Q551" s="46" t="str">
        <f t="shared" si="1"/>
        <v>July, 2013</v>
      </c>
      <c r="R551" s="115">
        <f t="shared" si="2"/>
        <v>41456</v>
      </c>
      <c r="S551" s="49">
        <f t="array" ref="S551">WEEKDAY(D551,2)</f>
        <v>2</v>
      </c>
      <c r="T551" s="46" t="s">
        <v>120</v>
      </c>
      <c r="U551" s="46" t="str">
        <f t="array" ref="U551">TEXT(D551,"dddd")</f>
        <v>Tuesday</v>
      </c>
    </row>
    <row r="552" hidden="1">
      <c r="A552" s="46">
        <v>4.67312324E8</v>
      </c>
      <c r="B552" s="137" t="s">
        <v>222</v>
      </c>
      <c r="C552" s="137">
        <v>2016.0</v>
      </c>
      <c r="D552" s="138">
        <v>42439.0</v>
      </c>
      <c r="E552" s="139">
        <v>42468.0</v>
      </c>
      <c r="F552" s="142" t="s">
        <v>223</v>
      </c>
      <c r="G552" s="142">
        <v>2016.0</v>
      </c>
      <c r="H552" s="46">
        <v>7331.0</v>
      </c>
      <c r="I552" s="46">
        <v>6956.0</v>
      </c>
      <c r="J552" s="84">
        <v>1775727.68</v>
      </c>
      <c r="K552" s="84">
        <v>1108925.52</v>
      </c>
      <c r="L552" s="84">
        <v>666802.1599999999</v>
      </c>
      <c r="M552" s="46" t="s">
        <v>161</v>
      </c>
      <c r="N552" s="46" t="s">
        <v>184</v>
      </c>
      <c r="O552" s="46" t="s">
        <v>146</v>
      </c>
      <c r="P552" s="46" t="s">
        <v>155</v>
      </c>
      <c r="Q552" s="46" t="str">
        <f t="shared" si="1"/>
        <v>March, 2016</v>
      </c>
      <c r="R552" s="115">
        <f t="shared" si="2"/>
        <v>42430</v>
      </c>
      <c r="S552" s="49">
        <f t="array" ref="S552">WEEKDAY(D552,2)</f>
        <v>4</v>
      </c>
      <c r="T552" s="46" t="s">
        <v>114</v>
      </c>
      <c r="U552" s="46" t="str">
        <f t="array" ref="U552">TEXT(D552,"dddd")</f>
        <v>Thursday</v>
      </c>
    </row>
    <row r="553" hidden="1">
      <c r="A553" s="46">
        <v>4.67924726E8</v>
      </c>
      <c r="B553" s="137" t="s">
        <v>221</v>
      </c>
      <c r="C553" s="137">
        <v>2015.0</v>
      </c>
      <c r="D553" s="138">
        <v>42265.0</v>
      </c>
      <c r="E553" s="139">
        <v>42297.0</v>
      </c>
      <c r="F553" s="142" t="s">
        <v>226</v>
      </c>
      <c r="G553" s="142">
        <v>2015.0</v>
      </c>
      <c r="H553" s="46">
        <v>8681.0</v>
      </c>
      <c r="I553" s="46">
        <v>8179.0</v>
      </c>
      <c r="J553" s="84">
        <v>5326246.59</v>
      </c>
      <c r="K553" s="84">
        <v>4293647.84</v>
      </c>
      <c r="L553" s="84">
        <v>1032598.75</v>
      </c>
      <c r="M553" s="46" t="s">
        <v>153</v>
      </c>
      <c r="N553" s="46" t="s">
        <v>194</v>
      </c>
      <c r="O553" s="46" t="s">
        <v>146</v>
      </c>
      <c r="P553" s="46" t="s">
        <v>155</v>
      </c>
      <c r="Q553" s="46" t="str">
        <f t="shared" si="1"/>
        <v>September, 2015</v>
      </c>
      <c r="R553" s="115">
        <f t="shared" si="2"/>
        <v>42248</v>
      </c>
      <c r="S553" s="49">
        <f t="array" ref="S553">WEEKDAY(D553,2)</f>
        <v>5</v>
      </c>
      <c r="T553" s="46" t="s">
        <v>123</v>
      </c>
      <c r="U553" s="46" t="str">
        <f t="array" ref="U553">TEXT(D553,"dddd")</f>
        <v>Friday</v>
      </c>
    </row>
    <row r="554" hidden="1">
      <c r="A554" s="46">
        <v>4.68320834E8</v>
      </c>
      <c r="B554" s="137" t="s">
        <v>224</v>
      </c>
      <c r="C554" s="137">
        <v>2016.0</v>
      </c>
      <c r="D554" s="138">
        <v>42686.0</v>
      </c>
      <c r="E554" s="139">
        <v>42725.0</v>
      </c>
      <c r="F554" s="142" t="s">
        <v>225</v>
      </c>
      <c r="G554" s="142">
        <v>2016.0</v>
      </c>
      <c r="H554" s="46">
        <v>5988.0</v>
      </c>
      <c r="I554" s="46">
        <v>5397.0</v>
      </c>
      <c r="J554" s="84">
        <v>831461.8200000001</v>
      </c>
      <c r="K554" s="84">
        <v>490749.21</v>
      </c>
      <c r="L554" s="84">
        <v>340712.61000000004</v>
      </c>
      <c r="M554" s="46" t="s">
        <v>159</v>
      </c>
      <c r="N554" s="46" t="s">
        <v>189</v>
      </c>
      <c r="O554" s="46" t="s">
        <v>146</v>
      </c>
      <c r="P554" s="46" t="s">
        <v>158</v>
      </c>
      <c r="Q554" s="46" t="str">
        <f t="shared" si="1"/>
        <v>November, 2016</v>
      </c>
      <c r="R554" s="115">
        <f t="shared" si="2"/>
        <v>42675</v>
      </c>
      <c r="S554" s="49">
        <f t="array" ref="S554">WEEKDAY(D554,2)</f>
        <v>6</v>
      </c>
      <c r="T554" s="46" t="s">
        <v>118</v>
      </c>
      <c r="U554" s="46" t="str">
        <f t="array" ref="U554">TEXT(D554,"dddd")</f>
        <v>Saturday</v>
      </c>
    </row>
    <row r="555" hidden="1">
      <c r="A555" s="46">
        <v>4.68803632E8</v>
      </c>
      <c r="B555" s="137" t="s">
        <v>216</v>
      </c>
      <c r="C555" s="137">
        <v>2010.0</v>
      </c>
      <c r="D555" s="138">
        <v>40421.0</v>
      </c>
      <c r="E555" s="139">
        <v>40453.0</v>
      </c>
      <c r="F555" s="142" t="s">
        <v>226</v>
      </c>
      <c r="G555" s="142">
        <v>2010.0</v>
      </c>
      <c r="H555" s="46">
        <v>4594.0</v>
      </c>
      <c r="I555" s="46">
        <v>8267.0</v>
      </c>
      <c r="J555" s="84">
        <v>77131.11</v>
      </c>
      <c r="K555" s="84">
        <v>57207.64</v>
      </c>
      <c r="L555" s="84">
        <v>19923.47</v>
      </c>
      <c r="M555" s="46" t="s">
        <v>156</v>
      </c>
      <c r="N555" s="46" t="s">
        <v>196</v>
      </c>
      <c r="O555" s="46" t="s">
        <v>146</v>
      </c>
      <c r="P555" s="46" t="s">
        <v>155</v>
      </c>
      <c r="Q555" s="46" t="str">
        <f t="shared" si="1"/>
        <v>August, 2010</v>
      </c>
      <c r="R555" s="115">
        <f t="shared" si="2"/>
        <v>40391</v>
      </c>
      <c r="S555" s="49">
        <f t="array" ref="S555">WEEKDAY(D555,2)</f>
        <v>2</v>
      </c>
      <c r="T555" s="46" t="s">
        <v>125</v>
      </c>
      <c r="U555" s="46" t="str">
        <f t="array" ref="U555">TEXT(D555,"dddd")</f>
        <v>Tuesday</v>
      </c>
    </row>
    <row r="556" hidden="1">
      <c r="A556" s="46">
        <v>4.69129359E8</v>
      </c>
      <c r="B556" s="137" t="s">
        <v>225</v>
      </c>
      <c r="C556" s="137">
        <v>2010.0</v>
      </c>
      <c r="D556" s="138">
        <v>40530.0</v>
      </c>
      <c r="E556" s="139">
        <v>40569.0</v>
      </c>
      <c r="F556" s="142" t="s">
        <v>227</v>
      </c>
      <c r="G556" s="142">
        <v>2011.0</v>
      </c>
      <c r="H556" s="46">
        <v>8875.0</v>
      </c>
      <c r="I556" s="46">
        <v>4657.0</v>
      </c>
      <c r="J556" s="84">
        <v>1964741.73</v>
      </c>
      <c r="K556" s="84">
        <v>1698361.33</v>
      </c>
      <c r="L556" s="84">
        <v>266380.3999999999</v>
      </c>
      <c r="M556" s="46" t="s">
        <v>167</v>
      </c>
      <c r="N556" s="46" t="s">
        <v>174</v>
      </c>
      <c r="O556" s="46" t="s">
        <v>146</v>
      </c>
      <c r="P556" s="46" t="s">
        <v>158</v>
      </c>
      <c r="Q556" s="46" t="str">
        <f t="shared" si="1"/>
        <v>December, 2010</v>
      </c>
      <c r="R556" s="115">
        <f t="shared" si="2"/>
        <v>40513</v>
      </c>
      <c r="S556" s="49">
        <f t="array" ref="S556">WEEKDAY(D556,2)</f>
        <v>6</v>
      </c>
      <c r="T556" s="46" t="s">
        <v>107</v>
      </c>
      <c r="U556" s="46" t="str">
        <f t="array" ref="U556">TEXT(D556,"dddd")</f>
        <v>Saturday</v>
      </c>
    </row>
    <row r="557" hidden="1">
      <c r="A557" s="46">
        <v>4.69144809E8</v>
      </c>
      <c r="B557" s="137" t="s">
        <v>217</v>
      </c>
      <c r="C557" s="137">
        <v>2013.0</v>
      </c>
      <c r="D557" s="138">
        <v>41475.0</v>
      </c>
      <c r="E557" s="139">
        <v>41510.0</v>
      </c>
      <c r="F557" s="142" t="s">
        <v>216</v>
      </c>
      <c r="G557" s="142">
        <v>2013.0</v>
      </c>
      <c r="H557" s="46">
        <v>2103.0</v>
      </c>
      <c r="I557" s="46">
        <v>9229.0</v>
      </c>
      <c r="J557" s="84">
        <v>1898405.2999999998</v>
      </c>
      <c r="K557" s="84">
        <v>1080808.19</v>
      </c>
      <c r="L557" s="84">
        <v>817597.1099999999</v>
      </c>
      <c r="M557" s="46" t="s">
        <v>144</v>
      </c>
      <c r="N557" s="46" t="s">
        <v>180</v>
      </c>
      <c r="O557" s="46" t="s">
        <v>146</v>
      </c>
      <c r="P557" s="46" t="s">
        <v>147</v>
      </c>
      <c r="Q557" s="46" t="str">
        <f t="shared" si="1"/>
        <v>July, 2013</v>
      </c>
      <c r="R557" s="115">
        <f t="shared" si="2"/>
        <v>41456</v>
      </c>
      <c r="S557" s="49">
        <f t="array" ref="S557">WEEKDAY(D557,2)</f>
        <v>6</v>
      </c>
      <c r="T557" s="46" t="s">
        <v>112</v>
      </c>
      <c r="U557" s="46" t="str">
        <f t="array" ref="U557">TEXT(D557,"dddd")</f>
        <v>Saturday</v>
      </c>
    </row>
    <row r="558" hidden="1">
      <c r="A558" s="46">
        <v>4.69197165E8</v>
      </c>
      <c r="B558" s="137" t="s">
        <v>224</v>
      </c>
      <c r="C558" s="137">
        <v>2013.0</v>
      </c>
      <c r="D558" s="138">
        <v>41605.0</v>
      </c>
      <c r="E558" s="139">
        <v>41619.0</v>
      </c>
      <c r="F558" s="142" t="s">
        <v>225</v>
      </c>
      <c r="G558" s="142">
        <v>2013.0</v>
      </c>
      <c r="H558" s="46">
        <v>1270.0</v>
      </c>
      <c r="I558" s="46">
        <v>4723.0</v>
      </c>
      <c r="J558" s="84">
        <v>224106.35</v>
      </c>
      <c r="K558" s="84">
        <v>150144.16999999998</v>
      </c>
      <c r="L558" s="84">
        <v>73962.18000000002</v>
      </c>
      <c r="M558" s="46" t="s">
        <v>152</v>
      </c>
      <c r="N558" s="46" t="s">
        <v>195</v>
      </c>
      <c r="O558" s="46" t="s">
        <v>146</v>
      </c>
      <c r="P558" s="46" t="s">
        <v>170</v>
      </c>
      <c r="Q558" s="46" t="str">
        <f t="shared" si="1"/>
        <v>November, 2013</v>
      </c>
      <c r="R558" s="115">
        <f t="shared" si="2"/>
        <v>41579</v>
      </c>
      <c r="S558" s="49">
        <f t="array" ref="S558">WEEKDAY(D558,2)</f>
        <v>3</v>
      </c>
      <c r="T558" s="46" t="s">
        <v>124</v>
      </c>
      <c r="U558" s="46" t="str">
        <f t="array" ref="U558">TEXT(D558,"dddd")</f>
        <v>Wednesday</v>
      </c>
    </row>
    <row r="559" hidden="1">
      <c r="A559" s="46">
        <v>4.69840466E8</v>
      </c>
      <c r="B559" s="137" t="s">
        <v>227</v>
      </c>
      <c r="C559" s="137">
        <v>2011.0</v>
      </c>
      <c r="D559" s="138">
        <v>40556.0</v>
      </c>
      <c r="E559" s="139">
        <v>40565.0</v>
      </c>
      <c r="F559" s="142" t="s">
        <v>227</v>
      </c>
      <c r="G559" s="142">
        <v>2011.0</v>
      </c>
      <c r="H559" s="46">
        <v>5988.0</v>
      </c>
      <c r="I559" s="46">
        <v>5090.0</v>
      </c>
      <c r="J559" s="84">
        <v>784165.4</v>
      </c>
      <c r="K559" s="84">
        <v>462833.7</v>
      </c>
      <c r="L559" s="84">
        <v>321331.7</v>
      </c>
      <c r="M559" s="46" t="s">
        <v>159</v>
      </c>
      <c r="N559" s="46" t="s">
        <v>173</v>
      </c>
      <c r="O559" s="46" t="s">
        <v>146</v>
      </c>
      <c r="P559" s="46" t="s">
        <v>155</v>
      </c>
      <c r="Q559" s="46" t="str">
        <f t="shared" si="1"/>
        <v>January, 2011</v>
      </c>
      <c r="R559" s="115">
        <f t="shared" si="2"/>
        <v>40544</v>
      </c>
      <c r="S559" s="49">
        <f t="array" ref="S559">WEEKDAY(D559,2)</f>
        <v>4</v>
      </c>
      <c r="T559" s="46" t="s">
        <v>106</v>
      </c>
      <c r="U559" s="46" t="str">
        <f t="array" ref="U559">TEXT(D559,"dddd")</f>
        <v>Thursday</v>
      </c>
    </row>
    <row r="560" hidden="1">
      <c r="A560" s="46">
        <v>4.69974792E8</v>
      </c>
      <c r="B560" s="137" t="s">
        <v>219</v>
      </c>
      <c r="C560" s="137">
        <v>2010.0</v>
      </c>
      <c r="D560" s="138">
        <v>40324.0</v>
      </c>
      <c r="E560" s="139">
        <v>40346.0</v>
      </c>
      <c r="F560" s="142" t="s">
        <v>220</v>
      </c>
      <c r="G560" s="142">
        <v>2010.0</v>
      </c>
      <c r="H560" s="46">
        <v>7331.0</v>
      </c>
      <c r="I560" s="46">
        <v>4840.0</v>
      </c>
      <c r="J560" s="84">
        <v>1235555.2</v>
      </c>
      <c r="K560" s="84">
        <v>771592.7999999999</v>
      </c>
      <c r="L560" s="84">
        <v>463962.4</v>
      </c>
      <c r="M560" s="46" t="s">
        <v>161</v>
      </c>
      <c r="N560" s="46" t="s">
        <v>203</v>
      </c>
      <c r="O560" s="46" t="s">
        <v>146</v>
      </c>
      <c r="P560" s="46" t="s">
        <v>170</v>
      </c>
      <c r="Q560" s="46" t="str">
        <f t="shared" si="1"/>
        <v>May, 2010</v>
      </c>
      <c r="R560" s="115">
        <f t="shared" si="2"/>
        <v>40299</v>
      </c>
      <c r="S560" s="49">
        <f t="array" ref="S560">WEEKDAY(D560,2)</f>
        <v>3</v>
      </c>
      <c r="T560" s="46" t="s">
        <v>132</v>
      </c>
      <c r="U560" s="46" t="str">
        <f t="array" ref="U560">TEXT(D560,"dddd")</f>
        <v>Wednesday</v>
      </c>
    </row>
    <row r="561" hidden="1">
      <c r="A561" s="46">
        <v>4.70503079E8</v>
      </c>
      <c r="B561" s="137" t="s">
        <v>222</v>
      </c>
      <c r="C561" s="137">
        <v>2015.0</v>
      </c>
      <c r="D561" s="138">
        <v>42072.0</v>
      </c>
      <c r="E561" s="139">
        <v>42084.0</v>
      </c>
      <c r="F561" s="142" t="s">
        <v>222</v>
      </c>
      <c r="G561" s="142">
        <v>2015.0</v>
      </c>
      <c r="H561" s="46">
        <v>2455.0</v>
      </c>
      <c r="I561" s="46">
        <v>1172.0</v>
      </c>
      <c r="J561" s="84">
        <v>128076.16</v>
      </c>
      <c r="K561" s="84">
        <v>42004.48</v>
      </c>
      <c r="L561" s="84">
        <v>86071.68</v>
      </c>
      <c r="M561" s="46" t="s">
        <v>150</v>
      </c>
      <c r="N561" s="46" t="s">
        <v>202</v>
      </c>
      <c r="O561" s="46" t="s">
        <v>146</v>
      </c>
      <c r="P561" s="46" t="s">
        <v>147</v>
      </c>
      <c r="Q561" s="46" t="str">
        <f t="shared" si="1"/>
        <v>March, 2015</v>
      </c>
      <c r="R561" s="115">
        <f t="shared" si="2"/>
        <v>42064</v>
      </c>
      <c r="S561" s="49">
        <f t="array" ref="S561">WEEKDAY(D561,2)</f>
        <v>1</v>
      </c>
      <c r="T561" s="46" t="s">
        <v>131</v>
      </c>
      <c r="U561" s="46" t="str">
        <f t="array" ref="U561">TEXT(D561,"dddd")</f>
        <v>Monday</v>
      </c>
    </row>
    <row r="562" hidden="1">
      <c r="A562" s="46">
        <v>4.71348512E8</v>
      </c>
      <c r="B562" s="137" t="s">
        <v>216</v>
      </c>
      <c r="C562" s="137">
        <v>2014.0</v>
      </c>
      <c r="D562" s="138">
        <v>41867.0</v>
      </c>
      <c r="E562" s="139">
        <v>41913.0</v>
      </c>
      <c r="F562" s="142" t="s">
        <v>226</v>
      </c>
      <c r="G562" s="142">
        <v>2014.0</v>
      </c>
      <c r="H562" s="46">
        <v>4594.0</v>
      </c>
      <c r="I562" s="46">
        <v>1354.0</v>
      </c>
      <c r="J562" s="84">
        <v>12632.82</v>
      </c>
      <c r="K562" s="84">
        <v>9369.68</v>
      </c>
      <c r="L562" s="84">
        <v>3263.1399999999994</v>
      </c>
      <c r="M562" s="46" t="s">
        <v>156</v>
      </c>
      <c r="N562" s="46" t="s">
        <v>208</v>
      </c>
      <c r="O562" s="46" t="s">
        <v>146</v>
      </c>
      <c r="P562" s="46" t="s">
        <v>147</v>
      </c>
      <c r="Q562" s="46" t="str">
        <f t="shared" si="1"/>
        <v>August, 2014</v>
      </c>
      <c r="R562" s="115">
        <f t="shared" si="2"/>
        <v>41852</v>
      </c>
      <c r="S562" s="49">
        <f t="array" ref="S562">WEEKDAY(D562,2)</f>
        <v>6</v>
      </c>
      <c r="T562" s="46" t="s">
        <v>138</v>
      </c>
      <c r="U562" s="46" t="str">
        <f t="array" ref="U562">TEXT(D562,"dddd")</f>
        <v>Saturday</v>
      </c>
    </row>
    <row r="563" hidden="1">
      <c r="A563" s="46">
        <v>4.71484124E8</v>
      </c>
      <c r="B563" s="137" t="s">
        <v>225</v>
      </c>
      <c r="C563" s="137">
        <v>2012.0</v>
      </c>
      <c r="D563" s="138">
        <v>41252.0</v>
      </c>
      <c r="E563" s="139">
        <v>41298.0</v>
      </c>
      <c r="F563" s="142" t="s">
        <v>227</v>
      </c>
      <c r="G563" s="142">
        <v>2013.0</v>
      </c>
      <c r="H563" s="46">
        <v>7331.0</v>
      </c>
      <c r="I563" s="46">
        <v>1485.0</v>
      </c>
      <c r="J563" s="84">
        <v>379090.8</v>
      </c>
      <c r="K563" s="84">
        <v>236738.69999999998</v>
      </c>
      <c r="L563" s="84">
        <v>142352.1</v>
      </c>
      <c r="M563" s="46" t="s">
        <v>161</v>
      </c>
      <c r="N563" s="46" t="s">
        <v>205</v>
      </c>
      <c r="O563" s="46" t="s">
        <v>146</v>
      </c>
      <c r="P563" s="46" t="s">
        <v>170</v>
      </c>
      <c r="Q563" s="46" t="str">
        <f t="shared" si="1"/>
        <v>December, 2012</v>
      </c>
      <c r="R563" s="115">
        <f t="shared" si="2"/>
        <v>41244</v>
      </c>
      <c r="S563" s="49">
        <f t="array" ref="S563">WEEKDAY(D563,2)</f>
        <v>7</v>
      </c>
      <c r="T563" s="46" t="s">
        <v>135</v>
      </c>
      <c r="U563" s="46" t="str">
        <f t="array" ref="U563">TEXT(D563,"dddd")</f>
        <v>Sunday</v>
      </c>
    </row>
    <row r="564" hidden="1">
      <c r="A564" s="46">
        <v>4.73845756E8</v>
      </c>
      <c r="B564" s="137" t="s">
        <v>224</v>
      </c>
      <c r="C564" s="137">
        <v>2011.0</v>
      </c>
      <c r="D564" s="138">
        <v>40859.0</v>
      </c>
      <c r="E564" s="139">
        <v>40893.0</v>
      </c>
      <c r="F564" s="142" t="s">
        <v>225</v>
      </c>
      <c r="G564" s="142">
        <v>2011.0</v>
      </c>
      <c r="H564" s="46">
        <v>3127.0</v>
      </c>
      <c r="I564" s="46">
        <v>344.0</v>
      </c>
      <c r="J564" s="84">
        <v>28115.120000000003</v>
      </c>
      <c r="K564" s="84">
        <v>19494.48</v>
      </c>
      <c r="L564" s="84">
        <v>8620.640000000003</v>
      </c>
      <c r="M564" s="46" t="s">
        <v>185</v>
      </c>
      <c r="N564" s="46" t="s">
        <v>179</v>
      </c>
      <c r="O564" s="46" t="s">
        <v>146</v>
      </c>
      <c r="P564" s="46" t="s">
        <v>155</v>
      </c>
      <c r="Q564" s="46" t="str">
        <f t="shared" si="1"/>
        <v>November, 2011</v>
      </c>
      <c r="R564" s="115">
        <f t="shared" si="2"/>
        <v>40848</v>
      </c>
      <c r="S564" s="49">
        <f t="array" ref="S564">WEEKDAY(D564,2)</f>
        <v>6</v>
      </c>
      <c r="T564" s="46" t="s">
        <v>111</v>
      </c>
      <c r="U564" s="46" t="str">
        <f t="array" ref="U564">TEXT(D564,"dddd")</f>
        <v>Saturday</v>
      </c>
    </row>
    <row r="565" hidden="1">
      <c r="A565" s="46">
        <v>4.7517656E8</v>
      </c>
      <c r="B565" s="137" t="s">
        <v>217</v>
      </c>
      <c r="C565" s="137">
        <v>2010.0</v>
      </c>
      <c r="D565" s="138">
        <v>40390.0</v>
      </c>
      <c r="E565" s="139">
        <v>40425.0</v>
      </c>
      <c r="F565" s="142" t="s">
        <v>221</v>
      </c>
      <c r="G565" s="142">
        <v>2010.0</v>
      </c>
      <c r="H565" s="46">
        <v>4594.0</v>
      </c>
      <c r="I565" s="46">
        <v>4159.0</v>
      </c>
      <c r="J565" s="84">
        <v>38803.47</v>
      </c>
      <c r="K565" s="84">
        <v>28780.28</v>
      </c>
      <c r="L565" s="84">
        <v>10023.190000000002</v>
      </c>
      <c r="M565" s="46" t="s">
        <v>156</v>
      </c>
      <c r="N565" s="46" t="s">
        <v>180</v>
      </c>
      <c r="O565" s="46" t="s">
        <v>146</v>
      </c>
      <c r="P565" s="46" t="s">
        <v>147</v>
      </c>
      <c r="Q565" s="46" t="str">
        <f t="shared" si="1"/>
        <v>July, 2010</v>
      </c>
      <c r="R565" s="115">
        <f t="shared" si="2"/>
        <v>40360</v>
      </c>
      <c r="S565" s="49">
        <f t="array" ref="S565">WEEKDAY(D565,2)</f>
        <v>6</v>
      </c>
      <c r="T565" s="46" t="s">
        <v>112</v>
      </c>
      <c r="U565" s="46" t="str">
        <f t="array" ref="U565">TEXT(D565,"dddd")</f>
        <v>Saturday</v>
      </c>
    </row>
    <row r="566" hidden="1">
      <c r="A566" s="46">
        <v>4.75992381E8</v>
      </c>
      <c r="B566" s="137" t="s">
        <v>219</v>
      </c>
      <c r="C566" s="137">
        <v>2011.0</v>
      </c>
      <c r="D566" s="138">
        <v>40677.0</v>
      </c>
      <c r="E566" s="139">
        <v>40689.0</v>
      </c>
      <c r="F566" s="142" t="s">
        <v>219</v>
      </c>
      <c r="G566" s="142">
        <v>2011.0</v>
      </c>
      <c r="H566" s="46">
        <v>2455.0</v>
      </c>
      <c r="I566" s="46">
        <v>5578.0</v>
      </c>
      <c r="J566" s="84">
        <v>609563.84</v>
      </c>
      <c r="K566" s="84">
        <v>199915.52000000002</v>
      </c>
      <c r="L566" s="84">
        <v>409648.31999999995</v>
      </c>
      <c r="M566" s="46" t="s">
        <v>150</v>
      </c>
      <c r="N566" s="46" t="s">
        <v>174</v>
      </c>
      <c r="O566" s="46" t="s">
        <v>146</v>
      </c>
      <c r="P566" s="46" t="s">
        <v>158</v>
      </c>
      <c r="Q566" s="46" t="str">
        <f t="shared" si="1"/>
        <v>May, 2011</v>
      </c>
      <c r="R566" s="115">
        <f t="shared" si="2"/>
        <v>40664</v>
      </c>
      <c r="S566" s="49">
        <f t="array" ref="S566">WEEKDAY(D566,2)</f>
        <v>6</v>
      </c>
      <c r="T566" s="46" t="s">
        <v>107</v>
      </c>
      <c r="U566" s="46" t="str">
        <f t="array" ref="U566">TEXT(D566,"dddd")</f>
        <v>Saturday</v>
      </c>
    </row>
    <row r="567" hidden="1">
      <c r="A567" s="46">
        <v>4.76453721E8</v>
      </c>
      <c r="B567" s="137" t="s">
        <v>217</v>
      </c>
      <c r="C567" s="137">
        <v>2017.0</v>
      </c>
      <c r="D567" s="138">
        <v>42938.0</v>
      </c>
      <c r="E567" s="139">
        <v>42957.0</v>
      </c>
      <c r="F567" s="142" t="s">
        <v>216</v>
      </c>
      <c r="G567" s="142">
        <v>2017.0</v>
      </c>
      <c r="H567" s="46">
        <v>8969.0</v>
      </c>
      <c r="I567" s="46">
        <v>2099.0</v>
      </c>
      <c r="J567" s="84">
        <v>320265.42000000004</v>
      </c>
      <c r="K567" s="84">
        <v>204526.56</v>
      </c>
      <c r="L567" s="84">
        <v>115738.86000000004</v>
      </c>
      <c r="M567" s="46" t="s">
        <v>182</v>
      </c>
      <c r="N567" s="46" t="s">
        <v>191</v>
      </c>
      <c r="O567" s="46" t="s">
        <v>146</v>
      </c>
      <c r="P567" s="46" t="s">
        <v>147</v>
      </c>
      <c r="Q567" s="46" t="str">
        <f t="shared" si="1"/>
        <v>July, 2017</v>
      </c>
      <c r="R567" s="115">
        <f t="shared" si="2"/>
        <v>42917</v>
      </c>
      <c r="S567" s="49">
        <f t="array" ref="S567">WEEKDAY(D567,2)</f>
        <v>6</v>
      </c>
      <c r="T567" s="46" t="s">
        <v>120</v>
      </c>
      <c r="U567" s="46" t="str">
        <f t="array" ref="U567">TEXT(D567,"dddd")</f>
        <v>Saturday</v>
      </c>
    </row>
    <row r="568" hidden="1">
      <c r="A568" s="46">
        <v>4.76633536E8</v>
      </c>
      <c r="B568" s="137" t="s">
        <v>226</v>
      </c>
      <c r="C568" s="137">
        <v>2012.0</v>
      </c>
      <c r="D568" s="138">
        <v>41187.0</v>
      </c>
      <c r="E568" s="139">
        <v>41216.0</v>
      </c>
      <c r="F568" s="142" t="s">
        <v>224</v>
      </c>
      <c r="G568" s="142">
        <v>2012.0</v>
      </c>
      <c r="H568" s="46">
        <v>5988.0</v>
      </c>
      <c r="I568" s="46">
        <v>5310.0</v>
      </c>
      <c r="J568" s="84">
        <v>818058.6</v>
      </c>
      <c r="K568" s="84">
        <v>482838.30000000005</v>
      </c>
      <c r="L568" s="84">
        <v>335220.29999999993</v>
      </c>
      <c r="M568" s="46" t="s">
        <v>159</v>
      </c>
      <c r="N568" s="46" t="s">
        <v>202</v>
      </c>
      <c r="O568" s="46" t="s">
        <v>146</v>
      </c>
      <c r="P568" s="46" t="s">
        <v>147</v>
      </c>
      <c r="Q568" s="46" t="str">
        <f t="shared" si="1"/>
        <v>October, 2012</v>
      </c>
      <c r="R568" s="115">
        <f t="shared" si="2"/>
        <v>41183</v>
      </c>
      <c r="S568" s="49">
        <f t="array" ref="S568">WEEKDAY(D568,2)</f>
        <v>5</v>
      </c>
      <c r="T568" s="46" t="s">
        <v>131</v>
      </c>
      <c r="U568" s="46" t="str">
        <f t="array" ref="U568">TEXT(D568,"dddd")</f>
        <v>Friday</v>
      </c>
    </row>
    <row r="569" hidden="1">
      <c r="A569" s="46">
        <v>4.7679404E8</v>
      </c>
      <c r="B569" s="137" t="s">
        <v>228</v>
      </c>
      <c r="C569" s="137">
        <v>2016.0</v>
      </c>
      <c r="D569" s="138">
        <v>42404.0</v>
      </c>
      <c r="E569" s="139">
        <v>42436.0</v>
      </c>
      <c r="F569" s="142" t="s">
        <v>222</v>
      </c>
      <c r="G569" s="142">
        <v>2016.0</v>
      </c>
      <c r="H569" s="46">
        <v>1270.0</v>
      </c>
      <c r="I569" s="46">
        <v>2807.0</v>
      </c>
      <c r="J569" s="84">
        <v>133192.15</v>
      </c>
      <c r="K569" s="84">
        <v>89234.53</v>
      </c>
      <c r="L569" s="84">
        <v>43957.619999999995</v>
      </c>
      <c r="M569" s="46" t="s">
        <v>152</v>
      </c>
      <c r="N569" s="46" t="s">
        <v>196</v>
      </c>
      <c r="O569" s="46" t="s">
        <v>146</v>
      </c>
      <c r="P569" s="46" t="s">
        <v>155</v>
      </c>
      <c r="Q569" s="46" t="str">
        <f t="shared" si="1"/>
        <v>February, 2016</v>
      </c>
      <c r="R569" s="115">
        <f t="shared" si="2"/>
        <v>42401</v>
      </c>
      <c r="S569" s="49">
        <f t="array" ref="S569">WEEKDAY(D569,2)</f>
        <v>4</v>
      </c>
      <c r="T569" s="46" t="s">
        <v>125</v>
      </c>
      <c r="U569" s="46" t="str">
        <f t="array" ref="U569">TEXT(D569,"dddd")</f>
        <v>Thursday</v>
      </c>
    </row>
    <row r="570" hidden="1">
      <c r="A570" s="46">
        <v>4.7699145E8</v>
      </c>
      <c r="B570" s="137" t="s">
        <v>222</v>
      </c>
      <c r="C570" s="137">
        <v>2017.0</v>
      </c>
      <c r="D570" s="138">
        <v>42805.0</v>
      </c>
      <c r="E570" s="139">
        <v>42821.0</v>
      </c>
      <c r="F570" s="142" t="s">
        <v>222</v>
      </c>
      <c r="G570" s="142">
        <v>2017.0</v>
      </c>
      <c r="H570" s="46">
        <v>8969.0</v>
      </c>
      <c r="I570" s="46">
        <v>1225.0</v>
      </c>
      <c r="J570" s="84">
        <v>186910.50000000003</v>
      </c>
      <c r="K570" s="84">
        <v>119364.0</v>
      </c>
      <c r="L570" s="84">
        <v>67546.50000000003</v>
      </c>
      <c r="M570" s="46" t="s">
        <v>182</v>
      </c>
      <c r="N570" s="46" t="s">
        <v>196</v>
      </c>
      <c r="O570" s="46" t="s">
        <v>146</v>
      </c>
      <c r="P570" s="46" t="s">
        <v>155</v>
      </c>
      <c r="Q570" s="46" t="str">
        <f t="shared" si="1"/>
        <v>March, 2017</v>
      </c>
      <c r="R570" s="115">
        <f t="shared" si="2"/>
        <v>42795</v>
      </c>
      <c r="S570" s="49">
        <f t="array" ref="S570">WEEKDAY(D570,2)</f>
        <v>6</v>
      </c>
      <c r="T570" s="46" t="s">
        <v>125</v>
      </c>
      <c r="U570" s="46" t="str">
        <f t="array" ref="U570">TEXT(D570,"dddd")</f>
        <v>Saturday</v>
      </c>
    </row>
    <row r="571" hidden="1">
      <c r="A571" s="46">
        <v>4.77282845E8</v>
      </c>
      <c r="B571" s="137" t="s">
        <v>227</v>
      </c>
      <c r="C571" s="137">
        <v>2010.0</v>
      </c>
      <c r="D571" s="138">
        <v>40198.0</v>
      </c>
      <c r="E571" s="139">
        <v>40213.0</v>
      </c>
      <c r="F571" s="142" t="s">
        <v>228</v>
      </c>
      <c r="G571" s="142">
        <v>2010.0</v>
      </c>
      <c r="H571" s="46">
        <v>2103.0</v>
      </c>
      <c r="I571" s="46">
        <v>7455.0</v>
      </c>
      <c r="J571" s="84">
        <v>1533493.5</v>
      </c>
      <c r="K571" s="84">
        <v>873055.05</v>
      </c>
      <c r="L571" s="84">
        <v>660438.45</v>
      </c>
      <c r="M571" s="46" t="s">
        <v>144</v>
      </c>
      <c r="N571" s="46" t="s">
        <v>164</v>
      </c>
      <c r="O571" s="46" t="s">
        <v>165</v>
      </c>
      <c r="P571" s="46" t="s">
        <v>166</v>
      </c>
      <c r="Q571" s="46" t="str">
        <f t="shared" si="1"/>
        <v>January, 2010</v>
      </c>
      <c r="R571" s="115">
        <f t="shared" si="2"/>
        <v>40179</v>
      </c>
      <c r="S571" s="49">
        <f t="array" ref="S571">WEEKDAY(D571,2)</f>
        <v>3</v>
      </c>
      <c r="T571" s="46" t="s">
        <v>101</v>
      </c>
      <c r="U571" s="46" t="str">
        <f t="array" ref="U571">TEXT(D571,"dddd")</f>
        <v>Wednesday</v>
      </c>
    </row>
    <row r="572" hidden="1">
      <c r="A572" s="46">
        <v>4.77633464E8</v>
      </c>
      <c r="B572" s="137" t="s">
        <v>219</v>
      </c>
      <c r="C572" s="137">
        <v>2015.0</v>
      </c>
      <c r="D572" s="138">
        <v>42138.0</v>
      </c>
      <c r="E572" s="139">
        <v>42162.0</v>
      </c>
      <c r="F572" s="142" t="s">
        <v>220</v>
      </c>
      <c r="G572" s="142">
        <v>2015.0</v>
      </c>
      <c r="H572" s="46">
        <v>8293.0</v>
      </c>
      <c r="I572" s="46">
        <v>1211.0</v>
      </c>
      <c r="J572" s="84">
        <v>529449.2</v>
      </c>
      <c r="K572" s="84">
        <v>318892.63</v>
      </c>
      <c r="L572" s="84">
        <v>210556.56999999995</v>
      </c>
      <c r="M572" s="46" t="s">
        <v>178</v>
      </c>
      <c r="N572" s="46" t="s">
        <v>183</v>
      </c>
      <c r="O572" s="46" t="s">
        <v>146</v>
      </c>
      <c r="P572" s="46" t="s">
        <v>170</v>
      </c>
      <c r="Q572" s="46" t="str">
        <f t="shared" si="1"/>
        <v>May, 2015</v>
      </c>
      <c r="R572" s="115">
        <f t="shared" si="2"/>
        <v>42125</v>
      </c>
      <c r="S572" s="49">
        <f t="array" ref="S572">WEEKDAY(D572,2)</f>
        <v>4</v>
      </c>
      <c r="T572" s="46" t="s">
        <v>90</v>
      </c>
      <c r="U572" s="46" t="str">
        <f t="array" ref="U572">TEXT(D572,"dddd")</f>
        <v>Thursday</v>
      </c>
    </row>
    <row r="573" hidden="1">
      <c r="A573" s="46">
        <v>4.7805103E8</v>
      </c>
      <c r="B573" s="137" t="s">
        <v>221</v>
      </c>
      <c r="C573" s="137">
        <v>2011.0</v>
      </c>
      <c r="D573" s="138">
        <v>40798.0</v>
      </c>
      <c r="E573" s="139">
        <v>40815.0</v>
      </c>
      <c r="F573" s="142" t="s">
        <v>221</v>
      </c>
      <c r="G573" s="142">
        <v>2011.0</v>
      </c>
      <c r="H573" s="46">
        <v>1270.0</v>
      </c>
      <c r="I573" s="46">
        <v>4778.0</v>
      </c>
      <c r="J573" s="84">
        <v>226716.1</v>
      </c>
      <c r="K573" s="84">
        <v>151892.62</v>
      </c>
      <c r="L573" s="84">
        <v>74823.48000000001</v>
      </c>
      <c r="M573" s="46" t="s">
        <v>152</v>
      </c>
      <c r="N573" s="46" t="s">
        <v>184</v>
      </c>
      <c r="O573" s="46" t="s">
        <v>146</v>
      </c>
      <c r="P573" s="46" t="s">
        <v>155</v>
      </c>
      <c r="Q573" s="46" t="str">
        <f t="shared" si="1"/>
        <v>September, 2011</v>
      </c>
      <c r="R573" s="115">
        <f t="shared" si="2"/>
        <v>40787</v>
      </c>
      <c r="S573" s="49">
        <f t="array" ref="S573">WEEKDAY(D573,2)</f>
        <v>1</v>
      </c>
      <c r="T573" s="46" t="s">
        <v>114</v>
      </c>
      <c r="U573" s="46" t="str">
        <f t="array" ref="U573">TEXT(D573,"dddd")</f>
        <v>Monday</v>
      </c>
    </row>
    <row r="574" hidden="1">
      <c r="A574" s="46">
        <v>4.78840672E8</v>
      </c>
      <c r="B574" s="137" t="s">
        <v>228</v>
      </c>
      <c r="C574" s="137">
        <v>2016.0</v>
      </c>
      <c r="D574" s="138">
        <v>42404.0</v>
      </c>
      <c r="E574" s="139">
        <v>42409.0</v>
      </c>
      <c r="F574" s="142" t="s">
        <v>228</v>
      </c>
      <c r="G574" s="142">
        <v>2016.0</v>
      </c>
      <c r="H574" s="46">
        <v>3127.0</v>
      </c>
      <c r="I574" s="46">
        <v>8451.0</v>
      </c>
      <c r="J574" s="84">
        <v>690700.23</v>
      </c>
      <c r="K574" s="84">
        <v>478918.17000000004</v>
      </c>
      <c r="L574" s="84">
        <v>211782.05999999994</v>
      </c>
      <c r="M574" s="46" t="s">
        <v>185</v>
      </c>
      <c r="N574" s="46" t="s">
        <v>205</v>
      </c>
      <c r="O574" s="46" t="s">
        <v>146</v>
      </c>
      <c r="P574" s="46" t="s">
        <v>170</v>
      </c>
      <c r="Q574" s="46" t="str">
        <f t="shared" si="1"/>
        <v>February, 2016</v>
      </c>
      <c r="R574" s="115">
        <f t="shared" si="2"/>
        <v>42401</v>
      </c>
      <c r="S574" s="49">
        <f t="array" ref="S574">WEEKDAY(D574,2)</f>
        <v>4</v>
      </c>
      <c r="T574" s="46" t="s">
        <v>135</v>
      </c>
      <c r="U574" s="46" t="str">
        <f t="array" ref="U574">TEXT(D574,"dddd")</f>
        <v>Thursday</v>
      </c>
    </row>
    <row r="575" hidden="1">
      <c r="A575" s="46">
        <v>4.79171121E8</v>
      </c>
      <c r="B575" s="137" t="s">
        <v>227</v>
      </c>
      <c r="C575" s="137">
        <v>2010.0</v>
      </c>
      <c r="D575" s="138">
        <v>40189.0</v>
      </c>
      <c r="E575" s="139">
        <v>40205.0</v>
      </c>
      <c r="F575" s="142" t="s">
        <v>227</v>
      </c>
      <c r="G575" s="142">
        <v>2010.0</v>
      </c>
      <c r="H575" s="46">
        <v>7331.0</v>
      </c>
      <c r="I575" s="46">
        <v>6238.0</v>
      </c>
      <c r="J575" s="84">
        <v>1592436.64</v>
      </c>
      <c r="K575" s="84">
        <v>994461.96</v>
      </c>
      <c r="L575" s="84">
        <v>597974.6799999999</v>
      </c>
      <c r="M575" s="46" t="s">
        <v>161</v>
      </c>
      <c r="N575" s="46" t="s">
        <v>186</v>
      </c>
      <c r="O575" s="46" t="s">
        <v>146</v>
      </c>
      <c r="P575" s="46" t="s">
        <v>147</v>
      </c>
      <c r="Q575" s="46" t="str">
        <f t="shared" si="1"/>
        <v>January, 2010</v>
      </c>
      <c r="R575" s="115">
        <f t="shared" si="2"/>
        <v>40179</v>
      </c>
      <c r="S575" s="49">
        <f t="array" ref="S575">WEEKDAY(D575,2)</f>
        <v>1</v>
      </c>
      <c r="T575" s="46" t="s">
        <v>115</v>
      </c>
      <c r="U575" s="46" t="str">
        <f t="array" ref="U575">TEXT(D575,"dddd")</f>
        <v>Monday</v>
      </c>
    </row>
    <row r="576" hidden="1">
      <c r="A576" s="46">
        <v>4.79234206E8</v>
      </c>
      <c r="B576" s="137" t="s">
        <v>226</v>
      </c>
      <c r="C576" s="137">
        <v>2011.0</v>
      </c>
      <c r="D576" s="138">
        <v>40823.0</v>
      </c>
      <c r="E576" s="139">
        <v>40861.0</v>
      </c>
      <c r="F576" s="142" t="s">
        <v>224</v>
      </c>
      <c r="G576" s="142">
        <v>2011.0</v>
      </c>
      <c r="H576" s="46">
        <v>4594.0</v>
      </c>
      <c r="I576" s="46">
        <v>4906.0</v>
      </c>
      <c r="J576" s="84">
        <v>45772.98</v>
      </c>
      <c r="K576" s="84">
        <v>33949.52</v>
      </c>
      <c r="L576" s="84">
        <v>11823.460000000006</v>
      </c>
      <c r="M576" s="46" t="s">
        <v>156</v>
      </c>
      <c r="N576" s="46" t="s">
        <v>174</v>
      </c>
      <c r="O576" s="46" t="s">
        <v>146</v>
      </c>
      <c r="P576" s="46" t="s">
        <v>158</v>
      </c>
      <c r="Q576" s="46" t="str">
        <f t="shared" si="1"/>
        <v>October, 2011</v>
      </c>
      <c r="R576" s="115">
        <f t="shared" si="2"/>
        <v>40817</v>
      </c>
      <c r="S576" s="49">
        <f t="array" ref="S576">WEEKDAY(D576,2)</f>
        <v>5</v>
      </c>
      <c r="T576" s="46" t="s">
        <v>107</v>
      </c>
      <c r="U576" s="46" t="str">
        <f t="array" ref="U576">TEXT(D576,"dddd")</f>
        <v>Friday</v>
      </c>
    </row>
    <row r="577" hidden="1">
      <c r="A577" s="46">
        <v>4.80652987E8</v>
      </c>
      <c r="B577" s="137" t="s">
        <v>222</v>
      </c>
      <c r="C577" s="137">
        <v>2017.0</v>
      </c>
      <c r="D577" s="138">
        <v>42817.0</v>
      </c>
      <c r="E577" s="139">
        <v>42830.0</v>
      </c>
      <c r="F577" s="142" t="s">
        <v>223</v>
      </c>
      <c r="G577" s="142">
        <v>2017.0</v>
      </c>
      <c r="H577" s="46">
        <v>7331.0</v>
      </c>
      <c r="I577" s="46">
        <v>4755.0</v>
      </c>
      <c r="J577" s="84">
        <v>1213856.4</v>
      </c>
      <c r="K577" s="84">
        <v>758042.1</v>
      </c>
      <c r="L577" s="84">
        <v>455814.29999999993</v>
      </c>
      <c r="M577" s="46" t="s">
        <v>161</v>
      </c>
      <c r="N577" s="46" t="s">
        <v>197</v>
      </c>
      <c r="O577" s="46" t="s">
        <v>146</v>
      </c>
      <c r="P577" s="46" t="s">
        <v>147</v>
      </c>
      <c r="Q577" s="46" t="str">
        <f t="shared" si="1"/>
        <v>March, 2017</v>
      </c>
      <c r="R577" s="115">
        <f t="shared" si="2"/>
        <v>42795</v>
      </c>
      <c r="S577" s="49">
        <f t="array" ref="S577">WEEKDAY(D577,2)</f>
        <v>4</v>
      </c>
      <c r="T577" s="46" t="s">
        <v>126</v>
      </c>
      <c r="U577" s="46" t="str">
        <f t="array" ref="U577">TEXT(D577,"dddd")</f>
        <v>Thursday</v>
      </c>
    </row>
    <row r="578" hidden="1">
      <c r="A578" s="46">
        <v>4.80904042E8</v>
      </c>
      <c r="B578" s="137" t="s">
        <v>227</v>
      </c>
      <c r="C578" s="137">
        <v>2010.0</v>
      </c>
      <c r="D578" s="138">
        <v>40201.0</v>
      </c>
      <c r="E578" s="139">
        <v>40214.0</v>
      </c>
      <c r="F578" s="142" t="s">
        <v>228</v>
      </c>
      <c r="G578" s="142">
        <v>2010.0</v>
      </c>
      <c r="H578" s="46">
        <v>8969.0</v>
      </c>
      <c r="I578" s="46">
        <v>9048.0</v>
      </c>
      <c r="J578" s="84">
        <v>1380543.84</v>
      </c>
      <c r="K578" s="84">
        <v>881637.12</v>
      </c>
      <c r="L578" s="84">
        <v>498906.7200000001</v>
      </c>
      <c r="M578" s="46" t="s">
        <v>182</v>
      </c>
      <c r="N578" s="46" t="s">
        <v>199</v>
      </c>
      <c r="O578" s="46" t="s">
        <v>146</v>
      </c>
      <c r="P578" s="46" t="s">
        <v>147</v>
      </c>
      <c r="Q578" s="46" t="str">
        <f t="shared" si="1"/>
        <v>January, 2010</v>
      </c>
      <c r="R578" s="115">
        <f t="shared" si="2"/>
        <v>40179</v>
      </c>
      <c r="S578" s="49">
        <f t="array" ref="S578">WEEKDAY(D578,2)</f>
        <v>6</v>
      </c>
      <c r="T578" s="46" t="s">
        <v>128</v>
      </c>
      <c r="U578" s="46" t="str">
        <f t="array" ref="U578">TEXT(D578,"dddd")</f>
        <v>Saturday</v>
      </c>
    </row>
    <row r="579" hidden="1">
      <c r="A579" s="46">
        <v>4.81114327E8</v>
      </c>
      <c r="B579" s="137" t="s">
        <v>224</v>
      </c>
      <c r="C579" s="137">
        <v>2015.0</v>
      </c>
      <c r="D579" s="138">
        <v>42312.0</v>
      </c>
      <c r="E579" s="139">
        <v>42332.0</v>
      </c>
      <c r="F579" s="142" t="s">
        <v>224</v>
      </c>
      <c r="G579" s="142">
        <v>2015.0</v>
      </c>
      <c r="H579" s="46">
        <v>2103.0</v>
      </c>
      <c r="I579" s="46">
        <v>1276.0</v>
      </c>
      <c r="J579" s="84">
        <v>262473.2</v>
      </c>
      <c r="K579" s="84">
        <v>149432.36</v>
      </c>
      <c r="L579" s="84">
        <v>113040.84000000003</v>
      </c>
      <c r="M579" s="46" t="s">
        <v>144</v>
      </c>
      <c r="N579" s="46" t="s">
        <v>183</v>
      </c>
      <c r="O579" s="46" t="s">
        <v>146</v>
      </c>
      <c r="P579" s="46" t="s">
        <v>170</v>
      </c>
      <c r="Q579" s="46" t="str">
        <f t="shared" si="1"/>
        <v>November, 2015</v>
      </c>
      <c r="R579" s="115">
        <f t="shared" si="2"/>
        <v>42309</v>
      </c>
      <c r="S579" s="49">
        <f t="array" ref="S579">WEEKDAY(D579,2)</f>
        <v>3</v>
      </c>
      <c r="T579" s="46" t="s">
        <v>90</v>
      </c>
      <c r="U579" s="46" t="str">
        <f t="array" ref="U579">TEXT(D579,"dddd")</f>
        <v>Wednesday</v>
      </c>
    </row>
    <row r="580" hidden="1">
      <c r="A580" s="46">
        <v>4.81308305E8</v>
      </c>
      <c r="B580" s="137" t="s">
        <v>221</v>
      </c>
      <c r="C580" s="137">
        <v>2014.0</v>
      </c>
      <c r="D580" s="138">
        <v>41889.0</v>
      </c>
      <c r="E580" s="139">
        <v>41928.0</v>
      </c>
      <c r="F580" s="142" t="s">
        <v>226</v>
      </c>
      <c r="G580" s="142">
        <v>2014.0</v>
      </c>
      <c r="H580" s="46">
        <v>7331.0</v>
      </c>
      <c r="I580" s="46">
        <v>8678.0</v>
      </c>
      <c r="J580" s="84">
        <v>2215319.84</v>
      </c>
      <c r="K580" s="84">
        <v>1383446.7599999998</v>
      </c>
      <c r="L580" s="84">
        <v>831873.0800000001</v>
      </c>
      <c r="M580" s="46" t="s">
        <v>161</v>
      </c>
      <c r="N580" s="46" t="s">
        <v>201</v>
      </c>
      <c r="O580" s="46" t="s">
        <v>146</v>
      </c>
      <c r="P580" s="46" t="s">
        <v>170</v>
      </c>
      <c r="Q580" s="46" t="str">
        <f t="shared" si="1"/>
        <v>September, 2014</v>
      </c>
      <c r="R580" s="115">
        <f t="shared" si="2"/>
        <v>41883</v>
      </c>
      <c r="S580" s="49">
        <f t="array" ref="S580">WEEKDAY(D580,2)</f>
        <v>7</v>
      </c>
      <c r="T580" s="46" t="s">
        <v>130</v>
      </c>
      <c r="U580" s="46" t="str">
        <f t="array" ref="U580">TEXT(D580,"dddd")</f>
        <v>Sunday</v>
      </c>
    </row>
    <row r="581" hidden="1">
      <c r="A581" s="46">
        <v>4.81976497E8</v>
      </c>
      <c r="B581" s="137" t="s">
        <v>226</v>
      </c>
      <c r="C581" s="137">
        <v>2016.0</v>
      </c>
      <c r="D581" s="138">
        <v>42670.0</v>
      </c>
      <c r="E581" s="139">
        <v>42707.0</v>
      </c>
      <c r="F581" s="142" t="s">
        <v>225</v>
      </c>
      <c r="G581" s="142">
        <v>2016.0</v>
      </c>
      <c r="H581" s="46">
        <v>4594.0</v>
      </c>
      <c r="I581" s="46">
        <v>6411.0</v>
      </c>
      <c r="J581" s="84">
        <v>59814.63</v>
      </c>
      <c r="K581" s="84">
        <v>44364.12</v>
      </c>
      <c r="L581" s="84">
        <v>15450.509999999995</v>
      </c>
      <c r="M581" s="46" t="s">
        <v>156</v>
      </c>
      <c r="N581" s="46" t="s">
        <v>172</v>
      </c>
      <c r="O581" s="46" t="s">
        <v>146</v>
      </c>
      <c r="P581" s="46" t="s">
        <v>155</v>
      </c>
      <c r="Q581" s="46" t="str">
        <f t="shared" si="1"/>
        <v>October, 2016</v>
      </c>
      <c r="R581" s="115">
        <f t="shared" si="2"/>
        <v>42644</v>
      </c>
      <c r="S581" s="49">
        <f t="array" ref="S581">WEEKDAY(D581,2)</f>
        <v>4</v>
      </c>
      <c r="T581" s="46" t="s">
        <v>105</v>
      </c>
      <c r="U581" s="46" t="str">
        <f t="array" ref="U581">TEXT(D581,"dddd")</f>
        <v>Thursday</v>
      </c>
    </row>
    <row r="582" hidden="1">
      <c r="A582" s="46">
        <v>4.83438193E8</v>
      </c>
      <c r="B582" s="137" t="s">
        <v>216</v>
      </c>
      <c r="C582" s="137">
        <v>2012.0</v>
      </c>
      <c r="D582" s="138">
        <v>41144.0</v>
      </c>
      <c r="E582" s="139">
        <v>41178.0</v>
      </c>
      <c r="F582" s="142" t="s">
        <v>221</v>
      </c>
      <c r="G582" s="142">
        <v>2012.0</v>
      </c>
      <c r="H582" s="46">
        <v>8875.0</v>
      </c>
      <c r="I582" s="46">
        <v>8959.0</v>
      </c>
      <c r="J582" s="84">
        <v>3779712.51</v>
      </c>
      <c r="K582" s="84">
        <v>3267257.71</v>
      </c>
      <c r="L582" s="84">
        <v>512454.7999999998</v>
      </c>
      <c r="M582" s="46" t="s">
        <v>167</v>
      </c>
      <c r="N582" s="46" t="s">
        <v>168</v>
      </c>
      <c r="O582" s="46" t="s">
        <v>165</v>
      </c>
      <c r="P582" s="46" t="s">
        <v>166</v>
      </c>
      <c r="Q582" s="46" t="str">
        <f t="shared" si="1"/>
        <v>August, 2012</v>
      </c>
      <c r="R582" s="115">
        <f t="shared" si="2"/>
        <v>41122</v>
      </c>
      <c r="S582" s="49">
        <f t="array" ref="S582">WEEKDAY(D582,2)</f>
        <v>4</v>
      </c>
      <c r="T582" s="46" t="s">
        <v>102</v>
      </c>
      <c r="U582" s="46" t="str">
        <f t="array" ref="U582">TEXT(D582,"dddd")</f>
        <v>Thursday</v>
      </c>
    </row>
    <row r="583">
      <c r="A583" s="46">
        <v>4.83655774E8</v>
      </c>
      <c r="B583" s="137" t="s">
        <v>217</v>
      </c>
      <c r="C583" s="137">
        <v>2017.0</v>
      </c>
      <c r="D583" s="138">
        <v>42934.0</v>
      </c>
      <c r="E583" s="139">
        <v>42952.0</v>
      </c>
      <c r="F583" s="142" t="s">
        <v>216</v>
      </c>
      <c r="G583" s="142">
        <v>2017.0</v>
      </c>
      <c r="H583" s="46">
        <v>2103.0</v>
      </c>
      <c r="I583" s="46">
        <v>3346.0</v>
      </c>
      <c r="J583" s="84">
        <v>688272.2</v>
      </c>
      <c r="K583" s="84">
        <v>391850.06</v>
      </c>
      <c r="L583" s="84">
        <v>296422.13999999996</v>
      </c>
      <c r="M583" s="46" t="s">
        <v>144</v>
      </c>
      <c r="N583" s="46" t="s">
        <v>149</v>
      </c>
      <c r="O583" s="46" t="s">
        <v>149</v>
      </c>
      <c r="P583" s="46" t="s">
        <v>218</v>
      </c>
      <c r="Q583" s="46" t="str">
        <f t="shared" si="1"/>
        <v>July, 2017</v>
      </c>
      <c r="R583" s="115">
        <f t="shared" si="2"/>
        <v>42917</v>
      </c>
      <c r="S583" s="49">
        <f t="array" ref="S583">WEEKDAY(D583,2)</f>
        <v>2</v>
      </c>
      <c r="T583" s="46" t="s">
        <v>92</v>
      </c>
      <c r="U583" s="46" t="str">
        <f t="array" ref="U583">TEXT(D583,"dddd")</f>
        <v>Tuesday</v>
      </c>
    </row>
    <row r="584" hidden="1">
      <c r="A584" s="46">
        <v>4.83981502E8</v>
      </c>
      <c r="B584" s="137" t="s">
        <v>223</v>
      </c>
      <c r="C584" s="137">
        <v>2010.0</v>
      </c>
      <c r="D584" s="138">
        <v>40277.0</v>
      </c>
      <c r="E584" s="139">
        <v>40302.0</v>
      </c>
      <c r="F584" s="142" t="s">
        <v>219</v>
      </c>
      <c r="G584" s="142">
        <v>2010.0</v>
      </c>
      <c r="H584" s="46">
        <v>8681.0</v>
      </c>
      <c r="I584" s="46">
        <v>9736.0</v>
      </c>
      <c r="J584" s="84">
        <v>6340180.5600000005</v>
      </c>
      <c r="K584" s="84">
        <v>5111010.5600000005</v>
      </c>
      <c r="L584" s="84">
        <v>1229170.0</v>
      </c>
      <c r="M584" s="46" t="s">
        <v>153</v>
      </c>
      <c r="N584" s="46" t="s">
        <v>171</v>
      </c>
      <c r="O584" s="46" t="s">
        <v>146</v>
      </c>
      <c r="P584" s="46" t="s">
        <v>147</v>
      </c>
      <c r="Q584" s="46" t="str">
        <f t="shared" si="1"/>
        <v>April, 2010</v>
      </c>
      <c r="R584" s="115">
        <f t="shared" si="2"/>
        <v>40269</v>
      </c>
      <c r="S584" s="49">
        <f t="array" ref="S584">WEEKDAY(D584,2)</f>
        <v>5</v>
      </c>
      <c r="T584" s="46" t="s">
        <v>104</v>
      </c>
      <c r="U584" s="46" t="str">
        <f t="array" ref="U584">TEXT(D584,"dddd")</f>
        <v>Friday</v>
      </c>
    </row>
    <row r="585" hidden="1">
      <c r="A585" s="46">
        <v>4.85165965E8</v>
      </c>
      <c r="B585" s="137" t="s">
        <v>224</v>
      </c>
      <c r="C585" s="137">
        <v>2016.0</v>
      </c>
      <c r="D585" s="138">
        <v>42685.0</v>
      </c>
      <c r="E585" s="139">
        <v>42718.0</v>
      </c>
      <c r="F585" s="142" t="s">
        <v>225</v>
      </c>
      <c r="G585" s="142">
        <v>2016.0</v>
      </c>
      <c r="H585" s="46">
        <v>8969.0</v>
      </c>
      <c r="I585" s="46">
        <v>245.0</v>
      </c>
      <c r="J585" s="84">
        <v>37382.100000000006</v>
      </c>
      <c r="K585" s="84">
        <v>23872.8</v>
      </c>
      <c r="L585" s="84">
        <v>13509.300000000007</v>
      </c>
      <c r="M585" s="46" t="s">
        <v>182</v>
      </c>
      <c r="N585" s="46" t="s">
        <v>160</v>
      </c>
      <c r="O585" s="46" t="s">
        <v>146</v>
      </c>
      <c r="P585" s="46" t="s">
        <v>147</v>
      </c>
      <c r="Q585" s="46" t="str">
        <f t="shared" si="1"/>
        <v>November, 2016</v>
      </c>
      <c r="R585" s="115">
        <f t="shared" si="2"/>
        <v>42675</v>
      </c>
      <c r="S585" s="49">
        <f t="array" ref="S585">WEEKDAY(D585,2)</f>
        <v>5</v>
      </c>
      <c r="T585" s="46" t="s">
        <v>98</v>
      </c>
      <c r="U585" s="46" t="str">
        <f t="array" ref="U585">TEXT(D585,"dddd")</f>
        <v>Friday</v>
      </c>
    </row>
    <row r="586" hidden="1">
      <c r="A586" s="46">
        <v>4.85929429E8</v>
      </c>
      <c r="B586" s="137" t="s">
        <v>223</v>
      </c>
      <c r="C586" s="137">
        <v>2017.0</v>
      </c>
      <c r="D586" s="138">
        <v>42842.0</v>
      </c>
      <c r="E586" s="139">
        <v>42874.0</v>
      </c>
      <c r="F586" s="142" t="s">
        <v>219</v>
      </c>
      <c r="G586" s="142">
        <v>2017.0</v>
      </c>
      <c r="H586" s="46">
        <v>3127.0</v>
      </c>
      <c r="I586" s="46">
        <v>6171.0</v>
      </c>
      <c r="J586" s="84">
        <v>504355.83</v>
      </c>
      <c r="K586" s="84">
        <v>349710.57</v>
      </c>
      <c r="L586" s="84">
        <v>154645.26</v>
      </c>
      <c r="M586" s="46" t="s">
        <v>185</v>
      </c>
      <c r="N586" s="46" t="s">
        <v>181</v>
      </c>
      <c r="O586" s="46" t="s">
        <v>146</v>
      </c>
      <c r="P586" s="46" t="s">
        <v>155</v>
      </c>
      <c r="Q586" s="46" t="str">
        <f t="shared" si="1"/>
        <v>April, 2017</v>
      </c>
      <c r="R586" s="115">
        <f t="shared" si="2"/>
        <v>42826</v>
      </c>
      <c r="S586" s="49">
        <f t="array" ref="S586">WEEKDAY(D586,2)</f>
        <v>1</v>
      </c>
      <c r="T586" s="46" t="s">
        <v>113</v>
      </c>
      <c r="U586" s="46" t="str">
        <f t="array" ref="U586">TEXT(D586,"dddd")</f>
        <v>Monday</v>
      </c>
    </row>
    <row r="587" hidden="1">
      <c r="A587" s="46">
        <v>4.86345708E8</v>
      </c>
      <c r="B587" s="137" t="s">
        <v>221</v>
      </c>
      <c r="C587" s="137">
        <v>2014.0</v>
      </c>
      <c r="D587" s="138">
        <v>41885.0</v>
      </c>
      <c r="E587" s="139">
        <v>41923.0</v>
      </c>
      <c r="F587" s="142" t="s">
        <v>226</v>
      </c>
      <c r="G587" s="142">
        <v>2014.0</v>
      </c>
      <c r="H587" s="46">
        <v>8293.0</v>
      </c>
      <c r="I587" s="46">
        <v>9357.0</v>
      </c>
      <c r="J587" s="84">
        <v>4090880.4</v>
      </c>
      <c r="K587" s="84">
        <v>2463978.81</v>
      </c>
      <c r="L587" s="84">
        <v>1626901.5899999999</v>
      </c>
      <c r="M587" s="46" t="s">
        <v>178</v>
      </c>
      <c r="N587" s="46" t="s">
        <v>179</v>
      </c>
      <c r="O587" s="46" t="s">
        <v>146</v>
      </c>
      <c r="P587" s="46" t="s">
        <v>155</v>
      </c>
      <c r="Q587" s="46" t="str">
        <f t="shared" si="1"/>
        <v>September, 2014</v>
      </c>
      <c r="R587" s="115">
        <f t="shared" si="2"/>
        <v>41883</v>
      </c>
      <c r="S587" s="49">
        <f t="array" ref="S587">WEEKDAY(D587,2)</f>
        <v>3</v>
      </c>
      <c r="T587" s="46" t="s">
        <v>111</v>
      </c>
      <c r="U587" s="46" t="str">
        <f t="array" ref="U587">TEXT(D587,"dddd")</f>
        <v>Wednesday</v>
      </c>
    </row>
    <row r="588" hidden="1">
      <c r="A588" s="46">
        <v>4.8646115E8</v>
      </c>
      <c r="B588" s="137" t="s">
        <v>226</v>
      </c>
      <c r="C588" s="137">
        <v>2016.0</v>
      </c>
      <c r="D588" s="138">
        <v>42648.0</v>
      </c>
      <c r="E588" s="139">
        <v>42687.0</v>
      </c>
      <c r="F588" s="142" t="s">
        <v>224</v>
      </c>
      <c r="G588" s="142">
        <v>2016.0</v>
      </c>
      <c r="H588" s="46">
        <v>5988.0</v>
      </c>
      <c r="I588" s="46">
        <v>3519.0</v>
      </c>
      <c r="J588" s="84">
        <v>542137.14</v>
      </c>
      <c r="K588" s="84">
        <v>319982.67000000004</v>
      </c>
      <c r="L588" s="84">
        <v>222154.46999999997</v>
      </c>
      <c r="M588" s="46" t="s">
        <v>159</v>
      </c>
      <c r="N588" s="46" t="s">
        <v>195</v>
      </c>
      <c r="O588" s="46" t="s">
        <v>146</v>
      </c>
      <c r="P588" s="46" t="s">
        <v>170</v>
      </c>
      <c r="Q588" s="46" t="str">
        <f t="shared" si="1"/>
        <v>October, 2016</v>
      </c>
      <c r="R588" s="115">
        <f t="shared" si="2"/>
        <v>42644</v>
      </c>
      <c r="S588" s="49">
        <f t="array" ref="S588">WEEKDAY(D588,2)</f>
        <v>3</v>
      </c>
      <c r="T588" s="46" t="s">
        <v>124</v>
      </c>
      <c r="U588" s="46" t="str">
        <f t="array" ref="U588">TEXT(D588,"dddd")</f>
        <v>Wednesday</v>
      </c>
    </row>
    <row r="589" hidden="1">
      <c r="A589" s="46">
        <v>4.8831638E8</v>
      </c>
      <c r="B589" s="137" t="s">
        <v>226</v>
      </c>
      <c r="C589" s="137">
        <v>2015.0</v>
      </c>
      <c r="D589" s="138">
        <v>42308.0</v>
      </c>
      <c r="E589" s="139">
        <v>42326.0</v>
      </c>
      <c r="F589" s="142" t="s">
        <v>224</v>
      </c>
      <c r="G589" s="142">
        <v>2015.0</v>
      </c>
      <c r="H589" s="46">
        <v>4594.0</v>
      </c>
      <c r="I589" s="46">
        <v>2523.0</v>
      </c>
      <c r="J589" s="84">
        <v>23539.59</v>
      </c>
      <c r="K589" s="84">
        <v>17459.16</v>
      </c>
      <c r="L589" s="84">
        <v>6080.43</v>
      </c>
      <c r="M589" s="46" t="s">
        <v>156</v>
      </c>
      <c r="N589" s="46" t="s">
        <v>208</v>
      </c>
      <c r="O589" s="46" t="s">
        <v>146</v>
      </c>
      <c r="P589" s="46" t="s">
        <v>147</v>
      </c>
      <c r="Q589" s="46" t="str">
        <f t="shared" si="1"/>
        <v>October, 2015</v>
      </c>
      <c r="R589" s="115">
        <f t="shared" si="2"/>
        <v>42278</v>
      </c>
      <c r="S589" s="49">
        <f t="array" ref="S589">WEEKDAY(D589,2)</f>
        <v>6</v>
      </c>
      <c r="T589" s="46" t="s">
        <v>138</v>
      </c>
      <c r="U589" s="46" t="str">
        <f t="array" ref="U589">TEXT(D589,"dddd")</f>
        <v>Saturday</v>
      </c>
    </row>
    <row r="590" hidden="1">
      <c r="A590" s="46">
        <v>4.88815915E8</v>
      </c>
      <c r="B590" s="137" t="s">
        <v>222</v>
      </c>
      <c r="C590" s="137">
        <v>2011.0</v>
      </c>
      <c r="D590" s="138">
        <v>40605.0</v>
      </c>
      <c r="E590" s="139">
        <v>40650.0</v>
      </c>
      <c r="F590" s="142" t="s">
        <v>223</v>
      </c>
      <c r="G590" s="142">
        <v>2011.0</v>
      </c>
      <c r="H590" s="46">
        <v>8969.0</v>
      </c>
      <c r="I590" s="46">
        <v>347.0</v>
      </c>
      <c r="J590" s="84">
        <v>52945.26</v>
      </c>
      <c r="K590" s="84">
        <v>33811.68</v>
      </c>
      <c r="L590" s="84">
        <v>19133.58</v>
      </c>
      <c r="M590" s="46" t="s">
        <v>182</v>
      </c>
      <c r="N590" s="46" t="s">
        <v>162</v>
      </c>
      <c r="O590" s="46" t="s">
        <v>146</v>
      </c>
      <c r="P590" s="46" t="s">
        <v>147</v>
      </c>
      <c r="Q590" s="46" t="str">
        <f t="shared" si="1"/>
        <v>March, 2011</v>
      </c>
      <c r="R590" s="115">
        <f t="shared" si="2"/>
        <v>40603</v>
      </c>
      <c r="S590" s="49">
        <f t="array" ref="S590">WEEKDAY(D590,2)</f>
        <v>4</v>
      </c>
      <c r="T590" s="46" t="s">
        <v>99</v>
      </c>
      <c r="U590" s="46" t="str">
        <f t="array" ref="U590">TEXT(D590,"dddd")</f>
        <v>Thursday</v>
      </c>
    </row>
    <row r="591" hidden="1">
      <c r="A591" s="46">
        <v>4.89600837E8</v>
      </c>
      <c r="B591" s="137" t="s">
        <v>219</v>
      </c>
      <c r="C591" s="137">
        <v>2014.0</v>
      </c>
      <c r="D591" s="138">
        <v>41768.0</v>
      </c>
      <c r="E591" s="139">
        <v>41799.0</v>
      </c>
      <c r="F591" s="142" t="s">
        <v>220</v>
      </c>
      <c r="G591" s="142">
        <v>2014.0</v>
      </c>
      <c r="H591" s="46">
        <v>5988.0</v>
      </c>
      <c r="I591" s="46">
        <v>2622.0</v>
      </c>
      <c r="J591" s="84">
        <v>403945.32</v>
      </c>
      <c r="K591" s="84">
        <v>238418.46000000002</v>
      </c>
      <c r="L591" s="84">
        <v>165526.86</v>
      </c>
      <c r="M591" s="46" t="s">
        <v>159</v>
      </c>
      <c r="N591" s="46" t="s">
        <v>189</v>
      </c>
      <c r="O591" s="46" t="s">
        <v>146</v>
      </c>
      <c r="P591" s="46" t="s">
        <v>158</v>
      </c>
      <c r="Q591" s="46" t="str">
        <f t="shared" si="1"/>
        <v>May, 2014</v>
      </c>
      <c r="R591" s="115">
        <f t="shared" si="2"/>
        <v>41760</v>
      </c>
      <c r="S591" s="49">
        <f t="array" ref="S591">WEEKDAY(D591,2)</f>
        <v>5</v>
      </c>
      <c r="T591" s="46" t="s">
        <v>118</v>
      </c>
      <c r="U591" s="46" t="str">
        <f t="array" ref="U591">TEXT(D591,"dddd")</f>
        <v>Friday</v>
      </c>
    </row>
    <row r="592">
      <c r="A592" s="46">
        <v>4.89848029E8</v>
      </c>
      <c r="B592" s="137" t="s">
        <v>219</v>
      </c>
      <c r="C592" s="137">
        <v>2010.0</v>
      </c>
      <c r="D592" s="138">
        <v>40299.0</v>
      </c>
      <c r="E592" s="139">
        <v>40318.0</v>
      </c>
      <c r="F592" s="142" t="s">
        <v>219</v>
      </c>
      <c r="G592" s="142">
        <v>2010.0</v>
      </c>
      <c r="H592" s="46">
        <v>8969.0</v>
      </c>
      <c r="I592" s="46">
        <v>5772.0</v>
      </c>
      <c r="J592" s="84">
        <v>880691.7600000001</v>
      </c>
      <c r="K592" s="84">
        <v>562423.6799999999</v>
      </c>
      <c r="L592" s="84">
        <v>318268.0800000002</v>
      </c>
      <c r="M592" s="46" t="s">
        <v>182</v>
      </c>
      <c r="N592" s="46" t="s">
        <v>149</v>
      </c>
      <c r="O592" s="46" t="s">
        <v>149</v>
      </c>
      <c r="P592" s="46" t="s">
        <v>218</v>
      </c>
      <c r="Q592" s="46" t="str">
        <f t="shared" si="1"/>
        <v>May, 2010</v>
      </c>
      <c r="R592" s="115">
        <f t="shared" si="2"/>
        <v>40299</v>
      </c>
      <c r="S592" s="49">
        <f t="array" ref="S592">WEEKDAY(D592,2)</f>
        <v>6</v>
      </c>
      <c r="T592" s="46" t="s">
        <v>92</v>
      </c>
      <c r="U592" s="46" t="str">
        <f t="array" ref="U592">TEXT(D592,"dddd")</f>
        <v>Saturday</v>
      </c>
    </row>
    <row r="593">
      <c r="A593" s="46">
        <v>4.91547477E8</v>
      </c>
      <c r="B593" s="137" t="s">
        <v>224</v>
      </c>
      <c r="C593" s="137">
        <v>2014.0</v>
      </c>
      <c r="D593" s="138">
        <v>41950.0</v>
      </c>
      <c r="E593" s="139">
        <v>41950.0</v>
      </c>
      <c r="F593" s="142" t="s">
        <v>224</v>
      </c>
      <c r="G593" s="142">
        <v>2014.0</v>
      </c>
      <c r="H593" s="46">
        <v>5988.0</v>
      </c>
      <c r="I593" s="46">
        <v>8676.0</v>
      </c>
      <c r="J593" s="84">
        <v>1336624.56</v>
      </c>
      <c r="K593" s="84">
        <v>788908.68</v>
      </c>
      <c r="L593" s="84">
        <v>547715.88</v>
      </c>
      <c r="M593" s="46" t="s">
        <v>159</v>
      </c>
      <c r="N593" s="46" t="s">
        <v>149</v>
      </c>
      <c r="O593" s="46" t="s">
        <v>149</v>
      </c>
      <c r="P593" s="46" t="s">
        <v>218</v>
      </c>
      <c r="Q593" s="46" t="str">
        <f t="shared" si="1"/>
        <v>November, 2014</v>
      </c>
      <c r="R593" s="115">
        <f t="shared" si="2"/>
        <v>41944</v>
      </c>
      <c r="S593" s="49">
        <f t="array" ref="S593">WEEKDAY(D593,2)</f>
        <v>5</v>
      </c>
      <c r="T593" s="46" t="s">
        <v>92</v>
      </c>
      <c r="U593" s="46" t="str">
        <f t="array" ref="U593">TEXT(D593,"dddd")</f>
        <v>Friday</v>
      </c>
    </row>
    <row r="594" hidden="1">
      <c r="A594" s="46">
        <v>4.92353856E8</v>
      </c>
      <c r="B594" s="137" t="s">
        <v>222</v>
      </c>
      <c r="C594" s="137">
        <v>2013.0</v>
      </c>
      <c r="D594" s="138">
        <v>41353.0</v>
      </c>
      <c r="E594" s="139">
        <v>41375.0</v>
      </c>
      <c r="F594" s="142" t="s">
        <v>223</v>
      </c>
      <c r="G594" s="142">
        <v>2013.0</v>
      </c>
      <c r="H594" s="46">
        <v>7940.0</v>
      </c>
      <c r="I594" s="46">
        <v>7302.0</v>
      </c>
      <c r="J594" s="84">
        <v>4879707.54</v>
      </c>
      <c r="K594" s="84">
        <v>3669547.08</v>
      </c>
      <c r="L594" s="84">
        <v>1210160.46</v>
      </c>
      <c r="M594" s="46" t="s">
        <v>148</v>
      </c>
      <c r="N594" s="46" t="s">
        <v>175</v>
      </c>
      <c r="O594" s="46" t="s">
        <v>165</v>
      </c>
      <c r="P594" s="46" t="s">
        <v>166</v>
      </c>
      <c r="Q594" s="46" t="str">
        <f t="shared" si="1"/>
        <v>March, 2013</v>
      </c>
      <c r="R594" s="115">
        <f t="shared" si="2"/>
        <v>41334</v>
      </c>
      <c r="S594" s="49">
        <f t="array" ref="S594">WEEKDAY(D594,2)</f>
        <v>3</v>
      </c>
      <c r="T594" s="46" t="s">
        <v>108</v>
      </c>
      <c r="U594" s="46" t="str">
        <f t="array" ref="U594">TEXT(D594,"dddd")</f>
        <v>Wednesday</v>
      </c>
    </row>
    <row r="595" hidden="1">
      <c r="A595" s="46">
        <v>4.95450627E8</v>
      </c>
      <c r="B595" s="137" t="s">
        <v>224</v>
      </c>
      <c r="C595" s="137">
        <v>2012.0</v>
      </c>
      <c r="D595" s="138">
        <v>41227.0</v>
      </c>
      <c r="E595" s="139">
        <v>41269.0</v>
      </c>
      <c r="F595" s="142" t="s">
        <v>225</v>
      </c>
      <c r="G595" s="142">
        <v>2012.0</v>
      </c>
      <c r="H595" s="46">
        <v>2103.0</v>
      </c>
      <c r="I595" s="46">
        <v>3705.0</v>
      </c>
      <c r="J595" s="84">
        <v>762118.5</v>
      </c>
      <c r="K595" s="84">
        <v>433892.55</v>
      </c>
      <c r="L595" s="84">
        <v>328225.95</v>
      </c>
      <c r="M595" s="46" t="s">
        <v>144</v>
      </c>
      <c r="N595" s="46" t="s">
        <v>176</v>
      </c>
      <c r="O595" s="46" t="s">
        <v>146</v>
      </c>
      <c r="P595" s="46" t="s">
        <v>158</v>
      </c>
      <c r="Q595" s="46" t="str">
        <f t="shared" si="1"/>
        <v>November, 2012</v>
      </c>
      <c r="R595" s="115">
        <f t="shared" si="2"/>
        <v>41214</v>
      </c>
      <c r="S595" s="49">
        <f t="array" ref="S595">WEEKDAY(D595,2)</f>
        <v>3</v>
      </c>
      <c r="T595" s="46" t="s">
        <v>109</v>
      </c>
      <c r="U595" s="46" t="str">
        <f t="array" ref="U595">TEXT(D595,"dddd")</f>
        <v>Wednesday</v>
      </c>
    </row>
    <row r="596" hidden="1">
      <c r="A596" s="46">
        <v>4.95593106E8</v>
      </c>
      <c r="B596" s="137" t="s">
        <v>221</v>
      </c>
      <c r="C596" s="137">
        <v>2015.0</v>
      </c>
      <c r="D596" s="138">
        <v>42262.0</v>
      </c>
      <c r="E596" s="139">
        <v>42285.0</v>
      </c>
      <c r="F596" s="142" t="s">
        <v>226</v>
      </c>
      <c r="G596" s="142">
        <v>2015.0</v>
      </c>
      <c r="H596" s="46">
        <v>1270.0</v>
      </c>
      <c r="I596" s="46">
        <v>5868.0</v>
      </c>
      <c r="J596" s="84">
        <v>278436.60000000003</v>
      </c>
      <c r="K596" s="84">
        <v>186543.72</v>
      </c>
      <c r="L596" s="84">
        <v>91892.88000000003</v>
      </c>
      <c r="M596" s="46" t="s">
        <v>152</v>
      </c>
      <c r="N596" s="46" t="s">
        <v>154</v>
      </c>
      <c r="O596" s="46" t="s">
        <v>146</v>
      </c>
      <c r="P596" s="46" t="s">
        <v>155</v>
      </c>
      <c r="Q596" s="46" t="str">
        <f t="shared" si="1"/>
        <v>September, 2015</v>
      </c>
      <c r="R596" s="115">
        <f t="shared" si="2"/>
        <v>42248</v>
      </c>
      <c r="S596" s="49">
        <f t="array" ref="S596">WEEKDAY(D596,2)</f>
        <v>2</v>
      </c>
      <c r="T596" s="46" t="s">
        <v>96</v>
      </c>
      <c r="U596" s="46" t="str">
        <f t="array" ref="U596">TEXT(D596,"dddd")</f>
        <v>Tuesday</v>
      </c>
    </row>
    <row r="597" hidden="1">
      <c r="A597" s="46">
        <v>4.95631301E8</v>
      </c>
      <c r="B597" s="137" t="s">
        <v>220</v>
      </c>
      <c r="C597" s="137">
        <v>2012.0</v>
      </c>
      <c r="D597" s="138">
        <v>41065.0</v>
      </c>
      <c r="E597" s="139">
        <v>41108.0</v>
      </c>
      <c r="F597" s="142" t="s">
        <v>217</v>
      </c>
      <c r="G597" s="142">
        <v>2012.0</v>
      </c>
      <c r="H597" s="46">
        <v>5988.0</v>
      </c>
      <c r="I597" s="46">
        <v>7171.0</v>
      </c>
      <c r="J597" s="84">
        <v>1104764.26</v>
      </c>
      <c r="K597" s="84">
        <v>652059.03</v>
      </c>
      <c r="L597" s="84">
        <v>452705.23</v>
      </c>
      <c r="M597" s="46" t="s">
        <v>159</v>
      </c>
      <c r="N597" s="46" t="s">
        <v>194</v>
      </c>
      <c r="O597" s="46" t="s">
        <v>146</v>
      </c>
      <c r="P597" s="46" t="s">
        <v>155</v>
      </c>
      <c r="Q597" s="46" t="str">
        <f t="shared" si="1"/>
        <v>June, 2012</v>
      </c>
      <c r="R597" s="115">
        <f t="shared" si="2"/>
        <v>41061</v>
      </c>
      <c r="S597" s="49">
        <f t="array" ref="S597">WEEKDAY(D597,2)</f>
        <v>2</v>
      </c>
      <c r="T597" s="46" t="s">
        <v>123</v>
      </c>
      <c r="U597" s="46" t="str">
        <f t="array" ref="U597">TEXT(D597,"dddd")</f>
        <v>Tuesday</v>
      </c>
    </row>
    <row r="598" hidden="1">
      <c r="A598" s="46">
        <v>4.96826493E8</v>
      </c>
      <c r="B598" s="137" t="s">
        <v>226</v>
      </c>
      <c r="C598" s="137">
        <v>2012.0</v>
      </c>
      <c r="D598" s="138">
        <v>41210.0</v>
      </c>
      <c r="E598" s="139">
        <v>41254.0</v>
      </c>
      <c r="F598" s="142" t="s">
        <v>225</v>
      </c>
      <c r="G598" s="142">
        <v>2012.0</v>
      </c>
      <c r="H598" s="46">
        <v>4594.0</v>
      </c>
      <c r="I598" s="46">
        <v>855.0</v>
      </c>
      <c r="J598" s="84">
        <v>7977.15</v>
      </c>
      <c r="K598" s="84">
        <v>5916.6</v>
      </c>
      <c r="L598" s="84">
        <v>2060.5499999999993</v>
      </c>
      <c r="M598" s="46" t="s">
        <v>156</v>
      </c>
      <c r="N598" s="46" t="s">
        <v>168</v>
      </c>
      <c r="O598" s="46" t="s">
        <v>165</v>
      </c>
      <c r="P598" s="46" t="s">
        <v>166</v>
      </c>
      <c r="Q598" s="46" t="str">
        <f t="shared" si="1"/>
        <v>October, 2012</v>
      </c>
      <c r="R598" s="115">
        <f t="shared" si="2"/>
        <v>41183</v>
      </c>
      <c r="S598" s="49">
        <f t="array" ref="S598">WEEKDAY(D598,2)</f>
        <v>7</v>
      </c>
      <c r="T598" s="46" t="s">
        <v>102</v>
      </c>
      <c r="U598" s="46" t="str">
        <f t="array" ref="U598">TEXT(D598,"dddd")</f>
        <v>Sunday</v>
      </c>
    </row>
    <row r="599" hidden="1">
      <c r="A599" s="46">
        <v>4.97466361E8</v>
      </c>
      <c r="B599" s="137" t="s">
        <v>223</v>
      </c>
      <c r="C599" s="137">
        <v>2015.0</v>
      </c>
      <c r="D599" s="138">
        <v>42102.0</v>
      </c>
      <c r="E599" s="139">
        <v>42125.0</v>
      </c>
      <c r="F599" s="142" t="s">
        <v>219</v>
      </c>
      <c r="G599" s="142">
        <v>2015.0</v>
      </c>
      <c r="H599" s="46">
        <v>7940.0</v>
      </c>
      <c r="I599" s="46">
        <v>206.0</v>
      </c>
      <c r="J599" s="84">
        <v>137663.62</v>
      </c>
      <c r="K599" s="84">
        <v>103523.24</v>
      </c>
      <c r="L599" s="84">
        <v>34140.37999999999</v>
      </c>
      <c r="M599" s="46" t="s">
        <v>148</v>
      </c>
      <c r="N599" s="46" t="s">
        <v>176</v>
      </c>
      <c r="O599" s="46" t="s">
        <v>146</v>
      </c>
      <c r="P599" s="46" t="s">
        <v>158</v>
      </c>
      <c r="Q599" s="46" t="str">
        <f t="shared" si="1"/>
        <v>April, 2015</v>
      </c>
      <c r="R599" s="115">
        <f t="shared" si="2"/>
        <v>42095</v>
      </c>
      <c r="S599" s="49">
        <f t="array" ref="S599">WEEKDAY(D599,2)</f>
        <v>3</v>
      </c>
      <c r="T599" s="46" t="s">
        <v>109</v>
      </c>
      <c r="U599" s="46" t="str">
        <f t="array" ref="U599">TEXT(D599,"dddd")</f>
        <v>Wednesday</v>
      </c>
    </row>
    <row r="600" hidden="1">
      <c r="A600" s="46">
        <v>4.97506701E8</v>
      </c>
      <c r="B600" s="137" t="s">
        <v>223</v>
      </c>
      <c r="C600" s="137">
        <v>2015.0</v>
      </c>
      <c r="D600" s="138">
        <v>42112.0</v>
      </c>
      <c r="E600" s="139">
        <v>42134.0</v>
      </c>
      <c r="F600" s="142" t="s">
        <v>219</v>
      </c>
      <c r="G600" s="142">
        <v>2015.0</v>
      </c>
      <c r="H600" s="46">
        <v>7331.0</v>
      </c>
      <c r="I600" s="46">
        <v>2144.0</v>
      </c>
      <c r="J600" s="84">
        <v>547320.32</v>
      </c>
      <c r="K600" s="84">
        <v>341796.48</v>
      </c>
      <c r="L600" s="84">
        <v>205523.83999999997</v>
      </c>
      <c r="M600" s="46" t="s">
        <v>161</v>
      </c>
      <c r="N600" s="46" t="s">
        <v>198</v>
      </c>
      <c r="O600" s="46" t="s">
        <v>146</v>
      </c>
      <c r="P600" s="46" t="s">
        <v>170</v>
      </c>
      <c r="Q600" s="46" t="str">
        <f t="shared" si="1"/>
        <v>April, 2015</v>
      </c>
      <c r="R600" s="115">
        <f t="shared" si="2"/>
        <v>42095</v>
      </c>
      <c r="S600" s="49">
        <f t="array" ref="S600">WEEKDAY(D600,2)</f>
        <v>6</v>
      </c>
      <c r="T600" s="46" t="s">
        <v>127</v>
      </c>
      <c r="U600" s="46" t="str">
        <f t="array" ref="U600">TEXT(D600,"dddd")</f>
        <v>Saturday</v>
      </c>
    </row>
    <row r="601" hidden="1">
      <c r="A601" s="46">
        <v>4.97554337E8</v>
      </c>
      <c r="B601" s="137" t="s">
        <v>220</v>
      </c>
      <c r="C601" s="137">
        <v>2014.0</v>
      </c>
      <c r="D601" s="138">
        <v>41800.0</v>
      </c>
      <c r="E601" s="139">
        <v>41848.0</v>
      </c>
      <c r="F601" s="142" t="s">
        <v>217</v>
      </c>
      <c r="G601" s="142">
        <v>2014.0</v>
      </c>
      <c r="H601" s="46">
        <v>2455.0</v>
      </c>
      <c r="I601" s="46">
        <v>6240.0</v>
      </c>
      <c r="J601" s="84">
        <v>681907.2</v>
      </c>
      <c r="K601" s="84">
        <v>223641.60000000003</v>
      </c>
      <c r="L601" s="84">
        <v>458265.5999999999</v>
      </c>
      <c r="M601" s="46" t="s">
        <v>150</v>
      </c>
      <c r="N601" s="46" t="s">
        <v>175</v>
      </c>
      <c r="O601" s="46" t="s">
        <v>165</v>
      </c>
      <c r="P601" s="46" t="s">
        <v>166</v>
      </c>
      <c r="Q601" s="46" t="str">
        <f t="shared" si="1"/>
        <v>June, 2014</v>
      </c>
      <c r="R601" s="115">
        <f t="shared" si="2"/>
        <v>41791</v>
      </c>
      <c r="S601" s="49">
        <f t="array" ref="S601">WEEKDAY(D601,2)</f>
        <v>2</v>
      </c>
      <c r="T601" s="46" t="s">
        <v>108</v>
      </c>
      <c r="U601" s="46" t="str">
        <f t="array" ref="U601">TEXT(D601,"dddd")</f>
        <v>Tuesday</v>
      </c>
    </row>
    <row r="602" hidden="1">
      <c r="A602" s="46">
        <v>4.98089492E8</v>
      </c>
      <c r="B602" s="137" t="s">
        <v>222</v>
      </c>
      <c r="C602" s="137">
        <v>2016.0</v>
      </c>
      <c r="D602" s="138">
        <v>42431.0</v>
      </c>
      <c r="E602" s="139">
        <v>42451.0</v>
      </c>
      <c r="F602" s="142" t="s">
        <v>222</v>
      </c>
      <c r="G602" s="142">
        <v>2016.0</v>
      </c>
      <c r="H602" s="46">
        <v>8875.0</v>
      </c>
      <c r="I602" s="46">
        <v>4604.0</v>
      </c>
      <c r="J602" s="84">
        <v>1942381.5599999998</v>
      </c>
      <c r="K602" s="84">
        <v>1679032.76</v>
      </c>
      <c r="L602" s="84">
        <v>263348.7999999998</v>
      </c>
      <c r="M602" s="46" t="s">
        <v>167</v>
      </c>
      <c r="N602" s="46" t="s">
        <v>175</v>
      </c>
      <c r="O602" s="46" t="s">
        <v>165</v>
      </c>
      <c r="P602" s="46" t="s">
        <v>166</v>
      </c>
      <c r="Q602" s="46" t="str">
        <f t="shared" si="1"/>
        <v>March, 2016</v>
      </c>
      <c r="R602" s="115">
        <f t="shared" si="2"/>
        <v>42430</v>
      </c>
      <c r="S602" s="49">
        <f t="array" ref="S602">WEEKDAY(D602,2)</f>
        <v>3</v>
      </c>
      <c r="T602" s="46" t="s">
        <v>108</v>
      </c>
      <c r="U602" s="46" t="str">
        <f t="array" ref="U602">TEXT(D602,"dddd")</f>
        <v>Wednesday</v>
      </c>
    </row>
    <row r="603" hidden="1">
      <c r="A603" s="46">
        <v>4.98201072E8</v>
      </c>
      <c r="B603" s="137" t="s">
        <v>226</v>
      </c>
      <c r="C603" s="137">
        <v>2013.0</v>
      </c>
      <c r="D603" s="138">
        <v>41576.0</v>
      </c>
      <c r="E603" s="139">
        <v>41585.0</v>
      </c>
      <c r="F603" s="142" t="s">
        <v>224</v>
      </c>
      <c r="G603" s="142">
        <v>2013.0</v>
      </c>
      <c r="H603" s="46">
        <v>8293.0</v>
      </c>
      <c r="I603" s="46">
        <v>7623.0</v>
      </c>
      <c r="J603" s="84">
        <v>3332775.6</v>
      </c>
      <c r="K603" s="84">
        <v>2007364.5899999999</v>
      </c>
      <c r="L603" s="84">
        <v>1325411.0100000002</v>
      </c>
      <c r="M603" s="46" t="s">
        <v>178</v>
      </c>
      <c r="N603" s="46" t="s">
        <v>171</v>
      </c>
      <c r="O603" s="46" t="s">
        <v>146</v>
      </c>
      <c r="P603" s="46" t="s">
        <v>147</v>
      </c>
      <c r="Q603" s="46" t="str">
        <f t="shared" si="1"/>
        <v>October, 2013</v>
      </c>
      <c r="R603" s="115">
        <f t="shared" si="2"/>
        <v>41548</v>
      </c>
      <c r="S603" s="49">
        <f t="array" ref="S603">WEEKDAY(D603,2)</f>
        <v>2</v>
      </c>
      <c r="T603" s="46" t="s">
        <v>104</v>
      </c>
      <c r="U603" s="46" t="str">
        <f t="array" ref="U603">TEXT(D603,"dddd")</f>
        <v>Tuesday</v>
      </c>
    </row>
    <row r="604" hidden="1">
      <c r="A604" s="46">
        <v>4.9894694E8</v>
      </c>
      <c r="B604" s="137" t="s">
        <v>225</v>
      </c>
      <c r="C604" s="137">
        <v>2015.0</v>
      </c>
      <c r="D604" s="138">
        <v>42347.0</v>
      </c>
      <c r="E604" s="139">
        <v>42380.0</v>
      </c>
      <c r="F604" s="142" t="s">
        <v>227</v>
      </c>
      <c r="G604" s="142">
        <v>2016.0</v>
      </c>
      <c r="H604" s="46">
        <v>8875.0</v>
      </c>
      <c r="I604" s="46">
        <v>8342.0</v>
      </c>
      <c r="J604" s="84">
        <v>3519406.38</v>
      </c>
      <c r="K604" s="84">
        <v>3042243.98</v>
      </c>
      <c r="L604" s="84">
        <v>477162.3999999999</v>
      </c>
      <c r="M604" s="46" t="s">
        <v>167</v>
      </c>
      <c r="N604" s="46" t="s">
        <v>204</v>
      </c>
      <c r="O604" s="46" t="s">
        <v>146</v>
      </c>
      <c r="P604" s="46" t="s">
        <v>147</v>
      </c>
      <c r="Q604" s="46" t="str">
        <f t="shared" si="1"/>
        <v>December, 2015</v>
      </c>
      <c r="R604" s="115">
        <f t="shared" si="2"/>
        <v>42339</v>
      </c>
      <c r="S604" s="49">
        <f t="array" ref="S604">WEEKDAY(D604,2)</f>
        <v>3</v>
      </c>
      <c r="T604" s="46" t="s">
        <v>133</v>
      </c>
      <c r="U604" s="46" t="str">
        <f t="array" ref="U604">TEXT(D604,"dddd")</f>
        <v>Wednesday</v>
      </c>
    </row>
    <row r="605">
      <c r="A605" s="46">
        <v>4.99101436E8</v>
      </c>
      <c r="B605" s="137" t="s">
        <v>217</v>
      </c>
      <c r="C605" s="137">
        <v>2011.0</v>
      </c>
      <c r="D605" s="138">
        <v>40737.0</v>
      </c>
      <c r="E605" s="139">
        <v>40783.0</v>
      </c>
      <c r="F605" s="142" t="s">
        <v>216</v>
      </c>
      <c r="G605" s="142">
        <v>2011.0</v>
      </c>
      <c r="H605" s="46">
        <v>8969.0</v>
      </c>
      <c r="I605" s="46">
        <v>4061.0</v>
      </c>
      <c r="J605" s="84">
        <v>619627.38</v>
      </c>
      <c r="K605" s="84">
        <v>395703.83999999997</v>
      </c>
      <c r="L605" s="84">
        <v>223923.54000000004</v>
      </c>
      <c r="M605" s="46" t="s">
        <v>182</v>
      </c>
      <c r="N605" s="46" t="s">
        <v>149</v>
      </c>
      <c r="O605" s="46" t="s">
        <v>149</v>
      </c>
      <c r="P605" s="46" t="s">
        <v>218</v>
      </c>
      <c r="Q605" s="46" t="str">
        <f t="shared" si="1"/>
        <v>July, 2011</v>
      </c>
      <c r="R605" s="115">
        <f t="shared" si="2"/>
        <v>40725</v>
      </c>
      <c r="S605" s="49">
        <f t="array" ref="S605">WEEKDAY(D605,2)</f>
        <v>3</v>
      </c>
      <c r="T605" s="46" t="s">
        <v>92</v>
      </c>
      <c r="U605" s="46" t="str">
        <f t="array" ref="U605">TEXT(D605,"dddd")</f>
        <v>Wednesday</v>
      </c>
    </row>
    <row r="606" hidden="1">
      <c r="A606" s="46">
        <v>5.04024684E8</v>
      </c>
      <c r="B606" s="137" t="s">
        <v>225</v>
      </c>
      <c r="C606" s="137">
        <v>2015.0</v>
      </c>
      <c r="D606" s="138">
        <v>42352.0</v>
      </c>
      <c r="E606" s="139">
        <v>42383.0</v>
      </c>
      <c r="F606" s="142" t="s">
        <v>227</v>
      </c>
      <c r="G606" s="142">
        <v>2016.0</v>
      </c>
      <c r="H606" s="46">
        <v>2103.0</v>
      </c>
      <c r="I606" s="46">
        <v>959.0</v>
      </c>
      <c r="J606" s="84">
        <v>197266.3</v>
      </c>
      <c r="K606" s="84">
        <v>112308.49</v>
      </c>
      <c r="L606" s="84">
        <v>84957.80999999998</v>
      </c>
      <c r="M606" s="46" t="s">
        <v>144</v>
      </c>
      <c r="N606" s="46" t="s">
        <v>181</v>
      </c>
      <c r="O606" s="46" t="s">
        <v>146</v>
      </c>
      <c r="P606" s="46" t="s">
        <v>155</v>
      </c>
      <c r="Q606" s="46" t="str">
        <f t="shared" si="1"/>
        <v>December, 2015</v>
      </c>
      <c r="R606" s="115">
        <f t="shared" si="2"/>
        <v>42339</v>
      </c>
      <c r="S606" s="49">
        <f t="array" ref="S606">WEEKDAY(D606,2)</f>
        <v>1</v>
      </c>
      <c r="T606" s="46" t="s">
        <v>113</v>
      </c>
      <c r="U606" s="46" t="str">
        <f t="array" ref="U606">TEXT(D606,"dddd")</f>
        <v>Monday</v>
      </c>
    </row>
    <row r="607" hidden="1">
      <c r="A607" s="46">
        <v>5.04973971E8</v>
      </c>
      <c r="B607" s="137" t="s">
        <v>226</v>
      </c>
      <c r="C607" s="137">
        <v>2011.0</v>
      </c>
      <c r="D607" s="138">
        <v>40819.0</v>
      </c>
      <c r="E607" s="139">
        <v>40849.0</v>
      </c>
      <c r="F607" s="142" t="s">
        <v>224</v>
      </c>
      <c r="G607" s="142">
        <v>2011.0</v>
      </c>
      <c r="H607" s="46">
        <v>8875.0</v>
      </c>
      <c r="I607" s="46">
        <v>1875.0</v>
      </c>
      <c r="J607" s="84">
        <v>791043.75</v>
      </c>
      <c r="K607" s="84">
        <v>683793.75</v>
      </c>
      <c r="L607" s="84">
        <v>107250.0</v>
      </c>
      <c r="M607" s="46" t="s">
        <v>167</v>
      </c>
      <c r="N607" s="46" t="s">
        <v>199</v>
      </c>
      <c r="O607" s="46" t="s">
        <v>146</v>
      </c>
      <c r="P607" s="46" t="s">
        <v>147</v>
      </c>
      <c r="Q607" s="46" t="str">
        <f t="shared" si="1"/>
        <v>October, 2011</v>
      </c>
      <c r="R607" s="115">
        <f t="shared" si="2"/>
        <v>40817</v>
      </c>
      <c r="S607" s="49">
        <f t="array" ref="S607">WEEKDAY(D607,2)</f>
        <v>1</v>
      </c>
      <c r="T607" s="46" t="s">
        <v>128</v>
      </c>
      <c r="U607" s="46" t="str">
        <f t="array" ref="U607">TEXT(D607,"dddd")</f>
        <v>Monday</v>
      </c>
    </row>
    <row r="608" hidden="1">
      <c r="A608" s="46">
        <v>5.0586704E8</v>
      </c>
      <c r="B608" s="137" t="s">
        <v>219</v>
      </c>
      <c r="C608" s="137">
        <v>2010.0</v>
      </c>
      <c r="D608" s="138">
        <v>40302.0</v>
      </c>
      <c r="E608" s="139">
        <v>40341.0</v>
      </c>
      <c r="F608" s="142" t="s">
        <v>220</v>
      </c>
      <c r="G608" s="142">
        <v>2010.0</v>
      </c>
      <c r="H608" s="46">
        <v>2455.0</v>
      </c>
      <c r="I608" s="46">
        <v>6153.0</v>
      </c>
      <c r="J608" s="84">
        <v>672399.84</v>
      </c>
      <c r="K608" s="84">
        <v>220523.52000000002</v>
      </c>
      <c r="L608" s="84">
        <v>451876.31999999995</v>
      </c>
      <c r="M608" s="46" t="s">
        <v>150</v>
      </c>
      <c r="N608" s="46" t="s">
        <v>196</v>
      </c>
      <c r="O608" s="46" t="s">
        <v>146</v>
      </c>
      <c r="P608" s="46" t="s">
        <v>155</v>
      </c>
      <c r="Q608" s="46" t="str">
        <f t="shared" si="1"/>
        <v>May, 2010</v>
      </c>
      <c r="R608" s="115">
        <f t="shared" si="2"/>
        <v>40299</v>
      </c>
      <c r="S608" s="49">
        <f t="array" ref="S608">WEEKDAY(D608,2)</f>
        <v>2</v>
      </c>
      <c r="T608" s="46" t="s">
        <v>125</v>
      </c>
      <c r="U608" s="46" t="str">
        <f t="array" ref="U608">TEXT(D608,"dddd")</f>
        <v>Tuesday</v>
      </c>
    </row>
    <row r="609" hidden="1">
      <c r="A609" s="46">
        <v>5.07040774E8</v>
      </c>
      <c r="B609" s="137" t="s">
        <v>217</v>
      </c>
      <c r="C609" s="137">
        <v>2015.0</v>
      </c>
      <c r="D609" s="138">
        <v>42207.0</v>
      </c>
      <c r="E609" s="139">
        <v>42210.0</v>
      </c>
      <c r="F609" s="142" t="s">
        <v>217</v>
      </c>
      <c r="G609" s="142">
        <v>2015.0</v>
      </c>
      <c r="H609" s="46">
        <v>8969.0</v>
      </c>
      <c r="I609" s="46">
        <v>3488.0</v>
      </c>
      <c r="J609" s="84">
        <v>532199.04</v>
      </c>
      <c r="K609" s="84">
        <v>339870.72</v>
      </c>
      <c r="L609" s="84">
        <v>192328.32000000007</v>
      </c>
      <c r="M609" s="46" t="s">
        <v>182</v>
      </c>
      <c r="N609" s="46" t="s">
        <v>188</v>
      </c>
      <c r="O609" s="46" t="s">
        <v>146</v>
      </c>
      <c r="P609" s="46" t="s">
        <v>170</v>
      </c>
      <c r="Q609" s="46" t="str">
        <f t="shared" si="1"/>
        <v>July, 2015</v>
      </c>
      <c r="R609" s="115">
        <f t="shared" si="2"/>
        <v>42186</v>
      </c>
      <c r="S609" s="49">
        <f t="array" ref="S609">WEEKDAY(D609,2)</f>
        <v>3</v>
      </c>
      <c r="T609" s="46" t="s">
        <v>117</v>
      </c>
      <c r="U609" s="46" t="str">
        <f t="array" ref="U609">TEXT(D609,"dddd")</f>
        <v>Wednesday</v>
      </c>
    </row>
    <row r="610" hidden="1">
      <c r="A610" s="46">
        <v>5.07531726E8</v>
      </c>
      <c r="B610" s="137" t="s">
        <v>226</v>
      </c>
      <c r="C610" s="137">
        <v>2012.0</v>
      </c>
      <c r="D610" s="138">
        <v>41209.0</v>
      </c>
      <c r="E610" s="139">
        <v>41224.0</v>
      </c>
      <c r="F610" s="142" t="s">
        <v>224</v>
      </c>
      <c r="G610" s="142">
        <v>2012.0</v>
      </c>
      <c r="H610" s="46">
        <v>8969.0</v>
      </c>
      <c r="I610" s="46">
        <v>8771.0</v>
      </c>
      <c r="J610" s="84">
        <v>1338279.1800000002</v>
      </c>
      <c r="K610" s="84">
        <v>854646.24</v>
      </c>
      <c r="L610" s="84">
        <v>483632.9400000002</v>
      </c>
      <c r="M610" s="46" t="s">
        <v>182</v>
      </c>
      <c r="N610" s="46" t="s">
        <v>203</v>
      </c>
      <c r="O610" s="46" t="s">
        <v>146</v>
      </c>
      <c r="P610" s="46" t="s">
        <v>170</v>
      </c>
      <c r="Q610" s="46" t="str">
        <f t="shared" si="1"/>
        <v>October, 2012</v>
      </c>
      <c r="R610" s="115">
        <f t="shared" si="2"/>
        <v>41183</v>
      </c>
      <c r="S610" s="49">
        <f t="array" ref="S610">WEEKDAY(D610,2)</f>
        <v>6</v>
      </c>
      <c r="T610" s="46" t="s">
        <v>132</v>
      </c>
      <c r="U610" s="46" t="str">
        <f t="array" ref="U610">TEXT(D610,"dddd")</f>
        <v>Saturday</v>
      </c>
    </row>
    <row r="611">
      <c r="A611" s="46">
        <v>5.08014523E8</v>
      </c>
      <c r="B611" s="137" t="s">
        <v>222</v>
      </c>
      <c r="C611" s="137">
        <v>2014.0</v>
      </c>
      <c r="D611" s="138">
        <v>41709.0</v>
      </c>
      <c r="E611" s="139">
        <v>41718.0</v>
      </c>
      <c r="F611" s="142" t="s">
        <v>222</v>
      </c>
      <c r="G611" s="142">
        <v>2014.0</v>
      </c>
      <c r="H611" s="46">
        <v>2455.0</v>
      </c>
      <c r="I611" s="46">
        <v>1642.0</v>
      </c>
      <c r="J611" s="84">
        <v>179437.76</v>
      </c>
      <c r="K611" s="84">
        <v>58849.280000000006</v>
      </c>
      <c r="L611" s="84">
        <v>120588.48000000001</v>
      </c>
      <c r="M611" s="46" t="s">
        <v>150</v>
      </c>
      <c r="N611" s="46" t="s">
        <v>149</v>
      </c>
      <c r="O611" s="46" t="s">
        <v>149</v>
      </c>
      <c r="P611" s="46" t="s">
        <v>218</v>
      </c>
      <c r="Q611" s="46" t="str">
        <f t="shared" si="1"/>
        <v>March, 2014</v>
      </c>
      <c r="R611" s="115">
        <f t="shared" si="2"/>
        <v>41699</v>
      </c>
      <c r="S611" s="49">
        <f t="array" ref="S611">WEEKDAY(D611,2)</f>
        <v>2</v>
      </c>
      <c r="T611" s="46" t="s">
        <v>92</v>
      </c>
      <c r="U611" s="46" t="str">
        <f t="array" ref="U611">TEXT(D611,"dddd")</f>
        <v>Tuesday</v>
      </c>
    </row>
    <row r="612" hidden="1">
      <c r="A612" s="46">
        <v>5.09356057E8</v>
      </c>
      <c r="B612" s="137" t="s">
        <v>223</v>
      </c>
      <c r="C612" s="137">
        <v>2014.0</v>
      </c>
      <c r="D612" s="138">
        <v>41743.0</v>
      </c>
      <c r="E612" s="139">
        <v>41746.0</v>
      </c>
      <c r="F612" s="142" t="s">
        <v>223</v>
      </c>
      <c r="G612" s="142">
        <v>2014.0</v>
      </c>
      <c r="H612" s="46">
        <v>2455.0</v>
      </c>
      <c r="I612" s="46">
        <v>8631.0</v>
      </c>
      <c r="J612" s="84">
        <v>943195.68</v>
      </c>
      <c r="K612" s="84">
        <v>309335.04000000004</v>
      </c>
      <c r="L612" s="84">
        <v>633860.64</v>
      </c>
      <c r="M612" s="46" t="s">
        <v>150</v>
      </c>
      <c r="N612" s="46" t="s">
        <v>183</v>
      </c>
      <c r="O612" s="46" t="s">
        <v>146</v>
      </c>
      <c r="P612" s="46" t="s">
        <v>170</v>
      </c>
      <c r="Q612" s="46" t="str">
        <f t="shared" si="1"/>
        <v>April, 2014</v>
      </c>
      <c r="R612" s="115">
        <f t="shared" si="2"/>
        <v>41730</v>
      </c>
      <c r="S612" s="49">
        <f t="array" ref="S612">WEEKDAY(D612,2)</f>
        <v>1</v>
      </c>
      <c r="T612" s="46" t="s">
        <v>90</v>
      </c>
      <c r="U612" s="46" t="str">
        <f t="array" ref="U612">TEXT(D612,"dddd")</f>
        <v>Monday</v>
      </c>
    </row>
    <row r="613" hidden="1">
      <c r="A613" s="46">
        <v>5.09380948E8</v>
      </c>
      <c r="B613" s="137" t="s">
        <v>221</v>
      </c>
      <c r="C613" s="137">
        <v>2011.0</v>
      </c>
      <c r="D613" s="138">
        <v>40808.0</v>
      </c>
      <c r="E613" s="139">
        <v>40813.0</v>
      </c>
      <c r="F613" s="142" t="s">
        <v>221</v>
      </c>
      <c r="G613" s="142">
        <v>2011.0</v>
      </c>
      <c r="H613" s="46">
        <v>3127.0</v>
      </c>
      <c r="I613" s="46">
        <v>5997.0</v>
      </c>
      <c r="J613" s="84">
        <v>490134.81</v>
      </c>
      <c r="K613" s="84">
        <v>339849.99</v>
      </c>
      <c r="L613" s="84">
        <v>150284.82</v>
      </c>
      <c r="M613" s="46" t="s">
        <v>185</v>
      </c>
      <c r="N613" s="46" t="s">
        <v>169</v>
      </c>
      <c r="O613" s="46" t="s">
        <v>146</v>
      </c>
      <c r="P613" s="46" t="s">
        <v>170</v>
      </c>
      <c r="Q613" s="46" t="str">
        <f t="shared" si="1"/>
        <v>September, 2011</v>
      </c>
      <c r="R613" s="115">
        <f t="shared" si="2"/>
        <v>40787</v>
      </c>
      <c r="S613" s="49">
        <f t="array" ref="S613">WEEKDAY(D613,2)</f>
        <v>4</v>
      </c>
      <c r="T613" s="46" t="s">
        <v>103</v>
      </c>
      <c r="U613" s="46" t="str">
        <f t="array" ref="U613">TEXT(D613,"dddd")</f>
        <v>Thursday</v>
      </c>
    </row>
    <row r="614">
      <c r="A614" s="46">
        <v>5.10762822E8</v>
      </c>
      <c r="B614" s="137" t="s">
        <v>224</v>
      </c>
      <c r="C614" s="137">
        <v>2011.0</v>
      </c>
      <c r="D614" s="138">
        <v>40851.0</v>
      </c>
      <c r="E614" s="139">
        <v>40899.0</v>
      </c>
      <c r="F614" s="142" t="s">
        <v>225</v>
      </c>
      <c r="G614" s="142">
        <v>2011.0</v>
      </c>
      <c r="H614" s="46">
        <v>1270.0</v>
      </c>
      <c r="I614" s="46">
        <v>4924.0</v>
      </c>
      <c r="J614" s="84">
        <v>233643.80000000002</v>
      </c>
      <c r="K614" s="84">
        <v>156533.96</v>
      </c>
      <c r="L614" s="84">
        <v>77109.84000000003</v>
      </c>
      <c r="M614" s="46" t="s">
        <v>152</v>
      </c>
      <c r="N614" s="46" t="s">
        <v>149</v>
      </c>
      <c r="O614" s="46" t="s">
        <v>149</v>
      </c>
      <c r="P614" s="46" t="s">
        <v>218</v>
      </c>
      <c r="Q614" s="46" t="str">
        <f t="shared" si="1"/>
        <v>November, 2011</v>
      </c>
      <c r="R614" s="115">
        <f t="shared" si="2"/>
        <v>40848</v>
      </c>
      <c r="S614" s="49">
        <f t="array" ref="S614">WEEKDAY(D614,2)</f>
        <v>5</v>
      </c>
      <c r="T614" s="46" t="s">
        <v>92</v>
      </c>
      <c r="U614" s="46" t="str">
        <f t="array" ref="U614">TEXT(D614,"dddd")</f>
        <v>Friday</v>
      </c>
    </row>
    <row r="615" hidden="1">
      <c r="A615" s="46">
        <v>5.10956799E8</v>
      </c>
      <c r="B615" s="137" t="s">
        <v>221</v>
      </c>
      <c r="C615" s="137">
        <v>2010.0</v>
      </c>
      <c r="D615" s="138">
        <v>40428.0</v>
      </c>
      <c r="E615" s="139">
        <v>40444.0</v>
      </c>
      <c r="F615" s="142" t="s">
        <v>221</v>
      </c>
      <c r="G615" s="142">
        <v>2010.0</v>
      </c>
      <c r="H615" s="46">
        <v>8969.0</v>
      </c>
      <c r="I615" s="46">
        <v>2326.0</v>
      </c>
      <c r="J615" s="84">
        <v>354901.08</v>
      </c>
      <c r="K615" s="84">
        <v>226645.44</v>
      </c>
      <c r="L615" s="84">
        <v>128255.64000000001</v>
      </c>
      <c r="M615" s="46" t="s">
        <v>182</v>
      </c>
      <c r="N615" s="46" t="s">
        <v>174</v>
      </c>
      <c r="O615" s="46" t="s">
        <v>146</v>
      </c>
      <c r="P615" s="46" t="s">
        <v>158</v>
      </c>
      <c r="Q615" s="46" t="str">
        <f t="shared" si="1"/>
        <v>September, 2010</v>
      </c>
      <c r="R615" s="115">
        <f t="shared" si="2"/>
        <v>40422</v>
      </c>
      <c r="S615" s="49">
        <f t="array" ref="S615">WEEKDAY(D615,2)</f>
        <v>2</v>
      </c>
      <c r="T615" s="46" t="s">
        <v>107</v>
      </c>
      <c r="U615" s="46" t="str">
        <f t="array" ref="U615">TEXT(D615,"dddd")</f>
        <v>Tuesday</v>
      </c>
    </row>
    <row r="616" hidden="1">
      <c r="A616" s="46">
        <v>5.11155498E8</v>
      </c>
      <c r="B616" s="137" t="s">
        <v>221</v>
      </c>
      <c r="C616" s="137">
        <v>2010.0</v>
      </c>
      <c r="D616" s="138">
        <v>40447.0</v>
      </c>
      <c r="E616" s="139">
        <v>40486.0</v>
      </c>
      <c r="F616" s="142" t="s">
        <v>224</v>
      </c>
      <c r="G616" s="142">
        <v>2010.0</v>
      </c>
      <c r="H616" s="46">
        <v>1270.0</v>
      </c>
      <c r="I616" s="46">
        <v>1126.0</v>
      </c>
      <c r="J616" s="84">
        <v>53428.700000000004</v>
      </c>
      <c r="K616" s="84">
        <v>35795.54</v>
      </c>
      <c r="L616" s="84">
        <v>17633.160000000003</v>
      </c>
      <c r="M616" s="46" t="s">
        <v>152</v>
      </c>
      <c r="N616" s="46" t="s">
        <v>205</v>
      </c>
      <c r="O616" s="46" t="s">
        <v>146</v>
      </c>
      <c r="P616" s="46" t="s">
        <v>170</v>
      </c>
      <c r="Q616" s="46" t="str">
        <f t="shared" si="1"/>
        <v>September, 2010</v>
      </c>
      <c r="R616" s="115">
        <f t="shared" si="2"/>
        <v>40422</v>
      </c>
      <c r="S616" s="49">
        <f t="array" ref="S616">WEEKDAY(D616,2)</f>
        <v>7</v>
      </c>
      <c r="T616" s="46" t="s">
        <v>135</v>
      </c>
      <c r="U616" s="46" t="str">
        <f t="array" ref="U616">TEXT(D616,"dddd")</f>
        <v>Sunday</v>
      </c>
    </row>
    <row r="617" hidden="1">
      <c r="A617" s="46">
        <v>5.1171211E8</v>
      </c>
      <c r="B617" s="137" t="s">
        <v>222</v>
      </c>
      <c r="C617" s="137">
        <v>2015.0</v>
      </c>
      <c r="D617" s="138">
        <v>42084.0</v>
      </c>
      <c r="E617" s="139">
        <v>42131.0</v>
      </c>
      <c r="F617" s="142" t="s">
        <v>219</v>
      </c>
      <c r="G617" s="142">
        <v>2015.0</v>
      </c>
      <c r="H617" s="46">
        <v>8681.0</v>
      </c>
      <c r="I617" s="46">
        <v>5839.0</v>
      </c>
      <c r="J617" s="84">
        <v>3802415.1900000004</v>
      </c>
      <c r="K617" s="84">
        <v>3065241.4400000004</v>
      </c>
      <c r="L617" s="84">
        <v>737173.75</v>
      </c>
      <c r="M617" s="46" t="s">
        <v>153</v>
      </c>
      <c r="N617" s="46" t="s">
        <v>189</v>
      </c>
      <c r="O617" s="46" t="s">
        <v>146</v>
      </c>
      <c r="P617" s="46" t="s">
        <v>158</v>
      </c>
      <c r="Q617" s="46" t="str">
        <f t="shared" si="1"/>
        <v>March, 2015</v>
      </c>
      <c r="R617" s="115">
        <f t="shared" si="2"/>
        <v>42064</v>
      </c>
      <c r="S617" s="49">
        <f t="array" ref="S617">WEEKDAY(D617,2)</f>
        <v>6</v>
      </c>
      <c r="T617" s="46" t="s">
        <v>118</v>
      </c>
      <c r="U617" s="46" t="str">
        <f t="array" ref="U617">TEXT(D617,"dddd")</f>
        <v>Saturday</v>
      </c>
    </row>
    <row r="618" hidden="1">
      <c r="A618" s="46">
        <v>5.12662255E8</v>
      </c>
      <c r="B618" s="137" t="s">
        <v>219</v>
      </c>
      <c r="C618" s="137">
        <v>2015.0</v>
      </c>
      <c r="D618" s="138">
        <v>42139.0</v>
      </c>
      <c r="E618" s="139">
        <v>42177.0</v>
      </c>
      <c r="F618" s="142" t="s">
        <v>220</v>
      </c>
      <c r="G618" s="142">
        <v>2015.0</v>
      </c>
      <c r="H618" s="46">
        <v>7940.0</v>
      </c>
      <c r="I618" s="46">
        <v>7009.0</v>
      </c>
      <c r="J618" s="84">
        <v>4683904.43</v>
      </c>
      <c r="K618" s="84">
        <v>3522302.8600000003</v>
      </c>
      <c r="L618" s="84">
        <v>1161601.5699999994</v>
      </c>
      <c r="M618" s="46" t="s">
        <v>148</v>
      </c>
      <c r="N618" s="46" t="s">
        <v>184</v>
      </c>
      <c r="O618" s="46" t="s">
        <v>146</v>
      </c>
      <c r="P618" s="46" t="s">
        <v>155</v>
      </c>
      <c r="Q618" s="46" t="str">
        <f t="shared" si="1"/>
        <v>May, 2015</v>
      </c>
      <c r="R618" s="115">
        <f t="shared" si="2"/>
        <v>42125</v>
      </c>
      <c r="S618" s="49">
        <f t="array" ref="S618">WEEKDAY(D618,2)</f>
        <v>5</v>
      </c>
      <c r="T618" s="46" t="s">
        <v>114</v>
      </c>
      <c r="U618" s="46" t="str">
        <f t="array" ref="U618">TEXT(D618,"dddd")</f>
        <v>Friday</v>
      </c>
    </row>
    <row r="619" hidden="1">
      <c r="A619" s="46">
        <v>5.12714612E8</v>
      </c>
      <c r="B619" s="137" t="s">
        <v>221</v>
      </c>
      <c r="C619" s="137">
        <v>2015.0</v>
      </c>
      <c r="D619" s="138">
        <v>42270.0</v>
      </c>
      <c r="E619" s="139">
        <v>42286.0</v>
      </c>
      <c r="F619" s="142" t="s">
        <v>226</v>
      </c>
      <c r="G619" s="142">
        <v>2015.0</v>
      </c>
      <c r="H619" s="46">
        <v>8875.0</v>
      </c>
      <c r="I619" s="46">
        <v>2502.0</v>
      </c>
      <c r="J619" s="84">
        <v>1055568.78</v>
      </c>
      <c r="K619" s="84">
        <v>912454.38</v>
      </c>
      <c r="L619" s="84">
        <v>143114.40000000002</v>
      </c>
      <c r="M619" s="46" t="s">
        <v>167</v>
      </c>
      <c r="N619" s="46" t="s">
        <v>176</v>
      </c>
      <c r="O619" s="46" t="s">
        <v>146</v>
      </c>
      <c r="P619" s="46" t="s">
        <v>158</v>
      </c>
      <c r="Q619" s="46" t="str">
        <f t="shared" si="1"/>
        <v>September, 2015</v>
      </c>
      <c r="R619" s="115">
        <f t="shared" si="2"/>
        <v>42248</v>
      </c>
      <c r="S619" s="49">
        <f t="array" ref="S619">WEEKDAY(D619,2)</f>
        <v>3</v>
      </c>
      <c r="T619" s="46" t="s">
        <v>109</v>
      </c>
      <c r="U619" s="46" t="str">
        <f t="array" ref="U619">TEXT(D619,"dddd")</f>
        <v>Wednesday</v>
      </c>
    </row>
    <row r="620" hidden="1">
      <c r="A620" s="46">
        <v>5.13026177E8</v>
      </c>
      <c r="B620" s="137" t="s">
        <v>219</v>
      </c>
      <c r="C620" s="137">
        <v>2012.0</v>
      </c>
      <c r="D620" s="138">
        <v>41051.0</v>
      </c>
      <c r="E620" s="139">
        <v>41065.0</v>
      </c>
      <c r="F620" s="142" t="s">
        <v>220</v>
      </c>
      <c r="G620" s="142">
        <v>2012.0</v>
      </c>
      <c r="H620" s="46">
        <v>8681.0</v>
      </c>
      <c r="I620" s="46">
        <v>4701.0</v>
      </c>
      <c r="J620" s="84">
        <v>3061338.21</v>
      </c>
      <c r="K620" s="84">
        <v>2467836.96</v>
      </c>
      <c r="L620" s="84">
        <v>593501.25</v>
      </c>
      <c r="M620" s="46" t="s">
        <v>153</v>
      </c>
      <c r="N620" s="46" t="s">
        <v>196</v>
      </c>
      <c r="O620" s="46" t="s">
        <v>146</v>
      </c>
      <c r="P620" s="46" t="s">
        <v>155</v>
      </c>
      <c r="Q620" s="46" t="str">
        <f t="shared" si="1"/>
        <v>May, 2012</v>
      </c>
      <c r="R620" s="115">
        <f t="shared" si="2"/>
        <v>41030</v>
      </c>
      <c r="S620" s="49">
        <f t="array" ref="S620">WEEKDAY(D620,2)</f>
        <v>2</v>
      </c>
      <c r="T620" s="46" t="s">
        <v>125</v>
      </c>
      <c r="U620" s="46" t="str">
        <f t="array" ref="U620">TEXT(D620,"dddd")</f>
        <v>Tuesday</v>
      </c>
    </row>
    <row r="621" hidden="1">
      <c r="A621" s="46">
        <v>5.13611114E8</v>
      </c>
      <c r="B621" s="137" t="s">
        <v>217</v>
      </c>
      <c r="C621" s="137">
        <v>2016.0</v>
      </c>
      <c r="D621" s="138">
        <v>42577.0</v>
      </c>
      <c r="E621" s="139">
        <v>42618.0</v>
      </c>
      <c r="F621" s="142" t="s">
        <v>221</v>
      </c>
      <c r="G621" s="142">
        <v>2016.0</v>
      </c>
      <c r="H621" s="46">
        <v>2455.0</v>
      </c>
      <c r="I621" s="46">
        <v>7797.0</v>
      </c>
      <c r="J621" s="84">
        <v>852056.16</v>
      </c>
      <c r="K621" s="84">
        <v>279444.48000000004</v>
      </c>
      <c r="L621" s="84">
        <v>572611.6799999999</v>
      </c>
      <c r="M621" s="46" t="s">
        <v>150</v>
      </c>
      <c r="N621" s="46" t="s">
        <v>192</v>
      </c>
      <c r="O621" s="46" t="s">
        <v>146</v>
      </c>
      <c r="P621" s="46" t="s">
        <v>158</v>
      </c>
      <c r="Q621" s="46" t="str">
        <f t="shared" si="1"/>
        <v>July, 2016</v>
      </c>
      <c r="R621" s="115">
        <f t="shared" si="2"/>
        <v>42552</v>
      </c>
      <c r="S621" s="49">
        <f t="array" ref="S621">WEEKDAY(D621,2)</f>
        <v>2</v>
      </c>
      <c r="T621" s="46" t="s">
        <v>121</v>
      </c>
      <c r="U621" s="46" t="str">
        <f t="array" ref="U621">TEXT(D621,"dddd")</f>
        <v>Tuesday</v>
      </c>
    </row>
    <row r="622" hidden="1">
      <c r="A622" s="46">
        <v>5.13802516E8</v>
      </c>
      <c r="B622" s="137" t="s">
        <v>217</v>
      </c>
      <c r="C622" s="137">
        <v>2017.0</v>
      </c>
      <c r="D622" s="138">
        <v>42918.0</v>
      </c>
      <c r="E622" s="139">
        <v>42954.0</v>
      </c>
      <c r="F622" s="142" t="s">
        <v>216</v>
      </c>
      <c r="G622" s="142">
        <v>2017.0</v>
      </c>
      <c r="H622" s="46">
        <v>8681.0</v>
      </c>
      <c r="I622" s="46">
        <v>4437.0</v>
      </c>
      <c r="J622" s="84">
        <v>2889418.77</v>
      </c>
      <c r="K622" s="84">
        <v>2329247.52</v>
      </c>
      <c r="L622" s="84">
        <v>560171.25</v>
      </c>
      <c r="M622" s="46" t="s">
        <v>153</v>
      </c>
      <c r="N622" s="46" t="s">
        <v>160</v>
      </c>
      <c r="O622" s="46" t="s">
        <v>146</v>
      </c>
      <c r="P622" s="46" t="s">
        <v>147</v>
      </c>
      <c r="Q622" s="46" t="str">
        <f t="shared" si="1"/>
        <v>July, 2017</v>
      </c>
      <c r="R622" s="115">
        <f t="shared" si="2"/>
        <v>42917</v>
      </c>
      <c r="S622" s="49">
        <f t="array" ref="S622">WEEKDAY(D622,2)</f>
        <v>7</v>
      </c>
      <c r="T622" s="46" t="s">
        <v>98</v>
      </c>
      <c r="U622" s="46" t="str">
        <f t="array" ref="U622">TEXT(D622,"dddd")</f>
        <v>Sunday</v>
      </c>
    </row>
    <row r="623" hidden="1">
      <c r="A623" s="46">
        <v>5.15771901E8</v>
      </c>
      <c r="B623" s="137" t="s">
        <v>228</v>
      </c>
      <c r="C623" s="137">
        <v>2012.0</v>
      </c>
      <c r="D623" s="138">
        <v>40958.0</v>
      </c>
      <c r="E623" s="139">
        <v>40987.0</v>
      </c>
      <c r="F623" s="142" t="s">
        <v>222</v>
      </c>
      <c r="G623" s="142">
        <v>2012.0</v>
      </c>
      <c r="H623" s="46">
        <v>5988.0</v>
      </c>
      <c r="I623" s="46">
        <v>7222.0</v>
      </c>
      <c r="J623" s="84">
        <v>1112621.32</v>
      </c>
      <c r="K623" s="84">
        <v>656696.4600000001</v>
      </c>
      <c r="L623" s="84">
        <v>455924.86</v>
      </c>
      <c r="M623" s="46" t="s">
        <v>159</v>
      </c>
      <c r="N623" s="46" t="s">
        <v>191</v>
      </c>
      <c r="O623" s="46" t="s">
        <v>146</v>
      </c>
      <c r="P623" s="46" t="s">
        <v>147</v>
      </c>
      <c r="Q623" s="46" t="str">
        <f t="shared" si="1"/>
        <v>February, 2012</v>
      </c>
      <c r="R623" s="115">
        <f t="shared" si="2"/>
        <v>40940</v>
      </c>
      <c r="S623" s="49">
        <f t="array" ref="S623">WEEKDAY(D623,2)</f>
        <v>7</v>
      </c>
      <c r="T623" s="46" t="s">
        <v>120</v>
      </c>
      <c r="U623" s="46" t="str">
        <f t="array" ref="U623">TEXT(D623,"dddd")</f>
        <v>Sunday</v>
      </c>
    </row>
    <row r="624">
      <c r="A624" s="46">
        <v>5.15773189E8</v>
      </c>
      <c r="B624" s="137" t="s">
        <v>228</v>
      </c>
      <c r="C624" s="137">
        <v>2011.0</v>
      </c>
      <c r="D624" s="138">
        <v>40575.0</v>
      </c>
      <c r="E624" s="139">
        <v>40591.0</v>
      </c>
      <c r="F624" s="142" t="s">
        <v>228</v>
      </c>
      <c r="G624" s="142">
        <v>2011.0</v>
      </c>
      <c r="H624" s="46">
        <v>8875.0</v>
      </c>
      <c r="I624" s="46">
        <v>7603.0</v>
      </c>
      <c r="J624" s="84">
        <v>3207629.67</v>
      </c>
      <c r="K624" s="84">
        <v>2772738.07</v>
      </c>
      <c r="L624" s="84">
        <v>434891.6000000001</v>
      </c>
      <c r="M624" s="46" t="s">
        <v>167</v>
      </c>
      <c r="N624" s="46" t="s">
        <v>149</v>
      </c>
      <c r="O624" s="46" t="s">
        <v>149</v>
      </c>
      <c r="P624" s="46" t="s">
        <v>218</v>
      </c>
      <c r="Q624" s="46" t="str">
        <f t="shared" si="1"/>
        <v>February, 2011</v>
      </c>
      <c r="R624" s="115">
        <f t="shared" si="2"/>
        <v>40575</v>
      </c>
      <c r="S624" s="49">
        <f t="array" ref="S624">WEEKDAY(D624,2)</f>
        <v>2</v>
      </c>
      <c r="T624" s="46" t="s">
        <v>92</v>
      </c>
      <c r="U624" s="46" t="str">
        <f t="array" ref="U624">TEXT(D624,"dddd")</f>
        <v>Tuesday</v>
      </c>
    </row>
    <row r="625" hidden="1">
      <c r="A625" s="46">
        <v>5.16122949E8</v>
      </c>
      <c r="B625" s="137" t="s">
        <v>227</v>
      </c>
      <c r="C625" s="137">
        <v>2012.0</v>
      </c>
      <c r="D625" s="138">
        <v>40926.0</v>
      </c>
      <c r="E625" s="139">
        <v>40960.0</v>
      </c>
      <c r="F625" s="142" t="s">
        <v>228</v>
      </c>
      <c r="G625" s="142">
        <v>2012.0</v>
      </c>
      <c r="H625" s="46">
        <v>8969.0</v>
      </c>
      <c r="I625" s="46">
        <v>1105.0</v>
      </c>
      <c r="J625" s="84">
        <v>168600.90000000002</v>
      </c>
      <c r="K625" s="84">
        <v>107671.2</v>
      </c>
      <c r="L625" s="84">
        <v>60929.700000000026</v>
      </c>
      <c r="M625" s="46" t="s">
        <v>182</v>
      </c>
      <c r="N625" s="46" t="s">
        <v>189</v>
      </c>
      <c r="O625" s="46" t="s">
        <v>146</v>
      </c>
      <c r="P625" s="46" t="s">
        <v>158</v>
      </c>
      <c r="Q625" s="46" t="str">
        <f t="shared" si="1"/>
        <v>January, 2012</v>
      </c>
      <c r="R625" s="115">
        <f t="shared" si="2"/>
        <v>40909</v>
      </c>
      <c r="S625" s="49">
        <f t="array" ref="S625">WEEKDAY(D625,2)</f>
        <v>3</v>
      </c>
      <c r="T625" s="46" t="s">
        <v>118</v>
      </c>
      <c r="U625" s="46" t="str">
        <f t="array" ref="U625">TEXT(D625,"dddd")</f>
        <v>Wednesday</v>
      </c>
    </row>
    <row r="626" hidden="1">
      <c r="A626" s="46">
        <v>5.16460692E8</v>
      </c>
      <c r="B626" s="137" t="s">
        <v>221</v>
      </c>
      <c r="C626" s="137">
        <v>2012.0</v>
      </c>
      <c r="D626" s="138">
        <v>41155.0</v>
      </c>
      <c r="E626" s="139">
        <v>41176.0</v>
      </c>
      <c r="F626" s="142" t="s">
        <v>221</v>
      </c>
      <c r="G626" s="142">
        <v>2012.0</v>
      </c>
      <c r="H626" s="46">
        <v>7940.0</v>
      </c>
      <c r="I626" s="46">
        <v>1051.0</v>
      </c>
      <c r="J626" s="84">
        <v>702351.77</v>
      </c>
      <c r="K626" s="84">
        <v>528169.54</v>
      </c>
      <c r="L626" s="84">
        <v>174182.22999999998</v>
      </c>
      <c r="M626" s="46" t="s">
        <v>148</v>
      </c>
      <c r="N626" s="46" t="s">
        <v>164</v>
      </c>
      <c r="O626" s="46" t="s">
        <v>165</v>
      </c>
      <c r="P626" s="46" t="s">
        <v>166</v>
      </c>
      <c r="Q626" s="46" t="str">
        <f t="shared" si="1"/>
        <v>September, 2012</v>
      </c>
      <c r="R626" s="115">
        <f t="shared" si="2"/>
        <v>41153</v>
      </c>
      <c r="S626" s="49">
        <f t="array" ref="S626">WEEKDAY(D626,2)</f>
        <v>1</v>
      </c>
      <c r="T626" s="46" t="s">
        <v>101</v>
      </c>
      <c r="U626" s="46" t="str">
        <f t="array" ref="U626">TEXT(D626,"dddd")</f>
        <v>Monday</v>
      </c>
    </row>
    <row r="627" hidden="1">
      <c r="A627" s="46">
        <v>5.16485583E8</v>
      </c>
      <c r="B627" s="137" t="s">
        <v>228</v>
      </c>
      <c r="C627" s="137">
        <v>2010.0</v>
      </c>
      <c r="D627" s="138">
        <v>40220.0</v>
      </c>
      <c r="E627" s="139">
        <v>40243.0</v>
      </c>
      <c r="F627" s="142" t="s">
        <v>222</v>
      </c>
      <c r="G627" s="142">
        <v>2010.0</v>
      </c>
      <c r="H627" s="46">
        <v>8875.0</v>
      </c>
      <c r="I627" s="46">
        <v>8416.0</v>
      </c>
      <c r="J627" s="84">
        <v>3550626.2399999998</v>
      </c>
      <c r="K627" s="84">
        <v>3069231.04</v>
      </c>
      <c r="L627" s="84">
        <v>481395.1999999997</v>
      </c>
      <c r="M627" s="46" t="s">
        <v>167</v>
      </c>
      <c r="N627" s="46" t="s">
        <v>168</v>
      </c>
      <c r="O627" s="46" t="s">
        <v>165</v>
      </c>
      <c r="P627" s="46" t="s">
        <v>166</v>
      </c>
      <c r="Q627" s="46" t="str">
        <f t="shared" si="1"/>
        <v>February, 2010</v>
      </c>
      <c r="R627" s="115">
        <f t="shared" si="2"/>
        <v>40210</v>
      </c>
      <c r="S627" s="49">
        <f t="array" ref="S627">WEEKDAY(D627,2)</f>
        <v>4</v>
      </c>
      <c r="T627" s="46" t="s">
        <v>102</v>
      </c>
      <c r="U627" s="46" t="str">
        <f t="array" ref="U627">TEXT(D627,"dddd")</f>
        <v>Thursday</v>
      </c>
    </row>
    <row r="628" hidden="1">
      <c r="A628" s="46">
        <v>5.16599738E8</v>
      </c>
      <c r="B628" s="137" t="s">
        <v>223</v>
      </c>
      <c r="C628" s="137">
        <v>2013.0</v>
      </c>
      <c r="D628" s="138">
        <v>41366.0</v>
      </c>
      <c r="E628" s="139">
        <v>41403.0</v>
      </c>
      <c r="F628" s="142" t="s">
        <v>219</v>
      </c>
      <c r="G628" s="142">
        <v>2013.0</v>
      </c>
      <c r="H628" s="46">
        <v>8681.0</v>
      </c>
      <c r="I628" s="46">
        <v>2197.0</v>
      </c>
      <c r="J628" s="84">
        <v>1430708.37</v>
      </c>
      <c r="K628" s="84">
        <v>1153337.12</v>
      </c>
      <c r="L628" s="84">
        <v>277371.25</v>
      </c>
      <c r="M628" s="46" t="s">
        <v>153</v>
      </c>
      <c r="N628" s="46" t="s">
        <v>208</v>
      </c>
      <c r="O628" s="46" t="s">
        <v>146</v>
      </c>
      <c r="P628" s="46" t="s">
        <v>147</v>
      </c>
      <c r="Q628" s="46" t="str">
        <f t="shared" si="1"/>
        <v>April, 2013</v>
      </c>
      <c r="R628" s="115">
        <f t="shared" si="2"/>
        <v>41365</v>
      </c>
      <c r="S628" s="49">
        <f t="array" ref="S628">WEEKDAY(D628,2)</f>
        <v>2</v>
      </c>
      <c r="T628" s="46" t="s">
        <v>138</v>
      </c>
      <c r="U628" s="46" t="str">
        <f t="array" ref="U628">TEXT(D628,"dddd")</f>
        <v>Tuesday</v>
      </c>
    </row>
    <row r="629" hidden="1">
      <c r="A629" s="46">
        <v>5.16635358E8</v>
      </c>
      <c r="B629" s="137" t="s">
        <v>227</v>
      </c>
      <c r="C629" s="137">
        <v>2012.0</v>
      </c>
      <c r="D629" s="138">
        <v>40933.0</v>
      </c>
      <c r="E629" s="139">
        <v>40965.0</v>
      </c>
      <c r="F629" s="142" t="s">
        <v>228</v>
      </c>
      <c r="G629" s="142">
        <v>2012.0</v>
      </c>
      <c r="H629" s="46">
        <v>7940.0</v>
      </c>
      <c r="I629" s="46">
        <v>2738.0</v>
      </c>
      <c r="J629" s="84">
        <v>1829723.26</v>
      </c>
      <c r="K629" s="84">
        <v>1375954.52</v>
      </c>
      <c r="L629" s="84">
        <v>453768.74</v>
      </c>
      <c r="M629" s="46" t="s">
        <v>148</v>
      </c>
      <c r="N629" s="46" t="s">
        <v>177</v>
      </c>
      <c r="O629" s="46" t="s">
        <v>146</v>
      </c>
      <c r="P629" s="46" t="s">
        <v>170</v>
      </c>
      <c r="Q629" s="46" t="str">
        <f t="shared" si="1"/>
        <v>January, 2012</v>
      </c>
      <c r="R629" s="115">
        <f t="shared" si="2"/>
        <v>40909</v>
      </c>
      <c r="S629" s="49">
        <f t="array" ref="S629">WEEKDAY(D629,2)</f>
        <v>3</v>
      </c>
      <c r="T629" s="46" t="s">
        <v>110</v>
      </c>
      <c r="U629" s="46" t="str">
        <f t="array" ref="U629">TEXT(D629,"dddd")</f>
        <v>Wednesday</v>
      </c>
    </row>
    <row r="630" hidden="1">
      <c r="A630" s="46">
        <v>5.16994559E8</v>
      </c>
      <c r="B630" s="137" t="s">
        <v>220</v>
      </c>
      <c r="C630" s="137">
        <v>2015.0</v>
      </c>
      <c r="D630" s="138">
        <v>42169.0</v>
      </c>
      <c r="E630" s="139">
        <v>42175.0</v>
      </c>
      <c r="F630" s="142" t="s">
        <v>220</v>
      </c>
      <c r="G630" s="142">
        <v>2015.0</v>
      </c>
      <c r="H630" s="46">
        <v>4594.0</v>
      </c>
      <c r="I630" s="46">
        <v>9034.0</v>
      </c>
      <c r="J630" s="84">
        <v>84287.22</v>
      </c>
      <c r="K630" s="84">
        <v>62515.28</v>
      </c>
      <c r="L630" s="84">
        <v>21771.940000000002</v>
      </c>
      <c r="M630" s="46" t="s">
        <v>156</v>
      </c>
      <c r="N630" s="46" t="s">
        <v>208</v>
      </c>
      <c r="O630" s="46" t="s">
        <v>146</v>
      </c>
      <c r="P630" s="46" t="s">
        <v>147</v>
      </c>
      <c r="Q630" s="46" t="str">
        <f t="shared" si="1"/>
        <v>June, 2015</v>
      </c>
      <c r="R630" s="115">
        <f t="shared" si="2"/>
        <v>42156</v>
      </c>
      <c r="S630" s="49">
        <f t="array" ref="S630">WEEKDAY(D630,2)</f>
        <v>7</v>
      </c>
      <c r="T630" s="46" t="s">
        <v>138</v>
      </c>
      <c r="U630" s="46" t="str">
        <f t="array" ref="U630">TEXT(D630,"dddd")</f>
        <v>Sunday</v>
      </c>
    </row>
    <row r="631" hidden="1">
      <c r="A631" s="46">
        <v>5.17097985E8</v>
      </c>
      <c r="B631" s="137" t="s">
        <v>222</v>
      </c>
      <c r="C631" s="137">
        <v>2017.0</v>
      </c>
      <c r="D631" s="138">
        <v>42812.0</v>
      </c>
      <c r="E631" s="139">
        <v>42839.0</v>
      </c>
      <c r="F631" s="142" t="s">
        <v>223</v>
      </c>
      <c r="G631" s="142">
        <v>2017.0</v>
      </c>
      <c r="H631" s="46">
        <v>8969.0</v>
      </c>
      <c r="I631" s="46">
        <v>9640.0</v>
      </c>
      <c r="J631" s="84">
        <v>1470871.2000000002</v>
      </c>
      <c r="K631" s="84">
        <v>939321.6</v>
      </c>
      <c r="L631" s="84">
        <v>531549.6000000002</v>
      </c>
      <c r="M631" s="46" t="s">
        <v>182</v>
      </c>
      <c r="N631" s="46" t="s">
        <v>195</v>
      </c>
      <c r="O631" s="46" t="s">
        <v>146</v>
      </c>
      <c r="P631" s="46" t="s">
        <v>170</v>
      </c>
      <c r="Q631" s="46" t="str">
        <f t="shared" si="1"/>
        <v>March, 2017</v>
      </c>
      <c r="R631" s="115">
        <f t="shared" si="2"/>
        <v>42795</v>
      </c>
      <c r="S631" s="49">
        <f t="array" ref="S631">WEEKDAY(D631,2)</f>
        <v>6</v>
      </c>
      <c r="T631" s="46" t="s">
        <v>124</v>
      </c>
      <c r="U631" s="46" t="str">
        <f t="array" ref="U631">TEXT(D631,"dddd")</f>
        <v>Saturday</v>
      </c>
    </row>
    <row r="632" hidden="1">
      <c r="A632" s="46">
        <v>5.17514264E8</v>
      </c>
      <c r="B632" s="137" t="s">
        <v>216</v>
      </c>
      <c r="C632" s="137">
        <v>2014.0</v>
      </c>
      <c r="D632" s="138">
        <v>41854.0</v>
      </c>
      <c r="E632" s="139">
        <v>41886.0</v>
      </c>
      <c r="F632" s="142" t="s">
        <v>221</v>
      </c>
      <c r="G632" s="142">
        <v>2014.0</v>
      </c>
      <c r="H632" s="46">
        <v>8875.0</v>
      </c>
      <c r="I632" s="46">
        <v>2826.0</v>
      </c>
      <c r="J632" s="84">
        <v>1192261.14</v>
      </c>
      <c r="K632" s="84">
        <v>1030613.94</v>
      </c>
      <c r="L632" s="84">
        <v>161647.19999999995</v>
      </c>
      <c r="M632" s="46" t="s">
        <v>167</v>
      </c>
      <c r="N632" s="46" t="s">
        <v>168</v>
      </c>
      <c r="O632" s="46" t="s">
        <v>165</v>
      </c>
      <c r="P632" s="46" t="s">
        <v>166</v>
      </c>
      <c r="Q632" s="46" t="str">
        <f t="shared" si="1"/>
        <v>August, 2014</v>
      </c>
      <c r="R632" s="115">
        <f t="shared" si="2"/>
        <v>41852</v>
      </c>
      <c r="S632" s="49">
        <f t="array" ref="S632">WEEKDAY(D632,2)</f>
        <v>7</v>
      </c>
      <c r="T632" s="46" t="s">
        <v>102</v>
      </c>
      <c r="U632" s="46" t="str">
        <f t="array" ref="U632">TEXT(D632,"dddd")</f>
        <v>Sunday</v>
      </c>
    </row>
    <row r="633" hidden="1">
      <c r="A633" s="46">
        <v>5.18421494E8</v>
      </c>
      <c r="B633" s="137" t="s">
        <v>226</v>
      </c>
      <c r="C633" s="137">
        <v>2016.0</v>
      </c>
      <c r="D633" s="138">
        <v>42665.0</v>
      </c>
      <c r="E633" s="139">
        <v>42665.0</v>
      </c>
      <c r="F633" s="142" t="s">
        <v>226</v>
      </c>
      <c r="G633" s="142">
        <v>2016.0</v>
      </c>
      <c r="H633" s="46">
        <v>2103.0</v>
      </c>
      <c r="I633" s="46">
        <v>1296.0</v>
      </c>
      <c r="J633" s="84">
        <v>266587.2</v>
      </c>
      <c r="K633" s="84">
        <v>151774.56</v>
      </c>
      <c r="L633" s="84">
        <v>114812.64000000001</v>
      </c>
      <c r="M633" s="46" t="s">
        <v>144</v>
      </c>
      <c r="N633" s="46" t="s">
        <v>191</v>
      </c>
      <c r="O633" s="46" t="s">
        <v>146</v>
      </c>
      <c r="P633" s="46" t="s">
        <v>147</v>
      </c>
      <c r="Q633" s="46" t="str">
        <f t="shared" si="1"/>
        <v>October, 2016</v>
      </c>
      <c r="R633" s="115">
        <f t="shared" si="2"/>
        <v>42644</v>
      </c>
      <c r="S633" s="49">
        <f t="array" ref="S633">WEEKDAY(D633,2)</f>
        <v>6</v>
      </c>
      <c r="T633" s="46" t="s">
        <v>120</v>
      </c>
      <c r="U633" s="46" t="str">
        <f t="array" ref="U633">TEXT(D633,"dddd")</f>
        <v>Saturday</v>
      </c>
    </row>
    <row r="634" hidden="1">
      <c r="A634" s="46">
        <v>5.19380223E8</v>
      </c>
      <c r="B634" s="137" t="s">
        <v>227</v>
      </c>
      <c r="C634" s="137">
        <v>2015.0</v>
      </c>
      <c r="D634" s="138">
        <v>42016.0</v>
      </c>
      <c r="E634" s="139">
        <v>42021.0</v>
      </c>
      <c r="F634" s="142" t="s">
        <v>227</v>
      </c>
      <c r="G634" s="142">
        <v>2015.0</v>
      </c>
      <c r="H634" s="46">
        <v>8969.0</v>
      </c>
      <c r="I634" s="46">
        <v>5005.0</v>
      </c>
      <c r="J634" s="84">
        <v>763662.9</v>
      </c>
      <c r="K634" s="84">
        <v>487687.2</v>
      </c>
      <c r="L634" s="84">
        <v>275975.7</v>
      </c>
      <c r="M634" s="46" t="s">
        <v>182</v>
      </c>
      <c r="N634" s="46" t="s">
        <v>176</v>
      </c>
      <c r="O634" s="46" t="s">
        <v>146</v>
      </c>
      <c r="P634" s="46" t="s">
        <v>158</v>
      </c>
      <c r="Q634" s="46" t="str">
        <f t="shared" si="1"/>
        <v>January, 2015</v>
      </c>
      <c r="R634" s="115">
        <f t="shared" si="2"/>
        <v>42005</v>
      </c>
      <c r="S634" s="49">
        <f t="array" ref="S634">WEEKDAY(D634,2)</f>
        <v>1</v>
      </c>
      <c r="T634" s="46" t="s">
        <v>109</v>
      </c>
      <c r="U634" s="46" t="str">
        <f t="array" ref="U634">TEXT(D634,"dddd")</f>
        <v>Monday</v>
      </c>
    </row>
    <row r="635" hidden="1">
      <c r="A635" s="46">
        <v>5.2039088E8</v>
      </c>
      <c r="B635" s="137" t="s">
        <v>220</v>
      </c>
      <c r="C635" s="137">
        <v>2011.0</v>
      </c>
      <c r="D635" s="138">
        <v>40704.0</v>
      </c>
      <c r="E635" s="139">
        <v>40748.0</v>
      </c>
      <c r="F635" s="142" t="s">
        <v>217</v>
      </c>
      <c r="G635" s="142">
        <v>2011.0</v>
      </c>
      <c r="H635" s="46">
        <v>2103.0</v>
      </c>
      <c r="I635" s="46">
        <v>4080.0</v>
      </c>
      <c r="J635" s="84">
        <v>839256.0</v>
      </c>
      <c r="K635" s="84">
        <v>477808.8</v>
      </c>
      <c r="L635" s="84">
        <v>361447.2</v>
      </c>
      <c r="M635" s="46" t="s">
        <v>144</v>
      </c>
      <c r="N635" s="46" t="s">
        <v>173</v>
      </c>
      <c r="O635" s="46" t="s">
        <v>146</v>
      </c>
      <c r="P635" s="46" t="s">
        <v>155</v>
      </c>
      <c r="Q635" s="46" t="str">
        <f t="shared" si="1"/>
        <v>June, 2011</v>
      </c>
      <c r="R635" s="115">
        <f t="shared" si="2"/>
        <v>40695</v>
      </c>
      <c r="S635" s="49">
        <f t="array" ref="S635">WEEKDAY(D635,2)</f>
        <v>5</v>
      </c>
      <c r="T635" s="46" t="s">
        <v>106</v>
      </c>
      <c r="U635" s="46" t="str">
        <f t="array" ref="U635">TEXT(D635,"dddd")</f>
        <v>Friday</v>
      </c>
    </row>
    <row r="636" hidden="1">
      <c r="A636" s="46">
        <v>5.20777547E8</v>
      </c>
      <c r="B636" s="137" t="s">
        <v>222</v>
      </c>
      <c r="C636" s="137">
        <v>2010.0</v>
      </c>
      <c r="D636" s="138">
        <v>40239.0</v>
      </c>
      <c r="E636" s="139">
        <v>40283.0</v>
      </c>
      <c r="F636" s="142" t="s">
        <v>223</v>
      </c>
      <c r="G636" s="142">
        <v>2010.0</v>
      </c>
      <c r="H636" s="46">
        <v>2455.0</v>
      </c>
      <c r="I636" s="46">
        <v>8504.0</v>
      </c>
      <c r="J636" s="84">
        <v>929317.12</v>
      </c>
      <c r="K636" s="84">
        <v>304783.36000000004</v>
      </c>
      <c r="L636" s="84">
        <v>624533.76</v>
      </c>
      <c r="M636" s="46" t="s">
        <v>150</v>
      </c>
      <c r="N636" s="46" t="s">
        <v>196</v>
      </c>
      <c r="O636" s="46" t="s">
        <v>146</v>
      </c>
      <c r="P636" s="46" t="s">
        <v>155</v>
      </c>
      <c r="Q636" s="46" t="str">
        <f t="shared" si="1"/>
        <v>March, 2010</v>
      </c>
      <c r="R636" s="115">
        <f t="shared" si="2"/>
        <v>40238</v>
      </c>
      <c r="S636" s="49">
        <f t="array" ref="S636">WEEKDAY(D636,2)</f>
        <v>2</v>
      </c>
      <c r="T636" s="46" t="s">
        <v>125</v>
      </c>
      <c r="U636" s="46" t="str">
        <f t="array" ref="U636">TEXT(D636,"dddd")</f>
        <v>Tuesday</v>
      </c>
    </row>
    <row r="637" hidden="1">
      <c r="A637" s="46">
        <v>5.20915305E8</v>
      </c>
      <c r="B637" s="137" t="s">
        <v>226</v>
      </c>
      <c r="C637" s="137">
        <v>2011.0</v>
      </c>
      <c r="D637" s="138">
        <v>40832.0</v>
      </c>
      <c r="E637" s="139">
        <v>40854.0</v>
      </c>
      <c r="F637" s="142" t="s">
        <v>224</v>
      </c>
      <c r="G637" s="142">
        <v>2011.0</v>
      </c>
      <c r="H637" s="46">
        <v>8681.0</v>
      </c>
      <c r="I637" s="46">
        <v>9270.0</v>
      </c>
      <c r="J637" s="84">
        <v>6036716.7</v>
      </c>
      <c r="K637" s="84">
        <v>4866379.2</v>
      </c>
      <c r="L637" s="84">
        <v>1170337.5</v>
      </c>
      <c r="M637" s="46" t="s">
        <v>153</v>
      </c>
      <c r="N637" s="46" t="s">
        <v>179</v>
      </c>
      <c r="O637" s="46" t="s">
        <v>146</v>
      </c>
      <c r="P637" s="46" t="s">
        <v>155</v>
      </c>
      <c r="Q637" s="46" t="str">
        <f t="shared" si="1"/>
        <v>October, 2011</v>
      </c>
      <c r="R637" s="115">
        <f t="shared" si="2"/>
        <v>40817</v>
      </c>
      <c r="S637" s="49">
        <f t="array" ref="S637">WEEKDAY(D637,2)</f>
        <v>7</v>
      </c>
      <c r="T637" s="46" t="s">
        <v>111</v>
      </c>
      <c r="U637" s="46" t="str">
        <f t="array" ref="U637">TEXT(D637,"dddd")</f>
        <v>Sunday</v>
      </c>
    </row>
    <row r="638" hidden="1">
      <c r="A638" s="46">
        <v>5.21681344E8</v>
      </c>
      <c r="B638" s="137" t="s">
        <v>228</v>
      </c>
      <c r="C638" s="137">
        <v>2010.0</v>
      </c>
      <c r="D638" s="138">
        <v>40225.0</v>
      </c>
      <c r="E638" s="139">
        <v>40271.0</v>
      </c>
      <c r="F638" s="142" t="s">
        <v>223</v>
      </c>
      <c r="G638" s="142">
        <v>2010.0</v>
      </c>
      <c r="H638" s="46">
        <v>8681.0</v>
      </c>
      <c r="I638" s="46">
        <v>5957.0</v>
      </c>
      <c r="J638" s="84">
        <v>3879257.97</v>
      </c>
      <c r="K638" s="84">
        <v>3127186.72</v>
      </c>
      <c r="L638" s="84">
        <v>752071.25</v>
      </c>
      <c r="M638" s="46" t="s">
        <v>153</v>
      </c>
      <c r="N638" s="46" t="s">
        <v>184</v>
      </c>
      <c r="O638" s="46" t="s">
        <v>146</v>
      </c>
      <c r="P638" s="46" t="s">
        <v>155</v>
      </c>
      <c r="Q638" s="46" t="str">
        <f t="shared" si="1"/>
        <v>February, 2010</v>
      </c>
      <c r="R638" s="115">
        <f t="shared" si="2"/>
        <v>40210</v>
      </c>
      <c r="S638" s="49">
        <f t="array" ref="S638">WEEKDAY(D638,2)</f>
        <v>2</v>
      </c>
      <c r="T638" s="46" t="s">
        <v>114</v>
      </c>
      <c r="U638" s="46" t="str">
        <f t="array" ref="U638">TEXT(D638,"dddd")</f>
        <v>Tuesday</v>
      </c>
    </row>
    <row r="639" hidden="1">
      <c r="A639" s="46">
        <v>5.21874034E8</v>
      </c>
      <c r="B639" s="137" t="s">
        <v>227</v>
      </c>
      <c r="C639" s="137">
        <v>2010.0</v>
      </c>
      <c r="D639" s="138">
        <v>40184.0</v>
      </c>
      <c r="E639" s="139">
        <v>40212.0</v>
      </c>
      <c r="F639" s="142" t="s">
        <v>228</v>
      </c>
      <c r="G639" s="142">
        <v>2010.0</v>
      </c>
      <c r="H639" s="46">
        <v>8293.0</v>
      </c>
      <c r="I639" s="46">
        <v>2979.0</v>
      </c>
      <c r="J639" s="84">
        <v>1302418.8</v>
      </c>
      <c r="K639" s="84">
        <v>784460.07</v>
      </c>
      <c r="L639" s="84">
        <v>517958.7300000001</v>
      </c>
      <c r="M639" s="46" t="s">
        <v>178</v>
      </c>
      <c r="N639" s="46" t="s">
        <v>187</v>
      </c>
      <c r="O639" s="46" t="s">
        <v>146</v>
      </c>
      <c r="P639" s="46" t="s">
        <v>155</v>
      </c>
      <c r="Q639" s="46" t="str">
        <f t="shared" si="1"/>
        <v>January, 2010</v>
      </c>
      <c r="R639" s="115">
        <f t="shared" si="2"/>
        <v>40179</v>
      </c>
      <c r="S639" s="49">
        <f t="array" ref="S639">WEEKDAY(D639,2)</f>
        <v>3</v>
      </c>
      <c r="T639" s="46" t="s">
        <v>116</v>
      </c>
      <c r="U639" s="46" t="str">
        <f t="array" ref="U639">TEXT(D639,"dddd")</f>
        <v>Wednesday</v>
      </c>
    </row>
    <row r="640" hidden="1">
      <c r="A640" s="46">
        <v>5.22323358E8</v>
      </c>
      <c r="B640" s="137" t="s">
        <v>224</v>
      </c>
      <c r="C640" s="137">
        <v>2015.0</v>
      </c>
      <c r="D640" s="138">
        <v>42324.0</v>
      </c>
      <c r="E640" s="139">
        <v>42328.0</v>
      </c>
      <c r="F640" s="142" t="s">
        <v>224</v>
      </c>
      <c r="G640" s="142">
        <v>2015.0</v>
      </c>
      <c r="H640" s="46">
        <v>2455.0</v>
      </c>
      <c r="I640" s="46">
        <v>5944.0</v>
      </c>
      <c r="J640" s="84">
        <v>649560.32</v>
      </c>
      <c r="K640" s="84">
        <v>213032.96000000002</v>
      </c>
      <c r="L640" s="84">
        <v>436527.3599999999</v>
      </c>
      <c r="M640" s="46" t="s">
        <v>150</v>
      </c>
      <c r="N640" s="46" t="s">
        <v>172</v>
      </c>
      <c r="O640" s="46" t="s">
        <v>146</v>
      </c>
      <c r="P640" s="46" t="s">
        <v>155</v>
      </c>
      <c r="Q640" s="46" t="str">
        <f t="shared" si="1"/>
        <v>November, 2015</v>
      </c>
      <c r="R640" s="115">
        <f t="shared" si="2"/>
        <v>42309</v>
      </c>
      <c r="S640" s="49">
        <f t="array" ref="S640">WEEKDAY(D640,2)</f>
        <v>1</v>
      </c>
      <c r="T640" s="46" t="s">
        <v>105</v>
      </c>
      <c r="U640" s="46" t="str">
        <f t="array" ref="U640">TEXT(D640,"dddd")</f>
        <v>Monday</v>
      </c>
    </row>
    <row r="641" hidden="1">
      <c r="A641" s="46">
        <v>5.23580348E8</v>
      </c>
      <c r="B641" s="137" t="s">
        <v>220</v>
      </c>
      <c r="C641" s="137">
        <v>2011.0</v>
      </c>
      <c r="D641" s="138">
        <v>40719.0</v>
      </c>
      <c r="E641" s="139">
        <v>40759.0</v>
      </c>
      <c r="F641" s="142" t="s">
        <v>216</v>
      </c>
      <c r="G641" s="142">
        <v>2011.0</v>
      </c>
      <c r="H641" s="46">
        <v>2455.0</v>
      </c>
      <c r="I641" s="46">
        <v>7915.0</v>
      </c>
      <c r="J641" s="84">
        <v>864951.2</v>
      </c>
      <c r="K641" s="84">
        <v>283673.60000000003</v>
      </c>
      <c r="L641" s="84">
        <v>581277.5999999999</v>
      </c>
      <c r="M641" s="46" t="s">
        <v>150</v>
      </c>
      <c r="N641" s="46" t="s">
        <v>145</v>
      </c>
      <c r="O641" s="46" t="s">
        <v>146</v>
      </c>
      <c r="P641" s="46" t="s">
        <v>147</v>
      </c>
      <c r="Q641" s="46" t="str">
        <f t="shared" si="1"/>
        <v>June, 2011</v>
      </c>
      <c r="R641" s="115">
        <f t="shared" si="2"/>
        <v>40695</v>
      </c>
      <c r="S641" s="49">
        <f t="array" ref="S641">WEEKDAY(D641,2)</f>
        <v>6</v>
      </c>
      <c r="T641" s="46" t="s">
        <v>91</v>
      </c>
      <c r="U641" s="46" t="str">
        <f t="array" ref="U641">TEXT(D641,"dddd")</f>
        <v>Saturday</v>
      </c>
    </row>
    <row r="642" hidden="1">
      <c r="A642" s="46">
        <v>5.23707807E8</v>
      </c>
      <c r="B642" s="137" t="s">
        <v>224</v>
      </c>
      <c r="C642" s="137">
        <v>2013.0</v>
      </c>
      <c r="D642" s="138">
        <v>41603.0</v>
      </c>
      <c r="E642" s="139">
        <v>41624.0</v>
      </c>
      <c r="F642" s="142" t="s">
        <v>225</v>
      </c>
      <c r="G642" s="142">
        <v>2013.0</v>
      </c>
      <c r="H642" s="46">
        <v>5988.0</v>
      </c>
      <c r="I642" s="46">
        <v>5633.0</v>
      </c>
      <c r="J642" s="84">
        <v>867819.98</v>
      </c>
      <c r="K642" s="84">
        <v>512208.69000000006</v>
      </c>
      <c r="L642" s="84">
        <v>355611.2899999999</v>
      </c>
      <c r="M642" s="46" t="s">
        <v>159</v>
      </c>
      <c r="N642" s="46" t="s">
        <v>204</v>
      </c>
      <c r="O642" s="46" t="s">
        <v>146</v>
      </c>
      <c r="P642" s="46" t="s">
        <v>147</v>
      </c>
      <c r="Q642" s="46" t="str">
        <f t="shared" si="1"/>
        <v>November, 2013</v>
      </c>
      <c r="R642" s="115">
        <f t="shared" si="2"/>
        <v>41579</v>
      </c>
      <c r="S642" s="49">
        <f t="array" ref="S642">WEEKDAY(D642,2)</f>
        <v>1</v>
      </c>
      <c r="T642" s="46" t="s">
        <v>133</v>
      </c>
      <c r="U642" s="46" t="str">
        <f t="array" ref="U642">TEXT(D642,"dddd")</f>
        <v>Monday</v>
      </c>
    </row>
    <row r="643" hidden="1">
      <c r="A643" s="46">
        <v>5.23836123E8</v>
      </c>
      <c r="B643" s="137" t="s">
        <v>228</v>
      </c>
      <c r="C643" s="137">
        <v>2013.0</v>
      </c>
      <c r="D643" s="138">
        <v>41311.0</v>
      </c>
      <c r="E643" s="139">
        <v>41355.0</v>
      </c>
      <c r="F643" s="142" t="s">
        <v>222</v>
      </c>
      <c r="G643" s="142">
        <v>2013.0</v>
      </c>
      <c r="H643" s="46">
        <v>2455.0</v>
      </c>
      <c r="I643" s="46">
        <v>3605.0</v>
      </c>
      <c r="J643" s="84">
        <v>393954.4</v>
      </c>
      <c r="K643" s="84">
        <v>129203.20000000001</v>
      </c>
      <c r="L643" s="84">
        <v>264751.2</v>
      </c>
      <c r="M643" s="46" t="s">
        <v>150</v>
      </c>
      <c r="N643" s="46" t="s">
        <v>177</v>
      </c>
      <c r="O643" s="46" t="s">
        <v>146</v>
      </c>
      <c r="P643" s="46" t="s">
        <v>170</v>
      </c>
      <c r="Q643" s="46" t="str">
        <f t="shared" si="1"/>
        <v>February, 2013</v>
      </c>
      <c r="R643" s="115">
        <f t="shared" si="2"/>
        <v>41306</v>
      </c>
      <c r="S643" s="49">
        <f t="array" ref="S643">WEEKDAY(D643,2)</f>
        <v>3</v>
      </c>
      <c r="T643" s="46" t="s">
        <v>110</v>
      </c>
      <c r="U643" s="46" t="str">
        <f t="array" ref="U643">TEXT(D643,"dddd")</f>
        <v>Wednesday</v>
      </c>
    </row>
    <row r="644" hidden="1">
      <c r="A644" s="46">
        <v>5.23899209E8</v>
      </c>
      <c r="B644" s="137" t="s">
        <v>224</v>
      </c>
      <c r="C644" s="137">
        <v>2014.0</v>
      </c>
      <c r="D644" s="138">
        <v>41944.0</v>
      </c>
      <c r="E644" s="139">
        <v>41959.0</v>
      </c>
      <c r="F644" s="142" t="s">
        <v>224</v>
      </c>
      <c r="G644" s="142">
        <v>2014.0</v>
      </c>
      <c r="H644" s="46">
        <v>7331.0</v>
      </c>
      <c r="I644" s="46">
        <v>2273.0</v>
      </c>
      <c r="J644" s="84">
        <v>580251.4400000001</v>
      </c>
      <c r="K644" s="84">
        <v>362361.66</v>
      </c>
      <c r="L644" s="84">
        <v>217889.7800000001</v>
      </c>
      <c r="M644" s="46" t="s">
        <v>161</v>
      </c>
      <c r="N644" s="46" t="s">
        <v>163</v>
      </c>
      <c r="O644" s="46" t="s">
        <v>146</v>
      </c>
      <c r="P644" s="46" t="s">
        <v>158</v>
      </c>
      <c r="Q644" s="46" t="str">
        <f t="shared" si="1"/>
        <v>November, 2014</v>
      </c>
      <c r="R644" s="115">
        <f t="shared" si="2"/>
        <v>41944</v>
      </c>
      <c r="S644" s="49">
        <f t="array" ref="S644">WEEKDAY(D644,2)</f>
        <v>6</v>
      </c>
      <c r="T644" s="46" t="s">
        <v>100</v>
      </c>
      <c r="U644" s="46" t="str">
        <f t="array" ref="U644">TEXT(D644,"dddd")</f>
        <v>Saturday</v>
      </c>
    </row>
    <row r="645" hidden="1">
      <c r="A645" s="46">
        <v>5.24844634E8</v>
      </c>
      <c r="B645" s="137" t="s">
        <v>226</v>
      </c>
      <c r="C645" s="137">
        <v>2013.0</v>
      </c>
      <c r="D645" s="138">
        <v>41557.0</v>
      </c>
      <c r="E645" s="139">
        <v>41560.0</v>
      </c>
      <c r="F645" s="142" t="s">
        <v>226</v>
      </c>
      <c r="G645" s="142">
        <v>2013.0</v>
      </c>
      <c r="H645" s="46">
        <v>2103.0</v>
      </c>
      <c r="I645" s="46">
        <v>2045.0</v>
      </c>
      <c r="J645" s="84">
        <v>420656.5</v>
      </c>
      <c r="K645" s="84">
        <v>239489.95</v>
      </c>
      <c r="L645" s="84">
        <v>181166.55</v>
      </c>
      <c r="M645" s="46" t="s">
        <v>144</v>
      </c>
      <c r="N645" s="46" t="s">
        <v>208</v>
      </c>
      <c r="O645" s="46" t="s">
        <v>146</v>
      </c>
      <c r="P645" s="46" t="s">
        <v>147</v>
      </c>
      <c r="Q645" s="46" t="str">
        <f t="shared" si="1"/>
        <v>October, 2013</v>
      </c>
      <c r="R645" s="115">
        <f t="shared" si="2"/>
        <v>41548</v>
      </c>
      <c r="S645" s="49">
        <f t="array" ref="S645">WEEKDAY(D645,2)</f>
        <v>4</v>
      </c>
      <c r="T645" s="46" t="s">
        <v>138</v>
      </c>
      <c r="U645" s="46" t="str">
        <f t="array" ref="U645">TEXT(D645,"dddd")</f>
        <v>Thursday</v>
      </c>
    </row>
    <row r="646" hidden="1">
      <c r="A646" s="46">
        <v>5.24972951E8</v>
      </c>
      <c r="B646" s="137" t="s">
        <v>225</v>
      </c>
      <c r="C646" s="137">
        <v>2012.0</v>
      </c>
      <c r="D646" s="138">
        <v>41265.0</v>
      </c>
      <c r="E646" s="139">
        <v>41291.0</v>
      </c>
      <c r="F646" s="142" t="s">
        <v>227</v>
      </c>
      <c r="G646" s="142">
        <v>2013.0</v>
      </c>
      <c r="H646" s="46">
        <v>8875.0</v>
      </c>
      <c r="I646" s="46">
        <v>17.0</v>
      </c>
      <c r="J646" s="84">
        <v>7172.13</v>
      </c>
      <c r="K646" s="84">
        <v>6199.73</v>
      </c>
      <c r="L646" s="84">
        <v>972.4000000000005</v>
      </c>
      <c r="M646" s="46" t="s">
        <v>167</v>
      </c>
      <c r="N646" s="46" t="s">
        <v>172</v>
      </c>
      <c r="O646" s="46" t="s">
        <v>146</v>
      </c>
      <c r="P646" s="46" t="s">
        <v>155</v>
      </c>
      <c r="Q646" s="46" t="str">
        <f t="shared" si="1"/>
        <v>December, 2012</v>
      </c>
      <c r="R646" s="115">
        <f t="shared" si="2"/>
        <v>41244</v>
      </c>
      <c r="S646" s="49">
        <f t="array" ref="S646">WEEKDAY(D646,2)</f>
        <v>6</v>
      </c>
      <c r="T646" s="46" t="s">
        <v>105</v>
      </c>
      <c r="U646" s="46" t="str">
        <f t="array" ref="U646">TEXT(D646,"dddd")</f>
        <v>Saturday</v>
      </c>
    </row>
    <row r="647" hidden="1">
      <c r="A647" s="46">
        <v>5.25321424E8</v>
      </c>
      <c r="B647" s="137" t="s">
        <v>225</v>
      </c>
      <c r="C647" s="137">
        <v>2014.0</v>
      </c>
      <c r="D647" s="138">
        <v>41998.0</v>
      </c>
      <c r="E647" s="139">
        <v>42004.0</v>
      </c>
      <c r="F647" s="142" t="s">
        <v>225</v>
      </c>
      <c r="G647" s="142">
        <v>2014.0</v>
      </c>
      <c r="H647" s="46">
        <v>7940.0</v>
      </c>
      <c r="I647" s="46">
        <v>3138.0</v>
      </c>
      <c r="J647" s="84">
        <v>2097031.26</v>
      </c>
      <c r="K647" s="84">
        <v>1576970.52</v>
      </c>
      <c r="L647" s="84">
        <v>520060.74</v>
      </c>
      <c r="M647" s="46" t="s">
        <v>148</v>
      </c>
      <c r="N647" s="46" t="s">
        <v>151</v>
      </c>
      <c r="O647" s="46" t="s">
        <v>146</v>
      </c>
      <c r="P647" s="46" t="s">
        <v>147</v>
      </c>
      <c r="Q647" s="46" t="str">
        <f t="shared" si="1"/>
        <v>December, 2014</v>
      </c>
      <c r="R647" s="115">
        <f t="shared" si="2"/>
        <v>41974</v>
      </c>
      <c r="S647" s="49">
        <f t="array" ref="S647">WEEKDAY(D647,2)</f>
        <v>4</v>
      </c>
      <c r="T647" s="46" t="s">
        <v>94</v>
      </c>
      <c r="U647" s="46" t="str">
        <f t="array" ref="U647">TEXT(D647,"dddd")</f>
        <v>Thursday</v>
      </c>
    </row>
    <row r="648" hidden="1">
      <c r="A648" s="46">
        <v>5.25472486E8</v>
      </c>
      <c r="B648" s="137" t="s">
        <v>224</v>
      </c>
      <c r="C648" s="137">
        <v>2015.0</v>
      </c>
      <c r="D648" s="138">
        <v>42329.0</v>
      </c>
      <c r="E648" s="139">
        <v>42331.0</v>
      </c>
      <c r="F648" s="142" t="s">
        <v>224</v>
      </c>
      <c r="G648" s="142">
        <v>2015.0</v>
      </c>
      <c r="H648" s="46">
        <v>7331.0</v>
      </c>
      <c r="I648" s="46">
        <v>7840.0</v>
      </c>
      <c r="J648" s="84">
        <v>2001395.2</v>
      </c>
      <c r="K648" s="84">
        <v>1249852.7999999998</v>
      </c>
      <c r="L648" s="84">
        <v>751542.4000000001</v>
      </c>
      <c r="M648" s="46" t="s">
        <v>161</v>
      </c>
      <c r="N648" s="46" t="s">
        <v>190</v>
      </c>
      <c r="O648" s="46" t="s">
        <v>146</v>
      </c>
      <c r="P648" s="46" t="s">
        <v>147</v>
      </c>
      <c r="Q648" s="46" t="str">
        <f t="shared" si="1"/>
        <v>November, 2015</v>
      </c>
      <c r="R648" s="115">
        <f t="shared" si="2"/>
        <v>42309</v>
      </c>
      <c r="S648" s="49">
        <f t="array" ref="S648">WEEKDAY(D648,2)</f>
        <v>6</v>
      </c>
      <c r="T648" s="46" t="s">
        <v>119</v>
      </c>
      <c r="U648" s="46" t="str">
        <f t="array" ref="U648">TEXT(D648,"dddd")</f>
        <v>Saturday</v>
      </c>
    </row>
    <row r="649" hidden="1">
      <c r="A649" s="46">
        <v>5.25749719E8</v>
      </c>
      <c r="B649" s="137" t="s">
        <v>221</v>
      </c>
      <c r="C649" s="137">
        <v>2012.0</v>
      </c>
      <c r="D649" s="138">
        <v>41161.0</v>
      </c>
      <c r="E649" s="139">
        <v>41204.0</v>
      </c>
      <c r="F649" s="142" t="s">
        <v>226</v>
      </c>
      <c r="G649" s="142">
        <v>2012.0</v>
      </c>
      <c r="H649" s="46">
        <v>8969.0</v>
      </c>
      <c r="I649" s="46">
        <v>9880.0</v>
      </c>
      <c r="J649" s="84">
        <v>1507490.4000000001</v>
      </c>
      <c r="K649" s="84">
        <v>962707.2</v>
      </c>
      <c r="L649" s="84">
        <v>544783.2000000002</v>
      </c>
      <c r="M649" s="46" t="s">
        <v>182</v>
      </c>
      <c r="N649" s="46" t="s">
        <v>187</v>
      </c>
      <c r="O649" s="46" t="s">
        <v>146</v>
      </c>
      <c r="P649" s="46" t="s">
        <v>155</v>
      </c>
      <c r="Q649" s="46" t="str">
        <f t="shared" si="1"/>
        <v>September, 2012</v>
      </c>
      <c r="R649" s="115">
        <f t="shared" si="2"/>
        <v>41153</v>
      </c>
      <c r="S649" s="49">
        <f t="array" ref="S649">WEEKDAY(D649,2)</f>
        <v>7</v>
      </c>
      <c r="T649" s="46" t="s">
        <v>116</v>
      </c>
      <c r="U649" s="46" t="str">
        <f t="array" ref="U649">TEXT(D649,"dddd")</f>
        <v>Sunday</v>
      </c>
    </row>
    <row r="650">
      <c r="A650" s="46">
        <v>5.26018369E8</v>
      </c>
      <c r="B650" s="137" t="s">
        <v>220</v>
      </c>
      <c r="C650" s="137">
        <v>2011.0</v>
      </c>
      <c r="D650" s="138">
        <v>40697.0</v>
      </c>
      <c r="E650" s="139">
        <v>40715.0</v>
      </c>
      <c r="F650" s="142" t="s">
        <v>220</v>
      </c>
      <c r="G650" s="142">
        <v>2011.0</v>
      </c>
      <c r="H650" s="46">
        <v>8293.0</v>
      </c>
      <c r="I650" s="46">
        <v>9379.0</v>
      </c>
      <c r="J650" s="84">
        <v>4100498.8</v>
      </c>
      <c r="K650" s="84">
        <v>2469772.07</v>
      </c>
      <c r="L650" s="84">
        <v>1630726.73</v>
      </c>
      <c r="M650" s="46" t="s">
        <v>178</v>
      </c>
      <c r="N650" s="46" t="s">
        <v>149</v>
      </c>
      <c r="O650" s="46" t="s">
        <v>149</v>
      </c>
      <c r="P650" s="46" t="s">
        <v>218</v>
      </c>
      <c r="Q650" s="46" t="str">
        <f t="shared" si="1"/>
        <v>June, 2011</v>
      </c>
      <c r="R650" s="115">
        <f t="shared" si="2"/>
        <v>40695</v>
      </c>
      <c r="S650" s="49">
        <f t="array" ref="S650">WEEKDAY(D650,2)</f>
        <v>5</v>
      </c>
      <c r="T650" s="46" t="s">
        <v>92</v>
      </c>
      <c r="U650" s="46" t="str">
        <f t="array" ref="U650">TEXT(D650,"dddd")</f>
        <v>Friday</v>
      </c>
    </row>
    <row r="651" hidden="1">
      <c r="A651" s="46">
        <v>5.26350104E8</v>
      </c>
      <c r="B651" s="137" t="s">
        <v>224</v>
      </c>
      <c r="C651" s="137">
        <v>2011.0</v>
      </c>
      <c r="D651" s="138">
        <v>40866.0</v>
      </c>
      <c r="E651" s="139">
        <v>40881.0</v>
      </c>
      <c r="F651" s="142" t="s">
        <v>225</v>
      </c>
      <c r="G651" s="142">
        <v>2011.0</v>
      </c>
      <c r="H651" s="46">
        <v>2455.0</v>
      </c>
      <c r="I651" s="46">
        <v>7547.0</v>
      </c>
      <c r="J651" s="84">
        <v>824736.16</v>
      </c>
      <c r="K651" s="84">
        <v>270484.48000000004</v>
      </c>
      <c r="L651" s="84">
        <v>554251.6799999999</v>
      </c>
      <c r="M651" s="46" t="s">
        <v>150</v>
      </c>
      <c r="N651" s="46" t="s">
        <v>151</v>
      </c>
      <c r="O651" s="46" t="s">
        <v>146</v>
      </c>
      <c r="P651" s="46" t="s">
        <v>147</v>
      </c>
      <c r="Q651" s="46" t="str">
        <f t="shared" si="1"/>
        <v>November, 2011</v>
      </c>
      <c r="R651" s="115">
        <f t="shared" si="2"/>
        <v>40848</v>
      </c>
      <c r="S651" s="49">
        <f t="array" ref="S651">WEEKDAY(D651,2)</f>
        <v>6</v>
      </c>
      <c r="T651" s="46" t="s">
        <v>94</v>
      </c>
      <c r="U651" s="46" t="str">
        <f t="array" ref="U651">TEXT(D651,"dddd")</f>
        <v>Saturday</v>
      </c>
    </row>
    <row r="652" hidden="1">
      <c r="A652" s="46">
        <v>5.26533353E8</v>
      </c>
      <c r="B652" s="137" t="s">
        <v>225</v>
      </c>
      <c r="C652" s="137">
        <v>2016.0</v>
      </c>
      <c r="D652" s="138">
        <v>42706.0</v>
      </c>
      <c r="E652" s="139">
        <v>42747.0</v>
      </c>
      <c r="F652" s="142" t="s">
        <v>227</v>
      </c>
      <c r="G652" s="142">
        <v>2017.0</v>
      </c>
      <c r="H652" s="46">
        <v>4594.0</v>
      </c>
      <c r="I652" s="46">
        <v>1775.0</v>
      </c>
      <c r="J652" s="84">
        <v>16560.75</v>
      </c>
      <c r="K652" s="84">
        <v>12283.0</v>
      </c>
      <c r="L652" s="84">
        <v>4277.75</v>
      </c>
      <c r="M652" s="46" t="s">
        <v>156</v>
      </c>
      <c r="N652" s="46" t="s">
        <v>168</v>
      </c>
      <c r="O652" s="46" t="s">
        <v>165</v>
      </c>
      <c r="P652" s="46" t="s">
        <v>166</v>
      </c>
      <c r="Q652" s="46" t="str">
        <f t="shared" si="1"/>
        <v>December, 2016</v>
      </c>
      <c r="R652" s="115">
        <f t="shared" si="2"/>
        <v>42705</v>
      </c>
      <c r="S652" s="49">
        <f t="array" ref="S652">WEEKDAY(D652,2)</f>
        <v>5</v>
      </c>
      <c r="T652" s="46" t="s">
        <v>102</v>
      </c>
      <c r="U652" s="46" t="str">
        <f t="array" ref="U652">TEXT(D652,"dddd")</f>
        <v>Friday</v>
      </c>
    </row>
    <row r="653" hidden="1">
      <c r="A653" s="46">
        <v>5.27079236E8</v>
      </c>
      <c r="B653" s="137" t="s">
        <v>220</v>
      </c>
      <c r="C653" s="137">
        <v>2012.0</v>
      </c>
      <c r="D653" s="138">
        <v>41074.0</v>
      </c>
      <c r="E653" s="139">
        <v>41080.0</v>
      </c>
      <c r="F653" s="142" t="s">
        <v>220</v>
      </c>
      <c r="G653" s="142">
        <v>2012.0</v>
      </c>
      <c r="H653" s="46">
        <v>5988.0</v>
      </c>
      <c r="I653" s="46">
        <v>3314.0</v>
      </c>
      <c r="J653" s="84">
        <v>510554.84</v>
      </c>
      <c r="K653" s="84">
        <v>301342.02</v>
      </c>
      <c r="L653" s="84">
        <v>209212.82</v>
      </c>
      <c r="M653" s="46" t="s">
        <v>159</v>
      </c>
      <c r="N653" s="46" t="s">
        <v>184</v>
      </c>
      <c r="O653" s="46" t="s">
        <v>146</v>
      </c>
      <c r="P653" s="46" t="s">
        <v>155</v>
      </c>
      <c r="Q653" s="46" t="str">
        <f t="shared" si="1"/>
        <v>June, 2012</v>
      </c>
      <c r="R653" s="115">
        <f t="shared" si="2"/>
        <v>41061</v>
      </c>
      <c r="S653" s="49">
        <f t="array" ref="S653">WEEKDAY(D653,2)</f>
        <v>4</v>
      </c>
      <c r="T653" s="46" t="s">
        <v>114</v>
      </c>
      <c r="U653" s="46" t="str">
        <f t="array" ref="U653">TEXT(D653,"dddd")</f>
        <v>Thursday</v>
      </c>
    </row>
    <row r="654" hidden="1">
      <c r="A654" s="46">
        <v>5.2725991E8</v>
      </c>
      <c r="B654" s="137" t="s">
        <v>227</v>
      </c>
      <c r="C654" s="137">
        <v>2012.0</v>
      </c>
      <c r="D654" s="138">
        <v>40912.0</v>
      </c>
      <c r="E654" s="139">
        <v>40919.0</v>
      </c>
      <c r="F654" s="142" t="s">
        <v>227</v>
      </c>
      <c r="G654" s="142">
        <v>2012.0</v>
      </c>
      <c r="H654" s="46">
        <v>3127.0</v>
      </c>
      <c r="I654" s="46">
        <v>6779.0</v>
      </c>
      <c r="J654" s="84">
        <v>554047.67</v>
      </c>
      <c r="K654" s="84">
        <v>384165.93</v>
      </c>
      <c r="L654" s="84">
        <v>169881.74000000005</v>
      </c>
      <c r="M654" s="46" t="s">
        <v>185</v>
      </c>
      <c r="N654" s="46" t="s">
        <v>200</v>
      </c>
      <c r="O654" s="46" t="s">
        <v>146</v>
      </c>
      <c r="P654" s="46" t="s">
        <v>158</v>
      </c>
      <c r="Q654" s="46" t="str">
        <f t="shared" si="1"/>
        <v>January, 2012</v>
      </c>
      <c r="R654" s="115">
        <f t="shared" si="2"/>
        <v>40909</v>
      </c>
      <c r="S654" s="49">
        <f t="array" ref="S654">WEEKDAY(D654,2)</f>
        <v>3</v>
      </c>
      <c r="T654" s="46" t="s">
        <v>129</v>
      </c>
      <c r="U654" s="46" t="str">
        <f t="array" ref="U654">TEXT(D654,"dddd")</f>
        <v>Wednesday</v>
      </c>
    </row>
    <row r="655" hidden="1">
      <c r="A655" s="46">
        <v>5.27509677E8</v>
      </c>
      <c r="B655" s="137" t="s">
        <v>220</v>
      </c>
      <c r="C655" s="137">
        <v>2013.0</v>
      </c>
      <c r="D655" s="138">
        <v>41444.0</v>
      </c>
      <c r="E655" s="139">
        <v>41465.0</v>
      </c>
      <c r="F655" s="142" t="s">
        <v>217</v>
      </c>
      <c r="G655" s="142">
        <v>2013.0</v>
      </c>
      <c r="H655" s="46">
        <v>8681.0</v>
      </c>
      <c r="I655" s="46">
        <v>691.0</v>
      </c>
      <c r="J655" s="84">
        <v>449986.11000000004</v>
      </c>
      <c r="K655" s="84">
        <v>362747.36000000004</v>
      </c>
      <c r="L655" s="84">
        <v>87238.75</v>
      </c>
      <c r="M655" s="46" t="s">
        <v>153</v>
      </c>
      <c r="N655" s="46" t="s">
        <v>207</v>
      </c>
      <c r="O655" s="46" t="s">
        <v>146</v>
      </c>
      <c r="P655" s="46" t="s">
        <v>170</v>
      </c>
      <c r="Q655" s="46" t="str">
        <f t="shared" si="1"/>
        <v>June, 2013</v>
      </c>
      <c r="R655" s="115">
        <f t="shared" si="2"/>
        <v>41426</v>
      </c>
      <c r="S655" s="49">
        <f t="array" ref="S655">WEEKDAY(D655,2)</f>
        <v>3</v>
      </c>
      <c r="T655" s="46" t="s">
        <v>137</v>
      </c>
      <c r="U655" s="46" t="str">
        <f t="array" ref="U655">TEXT(D655,"dddd")</f>
        <v>Wednesday</v>
      </c>
    </row>
    <row r="656" hidden="1">
      <c r="A656" s="46">
        <v>5.30262696E8</v>
      </c>
      <c r="B656" s="137" t="s">
        <v>223</v>
      </c>
      <c r="C656" s="137">
        <v>2012.0</v>
      </c>
      <c r="D656" s="138">
        <v>41028.0</v>
      </c>
      <c r="E656" s="139">
        <v>41040.0</v>
      </c>
      <c r="F656" s="142" t="s">
        <v>219</v>
      </c>
      <c r="G656" s="142">
        <v>2012.0</v>
      </c>
      <c r="H656" s="46">
        <v>2455.0</v>
      </c>
      <c r="I656" s="46">
        <v>5370.0</v>
      </c>
      <c r="J656" s="84">
        <v>586833.6</v>
      </c>
      <c r="K656" s="84">
        <v>192460.80000000002</v>
      </c>
      <c r="L656" s="84">
        <v>394372.79999999993</v>
      </c>
      <c r="M656" s="46" t="s">
        <v>150</v>
      </c>
      <c r="N656" s="46" t="s">
        <v>177</v>
      </c>
      <c r="O656" s="46" t="s">
        <v>146</v>
      </c>
      <c r="P656" s="46" t="s">
        <v>170</v>
      </c>
      <c r="Q656" s="46" t="str">
        <f t="shared" si="1"/>
        <v>April, 2012</v>
      </c>
      <c r="R656" s="115">
        <f t="shared" si="2"/>
        <v>41000</v>
      </c>
      <c r="S656" s="49">
        <f t="array" ref="S656">WEEKDAY(D656,2)</f>
        <v>7</v>
      </c>
      <c r="T656" s="46" t="s">
        <v>110</v>
      </c>
      <c r="U656" s="46" t="str">
        <f t="array" ref="U656">TEXT(D656,"dddd")</f>
        <v>Sunday</v>
      </c>
    </row>
    <row r="657" hidden="1">
      <c r="A657" s="46">
        <v>5.30702579E8</v>
      </c>
      <c r="B657" s="137" t="s">
        <v>226</v>
      </c>
      <c r="C657" s="137">
        <v>2015.0</v>
      </c>
      <c r="D657" s="138">
        <v>42284.0</v>
      </c>
      <c r="E657" s="139">
        <v>42317.0</v>
      </c>
      <c r="F657" s="142" t="s">
        <v>224</v>
      </c>
      <c r="G657" s="142">
        <v>2015.0</v>
      </c>
      <c r="H657" s="46">
        <v>7331.0</v>
      </c>
      <c r="I657" s="46">
        <v>5541.0</v>
      </c>
      <c r="J657" s="84">
        <v>1414506.48</v>
      </c>
      <c r="K657" s="84">
        <v>883346.22</v>
      </c>
      <c r="L657" s="84">
        <v>531160.26</v>
      </c>
      <c r="M657" s="46" t="s">
        <v>161</v>
      </c>
      <c r="N657" s="46" t="s">
        <v>169</v>
      </c>
      <c r="O657" s="46" t="s">
        <v>146</v>
      </c>
      <c r="P657" s="46" t="s">
        <v>170</v>
      </c>
      <c r="Q657" s="46" t="str">
        <f t="shared" si="1"/>
        <v>October, 2015</v>
      </c>
      <c r="R657" s="115">
        <f t="shared" si="2"/>
        <v>42278</v>
      </c>
      <c r="S657" s="49">
        <f t="array" ref="S657">WEEKDAY(D657,2)</f>
        <v>3</v>
      </c>
      <c r="T657" s="46" t="s">
        <v>103</v>
      </c>
      <c r="U657" s="46" t="str">
        <f t="array" ref="U657">TEXT(D657,"dddd")</f>
        <v>Wednesday</v>
      </c>
    </row>
    <row r="658" hidden="1">
      <c r="A658" s="46">
        <v>5.30882394E8</v>
      </c>
      <c r="B658" s="137" t="s">
        <v>225</v>
      </c>
      <c r="C658" s="137">
        <v>2010.0</v>
      </c>
      <c r="D658" s="138">
        <v>40533.0</v>
      </c>
      <c r="E658" s="139">
        <v>40576.0</v>
      </c>
      <c r="F658" s="142" t="s">
        <v>228</v>
      </c>
      <c r="G658" s="142">
        <v>2011.0</v>
      </c>
      <c r="H658" s="46">
        <v>8875.0</v>
      </c>
      <c r="I658" s="46">
        <v>8753.0</v>
      </c>
      <c r="J658" s="84">
        <v>3692803.17</v>
      </c>
      <c r="K658" s="84">
        <v>3192131.57</v>
      </c>
      <c r="L658" s="84">
        <v>500671.6000000001</v>
      </c>
      <c r="M658" s="46" t="s">
        <v>167</v>
      </c>
      <c r="N658" s="46" t="s">
        <v>162</v>
      </c>
      <c r="O658" s="46" t="s">
        <v>146</v>
      </c>
      <c r="P658" s="46" t="s">
        <v>147</v>
      </c>
      <c r="Q658" s="46" t="str">
        <f t="shared" si="1"/>
        <v>December, 2010</v>
      </c>
      <c r="R658" s="115">
        <f t="shared" si="2"/>
        <v>40513</v>
      </c>
      <c r="S658" s="49">
        <f t="array" ref="S658">WEEKDAY(D658,2)</f>
        <v>2</v>
      </c>
      <c r="T658" s="46" t="s">
        <v>99</v>
      </c>
      <c r="U658" s="46" t="str">
        <f t="array" ref="U658">TEXT(D658,"dddd")</f>
        <v>Tuesday</v>
      </c>
    </row>
    <row r="659" hidden="1">
      <c r="A659" s="46">
        <v>5.31281936E8</v>
      </c>
      <c r="B659" s="137" t="s">
        <v>219</v>
      </c>
      <c r="C659" s="137">
        <v>2014.0</v>
      </c>
      <c r="D659" s="138">
        <v>41778.0</v>
      </c>
      <c r="E659" s="139">
        <v>41793.0</v>
      </c>
      <c r="F659" s="142" t="s">
        <v>220</v>
      </c>
      <c r="G659" s="142">
        <v>2014.0</v>
      </c>
      <c r="H659" s="46">
        <v>8875.0</v>
      </c>
      <c r="I659" s="46">
        <v>6986.0</v>
      </c>
      <c r="J659" s="84">
        <v>2947323.54</v>
      </c>
      <c r="K659" s="84">
        <v>2547724.34</v>
      </c>
      <c r="L659" s="84">
        <v>399599.2000000002</v>
      </c>
      <c r="M659" s="46" t="s">
        <v>167</v>
      </c>
      <c r="N659" s="46" t="s">
        <v>157</v>
      </c>
      <c r="O659" s="46" t="s">
        <v>146</v>
      </c>
      <c r="P659" s="46" t="s">
        <v>158</v>
      </c>
      <c r="Q659" s="46" t="str">
        <f t="shared" si="1"/>
        <v>May, 2014</v>
      </c>
      <c r="R659" s="115">
        <f t="shared" si="2"/>
        <v>41760</v>
      </c>
      <c r="S659" s="49">
        <f t="array" ref="S659">WEEKDAY(D659,2)</f>
        <v>1</v>
      </c>
      <c r="T659" s="46" t="s">
        <v>97</v>
      </c>
      <c r="U659" s="46" t="str">
        <f t="array" ref="U659">TEXT(D659,"dddd")</f>
        <v>Monday</v>
      </c>
    </row>
    <row r="660" hidden="1">
      <c r="A660" s="46">
        <v>5.33314406E8</v>
      </c>
      <c r="B660" s="137" t="s">
        <v>221</v>
      </c>
      <c r="C660" s="137">
        <v>2010.0</v>
      </c>
      <c r="D660" s="138">
        <v>40450.0</v>
      </c>
      <c r="E660" s="139">
        <v>40480.0</v>
      </c>
      <c r="F660" s="142" t="s">
        <v>226</v>
      </c>
      <c r="G660" s="142">
        <v>2010.0</v>
      </c>
      <c r="H660" s="46">
        <v>7940.0</v>
      </c>
      <c r="I660" s="46">
        <v>8439.0</v>
      </c>
      <c r="J660" s="84">
        <v>5639530.53</v>
      </c>
      <c r="K660" s="84">
        <v>4240935.0600000005</v>
      </c>
      <c r="L660" s="84">
        <v>1398595.4699999997</v>
      </c>
      <c r="M660" s="46" t="s">
        <v>148</v>
      </c>
      <c r="N660" s="46" t="s">
        <v>199</v>
      </c>
      <c r="O660" s="46" t="s">
        <v>146</v>
      </c>
      <c r="P660" s="46" t="s">
        <v>147</v>
      </c>
      <c r="Q660" s="46" t="str">
        <f t="shared" si="1"/>
        <v>September, 2010</v>
      </c>
      <c r="R660" s="115">
        <f t="shared" si="2"/>
        <v>40422</v>
      </c>
      <c r="S660" s="49">
        <f t="array" ref="S660">WEEKDAY(D660,2)</f>
        <v>3</v>
      </c>
      <c r="T660" s="46" t="s">
        <v>128</v>
      </c>
      <c r="U660" s="46" t="str">
        <f t="array" ref="U660">TEXT(D660,"dddd")</f>
        <v>Wednesday</v>
      </c>
    </row>
    <row r="661" hidden="1">
      <c r="A661" s="46">
        <v>5.33597218E8</v>
      </c>
      <c r="B661" s="137" t="s">
        <v>228</v>
      </c>
      <c r="C661" s="137">
        <v>2013.0</v>
      </c>
      <c r="D661" s="138">
        <v>41314.0</v>
      </c>
      <c r="E661" s="139">
        <v>41329.0</v>
      </c>
      <c r="F661" s="142" t="s">
        <v>228</v>
      </c>
      <c r="G661" s="142">
        <v>2013.0</v>
      </c>
      <c r="H661" s="46">
        <v>8681.0</v>
      </c>
      <c r="I661" s="46">
        <v>2130.0</v>
      </c>
      <c r="J661" s="84">
        <v>1387077.3</v>
      </c>
      <c r="K661" s="84">
        <v>1118164.8</v>
      </c>
      <c r="L661" s="84">
        <v>268912.5</v>
      </c>
      <c r="M661" s="46" t="s">
        <v>153</v>
      </c>
      <c r="N661" s="46" t="s">
        <v>186</v>
      </c>
      <c r="O661" s="46" t="s">
        <v>146</v>
      </c>
      <c r="P661" s="46" t="s">
        <v>147</v>
      </c>
      <c r="Q661" s="46" t="str">
        <f t="shared" si="1"/>
        <v>February, 2013</v>
      </c>
      <c r="R661" s="115">
        <f t="shared" si="2"/>
        <v>41306</v>
      </c>
      <c r="S661" s="49">
        <f t="array" ref="S661">WEEKDAY(D661,2)</f>
        <v>6</v>
      </c>
      <c r="T661" s="46" t="s">
        <v>115</v>
      </c>
      <c r="U661" s="46" t="str">
        <f t="array" ref="U661">TEXT(D661,"dddd")</f>
        <v>Saturday</v>
      </c>
    </row>
    <row r="662" hidden="1">
      <c r="A662" s="46">
        <v>5.34641349E8</v>
      </c>
      <c r="B662" s="137" t="s">
        <v>216</v>
      </c>
      <c r="C662" s="137">
        <v>2012.0</v>
      </c>
      <c r="D662" s="138">
        <v>41128.0</v>
      </c>
      <c r="E662" s="139">
        <v>41148.0</v>
      </c>
      <c r="F662" s="142" t="s">
        <v>216</v>
      </c>
      <c r="G662" s="142">
        <v>2012.0</v>
      </c>
      <c r="H662" s="46">
        <v>1270.0</v>
      </c>
      <c r="I662" s="46">
        <v>1111.0</v>
      </c>
      <c r="J662" s="84">
        <v>52716.950000000004</v>
      </c>
      <c r="K662" s="84">
        <v>35318.69</v>
      </c>
      <c r="L662" s="84">
        <v>17398.260000000002</v>
      </c>
      <c r="M662" s="46" t="s">
        <v>152</v>
      </c>
      <c r="N662" s="46" t="s">
        <v>179</v>
      </c>
      <c r="O662" s="46" t="s">
        <v>146</v>
      </c>
      <c r="P662" s="46" t="s">
        <v>155</v>
      </c>
      <c r="Q662" s="46" t="str">
        <f t="shared" si="1"/>
        <v>August, 2012</v>
      </c>
      <c r="R662" s="115">
        <f t="shared" si="2"/>
        <v>41122</v>
      </c>
      <c r="S662" s="49">
        <f t="array" ref="S662">WEEKDAY(D662,2)</f>
        <v>2</v>
      </c>
      <c r="T662" s="46" t="s">
        <v>111</v>
      </c>
      <c r="U662" s="46" t="str">
        <f t="array" ref="U662">TEXT(D662,"dddd")</f>
        <v>Tuesday</v>
      </c>
    </row>
    <row r="663" hidden="1">
      <c r="A663" s="46">
        <v>5.34709155E8</v>
      </c>
      <c r="B663" s="137" t="s">
        <v>217</v>
      </c>
      <c r="C663" s="137">
        <v>2015.0</v>
      </c>
      <c r="D663" s="138">
        <v>42204.0</v>
      </c>
      <c r="E663" s="139">
        <v>42249.0</v>
      </c>
      <c r="F663" s="142" t="s">
        <v>221</v>
      </c>
      <c r="G663" s="142">
        <v>2015.0</v>
      </c>
      <c r="H663" s="46">
        <v>5988.0</v>
      </c>
      <c r="I663" s="46">
        <v>1176.0</v>
      </c>
      <c r="J663" s="84">
        <v>181174.56</v>
      </c>
      <c r="K663" s="84">
        <v>106933.68000000001</v>
      </c>
      <c r="L663" s="84">
        <v>74240.87999999999</v>
      </c>
      <c r="M663" s="46" t="s">
        <v>159</v>
      </c>
      <c r="N663" s="46" t="s">
        <v>173</v>
      </c>
      <c r="O663" s="46" t="s">
        <v>146</v>
      </c>
      <c r="P663" s="46" t="s">
        <v>155</v>
      </c>
      <c r="Q663" s="46" t="str">
        <f t="shared" si="1"/>
        <v>July, 2015</v>
      </c>
      <c r="R663" s="115">
        <f t="shared" si="2"/>
        <v>42186</v>
      </c>
      <c r="S663" s="49">
        <f t="array" ref="S663">WEEKDAY(D663,2)</f>
        <v>7</v>
      </c>
      <c r="T663" s="46" t="s">
        <v>106</v>
      </c>
      <c r="U663" s="46" t="str">
        <f t="array" ref="U663">TEXT(D663,"dddd")</f>
        <v>Sunday</v>
      </c>
    </row>
    <row r="664" hidden="1">
      <c r="A664" s="46">
        <v>5.35740411E8</v>
      </c>
      <c r="B664" s="137" t="s">
        <v>219</v>
      </c>
      <c r="C664" s="137">
        <v>2010.0</v>
      </c>
      <c r="D664" s="138">
        <v>40308.0</v>
      </c>
      <c r="E664" s="139">
        <v>40336.0</v>
      </c>
      <c r="F664" s="142" t="s">
        <v>220</v>
      </c>
      <c r="G664" s="142">
        <v>2010.0</v>
      </c>
      <c r="H664" s="46">
        <v>3127.0</v>
      </c>
      <c r="I664" s="46">
        <v>6348.0</v>
      </c>
      <c r="J664" s="84">
        <v>518822.04000000004</v>
      </c>
      <c r="K664" s="84">
        <v>359741.16000000003</v>
      </c>
      <c r="L664" s="84">
        <v>159080.88</v>
      </c>
      <c r="M664" s="46" t="s">
        <v>185</v>
      </c>
      <c r="N664" s="46" t="s">
        <v>189</v>
      </c>
      <c r="O664" s="46" t="s">
        <v>146</v>
      </c>
      <c r="P664" s="46" t="s">
        <v>158</v>
      </c>
      <c r="Q664" s="46" t="str">
        <f t="shared" si="1"/>
        <v>May, 2010</v>
      </c>
      <c r="R664" s="115">
        <f t="shared" si="2"/>
        <v>40299</v>
      </c>
      <c r="S664" s="49">
        <f t="array" ref="S664">WEEKDAY(D664,2)</f>
        <v>1</v>
      </c>
      <c r="T664" s="46" t="s">
        <v>118</v>
      </c>
      <c r="U664" s="46" t="str">
        <f t="array" ref="U664">TEXT(D664,"dddd")</f>
        <v>Monday</v>
      </c>
    </row>
    <row r="665" hidden="1">
      <c r="A665" s="46">
        <v>5.3609575E8</v>
      </c>
      <c r="B665" s="137" t="s">
        <v>224</v>
      </c>
      <c r="C665" s="137">
        <v>2016.0</v>
      </c>
      <c r="D665" s="138">
        <v>42690.0</v>
      </c>
      <c r="E665" s="139">
        <v>42730.0</v>
      </c>
      <c r="F665" s="142" t="s">
        <v>225</v>
      </c>
      <c r="G665" s="142">
        <v>2016.0</v>
      </c>
      <c r="H665" s="46">
        <v>8969.0</v>
      </c>
      <c r="I665" s="46">
        <v>1500.0</v>
      </c>
      <c r="J665" s="84">
        <v>228870.00000000003</v>
      </c>
      <c r="K665" s="84">
        <v>146160.0</v>
      </c>
      <c r="L665" s="84">
        <v>82710.00000000003</v>
      </c>
      <c r="M665" s="46" t="s">
        <v>182</v>
      </c>
      <c r="N665" s="46" t="s">
        <v>154</v>
      </c>
      <c r="O665" s="46" t="s">
        <v>146</v>
      </c>
      <c r="P665" s="46" t="s">
        <v>155</v>
      </c>
      <c r="Q665" s="46" t="str">
        <f t="shared" si="1"/>
        <v>November, 2016</v>
      </c>
      <c r="R665" s="115">
        <f t="shared" si="2"/>
        <v>42675</v>
      </c>
      <c r="S665" s="49">
        <f t="array" ref="S665">WEEKDAY(D665,2)</f>
        <v>3</v>
      </c>
      <c r="T665" s="46" t="s">
        <v>96</v>
      </c>
      <c r="U665" s="46" t="str">
        <f t="array" ref="U665">TEXT(D665,"dddd")</f>
        <v>Wednesday</v>
      </c>
    </row>
    <row r="666" hidden="1">
      <c r="A666" s="46">
        <v>5.38430345E8</v>
      </c>
      <c r="B666" s="137" t="s">
        <v>227</v>
      </c>
      <c r="C666" s="137">
        <v>2015.0</v>
      </c>
      <c r="D666" s="138">
        <v>42025.0</v>
      </c>
      <c r="E666" s="139">
        <v>42073.0</v>
      </c>
      <c r="F666" s="142" t="s">
        <v>222</v>
      </c>
      <c r="G666" s="142">
        <v>2015.0</v>
      </c>
      <c r="H666" s="46">
        <v>2455.0</v>
      </c>
      <c r="I666" s="46">
        <v>2359.0</v>
      </c>
      <c r="J666" s="84">
        <v>257791.52</v>
      </c>
      <c r="K666" s="84">
        <v>84546.56000000001</v>
      </c>
      <c r="L666" s="84">
        <v>173244.95999999996</v>
      </c>
      <c r="M666" s="46" t="s">
        <v>150</v>
      </c>
      <c r="N666" s="46" t="s">
        <v>194</v>
      </c>
      <c r="O666" s="46" t="s">
        <v>146</v>
      </c>
      <c r="P666" s="46" t="s">
        <v>155</v>
      </c>
      <c r="Q666" s="46" t="str">
        <f t="shared" si="1"/>
        <v>January, 2015</v>
      </c>
      <c r="R666" s="115">
        <f t="shared" si="2"/>
        <v>42005</v>
      </c>
      <c r="S666" s="49">
        <f t="array" ref="S666">WEEKDAY(D666,2)</f>
        <v>3</v>
      </c>
      <c r="T666" s="46" t="s">
        <v>123</v>
      </c>
      <c r="U666" s="46" t="str">
        <f t="array" ref="U666">TEXT(D666,"dddd")</f>
        <v>Wednesday</v>
      </c>
    </row>
    <row r="667" hidden="1">
      <c r="A667" s="46">
        <v>5.39002406E8</v>
      </c>
      <c r="B667" s="137" t="s">
        <v>217</v>
      </c>
      <c r="C667" s="137">
        <v>2014.0</v>
      </c>
      <c r="D667" s="138">
        <v>41841.0</v>
      </c>
      <c r="E667" s="139">
        <v>41843.0</v>
      </c>
      <c r="F667" s="142" t="s">
        <v>217</v>
      </c>
      <c r="G667" s="142">
        <v>2014.0</v>
      </c>
      <c r="H667" s="46">
        <v>2455.0</v>
      </c>
      <c r="I667" s="46">
        <v>1645.0</v>
      </c>
      <c r="J667" s="84">
        <v>179765.6</v>
      </c>
      <c r="K667" s="84">
        <v>58956.8</v>
      </c>
      <c r="L667" s="84">
        <v>120808.8</v>
      </c>
      <c r="M667" s="46" t="s">
        <v>150</v>
      </c>
      <c r="N667" s="46" t="s">
        <v>205</v>
      </c>
      <c r="O667" s="46" t="s">
        <v>146</v>
      </c>
      <c r="P667" s="46" t="s">
        <v>170</v>
      </c>
      <c r="Q667" s="46" t="str">
        <f t="shared" si="1"/>
        <v>July, 2014</v>
      </c>
      <c r="R667" s="115">
        <f t="shared" si="2"/>
        <v>41821</v>
      </c>
      <c r="S667" s="49">
        <f t="array" ref="S667">WEEKDAY(D667,2)</f>
        <v>1</v>
      </c>
      <c r="T667" s="46" t="s">
        <v>135</v>
      </c>
      <c r="U667" s="46" t="str">
        <f t="array" ref="U667">TEXT(D667,"dddd")</f>
        <v>Monday</v>
      </c>
    </row>
    <row r="668" hidden="1">
      <c r="A668" s="46">
        <v>5.4098252E8</v>
      </c>
      <c r="B668" s="137" t="s">
        <v>217</v>
      </c>
      <c r="C668" s="137">
        <v>2010.0</v>
      </c>
      <c r="D668" s="138">
        <v>40383.0</v>
      </c>
      <c r="E668" s="139">
        <v>40422.0</v>
      </c>
      <c r="F668" s="142" t="s">
        <v>221</v>
      </c>
      <c r="G668" s="142">
        <v>2010.0</v>
      </c>
      <c r="H668" s="46">
        <v>8293.0</v>
      </c>
      <c r="I668" s="46">
        <v>7604.0</v>
      </c>
      <c r="J668" s="84">
        <v>3324468.8</v>
      </c>
      <c r="K668" s="84">
        <v>2002361.3199999998</v>
      </c>
      <c r="L668" s="84">
        <v>1322107.48</v>
      </c>
      <c r="M668" s="46" t="s">
        <v>178</v>
      </c>
      <c r="N668" s="46" t="s">
        <v>189</v>
      </c>
      <c r="O668" s="46" t="s">
        <v>146</v>
      </c>
      <c r="P668" s="46" t="s">
        <v>158</v>
      </c>
      <c r="Q668" s="46" t="str">
        <f t="shared" si="1"/>
        <v>July, 2010</v>
      </c>
      <c r="R668" s="115">
        <f t="shared" si="2"/>
        <v>40360</v>
      </c>
      <c r="S668" s="49">
        <f t="array" ref="S668">WEEKDAY(D668,2)</f>
        <v>6</v>
      </c>
      <c r="T668" s="46" t="s">
        <v>118</v>
      </c>
      <c r="U668" s="46" t="str">
        <f t="array" ref="U668">TEXT(D668,"dddd")</f>
        <v>Saturday</v>
      </c>
    </row>
    <row r="669" hidden="1">
      <c r="A669" s="46">
        <v>5.43322694E8</v>
      </c>
      <c r="B669" s="137" t="s">
        <v>223</v>
      </c>
      <c r="C669" s="137">
        <v>2014.0</v>
      </c>
      <c r="D669" s="138">
        <v>41750.0</v>
      </c>
      <c r="E669" s="139">
        <v>41791.0</v>
      </c>
      <c r="F669" s="142" t="s">
        <v>220</v>
      </c>
      <c r="G669" s="142">
        <v>2014.0</v>
      </c>
      <c r="H669" s="46">
        <v>1270.0</v>
      </c>
      <c r="I669" s="46">
        <v>114.0</v>
      </c>
      <c r="J669" s="84">
        <v>5409.3</v>
      </c>
      <c r="K669" s="84">
        <v>3624.06</v>
      </c>
      <c r="L669" s="84">
        <v>1785.2400000000002</v>
      </c>
      <c r="M669" s="46" t="s">
        <v>152</v>
      </c>
      <c r="N669" s="46" t="s">
        <v>179</v>
      </c>
      <c r="O669" s="46" t="s">
        <v>146</v>
      </c>
      <c r="P669" s="46" t="s">
        <v>155</v>
      </c>
      <c r="Q669" s="46" t="str">
        <f t="shared" si="1"/>
        <v>April, 2014</v>
      </c>
      <c r="R669" s="115">
        <f t="shared" si="2"/>
        <v>41730</v>
      </c>
      <c r="S669" s="49">
        <f t="array" ref="S669">WEEKDAY(D669,2)</f>
        <v>1</v>
      </c>
      <c r="T669" s="46" t="s">
        <v>111</v>
      </c>
      <c r="U669" s="46" t="str">
        <f t="array" ref="U669">TEXT(D669,"dddd")</f>
        <v>Monday</v>
      </c>
    </row>
    <row r="670" hidden="1">
      <c r="A670" s="46">
        <v>5.43396508E8</v>
      </c>
      <c r="B670" s="137" t="s">
        <v>219</v>
      </c>
      <c r="C670" s="137">
        <v>2017.0</v>
      </c>
      <c r="D670" s="138">
        <v>42886.0</v>
      </c>
      <c r="E670" s="139">
        <v>42891.0</v>
      </c>
      <c r="F670" s="142" t="s">
        <v>220</v>
      </c>
      <c r="G670" s="142">
        <v>2017.0</v>
      </c>
      <c r="H670" s="46">
        <v>8875.0</v>
      </c>
      <c r="I670" s="46">
        <v>1957.0</v>
      </c>
      <c r="J670" s="84">
        <v>825638.73</v>
      </c>
      <c r="K670" s="84">
        <v>713698.33</v>
      </c>
      <c r="L670" s="84">
        <v>111940.40000000002</v>
      </c>
      <c r="M670" s="46" t="s">
        <v>167</v>
      </c>
      <c r="N670" s="46" t="s">
        <v>200</v>
      </c>
      <c r="O670" s="46" t="s">
        <v>146</v>
      </c>
      <c r="P670" s="46" t="s">
        <v>158</v>
      </c>
      <c r="Q670" s="46" t="str">
        <f t="shared" si="1"/>
        <v>May, 2017</v>
      </c>
      <c r="R670" s="115">
        <f t="shared" si="2"/>
        <v>42856</v>
      </c>
      <c r="S670" s="49">
        <f t="array" ref="S670">WEEKDAY(D670,2)</f>
        <v>3</v>
      </c>
      <c r="T670" s="46" t="s">
        <v>129</v>
      </c>
      <c r="U670" s="46" t="str">
        <f t="array" ref="U670">TEXT(D670,"dddd")</f>
        <v>Wednesday</v>
      </c>
    </row>
    <row r="671" hidden="1">
      <c r="A671" s="46">
        <v>5.44284856E8</v>
      </c>
      <c r="B671" s="137" t="s">
        <v>226</v>
      </c>
      <c r="C671" s="137">
        <v>2014.0</v>
      </c>
      <c r="D671" s="138">
        <v>41926.0</v>
      </c>
      <c r="E671" s="139">
        <v>41937.0</v>
      </c>
      <c r="F671" s="142" t="s">
        <v>226</v>
      </c>
      <c r="G671" s="142">
        <v>2014.0</v>
      </c>
      <c r="H671" s="46">
        <v>7940.0</v>
      </c>
      <c r="I671" s="46">
        <v>4839.0</v>
      </c>
      <c r="J671" s="84">
        <v>3233758.53</v>
      </c>
      <c r="K671" s="84">
        <v>2431791.06</v>
      </c>
      <c r="L671" s="84">
        <v>801967.4699999997</v>
      </c>
      <c r="M671" s="46" t="s">
        <v>148</v>
      </c>
      <c r="N671" s="46" t="s">
        <v>177</v>
      </c>
      <c r="O671" s="46" t="s">
        <v>146</v>
      </c>
      <c r="P671" s="46" t="s">
        <v>170</v>
      </c>
      <c r="Q671" s="46" t="str">
        <f t="shared" si="1"/>
        <v>October, 2014</v>
      </c>
      <c r="R671" s="115">
        <f t="shared" si="2"/>
        <v>41913</v>
      </c>
      <c r="S671" s="49">
        <f t="array" ref="S671">WEEKDAY(D671,2)</f>
        <v>2</v>
      </c>
      <c r="T671" s="46" t="s">
        <v>110</v>
      </c>
      <c r="U671" s="46" t="str">
        <f t="array" ref="U671">TEXT(D671,"dddd")</f>
        <v>Tuesday</v>
      </c>
    </row>
    <row r="672" hidden="1">
      <c r="A672" s="46">
        <v>5.44741475E8</v>
      </c>
      <c r="B672" s="137" t="s">
        <v>222</v>
      </c>
      <c r="C672" s="137">
        <v>2012.0</v>
      </c>
      <c r="D672" s="138">
        <v>40978.0</v>
      </c>
      <c r="E672" s="139">
        <v>40993.0</v>
      </c>
      <c r="F672" s="142" t="s">
        <v>222</v>
      </c>
      <c r="G672" s="142">
        <v>2012.0</v>
      </c>
      <c r="H672" s="46">
        <v>3127.0</v>
      </c>
      <c r="I672" s="46">
        <v>9963.0</v>
      </c>
      <c r="J672" s="84">
        <v>814275.99</v>
      </c>
      <c r="K672" s="84">
        <v>564603.21</v>
      </c>
      <c r="L672" s="84">
        <v>249672.78000000003</v>
      </c>
      <c r="M672" s="46" t="s">
        <v>185</v>
      </c>
      <c r="N672" s="46" t="s">
        <v>192</v>
      </c>
      <c r="O672" s="46" t="s">
        <v>146</v>
      </c>
      <c r="P672" s="46" t="s">
        <v>158</v>
      </c>
      <c r="Q672" s="46" t="str">
        <f t="shared" si="1"/>
        <v>March, 2012</v>
      </c>
      <c r="R672" s="115">
        <f t="shared" si="2"/>
        <v>40969</v>
      </c>
      <c r="S672" s="49">
        <f t="array" ref="S672">WEEKDAY(D672,2)</f>
        <v>6</v>
      </c>
      <c r="T672" s="46" t="s">
        <v>121</v>
      </c>
      <c r="U672" s="46" t="str">
        <f t="array" ref="U672">TEXT(D672,"dddd")</f>
        <v>Saturday</v>
      </c>
    </row>
    <row r="673" hidden="1">
      <c r="A673" s="46">
        <v>5.45059049E8</v>
      </c>
      <c r="B673" s="137" t="s">
        <v>216</v>
      </c>
      <c r="C673" s="137">
        <v>2016.0</v>
      </c>
      <c r="D673" s="138">
        <v>42586.0</v>
      </c>
      <c r="E673" s="139">
        <v>42590.0</v>
      </c>
      <c r="F673" s="142" t="s">
        <v>216</v>
      </c>
      <c r="G673" s="142">
        <v>2016.0</v>
      </c>
      <c r="H673" s="46">
        <v>2455.0</v>
      </c>
      <c r="I673" s="46">
        <v>3940.0</v>
      </c>
      <c r="J673" s="84">
        <v>430563.2</v>
      </c>
      <c r="K673" s="84">
        <v>141209.6</v>
      </c>
      <c r="L673" s="84">
        <v>289353.6</v>
      </c>
      <c r="M673" s="46" t="s">
        <v>150</v>
      </c>
      <c r="N673" s="46" t="s">
        <v>200</v>
      </c>
      <c r="O673" s="46" t="s">
        <v>146</v>
      </c>
      <c r="P673" s="46" t="s">
        <v>158</v>
      </c>
      <c r="Q673" s="46" t="str">
        <f t="shared" si="1"/>
        <v>August, 2016</v>
      </c>
      <c r="R673" s="115">
        <f t="shared" si="2"/>
        <v>42583</v>
      </c>
      <c r="S673" s="49">
        <f t="array" ref="S673">WEEKDAY(D673,2)</f>
        <v>4</v>
      </c>
      <c r="T673" s="46" t="s">
        <v>129</v>
      </c>
      <c r="U673" s="46" t="str">
        <f t="array" ref="U673">TEXT(D673,"dddd")</f>
        <v>Thursday</v>
      </c>
    </row>
    <row r="674" hidden="1">
      <c r="A674" s="46">
        <v>5.46081721E8</v>
      </c>
      <c r="B674" s="137" t="s">
        <v>223</v>
      </c>
      <c r="C674" s="137">
        <v>2013.0</v>
      </c>
      <c r="D674" s="138">
        <v>41394.0</v>
      </c>
      <c r="E674" s="139">
        <v>41416.0</v>
      </c>
      <c r="F674" s="142" t="s">
        <v>219</v>
      </c>
      <c r="G674" s="142">
        <v>2013.0</v>
      </c>
      <c r="H674" s="46">
        <v>8875.0</v>
      </c>
      <c r="I674" s="46">
        <v>6571.0</v>
      </c>
      <c r="J674" s="84">
        <v>2772239.19</v>
      </c>
      <c r="K674" s="84">
        <v>2396377.9899999998</v>
      </c>
      <c r="L674" s="84">
        <v>375861.2000000002</v>
      </c>
      <c r="M674" s="46" t="s">
        <v>167</v>
      </c>
      <c r="N674" s="46" t="s">
        <v>173</v>
      </c>
      <c r="O674" s="46" t="s">
        <v>146</v>
      </c>
      <c r="P674" s="46" t="s">
        <v>155</v>
      </c>
      <c r="Q674" s="46" t="str">
        <f t="shared" si="1"/>
        <v>April, 2013</v>
      </c>
      <c r="R674" s="115">
        <f t="shared" si="2"/>
        <v>41365</v>
      </c>
      <c r="S674" s="49">
        <f t="array" ref="S674">WEEKDAY(D674,2)</f>
        <v>2</v>
      </c>
      <c r="T674" s="46" t="s">
        <v>106</v>
      </c>
      <c r="U674" s="46" t="str">
        <f t="array" ref="U674">TEXT(D674,"dddd")</f>
        <v>Tuesday</v>
      </c>
    </row>
    <row r="675" hidden="1">
      <c r="A675" s="46">
        <v>5.46140086E8</v>
      </c>
      <c r="B675" s="137" t="s">
        <v>224</v>
      </c>
      <c r="C675" s="137">
        <v>2013.0</v>
      </c>
      <c r="D675" s="138">
        <v>41585.0</v>
      </c>
      <c r="E675" s="139">
        <v>41627.0</v>
      </c>
      <c r="F675" s="142" t="s">
        <v>225</v>
      </c>
      <c r="G675" s="142">
        <v>2013.0</v>
      </c>
      <c r="H675" s="46">
        <v>3127.0</v>
      </c>
      <c r="I675" s="46">
        <v>3843.0</v>
      </c>
      <c r="J675" s="84">
        <v>314088.39</v>
      </c>
      <c r="K675" s="84">
        <v>217782.81</v>
      </c>
      <c r="L675" s="84">
        <v>96305.58000000002</v>
      </c>
      <c r="M675" s="46" t="s">
        <v>185</v>
      </c>
      <c r="N675" s="46" t="s">
        <v>207</v>
      </c>
      <c r="O675" s="46" t="s">
        <v>146</v>
      </c>
      <c r="P675" s="46" t="s">
        <v>170</v>
      </c>
      <c r="Q675" s="46" t="str">
        <f t="shared" si="1"/>
        <v>November, 2013</v>
      </c>
      <c r="R675" s="115">
        <f t="shared" si="2"/>
        <v>41579</v>
      </c>
      <c r="S675" s="49">
        <f t="array" ref="S675">WEEKDAY(D675,2)</f>
        <v>4</v>
      </c>
      <c r="T675" s="46" t="s">
        <v>137</v>
      </c>
      <c r="U675" s="46" t="str">
        <f t="array" ref="U675">TEXT(D675,"dddd")</f>
        <v>Thursday</v>
      </c>
    </row>
    <row r="676" hidden="1">
      <c r="A676" s="46">
        <v>5.46544349E8</v>
      </c>
      <c r="B676" s="137" t="s">
        <v>224</v>
      </c>
      <c r="C676" s="137">
        <v>2010.0</v>
      </c>
      <c r="D676" s="138">
        <v>40507.0</v>
      </c>
      <c r="E676" s="139">
        <v>40524.0</v>
      </c>
      <c r="F676" s="142" t="s">
        <v>225</v>
      </c>
      <c r="G676" s="142">
        <v>2010.0</v>
      </c>
      <c r="H676" s="46">
        <v>7940.0</v>
      </c>
      <c r="I676" s="46">
        <v>3473.0</v>
      </c>
      <c r="J676" s="84">
        <v>2320901.71</v>
      </c>
      <c r="K676" s="84">
        <v>1745321.4200000002</v>
      </c>
      <c r="L676" s="84">
        <v>575580.2899999998</v>
      </c>
      <c r="M676" s="46" t="s">
        <v>148</v>
      </c>
      <c r="N676" s="46" t="s">
        <v>151</v>
      </c>
      <c r="O676" s="46" t="s">
        <v>146</v>
      </c>
      <c r="P676" s="46" t="s">
        <v>147</v>
      </c>
      <c r="Q676" s="46" t="str">
        <f t="shared" si="1"/>
        <v>November, 2010</v>
      </c>
      <c r="R676" s="115">
        <f t="shared" si="2"/>
        <v>40483</v>
      </c>
      <c r="S676" s="49">
        <f t="array" ref="S676">WEEKDAY(D676,2)</f>
        <v>4</v>
      </c>
      <c r="T676" s="46" t="s">
        <v>94</v>
      </c>
      <c r="U676" s="46" t="str">
        <f t="array" ref="U676">TEXT(D676,"dddd")</f>
        <v>Thursday</v>
      </c>
    </row>
    <row r="677" hidden="1">
      <c r="A677" s="46">
        <v>5.47225844E8</v>
      </c>
      <c r="B677" s="137" t="s">
        <v>223</v>
      </c>
      <c r="C677" s="137">
        <v>2012.0</v>
      </c>
      <c r="D677" s="138">
        <v>41027.0</v>
      </c>
      <c r="E677" s="139">
        <v>41059.0</v>
      </c>
      <c r="F677" s="142" t="s">
        <v>219</v>
      </c>
      <c r="G677" s="142">
        <v>2012.0</v>
      </c>
      <c r="H677" s="46">
        <v>3127.0</v>
      </c>
      <c r="I677" s="46">
        <v>5143.0</v>
      </c>
      <c r="J677" s="84">
        <v>420337.39</v>
      </c>
      <c r="K677" s="84">
        <v>291453.81</v>
      </c>
      <c r="L677" s="84">
        <v>128883.58000000002</v>
      </c>
      <c r="M677" s="46" t="s">
        <v>185</v>
      </c>
      <c r="N677" s="46" t="s">
        <v>198</v>
      </c>
      <c r="O677" s="46" t="s">
        <v>146</v>
      </c>
      <c r="P677" s="46" t="s">
        <v>170</v>
      </c>
      <c r="Q677" s="46" t="str">
        <f t="shared" si="1"/>
        <v>April, 2012</v>
      </c>
      <c r="R677" s="115">
        <f t="shared" si="2"/>
        <v>41000</v>
      </c>
      <c r="S677" s="49">
        <f t="array" ref="S677">WEEKDAY(D677,2)</f>
        <v>6</v>
      </c>
      <c r="T677" s="46" t="s">
        <v>127</v>
      </c>
      <c r="U677" s="46" t="str">
        <f t="array" ref="U677">TEXT(D677,"dddd")</f>
        <v>Saturday</v>
      </c>
    </row>
    <row r="678">
      <c r="A678" s="46">
        <v>5.47587192E8</v>
      </c>
      <c r="B678" s="137" t="s">
        <v>220</v>
      </c>
      <c r="C678" s="137">
        <v>2011.0</v>
      </c>
      <c r="D678" s="138">
        <v>40703.0</v>
      </c>
      <c r="E678" s="139">
        <v>40738.0</v>
      </c>
      <c r="F678" s="142" t="s">
        <v>217</v>
      </c>
      <c r="G678" s="142">
        <v>2011.0</v>
      </c>
      <c r="H678" s="46">
        <v>2103.0</v>
      </c>
      <c r="I678" s="46">
        <v>2073.0</v>
      </c>
      <c r="J678" s="84">
        <v>426416.1</v>
      </c>
      <c r="K678" s="84">
        <v>242769.03</v>
      </c>
      <c r="L678" s="84">
        <v>183647.06999999998</v>
      </c>
      <c r="M678" s="46" t="s">
        <v>144</v>
      </c>
      <c r="N678" s="46" t="s">
        <v>149</v>
      </c>
      <c r="O678" s="46" t="s">
        <v>149</v>
      </c>
      <c r="P678" s="46" t="s">
        <v>218</v>
      </c>
      <c r="Q678" s="46" t="str">
        <f t="shared" si="1"/>
        <v>June, 2011</v>
      </c>
      <c r="R678" s="115">
        <f t="shared" si="2"/>
        <v>40695</v>
      </c>
      <c r="S678" s="49">
        <f t="array" ref="S678">WEEKDAY(D678,2)</f>
        <v>4</v>
      </c>
      <c r="T678" s="46" t="s">
        <v>92</v>
      </c>
      <c r="U678" s="46" t="str">
        <f t="array" ref="U678">TEXT(D678,"dddd")</f>
        <v>Thursday</v>
      </c>
    </row>
    <row r="679" hidden="1">
      <c r="A679" s="46">
        <v>5.47625386E8</v>
      </c>
      <c r="B679" s="137" t="s">
        <v>221</v>
      </c>
      <c r="C679" s="137">
        <v>2015.0</v>
      </c>
      <c r="D679" s="138">
        <v>42272.0</v>
      </c>
      <c r="E679" s="139">
        <v>42276.0</v>
      </c>
      <c r="F679" s="142" t="s">
        <v>221</v>
      </c>
      <c r="G679" s="142">
        <v>2015.0</v>
      </c>
      <c r="H679" s="46">
        <v>3127.0</v>
      </c>
      <c r="I679" s="46">
        <v>3376.0</v>
      </c>
      <c r="J679" s="84">
        <v>275920.48000000004</v>
      </c>
      <c r="K679" s="84">
        <v>191317.92</v>
      </c>
      <c r="L679" s="84">
        <v>84602.56000000003</v>
      </c>
      <c r="M679" s="46" t="s">
        <v>185</v>
      </c>
      <c r="N679" s="46" t="s">
        <v>174</v>
      </c>
      <c r="O679" s="46" t="s">
        <v>146</v>
      </c>
      <c r="P679" s="46" t="s">
        <v>158</v>
      </c>
      <c r="Q679" s="46" t="str">
        <f t="shared" si="1"/>
        <v>September, 2015</v>
      </c>
      <c r="R679" s="115">
        <f t="shared" si="2"/>
        <v>42248</v>
      </c>
      <c r="S679" s="49">
        <f t="array" ref="S679">WEEKDAY(D679,2)</f>
        <v>5</v>
      </c>
      <c r="T679" s="46" t="s">
        <v>107</v>
      </c>
      <c r="U679" s="46" t="str">
        <f t="array" ref="U679">TEXT(D679,"dddd")</f>
        <v>Friday</v>
      </c>
    </row>
    <row r="680" hidden="1">
      <c r="A680" s="46">
        <v>5.48015487E8</v>
      </c>
      <c r="B680" s="137" t="s">
        <v>221</v>
      </c>
      <c r="C680" s="137">
        <v>2016.0</v>
      </c>
      <c r="D680" s="138">
        <v>42632.0</v>
      </c>
      <c r="E680" s="139">
        <v>42652.0</v>
      </c>
      <c r="F680" s="142" t="s">
        <v>226</v>
      </c>
      <c r="G680" s="142">
        <v>2016.0</v>
      </c>
      <c r="H680" s="46">
        <v>4594.0</v>
      </c>
      <c r="I680" s="46">
        <v>8815.0</v>
      </c>
      <c r="J680" s="84">
        <v>82243.95</v>
      </c>
      <c r="K680" s="84">
        <v>60999.8</v>
      </c>
      <c r="L680" s="84">
        <v>21244.149999999994</v>
      </c>
      <c r="M680" s="46" t="s">
        <v>156</v>
      </c>
      <c r="N680" s="46" t="s">
        <v>198</v>
      </c>
      <c r="O680" s="46" t="s">
        <v>146</v>
      </c>
      <c r="P680" s="46" t="s">
        <v>170</v>
      </c>
      <c r="Q680" s="46" t="str">
        <f t="shared" si="1"/>
        <v>September, 2016</v>
      </c>
      <c r="R680" s="115">
        <f t="shared" si="2"/>
        <v>42614</v>
      </c>
      <c r="S680" s="49">
        <f t="array" ref="S680">WEEKDAY(D680,2)</f>
        <v>1</v>
      </c>
      <c r="T680" s="46" t="s">
        <v>127</v>
      </c>
      <c r="U680" s="46" t="str">
        <f t="array" ref="U680">TEXT(D680,"dddd")</f>
        <v>Monday</v>
      </c>
    </row>
    <row r="681" hidden="1">
      <c r="A681" s="46">
        <v>5.48343789E8</v>
      </c>
      <c r="B681" s="137" t="s">
        <v>225</v>
      </c>
      <c r="C681" s="137">
        <v>2014.0</v>
      </c>
      <c r="D681" s="138">
        <v>41977.0</v>
      </c>
      <c r="E681" s="139">
        <v>41979.0</v>
      </c>
      <c r="F681" s="142" t="s">
        <v>225</v>
      </c>
      <c r="G681" s="142">
        <v>2014.0</v>
      </c>
      <c r="H681" s="46">
        <v>8969.0</v>
      </c>
      <c r="I681" s="46">
        <v>5967.0</v>
      </c>
      <c r="J681" s="84">
        <v>910444.8600000001</v>
      </c>
      <c r="K681" s="84">
        <v>581424.48</v>
      </c>
      <c r="L681" s="84">
        <v>329020.3800000001</v>
      </c>
      <c r="M681" s="46" t="s">
        <v>182</v>
      </c>
      <c r="N681" s="46" t="s">
        <v>175</v>
      </c>
      <c r="O681" s="46" t="s">
        <v>165</v>
      </c>
      <c r="P681" s="46" t="s">
        <v>166</v>
      </c>
      <c r="Q681" s="46" t="str">
        <f t="shared" si="1"/>
        <v>December, 2014</v>
      </c>
      <c r="R681" s="115">
        <f t="shared" si="2"/>
        <v>41974</v>
      </c>
      <c r="S681" s="49">
        <f t="array" ref="S681">WEEKDAY(D681,2)</f>
        <v>4</v>
      </c>
      <c r="T681" s="46" t="s">
        <v>108</v>
      </c>
      <c r="U681" s="46" t="str">
        <f t="array" ref="U681">TEXT(D681,"dddd")</f>
        <v>Thursday</v>
      </c>
    </row>
    <row r="682" hidden="1">
      <c r="A682" s="46">
        <v>5.48403012E8</v>
      </c>
      <c r="B682" s="137" t="s">
        <v>222</v>
      </c>
      <c r="C682" s="137">
        <v>2012.0</v>
      </c>
      <c r="D682" s="138">
        <v>40991.0</v>
      </c>
      <c r="E682" s="139">
        <v>41003.0</v>
      </c>
      <c r="F682" s="142" t="s">
        <v>223</v>
      </c>
      <c r="G682" s="142">
        <v>2012.0</v>
      </c>
      <c r="H682" s="46">
        <v>7940.0</v>
      </c>
      <c r="I682" s="46">
        <v>3493.0</v>
      </c>
      <c r="J682" s="84">
        <v>2334267.11</v>
      </c>
      <c r="K682" s="84">
        <v>1755372.22</v>
      </c>
      <c r="L682" s="84">
        <v>578894.8899999999</v>
      </c>
      <c r="M682" s="46" t="s">
        <v>148</v>
      </c>
      <c r="N682" s="46" t="s">
        <v>169</v>
      </c>
      <c r="O682" s="46" t="s">
        <v>146</v>
      </c>
      <c r="P682" s="46" t="s">
        <v>170</v>
      </c>
      <c r="Q682" s="46" t="str">
        <f t="shared" si="1"/>
        <v>March, 2012</v>
      </c>
      <c r="R682" s="115">
        <f t="shared" si="2"/>
        <v>40969</v>
      </c>
      <c r="S682" s="49">
        <f t="array" ref="S682">WEEKDAY(D682,2)</f>
        <v>5</v>
      </c>
      <c r="T682" s="46" t="s">
        <v>103</v>
      </c>
      <c r="U682" s="46" t="str">
        <f t="array" ref="U682">TEXT(D682,"dddd")</f>
        <v>Friday</v>
      </c>
    </row>
    <row r="683" hidden="1">
      <c r="A683" s="46">
        <v>5.49048888E8</v>
      </c>
      <c r="B683" s="137" t="s">
        <v>226</v>
      </c>
      <c r="C683" s="137">
        <v>2014.0</v>
      </c>
      <c r="D683" s="138">
        <v>41943.0</v>
      </c>
      <c r="E683" s="139">
        <v>41975.0</v>
      </c>
      <c r="F683" s="142" t="s">
        <v>225</v>
      </c>
      <c r="G683" s="142">
        <v>2014.0</v>
      </c>
      <c r="H683" s="46">
        <v>8681.0</v>
      </c>
      <c r="I683" s="46">
        <v>4622.0</v>
      </c>
      <c r="J683" s="84">
        <v>3009892.62</v>
      </c>
      <c r="K683" s="84">
        <v>2426365.12</v>
      </c>
      <c r="L683" s="84">
        <v>583527.5</v>
      </c>
      <c r="M683" s="46" t="s">
        <v>153</v>
      </c>
      <c r="N683" s="46" t="s">
        <v>174</v>
      </c>
      <c r="O683" s="46" t="s">
        <v>146</v>
      </c>
      <c r="P683" s="46" t="s">
        <v>158</v>
      </c>
      <c r="Q683" s="46" t="str">
        <f t="shared" si="1"/>
        <v>October, 2014</v>
      </c>
      <c r="R683" s="115">
        <f t="shared" si="2"/>
        <v>41913</v>
      </c>
      <c r="S683" s="49">
        <f t="array" ref="S683">WEEKDAY(D683,2)</f>
        <v>5</v>
      </c>
      <c r="T683" s="46" t="s">
        <v>107</v>
      </c>
      <c r="U683" s="46" t="str">
        <f t="array" ref="U683">TEXT(D683,"dddd")</f>
        <v>Friday</v>
      </c>
    </row>
    <row r="684" hidden="1">
      <c r="A684" s="46">
        <v>5.4905833E8</v>
      </c>
      <c r="B684" s="137" t="s">
        <v>223</v>
      </c>
      <c r="C684" s="137">
        <v>2017.0</v>
      </c>
      <c r="D684" s="138">
        <v>42828.0</v>
      </c>
      <c r="E684" s="139">
        <v>42866.0</v>
      </c>
      <c r="F684" s="142" t="s">
        <v>219</v>
      </c>
      <c r="G684" s="142">
        <v>2017.0</v>
      </c>
      <c r="H684" s="46">
        <v>7940.0</v>
      </c>
      <c r="I684" s="46">
        <v>7416.0</v>
      </c>
      <c r="J684" s="84">
        <v>4955890.32</v>
      </c>
      <c r="K684" s="84">
        <v>3726836.64</v>
      </c>
      <c r="L684" s="84">
        <v>1229053.6800000002</v>
      </c>
      <c r="M684" s="46" t="s">
        <v>148</v>
      </c>
      <c r="N684" s="46" t="s">
        <v>179</v>
      </c>
      <c r="O684" s="46" t="s">
        <v>146</v>
      </c>
      <c r="P684" s="46" t="s">
        <v>155</v>
      </c>
      <c r="Q684" s="46" t="str">
        <f t="shared" si="1"/>
        <v>April, 2017</v>
      </c>
      <c r="R684" s="115">
        <f t="shared" si="2"/>
        <v>42826</v>
      </c>
      <c r="S684" s="49">
        <f t="array" ref="S684">WEEKDAY(D684,2)</f>
        <v>1</v>
      </c>
      <c r="T684" s="46" t="s">
        <v>111</v>
      </c>
      <c r="U684" s="46" t="str">
        <f t="array" ref="U684">TEXT(D684,"dddd")</f>
        <v>Monday</v>
      </c>
    </row>
    <row r="685" hidden="1">
      <c r="A685" s="46">
        <v>5.49187934E8</v>
      </c>
      <c r="B685" s="137" t="s">
        <v>219</v>
      </c>
      <c r="C685" s="137">
        <v>2015.0</v>
      </c>
      <c r="D685" s="138">
        <v>42154.0</v>
      </c>
      <c r="E685" s="139">
        <v>42202.0</v>
      </c>
      <c r="F685" s="142" t="s">
        <v>217</v>
      </c>
      <c r="G685" s="142">
        <v>2015.0</v>
      </c>
      <c r="H685" s="46">
        <v>8293.0</v>
      </c>
      <c r="I685" s="46">
        <v>5769.0</v>
      </c>
      <c r="J685" s="84">
        <v>2522206.8</v>
      </c>
      <c r="K685" s="84">
        <v>1519150.77</v>
      </c>
      <c r="L685" s="84">
        <v>1003056.0299999998</v>
      </c>
      <c r="M685" s="46" t="s">
        <v>178</v>
      </c>
      <c r="N685" s="46" t="s">
        <v>154</v>
      </c>
      <c r="O685" s="46" t="s">
        <v>146</v>
      </c>
      <c r="P685" s="46" t="s">
        <v>155</v>
      </c>
      <c r="Q685" s="46" t="str">
        <f t="shared" si="1"/>
        <v>May, 2015</v>
      </c>
      <c r="R685" s="115">
        <f t="shared" si="2"/>
        <v>42125</v>
      </c>
      <c r="S685" s="49">
        <f t="array" ref="S685">WEEKDAY(D685,2)</f>
        <v>6</v>
      </c>
      <c r="T685" s="46" t="s">
        <v>96</v>
      </c>
      <c r="U685" s="46" t="str">
        <f t="array" ref="U685">TEXT(D685,"dddd")</f>
        <v>Saturday</v>
      </c>
    </row>
    <row r="686" hidden="1">
      <c r="A686" s="46">
        <v>5.51118266E8</v>
      </c>
      <c r="B686" s="137" t="s">
        <v>217</v>
      </c>
      <c r="C686" s="137">
        <v>2016.0</v>
      </c>
      <c r="D686" s="138">
        <v>42567.0</v>
      </c>
      <c r="E686" s="139">
        <v>42597.0</v>
      </c>
      <c r="F686" s="142" t="s">
        <v>216</v>
      </c>
      <c r="G686" s="142">
        <v>2016.0</v>
      </c>
      <c r="H686" s="46">
        <v>7331.0</v>
      </c>
      <c r="I686" s="46">
        <v>6997.0</v>
      </c>
      <c r="J686" s="84">
        <v>1786194.16</v>
      </c>
      <c r="K686" s="84">
        <v>1115461.74</v>
      </c>
      <c r="L686" s="84">
        <v>670732.4199999999</v>
      </c>
      <c r="M686" s="46" t="s">
        <v>161</v>
      </c>
      <c r="N686" s="46" t="s">
        <v>204</v>
      </c>
      <c r="O686" s="46" t="s">
        <v>146</v>
      </c>
      <c r="P686" s="46" t="s">
        <v>147</v>
      </c>
      <c r="Q686" s="46" t="str">
        <f t="shared" si="1"/>
        <v>July, 2016</v>
      </c>
      <c r="R686" s="115">
        <f t="shared" si="2"/>
        <v>42552</v>
      </c>
      <c r="S686" s="49">
        <f t="array" ref="S686">WEEKDAY(D686,2)</f>
        <v>6</v>
      </c>
      <c r="T686" s="46" t="s">
        <v>133</v>
      </c>
      <c r="U686" s="46" t="str">
        <f t="array" ref="U686">TEXT(D686,"dddd")</f>
        <v>Saturday</v>
      </c>
    </row>
    <row r="687" hidden="1">
      <c r="A687" s="46">
        <v>5.52037513E8</v>
      </c>
      <c r="B687" s="137" t="s">
        <v>217</v>
      </c>
      <c r="C687" s="137">
        <v>2011.0</v>
      </c>
      <c r="D687" s="138">
        <v>40732.0</v>
      </c>
      <c r="E687" s="139">
        <v>40760.0</v>
      </c>
      <c r="F687" s="142" t="s">
        <v>216</v>
      </c>
      <c r="G687" s="142">
        <v>2011.0</v>
      </c>
      <c r="H687" s="46">
        <v>2103.0</v>
      </c>
      <c r="I687" s="46">
        <v>9022.0</v>
      </c>
      <c r="J687" s="84">
        <v>1855825.4</v>
      </c>
      <c r="K687" s="84">
        <v>1056566.42</v>
      </c>
      <c r="L687" s="84">
        <v>799258.98</v>
      </c>
      <c r="M687" s="46" t="s">
        <v>144</v>
      </c>
      <c r="N687" s="46" t="s">
        <v>184</v>
      </c>
      <c r="O687" s="46" t="s">
        <v>146</v>
      </c>
      <c r="P687" s="46" t="s">
        <v>155</v>
      </c>
      <c r="Q687" s="46" t="str">
        <f t="shared" si="1"/>
        <v>July, 2011</v>
      </c>
      <c r="R687" s="115">
        <f t="shared" si="2"/>
        <v>40725</v>
      </c>
      <c r="S687" s="49">
        <f t="array" ref="S687">WEEKDAY(D687,2)</f>
        <v>5</v>
      </c>
      <c r="T687" s="46" t="s">
        <v>114</v>
      </c>
      <c r="U687" s="46" t="str">
        <f t="array" ref="U687">TEXT(D687,"dddd")</f>
        <v>Friday</v>
      </c>
    </row>
    <row r="688" hidden="1">
      <c r="A688" s="46">
        <v>5.52276551E8</v>
      </c>
      <c r="B688" s="137" t="s">
        <v>216</v>
      </c>
      <c r="C688" s="137">
        <v>2011.0</v>
      </c>
      <c r="D688" s="138">
        <v>40761.0</v>
      </c>
      <c r="E688" s="139">
        <v>40810.0</v>
      </c>
      <c r="F688" s="142" t="s">
        <v>221</v>
      </c>
      <c r="G688" s="142">
        <v>2011.0</v>
      </c>
      <c r="H688" s="46">
        <v>8875.0</v>
      </c>
      <c r="I688" s="46">
        <v>9759.0</v>
      </c>
      <c r="J688" s="84">
        <v>4117224.51</v>
      </c>
      <c r="K688" s="84">
        <v>3559009.71</v>
      </c>
      <c r="L688" s="84">
        <v>558214.7999999998</v>
      </c>
      <c r="M688" s="46" t="s">
        <v>167</v>
      </c>
      <c r="N688" s="46" t="s">
        <v>184</v>
      </c>
      <c r="O688" s="46" t="s">
        <v>146</v>
      </c>
      <c r="P688" s="46" t="s">
        <v>155</v>
      </c>
      <c r="Q688" s="46" t="str">
        <f t="shared" si="1"/>
        <v>August, 2011</v>
      </c>
      <c r="R688" s="115">
        <f t="shared" si="2"/>
        <v>40756</v>
      </c>
      <c r="S688" s="49">
        <f t="array" ref="S688">WEEKDAY(D688,2)</f>
        <v>6</v>
      </c>
      <c r="T688" s="46" t="s">
        <v>114</v>
      </c>
      <c r="U688" s="46" t="str">
        <f t="array" ref="U688">TEXT(D688,"dddd")</f>
        <v>Saturday</v>
      </c>
    </row>
    <row r="689" hidden="1">
      <c r="A689" s="46">
        <v>5.52931869E8</v>
      </c>
      <c r="B689" s="137" t="s">
        <v>216</v>
      </c>
      <c r="C689" s="137">
        <v>2016.0</v>
      </c>
      <c r="D689" s="138">
        <v>42598.0</v>
      </c>
      <c r="E689" s="139">
        <v>42622.0</v>
      </c>
      <c r="F689" s="142" t="s">
        <v>221</v>
      </c>
      <c r="G689" s="142">
        <v>2016.0</v>
      </c>
      <c r="H689" s="46">
        <v>8875.0</v>
      </c>
      <c r="I689" s="46">
        <v>3682.0</v>
      </c>
      <c r="J689" s="84">
        <v>1553398.98</v>
      </c>
      <c r="K689" s="84">
        <v>1342788.58</v>
      </c>
      <c r="L689" s="84">
        <v>210610.3999999999</v>
      </c>
      <c r="M689" s="46" t="s">
        <v>167</v>
      </c>
      <c r="N689" s="46" t="s">
        <v>199</v>
      </c>
      <c r="O689" s="46" t="s">
        <v>146</v>
      </c>
      <c r="P689" s="46" t="s">
        <v>147</v>
      </c>
      <c r="Q689" s="46" t="str">
        <f t="shared" si="1"/>
        <v>August, 2016</v>
      </c>
      <c r="R689" s="115">
        <f t="shared" si="2"/>
        <v>42583</v>
      </c>
      <c r="S689" s="49">
        <f t="array" ref="S689">WEEKDAY(D689,2)</f>
        <v>2</v>
      </c>
      <c r="T689" s="46" t="s">
        <v>128</v>
      </c>
      <c r="U689" s="46" t="str">
        <f t="array" ref="U689">TEXT(D689,"dddd")</f>
        <v>Tuesday</v>
      </c>
    </row>
    <row r="690" hidden="1">
      <c r="A690" s="46">
        <v>5.53107821E8</v>
      </c>
      <c r="B690" s="137" t="s">
        <v>225</v>
      </c>
      <c r="C690" s="137">
        <v>2014.0</v>
      </c>
      <c r="D690" s="138">
        <v>41994.0</v>
      </c>
      <c r="E690" s="139">
        <v>42017.0</v>
      </c>
      <c r="F690" s="142" t="s">
        <v>227</v>
      </c>
      <c r="G690" s="142">
        <v>2015.0</v>
      </c>
      <c r="H690" s="46">
        <v>3127.0</v>
      </c>
      <c r="I690" s="46">
        <v>5751.0</v>
      </c>
      <c r="J690" s="84">
        <v>470029.23000000004</v>
      </c>
      <c r="K690" s="84">
        <v>325909.17</v>
      </c>
      <c r="L690" s="84">
        <v>144120.06000000006</v>
      </c>
      <c r="M690" s="46" t="s">
        <v>185</v>
      </c>
      <c r="N690" s="46" t="s">
        <v>175</v>
      </c>
      <c r="O690" s="46" t="s">
        <v>165</v>
      </c>
      <c r="P690" s="46" t="s">
        <v>166</v>
      </c>
      <c r="Q690" s="46" t="str">
        <f t="shared" si="1"/>
        <v>December, 2014</v>
      </c>
      <c r="R690" s="115">
        <f t="shared" si="2"/>
        <v>41974</v>
      </c>
      <c r="S690" s="49">
        <f t="array" ref="S690">WEEKDAY(D690,2)</f>
        <v>7</v>
      </c>
      <c r="T690" s="46" t="s">
        <v>108</v>
      </c>
      <c r="U690" s="46" t="str">
        <f t="array" ref="U690">TEXT(D690,"dddd")</f>
        <v>Sunday</v>
      </c>
    </row>
    <row r="691" hidden="1">
      <c r="A691" s="46">
        <v>5.54554927E8</v>
      </c>
      <c r="B691" s="137" t="s">
        <v>217</v>
      </c>
      <c r="C691" s="137">
        <v>2012.0</v>
      </c>
      <c r="D691" s="138">
        <v>41112.0</v>
      </c>
      <c r="E691" s="139">
        <v>41127.0</v>
      </c>
      <c r="F691" s="142" t="s">
        <v>216</v>
      </c>
      <c r="G691" s="142">
        <v>2012.0</v>
      </c>
      <c r="H691" s="46">
        <v>2103.0</v>
      </c>
      <c r="I691" s="46">
        <v>3981.0</v>
      </c>
      <c r="J691" s="84">
        <v>818891.7</v>
      </c>
      <c r="K691" s="84">
        <v>466214.91</v>
      </c>
      <c r="L691" s="84">
        <v>352676.79</v>
      </c>
      <c r="M691" s="46" t="s">
        <v>144</v>
      </c>
      <c r="N691" s="46" t="s">
        <v>191</v>
      </c>
      <c r="O691" s="46" t="s">
        <v>146</v>
      </c>
      <c r="P691" s="46" t="s">
        <v>147</v>
      </c>
      <c r="Q691" s="46" t="str">
        <f t="shared" si="1"/>
        <v>July, 2012</v>
      </c>
      <c r="R691" s="115">
        <f t="shared" si="2"/>
        <v>41091</v>
      </c>
      <c r="S691" s="49">
        <f t="array" ref="S691">WEEKDAY(D691,2)</f>
        <v>7</v>
      </c>
      <c r="T691" s="46" t="s">
        <v>120</v>
      </c>
      <c r="U691" s="46" t="str">
        <f t="array" ref="U691">TEXT(D691,"dddd")</f>
        <v>Sunday</v>
      </c>
    </row>
    <row r="692" hidden="1">
      <c r="A692" s="46">
        <v>5.54721438E8</v>
      </c>
      <c r="B692" s="137" t="s">
        <v>227</v>
      </c>
      <c r="C692" s="137">
        <v>2016.0</v>
      </c>
      <c r="D692" s="138">
        <v>42389.0</v>
      </c>
      <c r="E692" s="139">
        <v>42397.0</v>
      </c>
      <c r="F692" s="142" t="s">
        <v>227</v>
      </c>
      <c r="G692" s="142">
        <v>2016.0</v>
      </c>
      <c r="H692" s="46">
        <v>1270.0</v>
      </c>
      <c r="I692" s="46">
        <v>3256.0</v>
      </c>
      <c r="J692" s="84">
        <v>154497.2</v>
      </c>
      <c r="K692" s="84">
        <v>103508.23999999999</v>
      </c>
      <c r="L692" s="84">
        <v>50988.96000000002</v>
      </c>
      <c r="M692" s="46" t="s">
        <v>152</v>
      </c>
      <c r="N692" s="46" t="s">
        <v>186</v>
      </c>
      <c r="O692" s="46" t="s">
        <v>146</v>
      </c>
      <c r="P692" s="46" t="s">
        <v>147</v>
      </c>
      <c r="Q692" s="46" t="str">
        <f t="shared" si="1"/>
        <v>January, 2016</v>
      </c>
      <c r="R692" s="115">
        <f t="shared" si="2"/>
        <v>42370</v>
      </c>
      <c r="S692" s="49">
        <f t="array" ref="S692">WEEKDAY(D692,2)</f>
        <v>3</v>
      </c>
      <c r="T692" s="46" t="s">
        <v>115</v>
      </c>
      <c r="U692" s="46" t="str">
        <f t="array" ref="U692">TEXT(D692,"dddd")</f>
        <v>Wednesday</v>
      </c>
    </row>
    <row r="693" hidden="1">
      <c r="A693" s="46">
        <v>5.56263816E8</v>
      </c>
      <c r="B693" s="137" t="s">
        <v>225</v>
      </c>
      <c r="C693" s="137">
        <v>2011.0</v>
      </c>
      <c r="D693" s="138">
        <v>40882.0</v>
      </c>
      <c r="E693" s="139">
        <v>40884.0</v>
      </c>
      <c r="F693" s="142" t="s">
        <v>225</v>
      </c>
      <c r="G693" s="142">
        <v>2011.0</v>
      </c>
      <c r="H693" s="46">
        <v>1270.0</v>
      </c>
      <c r="I693" s="46">
        <v>9679.0</v>
      </c>
      <c r="J693" s="84">
        <v>459268.55000000005</v>
      </c>
      <c r="K693" s="84">
        <v>307695.41</v>
      </c>
      <c r="L693" s="84">
        <v>151573.14000000007</v>
      </c>
      <c r="M693" s="46" t="s">
        <v>152</v>
      </c>
      <c r="N693" s="46" t="s">
        <v>160</v>
      </c>
      <c r="O693" s="46" t="s">
        <v>146</v>
      </c>
      <c r="P693" s="46" t="s">
        <v>147</v>
      </c>
      <c r="Q693" s="46" t="str">
        <f t="shared" si="1"/>
        <v>December, 2011</v>
      </c>
      <c r="R693" s="115">
        <f t="shared" si="2"/>
        <v>40878</v>
      </c>
      <c r="S693" s="49">
        <f t="array" ref="S693">WEEKDAY(D693,2)</f>
        <v>1</v>
      </c>
      <c r="T693" s="46" t="s">
        <v>98</v>
      </c>
      <c r="U693" s="46" t="str">
        <f t="array" ref="U693">TEXT(D693,"dddd")</f>
        <v>Monday</v>
      </c>
    </row>
    <row r="694" hidden="1">
      <c r="A694" s="46">
        <v>5.56647908E8</v>
      </c>
      <c r="B694" s="137" t="s">
        <v>221</v>
      </c>
      <c r="C694" s="137">
        <v>2012.0</v>
      </c>
      <c r="D694" s="138">
        <v>41182.0</v>
      </c>
      <c r="E694" s="139">
        <v>41211.0</v>
      </c>
      <c r="F694" s="142" t="s">
        <v>226</v>
      </c>
      <c r="G694" s="142">
        <v>2012.0</v>
      </c>
      <c r="H694" s="46">
        <v>5988.0</v>
      </c>
      <c r="I694" s="46">
        <v>3341.0</v>
      </c>
      <c r="J694" s="84">
        <v>514714.46</v>
      </c>
      <c r="K694" s="84">
        <v>303797.13</v>
      </c>
      <c r="L694" s="84">
        <v>210917.33000000002</v>
      </c>
      <c r="M694" s="46" t="s">
        <v>159</v>
      </c>
      <c r="N694" s="46" t="s">
        <v>169</v>
      </c>
      <c r="O694" s="46" t="s">
        <v>146</v>
      </c>
      <c r="P694" s="46" t="s">
        <v>170</v>
      </c>
      <c r="Q694" s="46" t="str">
        <f t="shared" si="1"/>
        <v>September, 2012</v>
      </c>
      <c r="R694" s="115">
        <f t="shared" si="2"/>
        <v>41153</v>
      </c>
      <c r="S694" s="49">
        <f t="array" ref="S694">WEEKDAY(D694,2)</f>
        <v>7</v>
      </c>
      <c r="T694" s="46" t="s">
        <v>103</v>
      </c>
      <c r="U694" s="46" t="str">
        <f t="array" ref="U694">TEXT(D694,"dddd")</f>
        <v>Sunday</v>
      </c>
    </row>
    <row r="695" hidden="1">
      <c r="A695" s="46">
        <v>5.56947886E8</v>
      </c>
      <c r="B695" s="137" t="s">
        <v>223</v>
      </c>
      <c r="C695" s="137">
        <v>2011.0</v>
      </c>
      <c r="D695" s="138">
        <v>40638.0</v>
      </c>
      <c r="E695" s="139">
        <v>40680.0</v>
      </c>
      <c r="F695" s="142" t="s">
        <v>219</v>
      </c>
      <c r="G695" s="142">
        <v>2011.0</v>
      </c>
      <c r="H695" s="46">
        <v>2103.0</v>
      </c>
      <c r="I695" s="46">
        <v>2111.0</v>
      </c>
      <c r="J695" s="84">
        <v>434232.69999999995</v>
      </c>
      <c r="K695" s="84">
        <v>247219.21</v>
      </c>
      <c r="L695" s="84">
        <v>187013.48999999996</v>
      </c>
      <c r="M695" s="46" t="s">
        <v>144</v>
      </c>
      <c r="N695" s="46" t="s">
        <v>199</v>
      </c>
      <c r="O695" s="46" t="s">
        <v>146</v>
      </c>
      <c r="P695" s="46" t="s">
        <v>147</v>
      </c>
      <c r="Q695" s="46" t="str">
        <f t="shared" si="1"/>
        <v>April, 2011</v>
      </c>
      <c r="R695" s="115">
        <f t="shared" si="2"/>
        <v>40634</v>
      </c>
      <c r="S695" s="49">
        <f t="array" ref="S695">WEEKDAY(D695,2)</f>
        <v>2</v>
      </c>
      <c r="T695" s="46" t="s">
        <v>128</v>
      </c>
      <c r="U695" s="46" t="str">
        <f t="array" ref="U695">TEXT(D695,"dddd")</f>
        <v>Tuesday</v>
      </c>
    </row>
    <row r="696" hidden="1">
      <c r="A696" s="46">
        <v>5.59183347E8</v>
      </c>
      <c r="B696" s="137" t="s">
        <v>223</v>
      </c>
      <c r="C696" s="137">
        <v>2014.0</v>
      </c>
      <c r="D696" s="138">
        <v>41743.0</v>
      </c>
      <c r="E696" s="139">
        <v>41780.0</v>
      </c>
      <c r="F696" s="142" t="s">
        <v>219</v>
      </c>
      <c r="G696" s="142">
        <v>2014.0</v>
      </c>
      <c r="H696" s="46">
        <v>2103.0</v>
      </c>
      <c r="I696" s="46">
        <v>3633.0</v>
      </c>
      <c r="J696" s="84">
        <v>747308.1</v>
      </c>
      <c r="K696" s="84">
        <v>425460.63</v>
      </c>
      <c r="L696" s="84">
        <v>321847.47</v>
      </c>
      <c r="M696" s="46" t="s">
        <v>144</v>
      </c>
      <c r="N696" s="46" t="s">
        <v>181</v>
      </c>
      <c r="O696" s="46" t="s">
        <v>146</v>
      </c>
      <c r="P696" s="46" t="s">
        <v>155</v>
      </c>
      <c r="Q696" s="46" t="str">
        <f t="shared" si="1"/>
        <v>April, 2014</v>
      </c>
      <c r="R696" s="115">
        <f t="shared" si="2"/>
        <v>41730</v>
      </c>
      <c r="S696" s="49">
        <f t="array" ref="S696">WEEKDAY(D696,2)</f>
        <v>1</v>
      </c>
      <c r="T696" s="46" t="s">
        <v>113</v>
      </c>
      <c r="U696" s="46" t="str">
        <f t="array" ref="U696">TEXT(D696,"dddd")</f>
        <v>Monday</v>
      </c>
    </row>
    <row r="697" hidden="1">
      <c r="A697" s="46">
        <v>5.59417665E8</v>
      </c>
      <c r="B697" s="137" t="s">
        <v>228</v>
      </c>
      <c r="C697" s="137">
        <v>2013.0</v>
      </c>
      <c r="D697" s="138">
        <v>41330.0</v>
      </c>
      <c r="E697" s="139">
        <v>41333.0</v>
      </c>
      <c r="F697" s="142" t="s">
        <v>228</v>
      </c>
      <c r="G697" s="142">
        <v>2013.0</v>
      </c>
      <c r="H697" s="46">
        <v>5988.0</v>
      </c>
      <c r="I697" s="46">
        <v>2973.0</v>
      </c>
      <c r="J697" s="84">
        <v>458020.38</v>
      </c>
      <c r="K697" s="84">
        <v>270334.89</v>
      </c>
      <c r="L697" s="84">
        <v>187685.49</v>
      </c>
      <c r="M697" s="46" t="s">
        <v>159</v>
      </c>
      <c r="N697" s="46" t="s">
        <v>145</v>
      </c>
      <c r="O697" s="46" t="s">
        <v>146</v>
      </c>
      <c r="P697" s="46" t="s">
        <v>147</v>
      </c>
      <c r="Q697" s="46" t="str">
        <f t="shared" si="1"/>
        <v>February, 2013</v>
      </c>
      <c r="R697" s="115">
        <f t="shared" si="2"/>
        <v>41306</v>
      </c>
      <c r="S697" s="49">
        <f t="array" ref="S697">WEEKDAY(D697,2)</f>
        <v>1</v>
      </c>
      <c r="T697" s="46" t="s">
        <v>91</v>
      </c>
      <c r="U697" s="46" t="str">
        <f t="array" ref="U697">TEXT(D697,"dddd")</f>
        <v>Monday</v>
      </c>
    </row>
    <row r="698" hidden="1">
      <c r="A698" s="46">
        <v>5.60389268E8</v>
      </c>
      <c r="B698" s="137" t="s">
        <v>227</v>
      </c>
      <c r="C698" s="137">
        <v>2016.0</v>
      </c>
      <c r="D698" s="138">
        <v>42391.0</v>
      </c>
      <c r="E698" s="139">
        <v>42422.0</v>
      </c>
      <c r="F698" s="142" t="s">
        <v>228</v>
      </c>
      <c r="G698" s="142">
        <v>2016.0</v>
      </c>
      <c r="H698" s="46">
        <v>5988.0</v>
      </c>
      <c r="I698" s="46">
        <v>492.0</v>
      </c>
      <c r="J698" s="84">
        <v>75797.52</v>
      </c>
      <c r="K698" s="84">
        <v>44737.560000000005</v>
      </c>
      <c r="L698" s="84">
        <v>31059.96</v>
      </c>
      <c r="M698" s="46" t="s">
        <v>159</v>
      </c>
      <c r="N698" s="46" t="s">
        <v>191</v>
      </c>
      <c r="O698" s="46" t="s">
        <v>146</v>
      </c>
      <c r="P698" s="46" t="s">
        <v>147</v>
      </c>
      <c r="Q698" s="46" t="str">
        <f t="shared" si="1"/>
        <v>January, 2016</v>
      </c>
      <c r="R698" s="115">
        <f t="shared" si="2"/>
        <v>42370</v>
      </c>
      <c r="S698" s="49">
        <f t="array" ref="S698">WEEKDAY(D698,2)</f>
        <v>5</v>
      </c>
      <c r="T698" s="46" t="s">
        <v>120</v>
      </c>
      <c r="U698" s="46" t="str">
        <f t="array" ref="U698">TEXT(D698,"dddd")</f>
        <v>Friday</v>
      </c>
    </row>
    <row r="699" hidden="1">
      <c r="A699" s="46">
        <v>5.60762631E8</v>
      </c>
      <c r="B699" s="137" t="s">
        <v>217</v>
      </c>
      <c r="C699" s="137">
        <v>2015.0</v>
      </c>
      <c r="D699" s="138">
        <v>42188.0</v>
      </c>
      <c r="E699" s="139">
        <v>42201.0</v>
      </c>
      <c r="F699" s="142" t="s">
        <v>217</v>
      </c>
      <c r="G699" s="142">
        <v>2015.0</v>
      </c>
      <c r="H699" s="46">
        <v>8681.0</v>
      </c>
      <c r="I699" s="46">
        <v>979.0</v>
      </c>
      <c r="J699" s="84">
        <v>637534.5900000001</v>
      </c>
      <c r="K699" s="84">
        <v>513935.84</v>
      </c>
      <c r="L699" s="84">
        <v>123598.75000000006</v>
      </c>
      <c r="M699" s="46" t="s">
        <v>153</v>
      </c>
      <c r="N699" s="46" t="s">
        <v>169</v>
      </c>
      <c r="O699" s="46" t="s">
        <v>146</v>
      </c>
      <c r="P699" s="46" t="s">
        <v>170</v>
      </c>
      <c r="Q699" s="46" t="str">
        <f t="shared" si="1"/>
        <v>July, 2015</v>
      </c>
      <c r="R699" s="115">
        <f t="shared" si="2"/>
        <v>42186</v>
      </c>
      <c r="S699" s="49">
        <f t="array" ref="S699">WEEKDAY(D699,2)</f>
        <v>5</v>
      </c>
      <c r="T699" s="46" t="s">
        <v>103</v>
      </c>
      <c r="U699" s="46" t="str">
        <f t="array" ref="U699">TEXT(D699,"dddd")</f>
        <v>Friday</v>
      </c>
    </row>
    <row r="700" hidden="1">
      <c r="A700" s="46">
        <v>5.61534678E8</v>
      </c>
      <c r="B700" s="137" t="s">
        <v>227</v>
      </c>
      <c r="C700" s="137">
        <v>2014.0</v>
      </c>
      <c r="D700" s="138">
        <v>41641.0</v>
      </c>
      <c r="E700" s="139">
        <v>41668.0</v>
      </c>
      <c r="F700" s="142" t="s">
        <v>227</v>
      </c>
      <c r="G700" s="142">
        <v>2014.0</v>
      </c>
      <c r="H700" s="46">
        <v>3127.0</v>
      </c>
      <c r="I700" s="46">
        <v>9445.0</v>
      </c>
      <c r="J700" s="84">
        <v>771939.8500000001</v>
      </c>
      <c r="K700" s="84">
        <v>535248.15</v>
      </c>
      <c r="L700" s="84">
        <v>236691.70000000007</v>
      </c>
      <c r="M700" s="46" t="s">
        <v>185</v>
      </c>
      <c r="N700" s="46" t="s">
        <v>175</v>
      </c>
      <c r="O700" s="46" t="s">
        <v>165</v>
      </c>
      <c r="P700" s="46" t="s">
        <v>166</v>
      </c>
      <c r="Q700" s="46" t="str">
        <f t="shared" si="1"/>
        <v>January, 2014</v>
      </c>
      <c r="R700" s="115">
        <f t="shared" si="2"/>
        <v>41640</v>
      </c>
      <c r="S700" s="49">
        <f t="array" ref="S700">WEEKDAY(D700,2)</f>
        <v>4</v>
      </c>
      <c r="T700" s="46" t="s">
        <v>108</v>
      </c>
      <c r="U700" s="46" t="str">
        <f t="array" ref="U700">TEXT(D700,"dddd")</f>
        <v>Thursday</v>
      </c>
    </row>
    <row r="701" hidden="1">
      <c r="A701" s="46">
        <v>5.63939225E8</v>
      </c>
      <c r="B701" s="137" t="s">
        <v>224</v>
      </c>
      <c r="C701" s="137">
        <v>2010.0</v>
      </c>
      <c r="D701" s="138">
        <v>40493.0</v>
      </c>
      <c r="E701" s="139">
        <v>40531.0</v>
      </c>
      <c r="F701" s="142" t="s">
        <v>225</v>
      </c>
      <c r="G701" s="142">
        <v>2010.0</v>
      </c>
      <c r="H701" s="46">
        <v>2455.0</v>
      </c>
      <c r="I701" s="46">
        <v>1004.0</v>
      </c>
      <c r="J701" s="84">
        <v>109717.12</v>
      </c>
      <c r="K701" s="84">
        <v>35983.36</v>
      </c>
      <c r="L701" s="84">
        <v>73733.76</v>
      </c>
      <c r="M701" s="46" t="s">
        <v>150</v>
      </c>
      <c r="N701" s="46" t="s">
        <v>207</v>
      </c>
      <c r="O701" s="46" t="s">
        <v>146</v>
      </c>
      <c r="P701" s="46" t="s">
        <v>170</v>
      </c>
      <c r="Q701" s="46" t="str">
        <f t="shared" si="1"/>
        <v>November, 2010</v>
      </c>
      <c r="R701" s="115">
        <f t="shared" si="2"/>
        <v>40483</v>
      </c>
      <c r="S701" s="49">
        <f t="array" ref="S701">WEEKDAY(D701,2)</f>
        <v>4</v>
      </c>
      <c r="T701" s="46" t="s">
        <v>137</v>
      </c>
      <c r="U701" s="46" t="str">
        <f t="array" ref="U701">TEXT(D701,"dddd")</f>
        <v>Thursday</v>
      </c>
    </row>
    <row r="702" hidden="1">
      <c r="A702" s="46">
        <v>5.64173543E8</v>
      </c>
      <c r="B702" s="137" t="s">
        <v>223</v>
      </c>
      <c r="C702" s="137">
        <v>2017.0</v>
      </c>
      <c r="D702" s="138">
        <v>42846.0</v>
      </c>
      <c r="E702" s="139">
        <v>42851.0</v>
      </c>
      <c r="F702" s="142" t="s">
        <v>223</v>
      </c>
      <c r="G702" s="142">
        <v>2017.0</v>
      </c>
      <c r="H702" s="46">
        <v>7331.0</v>
      </c>
      <c r="I702" s="46">
        <v>343.0</v>
      </c>
      <c r="J702" s="84">
        <v>87561.04</v>
      </c>
      <c r="K702" s="84">
        <v>54681.06</v>
      </c>
      <c r="L702" s="84">
        <v>32879.979999999996</v>
      </c>
      <c r="M702" s="46" t="s">
        <v>161</v>
      </c>
      <c r="N702" s="46" t="s">
        <v>201</v>
      </c>
      <c r="O702" s="46" t="s">
        <v>146</v>
      </c>
      <c r="P702" s="46" t="s">
        <v>170</v>
      </c>
      <c r="Q702" s="46" t="str">
        <f t="shared" si="1"/>
        <v>April, 2017</v>
      </c>
      <c r="R702" s="115">
        <f t="shared" si="2"/>
        <v>42826</v>
      </c>
      <c r="S702" s="49">
        <f t="array" ref="S702">WEEKDAY(D702,2)</f>
        <v>5</v>
      </c>
      <c r="T702" s="46" t="s">
        <v>130</v>
      </c>
      <c r="U702" s="46" t="str">
        <f t="array" ref="U702">TEXT(D702,"dddd")</f>
        <v>Friday</v>
      </c>
    </row>
    <row r="703" hidden="1">
      <c r="A703" s="46">
        <v>5.66428315E8</v>
      </c>
      <c r="B703" s="137" t="s">
        <v>222</v>
      </c>
      <c r="C703" s="137">
        <v>2012.0</v>
      </c>
      <c r="D703" s="138">
        <v>40984.0</v>
      </c>
      <c r="E703" s="139">
        <v>40991.0</v>
      </c>
      <c r="F703" s="142" t="s">
        <v>222</v>
      </c>
      <c r="G703" s="142">
        <v>2012.0</v>
      </c>
      <c r="H703" s="46">
        <v>1270.0</v>
      </c>
      <c r="I703" s="46">
        <v>7581.0</v>
      </c>
      <c r="J703" s="84">
        <v>359718.45</v>
      </c>
      <c r="K703" s="84">
        <v>240999.99</v>
      </c>
      <c r="L703" s="84">
        <v>118718.46000000002</v>
      </c>
      <c r="M703" s="46" t="s">
        <v>152</v>
      </c>
      <c r="N703" s="46" t="s">
        <v>201</v>
      </c>
      <c r="O703" s="46" t="s">
        <v>146</v>
      </c>
      <c r="P703" s="46" t="s">
        <v>170</v>
      </c>
      <c r="Q703" s="46" t="str">
        <f t="shared" si="1"/>
        <v>March, 2012</v>
      </c>
      <c r="R703" s="115">
        <f t="shared" si="2"/>
        <v>40969</v>
      </c>
      <c r="S703" s="49">
        <f t="array" ref="S703">WEEKDAY(D703,2)</f>
        <v>5</v>
      </c>
      <c r="T703" s="46" t="s">
        <v>130</v>
      </c>
      <c r="U703" s="46" t="str">
        <f t="array" ref="U703">TEXT(D703,"dddd")</f>
        <v>Friday</v>
      </c>
    </row>
    <row r="704" hidden="1">
      <c r="A704" s="46">
        <v>5.67412793E8</v>
      </c>
      <c r="B704" s="137" t="s">
        <v>222</v>
      </c>
      <c r="C704" s="137">
        <v>2012.0</v>
      </c>
      <c r="D704" s="138">
        <v>40989.0</v>
      </c>
      <c r="E704" s="139">
        <v>40995.0</v>
      </c>
      <c r="F704" s="142" t="s">
        <v>222</v>
      </c>
      <c r="G704" s="142">
        <v>2012.0</v>
      </c>
      <c r="H704" s="46">
        <v>4594.0</v>
      </c>
      <c r="I704" s="46">
        <v>8910.0</v>
      </c>
      <c r="J704" s="84">
        <v>83130.3</v>
      </c>
      <c r="K704" s="84">
        <v>61657.2</v>
      </c>
      <c r="L704" s="84">
        <v>21473.100000000006</v>
      </c>
      <c r="M704" s="46" t="s">
        <v>156</v>
      </c>
      <c r="N704" s="46" t="s">
        <v>193</v>
      </c>
      <c r="O704" s="46" t="s">
        <v>146</v>
      </c>
      <c r="P704" s="46" t="s">
        <v>158</v>
      </c>
      <c r="Q704" s="46" t="str">
        <f t="shared" si="1"/>
        <v>March, 2012</v>
      </c>
      <c r="R704" s="115">
        <f t="shared" si="2"/>
        <v>40969</v>
      </c>
      <c r="S704" s="49">
        <f t="array" ref="S704">WEEKDAY(D704,2)</f>
        <v>3</v>
      </c>
      <c r="T704" s="46" t="s">
        <v>122</v>
      </c>
      <c r="U704" s="46" t="str">
        <f t="array" ref="U704">TEXT(D704,"dddd")</f>
        <v>Wednesday</v>
      </c>
    </row>
    <row r="705" hidden="1">
      <c r="A705" s="46">
        <v>5.67751824E8</v>
      </c>
      <c r="B705" s="137" t="s">
        <v>226</v>
      </c>
      <c r="C705" s="137">
        <v>2011.0</v>
      </c>
      <c r="D705" s="138">
        <v>40837.0</v>
      </c>
      <c r="E705" s="139">
        <v>40868.0</v>
      </c>
      <c r="F705" s="142" t="s">
        <v>224</v>
      </c>
      <c r="G705" s="142">
        <v>2011.0</v>
      </c>
      <c r="H705" s="46">
        <v>8293.0</v>
      </c>
      <c r="I705" s="46">
        <v>9236.0</v>
      </c>
      <c r="J705" s="84">
        <v>4037979.1999999997</v>
      </c>
      <c r="K705" s="84">
        <v>2432115.88</v>
      </c>
      <c r="L705" s="84">
        <v>1605863.3199999998</v>
      </c>
      <c r="M705" s="46" t="s">
        <v>178</v>
      </c>
      <c r="N705" s="46" t="s">
        <v>180</v>
      </c>
      <c r="O705" s="46" t="s">
        <v>146</v>
      </c>
      <c r="P705" s="46" t="s">
        <v>147</v>
      </c>
      <c r="Q705" s="46" t="str">
        <f t="shared" si="1"/>
        <v>October, 2011</v>
      </c>
      <c r="R705" s="115">
        <f t="shared" si="2"/>
        <v>40817</v>
      </c>
      <c r="S705" s="49">
        <f t="array" ref="S705">WEEKDAY(D705,2)</f>
        <v>5</v>
      </c>
      <c r="T705" s="46" t="s">
        <v>112</v>
      </c>
      <c r="U705" s="46" t="str">
        <f t="array" ref="U705">TEXT(D705,"dddd")</f>
        <v>Friday</v>
      </c>
    </row>
    <row r="706" hidden="1">
      <c r="A706" s="46">
        <v>5.69170606E8</v>
      </c>
      <c r="B706" s="137" t="s">
        <v>223</v>
      </c>
      <c r="C706" s="137">
        <v>2017.0</v>
      </c>
      <c r="D706" s="138">
        <v>42832.0</v>
      </c>
      <c r="E706" s="139">
        <v>42838.0</v>
      </c>
      <c r="F706" s="142" t="s">
        <v>223</v>
      </c>
      <c r="G706" s="142">
        <v>2017.0</v>
      </c>
      <c r="H706" s="46">
        <v>8969.0</v>
      </c>
      <c r="I706" s="46">
        <v>9085.0</v>
      </c>
      <c r="J706" s="84">
        <v>1386189.3</v>
      </c>
      <c r="K706" s="84">
        <v>885242.4</v>
      </c>
      <c r="L706" s="84">
        <v>500946.9</v>
      </c>
      <c r="M706" s="46" t="s">
        <v>182</v>
      </c>
      <c r="N706" s="46" t="s">
        <v>195</v>
      </c>
      <c r="O706" s="46" t="s">
        <v>146</v>
      </c>
      <c r="P706" s="46" t="s">
        <v>170</v>
      </c>
      <c r="Q706" s="46" t="str">
        <f t="shared" si="1"/>
        <v>April, 2017</v>
      </c>
      <c r="R706" s="115">
        <f t="shared" si="2"/>
        <v>42826</v>
      </c>
      <c r="S706" s="49">
        <f t="array" ref="S706">WEEKDAY(D706,2)</f>
        <v>5</v>
      </c>
      <c r="T706" s="46" t="s">
        <v>124</v>
      </c>
      <c r="U706" s="46" t="str">
        <f t="array" ref="U706">TEXT(D706,"dddd")</f>
        <v>Friday</v>
      </c>
    </row>
    <row r="707" hidden="1">
      <c r="A707" s="46">
        <v>5.69864976E8</v>
      </c>
      <c r="B707" s="137" t="s">
        <v>226</v>
      </c>
      <c r="C707" s="137">
        <v>2015.0</v>
      </c>
      <c r="D707" s="138">
        <v>42295.0</v>
      </c>
      <c r="E707" s="139">
        <v>42338.0</v>
      </c>
      <c r="F707" s="142" t="s">
        <v>224</v>
      </c>
      <c r="G707" s="142">
        <v>2015.0</v>
      </c>
      <c r="H707" s="46">
        <v>2103.0</v>
      </c>
      <c r="I707" s="46">
        <v>4565.0</v>
      </c>
      <c r="J707" s="84">
        <v>939020.5</v>
      </c>
      <c r="K707" s="84">
        <v>534607.15</v>
      </c>
      <c r="L707" s="84">
        <v>404413.35</v>
      </c>
      <c r="M707" s="46" t="s">
        <v>144</v>
      </c>
      <c r="N707" s="46" t="s">
        <v>193</v>
      </c>
      <c r="O707" s="46" t="s">
        <v>146</v>
      </c>
      <c r="P707" s="46" t="s">
        <v>158</v>
      </c>
      <c r="Q707" s="46" t="str">
        <f t="shared" si="1"/>
        <v>October, 2015</v>
      </c>
      <c r="R707" s="115">
        <f t="shared" si="2"/>
        <v>42278</v>
      </c>
      <c r="S707" s="49">
        <f t="array" ref="S707">WEEKDAY(D707,2)</f>
        <v>7</v>
      </c>
      <c r="T707" s="46" t="s">
        <v>122</v>
      </c>
      <c r="U707" s="46" t="str">
        <f t="array" ref="U707">TEXT(D707,"dddd")</f>
        <v>Sunday</v>
      </c>
    </row>
    <row r="708" hidden="1">
      <c r="A708" s="46">
        <v>5.69941365E8</v>
      </c>
      <c r="B708" s="137" t="s">
        <v>226</v>
      </c>
      <c r="C708" s="137">
        <v>2016.0</v>
      </c>
      <c r="D708" s="138">
        <v>42667.0</v>
      </c>
      <c r="E708" s="139">
        <v>42700.0</v>
      </c>
      <c r="F708" s="142" t="s">
        <v>224</v>
      </c>
      <c r="G708" s="142">
        <v>2016.0</v>
      </c>
      <c r="H708" s="46">
        <v>7331.0</v>
      </c>
      <c r="I708" s="46">
        <v>7170.0</v>
      </c>
      <c r="J708" s="84">
        <v>1830357.6</v>
      </c>
      <c r="K708" s="84">
        <v>1143041.4</v>
      </c>
      <c r="L708" s="84">
        <v>687316.2000000002</v>
      </c>
      <c r="M708" s="46" t="s">
        <v>161</v>
      </c>
      <c r="N708" s="46" t="s">
        <v>199</v>
      </c>
      <c r="O708" s="46" t="s">
        <v>146</v>
      </c>
      <c r="P708" s="46" t="s">
        <v>147</v>
      </c>
      <c r="Q708" s="46" t="str">
        <f t="shared" si="1"/>
        <v>October, 2016</v>
      </c>
      <c r="R708" s="115">
        <f t="shared" si="2"/>
        <v>42644</v>
      </c>
      <c r="S708" s="49">
        <f t="array" ref="S708">WEEKDAY(D708,2)</f>
        <v>1</v>
      </c>
      <c r="T708" s="46" t="s">
        <v>128</v>
      </c>
      <c r="U708" s="46" t="str">
        <f t="array" ref="U708">TEXT(D708,"dddd")</f>
        <v>Monday</v>
      </c>
    </row>
    <row r="709" hidden="1">
      <c r="A709" s="46">
        <v>5.7047652E8</v>
      </c>
      <c r="B709" s="137" t="s">
        <v>225</v>
      </c>
      <c r="C709" s="137">
        <v>2010.0</v>
      </c>
      <c r="D709" s="138">
        <v>40532.0</v>
      </c>
      <c r="E709" s="139">
        <v>40536.0</v>
      </c>
      <c r="F709" s="142" t="s">
        <v>225</v>
      </c>
      <c r="G709" s="142">
        <v>2010.0</v>
      </c>
      <c r="H709" s="46">
        <v>7940.0</v>
      </c>
      <c r="I709" s="46">
        <v>5534.0</v>
      </c>
      <c r="J709" s="84">
        <v>3698206.1799999997</v>
      </c>
      <c r="K709" s="84">
        <v>2781056.3600000003</v>
      </c>
      <c r="L709" s="84">
        <v>917149.8199999994</v>
      </c>
      <c r="M709" s="46" t="s">
        <v>148</v>
      </c>
      <c r="N709" s="46" t="s">
        <v>202</v>
      </c>
      <c r="O709" s="46" t="s">
        <v>146</v>
      </c>
      <c r="P709" s="46" t="s">
        <v>147</v>
      </c>
      <c r="Q709" s="46" t="str">
        <f t="shared" si="1"/>
        <v>December, 2010</v>
      </c>
      <c r="R709" s="115">
        <f t="shared" si="2"/>
        <v>40513</v>
      </c>
      <c r="S709" s="49">
        <f t="array" ref="S709">WEEKDAY(D709,2)</f>
        <v>1</v>
      </c>
      <c r="T709" s="46" t="s">
        <v>131</v>
      </c>
      <c r="U709" s="46" t="str">
        <f t="array" ref="U709">TEXT(D709,"dddd")</f>
        <v>Monday</v>
      </c>
    </row>
    <row r="710" hidden="1">
      <c r="A710" s="46">
        <v>5.70703542E8</v>
      </c>
      <c r="B710" s="137" t="s">
        <v>221</v>
      </c>
      <c r="C710" s="137">
        <v>2010.0</v>
      </c>
      <c r="D710" s="138">
        <v>40440.0</v>
      </c>
      <c r="E710" s="139">
        <v>40485.0</v>
      </c>
      <c r="F710" s="142" t="s">
        <v>224</v>
      </c>
      <c r="G710" s="142">
        <v>2010.0</v>
      </c>
      <c r="H710" s="46">
        <v>3127.0</v>
      </c>
      <c r="I710" s="46">
        <v>2715.0</v>
      </c>
      <c r="J710" s="84">
        <v>221896.95</v>
      </c>
      <c r="K710" s="84">
        <v>153859.05000000002</v>
      </c>
      <c r="L710" s="84">
        <v>68037.9</v>
      </c>
      <c r="M710" s="46" t="s">
        <v>185</v>
      </c>
      <c r="N710" s="46" t="s">
        <v>207</v>
      </c>
      <c r="O710" s="46" t="s">
        <v>146</v>
      </c>
      <c r="P710" s="46" t="s">
        <v>170</v>
      </c>
      <c r="Q710" s="46" t="str">
        <f t="shared" si="1"/>
        <v>September, 2010</v>
      </c>
      <c r="R710" s="115">
        <f t="shared" si="2"/>
        <v>40422</v>
      </c>
      <c r="S710" s="49">
        <f t="array" ref="S710">WEEKDAY(D710,2)</f>
        <v>7</v>
      </c>
      <c r="T710" s="46" t="s">
        <v>137</v>
      </c>
      <c r="U710" s="46" t="str">
        <f t="array" ref="U710">TEXT(D710,"dddd")</f>
        <v>Sunday</v>
      </c>
    </row>
    <row r="711" hidden="1">
      <c r="A711" s="46">
        <v>5.71161448E8</v>
      </c>
      <c r="B711" s="137" t="s">
        <v>216</v>
      </c>
      <c r="C711" s="137">
        <v>2014.0</v>
      </c>
      <c r="D711" s="138">
        <v>41876.0</v>
      </c>
      <c r="E711" s="139">
        <v>41912.0</v>
      </c>
      <c r="F711" s="142" t="s">
        <v>221</v>
      </c>
      <c r="G711" s="142">
        <v>2014.0</v>
      </c>
      <c r="H711" s="46">
        <v>7940.0</v>
      </c>
      <c r="I711" s="46">
        <v>8220.0</v>
      </c>
      <c r="J711" s="84">
        <v>5493179.399999999</v>
      </c>
      <c r="K711" s="84">
        <v>4130878.8000000003</v>
      </c>
      <c r="L711" s="84">
        <v>1362300.5999999992</v>
      </c>
      <c r="M711" s="46" t="s">
        <v>148</v>
      </c>
      <c r="N711" s="46" t="s">
        <v>184</v>
      </c>
      <c r="O711" s="46" t="s">
        <v>146</v>
      </c>
      <c r="P711" s="46" t="s">
        <v>155</v>
      </c>
      <c r="Q711" s="46" t="str">
        <f t="shared" si="1"/>
        <v>August, 2014</v>
      </c>
      <c r="R711" s="115">
        <f t="shared" si="2"/>
        <v>41852</v>
      </c>
      <c r="S711" s="49">
        <f t="array" ref="S711">WEEKDAY(D711,2)</f>
        <v>1</v>
      </c>
      <c r="T711" s="46" t="s">
        <v>114</v>
      </c>
      <c r="U711" s="46" t="str">
        <f t="array" ref="U711">TEXT(D711,"dddd")</f>
        <v>Monday</v>
      </c>
    </row>
    <row r="712" hidden="1">
      <c r="A712" s="46">
        <v>5.71323239E8</v>
      </c>
      <c r="B712" s="137" t="s">
        <v>225</v>
      </c>
      <c r="C712" s="137">
        <v>2016.0</v>
      </c>
      <c r="D712" s="138">
        <v>42711.0</v>
      </c>
      <c r="E712" s="139">
        <v>42736.0</v>
      </c>
      <c r="F712" s="142" t="s">
        <v>227</v>
      </c>
      <c r="G712" s="142">
        <v>2017.0</v>
      </c>
      <c r="H712" s="46">
        <v>5988.0</v>
      </c>
      <c r="I712" s="46">
        <v>6097.0</v>
      </c>
      <c r="J712" s="84">
        <v>939303.8200000001</v>
      </c>
      <c r="K712" s="84">
        <v>554400.2100000001</v>
      </c>
      <c r="L712" s="84">
        <v>384903.61</v>
      </c>
      <c r="M712" s="46" t="s">
        <v>159</v>
      </c>
      <c r="N712" s="46" t="s">
        <v>164</v>
      </c>
      <c r="O712" s="46" t="s">
        <v>165</v>
      </c>
      <c r="P712" s="46" t="s">
        <v>166</v>
      </c>
      <c r="Q712" s="46" t="str">
        <f t="shared" si="1"/>
        <v>December, 2016</v>
      </c>
      <c r="R712" s="115">
        <f t="shared" si="2"/>
        <v>42705</v>
      </c>
      <c r="S712" s="49">
        <f t="array" ref="S712">WEEKDAY(D712,2)</f>
        <v>3</v>
      </c>
      <c r="T712" s="46" t="s">
        <v>101</v>
      </c>
      <c r="U712" s="46" t="str">
        <f t="array" ref="U712">TEXT(D712,"dddd")</f>
        <v>Wednesday</v>
      </c>
    </row>
    <row r="713" hidden="1">
      <c r="A713" s="46">
        <v>5.72634732E8</v>
      </c>
      <c r="B713" s="137" t="s">
        <v>222</v>
      </c>
      <c r="C713" s="137">
        <v>2016.0</v>
      </c>
      <c r="D713" s="138">
        <v>42443.0</v>
      </c>
      <c r="E713" s="139">
        <v>42461.0</v>
      </c>
      <c r="F713" s="142" t="s">
        <v>223</v>
      </c>
      <c r="G713" s="142">
        <v>2016.0</v>
      </c>
      <c r="H713" s="46">
        <v>2103.0</v>
      </c>
      <c r="I713" s="46">
        <v>4197.0</v>
      </c>
      <c r="J713" s="84">
        <v>863322.8999999999</v>
      </c>
      <c r="K713" s="84">
        <v>491510.67</v>
      </c>
      <c r="L713" s="84">
        <v>371812.2299999999</v>
      </c>
      <c r="M713" s="46" t="s">
        <v>144</v>
      </c>
      <c r="N713" s="46" t="s">
        <v>172</v>
      </c>
      <c r="O713" s="46" t="s">
        <v>146</v>
      </c>
      <c r="P713" s="46" t="s">
        <v>155</v>
      </c>
      <c r="Q713" s="46" t="str">
        <f t="shared" si="1"/>
        <v>March, 2016</v>
      </c>
      <c r="R713" s="115">
        <f t="shared" si="2"/>
        <v>42430</v>
      </c>
      <c r="S713" s="49">
        <f t="array" ref="S713">WEEKDAY(D713,2)</f>
        <v>1</v>
      </c>
      <c r="T713" s="46" t="s">
        <v>105</v>
      </c>
      <c r="U713" s="46" t="str">
        <f t="array" ref="U713">TEXT(D713,"dddd")</f>
        <v>Monday</v>
      </c>
    </row>
    <row r="714" hidden="1">
      <c r="A714" s="46">
        <v>5.74247491E8</v>
      </c>
      <c r="B714" s="137" t="s">
        <v>225</v>
      </c>
      <c r="C714" s="137">
        <v>2012.0</v>
      </c>
      <c r="D714" s="138">
        <v>41248.0</v>
      </c>
      <c r="E714" s="139">
        <v>41260.0</v>
      </c>
      <c r="F714" s="142" t="s">
        <v>225</v>
      </c>
      <c r="G714" s="142">
        <v>2012.0</v>
      </c>
      <c r="H714" s="46">
        <v>7940.0</v>
      </c>
      <c r="I714" s="46">
        <v>1448.0</v>
      </c>
      <c r="J714" s="84">
        <v>967654.96</v>
      </c>
      <c r="K714" s="84">
        <v>727677.92</v>
      </c>
      <c r="L714" s="84">
        <v>239977.03999999992</v>
      </c>
      <c r="M714" s="46" t="s">
        <v>148</v>
      </c>
      <c r="N714" s="46" t="s">
        <v>184</v>
      </c>
      <c r="O714" s="46" t="s">
        <v>146</v>
      </c>
      <c r="P714" s="46" t="s">
        <v>155</v>
      </c>
      <c r="Q714" s="46" t="str">
        <f t="shared" si="1"/>
        <v>December, 2012</v>
      </c>
      <c r="R714" s="115">
        <f t="shared" si="2"/>
        <v>41244</v>
      </c>
      <c r="S714" s="49">
        <f t="array" ref="S714">WEEKDAY(D714,2)</f>
        <v>3</v>
      </c>
      <c r="T714" s="46" t="s">
        <v>114</v>
      </c>
      <c r="U714" s="46" t="str">
        <f t="array" ref="U714">TEXT(D714,"dddd")</f>
        <v>Wednesday</v>
      </c>
    </row>
    <row r="715" hidden="1">
      <c r="A715" s="46">
        <v>5.74925124E8</v>
      </c>
      <c r="B715" s="137" t="s">
        <v>220</v>
      </c>
      <c r="C715" s="137">
        <v>2017.0</v>
      </c>
      <c r="D715" s="138">
        <v>42914.0</v>
      </c>
      <c r="E715" s="139">
        <v>42929.0</v>
      </c>
      <c r="F715" s="142" t="s">
        <v>217</v>
      </c>
      <c r="G715" s="142">
        <v>2017.0</v>
      </c>
      <c r="H715" s="46">
        <v>8293.0</v>
      </c>
      <c r="I715" s="46">
        <v>1975.0</v>
      </c>
      <c r="J715" s="84">
        <v>863470.0</v>
      </c>
      <c r="K715" s="84">
        <v>520076.74999999994</v>
      </c>
      <c r="L715" s="84">
        <v>343393.25000000006</v>
      </c>
      <c r="M715" s="46" t="s">
        <v>178</v>
      </c>
      <c r="N715" s="46" t="s">
        <v>181</v>
      </c>
      <c r="O715" s="46" t="s">
        <v>146</v>
      </c>
      <c r="P715" s="46" t="s">
        <v>155</v>
      </c>
      <c r="Q715" s="46" t="str">
        <f t="shared" si="1"/>
        <v>June, 2017</v>
      </c>
      <c r="R715" s="115">
        <f t="shared" si="2"/>
        <v>42887</v>
      </c>
      <c r="S715" s="49">
        <f t="array" ref="S715">WEEKDAY(D715,2)</f>
        <v>3</v>
      </c>
      <c r="T715" s="46" t="s">
        <v>113</v>
      </c>
      <c r="U715" s="46" t="str">
        <f t="array" ref="U715">TEXT(D715,"dddd")</f>
        <v>Wednesday</v>
      </c>
    </row>
    <row r="716" hidden="1">
      <c r="A716" s="46">
        <v>5.7547959E8</v>
      </c>
      <c r="B716" s="137" t="s">
        <v>228</v>
      </c>
      <c r="C716" s="137">
        <v>2011.0</v>
      </c>
      <c r="D716" s="138">
        <v>40578.0</v>
      </c>
      <c r="E716" s="139">
        <v>40624.0</v>
      </c>
      <c r="F716" s="142" t="s">
        <v>222</v>
      </c>
      <c r="G716" s="142">
        <v>2011.0</v>
      </c>
      <c r="H716" s="46">
        <v>8969.0</v>
      </c>
      <c r="I716" s="46">
        <v>6054.0</v>
      </c>
      <c r="J716" s="84">
        <v>923719.3200000001</v>
      </c>
      <c r="K716" s="84">
        <v>589901.76</v>
      </c>
      <c r="L716" s="84">
        <v>333817.56000000006</v>
      </c>
      <c r="M716" s="46" t="s">
        <v>182</v>
      </c>
      <c r="N716" s="46" t="s">
        <v>199</v>
      </c>
      <c r="O716" s="46" t="s">
        <v>146</v>
      </c>
      <c r="P716" s="46" t="s">
        <v>147</v>
      </c>
      <c r="Q716" s="46" t="str">
        <f t="shared" si="1"/>
        <v>February, 2011</v>
      </c>
      <c r="R716" s="115">
        <f t="shared" si="2"/>
        <v>40575</v>
      </c>
      <c r="S716" s="49">
        <f t="array" ref="S716">WEEKDAY(D716,2)</f>
        <v>5</v>
      </c>
      <c r="T716" s="46" t="s">
        <v>128</v>
      </c>
      <c r="U716" s="46" t="str">
        <f t="array" ref="U716">TEXT(D716,"dddd")</f>
        <v>Friday</v>
      </c>
    </row>
    <row r="717" hidden="1">
      <c r="A717" s="46">
        <v>5.75552117E8</v>
      </c>
      <c r="B717" s="137" t="s">
        <v>223</v>
      </c>
      <c r="C717" s="137">
        <v>2015.0</v>
      </c>
      <c r="D717" s="138">
        <v>42097.0</v>
      </c>
      <c r="E717" s="139">
        <v>42120.0</v>
      </c>
      <c r="F717" s="142" t="s">
        <v>223</v>
      </c>
      <c r="G717" s="142">
        <v>2015.0</v>
      </c>
      <c r="H717" s="46">
        <v>8681.0</v>
      </c>
      <c r="I717" s="46">
        <v>7516.0</v>
      </c>
      <c r="J717" s="84">
        <v>4894494.36</v>
      </c>
      <c r="K717" s="84">
        <v>3945599.3600000003</v>
      </c>
      <c r="L717" s="84">
        <v>948895.0</v>
      </c>
      <c r="M717" s="46" t="s">
        <v>153</v>
      </c>
      <c r="N717" s="46" t="s">
        <v>189</v>
      </c>
      <c r="O717" s="46" t="s">
        <v>146</v>
      </c>
      <c r="P717" s="46" t="s">
        <v>158</v>
      </c>
      <c r="Q717" s="46" t="str">
        <f t="shared" si="1"/>
        <v>April, 2015</v>
      </c>
      <c r="R717" s="115">
        <f t="shared" si="2"/>
        <v>42095</v>
      </c>
      <c r="S717" s="49">
        <f t="array" ref="S717">WEEKDAY(D717,2)</f>
        <v>5</v>
      </c>
      <c r="T717" s="46" t="s">
        <v>118</v>
      </c>
      <c r="U717" s="46" t="str">
        <f t="array" ref="U717">TEXT(D717,"dddd")</f>
        <v>Friday</v>
      </c>
    </row>
    <row r="718" hidden="1">
      <c r="A718" s="46">
        <v>5.75583016E8</v>
      </c>
      <c r="B718" s="137" t="s">
        <v>224</v>
      </c>
      <c r="C718" s="137">
        <v>2012.0</v>
      </c>
      <c r="D718" s="138">
        <v>41221.0</v>
      </c>
      <c r="E718" s="139">
        <v>41237.0</v>
      </c>
      <c r="F718" s="142" t="s">
        <v>224</v>
      </c>
      <c r="G718" s="142">
        <v>2012.0</v>
      </c>
      <c r="H718" s="46">
        <v>8681.0</v>
      </c>
      <c r="I718" s="46">
        <v>6660.0</v>
      </c>
      <c r="J718" s="84">
        <v>4337058.600000001</v>
      </c>
      <c r="K718" s="84">
        <v>3496233.6</v>
      </c>
      <c r="L718" s="84">
        <v>840825.0000000005</v>
      </c>
      <c r="M718" s="46" t="s">
        <v>153</v>
      </c>
      <c r="N718" s="46" t="s">
        <v>204</v>
      </c>
      <c r="O718" s="46" t="s">
        <v>146</v>
      </c>
      <c r="P718" s="46" t="s">
        <v>147</v>
      </c>
      <c r="Q718" s="46" t="str">
        <f t="shared" si="1"/>
        <v>November, 2012</v>
      </c>
      <c r="R718" s="115">
        <f t="shared" si="2"/>
        <v>41214</v>
      </c>
      <c r="S718" s="49">
        <f t="array" ref="S718">WEEKDAY(D718,2)</f>
        <v>4</v>
      </c>
      <c r="T718" s="46" t="s">
        <v>133</v>
      </c>
      <c r="U718" s="46" t="str">
        <f t="array" ref="U718">TEXT(D718,"dddd")</f>
        <v>Thursday</v>
      </c>
    </row>
    <row r="719" hidden="1">
      <c r="A719" s="46">
        <v>5.75758969E8</v>
      </c>
      <c r="B719" s="137" t="s">
        <v>222</v>
      </c>
      <c r="C719" s="137">
        <v>2011.0</v>
      </c>
      <c r="D719" s="138">
        <v>40617.0</v>
      </c>
      <c r="E719" s="139">
        <v>40631.0</v>
      </c>
      <c r="F719" s="142" t="s">
        <v>222</v>
      </c>
      <c r="G719" s="142">
        <v>2011.0</v>
      </c>
      <c r="H719" s="46">
        <v>3127.0</v>
      </c>
      <c r="I719" s="46">
        <v>8729.0</v>
      </c>
      <c r="J719" s="84">
        <v>713421.17</v>
      </c>
      <c r="K719" s="84">
        <v>494672.43</v>
      </c>
      <c r="L719" s="84">
        <v>218748.74000000005</v>
      </c>
      <c r="M719" s="46" t="s">
        <v>185</v>
      </c>
      <c r="N719" s="46" t="s">
        <v>157</v>
      </c>
      <c r="O719" s="46" t="s">
        <v>146</v>
      </c>
      <c r="P719" s="46" t="s">
        <v>158</v>
      </c>
      <c r="Q719" s="46" t="str">
        <f t="shared" si="1"/>
        <v>March, 2011</v>
      </c>
      <c r="R719" s="115">
        <f t="shared" si="2"/>
        <v>40603</v>
      </c>
      <c r="S719" s="49">
        <f t="array" ref="S719">WEEKDAY(D719,2)</f>
        <v>2</v>
      </c>
      <c r="T719" s="46" t="s">
        <v>97</v>
      </c>
      <c r="U719" s="46" t="str">
        <f t="array" ref="U719">TEXT(D719,"dddd")</f>
        <v>Tuesday</v>
      </c>
    </row>
    <row r="720" hidden="1">
      <c r="A720" s="46">
        <v>5.7694472E8</v>
      </c>
      <c r="B720" s="137" t="s">
        <v>221</v>
      </c>
      <c r="C720" s="137">
        <v>2016.0</v>
      </c>
      <c r="D720" s="138">
        <v>42643.0</v>
      </c>
      <c r="E720" s="139">
        <v>42652.0</v>
      </c>
      <c r="F720" s="142" t="s">
        <v>226</v>
      </c>
      <c r="G720" s="142">
        <v>2016.0</v>
      </c>
      <c r="H720" s="46">
        <v>8293.0</v>
      </c>
      <c r="I720" s="46">
        <v>9619.0</v>
      </c>
      <c r="J720" s="84">
        <v>4205426.8</v>
      </c>
      <c r="K720" s="84">
        <v>2532971.27</v>
      </c>
      <c r="L720" s="84">
        <v>1672455.5299999998</v>
      </c>
      <c r="M720" s="46" t="s">
        <v>178</v>
      </c>
      <c r="N720" s="46" t="s">
        <v>202</v>
      </c>
      <c r="O720" s="46" t="s">
        <v>146</v>
      </c>
      <c r="P720" s="46" t="s">
        <v>147</v>
      </c>
      <c r="Q720" s="46" t="str">
        <f t="shared" si="1"/>
        <v>September, 2016</v>
      </c>
      <c r="R720" s="115">
        <f t="shared" si="2"/>
        <v>42614</v>
      </c>
      <c r="S720" s="49">
        <f t="array" ref="S720">WEEKDAY(D720,2)</f>
        <v>5</v>
      </c>
      <c r="T720" s="46" t="s">
        <v>131</v>
      </c>
      <c r="U720" s="46" t="str">
        <f t="array" ref="U720">TEXT(D720,"dddd")</f>
        <v>Friday</v>
      </c>
    </row>
    <row r="721" hidden="1">
      <c r="A721" s="46">
        <v>5.77530944E8</v>
      </c>
      <c r="B721" s="137" t="s">
        <v>223</v>
      </c>
      <c r="C721" s="137">
        <v>2012.0</v>
      </c>
      <c r="D721" s="138">
        <v>41021.0</v>
      </c>
      <c r="E721" s="139">
        <v>41044.0</v>
      </c>
      <c r="F721" s="142" t="s">
        <v>219</v>
      </c>
      <c r="G721" s="142">
        <v>2012.0</v>
      </c>
      <c r="H721" s="46">
        <v>3127.0</v>
      </c>
      <c r="I721" s="46">
        <v>3095.0</v>
      </c>
      <c r="J721" s="84">
        <v>252954.35</v>
      </c>
      <c r="K721" s="84">
        <v>175393.65</v>
      </c>
      <c r="L721" s="84">
        <v>77560.70000000001</v>
      </c>
      <c r="M721" s="46" t="s">
        <v>185</v>
      </c>
      <c r="N721" s="46" t="s">
        <v>184</v>
      </c>
      <c r="O721" s="46" t="s">
        <v>146</v>
      </c>
      <c r="P721" s="46" t="s">
        <v>155</v>
      </c>
      <c r="Q721" s="46" t="str">
        <f t="shared" si="1"/>
        <v>April, 2012</v>
      </c>
      <c r="R721" s="115">
        <f t="shared" si="2"/>
        <v>41000</v>
      </c>
      <c r="S721" s="49">
        <f t="array" ref="S721">WEEKDAY(D721,2)</f>
        <v>7</v>
      </c>
      <c r="T721" s="46" t="s">
        <v>114</v>
      </c>
      <c r="U721" s="46" t="str">
        <f t="array" ref="U721">TEXT(D721,"dddd")</f>
        <v>Sunday</v>
      </c>
    </row>
    <row r="722" hidden="1">
      <c r="A722" s="46">
        <v>5.78356206E8</v>
      </c>
      <c r="B722" s="137" t="s">
        <v>217</v>
      </c>
      <c r="C722" s="137">
        <v>2015.0</v>
      </c>
      <c r="D722" s="138">
        <v>42194.0</v>
      </c>
      <c r="E722" s="139">
        <v>42200.0</v>
      </c>
      <c r="F722" s="142" t="s">
        <v>217</v>
      </c>
      <c r="G722" s="142">
        <v>2015.0</v>
      </c>
      <c r="H722" s="46">
        <v>8875.0</v>
      </c>
      <c r="I722" s="46">
        <v>7309.0</v>
      </c>
      <c r="J722" s="84">
        <v>3083594.01</v>
      </c>
      <c r="K722" s="84">
        <v>2665519.21</v>
      </c>
      <c r="L722" s="84">
        <v>418074.7999999998</v>
      </c>
      <c r="M722" s="46" t="s">
        <v>167</v>
      </c>
      <c r="N722" s="46" t="s">
        <v>207</v>
      </c>
      <c r="O722" s="46" t="s">
        <v>146</v>
      </c>
      <c r="P722" s="46" t="s">
        <v>170</v>
      </c>
      <c r="Q722" s="46" t="str">
        <f t="shared" si="1"/>
        <v>July, 2015</v>
      </c>
      <c r="R722" s="115">
        <f t="shared" si="2"/>
        <v>42186</v>
      </c>
      <c r="S722" s="49">
        <f t="array" ref="S722">WEEKDAY(D722,2)</f>
        <v>4</v>
      </c>
      <c r="T722" s="46" t="s">
        <v>137</v>
      </c>
      <c r="U722" s="46" t="str">
        <f t="array" ref="U722">TEXT(D722,"dddd")</f>
        <v>Thursday</v>
      </c>
    </row>
    <row r="723" hidden="1">
      <c r="A723" s="46">
        <v>5.78666484E8</v>
      </c>
      <c r="B723" s="137" t="s">
        <v>222</v>
      </c>
      <c r="C723" s="137">
        <v>2013.0</v>
      </c>
      <c r="D723" s="138">
        <v>41357.0</v>
      </c>
      <c r="E723" s="139">
        <v>41375.0</v>
      </c>
      <c r="F723" s="142" t="s">
        <v>223</v>
      </c>
      <c r="G723" s="142">
        <v>2013.0</v>
      </c>
      <c r="H723" s="46">
        <v>4594.0</v>
      </c>
      <c r="I723" s="46">
        <v>9127.0</v>
      </c>
      <c r="J723" s="84">
        <v>85154.91</v>
      </c>
      <c r="K723" s="84">
        <v>63158.84</v>
      </c>
      <c r="L723" s="84">
        <v>21996.070000000007</v>
      </c>
      <c r="M723" s="46" t="s">
        <v>156</v>
      </c>
      <c r="N723" s="46" t="s">
        <v>179</v>
      </c>
      <c r="O723" s="46" t="s">
        <v>146</v>
      </c>
      <c r="P723" s="46" t="s">
        <v>155</v>
      </c>
      <c r="Q723" s="46" t="str">
        <f t="shared" si="1"/>
        <v>March, 2013</v>
      </c>
      <c r="R723" s="115">
        <f t="shared" si="2"/>
        <v>41334</v>
      </c>
      <c r="S723" s="49">
        <f t="array" ref="S723">WEEKDAY(D723,2)</f>
        <v>7</v>
      </c>
      <c r="T723" s="46" t="s">
        <v>111</v>
      </c>
      <c r="U723" s="46" t="str">
        <f t="array" ref="U723">TEXT(D723,"dddd")</f>
        <v>Sunday</v>
      </c>
    </row>
    <row r="724" hidden="1">
      <c r="A724" s="46">
        <v>5.79094779E8</v>
      </c>
      <c r="B724" s="137" t="s">
        <v>225</v>
      </c>
      <c r="C724" s="137">
        <v>2010.0</v>
      </c>
      <c r="D724" s="138">
        <v>40520.0</v>
      </c>
      <c r="E724" s="139">
        <v>40523.0</v>
      </c>
      <c r="F724" s="142" t="s">
        <v>225</v>
      </c>
      <c r="G724" s="142">
        <v>2010.0</v>
      </c>
      <c r="H724" s="46">
        <v>5988.0</v>
      </c>
      <c r="I724" s="46">
        <v>5869.0</v>
      </c>
      <c r="J724" s="84">
        <v>904178.14</v>
      </c>
      <c r="K724" s="84">
        <v>533668.17</v>
      </c>
      <c r="L724" s="84">
        <v>370509.97</v>
      </c>
      <c r="M724" s="46" t="s">
        <v>159</v>
      </c>
      <c r="N724" s="46" t="s">
        <v>175</v>
      </c>
      <c r="O724" s="46" t="s">
        <v>165</v>
      </c>
      <c r="P724" s="46" t="s">
        <v>166</v>
      </c>
      <c r="Q724" s="46" t="str">
        <f t="shared" si="1"/>
        <v>December, 2010</v>
      </c>
      <c r="R724" s="115">
        <f t="shared" si="2"/>
        <v>40513</v>
      </c>
      <c r="S724" s="49">
        <f t="array" ref="S724">WEEKDAY(D724,2)</f>
        <v>3</v>
      </c>
      <c r="T724" s="46" t="s">
        <v>108</v>
      </c>
      <c r="U724" s="46" t="str">
        <f t="array" ref="U724">TEXT(D724,"dddd")</f>
        <v>Wednesday</v>
      </c>
    </row>
    <row r="725" hidden="1">
      <c r="A725" s="46">
        <v>5.79463422E8</v>
      </c>
      <c r="B725" s="137" t="s">
        <v>221</v>
      </c>
      <c r="C725" s="137">
        <v>2016.0</v>
      </c>
      <c r="D725" s="138">
        <v>42641.0</v>
      </c>
      <c r="E725" s="139">
        <v>42675.0</v>
      </c>
      <c r="F725" s="142" t="s">
        <v>224</v>
      </c>
      <c r="G725" s="142">
        <v>2016.0</v>
      </c>
      <c r="H725" s="46">
        <v>4594.0</v>
      </c>
      <c r="I725" s="46">
        <v>4958.0</v>
      </c>
      <c r="J725" s="84">
        <v>46258.14</v>
      </c>
      <c r="K725" s="84">
        <v>34309.36</v>
      </c>
      <c r="L725" s="84">
        <v>11948.779999999999</v>
      </c>
      <c r="M725" s="46" t="s">
        <v>156</v>
      </c>
      <c r="N725" s="46" t="s">
        <v>188</v>
      </c>
      <c r="O725" s="46" t="s">
        <v>146</v>
      </c>
      <c r="P725" s="46" t="s">
        <v>170</v>
      </c>
      <c r="Q725" s="46" t="str">
        <f t="shared" si="1"/>
        <v>September, 2016</v>
      </c>
      <c r="R725" s="115">
        <f t="shared" si="2"/>
        <v>42614</v>
      </c>
      <c r="S725" s="49">
        <f t="array" ref="S725">WEEKDAY(D725,2)</f>
        <v>3</v>
      </c>
      <c r="T725" s="46" t="s">
        <v>117</v>
      </c>
      <c r="U725" s="46" t="str">
        <f t="array" ref="U725">TEXT(D725,"dddd")</f>
        <v>Wednesday</v>
      </c>
    </row>
    <row r="726" hidden="1">
      <c r="A726" s="46">
        <v>5.80314862E8</v>
      </c>
      <c r="B726" s="137" t="s">
        <v>219</v>
      </c>
      <c r="C726" s="137">
        <v>2016.0</v>
      </c>
      <c r="D726" s="138">
        <v>42496.0</v>
      </c>
      <c r="E726" s="139">
        <v>42502.0</v>
      </c>
      <c r="F726" s="142" t="s">
        <v>219</v>
      </c>
      <c r="G726" s="142">
        <v>2016.0</v>
      </c>
      <c r="H726" s="46">
        <v>7331.0</v>
      </c>
      <c r="I726" s="46">
        <v>6918.0</v>
      </c>
      <c r="J726" s="84">
        <v>1766027.04</v>
      </c>
      <c r="K726" s="84">
        <v>1102867.5599999998</v>
      </c>
      <c r="L726" s="84">
        <v>663159.4800000002</v>
      </c>
      <c r="M726" s="46" t="s">
        <v>161</v>
      </c>
      <c r="N726" s="46" t="s">
        <v>207</v>
      </c>
      <c r="O726" s="46" t="s">
        <v>146</v>
      </c>
      <c r="P726" s="46" t="s">
        <v>170</v>
      </c>
      <c r="Q726" s="46" t="str">
        <f t="shared" si="1"/>
        <v>May, 2016</v>
      </c>
      <c r="R726" s="115">
        <f t="shared" si="2"/>
        <v>42491</v>
      </c>
      <c r="S726" s="49">
        <f t="array" ref="S726">WEEKDAY(D726,2)</f>
        <v>5</v>
      </c>
      <c r="T726" s="46" t="s">
        <v>137</v>
      </c>
      <c r="U726" s="46" t="str">
        <f t="array" ref="U726">TEXT(D726,"dddd")</f>
        <v>Friday</v>
      </c>
    </row>
    <row r="727" hidden="1">
      <c r="A727" s="46">
        <v>5.80342328E8</v>
      </c>
      <c r="B727" s="137" t="s">
        <v>221</v>
      </c>
      <c r="C727" s="137">
        <v>2011.0</v>
      </c>
      <c r="D727" s="138">
        <v>40796.0</v>
      </c>
      <c r="E727" s="139">
        <v>40830.0</v>
      </c>
      <c r="F727" s="142" t="s">
        <v>226</v>
      </c>
      <c r="G727" s="142">
        <v>2011.0</v>
      </c>
      <c r="H727" s="46">
        <v>2103.0</v>
      </c>
      <c r="I727" s="46">
        <v>5046.0</v>
      </c>
      <c r="J727" s="84">
        <v>1037962.2</v>
      </c>
      <c r="K727" s="84">
        <v>590937.0599999999</v>
      </c>
      <c r="L727" s="84">
        <v>447025.14</v>
      </c>
      <c r="M727" s="46" t="s">
        <v>144</v>
      </c>
      <c r="N727" s="46" t="s">
        <v>164</v>
      </c>
      <c r="O727" s="46" t="s">
        <v>165</v>
      </c>
      <c r="P727" s="46" t="s">
        <v>166</v>
      </c>
      <c r="Q727" s="46" t="str">
        <f t="shared" si="1"/>
        <v>September, 2011</v>
      </c>
      <c r="R727" s="115">
        <f t="shared" si="2"/>
        <v>40787</v>
      </c>
      <c r="S727" s="49">
        <f t="array" ref="S727">WEEKDAY(D727,2)</f>
        <v>6</v>
      </c>
      <c r="T727" s="46" t="s">
        <v>101</v>
      </c>
      <c r="U727" s="46" t="str">
        <f t="array" ref="U727">TEXT(D727,"dddd")</f>
        <v>Saturday</v>
      </c>
    </row>
    <row r="728" hidden="1">
      <c r="A728" s="46">
        <v>5.80463349E8</v>
      </c>
      <c r="B728" s="137" t="s">
        <v>226</v>
      </c>
      <c r="C728" s="137">
        <v>2011.0</v>
      </c>
      <c r="D728" s="138">
        <v>40826.0</v>
      </c>
      <c r="E728" s="139">
        <v>40855.0</v>
      </c>
      <c r="F728" s="142" t="s">
        <v>224</v>
      </c>
      <c r="G728" s="142">
        <v>2011.0</v>
      </c>
      <c r="H728" s="46">
        <v>2103.0</v>
      </c>
      <c r="I728" s="46">
        <v>859.0</v>
      </c>
      <c r="J728" s="84">
        <v>176696.3</v>
      </c>
      <c r="K728" s="84">
        <v>100597.49</v>
      </c>
      <c r="L728" s="84">
        <v>76098.80999999998</v>
      </c>
      <c r="M728" s="46" t="s">
        <v>144</v>
      </c>
      <c r="N728" s="46" t="s">
        <v>181</v>
      </c>
      <c r="O728" s="46" t="s">
        <v>146</v>
      </c>
      <c r="P728" s="46" t="s">
        <v>155</v>
      </c>
      <c r="Q728" s="46" t="str">
        <f t="shared" si="1"/>
        <v>October, 2011</v>
      </c>
      <c r="R728" s="115">
        <f t="shared" si="2"/>
        <v>40817</v>
      </c>
      <c r="S728" s="49">
        <f t="array" ref="S728">WEEKDAY(D728,2)</f>
        <v>1</v>
      </c>
      <c r="T728" s="46" t="s">
        <v>113</v>
      </c>
      <c r="U728" s="46" t="str">
        <f t="array" ref="U728">TEXT(D728,"dddd")</f>
        <v>Monday</v>
      </c>
    </row>
    <row r="729" hidden="1">
      <c r="A729" s="46">
        <v>5.8056935E8</v>
      </c>
      <c r="B729" s="137" t="s">
        <v>220</v>
      </c>
      <c r="C729" s="137">
        <v>2011.0</v>
      </c>
      <c r="D729" s="138">
        <v>40704.0</v>
      </c>
      <c r="E729" s="139">
        <v>40727.0</v>
      </c>
      <c r="F729" s="142" t="s">
        <v>217</v>
      </c>
      <c r="G729" s="142">
        <v>2011.0</v>
      </c>
      <c r="H729" s="46">
        <v>1270.0</v>
      </c>
      <c r="I729" s="46">
        <v>2227.0</v>
      </c>
      <c r="J729" s="84">
        <v>105671.15000000001</v>
      </c>
      <c r="K729" s="84">
        <v>70796.33</v>
      </c>
      <c r="L729" s="84">
        <v>34874.82000000001</v>
      </c>
      <c r="M729" s="46" t="s">
        <v>152</v>
      </c>
      <c r="N729" s="46" t="s">
        <v>198</v>
      </c>
      <c r="O729" s="46" t="s">
        <v>146</v>
      </c>
      <c r="P729" s="46" t="s">
        <v>170</v>
      </c>
      <c r="Q729" s="46" t="str">
        <f t="shared" si="1"/>
        <v>June, 2011</v>
      </c>
      <c r="R729" s="115">
        <f t="shared" si="2"/>
        <v>40695</v>
      </c>
      <c r="S729" s="49">
        <f t="array" ref="S729">WEEKDAY(D729,2)</f>
        <v>5</v>
      </c>
      <c r="T729" s="46" t="s">
        <v>127</v>
      </c>
      <c r="U729" s="46" t="str">
        <f t="array" ref="U729">TEXT(D729,"dddd")</f>
        <v>Friday</v>
      </c>
    </row>
    <row r="730">
      <c r="A730" s="46">
        <v>5.8078221E8</v>
      </c>
      <c r="B730" s="137" t="s">
        <v>228</v>
      </c>
      <c r="C730" s="137">
        <v>2015.0</v>
      </c>
      <c r="D730" s="138">
        <v>42051.0</v>
      </c>
      <c r="E730" s="139">
        <v>42055.0</v>
      </c>
      <c r="F730" s="142" t="s">
        <v>228</v>
      </c>
      <c r="G730" s="142">
        <v>2015.0</v>
      </c>
      <c r="H730" s="46">
        <v>8681.0</v>
      </c>
      <c r="I730" s="46">
        <v>5217.0</v>
      </c>
      <c r="J730" s="84">
        <v>3397362.5700000003</v>
      </c>
      <c r="K730" s="84">
        <v>2738716.3200000003</v>
      </c>
      <c r="L730" s="84">
        <v>658646.25</v>
      </c>
      <c r="M730" s="46" t="s">
        <v>153</v>
      </c>
      <c r="N730" s="46" t="s">
        <v>149</v>
      </c>
      <c r="O730" s="46" t="s">
        <v>149</v>
      </c>
      <c r="P730" s="46" t="s">
        <v>218</v>
      </c>
      <c r="Q730" s="46" t="str">
        <f t="shared" si="1"/>
        <v>February, 2015</v>
      </c>
      <c r="R730" s="115">
        <f t="shared" si="2"/>
        <v>42036</v>
      </c>
      <c r="S730" s="49">
        <f t="array" ref="S730">WEEKDAY(D730,2)</f>
        <v>1</v>
      </c>
      <c r="T730" s="46" t="s">
        <v>92</v>
      </c>
      <c r="U730" s="46" t="str">
        <f t="array" ref="U730">TEXT(D730,"dddd")</f>
        <v>Monday</v>
      </c>
    </row>
    <row r="731" hidden="1">
      <c r="A731" s="46">
        <v>5.81193768E8</v>
      </c>
      <c r="B731" s="137" t="s">
        <v>223</v>
      </c>
      <c r="C731" s="137">
        <v>2011.0</v>
      </c>
      <c r="D731" s="138">
        <v>40651.0</v>
      </c>
      <c r="E731" s="139">
        <v>40657.0</v>
      </c>
      <c r="F731" s="142" t="s">
        <v>223</v>
      </c>
      <c r="G731" s="142">
        <v>2011.0</v>
      </c>
      <c r="H731" s="46">
        <v>8969.0</v>
      </c>
      <c r="I731" s="46">
        <v>7006.0</v>
      </c>
      <c r="J731" s="84">
        <v>1068975.48</v>
      </c>
      <c r="K731" s="84">
        <v>682664.64</v>
      </c>
      <c r="L731" s="84">
        <v>386310.83999999997</v>
      </c>
      <c r="M731" s="46" t="s">
        <v>182</v>
      </c>
      <c r="N731" s="46" t="s">
        <v>175</v>
      </c>
      <c r="O731" s="46" t="s">
        <v>165</v>
      </c>
      <c r="P731" s="46" t="s">
        <v>166</v>
      </c>
      <c r="Q731" s="46" t="str">
        <f t="shared" si="1"/>
        <v>April, 2011</v>
      </c>
      <c r="R731" s="115">
        <f t="shared" si="2"/>
        <v>40634</v>
      </c>
      <c r="S731" s="49">
        <f t="array" ref="S731">WEEKDAY(D731,2)</f>
        <v>1</v>
      </c>
      <c r="T731" s="46" t="s">
        <v>108</v>
      </c>
      <c r="U731" s="46" t="str">
        <f t="array" ref="U731">TEXT(D731,"dddd")</f>
        <v>Monday</v>
      </c>
    </row>
    <row r="732" hidden="1">
      <c r="A732" s="46">
        <v>5.82560193E8</v>
      </c>
      <c r="B732" s="137" t="s">
        <v>219</v>
      </c>
      <c r="C732" s="137">
        <v>2016.0</v>
      </c>
      <c r="D732" s="138">
        <v>42515.0</v>
      </c>
      <c r="E732" s="139">
        <v>42518.0</v>
      </c>
      <c r="F732" s="142" t="s">
        <v>219</v>
      </c>
      <c r="G732" s="142">
        <v>2016.0</v>
      </c>
      <c r="H732" s="46">
        <v>7940.0</v>
      </c>
      <c r="I732" s="46">
        <v>1362.0</v>
      </c>
      <c r="J732" s="84">
        <v>910183.74</v>
      </c>
      <c r="K732" s="84">
        <v>684459.48</v>
      </c>
      <c r="L732" s="84">
        <v>225724.26</v>
      </c>
      <c r="M732" s="46" t="s">
        <v>148</v>
      </c>
      <c r="N732" s="46" t="s">
        <v>162</v>
      </c>
      <c r="O732" s="46" t="s">
        <v>146</v>
      </c>
      <c r="P732" s="46" t="s">
        <v>147</v>
      </c>
      <c r="Q732" s="46" t="str">
        <f t="shared" si="1"/>
        <v>May, 2016</v>
      </c>
      <c r="R732" s="115">
        <f t="shared" si="2"/>
        <v>42491</v>
      </c>
      <c r="S732" s="49">
        <f t="array" ref="S732">WEEKDAY(D732,2)</f>
        <v>3</v>
      </c>
      <c r="T732" s="46" t="s">
        <v>99</v>
      </c>
      <c r="U732" s="46" t="str">
        <f t="array" ref="U732">TEXT(D732,"dddd")</f>
        <v>Wednesday</v>
      </c>
    </row>
    <row r="733">
      <c r="A733" s="46">
        <v>5.82563626E8</v>
      </c>
      <c r="B733" s="137" t="s">
        <v>227</v>
      </c>
      <c r="C733" s="137">
        <v>2011.0</v>
      </c>
      <c r="D733" s="138">
        <v>40574.0</v>
      </c>
      <c r="E733" s="139">
        <v>40593.0</v>
      </c>
      <c r="F733" s="142" t="s">
        <v>228</v>
      </c>
      <c r="G733" s="142">
        <v>2011.0</v>
      </c>
      <c r="H733" s="46">
        <v>7940.0</v>
      </c>
      <c r="I733" s="46">
        <v>2378.0</v>
      </c>
      <c r="J733" s="84">
        <v>1589146.06</v>
      </c>
      <c r="K733" s="84">
        <v>1195040.12</v>
      </c>
      <c r="L733" s="84">
        <v>394105.93999999994</v>
      </c>
      <c r="M733" s="46" t="s">
        <v>148</v>
      </c>
      <c r="N733" s="46" t="s">
        <v>149</v>
      </c>
      <c r="O733" s="46" t="s">
        <v>149</v>
      </c>
      <c r="P733" s="46" t="s">
        <v>218</v>
      </c>
      <c r="Q733" s="46" t="str">
        <f t="shared" si="1"/>
        <v>January, 2011</v>
      </c>
      <c r="R733" s="115">
        <f t="shared" si="2"/>
        <v>40544</v>
      </c>
      <c r="S733" s="49">
        <f t="array" ref="S733">WEEKDAY(D733,2)</f>
        <v>1</v>
      </c>
      <c r="T733" s="46" t="s">
        <v>92</v>
      </c>
      <c r="U733" s="46" t="str">
        <f t="array" ref="U733">TEXT(D733,"dddd")</f>
        <v>Monday</v>
      </c>
    </row>
    <row r="734" hidden="1">
      <c r="A734" s="46">
        <v>5.82836139E8</v>
      </c>
      <c r="B734" s="137" t="s">
        <v>222</v>
      </c>
      <c r="C734" s="137">
        <v>2014.0</v>
      </c>
      <c r="D734" s="138">
        <v>41729.0</v>
      </c>
      <c r="E734" s="139">
        <v>41734.0</v>
      </c>
      <c r="F734" s="142" t="s">
        <v>223</v>
      </c>
      <c r="G734" s="142">
        <v>2014.0</v>
      </c>
      <c r="H734" s="46">
        <v>8681.0</v>
      </c>
      <c r="I734" s="46">
        <v>3020.0</v>
      </c>
      <c r="J734" s="84">
        <v>1966654.2000000002</v>
      </c>
      <c r="K734" s="84">
        <v>1585379.2000000002</v>
      </c>
      <c r="L734" s="84">
        <v>381275.0</v>
      </c>
      <c r="M734" s="46" t="s">
        <v>153</v>
      </c>
      <c r="N734" s="46" t="s">
        <v>199</v>
      </c>
      <c r="O734" s="46" t="s">
        <v>146</v>
      </c>
      <c r="P734" s="46" t="s">
        <v>147</v>
      </c>
      <c r="Q734" s="46" t="str">
        <f t="shared" si="1"/>
        <v>March, 2014</v>
      </c>
      <c r="R734" s="115">
        <f t="shared" si="2"/>
        <v>41699</v>
      </c>
      <c r="S734" s="49">
        <f t="array" ref="S734">WEEKDAY(D734,2)</f>
        <v>1</v>
      </c>
      <c r="T734" s="46" t="s">
        <v>128</v>
      </c>
      <c r="U734" s="46" t="str">
        <f t="array" ref="U734">TEXT(D734,"dddd")</f>
        <v>Monday</v>
      </c>
    </row>
    <row r="735" hidden="1">
      <c r="A735" s="46">
        <v>5.83089339E8</v>
      </c>
      <c r="B735" s="137" t="s">
        <v>219</v>
      </c>
      <c r="C735" s="137">
        <v>2010.0</v>
      </c>
      <c r="D735" s="138">
        <v>40320.0</v>
      </c>
      <c r="E735" s="139">
        <v>40355.0</v>
      </c>
      <c r="F735" s="142" t="s">
        <v>220</v>
      </c>
      <c r="G735" s="142">
        <v>2010.0</v>
      </c>
      <c r="H735" s="46">
        <v>8293.0</v>
      </c>
      <c r="I735" s="46">
        <v>7948.0</v>
      </c>
      <c r="J735" s="84">
        <v>3474865.6</v>
      </c>
      <c r="K735" s="84">
        <v>2092946.8399999999</v>
      </c>
      <c r="L735" s="84">
        <v>1381918.7600000002</v>
      </c>
      <c r="M735" s="46" t="s">
        <v>178</v>
      </c>
      <c r="N735" s="46" t="s">
        <v>208</v>
      </c>
      <c r="O735" s="46" t="s">
        <v>146</v>
      </c>
      <c r="P735" s="46" t="s">
        <v>147</v>
      </c>
      <c r="Q735" s="46" t="str">
        <f t="shared" si="1"/>
        <v>May, 2010</v>
      </c>
      <c r="R735" s="115">
        <f t="shared" si="2"/>
        <v>40299</v>
      </c>
      <c r="S735" s="49">
        <f t="array" ref="S735">WEEKDAY(D735,2)</f>
        <v>6</v>
      </c>
      <c r="T735" s="46" t="s">
        <v>138</v>
      </c>
      <c r="U735" s="46" t="str">
        <f t="array" ref="U735">TEXT(D735,"dddd")</f>
        <v>Saturday</v>
      </c>
    </row>
    <row r="736">
      <c r="A736" s="46">
        <v>5.83451974E8</v>
      </c>
      <c r="B736" s="137" t="s">
        <v>227</v>
      </c>
      <c r="C736" s="137">
        <v>2016.0</v>
      </c>
      <c r="D736" s="138">
        <v>42380.0</v>
      </c>
      <c r="E736" s="139">
        <v>42405.0</v>
      </c>
      <c r="F736" s="142" t="s">
        <v>228</v>
      </c>
      <c r="G736" s="142">
        <v>2016.0</v>
      </c>
      <c r="H736" s="46">
        <v>8969.0</v>
      </c>
      <c r="I736" s="46">
        <v>5260.0</v>
      </c>
      <c r="J736" s="84">
        <v>802570.8</v>
      </c>
      <c r="K736" s="84">
        <v>512534.39999999997</v>
      </c>
      <c r="L736" s="84">
        <v>290036.4000000001</v>
      </c>
      <c r="M736" s="46" t="s">
        <v>182</v>
      </c>
      <c r="N736" s="46" t="s">
        <v>149</v>
      </c>
      <c r="O736" s="46" t="s">
        <v>149</v>
      </c>
      <c r="P736" s="46" t="s">
        <v>218</v>
      </c>
      <c r="Q736" s="46" t="str">
        <f t="shared" si="1"/>
        <v>January, 2016</v>
      </c>
      <c r="R736" s="115">
        <f t="shared" si="2"/>
        <v>42370</v>
      </c>
      <c r="S736" s="49">
        <f t="array" ref="S736">WEEKDAY(D736,2)</f>
        <v>1</v>
      </c>
      <c r="T736" s="46" t="s">
        <v>92</v>
      </c>
      <c r="U736" s="46" t="str">
        <f t="array" ref="U736">TEXT(D736,"dddd")</f>
        <v>Monday</v>
      </c>
    </row>
    <row r="737" hidden="1">
      <c r="A737" s="46">
        <v>5.83654105E8</v>
      </c>
      <c r="B737" s="137" t="s">
        <v>226</v>
      </c>
      <c r="C737" s="137">
        <v>2010.0</v>
      </c>
      <c r="D737" s="138">
        <v>40458.0</v>
      </c>
      <c r="E737" s="139">
        <v>40470.0</v>
      </c>
      <c r="F737" s="142" t="s">
        <v>226</v>
      </c>
      <c r="G737" s="142">
        <v>2010.0</v>
      </c>
      <c r="H737" s="46">
        <v>8969.0</v>
      </c>
      <c r="I737" s="46">
        <v>5075.0</v>
      </c>
      <c r="J737" s="84">
        <v>774343.5000000001</v>
      </c>
      <c r="K737" s="84">
        <v>494508.0</v>
      </c>
      <c r="L737" s="84">
        <v>279835.5000000001</v>
      </c>
      <c r="M737" s="46" t="s">
        <v>182</v>
      </c>
      <c r="N737" s="46" t="s">
        <v>186</v>
      </c>
      <c r="O737" s="46" t="s">
        <v>146</v>
      </c>
      <c r="P737" s="46" t="s">
        <v>147</v>
      </c>
      <c r="Q737" s="46" t="str">
        <f t="shared" si="1"/>
        <v>October, 2010</v>
      </c>
      <c r="R737" s="115">
        <f t="shared" si="2"/>
        <v>40452</v>
      </c>
      <c r="S737" s="49">
        <f t="array" ref="S737">WEEKDAY(D737,2)</f>
        <v>4</v>
      </c>
      <c r="T737" s="46" t="s">
        <v>115</v>
      </c>
      <c r="U737" s="46" t="str">
        <f t="array" ref="U737">TEXT(D737,"dddd")</f>
        <v>Thursday</v>
      </c>
    </row>
    <row r="738" hidden="1">
      <c r="A738" s="46">
        <v>5.85362994E8</v>
      </c>
      <c r="B738" s="137" t="s">
        <v>228</v>
      </c>
      <c r="C738" s="137">
        <v>2010.0</v>
      </c>
      <c r="D738" s="138">
        <v>40229.0</v>
      </c>
      <c r="E738" s="139">
        <v>40279.0</v>
      </c>
      <c r="F738" s="142" t="s">
        <v>223</v>
      </c>
      <c r="G738" s="142">
        <v>2010.0</v>
      </c>
      <c r="H738" s="46">
        <v>7940.0</v>
      </c>
      <c r="I738" s="46">
        <v>773.0</v>
      </c>
      <c r="J738" s="84">
        <v>516572.70999999996</v>
      </c>
      <c r="K738" s="84">
        <v>388463.42000000004</v>
      </c>
      <c r="L738" s="84">
        <v>128109.28999999992</v>
      </c>
      <c r="M738" s="46" t="s">
        <v>148</v>
      </c>
      <c r="N738" s="46" t="s">
        <v>154</v>
      </c>
      <c r="O738" s="46" t="s">
        <v>146</v>
      </c>
      <c r="P738" s="46" t="s">
        <v>155</v>
      </c>
      <c r="Q738" s="46" t="str">
        <f t="shared" si="1"/>
        <v>February, 2010</v>
      </c>
      <c r="R738" s="115">
        <f t="shared" si="2"/>
        <v>40210</v>
      </c>
      <c r="S738" s="49">
        <f t="array" ref="S738">WEEKDAY(D738,2)</f>
        <v>6</v>
      </c>
      <c r="T738" s="46" t="s">
        <v>96</v>
      </c>
      <c r="U738" s="46" t="str">
        <f t="array" ref="U738">TEXT(D738,"dddd")</f>
        <v>Saturday</v>
      </c>
    </row>
    <row r="739" hidden="1">
      <c r="A739" s="46">
        <v>5.85677134E8</v>
      </c>
      <c r="B739" s="137" t="s">
        <v>223</v>
      </c>
      <c r="C739" s="137">
        <v>2012.0</v>
      </c>
      <c r="D739" s="138">
        <v>41012.0</v>
      </c>
      <c r="E739" s="139">
        <v>41033.0</v>
      </c>
      <c r="F739" s="142" t="s">
        <v>219</v>
      </c>
      <c r="G739" s="142">
        <v>2012.0</v>
      </c>
      <c r="H739" s="46">
        <v>8969.0</v>
      </c>
      <c r="I739" s="46">
        <v>3734.0</v>
      </c>
      <c r="J739" s="84">
        <v>569733.7200000001</v>
      </c>
      <c r="K739" s="84">
        <v>363840.95999999996</v>
      </c>
      <c r="L739" s="84">
        <v>205892.76000000013</v>
      </c>
      <c r="M739" s="46" t="s">
        <v>182</v>
      </c>
      <c r="N739" s="46" t="s">
        <v>205</v>
      </c>
      <c r="O739" s="46" t="s">
        <v>146</v>
      </c>
      <c r="P739" s="46" t="s">
        <v>170</v>
      </c>
      <c r="Q739" s="46" t="str">
        <f t="shared" si="1"/>
        <v>April, 2012</v>
      </c>
      <c r="R739" s="115">
        <f t="shared" si="2"/>
        <v>41000</v>
      </c>
      <c r="S739" s="49">
        <f t="array" ref="S739">WEEKDAY(D739,2)</f>
        <v>5</v>
      </c>
      <c r="T739" s="46" t="s">
        <v>135</v>
      </c>
      <c r="U739" s="46" t="str">
        <f t="array" ref="U739">TEXT(D739,"dddd")</f>
        <v>Friday</v>
      </c>
    </row>
    <row r="740" hidden="1">
      <c r="A740" s="46">
        <v>5.86812674E8</v>
      </c>
      <c r="B740" s="137" t="s">
        <v>222</v>
      </c>
      <c r="C740" s="137">
        <v>2013.0</v>
      </c>
      <c r="D740" s="138">
        <v>41348.0</v>
      </c>
      <c r="E740" s="139">
        <v>41364.0</v>
      </c>
      <c r="F740" s="142" t="s">
        <v>222</v>
      </c>
      <c r="G740" s="142">
        <v>2013.0</v>
      </c>
      <c r="H740" s="46">
        <v>8681.0</v>
      </c>
      <c r="I740" s="46">
        <v>9766.0</v>
      </c>
      <c r="J740" s="84">
        <v>6359716.86</v>
      </c>
      <c r="K740" s="84">
        <v>5126759.36</v>
      </c>
      <c r="L740" s="84">
        <v>1232957.5</v>
      </c>
      <c r="M740" s="46" t="s">
        <v>153</v>
      </c>
      <c r="N740" s="46" t="s">
        <v>179</v>
      </c>
      <c r="O740" s="46" t="s">
        <v>146</v>
      </c>
      <c r="P740" s="46" t="s">
        <v>155</v>
      </c>
      <c r="Q740" s="46" t="str">
        <f t="shared" si="1"/>
        <v>March, 2013</v>
      </c>
      <c r="R740" s="115">
        <f t="shared" si="2"/>
        <v>41334</v>
      </c>
      <c r="S740" s="49">
        <f t="array" ref="S740">WEEKDAY(D740,2)</f>
        <v>5</v>
      </c>
      <c r="T740" s="46" t="s">
        <v>111</v>
      </c>
      <c r="U740" s="46" t="str">
        <f t="array" ref="U740">TEXT(D740,"dddd")</f>
        <v>Friday</v>
      </c>
    </row>
    <row r="741" hidden="1">
      <c r="A741" s="46">
        <v>5.87598884E8</v>
      </c>
      <c r="B741" s="137" t="s">
        <v>219</v>
      </c>
      <c r="C741" s="137">
        <v>2015.0</v>
      </c>
      <c r="D741" s="138">
        <v>42129.0</v>
      </c>
      <c r="E741" s="139">
        <v>42168.0</v>
      </c>
      <c r="F741" s="142" t="s">
        <v>220</v>
      </c>
      <c r="G741" s="142">
        <v>2015.0</v>
      </c>
      <c r="H741" s="46">
        <v>2103.0</v>
      </c>
      <c r="I741" s="46">
        <v>2422.0</v>
      </c>
      <c r="J741" s="84">
        <v>498205.39999999997</v>
      </c>
      <c r="K741" s="84">
        <v>283640.42</v>
      </c>
      <c r="L741" s="84">
        <v>214564.97999999998</v>
      </c>
      <c r="M741" s="46" t="s">
        <v>144</v>
      </c>
      <c r="N741" s="46" t="s">
        <v>208</v>
      </c>
      <c r="O741" s="46" t="s">
        <v>146</v>
      </c>
      <c r="P741" s="46" t="s">
        <v>147</v>
      </c>
      <c r="Q741" s="46" t="str">
        <f t="shared" si="1"/>
        <v>May, 2015</v>
      </c>
      <c r="R741" s="115">
        <f t="shared" si="2"/>
        <v>42125</v>
      </c>
      <c r="S741" s="49">
        <f t="array" ref="S741">WEEKDAY(D741,2)</f>
        <v>2</v>
      </c>
      <c r="T741" s="46" t="s">
        <v>138</v>
      </c>
      <c r="U741" s="46" t="str">
        <f t="array" ref="U741">TEXT(D741,"dddd")</f>
        <v>Tuesday</v>
      </c>
    </row>
    <row r="742" hidden="1">
      <c r="A742" s="46">
        <v>5.87799727E8</v>
      </c>
      <c r="B742" s="137" t="s">
        <v>228</v>
      </c>
      <c r="C742" s="137">
        <v>2011.0</v>
      </c>
      <c r="D742" s="138">
        <v>40589.0</v>
      </c>
      <c r="E742" s="139">
        <v>40629.0</v>
      </c>
      <c r="F742" s="142" t="s">
        <v>222</v>
      </c>
      <c r="G742" s="142">
        <v>2011.0</v>
      </c>
      <c r="H742" s="46">
        <v>7331.0</v>
      </c>
      <c r="I742" s="46">
        <v>1856.0</v>
      </c>
      <c r="J742" s="84">
        <v>473799.68</v>
      </c>
      <c r="K742" s="84">
        <v>295883.51999999996</v>
      </c>
      <c r="L742" s="84">
        <v>177916.16000000003</v>
      </c>
      <c r="M742" s="46" t="s">
        <v>161</v>
      </c>
      <c r="N742" s="46" t="s">
        <v>191</v>
      </c>
      <c r="O742" s="46" t="s">
        <v>146</v>
      </c>
      <c r="P742" s="46" t="s">
        <v>147</v>
      </c>
      <c r="Q742" s="46" t="str">
        <f t="shared" si="1"/>
        <v>February, 2011</v>
      </c>
      <c r="R742" s="115">
        <f t="shared" si="2"/>
        <v>40575</v>
      </c>
      <c r="S742" s="49">
        <f t="array" ref="S742">WEEKDAY(D742,2)</f>
        <v>2</v>
      </c>
      <c r="T742" s="46" t="s">
        <v>120</v>
      </c>
      <c r="U742" s="46" t="str">
        <f t="array" ref="U742">TEXT(D742,"dddd")</f>
        <v>Tuesday</v>
      </c>
    </row>
    <row r="743" hidden="1">
      <c r="A743" s="46">
        <v>5.87846076E8</v>
      </c>
      <c r="B743" s="137" t="s">
        <v>223</v>
      </c>
      <c r="C743" s="137">
        <v>2011.0</v>
      </c>
      <c r="D743" s="138">
        <v>40659.0</v>
      </c>
      <c r="E743" s="139">
        <v>40687.0</v>
      </c>
      <c r="F743" s="142" t="s">
        <v>219</v>
      </c>
      <c r="G743" s="142">
        <v>2011.0</v>
      </c>
      <c r="H743" s="46">
        <v>3127.0</v>
      </c>
      <c r="I743" s="46">
        <v>5572.0</v>
      </c>
      <c r="J743" s="84">
        <v>455399.56</v>
      </c>
      <c r="K743" s="84">
        <v>315765.24</v>
      </c>
      <c r="L743" s="84">
        <v>139634.32</v>
      </c>
      <c r="M743" s="46" t="s">
        <v>185</v>
      </c>
      <c r="N743" s="46" t="s">
        <v>203</v>
      </c>
      <c r="O743" s="46" t="s">
        <v>146</v>
      </c>
      <c r="P743" s="46" t="s">
        <v>170</v>
      </c>
      <c r="Q743" s="46" t="str">
        <f t="shared" si="1"/>
        <v>April, 2011</v>
      </c>
      <c r="R743" s="115">
        <f t="shared" si="2"/>
        <v>40634</v>
      </c>
      <c r="S743" s="49">
        <f t="array" ref="S743">WEEKDAY(D743,2)</f>
        <v>2</v>
      </c>
      <c r="T743" s="46" t="s">
        <v>132</v>
      </c>
      <c r="U743" s="46" t="str">
        <f t="array" ref="U743">TEXT(D743,"dddd")</f>
        <v>Tuesday</v>
      </c>
    </row>
    <row r="744" hidden="1">
      <c r="A744" s="46">
        <v>5.88528859E8</v>
      </c>
      <c r="B744" s="137" t="s">
        <v>221</v>
      </c>
      <c r="C744" s="137">
        <v>2011.0</v>
      </c>
      <c r="D744" s="138">
        <v>40797.0</v>
      </c>
      <c r="E744" s="139">
        <v>40828.0</v>
      </c>
      <c r="F744" s="142" t="s">
        <v>226</v>
      </c>
      <c r="G744" s="142">
        <v>2011.0</v>
      </c>
      <c r="H744" s="46">
        <v>3127.0</v>
      </c>
      <c r="I744" s="46">
        <v>7623.0</v>
      </c>
      <c r="J744" s="84">
        <v>623027.79</v>
      </c>
      <c r="K744" s="84">
        <v>431995.41000000003</v>
      </c>
      <c r="L744" s="84">
        <v>191032.38</v>
      </c>
      <c r="M744" s="46" t="s">
        <v>185</v>
      </c>
      <c r="N744" s="46" t="s">
        <v>208</v>
      </c>
      <c r="O744" s="46" t="s">
        <v>146</v>
      </c>
      <c r="P744" s="46" t="s">
        <v>147</v>
      </c>
      <c r="Q744" s="46" t="str">
        <f t="shared" si="1"/>
        <v>September, 2011</v>
      </c>
      <c r="R744" s="115">
        <f t="shared" si="2"/>
        <v>40787</v>
      </c>
      <c r="S744" s="49">
        <f t="array" ref="S744">WEEKDAY(D744,2)</f>
        <v>7</v>
      </c>
      <c r="T744" s="46" t="s">
        <v>138</v>
      </c>
      <c r="U744" s="46" t="str">
        <f t="array" ref="U744">TEXT(D744,"dddd")</f>
        <v>Sunday</v>
      </c>
    </row>
    <row r="745" hidden="1">
      <c r="A745" s="46">
        <v>5.89842927E8</v>
      </c>
      <c r="B745" s="137" t="s">
        <v>220</v>
      </c>
      <c r="C745" s="137">
        <v>2016.0</v>
      </c>
      <c r="D745" s="138">
        <v>42530.0</v>
      </c>
      <c r="E745" s="139">
        <v>42579.0</v>
      </c>
      <c r="F745" s="142" t="s">
        <v>217</v>
      </c>
      <c r="G745" s="142">
        <v>2016.0</v>
      </c>
      <c r="H745" s="46">
        <v>3127.0</v>
      </c>
      <c r="I745" s="46">
        <v>6485.0</v>
      </c>
      <c r="J745" s="84">
        <v>530019.05</v>
      </c>
      <c r="K745" s="84">
        <v>367504.95</v>
      </c>
      <c r="L745" s="84">
        <v>162514.10000000003</v>
      </c>
      <c r="M745" s="46" t="s">
        <v>185</v>
      </c>
      <c r="N745" s="46" t="s">
        <v>197</v>
      </c>
      <c r="O745" s="46" t="s">
        <v>146</v>
      </c>
      <c r="P745" s="46" t="s">
        <v>147</v>
      </c>
      <c r="Q745" s="46" t="str">
        <f t="shared" si="1"/>
        <v>June, 2016</v>
      </c>
      <c r="R745" s="115">
        <f t="shared" si="2"/>
        <v>42522</v>
      </c>
      <c r="S745" s="49">
        <f t="array" ref="S745">WEEKDAY(D745,2)</f>
        <v>4</v>
      </c>
      <c r="T745" s="46" t="s">
        <v>126</v>
      </c>
      <c r="U745" s="46" t="str">
        <f t="array" ref="U745">TEXT(D745,"dddd")</f>
        <v>Thursday</v>
      </c>
    </row>
    <row r="746" hidden="1">
      <c r="A746" s="46">
        <v>5.91287887E8</v>
      </c>
      <c r="B746" s="137" t="s">
        <v>221</v>
      </c>
      <c r="C746" s="137">
        <v>2010.0</v>
      </c>
      <c r="D746" s="138">
        <v>40441.0</v>
      </c>
      <c r="E746" s="139">
        <v>40453.0</v>
      </c>
      <c r="F746" s="142" t="s">
        <v>226</v>
      </c>
      <c r="G746" s="142">
        <v>2010.0</v>
      </c>
      <c r="H746" s="46">
        <v>4594.0</v>
      </c>
      <c r="I746" s="46">
        <v>4080.0</v>
      </c>
      <c r="J746" s="84">
        <v>38066.4</v>
      </c>
      <c r="K746" s="84">
        <v>28233.6</v>
      </c>
      <c r="L746" s="84">
        <v>9832.800000000003</v>
      </c>
      <c r="M746" s="46" t="s">
        <v>156</v>
      </c>
      <c r="N746" s="46" t="s">
        <v>201</v>
      </c>
      <c r="O746" s="46" t="s">
        <v>146</v>
      </c>
      <c r="P746" s="46" t="s">
        <v>170</v>
      </c>
      <c r="Q746" s="46" t="str">
        <f t="shared" si="1"/>
        <v>September, 2010</v>
      </c>
      <c r="R746" s="115">
        <f t="shared" si="2"/>
        <v>40422</v>
      </c>
      <c r="S746" s="49">
        <f t="array" ref="S746">WEEKDAY(D746,2)</f>
        <v>1</v>
      </c>
      <c r="T746" s="46" t="s">
        <v>130</v>
      </c>
      <c r="U746" s="46" t="str">
        <f t="array" ref="U746">TEXT(D746,"dddd")</f>
        <v>Monday</v>
      </c>
    </row>
    <row r="747" hidden="1">
      <c r="A747" s="46">
        <v>5.91774117E8</v>
      </c>
      <c r="B747" s="137" t="s">
        <v>219</v>
      </c>
      <c r="C747" s="137">
        <v>2014.0</v>
      </c>
      <c r="D747" s="138">
        <v>41767.0</v>
      </c>
      <c r="E747" s="139">
        <v>41789.0</v>
      </c>
      <c r="F747" s="142" t="s">
        <v>219</v>
      </c>
      <c r="G747" s="142">
        <v>2014.0</v>
      </c>
      <c r="H747" s="46">
        <v>2103.0</v>
      </c>
      <c r="I747" s="46">
        <v>7967.0</v>
      </c>
      <c r="J747" s="84">
        <v>1638811.9</v>
      </c>
      <c r="K747" s="84">
        <v>933015.37</v>
      </c>
      <c r="L747" s="84">
        <v>705796.5299999999</v>
      </c>
      <c r="M747" s="46" t="s">
        <v>144</v>
      </c>
      <c r="N747" s="46" t="s">
        <v>191</v>
      </c>
      <c r="O747" s="46" t="s">
        <v>146</v>
      </c>
      <c r="P747" s="46" t="s">
        <v>147</v>
      </c>
      <c r="Q747" s="46" t="str">
        <f t="shared" si="1"/>
        <v>May, 2014</v>
      </c>
      <c r="R747" s="115">
        <f t="shared" si="2"/>
        <v>41760</v>
      </c>
      <c r="S747" s="49">
        <f t="array" ref="S747">WEEKDAY(D747,2)</f>
        <v>4</v>
      </c>
      <c r="T747" s="46" t="s">
        <v>120</v>
      </c>
      <c r="U747" s="46" t="str">
        <f t="array" ref="U747">TEXT(D747,"dddd")</f>
        <v>Thursday</v>
      </c>
    </row>
    <row r="748" hidden="1">
      <c r="A748" s="46">
        <v>5.93018233E8</v>
      </c>
      <c r="B748" s="137" t="s">
        <v>224</v>
      </c>
      <c r="C748" s="137">
        <v>2012.0</v>
      </c>
      <c r="D748" s="138">
        <v>41218.0</v>
      </c>
      <c r="E748" s="139">
        <v>41254.0</v>
      </c>
      <c r="F748" s="142" t="s">
        <v>225</v>
      </c>
      <c r="G748" s="142">
        <v>2012.0</v>
      </c>
      <c r="H748" s="46">
        <v>8969.0</v>
      </c>
      <c r="I748" s="46">
        <v>6128.0</v>
      </c>
      <c r="J748" s="84">
        <v>935010.2400000001</v>
      </c>
      <c r="K748" s="84">
        <v>597112.32</v>
      </c>
      <c r="L748" s="84">
        <v>337897.92000000016</v>
      </c>
      <c r="M748" s="46" t="s">
        <v>182</v>
      </c>
      <c r="N748" s="46" t="s">
        <v>175</v>
      </c>
      <c r="O748" s="46" t="s">
        <v>165</v>
      </c>
      <c r="P748" s="46" t="s">
        <v>166</v>
      </c>
      <c r="Q748" s="46" t="str">
        <f t="shared" si="1"/>
        <v>November, 2012</v>
      </c>
      <c r="R748" s="115">
        <f t="shared" si="2"/>
        <v>41214</v>
      </c>
      <c r="S748" s="49">
        <f t="array" ref="S748">WEEKDAY(D748,2)</f>
        <v>1</v>
      </c>
      <c r="T748" s="46" t="s">
        <v>108</v>
      </c>
      <c r="U748" s="46" t="str">
        <f t="array" ref="U748">TEXT(D748,"dddd")</f>
        <v>Monday</v>
      </c>
    </row>
    <row r="749" hidden="1">
      <c r="A749" s="46">
        <v>5.93158566E8</v>
      </c>
      <c r="B749" s="137" t="s">
        <v>219</v>
      </c>
      <c r="C749" s="137">
        <v>2012.0</v>
      </c>
      <c r="D749" s="138">
        <v>41046.0</v>
      </c>
      <c r="E749" s="139">
        <v>41085.0</v>
      </c>
      <c r="F749" s="142" t="s">
        <v>220</v>
      </c>
      <c r="G749" s="142">
        <v>2012.0</v>
      </c>
      <c r="H749" s="46">
        <v>2455.0</v>
      </c>
      <c r="I749" s="46">
        <v>7656.0</v>
      </c>
      <c r="J749" s="84">
        <v>836647.68</v>
      </c>
      <c r="K749" s="84">
        <v>274391.04000000004</v>
      </c>
      <c r="L749" s="84">
        <v>562256.64</v>
      </c>
      <c r="M749" s="46" t="s">
        <v>150</v>
      </c>
      <c r="N749" s="46" t="s">
        <v>175</v>
      </c>
      <c r="O749" s="46" t="s">
        <v>165</v>
      </c>
      <c r="P749" s="46" t="s">
        <v>166</v>
      </c>
      <c r="Q749" s="46" t="str">
        <f t="shared" si="1"/>
        <v>May, 2012</v>
      </c>
      <c r="R749" s="115">
        <f t="shared" si="2"/>
        <v>41030</v>
      </c>
      <c r="S749" s="49">
        <f t="array" ref="S749">WEEKDAY(D749,2)</f>
        <v>4</v>
      </c>
      <c r="T749" s="46" t="s">
        <v>108</v>
      </c>
      <c r="U749" s="46" t="str">
        <f t="array" ref="U749">TEXT(D749,"dddd")</f>
        <v>Thursday</v>
      </c>
    </row>
    <row r="750" hidden="1">
      <c r="A750" s="46">
        <v>5.94699656E8</v>
      </c>
      <c r="B750" s="137" t="s">
        <v>224</v>
      </c>
      <c r="C750" s="137">
        <v>2016.0</v>
      </c>
      <c r="D750" s="138">
        <v>42688.0</v>
      </c>
      <c r="E750" s="139">
        <v>42734.0</v>
      </c>
      <c r="F750" s="142" t="s">
        <v>225</v>
      </c>
      <c r="G750" s="142">
        <v>2016.0</v>
      </c>
      <c r="H750" s="46">
        <v>3127.0</v>
      </c>
      <c r="I750" s="46">
        <v>3699.0</v>
      </c>
      <c r="J750" s="84">
        <v>302319.27</v>
      </c>
      <c r="K750" s="84">
        <v>209622.33000000002</v>
      </c>
      <c r="L750" s="84">
        <v>92696.94</v>
      </c>
      <c r="M750" s="46" t="s">
        <v>185</v>
      </c>
      <c r="N750" s="46" t="s">
        <v>151</v>
      </c>
      <c r="O750" s="46" t="s">
        <v>146</v>
      </c>
      <c r="P750" s="46" t="s">
        <v>147</v>
      </c>
      <c r="Q750" s="46" t="str">
        <f t="shared" si="1"/>
        <v>November, 2016</v>
      </c>
      <c r="R750" s="115">
        <f t="shared" si="2"/>
        <v>42675</v>
      </c>
      <c r="S750" s="49">
        <f t="array" ref="S750">WEEKDAY(D750,2)</f>
        <v>1</v>
      </c>
      <c r="T750" s="46" t="s">
        <v>94</v>
      </c>
      <c r="U750" s="46" t="str">
        <f t="array" ref="U750">TEXT(D750,"dddd")</f>
        <v>Monday</v>
      </c>
    </row>
    <row r="751" hidden="1">
      <c r="A751" s="46">
        <v>5.94813811E8</v>
      </c>
      <c r="B751" s="137" t="s">
        <v>220</v>
      </c>
      <c r="C751" s="137">
        <v>2012.0</v>
      </c>
      <c r="D751" s="138">
        <v>41068.0</v>
      </c>
      <c r="E751" s="139">
        <v>41077.0</v>
      </c>
      <c r="F751" s="142" t="s">
        <v>220</v>
      </c>
      <c r="G751" s="142">
        <v>2012.0</v>
      </c>
      <c r="H751" s="46">
        <v>3127.0</v>
      </c>
      <c r="I751" s="46">
        <v>7480.0</v>
      </c>
      <c r="J751" s="84">
        <v>611340.4</v>
      </c>
      <c r="K751" s="84">
        <v>423891.60000000003</v>
      </c>
      <c r="L751" s="84">
        <v>187448.8</v>
      </c>
      <c r="M751" s="46" t="s">
        <v>185</v>
      </c>
      <c r="N751" s="46" t="s">
        <v>183</v>
      </c>
      <c r="O751" s="46" t="s">
        <v>146</v>
      </c>
      <c r="P751" s="46" t="s">
        <v>170</v>
      </c>
      <c r="Q751" s="46" t="str">
        <f t="shared" si="1"/>
        <v>June, 2012</v>
      </c>
      <c r="R751" s="115">
        <f t="shared" si="2"/>
        <v>41061</v>
      </c>
      <c r="S751" s="49">
        <f t="array" ref="S751">WEEKDAY(D751,2)</f>
        <v>5</v>
      </c>
      <c r="T751" s="46" t="s">
        <v>90</v>
      </c>
      <c r="U751" s="46" t="str">
        <f t="array" ref="U751">TEXT(D751,"dddd")</f>
        <v>Friday</v>
      </c>
    </row>
    <row r="752" hidden="1">
      <c r="A752" s="46">
        <v>5.94991052E8</v>
      </c>
      <c r="B752" s="137" t="s">
        <v>223</v>
      </c>
      <c r="C752" s="137">
        <v>2017.0</v>
      </c>
      <c r="D752" s="138">
        <v>42847.0</v>
      </c>
      <c r="E752" s="139">
        <v>42892.0</v>
      </c>
      <c r="F752" s="142" t="s">
        <v>220</v>
      </c>
      <c r="G752" s="142">
        <v>2017.0</v>
      </c>
      <c r="H752" s="46">
        <v>8969.0</v>
      </c>
      <c r="I752" s="46">
        <v>9929.0</v>
      </c>
      <c r="J752" s="84">
        <v>1514966.82</v>
      </c>
      <c r="K752" s="84">
        <v>967481.76</v>
      </c>
      <c r="L752" s="84">
        <v>547485.06</v>
      </c>
      <c r="M752" s="46" t="s">
        <v>182</v>
      </c>
      <c r="N752" s="46" t="s">
        <v>174</v>
      </c>
      <c r="O752" s="46" t="s">
        <v>146</v>
      </c>
      <c r="P752" s="46" t="s">
        <v>158</v>
      </c>
      <c r="Q752" s="46" t="str">
        <f t="shared" si="1"/>
        <v>April, 2017</v>
      </c>
      <c r="R752" s="115">
        <f t="shared" si="2"/>
        <v>42826</v>
      </c>
      <c r="S752" s="49">
        <f t="array" ref="S752">WEEKDAY(D752,2)</f>
        <v>6</v>
      </c>
      <c r="T752" s="46" t="s">
        <v>107</v>
      </c>
      <c r="U752" s="46" t="str">
        <f t="array" ref="U752">TEXT(D752,"dddd")</f>
        <v>Saturday</v>
      </c>
    </row>
    <row r="753" hidden="1">
      <c r="A753" s="46">
        <v>5.95385873E8</v>
      </c>
      <c r="B753" s="137" t="s">
        <v>225</v>
      </c>
      <c r="C753" s="137">
        <v>2011.0</v>
      </c>
      <c r="D753" s="138">
        <v>40884.0</v>
      </c>
      <c r="E753" s="139">
        <v>40898.0</v>
      </c>
      <c r="F753" s="142" t="s">
        <v>225</v>
      </c>
      <c r="G753" s="142">
        <v>2011.0</v>
      </c>
      <c r="H753" s="46">
        <v>3127.0</v>
      </c>
      <c r="I753" s="46">
        <v>6765.0</v>
      </c>
      <c r="J753" s="84">
        <v>552903.4500000001</v>
      </c>
      <c r="K753" s="84">
        <v>383372.55</v>
      </c>
      <c r="L753" s="84">
        <v>169530.90000000008</v>
      </c>
      <c r="M753" s="46" t="s">
        <v>185</v>
      </c>
      <c r="N753" s="46" t="s">
        <v>174</v>
      </c>
      <c r="O753" s="46" t="s">
        <v>146</v>
      </c>
      <c r="P753" s="46" t="s">
        <v>158</v>
      </c>
      <c r="Q753" s="46" t="str">
        <f t="shared" si="1"/>
        <v>December, 2011</v>
      </c>
      <c r="R753" s="115">
        <f t="shared" si="2"/>
        <v>40878</v>
      </c>
      <c r="S753" s="49">
        <f t="array" ref="S753">WEEKDAY(D753,2)</f>
        <v>3</v>
      </c>
      <c r="T753" s="46" t="s">
        <v>107</v>
      </c>
      <c r="U753" s="46" t="str">
        <f t="array" ref="U753">TEXT(D753,"dddd")</f>
        <v>Wednesday</v>
      </c>
    </row>
    <row r="754" hidden="1">
      <c r="A754" s="46">
        <v>5.95395314E8</v>
      </c>
      <c r="B754" s="137" t="s">
        <v>219</v>
      </c>
      <c r="C754" s="137">
        <v>2014.0</v>
      </c>
      <c r="D754" s="138">
        <v>41769.0</v>
      </c>
      <c r="E754" s="139">
        <v>41789.0</v>
      </c>
      <c r="F754" s="142" t="s">
        <v>219</v>
      </c>
      <c r="G754" s="142">
        <v>2014.0</v>
      </c>
      <c r="H754" s="46">
        <v>1270.0</v>
      </c>
      <c r="I754" s="46">
        <v>9559.0</v>
      </c>
      <c r="J754" s="84">
        <v>453574.55000000005</v>
      </c>
      <c r="K754" s="84">
        <v>303880.61</v>
      </c>
      <c r="L754" s="84">
        <v>149693.94000000006</v>
      </c>
      <c r="M754" s="46" t="s">
        <v>152</v>
      </c>
      <c r="N754" s="46" t="s">
        <v>191</v>
      </c>
      <c r="O754" s="46" t="s">
        <v>146</v>
      </c>
      <c r="P754" s="46" t="s">
        <v>147</v>
      </c>
      <c r="Q754" s="46" t="str">
        <f t="shared" si="1"/>
        <v>May, 2014</v>
      </c>
      <c r="R754" s="115">
        <f t="shared" si="2"/>
        <v>41760</v>
      </c>
      <c r="S754" s="49">
        <f t="array" ref="S754">WEEKDAY(D754,2)</f>
        <v>6</v>
      </c>
      <c r="T754" s="46" t="s">
        <v>120</v>
      </c>
      <c r="U754" s="46" t="str">
        <f t="array" ref="U754">TEXT(D754,"dddd")</f>
        <v>Saturday</v>
      </c>
    </row>
    <row r="755" hidden="1">
      <c r="A755" s="46">
        <v>5.95496594E8</v>
      </c>
      <c r="B755" s="137" t="s">
        <v>226</v>
      </c>
      <c r="C755" s="137">
        <v>2012.0</v>
      </c>
      <c r="D755" s="138">
        <v>41206.0</v>
      </c>
      <c r="E755" s="139">
        <v>41217.0</v>
      </c>
      <c r="F755" s="142" t="s">
        <v>224</v>
      </c>
      <c r="G755" s="142">
        <v>2012.0</v>
      </c>
      <c r="H755" s="46">
        <v>3127.0</v>
      </c>
      <c r="I755" s="46">
        <v>9530.0</v>
      </c>
      <c r="J755" s="84">
        <v>778886.9</v>
      </c>
      <c r="K755" s="84">
        <v>540065.1</v>
      </c>
      <c r="L755" s="84">
        <v>238821.80000000005</v>
      </c>
      <c r="M755" s="46" t="s">
        <v>185</v>
      </c>
      <c r="N755" s="46" t="s">
        <v>196</v>
      </c>
      <c r="O755" s="46" t="s">
        <v>146</v>
      </c>
      <c r="P755" s="46" t="s">
        <v>155</v>
      </c>
      <c r="Q755" s="46" t="str">
        <f t="shared" si="1"/>
        <v>October, 2012</v>
      </c>
      <c r="R755" s="115">
        <f t="shared" si="2"/>
        <v>41183</v>
      </c>
      <c r="S755" s="49">
        <f t="array" ref="S755">WEEKDAY(D755,2)</f>
        <v>3</v>
      </c>
      <c r="T755" s="46" t="s">
        <v>125</v>
      </c>
      <c r="U755" s="46" t="str">
        <f t="array" ref="U755">TEXT(D755,"dddd")</f>
        <v>Wednesday</v>
      </c>
    </row>
    <row r="756" hidden="1">
      <c r="A756" s="46">
        <v>5.95922315E8</v>
      </c>
      <c r="B756" s="137" t="s">
        <v>216</v>
      </c>
      <c r="C756" s="137">
        <v>2012.0</v>
      </c>
      <c r="D756" s="138">
        <v>41133.0</v>
      </c>
      <c r="E756" s="139">
        <v>41156.0</v>
      </c>
      <c r="F756" s="142" t="s">
        <v>221</v>
      </c>
      <c r="G756" s="142">
        <v>2012.0</v>
      </c>
      <c r="H756" s="46">
        <v>8875.0</v>
      </c>
      <c r="I756" s="46">
        <v>5510.0</v>
      </c>
      <c r="J756" s="84">
        <v>2324613.9</v>
      </c>
      <c r="K756" s="84">
        <v>2009441.9</v>
      </c>
      <c r="L756" s="84">
        <v>315172.0</v>
      </c>
      <c r="M756" s="46" t="s">
        <v>167</v>
      </c>
      <c r="N756" s="46" t="s">
        <v>205</v>
      </c>
      <c r="O756" s="46" t="s">
        <v>146</v>
      </c>
      <c r="P756" s="46" t="s">
        <v>170</v>
      </c>
      <c r="Q756" s="46" t="str">
        <f t="shared" si="1"/>
        <v>August, 2012</v>
      </c>
      <c r="R756" s="115">
        <f t="shared" si="2"/>
        <v>41122</v>
      </c>
      <c r="S756" s="49">
        <f t="array" ref="S756">WEEKDAY(D756,2)</f>
        <v>7</v>
      </c>
      <c r="T756" s="46" t="s">
        <v>135</v>
      </c>
      <c r="U756" s="46" t="str">
        <f t="array" ref="U756">TEXT(D756,"dddd")</f>
        <v>Sunday</v>
      </c>
    </row>
    <row r="757" hidden="1">
      <c r="A757" s="46">
        <v>5.96166074E8</v>
      </c>
      <c r="B757" s="137" t="s">
        <v>224</v>
      </c>
      <c r="C757" s="137">
        <v>2013.0</v>
      </c>
      <c r="D757" s="138">
        <v>41605.0</v>
      </c>
      <c r="E757" s="139">
        <v>41652.0</v>
      </c>
      <c r="F757" s="142" t="s">
        <v>227</v>
      </c>
      <c r="G757" s="142">
        <v>2014.0</v>
      </c>
      <c r="H757" s="46">
        <v>7331.0</v>
      </c>
      <c r="I757" s="46">
        <v>7644.0</v>
      </c>
      <c r="J757" s="84">
        <v>1951360.32</v>
      </c>
      <c r="K757" s="84">
        <v>1218606.48</v>
      </c>
      <c r="L757" s="84">
        <v>732753.8400000001</v>
      </c>
      <c r="M757" s="46" t="s">
        <v>161</v>
      </c>
      <c r="N757" s="46" t="s">
        <v>163</v>
      </c>
      <c r="O757" s="46" t="s">
        <v>146</v>
      </c>
      <c r="P757" s="46" t="s">
        <v>158</v>
      </c>
      <c r="Q757" s="46" t="str">
        <f t="shared" si="1"/>
        <v>November, 2013</v>
      </c>
      <c r="R757" s="115">
        <f t="shared" si="2"/>
        <v>41579</v>
      </c>
      <c r="S757" s="49">
        <f t="array" ref="S757">WEEKDAY(D757,2)</f>
        <v>3</v>
      </c>
      <c r="T757" s="46" t="s">
        <v>100</v>
      </c>
      <c r="U757" s="46" t="str">
        <f t="array" ref="U757">TEXT(D757,"dddd")</f>
        <v>Wednesday</v>
      </c>
    </row>
    <row r="758" hidden="1">
      <c r="A758" s="46">
        <v>5.97105491E8</v>
      </c>
      <c r="B758" s="137" t="s">
        <v>221</v>
      </c>
      <c r="C758" s="137">
        <v>2012.0</v>
      </c>
      <c r="D758" s="138">
        <v>41158.0</v>
      </c>
      <c r="E758" s="139">
        <v>41202.0</v>
      </c>
      <c r="F758" s="142" t="s">
        <v>226</v>
      </c>
      <c r="G758" s="142">
        <v>2012.0</v>
      </c>
      <c r="H758" s="46">
        <v>8969.0</v>
      </c>
      <c r="I758" s="46">
        <v>5639.0</v>
      </c>
      <c r="J758" s="84">
        <v>860398.6200000001</v>
      </c>
      <c r="K758" s="84">
        <v>549464.16</v>
      </c>
      <c r="L758" s="84">
        <v>310934.4600000001</v>
      </c>
      <c r="M758" s="46" t="s">
        <v>182</v>
      </c>
      <c r="N758" s="46" t="s">
        <v>190</v>
      </c>
      <c r="O758" s="46" t="s">
        <v>146</v>
      </c>
      <c r="P758" s="46" t="s">
        <v>147</v>
      </c>
      <c r="Q758" s="46" t="str">
        <f t="shared" si="1"/>
        <v>September, 2012</v>
      </c>
      <c r="R758" s="115">
        <f t="shared" si="2"/>
        <v>41153</v>
      </c>
      <c r="S758" s="49">
        <f t="array" ref="S758">WEEKDAY(D758,2)</f>
        <v>4</v>
      </c>
      <c r="T758" s="46" t="s">
        <v>119</v>
      </c>
      <c r="U758" s="46" t="str">
        <f t="array" ref="U758">TEXT(D758,"dddd")</f>
        <v>Thursday</v>
      </c>
    </row>
    <row r="759" hidden="1">
      <c r="A759" s="46">
        <v>5.97839343E8</v>
      </c>
      <c r="B759" s="137" t="s">
        <v>220</v>
      </c>
      <c r="C759" s="137">
        <v>2014.0</v>
      </c>
      <c r="D759" s="138">
        <v>41808.0</v>
      </c>
      <c r="E759" s="139">
        <v>41846.0</v>
      </c>
      <c r="F759" s="142" t="s">
        <v>217</v>
      </c>
      <c r="G759" s="142">
        <v>2014.0</v>
      </c>
      <c r="H759" s="46">
        <v>3127.0</v>
      </c>
      <c r="I759" s="46">
        <v>2802.0</v>
      </c>
      <c r="J759" s="84">
        <v>229007.46000000002</v>
      </c>
      <c r="K759" s="84">
        <v>158789.34</v>
      </c>
      <c r="L759" s="84">
        <v>70218.12000000002</v>
      </c>
      <c r="M759" s="46" t="s">
        <v>185</v>
      </c>
      <c r="N759" s="46" t="s">
        <v>205</v>
      </c>
      <c r="O759" s="46" t="s">
        <v>146</v>
      </c>
      <c r="P759" s="46" t="s">
        <v>170</v>
      </c>
      <c r="Q759" s="46" t="str">
        <f t="shared" si="1"/>
        <v>June, 2014</v>
      </c>
      <c r="R759" s="115">
        <f t="shared" si="2"/>
        <v>41791</v>
      </c>
      <c r="S759" s="49">
        <f t="array" ref="S759">WEEKDAY(D759,2)</f>
        <v>3</v>
      </c>
      <c r="T759" s="46" t="s">
        <v>135</v>
      </c>
      <c r="U759" s="46" t="str">
        <f t="array" ref="U759">TEXT(D759,"dddd")</f>
        <v>Wednesday</v>
      </c>
    </row>
    <row r="760">
      <c r="A760" s="46">
        <v>5.98404109E8</v>
      </c>
      <c r="B760" s="137" t="s">
        <v>224</v>
      </c>
      <c r="C760" s="137">
        <v>2014.0</v>
      </c>
      <c r="D760" s="138">
        <v>41946.0</v>
      </c>
      <c r="E760" s="139">
        <v>41961.0</v>
      </c>
      <c r="F760" s="142" t="s">
        <v>224</v>
      </c>
      <c r="G760" s="142">
        <v>2014.0</v>
      </c>
      <c r="H760" s="46">
        <v>4594.0</v>
      </c>
      <c r="I760" s="46">
        <v>9929.0</v>
      </c>
      <c r="J760" s="84">
        <v>92637.57</v>
      </c>
      <c r="K760" s="84">
        <v>68708.68</v>
      </c>
      <c r="L760" s="84">
        <v>23928.890000000014</v>
      </c>
      <c r="M760" s="46" t="s">
        <v>156</v>
      </c>
      <c r="N760" s="46" t="s">
        <v>149</v>
      </c>
      <c r="O760" s="46" t="s">
        <v>149</v>
      </c>
      <c r="P760" s="46" t="s">
        <v>218</v>
      </c>
      <c r="Q760" s="46" t="str">
        <f t="shared" si="1"/>
        <v>November, 2014</v>
      </c>
      <c r="R760" s="115">
        <f t="shared" si="2"/>
        <v>41944</v>
      </c>
      <c r="S760" s="49">
        <f t="array" ref="S760">WEEKDAY(D760,2)</f>
        <v>1</v>
      </c>
      <c r="T760" s="46" t="s">
        <v>92</v>
      </c>
      <c r="U760" s="46" t="str">
        <f t="array" ref="U760">TEXT(D760,"dddd")</f>
        <v>Monday</v>
      </c>
    </row>
    <row r="761" hidden="1">
      <c r="A761" s="46">
        <v>5.99624192E8</v>
      </c>
      <c r="B761" s="137" t="s">
        <v>221</v>
      </c>
      <c r="C761" s="137">
        <v>2012.0</v>
      </c>
      <c r="D761" s="138">
        <v>41155.0</v>
      </c>
      <c r="E761" s="139">
        <v>41173.0</v>
      </c>
      <c r="F761" s="142" t="s">
        <v>221</v>
      </c>
      <c r="G761" s="142">
        <v>2012.0</v>
      </c>
      <c r="H761" s="46">
        <v>1270.0</v>
      </c>
      <c r="I761" s="46">
        <v>978.0</v>
      </c>
      <c r="J761" s="84">
        <v>46406.100000000006</v>
      </c>
      <c r="K761" s="84">
        <v>31090.62</v>
      </c>
      <c r="L761" s="84">
        <v>15315.480000000007</v>
      </c>
      <c r="M761" s="46" t="s">
        <v>152</v>
      </c>
      <c r="N761" s="46" t="s">
        <v>145</v>
      </c>
      <c r="O761" s="46" t="s">
        <v>146</v>
      </c>
      <c r="P761" s="46" t="s">
        <v>147</v>
      </c>
      <c r="Q761" s="46" t="str">
        <f t="shared" si="1"/>
        <v>September, 2012</v>
      </c>
      <c r="R761" s="115">
        <f t="shared" si="2"/>
        <v>41153</v>
      </c>
      <c r="S761" s="49">
        <f t="array" ref="S761">WEEKDAY(D761,2)</f>
        <v>1</v>
      </c>
      <c r="T761" s="46" t="s">
        <v>91</v>
      </c>
      <c r="U761" s="46" t="str">
        <f t="array" ref="U761">TEXT(D761,"dddd")</f>
        <v>Monday</v>
      </c>
    </row>
    <row r="762">
      <c r="A762" s="46">
        <v>5.99997556E8</v>
      </c>
      <c r="B762" s="137" t="s">
        <v>228</v>
      </c>
      <c r="C762" s="137">
        <v>2012.0</v>
      </c>
      <c r="D762" s="138">
        <v>40952.0</v>
      </c>
      <c r="E762" s="139">
        <v>40953.0</v>
      </c>
      <c r="F762" s="142" t="s">
        <v>228</v>
      </c>
      <c r="G762" s="142">
        <v>2012.0</v>
      </c>
      <c r="H762" s="46">
        <v>1270.0</v>
      </c>
      <c r="I762" s="46">
        <v>1465.0</v>
      </c>
      <c r="J762" s="84">
        <v>69514.25</v>
      </c>
      <c r="K762" s="84">
        <v>46572.35</v>
      </c>
      <c r="L762" s="84">
        <v>22941.9</v>
      </c>
      <c r="M762" s="46" t="s">
        <v>152</v>
      </c>
      <c r="N762" s="46" t="s">
        <v>149</v>
      </c>
      <c r="O762" s="46" t="s">
        <v>149</v>
      </c>
      <c r="P762" s="46" t="s">
        <v>218</v>
      </c>
      <c r="Q762" s="46" t="str">
        <f t="shared" si="1"/>
        <v>February, 2012</v>
      </c>
      <c r="R762" s="115">
        <f t="shared" si="2"/>
        <v>40940</v>
      </c>
      <c r="S762" s="49">
        <f t="array" ref="S762">WEEKDAY(D762,2)</f>
        <v>1</v>
      </c>
      <c r="T762" s="46" t="s">
        <v>92</v>
      </c>
      <c r="U762" s="46" t="str">
        <f t="array" ref="U762">TEXT(D762,"dddd")</f>
        <v>Monday</v>
      </c>
    </row>
    <row r="763" hidden="1">
      <c r="A763" s="46">
        <v>6.00515115E8</v>
      </c>
      <c r="B763" s="137" t="s">
        <v>217</v>
      </c>
      <c r="C763" s="137">
        <v>2015.0</v>
      </c>
      <c r="D763" s="138">
        <v>42197.0</v>
      </c>
      <c r="E763" s="139">
        <v>42246.0</v>
      </c>
      <c r="F763" s="142" t="s">
        <v>216</v>
      </c>
      <c r="G763" s="142">
        <v>2015.0</v>
      </c>
      <c r="H763" s="46">
        <v>4594.0</v>
      </c>
      <c r="I763" s="46">
        <v>4622.0</v>
      </c>
      <c r="J763" s="84">
        <v>43123.26</v>
      </c>
      <c r="K763" s="84">
        <v>31984.239999999998</v>
      </c>
      <c r="L763" s="84">
        <v>11139.020000000004</v>
      </c>
      <c r="M763" s="46" t="s">
        <v>156</v>
      </c>
      <c r="N763" s="46" t="s">
        <v>175</v>
      </c>
      <c r="O763" s="46" t="s">
        <v>165</v>
      </c>
      <c r="P763" s="46" t="s">
        <v>166</v>
      </c>
      <c r="Q763" s="46" t="str">
        <f t="shared" si="1"/>
        <v>July, 2015</v>
      </c>
      <c r="R763" s="115">
        <f t="shared" si="2"/>
        <v>42186</v>
      </c>
      <c r="S763" s="49">
        <f t="array" ref="S763">WEEKDAY(D763,2)</f>
        <v>7</v>
      </c>
      <c r="T763" s="46" t="s">
        <v>108</v>
      </c>
      <c r="U763" s="46" t="str">
        <f t="array" ref="U763">TEXT(D763,"dddd")</f>
        <v>Sunday</v>
      </c>
    </row>
    <row r="764" hidden="1">
      <c r="A764" s="46">
        <v>6.01422345E8</v>
      </c>
      <c r="B764" s="137" t="s">
        <v>222</v>
      </c>
      <c r="C764" s="137">
        <v>2010.0</v>
      </c>
      <c r="D764" s="138">
        <v>40241.0</v>
      </c>
      <c r="E764" s="139">
        <v>40257.0</v>
      </c>
      <c r="F764" s="142" t="s">
        <v>222</v>
      </c>
      <c r="G764" s="142">
        <v>2010.0</v>
      </c>
      <c r="H764" s="46">
        <v>1270.0</v>
      </c>
      <c r="I764" s="46">
        <v>3092.0</v>
      </c>
      <c r="J764" s="84">
        <v>146715.40000000002</v>
      </c>
      <c r="K764" s="84">
        <v>98294.68</v>
      </c>
      <c r="L764" s="84">
        <v>48420.72000000003</v>
      </c>
      <c r="M764" s="46" t="s">
        <v>152</v>
      </c>
      <c r="N764" s="46" t="s">
        <v>192</v>
      </c>
      <c r="O764" s="46" t="s">
        <v>146</v>
      </c>
      <c r="P764" s="46" t="s">
        <v>158</v>
      </c>
      <c r="Q764" s="46" t="str">
        <f t="shared" si="1"/>
        <v>March, 2010</v>
      </c>
      <c r="R764" s="115">
        <f t="shared" si="2"/>
        <v>40238</v>
      </c>
      <c r="S764" s="49">
        <f t="array" ref="S764">WEEKDAY(D764,2)</f>
        <v>4</v>
      </c>
      <c r="T764" s="46" t="s">
        <v>121</v>
      </c>
      <c r="U764" s="46" t="str">
        <f t="array" ref="U764">TEXT(D764,"dddd")</f>
        <v>Thursday</v>
      </c>
    </row>
    <row r="765">
      <c r="A765" s="46">
        <v>6.01588857E8</v>
      </c>
      <c r="B765" s="137" t="s">
        <v>221</v>
      </c>
      <c r="C765" s="137">
        <v>2013.0</v>
      </c>
      <c r="D765" s="138">
        <v>41518.0</v>
      </c>
      <c r="E765" s="139">
        <v>41527.0</v>
      </c>
      <c r="F765" s="142" t="s">
        <v>221</v>
      </c>
      <c r="G765" s="142">
        <v>2013.0</v>
      </c>
      <c r="H765" s="46">
        <v>2455.0</v>
      </c>
      <c r="I765" s="46">
        <v>2366.0</v>
      </c>
      <c r="J765" s="84">
        <v>258556.48</v>
      </c>
      <c r="K765" s="84">
        <v>84797.44</v>
      </c>
      <c r="L765" s="84">
        <v>173759.04</v>
      </c>
      <c r="M765" s="46" t="s">
        <v>150</v>
      </c>
      <c r="N765" s="46" t="s">
        <v>149</v>
      </c>
      <c r="O765" s="46" t="s">
        <v>149</v>
      </c>
      <c r="P765" s="46" t="s">
        <v>218</v>
      </c>
      <c r="Q765" s="46" t="str">
        <f t="shared" si="1"/>
        <v>September, 2013</v>
      </c>
      <c r="R765" s="115">
        <f t="shared" si="2"/>
        <v>41518</v>
      </c>
      <c r="S765" s="49">
        <f t="array" ref="S765">WEEKDAY(D765,2)</f>
        <v>7</v>
      </c>
      <c r="T765" s="46" t="s">
        <v>92</v>
      </c>
      <c r="U765" s="46" t="str">
        <f t="array" ref="U765">TEXT(D765,"dddd")</f>
        <v>Sunday</v>
      </c>
    </row>
    <row r="766" hidden="1">
      <c r="A766" s="46">
        <v>6.0188626E8</v>
      </c>
      <c r="B766" s="137" t="s">
        <v>223</v>
      </c>
      <c r="C766" s="137">
        <v>2014.0</v>
      </c>
      <c r="D766" s="138">
        <v>41738.0</v>
      </c>
      <c r="E766" s="139">
        <v>41786.0</v>
      </c>
      <c r="F766" s="142" t="s">
        <v>219</v>
      </c>
      <c r="G766" s="142">
        <v>2014.0</v>
      </c>
      <c r="H766" s="46">
        <v>4594.0</v>
      </c>
      <c r="I766" s="46">
        <v>374.0</v>
      </c>
      <c r="J766" s="84">
        <v>3489.42</v>
      </c>
      <c r="K766" s="84">
        <v>2588.08</v>
      </c>
      <c r="L766" s="84">
        <v>901.3400000000001</v>
      </c>
      <c r="M766" s="46" t="s">
        <v>156</v>
      </c>
      <c r="N766" s="46" t="s">
        <v>157</v>
      </c>
      <c r="O766" s="46" t="s">
        <v>146</v>
      </c>
      <c r="P766" s="46" t="s">
        <v>158</v>
      </c>
      <c r="Q766" s="46" t="str">
        <f t="shared" si="1"/>
        <v>April, 2014</v>
      </c>
      <c r="R766" s="115">
        <f t="shared" si="2"/>
        <v>41730</v>
      </c>
      <c r="S766" s="49">
        <f t="array" ref="S766">WEEKDAY(D766,2)</f>
        <v>3</v>
      </c>
      <c r="T766" s="46" t="s">
        <v>97</v>
      </c>
      <c r="U766" s="46" t="str">
        <f t="array" ref="U766">TEXT(D766,"dddd")</f>
        <v>Wednesday</v>
      </c>
    </row>
    <row r="767" hidden="1">
      <c r="A767" s="46">
        <v>6.01894414E8</v>
      </c>
      <c r="B767" s="137" t="s">
        <v>222</v>
      </c>
      <c r="C767" s="137">
        <v>2010.0</v>
      </c>
      <c r="D767" s="138">
        <v>40239.0</v>
      </c>
      <c r="E767" s="139">
        <v>40256.0</v>
      </c>
      <c r="F767" s="142" t="s">
        <v>222</v>
      </c>
      <c r="G767" s="142">
        <v>2010.0</v>
      </c>
      <c r="H767" s="46">
        <v>8681.0</v>
      </c>
      <c r="I767" s="46">
        <v>2787.0</v>
      </c>
      <c r="J767" s="84">
        <v>1814922.27</v>
      </c>
      <c r="K767" s="84">
        <v>1463063.52</v>
      </c>
      <c r="L767" s="84">
        <v>351858.75</v>
      </c>
      <c r="M767" s="46" t="s">
        <v>153</v>
      </c>
      <c r="N767" s="46" t="s">
        <v>154</v>
      </c>
      <c r="O767" s="46" t="s">
        <v>146</v>
      </c>
      <c r="P767" s="46" t="s">
        <v>155</v>
      </c>
      <c r="Q767" s="46" t="str">
        <f t="shared" si="1"/>
        <v>March, 2010</v>
      </c>
      <c r="R767" s="115">
        <f t="shared" si="2"/>
        <v>40238</v>
      </c>
      <c r="S767" s="49">
        <f t="array" ref="S767">WEEKDAY(D767,2)</f>
        <v>2</v>
      </c>
      <c r="T767" s="46" t="s">
        <v>96</v>
      </c>
      <c r="U767" s="46" t="str">
        <f t="array" ref="U767">TEXT(D767,"dddd")</f>
        <v>Tuesday</v>
      </c>
    </row>
    <row r="768" hidden="1">
      <c r="A768" s="46">
        <v>6.02264344E8</v>
      </c>
      <c r="B768" s="137" t="s">
        <v>225</v>
      </c>
      <c r="C768" s="137">
        <v>2014.0</v>
      </c>
      <c r="D768" s="138">
        <v>41977.0</v>
      </c>
      <c r="E768" s="139">
        <v>42011.0</v>
      </c>
      <c r="F768" s="142" t="s">
        <v>227</v>
      </c>
      <c r="G768" s="142">
        <v>2015.0</v>
      </c>
      <c r="H768" s="46">
        <v>8681.0</v>
      </c>
      <c r="I768" s="46">
        <v>2258.0</v>
      </c>
      <c r="J768" s="84">
        <v>1470432.1800000002</v>
      </c>
      <c r="K768" s="84">
        <v>1185359.6800000002</v>
      </c>
      <c r="L768" s="84">
        <v>285072.5</v>
      </c>
      <c r="M768" s="46" t="s">
        <v>153</v>
      </c>
      <c r="N768" s="46" t="s">
        <v>180</v>
      </c>
      <c r="O768" s="46" t="s">
        <v>146</v>
      </c>
      <c r="P768" s="46" t="s">
        <v>147</v>
      </c>
      <c r="Q768" s="46" t="str">
        <f t="shared" si="1"/>
        <v>December, 2014</v>
      </c>
      <c r="R768" s="115">
        <f t="shared" si="2"/>
        <v>41974</v>
      </c>
      <c r="S768" s="49">
        <f t="array" ref="S768">WEEKDAY(D768,2)</f>
        <v>4</v>
      </c>
      <c r="T768" s="46" t="s">
        <v>112</v>
      </c>
      <c r="U768" s="46" t="str">
        <f t="array" ref="U768">TEXT(D768,"dddd")</f>
        <v>Thursday</v>
      </c>
    </row>
    <row r="769" hidden="1">
      <c r="A769" s="46">
        <v>6.02301251E8</v>
      </c>
      <c r="B769" s="137" t="s">
        <v>221</v>
      </c>
      <c r="C769" s="137">
        <v>2012.0</v>
      </c>
      <c r="D769" s="138">
        <v>41163.0</v>
      </c>
      <c r="E769" s="139">
        <v>41179.0</v>
      </c>
      <c r="F769" s="142" t="s">
        <v>221</v>
      </c>
      <c r="G769" s="142">
        <v>2012.0</v>
      </c>
      <c r="H769" s="46">
        <v>2455.0</v>
      </c>
      <c r="I769" s="46">
        <v>3180.0</v>
      </c>
      <c r="J769" s="84">
        <v>347510.4</v>
      </c>
      <c r="K769" s="84">
        <v>113971.20000000001</v>
      </c>
      <c r="L769" s="84">
        <v>233539.2</v>
      </c>
      <c r="M769" s="46" t="s">
        <v>150</v>
      </c>
      <c r="N769" s="46" t="s">
        <v>197</v>
      </c>
      <c r="O769" s="46" t="s">
        <v>146</v>
      </c>
      <c r="P769" s="46" t="s">
        <v>147</v>
      </c>
      <c r="Q769" s="46" t="str">
        <f t="shared" si="1"/>
        <v>September, 2012</v>
      </c>
      <c r="R769" s="115">
        <f t="shared" si="2"/>
        <v>41153</v>
      </c>
      <c r="S769" s="49">
        <f t="array" ref="S769">WEEKDAY(D769,2)</f>
        <v>2</v>
      </c>
      <c r="T769" s="46" t="s">
        <v>126</v>
      </c>
      <c r="U769" s="46" t="str">
        <f t="array" ref="U769">TEXT(D769,"dddd")</f>
        <v>Tuesday</v>
      </c>
    </row>
    <row r="770" hidden="1">
      <c r="A770" s="46">
        <v>6.02357041E8</v>
      </c>
      <c r="B770" s="137" t="s">
        <v>223</v>
      </c>
      <c r="C770" s="137">
        <v>2015.0</v>
      </c>
      <c r="D770" s="138">
        <v>42118.0</v>
      </c>
      <c r="E770" s="139">
        <v>42129.0</v>
      </c>
      <c r="F770" s="142" t="s">
        <v>219</v>
      </c>
      <c r="G770" s="142">
        <v>2015.0</v>
      </c>
      <c r="H770" s="46">
        <v>3127.0</v>
      </c>
      <c r="I770" s="46">
        <v>9689.0</v>
      </c>
      <c r="J770" s="84">
        <v>791881.9700000001</v>
      </c>
      <c r="K770" s="84">
        <v>549075.63</v>
      </c>
      <c r="L770" s="84">
        <v>242806.34000000008</v>
      </c>
      <c r="M770" s="46" t="s">
        <v>185</v>
      </c>
      <c r="N770" s="46" t="s">
        <v>179</v>
      </c>
      <c r="O770" s="46" t="s">
        <v>146</v>
      </c>
      <c r="P770" s="46" t="s">
        <v>155</v>
      </c>
      <c r="Q770" s="46" t="str">
        <f t="shared" si="1"/>
        <v>April, 2015</v>
      </c>
      <c r="R770" s="115">
        <f t="shared" si="2"/>
        <v>42095</v>
      </c>
      <c r="S770" s="49">
        <f t="array" ref="S770">WEEKDAY(D770,2)</f>
        <v>5</v>
      </c>
      <c r="T770" s="46" t="s">
        <v>111</v>
      </c>
      <c r="U770" s="46" t="str">
        <f t="array" ref="U770">TEXT(D770,"dddd")</f>
        <v>Friday</v>
      </c>
    </row>
    <row r="771" hidden="1">
      <c r="A771" s="46">
        <v>6.04124295E8</v>
      </c>
      <c r="B771" s="137" t="s">
        <v>222</v>
      </c>
      <c r="C771" s="137">
        <v>2015.0</v>
      </c>
      <c r="D771" s="138">
        <v>42079.0</v>
      </c>
      <c r="E771" s="139">
        <v>42096.0</v>
      </c>
      <c r="F771" s="142" t="s">
        <v>223</v>
      </c>
      <c r="G771" s="142">
        <v>2015.0</v>
      </c>
      <c r="H771" s="46">
        <v>8875.0</v>
      </c>
      <c r="I771" s="46">
        <v>2659.0</v>
      </c>
      <c r="J771" s="84">
        <v>1121805.51</v>
      </c>
      <c r="K771" s="84">
        <v>969710.71</v>
      </c>
      <c r="L771" s="84">
        <v>152094.80000000005</v>
      </c>
      <c r="M771" s="46" t="s">
        <v>167</v>
      </c>
      <c r="N771" s="46" t="s">
        <v>190</v>
      </c>
      <c r="O771" s="46" t="s">
        <v>146</v>
      </c>
      <c r="P771" s="46" t="s">
        <v>147</v>
      </c>
      <c r="Q771" s="46" t="str">
        <f t="shared" si="1"/>
        <v>March, 2015</v>
      </c>
      <c r="R771" s="115">
        <f t="shared" si="2"/>
        <v>42064</v>
      </c>
      <c r="S771" s="49">
        <f t="array" ref="S771">WEEKDAY(D771,2)</f>
        <v>1</v>
      </c>
      <c r="T771" s="46" t="s">
        <v>119</v>
      </c>
      <c r="U771" s="46" t="str">
        <f t="array" ref="U771">TEXT(D771,"dddd")</f>
        <v>Monday</v>
      </c>
    </row>
    <row r="772" hidden="1">
      <c r="A772" s="46">
        <v>6.04494225E8</v>
      </c>
      <c r="B772" s="137" t="s">
        <v>219</v>
      </c>
      <c r="C772" s="137">
        <v>2012.0</v>
      </c>
      <c r="D772" s="138">
        <v>41051.0</v>
      </c>
      <c r="E772" s="139">
        <v>41085.0</v>
      </c>
      <c r="F772" s="142" t="s">
        <v>220</v>
      </c>
      <c r="G772" s="142">
        <v>2012.0</v>
      </c>
      <c r="H772" s="46">
        <v>3127.0</v>
      </c>
      <c r="I772" s="46">
        <v>2129.0</v>
      </c>
      <c r="J772" s="84">
        <v>174003.17</v>
      </c>
      <c r="K772" s="84">
        <v>120650.43000000001</v>
      </c>
      <c r="L772" s="84">
        <v>53352.740000000005</v>
      </c>
      <c r="M772" s="46" t="s">
        <v>185</v>
      </c>
      <c r="N772" s="46" t="s">
        <v>168</v>
      </c>
      <c r="O772" s="46" t="s">
        <v>165</v>
      </c>
      <c r="P772" s="46" t="s">
        <v>166</v>
      </c>
      <c r="Q772" s="46" t="str">
        <f t="shared" si="1"/>
        <v>May, 2012</v>
      </c>
      <c r="R772" s="115">
        <f t="shared" si="2"/>
        <v>41030</v>
      </c>
      <c r="S772" s="49">
        <f t="array" ref="S772">WEEKDAY(D772,2)</f>
        <v>2</v>
      </c>
      <c r="T772" s="46" t="s">
        <v>102</v>
      </c>
      <c r="U772" s="46" t="str">
        <f t="array" ref="U772">TEXT(D772,"dddd")</f>
        <v>Tuesday</v>
      </c>
    </row>
    <row r="773" hidden="1">
      <c r="A773" s="46">
        <v>6.0502938E8</v>
      </c>
      <c r="B773" s="137" t="s">
        <v>228</v>
      </c>
      <c r="C773" s="137">
        <v>2014.0</v>
      </c>
      <c r="D773" s="138">
        <v>41682.0</v>
      </c>
      <c r="E773" s="139">
        <v>41688.0</v>
      </c>
      <c r="F773" s="142" t="s">
        <v>228</v>
      </c>
      <c r="G773" s="142">
        <v>2014.0</v>
      </c>
      <c r="H773" s="46">
        <v>4594.0</v>
      </c>
      <c r="I773" s="46">
        <v>493.0</v>
      </c>
      <c r="J773" s="84">
        <v>4599.69</v>
      </c>
      <c r="K773" s="84">
        <v>3411.56</v>
      </c>
      <c r="L773" s="84">
        <v>1188.1299999999997</v>
      </c>
      <c r="M773" s="46" t="s">
        <v>156</v>
      </c>
      <c r="N773" s="46" t="s">
        <v>157</v>
      </c>
      <c r="O773" s="46" t="s">
        <v>146</v>
      </c>
      <c r="P773" s="46" t="s">
        <v>158</v>
      </c>
      <c r="Q773" s="46" t="str">
        <f t="shared" si="1"/>
        <v>February, 2014</v>
      </c>
      <c r="R773" s="115">
        <f t="shared" si="2"/>
        <v>41671</v>
      </c>
      <c r="S773" s="49">
        <f t="array" ref="S773">WEEKDAY(D773,2)</f>
        <v>3</v>
      </c>
      <c r="T773" s="46" t="s">
        <v>97</v>
      </c>
      <c r="U773" s="46" t="str">
        <f t="array" ref="U773">TEXT(D773,"dddd")</f>
        <v>Wednesday</v>
      </c>
    </row>
    <row r="774" hidden="1">
      <c r="A774" s="46">
        <v>6.06118571E8</v>
      </c>
      <c r="B774" s="137" t="s">
        <v>224</v>
      </c>
      <c r="C774" s="137">
        <v>2014.0</v>
      </c>
      <c r="D774" s="138">
        <v>41949.0</v>
      </c>
      <c r="E774" s="139">
        <v>41961.0</v>
      </c>
      <c r="F774" s="142" t="s">
        <v>224</v>
      </c>
      <c r="G774" s="142">
        <v>2014.0</v>
      </c>
      <c r="H774" s="46">
        <v>5988.0</v>
      </c>
      <c r="I774" s="46">
        <v>2809.0</v>
      </c>
      <c r="J774" s="84">
        <v>432754.54</v>
      </c>
      <c r="K774" s="84">
        <v>255422.37000000002</v>
      </c>
      <c r="L774" s="84">
        <v>177332.16999999995</v>
      </c>
      <c r="M774" s="46" t="s">
        <v>159</v>
      </c>
      <c r="N774" s="46" t="s">
        <v>172</v>
      </c>
      <c r="O774" s="46" t="s">
        <v>146</v>
      </c>
      <c r="P774" s="46" t="s">
        <v>155</v>
      </c>
      <c r="Q774" s="46" t="str">
        <f t="shared" si="1"/>
        <v>November, 2014</v>
      </c>
      <c r="R774" s="115">
        <f t="shared" si="2"/>
        <v>41944</v>
      </c>
      <c r="S774" s="49">
        <f t="array" ref="S774">WEEKDAY(D774,2)</f>
        <v>4</v>
      </c>
      <c r="T774" s="46" t="s">
        <v>105</v>
      </c>
      <c r="U774" s="46" t="str">
        <f t="array" ref="U774">TEXT(D774,"dddd")</f>
        <v>Thursday</v>
      </c>
    </row>
    <row r="775" hidden="1">
      <c r="A775" s="46">
        <v>6.06224572E8</v>
      </c>
      <c r="B775" s="137" t="s">
        <v>217</v>
      </c>
      <c r="C775" s="137">
        <v>2014.0</v>
      </c>
      <c r="D775" s="138">
        <v>41828.0</v>
      </c>
      <c r="E775" s="139">
        <v>41835.0</v>
      </c>
      <c r="F775" s="142" t="s">
        <v>217</v>
      </c>
      <c r="G775" s="142">
        <v>2014.0</v>
      </c>
      <c r="H775" s="46">
        <v>8293.0</v>
      </c>
      <c r="I775" s="46">
        <v>4177.0</v>
      </c>
      <c r="J775" s="84">
        <v>1826184.4</v>
      </c>
      <c r="K775" s="84">
        <v>1099929.41</v>
      </c>
      <c r="L775" s="84">
        <v>726254.99</v>
      </c>
      <c r="M775" s="46" t="s">
        <v>178</v>
      </c>
      <c r="N775" s="46" t="s">
        <v>205</v>
      </c>
      <c r="O775" s="46" t="s">
        <v>146</v>
      </c>
      <c r="P775" s="46" t="s">
        <v>170</v>
      </c>
      <c r="Q775" s="46" t="str">
        <f t="shared" si="1"/>
        <v>July, 2014</v>
      </c>
      <c r="R775" s="115">
        <f t="shared" si="2"/>
        <v>41821</v>
      </c>
      <c r="S775" s="49">
        <f t="array" ref="S775">WEEKDAY(D775,2)</f>
        <v>2</v>
      </c>
      <c r="T775" s="46" t="s">
        <v>135</v>
      </c>
      <c r="U775" s="46" t="str">
        <f t="array" ref="U775">TEXT(D775,"dddd")</f>
        <v>Tuesday</v>
      </c>
    </row>
    <row r="776">
      <c r="A776" s="46">
        <v>6.07620608E8</v>
      </c>
      <c r="B776" s="137" t="s">
        <v>221</v>
      </c>
      <c r="C776" s="137">
        <v>2010.0</v>
      </c>
      <c r="D776" s="138">
        <v>40433.0</v>
      </c>
      <c r="E776" s="139">
        <v>40441.0</v>
      </c>
      <c r="F776" s="142" t="s">
        <v>221</v>
      </c>
      <c r="G776" s="142">
        <v>2010.0</v>
      </c>
      <c r="H776" s="46">
        <v>1270.0</v>
      </c>
      <c r="I776" s="46">
        <v>7296.0</v>
      </c>
      <c r="J776" s="84">
        <v>346195.2</v>
      </c>
      <c r="K776" s="84">
        <v>231939.84</v>
      </c>
      <c r="L776" s="84">
        <v>114255.36000000002</v>
      </c>
      <c r="M776" s="46" t="s">
        <v>152</v>
      </c>
      <c r="N776" s="46" t="s">
        <v>149</v>
      </c>
      <c r="O776" s="46" t="s">
        <v>149</v>
      </c>
      <c r="P776" s="46" t="s">
        <v>218</v>
      </c>
      <c r="Q776" s="46" t="str">
        <f t="shared" si="1"/>
        <v>September, 2010</v>
      </c>
      <c r="R776" s="115">
        <f t="shared" si="2"/>
        <v>40422</v>
      </c>
      <c r="S776" s="49">
        <f t="array" ref="S776">WEEKDAY(D776,2)</f>
        <v>7</v>
      </c>
      <c r="T776" s="46" t="s">
        <v>92</v>
      </c>
      <c r="U776" s="46" t="str">
        <f t="array" ref="U776">TEXT(D776,"dddd")</f>
        <v>Sunday</v>
      </c>
    </row>
    <row r="777" hidden="1">
      <c r="A777" s="46">
        <v>6.07756221E8</v>
      </c>
      <c r="B777" s="137" t="s">
        <v>216</v>
      </c>
      <c r="C777" s="137">
        <v>2016.0</v>
      </c>
      <c r="D777" s="138">
        <v>42585.0</v>
      </c>
      <c r="E777" s="139">
        <v>42593.0</v>
      </c>
      <c r="F777" s="142" t="s">
        <v>216</v>
      </c>
      <c r="G777" s="142">
        <v>2016.0</v>
      </c>
      <c r="H777" s="46">
        <v>7940.0</v>
      </c>
      <c r="I777" s="46">
        <v>7426.0</v>
      </c>
      <c r="J777" s="84">
        <v>4962573.02</v>
      </c>
      <c r="K777" s="84">
        <v>3731862.04</v>
      </c>
      <c r="L777" s="84">
        <v>1230710.9799999995</v>
      </c>
      <c r="M777" s="46" t="s">
        <v>148</v>
      </c>
      <c r="N777" s="46" t="s">
        <v>195</v>
      </c>
      <c r="O777" s="46" t="s">
        <v>146</v>
      </c>
      <c r="P777" s="46" t="s">
        <v>170</v>
      </c>
      <c r="Q777" s="46" t="str">
        <f t="shared" si="1"/>
        <v>August, 2016</v>
      </c>
      <c r="R777" s="115">
        <f t="shared" si="2"/>
        <v>42583</v>
      </c>
      <c r="S777" s="49">
        <f t="array" ref="S777">WEEKDAY(D777,2)</f>
        <v>3</v>
      </c>
      <c r="T777" s="46" t="s">
        <v>124</v>
      </c>
      <c r="U777" s="46" t="str">
        <f t="array" ref="U777">TEXT(D777,"dddd")</f>
        <v>Wednesday</v>
      </c>
    </row>
    <row r="778" hidden="1">
      <c r="A778" s="46">
        <v>6.08374631E8</v>
      </c>
      <c r="B778" s="137" t="s">
        <v>223</v>
      </c>
      <c r="C778" s="137">
        <v>2016.0</v>
      </c>
      <c r="D778" s="138">
        <v>42471.0</v>
      </c>
      <c r="E778" s="139">
        <v>42472.0</v>
      </c>
      <c r="F778" s="142" t="s">
        <v>223</v>
      </c>
      <c r="G778" s="142">
        <v>2016.0</v>
      </c>
      <c r="H778" s="46">
        <v>5988.0</v>
      </c>
      <c r="I778" s="46">
        <v>428.0</v>
      </c>
      <c r="J778" s="84">
        <v>65937.68000000001</v>
      </c>
      <c r="K778" s="84">
        <v>38918.04</v>
      </c>
      <c r="L778" s="84">
        <v>27019.640000000007</v>
      </c>
      <c r="M778" s="46" t="s">
        <v>159</v>
      </c>
      <c r="N778" s="46" t="s">
        <v>197</v>
      </c>
      <c r="O778" s="46" t="s">
        <v>146</v>
      </c>
      <c r="P778" s="46" t="s">
        <v>147</v>
      </c>
      <c r="Q778" s="46" t="str">
        <f t="shared" si="1"/>
        <v>April, 2016</v>
      </c>
      <c r="R778" s="115">
        <f t="shared" si="2"/>
        <v>42461</v>
      </c>
      <c r="S778" s="49">
        <f t="array" ref="S778">WEEKDAY(D778,2)</f>
        <v>1</v>
      </c>
      <c r="T778" s="46" t="s">
        <v>126</v>
      </c>
      <c r="U778" s="46" t="str">
        <f t="array" ref="U778">TEXT(D778,"dddd")</f>
        <v>Monday</v>
      </c>
    </row>
    <row r="779">
      <c r="A779" s="46">
        <v>6.08451879E8</v>
      </c>
      <c r="B779" s="137" t="s">
        <v>227</v>
      </c>
      <c r="C779" s="137">
        <v>2014.0</v>
      </c>
      <c r="D779" s="138">
        <v>41666.0</v>
      </c>
      <c r="E779" s="139">
        <v>41699.0</v>
      </c>
      <c r="F779" s="142" t="s">
        <v>222</v>
      </c>
      <c r="G779" s="142">
        <v>2014.0</v>
      </c>
      <c r="H779" s="46">
        <v>7331.0</v>
      </c>
      <c r="I779" s="46">
        <v>3287.0</v>
      </c>
      <c r="J779" s="84">
        <v>839105.36</v>
      </c>
      <c r="K779" s="84">
        <v>524013.54</v>
      </c>
      <c r="L779" s="84">
        <v>315091.82</v>
      </c>
      <c r="M779" s="46" t="s">
        <v>161</v>
      </c>
      <c r="N779" s="46" t="s">
        <v>149</v>
      </c>
      <c r="O779" s="46" t="s">
        <v>149</v>
      </c>
      <c r="P779" s="46" t="s">
        <v>218</v>
      </c>
      <c r="Q779" s="46" t="str">
        <f t="shared" si="1"/>
        <v>January, 2014</v>
      </c>
      <c r="R779" s="115">
        <f t="shared" si="2"/>
        <v>41640</v>
      </c>
      <c r="S779" s="49">
        <f t="array" ref="S779">WEEKDAY(D779,2)</f>
        <v>1</v>
      </c>
      <c r="T779" s="46" t="s">
        <v>92</v>
      </c>
      <c r="U779" s="46" t="str">
        <f t="array" ref="U779">TEXT(D779,"dddd")</f>
        <v>Monday</v>
      </c>
    </row>
    <row r="780" hidden="1">
      <c r="A780" s="46">
        <v>6.09939754E8</v>
      </c>
      <c r="B780" s="137" t="s">
        <v>224</v>
      </c>
      <c r="C780" s="137">
        <v>2013.0</v>
      </c>
      <c r="D780" s="138">
        <v>41588.0</v>
      </c>
      <c r="E780" s="139">
        <v>41608.0</v>
      </c>
      <c r="F780" s="142" t="s">
        <v>224</v>
      </c>
      <c r="G780" s="142">
        <v>2013.0</v>
      </c>
      <c r="H780" s="46">
        <v>4594.0</v>
      </c>
      <c r="I780" s="46">
        <v>3582.0</v>
      </c>
      <c r="J780" s="84">
        <v>33420.06</v>
      </c>
      <c r="K780" s="84">
        <v>24787.44</v>
      </c>
      <c r="L780" s="84">
        <v>8632.619999999999</v>
      </c>
      <c r="M780" s="46" t="s">
        <v>156</v>
      </c>
      <c r="N780" s="46" t="s">
        <v>176</v>
      </c>
      <c r="O780" s="46" t="s">
        <v>146</v>
      </c>
      <c r="P780" s="46" t="s">
        <v>158</v>
      </c>
      <c r="Q780" s="46" t="str">
        <f t="shared" si="1"/>
        <v>November, 2013</v>
      </c>
      <c r="R780" s="115">
        <f t="shared" si="2"/>
        <v>41579</v>
      </c>
      <c r="S780" s="49">
        <f t="array" ref="S780">WEEKDAY(D780,2)</f>
        <v>7</v>
      </c>
      <c r="T780" s="46" t="s">
        <v>109</v>
      </c>
      <c r="U780" s="46" t="str">
        <f t="array" ref="U780">TEXT(D780,"dddd")</f>
        <v>Sunday</v>
      </c>
    </row>
    <row r="781" hidden="1">
      <c r="A781" s="46">
        <v>6.09952628E8</v>
      </c>
      <c r="B781" s="137" t="s">
        <v>225</v>
      </c>
      <c r="C781" s="137">
        <v>2010.0</v>
      </c>
      <c r="D781" s="138">
        <v>40532.0</v>
      </c>
      <c r="E781" s="139">
        <v>40574.0</v>
      </c>
      <c r="F781" s="142" t="s">
        <v>227</v>
      </c>
      <c r="G781" s="142">
        <v>2011.0</v>
      </c>
      <c r="H781" s="46">
        <v>8875.0</v>
      </c>
      <c r="I781" s="46">
        <v>7392.0</v>
      </c>
      <c r="J781" s="84">
        <v>3118610.88</v>
      </c>
      <c r="K781" s="84">
        <v>2695788.48</v>
      </c>
      <c r="L781" s="84">
        <v>422822.3999999999</v>
      </c>
      <c r="M781" s="46" t="s">
        <v>167</v>
      </c>
      <c r="N781" s="46" t="s">
        <v>179</v>
      </c>
      <c r="O781" s="46" t="s">
        <v>146</v>
      </c>
      <c r="P781" s="46" t="s">
        <v>155</v>
      </c>
      <c r="Q781" s="46" t="str">
        <f t="shared" si="1"/>
        <v>December, 2010</v>
      </c>
      <c r="R781" s="115">
        <f t="shared" si="2"/>
        <v>40513</v>
      </c>
      <c r="S781" s="49">
        <f t="array" ref="S781">WEEKDAY(D781,2)</f>
        <v>1</v>
      </c>
      <c r="T781" s="46" t="s">
        <v>111</v>
      </c>
      <c r="U781" s="46" t="str">
        <f t="array" ref="U781">TEXT(D781,"dddd")</f>
        <v>Monday</v>
      </c>
    </row>
    <row r="782" hidden="1">
      <c r="A782" s="46">
        <v>6.11766231E8</v>
      </c>
      <c r="B782" s="137" t="s">
        <v>227</v>
      </c>
      <c r="C782" s="137">
        <v>2011.0</v>
      </c>
      <c r="D782" s="138">
        <v>40564.0</v>
      </c>
      <c r="E782" s="139">
        <v>40600.0</v>
      </c>
      <c r="F782" s="142" t="s">
        <v>228</v>
      </c>
      <c r="G782" s="142">
        <v>2011.0</v>
      </c>
      <c r="H782" s="46">
        <v>7331.0</v>
      </c>
      <c r="I782" s="46">
        <v>4077.0</v>
      </c>
      <c r="J782" s="84">
        <v>1040776.56</v>
      </c>
      <c r="K782" s="84">
        <v>649955.34</v>
      </c>
      <c r="L782" s="84">
        <v>390821.2200000001</v>
      </c>
      <c r="M782" s="46" t="s">
        <v>161</v>
      </c>
      <c r="N782" s="46" t="s">
        <v>192</v>
      </c>
      <c r="O782" s="46" t="s">
        <v>146</v>
      </c>
      <c r="P782" s="46" t="s">
        <v>158</v>
      </c>
      <c r="Q782" s="46" t="str">
        <f t="shared" si="1"/>
        <v>January, 2011</v>
      </c>
      <c r="R782" s="115">
        <f t="shared" si="2"/>
        <v>40544</v>
      </c>
      <c r="S782" s="49">
        <f t="array" ref="S782">WEEKDAY(D782,2)</f>
        <v>5</v>
      </c>
      <c r="T782" s="46" t="s">
        <v>121</v>
      </c>
      <c r="U782" s="46" t="str">
        <f t="array" ref="U782">TEXT(D782,"dddd")</f>
        <v>Friday</v>
      </c>
    </row>
    <row r="783" hidden="1">
      <c r="A783" s="46">
        <v>6.11791121E8</v>
      </c>
      <c r="B783" s="137" t="s">
        <v>227</v>
      </c>
      <c r="C783" s="137">
        <v>2016.0</v>
      </c>
      <c r="D783" s="138">
        <v>42394.0</v>
      </c>
      <c r="E783" s="139">
        <v>42432.0</v>
      </c>
      <c r="F783" s="142" t="s">
        <v>222</v>
      </c>
      <c r="G783" s="142">
        <v>2016.0</v>
      </c>
      <c r="H783" s="46">
        <v>8969.0</v>
      </c>
      <c r="I783" s="46">
        <v>1443.0</v>
      </c>
      <c r="J783" s="84">
        <v>220172.94000000003</v>
      </c>
      <c r="K783" s="84">
        <v>140605.91999999998</v>
      </c>
      <c r="L783" s="84">
        <v>79567.02000000005</v>
      </c>
      <c r="M783" s="46" t="s">
        <v>182</v>
      </c>
      <c r="N783" s="46" t="s">
        <v>181</v>
      </c>
      <c r="O783" s="46" t="s">
        <v>146</v>
      </c>
      <c r="P783" s="46" t="s">
        <v>155</v>
      </c>
      <c r="Q783" s="46" t="str">
        <f t="shared" si="1"/>
        <v>January, 2016</v>
      </c>
      <c r="R783" s="115">
        <f t="shared" si="2"/>
        <v>42370</v>
      </c>
      <c r="S783" s="49">
        <f t="array" ref="S783">WEEKDAY(D783,2)</f>
        <v>1</v>
      </c>
      <c r="T783" s="46" t="s">
        <v>113</v>
      </c>
      <c r="U783" s="46" t="str">
        <f t="array" ref="U783">TEXT(D783,"dddd")</f>
        <v>Monday</v>
      </c>
    </row>
    <row r="784" hidden="1">
      <c r="A784" s="46">
        <v>6.13166129E8</v>
      </c>
      <c r="B784" s="137" t="s">
        <v>221</v>
      </c>
      <c r="C784" s="137">
        <v>2011.0</v>
      </c>
      <c r="D784" s="138">
        <v>40788.0</v>
      </c>
      <c r="E784" s="139">
        <v>40837.0</v>
      </c>
      <c r="F784" s="142" t="s">
        <v>226</v>
      </c>
      <c r="G784" s="142">
        <v>2011.0</v>
      </c>
      <c r="H784" s="46">
        <v>8293.0</v>
      </c>
      <c r="I784" s="46">
        <v>8338.0</v>
      </c>
      <c r="J784" s="84">
        <v>3645373.6</v>
      </c>
      <c r="K784" s="84">
        <v>2195645.54</v>
      </c>
      <c r="L784" s="84">
        <v>1449728.06</v>
      </c>
      <c r="M784" s="46" t="s">
        <v>178</v>
      </c>
      <c r="N784" s="46" t="s">
        <v>187</v>
      </c>
      <c r="O784" s="46" t="s">
        <v>146</v>
      </c>
      <c r="P784" s="46" t="s">
        <v>155</v>
      </c>
      <c r="Q784" s="46" t="str">
        <f t="shared" si="1"/>
        <v>September, 2011</v>
      </c>
      <c r="R784" s="115">
        <f t="shared" si="2"/>
        <v>40787</v>
      </c>
      <c r="S784" s="49">
        <f t="array" ref="S784">WEEKDAY(D784,2)</f>
        <v>5</v>
      </c>
      <c r="T784" s="46" t="s">
        <v>116</v>
      </c>
      <c r="U784" s="46" t="str">
        <f t="array" ref="U784">TEXT(D784,"dddd")</f>
        <v>Friday</v>
      </c>
    </row>
    <row r="785" hidden="1">
      <c r="A785" s="46">
        <v>6.14054477E8</v>
      </c>
      <c r="B785" s="137" t="s">
        <v>216</v>
      </c>
      <c r="C785" s="137">
        <v>2016.0</v>
      </c>
      <c r="D785" s="138">
        <v>42594.0</v>
      </c>
      <c r="E785" s="139">
        <v>42598.0</v>
      </c>
      <c r="F785" s="142" t="s">
        <v>216</v>
      </c>
      <c r="G785" s="142">
        <v>2016.0</v>
      </c>
      <c r="H785" s="46">
        <v>5988.0</v>
      </c>
      <c r="I785" s="46">
        <v>1220.0</v>
      </c>
      <c r="J785" s="84">
        <v>187953.2</v>
      </c>
      <c r="K785" s="84">
        <v>110934.6</v>
      </c>
      <c r="L785" s="84">
        <v>77018.6</v>
      </c>
      <c r="M785" s="46" t="s">
        <v>159</v>
      </c>
      <c r="N785" s="46" t="s">
        <v>187</v>
      </c>
      <c r="O785" s="46" t="s">
        <v>146</v>
      </c>
      <c r="P785" s="46" t="s">
        <v>155</v>
      </c>
      <c r="Q785" s="46" t="str">
        <f t="shared" si="1"/>
        <v>August, 2016</v>
      </c>
      <c r="R785" s="115">
        <f t="shared" si="2"/>
        <v>42583</v>
      </c>
      <c r="S785" s="49">
        <f t="array" ref="S785">WEEKDAY(D785,2)</f>
        <v>5</v>
      </c>
      <c r="T785" s="46" t="s">
        <v>116</v>
      </c>
      <c r="U785" s="46" t="str">
        <f t="array" ref="U785">TEXT(D785,"dddd")</f>
        <v>Friday</v>
      </c>
    </row>
    <row r="786" hidden="1">
      <c r="A786" s="46">
        <v>6.14321839E8</v>
      </c>
      <c r="B786" s="137" t="s">
        <v>219</v>
      </c>
      <c r="C786" s="137">
        <v>2016.0</v>
      </c>
      <c r="D786" s="138">
        <v>42513.0</v>
      </c>
      <c r="E786" s="139">
        <v>42556.0</v>
      </c>
      <c r="F786" s="142" t="s">
        <v>217</v>
      </c>
      <c r="G786" s="142">
        <v>2016.0</v>
      </c>
      <c r="H786" s="46">
        <v>8875.0</v>
      </c>
      <c r="I786" s="46">
        <v>339.0</v>
      </c>
      <c r="J786" s="84">
        <v>143020.71</v>
      </c>
      <c r="K786" s="84">
        <v>123629.91</v>
      </c>
      <c r="L786" s="84">
        <v>19390.79999999999</v>
      </c>
      <c r="M786" s="46" t="s">
        <v>167</v>
      </c>
      <c r="N786" s="46" t="s">
        <v>191</v>
      </c>
      <c r="O786" s="46" t="s">
        <v>146</v>
      </c>
      <c r="P786" s="46" t="s">
        <v>147</v>
      </c>
      <c r="Q786" s="46" t="str">
        <f t="shared" si="1"/>
        <v>May, 2016</v>
      </c>
      <c r="R786" s="115">
        <f t="shared" si="2"/>
        <v>42491</v>
      </c>
      <c r="S786" s="49">
        <f t="array" ref="S786">WEEKDAY(D786,2)</f>
        <v>1</v>
      </c>
      <c r="T786" s="46" t="s">
        <v>120</v>
      </c>
      <c r="U786" s="46" t="str">
        <f t="array" ref="U786">TEXT(D786,"dddd")</f>
        <v>Monday</v>
      </c>
    </row>
    <row r="787" hidden="1">
      <c r="A787" s="46">
        <v>6.14597785E8</v>
      </c>
      <c r="B787" s="137" t="s">
        <v>222</v>
      </c>
      <c r="C787" s="137">
        <v>2014.0</v>
      </c>
      <c r="D787" s="138">
        <v>41727.0</v>
      </c>
      <c r="E787" s="139">
        <v>41773.0</v>
      </c>
      <c r="F787" s="142" t="s">
        <v>219</v>
      </c>
      <c r="G787" s="142">
        <v>2014.0</v>
      </c>
      <c r="H787" s="46">
        <v>8293.0</v>
      </c>
      <c r="I787" s="46">
        <v>1997.0</v>
      </c>
      <c r="J787" s="84">
        <v>873088.4</v>
      </c>
      <c r="K787" s="84">
        <v>525870.01</v>
      </c>
      <c r="L787" s="84">
        <v>347218.39</v>
      </c>
      <c r="M787" s="46" t="s">
        <v>178</v>
      </c>
      <c r="N787" s="46" t="s">
        <v>151</v>
      </c>
      <c r="O787" s="46" t="s">
        <v>146</v>
      </c>
      <c r="P787" s="46" t="s">
        <v>147</v>
      </c>
      <c r="Q787" s="46" t="str">
        <f t="shared" si="1"/>
        <v>March, 2014</v>
      </c>
      <c r="R787" s="115">
        <f t="shared" si="2"/>
        <v>41699</v>
      </c>
      <c r="S787" s="49">
        <f t="array" ref="S787">WEEKDAY(D787,2)</f>
        <v>6</v>
      </c>
      <c r="T787" s="46" t="s">
        <v>94</v>
      </c>
      <c r="U787" s="46" t="str">
        <f t="array" ref="U787">TEXT(D787,"dddd")</f>
        <v>Saturday</v>
      </c>
    </row>
    <row r="788" hidden="1">
      <c r="A788" s="46">
        <v>6.15080583E8</v>
      </c>
      <c r="B788" s="137" t="s">
        <v>216</v>
      </c>
      <c r="C788" s="137">
        <v>2015.0</v>
      </c>
      <c r="D788" s="138">
        <v>42227.0</v>
      </c>
      <c r="E788" s="139">
        <v>42266.0</v>
      </c>
      <c r="F788" s="142" t="s">
        <v>221</v>
      </c>
      <c r="G788" s="142">
        <v>2015.0</v>
      </c>
      <c r="H788" s="46">
        <v>2103.0</v>
      </c>
      <c r="I788" s="46">
        <v>4868.0</v>
      </c>
      <c r="J788" s="84">
        <v>1001347.6</v>
      </c>
      <c r="K788" s="84">
        <v>570091.48</v>
      </c>
      <c r="L788" s="84">
        <v>431256.12</v>
      </c>
      <c r="M788" s="46" t="s">
        <v>144</v>
      </c>
      <c r="N788" s="46" t="s">
        <v>186</v>
      </c>
      <c r="O788" s="46" t="s">
        <v>146</v>
      </c>
      <c r="P788" s="46" t="s">
        <v>147</v>
      </c>
      <c r="Q788" s="46" t="str">
        <f t="shared" si="1"/>
        <v>August, 2015</v>
      </c>
      <c r="R788" s="115">
        <f t="shared" si="2"/>
        <v>42217</v>
      </c>
      <c r="S788" s="49">
        <f t="array" ref="S788">WEEKDAY(D788,2)</f>
        <v>2</v>
      </c>
      <c r="T788" s="46" t="s">
        <v>115</v>
      </c>
      <c r="U788" s="46" t="str">
        <f t="array" ref="U788">TEXT(D788,"dddd")</f>
        <v>Tuesday</v>
      </c>
    </row>
    <row r="789" hidden="1">
      <c r="A789" s="46">
        <v>6.15290009E8</v>
      </c>
      <c r="B789" s="137" t="s">
        <v>227</v>
      </c>
      <c r="C789" s="137">
        <v>2017.0</v>
      </c>
      <c r="D789" s="138">
        <v>42749.0</v>
      </c>
      <c r="E789" s="139">
        <v>42753.0</v>
      </c>
      <c r="F789" s="142" t="s">
        <v>227</v>
      </c>
      <c r="G789" s="142">
        <v>2017.0</v>
      </c>
      <c r="H789" s="46">
        <v>8875.0</v>
      </c>
      <c r="I789" s="46">
        <v>6842.0</v>
      </c>
      <c r="J789" s="84">
        <v>2886571.38</v>
      </c>
      <c r="K789" s="84">
        <v>2495208.98</v>
      </c>
      <c r="L789" s="84">
        <v>391362.3999999999</v>
      </c>
      <c r="M789" s="46" t="s">
        <v>167</v>
      </c>
      <c r="N789" s="46" t="s">
        <v>163</v>
      </c>
      <c r="O789" s="46" t="s">
        <v>146</v>
      </c>
      <c r="P789" s="46" t="s">
        <v>158</v>
      </c>
      <c r="Q789" s="46" t="str">
        <f t="shared" si="1"/>
        <v>January, 2017</v>
      </c>
      <c r="R789" s="115">
        <f t="shared" si="2"/>
        <v>42736</v>
      </c>
      <c r="S789" s="49">
        <f t="array" ref="S789">WEEKDAY(D789,2)</f>
        <v>6</v>
      </c>
      <c r="T789" s="46" t="s">
        <v>100</v>
      </c>
      <c r="U789" s="46" t="str">
        <f t="array" ref="U789">TEXT(D789,"dddd")</f>
        <v>Saturday</v>
      </c>
    </row>
    <row r="790">
      <c r="A790" s="46">
        <v>6.1677531E8</v>
      </c>
      <c r="B790" s="137" t="s">
        <v>219</v>
      </c>
      <c r="C790" s="137">
        <v>2011.0</v>
      </c>
      <c r="D790" s="138">
        <v>40670.0</v>
      </c>
      <c r="E790" s="139">
        <v>40687.0</v>
      </c>
      <c r="F790" s="142" t="s">
        <v>219</v>
      </c>
      <c r="G790" s="142">
        <v>2011.0</v>
      </c>
      <c r="H790" s="46">
        <v>8681.0</v>
      </c>
      <c r="I790" s="46">
        <v>6375.0</v>
      </c>
      <c r="J790" s="84">
        <v>4151463.75</v>
      </c>
      <c r="K790" s="84">
        <v>3346620.0</v>
      </c>
      <c r="L790" s="84">
        <v>804843.75</v>
      </c>
      <c r="M790" s="46" t="s">
        <v>153</v>
      </c>
      <c r="N790" s="46" t="s">
        <v>149</v>
      </c>
      <c r="O790" s="46" t="s">
        <v>149</v>
      </c>
      <c r="P790" s="46" t="s">
        <v>218</v>
      </c>
      <c r="Q790" s="46" t="str">
        <f t="shared" si="1"/>
        <v>May, 2011</v>
      </c>
      <c r="R790" s="115">
        <f t="shared" si="2"/>
        <v>40664</v>
      </c>
      <c r="S790" s="49">
        <f t="array" ref="S790">WEEKDAY(D790,2)</f>
        <v>6</v>
      </c>
      <c r="T790" s="46" t="s">
        <v>92</v>
      </c>
      <c r="U790" s="46" t="str">
        <f t="array" ref="U790">TEXT(D790,"dddd")</f>
        <v>Saturday</v>
      </c>
    </row>
    <row r="791" hidden="1">
      <c r="A791" s="46">
        <v>6.21577537E8</v>
      </c>
      <c r="B791" s="137" t="s">
        <v>221</v>
      </c>
      <c r="C791" s="137">
        <v>2015.0</v>
      </c>
      <c r="D791" s="138">
        <v>42256.0</v>
      </c>
      <c r="E791" s="139">
        <v>42263.0</v>
      </c>
      <c r="F791" s="142" t="s">
        <v>221</v>
      </c>
      <c r="G791" s="142">
        <v>2015.0</v>
      </c>
      <c r="H791" s="46">
        <v>7940.0</v>
      </c>
      <c r="I791" s="46">
        <v>7461.0</v>
      </c>
      <c r="J791" s="84">
        <v>4985962.47</v>
      </c>
      <c r="K791" s="84">
        <v>3749450.94</v>
      </c>
      <c r="L791" s="84">
        <v>1236511.5299999998</v>
      </c>
      <c r="M791" s="46" t="s">
        <v>148</v>
      </c>
      <c r="N791" s="46" t="s">
        <v>164</v>
      </c>
      <c r="O791" s="46" t="s">
        <v>165</v>
      </c>
      <c r="P791" s="46" t="s">
        <v>166</v>
      </c>
      <c r="Q791" s="46" t="str">
        <f t="shared" si="1"/>
        <v>September, 2015</v>
      </c>
      <c r="R791" s="115">
        <f t="shared" si="2"/>
        <v>42248</v>
      </c>
      <c r="S791" s="49">
        <f t="array" ref="S791">WEEKDAY(D791,2)</f>
        <v>3</v>
      </c>
      <c r="T791" s="46" t="s">
        <v>101</v>
      </c>
      <c r="U791" s="46" t="str">
        <f t="array" ref="U791">TEXT(D791,"dddd")</f>
        <v>Wednesday</v>
      </c>
    </row>
    <row r="792" hidden="1">
      <c r="A792" s="46">
        <v>6.22441852E8</v>
      </c>
      <c r="B792" s="137" t="s">
        <v>219</v>
      </c>
      <c r="C792" s="137">
        <v>2012.0</v>
      </c>
      <c r="D792" s="138">
        <v>41055.0</v>
      </c>
      <c r="E792" s="139">
        <v>41057.0</v>
      </c>
      <c r="F792" s="142" t="s">
        <v>219</v>
      </c>
      <c r="G792" s="142">
        <v>2012.0</v>
      </c>
      <c r="H792" s="46">
        <v>2455.0</v>
      </c>
      <c r="I792" s="46">
        <v>3231.0</v>
      </c>
      <c r="J792" s="84">
        <v>353083.68</v>
      </c>
      <c r="K792" s="84">
        <v>115799.04000000001</v>
      </c>
      <c r="L792" s="84">
        <v>237284.63999999998</v>
      </c>
      <c r="M792" s="46" t="s">
        <v>150</v>
      </c>
      <c r="N792" s="46" t="s">
        <v>171</v>
      </c>
      <c r="O792" s="46" t="s">
        <v>146</v>
      </c>
      <c r="P792" s="46" t="s">
        <v>147</v>
      </c>
      <c r="Q792" s="46" t="str">
        <f t="shared" si="1"/>
        <v>May, 2012</v>
      </c>
      <c r="R792" s="115">
        <f t="shared" si="2"/>
        <v>41030</v>
      </c>
      <c r="S792" s="49">
        <f t="array" ref="S792">WEEKDAY(D792,2)</f>
        <v>6</v>
      </c>
      <c r="T792" s="46" t="s">
        <v>104</v>
      </c>
      <c r="U792" s="46" t="str">
        <f t="array" ref="U792">TEXT(D792,"dddd")</f>
        <v>Saturday</v>
      </c>
    </row>
    <row r="793" hidden="1">
      <c r="A793" s="46">
        <v>6.2382158E8</v>
      </c>
      <c r="B793" s="137" t="s">
        <v>226</v>
      </c>
      <c r="C793" s="137">
        <v>2016.0</v>
      </c>
      <c r="D793" s="138">
        <v>42658.0</v>
      </c>
      <c r="E793" s="139">
        <v>42674.0</v>
      </c>
      <c r="F793" s="142" t="s">
        <v>226</v>
      </c>
      <c r="G793" s="142">
        <v>2016.0</v>
      </c>
      <c r="H793" s="46">
        <v>4594.0</v>
      </c>
      <c r="I793" s="46">
        <v>1523.0</v>
      </c>
      <c r="J793" s="84">
        <v>14209.59</v>
      </c>
      <c r="K793" s="84">
        <v>10539.16</v>
      </c>
      <c r="L793" s="84">
        <v>3670.4300000000003</v>
      </c>
      <c r="M793" s="46" t="s">
        <v>156</v>
      </c>
      <c r="N793" s="46" t="s">
        <v>204</v>
      </c>
      <c r="O793" s="46" t="s">
        <v>146</v>
      </c>
      <c r="P793" s="46" t="s">
        <v>147</v>
      </c>
      <c r="Q793" s="46" t="str">
        <f t="shared" si="1"/>
        <v>October, 2016</v>
      </c>
      <c r="R793" s="115">
        <f t="shared" si="2"/>
        <v>42644</v>
      </c>
      <c r="S793" s="49">
        <f t="array" ref="S793">WEEKDAY(D793,2)</f>
        <v>6</v>
      </c>
      <c r="T793" s="46" t="s">
        <v>133</v>
      </c>
      <c r="U793" s="46" t="str">
        <f t="array" ref="U793">TEXT(D793,"dddd")</f>
        <v>Saturday</v>
      </c>
    </row>
    <row r="794" hidden="1">
      <c r="A794" s="46">
        <v>6.24348151E8</v>
      </c>
      <c r="B794" s="137" t="s">
        <v>224</v>
      </c>
      <c r="C794" s="137">
        <v>2012.0</v>
      </c>
      <c r="D794" s="138">
        <v>41227.0</v>
      </c>
      <c r="E794" s="139">
        <v>41251.0</v>
      </c>
      <c r="F794" s="142" t="s">
        <v>225</v>
      </c>
      <c r="G794" s="142">
        <v>2012.0</v>
      </c>
      <c r="H794" s="46">
        <v>8681.0</v>
      </c>
      <c r="I794" s="46">
        <v>7347.0</v>
      </c>
      <c r="J794" s="84">
        <v>4784439.87</v>
      </c>
      <c r="K794" s="84">
        <v>3856881.12</v>
      </c>
      <c r="L794" s="84">
        <v>927558.75</v>
      </c>
      <c r="M794" s="46" t="s">
        <v>153</v>
      </c>
      <c r="N794" s="46" t="s">
        <v>181</v>
      </c>
      <c r="O794" s="46" t="s">
        <v>146</v>
      </c>
      <c r="P794" s="46" t="s">
        <v>155</v>
      </c>
      <c r="Q794" s="46" t="str">
        <f t="shared" si="1"/>
        <v>November, 2012</v>
      </c>
      <c r="R794" s="115">
        <f t="shared" si="2"/>
        <v>41214</v>
      </c>
      <c r="S794" s="49">
        <f t="array" ref="S794">WEEKDAY(D794,2)</f>
        <v>3</v>
      </c>
      <c r="T794" s="46" t="s">
        <v>113</v>
      </c>
      <c r="U794" s="46" t="str">
        <f t="array" ref="U794">TEXT(D794,"dddd")</f>
        <v>Wednesday</v>
      </c>
    </row>
    <row r="795" hidden="1">
      <c r="A795" s="46">
        <v>6.24398362E8</v>
      </c>
      <c r="B795" s="137" t="s">
        <v>220</v>
      </c>
      <c r="C795" s="137">
        <v>2017.0</v>
      </c>
      <c r="D795" s="138">
        <v>42916.0</v>
      </c>
      <c r="E795" s="139">
        <v>42940.0</v>
      </c>
      <c r="F795" s="142" t="s">
        <v>217</v>
      </c>
      <c r="G795" s="142">
        <v>2017.0</v>
      </c>
      <c r="H795" s="46">
        <v>8681.0</v>
      </c>
      <c r="I795" s="46">
        <v>2206.0</v>
      </c>
      <c r="J795" s="84">
        <v>1436569.26</v>
      </c>
      <c r="K795" s="84">
        <v>1158061.76</v>
      </c>
      <c r="L795" s="84">
        <v>278507.5</v>
      </c>
      <c r="M795" s="46" t="s">
        <v>153</v>
      </c>
      <c r="N795" s="46" t="s">
        <v>187</v>
      </c>
      <c r="O795" s="46" t="s">
        <v>146</v>
      </c>
      <c r="P795" s="46" t="s">
        <v>155</v>
      </c>
      <c r="Q795" s="46" t="str">
        <f t="shared" si="1"/>
        <v>June, 2017</v>
      </c>
      <c r="R795" s="115">
        <f t="shared" si="2"/>
        <v>42887</v>
      </c>
      <c r="S795" s="49">
        <f t="array" ref="S795">WEEKDAY(D795,2)</f>
        <v>5</v>
      </c>
      <c r="T795" s="46" t="s">
        <v>116</v>
      </c>
      <c r="U795" s="46" t="str">
        <f t="array" ref="U795">TEXT(D795,"dddd")</f>
        <v>Friday</v>
      </c>
    </row>
    <row r="796" hidden="1">
      <c r="A796" s="46">
        <v>6.24940383E8</v>
      </c>
      <c r="B796" s="137" t="s">
        <v>222</v>
      </c>
      <c r="C796" s="137">
        <v>2016.0</v>
      </c>
      <c r="D796" s="138">
        <v>42431.0</v>
      </c>
      <c r="E796" s="139">
        <v>42459.0</v>
      </c>
      <c r="F796" s="142" t="s">
        <v>222</v>
      </c>
      <c r="G796" s="142">
        <v>2016.0</v>
      </c>
      <c r="H796" s="46">
        <v>8293.0</v>
      </c>
      <c r="I796" s="46">
        <v>2602.0</v>
      </c>
      <c r="J796" s="84">
        <v>1137594.4</v>
      </c>
      <c r="K796" s="84">
        <v>685184.6599999999</v>
      </c>
      <c r="L796" s="84">
        <v>452409.74</v>
      </c>
      <c r="M796" s="46" t="s">
        <v>178</v>
      </c>
      <c r="N796" s="46" t="s">
        <v>169</v>
      </c>
      <c r="O796" s="46" t="s">
        <v>146</v>
      </c>
      <c r="P796" s="46" t="s">
        <v>170</v>
      </c>
      <c r="Q796" s="46" t="str">
        <f t="shared" si="1"/>
        <v>March, 2016</v>
      </c>
      <c r="R796" s="115">
        <f t="shared" si="2"/>
        <v>42430</v>
      </c>
      <c r="S796" s="49">
        <f t="array" ref="S796">WEEKDAY(D796,2)</f>
        <v>3</v>
      </c>
      <c r="T796" s="46" t="s">
        <v>103</v>
      </c>
      <c r="U796" s="46" t="str">
        <f t="array" ref="U796">TEXT(D796,"dddd")</f>
        <v>Wednesday</v>
      </c>
    </row>
    <row r="797" hidden="1">
      <c r="A797" s="46">
        <v>6.25751483E8</v>
      </c>
      <c r="B797" s="137" t="s">
        <v>221</v>
      </c>
      <c r="C797" s="137">
        <v>2015.0</v>
      </c>
      <c r="D797" s="138">
        <v>42276.0</v>
      </c>
      <c r="E797" s="139">
        <v>42278.0</v>
      </c>
      <c r="F797" s="142" t="s">
        <v>226</v>
      </c>
      <c r="G797" s="142">
        <v>2015.0</v>
      </c>
      <c r="H797" s="46">
        <v>3127.0</v>
      </c>
      <c r="I797" s="46">
        <v>2624.0</v>
      </c>
      <c r="J797" s="84">
        <v>214459.52000000002</v>
      </c>
      <c r="K797" s="84">
        <v>148702.08000000002</v>
      </c>
      <c r="L797" s="84">
        <v>65757.44</v>
      </c>
      <c r="M797" s="46" t="s">
        <v>185</v>
      </c>
      <c r="N797" s="46" t="s">
        <v>191</v>
      </c>
      <c r="O797" s="46" t="s">
        <v>146</v>
      </c>
      <c r="P797" s="46" t="s">
        <v>147</v>
      </c>
      <c r="Q797" s="46" t="str">
        <f t="shared" si="1"/>
        <v>September, 2015</v>
      </c>
      <c r="R797" s="115">
        <f t="shared" si="2"/>
        <v>42248</v>
      </c>
      <c r="S797" s="49">
        <f t="array" ref="S797">WEEKDAY(D797,2)</f>
        <v>2</v>
      </c>
      <c r="T797" s="46" t="s">
        <v>120</v>
      </c>
      <c r="U797" s="46" t="str">
        <f t="array" ref="U797">TEXT(D797,"dddd")</f>
        <v>Tuesday</v>
      </c>
    </row>
    <row r="798" hidden="1">
      <c r="A798" s="46">
        <v>6.26011979E8</v>
      </c>
      <c r="B798" s="137" t="s">
        <v>227</v>
      </c>
      <c r="C798" s="137">
        <v>2011.0</v>
      </c>
      <c r="D798" s="138">
        <v>40545.0</v>
      </c>
      <c r="E798" s="139">
        <v>40554.0</v>
      </c>
      <c r="F798" s="142" t="s">
        <v>227</v>
      </c>
      <c r="G798" s="142">
        <v>2011.0</v>
      </c>
      <c r="H798" s="46">
        <v>2455.0</v>
      </c>
      <c r="I798" s="46">
        <v>9711.0</v>
      </c>
      <c r="J798" s="84">
        <v>1061218.08</v>
      </c>
      <c r="K798" s="84">
        <v>348042.24000000005</v>
      </c>
      <c r="L798" s="84">
        <v>713175.8400000001</v>
      </c>
      <c r="M798" s="46" t="s">
        <v>150</v>
      </c>
      <c r="N798" s="46" t="s">
        <v>206</v>
      </c>
      <c r="O798" s="46" t="s">
        <v>146</v>
      </c>
      <c r="P798" s="46" t="s">
        <v>158</v>
      </c>
      <c r="Q798" s="46" t="str">
        <f t="shared" si="1"/>
        <v>January, 2011</v>
      </c>
      <c r="R798" s="115">
        <f t="shared" si="2"/>
        <v>40544</v>
      </c>
      <c r="S798" s="49">
        <f t="array" ref="S798">WEEKDAY(D798,2)</f>
        <v>7</v>
      </c>
      <c r="T798" s="46" t="s">
        <v>136</v>
      </c>
      <c r="U798" s="46" t="str">
        <f t="array" ref="U798">TEXT(D798,"dddd")</f>
        <v>Sunday</v>
      </c>
    </row>
    <row r="799" hidden="1">
      <c r="A799" s="46">
        <v>6.26109397E8</v>
      </c>
      <c r="B799" s="137" t="s">
        <v>216</v>
      </c>
      <c r="C799" s="137">
        <v>2012.0</v>
      </c>
      <c r="D799" s="138">
        <v>41128.0</v>
      </c>
      <c r="E799" s="139">
        <v>41167.0</v>
      </c>
      <c r="F799" s="142" t="s">
        <v>221</v>
      </c>
      <c r="G799" s="142">
        <v>2012.0</v>
      </c>
      <c r="H799" s="46">
        <v>2103.0</v>
      </c>
      <c r="I799" s="46">
        <v>8539.0</v>
      </c>
      <c r="J799" s="84">
        <v>1756472.2999999998</v>
      </c>
      <c r="K799" s="84">
        <v>1000002.29</v>
      </c>
      <c r="L799" s="84">
        <v>756470.0099999998</v>
      </c>
      <c r="M799" s="46" t="s">
        <v>144</v>
      </c>
      <c r="N799" s="46" t="s">
        <v>181</v>
      </c>
      <c r="O799" s="46" t="s">
        <v>146</v>
      </c>
      <c r="P799" s="46" t="s">
        <v>155</v>
      </c>
      <c r="Q799" s="46" t="str">
        <f t="shared" si="1"/>
        <v>August, 2012</v>
      </c>
      <c r="R799" s="115">
        <f t="shared" si="2"/>
        <v>41122</v>
      </c>
      <c r="S799" s="49">
        <f t="array" ref="S799">WEEKDAY(D799,2)</f>
        <v>2</v>
      </c>
      <c r="T799" s="46" t="s">
        <v>113</v>
      </c>
      <c r="U799" s="46" t="str">
        <f t="array" ref="U799">TEXT(D799,"dddd")</f>
        <v>Tuesday</v>
      </c>
    </row>
    <row r="800">
      <c r="A800" s="46">
        <v>6.26322257E8</v>
      </c>
      <c r="B800" s="137" t="s">
        <v>223</v>
      </c>
      <c r="C800" s="137">
        <v>2016.0</v>
      </c>
      <c r="D800" s="138">
        <v>42475.0</v>
      </c>
      <c r="E800" s="139">
        <v>42495.0</v>
      </c>
      <c r="F800" s="142" t="s">
        <v>219</v>
      </c>
      <c r="G800" s="142">
        <v>2016.0</v>
      </c>
      <c r="H800" s="46">
        <v>3127.0</v>
      </c>
      <c r="I800" s="46">
        <v>1529.0</v>
      </c>
      <c r="J800" s="84">
        <v>124965.17000000001</v>
      </c>
      <c r="K800" s="84">
        <v>86648.43000000001</v>
      </c>
      <c r="L800" s="84">
        <v>38316.740000000005</v>
      </c>
      <c r="M800" s="46" t="s">
        <v>185</v>
      </c>
      <c r="N800" s="46" t="s">
        <v>149</v>
      </c>
      <c r="O800" s="46" t="s">
        <v>149</v>
      </c>
      <c r="P800" s="46" t="s">
        <v>218</v>
      </c>
      <c r="Q800" s="46" t="str">
        <f t="shared" si="1"/>
        <v>April, 2016</v>
      </c>
      <c r="R800" s="115">
        <f t="shared" si="2"/>
        <v>42461</v>
      </c>
      <c r="S800" s="49">
        <f t="array" ref="S800">WEEKDAY(D800,2)</f>
        <v>5</v>
      </c>
      <c r="T800" s="46" t="s">
        <v>92</v>
      </c>
      <c r="U800" s="46" t="str">
        <f t="array" ref="U800">TEXT(D800,"dddd")</f>
        <v>Friday</v>
      </c>
    </row>
    <row r="801" hidden="1">
      <c r="A801" s="46">
        <v>6.26453149E8</v>
      </c>
      <c r="B801" s="137" t="s">
        <v>219</v>
      </c>
      <c r="C801" s="137">
        <v>2013.0</v>
      </c>
      <c r="D801" s="138">
        <v>41418.0</v>
      </c>
      <c r="E801" s="139">
        <v>41435.0</v>
      </c>
      <c r="F801" s="142" t="s">
        <v>220</v>
      </c>
      <c r="G801" s="142">
        <v>2013.0</v>
      </c>
      <c r="H801" s="46">
        <v>8293.0</v>
      </c>
      <c r="I801" s="46">
        <v>263.0</v>
      </c>
      <c r="J801" s="84">
        <v>114983.59999999999</v>
      </c>
      <c r="K801" s="84">
        <v>69255.79</v>
      </c>
      <c r="L801" s="84">
        <v>45727.81</v>
      </c>
      <c r="M801" s="46" t="s">
        <v>178</v>
      </c>
      <c r="N801" s="46" t="s">
        <v>186</v>
      </c>
      <c r="O801" s="46" t="s">
        <v>146</v>
      </c>
      <c r="P801" s="46" t="s">
        <v>147</v>
      </c>
      <c r="Q801" s="46" t="str">
        <f t="shared" si="1"/>
        <v>May, 2013</v>
      </c>
      <c r="R801" s="115">
        <f t="shared" si="2"/>
        <v>41395</v>
      </c>
      <c r="S801" s="49">
        <f t="array" ref="S801">WEEKDAY(D801,2)</f>
        <v>5</v>
      </c>
      <c r="T801" s="46" t="s">
        <v>115</v>
      </c>
      <c r="U801" s="46" t="str">
        <f t="array" ref="U801">TEXT(D801,"dddd")</f>
        <v>Friday</v>
      </c>
    </row>
    <row r="802" hidden="1">
      <c r="A802" s="46">
        <v>6.27003753E8</v>
      </c>
      <c r="B802" s="137" t="s">
        <v>228</v>
      </c>
      <c r="C802" s="137">
        <v>2010.0</v>
      </c>
      <c r="D802" s="138">
        <v>40228.0</v>
      </c>
      <c r="E802" s="139">
        <v>40263.0</v>
      </c>
      <c r="F802" s="142" t="s">
        <v>222</v>
      </c>
      <c r="G802" s="142">
        <v>2010.0</v>
      </c>
      <c r="H802" s="46">
        <v>8875.0</v>
      </c>
      <c r="I802" s="46">
        <v>3199.0</v>
      </c>
      <c r="J802" s="84">
        <v>1349626.1099999999</v>
      </c>
      <c r="K802" s="84">
        <v>1166643.31</v>
      </c>
      <c r="L802" s="84">
        <v>182982.7999999998</v>
      </c>
      <c r="M802" s="46" t="s">
        <v>167</v>
      </c>
      <c r="N802" s="46" t="s">
        <v>172</v>
      </c>
      <c r="O802" s="46" t="s">
        <v>146</v>
      </c>
      <c r="P802" s="46" t="s">
        <v>155</v>
      </c>
      <c r="Q802" s="46" t="str">
        <f t="shared" si="1"/>
        <v>February, 2010</v>
      </c>
      <c r="R802" s="115">
        <f t="shared" si="2"/>
        <v>40210</v>
      </c>
      <c r="S802" s="49">
        <f t="array" ref="S802">WEEKDAY(D802,2)</f>
        <v>5</v>
      </c>
      <c r="T802" s="46" t="s">
        <v>105</v>
      </c>
      <c r="U802" s="46" t="str">
        <f t="array" ref="U802">TEXT(D802,"dddd")</f>
        <v>Friday</v>
      </c>
    </row>
    <row r="803" hidden="1">
      <c r="A803" s="46">
        <v>6.27432048E8</v>
      </c>
      <c r="B803" s="137" t="s">
        <v>220</v>
      </c>
      <c r="C803" s="137">
        <v>2015.0</v>
      </c>
      <c r="D803" s="138">
        <v>42157.0</v>
      </c>
      <c r="E803" s="139">
        <v>42178.0</v>
      </c>
      <c r="F803" s="142" t="s">
        <v>220</v>
      </c>
      <c r="G803" s="142">
        <v>2015.0</v>
      </c>
      <c r="H803" s="46">
        <v>3127.0</v>
      </c>
      <c r="I803" s="46">
        <v>9941.0</v>
      </c>
      <c r="J803" s="84">
        <v>812477.93</v>
      </c>
      <c r="K803" s="84">
        <v>563356.47</v>
      </c>
      <c r="L803" s="84">
        <v>249121.46000000008</v>
      </c>
      <c r="M803" s="46" t="s">
        <v>185</v>
      </c>
      <c r="N803" s="46" t="s">
        <v>175</v>
      </c>
      <c r="O803" s="46" t="s">
        <v>165</v>
      </c>
      <c r="P803" s="46" t="s">
        <v>166</v>
      </c>
      <c r="Q803" s="46" t="str">
        <f t="shared" si="1"/>
        <v>June, 2015</v>
      </c>
      <c r="R803" s="115">
        <f t="shared" si="2"/>
        <v>42156</v>
      </c>
      <c r="S803" s="49">
        <f t="array" ref="S803">WEEKDAY(D803,2)</f>
        <v>2</v>
      </c>
      <c r="T803" s="46" t="s">
        <v>108</v>
      </c>
      <c r="U803" s="46" t="str">
        <f t="array" ref="U803">TEXT(D803,"dddd")</f>
        <v>Tuesday</v>
      </c>
    </row>
    <row r="804" hidden="1">
      <c r="A804" s="46">
        <v>6.28055179E8</v>
      </c>
      <c r="B804" s="137" t="s">
        <v>223</v>
      </c>
      <c r="C804" s="137">
        <v>2016.0</v>
      </c>
      <c r="D804" s="138">
        <v>42486.0</v>
      </c>
      <c r="E804" s="139">
        <v>42503.0</v>
      </c>
      <c r="F804" s="142" t="s">
        <v>219</v>
      </c>
      <c r="G804" s="142">
        <v>2016.0</v>
      </c>
      <c r="H804" s="46">
        <v>8681.0</v>
      </c>
      <c r="I804" s="46">
        <v>4339.0</v>
      </c>
      <c r="J804" s="84">
        <v>2825600.19</v>
      </c>
      <c r="K804" s="84">
        <v>2277801.44</v>
      </c>
      <c r="L804" s="84">
        <v>547798.75</v>
      </c>
      <c r="M804" s="46" t="s">
        <v>153</v>
      </c>
      <c r="N804" s="46" t="s">
        <v>188</v>
      </c>
      <c r="O804" s="46" t="s">
        <v>146</v>
      </c>
      <c r="P804" s="46" t="s">
        <v>170</v>
      </c>
      <c r="Q804" s="46" t="str">
        <f t="shared" si="1"/>
        <v>April, 2016</v>
      </c>
      <c r="R804" s="115">
        <f t="shared" si="2"/>
        <v>42461</v>
      </c>
      <c r="S804" s="49">
        <f t="array" ref="S804">WEEKDAY(D804,2)</f>
        <v>2</v>
      </c>
      <c r="T804" s="46" t="s">
        <v>117</v>
      </c>
      <c r="U804" s="46" t="str">
        <f t="array" ref="U804">TEXT(D804,"dddd")</f>
        <v>Tuesday</v>
      </c>
    </row>
    <row r="805" hidden="1">
      <c r="A805" s="46">
        <v>6.28515231E8</v>
      </c>
      <c r="B805" s="137" t="s">
        <v>225</v>
      </c>
      <c r="C805" s="137">
        <v>2015.0</v>
      </c>
      <c r="D805" s="138">
        <v>42363.0</v>
      </c>
      <c r="E805" s="139">
        <v>42401.0</v>
      </c>
      <c r="F805" s="142" t="s">
        <v>228</v>
      </c>
      <c r="G805" s="142">
        <v>2016.0</v>
      </c>
      <c r="H805" s="46">
        <v>5988.0</v>
      </c>
      <c r="I805" s="46">
        <v>479.0</v>
      </c>
      <c r="J805" s="84">
        <v>73794.74</v>
      </c>
      <c r="K805" s="84">
        <v>43555.47</v>
      </c>
      <c r="L805" s="84">
        <v>30239.270000000004</v>
      </c>
      <c r="M805" s="46" t="s">
        <v>159</v>
      </c>
      <c r="N805" s="46" t="s">
        <v>154</v>
      </c>
      <c r="O805" s="46" t="s">
        <v>146</v>
      </c>
      <c r="P805" s="46" t="s">
        <v>155</v>
      </c>
      <c r="Q805" s="46" t="str">
        <f t="shared" si="1"/>
        <v>December, 2015</v>
      </c>
      <c r="R805" s="115">
        <f t="shared" si="2"/>
        <v>42339</v>
      </c>
      <c r="S805" s="49">
        <f t="array" ref="S805">WEEKDAY(D805,2)</f>
        <v>5</v>
      </c>
      <c r="T805" s="46" t="s">
        <v>96</v>
      </c>
      <c r="U805" s="46" t="str">
        <f t="array" ref="U805">TEXT(D805,"dddd")</f>
        <v>Friday</v>
      </c>
    </row>
    <row r="806" hidden="1">
      <c r="A806" s="46">
        <v>6.28595054E8</v>
      </c>
      <c r="B806" s="137" t="s">
        <v>221</v>
      </c>
      <c r="C806" s="137">
        <v>2011.0</v>
      </c>
      <c r="D806" s="138">
        <v>40794.0</v>
      </c>
      <c r="E806" s="139">
        <v>40837.0</v>
      </c>
      <c r="F806" s="142" t="s">
        <v>226</v>
      </c>
      <c r="G806" s="142">
        <v>2011.0</v>
      </c>
      <c r="H806" s="46">
        <v>4594.0</v>
      </c>
      <c r="I806" s="46">
        <v>4100.0</v>
      </c>
      <c r="J806" s="84">
        <v>38253.0</v>
      </c>
      <c r="K806" s="84">
        <v>28372.0</v>
      </c>
      <c r="L806" s="84">
        <v>9881.0</v>
      </c>
      <c r="M806" s="46" t="s">
        <v>156</v>
      </c>
      <c r="N806" s="46" t="s">
        <v>194</v>
      </c>
      <c r="O806" s="46" t="s">
        <v>146</v>
      </c>
      <c r="P806" s="46" t="s">
        <v>155</v>
      </c>
      <c r="Q806" s="46" t="str">
        <f t="shared" si="1"/>
        <v>September, 2011</v>
      </c>
      <c r="R806" s="115">
        <f t="shared" si="2"/>
        <v>40787</v>
      </c>
      <c r="S806" s="49">
        <f t="array" ref="S806">WEEKDAY(D806,2)</f>
        <v>4</v>
      </c>
      <c r="T806" s="46" t="s">
        <v>123</v>
      </c>
      <c r="U806" s="46" t="str">
        <f t="array" ref="U806">TEXT(D806,"dddd")</f>
        <v>Thursday</v>
      </c>
    </row>
    <row r="807" hidden="1">
      <c r="A807" s="46">
        <v>6.2930144E8</v>
      </c>
      <c r="B807" s="137" t="s">
        <v>217</v>
      </c>
      <c r="C807" s="137">
        <v>2010.0</v>
      </c>
      <c r="D807" s="138">
        <v>40378.0</v>
      </c>
      <c r="E807" s="139">
        <v>40388.0</v>
      </c>
      <c r="F807" s="142" t="s">
        <v>217</v>
      </c>
      <c r="G807" s="142">
        <v>2010.0</v>
      </c>
      <c r="H807" s="46">
        <v>7331.0</v>
      </c>
      <c r="I807" s="46">
        <v>3135.0</v>
      </c>
      <c r="J807" s="84">
        <v>800302.8</v>
      </c>
      <c r="K807" s="84">
        <v>499781.69999999995</v>
      </c>
      <c r="L807" s="84">
        <v>300521.1000000001</v>
      </c>
      <c r="M807" s="46" t="s">
        <v>161</v>
      </c>
      <c r="N807" s="46" t="s">
        <v>198</v>
      </c>
      <c r="O807" s="46" t="s">
        <v>146</v>
      </c>
      <c r="P807" s="46" t="s">
        <v>170</v>
      </c>
      <c r="Q807" s="46" t="str">
        <f t="shared" si="1"/>
        <v>July, 2010</v>
      </c>
      <c r="R807" s="115">
        <f t="shared" si="2"/>
        <v>40360</v>
      </c>
      <c r="S807" s="49">
        <f t="array" ref="S807">WEEKDAY(D807,2)</f>
        <v>1</v>
      </c>
      <c r="T807" s="46" t="s">
        <v>127</v>
      </c>
      <c r="U807" s="46" t="str">
        <f t="array" ref="U807">TEXT(D807,"dddd")</f>
        <v>Monday</v>
      </c>
    </row>
    <row r="808" hidden="1">
      <c r="A808" s="46">
        <v>6.30219399E8</v>
      </c>
      <c r="B808" s="137" t="s">
        <v>228</v>
      </c>
      <c r="C808" s="137">
        <v>2014.0</v>
      </c>
      <c r="D808" s="138">
        <v>41691.0</v>
      </c>
      <c r="E808" s="139">
        <v>41712.0</v>
      </c>
      <c r="F808" s="142" t="s">
        <v>222</v>
      </c>
      <c r="G808" s="142">
        <v>2014.0</v>
      </c>
      <c r="H808" s="46">
        <v>7331.0</v>
      </c>
      <c r="I808" s="46">
        <v>4780.0</v>
      </c>
      <c r="J808" s="84">
        <v>1220238.4</v>
      </c>
      <c r="K808" s="84">
        <v>762027.6</v>
      </c>
      <c r="L808" s="84">
        <v>458210.79999999993</v>
      </c>
      <c r="M808" s="46" t="s">
        <v>161</v>
      </c>
      <c r="N808" s="46" t="s">
        <v>145</v>
      </c>
      <c r="O808" s="46" t="s">
        <v>146</v>
      </c>
      <c r="P808" s="46" t="s">
        <v>147</v>
      </c>
      <c r="Q808" s="46" t="str">
        <f t="shared" si="1"/>
        <v>February, 2014</v>
      </c>
      <c r="R808" s="115">
        <f t="shared" si="2"/>
        <v>41671</v>
      </c>
      <c r="S808" s="49">
        <f t="array" ref="S808">WEEKDAY(D808,2)</f>
        <v>5</v>
      </c>
      <c r="T808" s="46" t="s">
        <v>91</v>
      </c>
      <c r="U808" s="46" t="str">
        <f t="array" ref="U808">TEXT(D808,"dddd")</f>
        <v>Friday</v>
      </c>
    </row>
    <row r="809" hidden="1">
      <c r="A809" s="46">
        <v>6.30931794E8</v>
      </c>
      <c r="B809" s="137" t="s">
        <v>222</v>
      </c>
      <c r="C809" s="137">
        <v>2013.0</v>
      </c>
      <c r="D809" s="138">
        <v>41336.0</v>
      </c>
      <c r="E809" s="139">
        <v>41365.0</v>
      </c>
      <c r="F809" s="142" t="s">
        <v>223</v>
      </c>
      <c r="G809" s="142">
        <v>2013.0</v>
      </c>
      <c r="H809" s="46">
        <v>7331.0</v>
      </c>
      <c r="I809" s="46">
        <v>5593.0</v>
      </c>
      <c r="J809" s="84">
        <v>1427781.04</v>
      </c>
      <c r="K809" s="84">
        <v>891636.0599999999</v>
      </c>
      <c r="L809" s="84">
        <v>536144.9800000001</v>
      </c>
      <c r="M809" s="46" t="s">
        <v>161</v>
      </c>
      <c r="N809" s="46" t="s">
        <v>151</v>
      </c>
      <c r="O809" s="46" t="s">
        <v>146</v>
      </c>
      <c r="P809" s="46" t="s">
        <v>147</v>
      </c>
      <c r="Q809" s="46" t="str">
        <f t="shared" si="1"/>
        <v>March, 2013</v>
      </c>
      <c r="R809" s="115">
        <f t="shared" si="2"/>
        <v>41334</v>
      </c>
      <c r="S809" s="49">
        <f t="array" ref="S809">WEEKDAY(D809,2)</f>
        <v>7</v>
      </c>
      <c r="T809" s="46" t="s">
        <v>94</v>
      </c>
      <c r="U809" s="46" t="str">
        <f t="array" ref="U809">TEXT(D809,"dddd")</f>
        <v>Sunday</v>
      </c>
    </row>
    <row r="810" hidden="1">
      <c r="A810" s="46">
        <v>6.3117212E8</v>
      </c>
      <c r="B810" s="137" t="s">
        <v>222</v>
      </c>
      <c r="C810" s="137">
        <v>2012.0</v>
      </c>
      <c r="D810" s="138">
        <v>40983.0</v>
      </c>
      <c r="E810" s="139">
        <v>41019.0</v>
      </c>
      <c r="F810" s="142" t="s">
        <v>223</v>
      </c>
      <c r="G810" s="142">
        <v>2012.0</v>
      </c>
      <c r="H810" s="46">
        <v>8875.0</v>
      </c>
      <c r="I810" s="46">
        <v>6711.0</v>
      </c>
      <c r="J810" s="84">
        <v>2831303.79</v>
      </c>
      <c r="K810" s="84">
        <v>2447434.59</v>
      </c>
      <c r="L810" s="84">
        <v>383869.2000000002</v>
      </c>
      <c r="M810" s="46" t="s">
        <v>167</v>
      </c>
      <c r="N810" s="46" t="s">
        <v>168</v>
      </c>
      <c r="O810" s="46" t="s">
        <v>165</v>
      </c>
      <c r="P810" s="46" t="s">
        <v>166</v>
      </c>
      <c r="Q810" s="46" t="str">
        <f t="shared" si="1"/>
        <v>March, 2012</v>
      </c>
      <c r="R810" s="115">
        <f t="shared" si="2"/>
        <v>40969</v>
      </c>
      <c r="S810" s="49">
        <f t="array" ref="S810">WEEKDAY(D810,2)</f>
        <v>4</v>
      </c>
      <c r="T810" s="46" t="s">
        <v>102</v>
      </c>
      <c r="U810" s="46" t="str">
        <f t="array" ref="U810">TEXT(D810,"dddd")</f>
        <v>Thursday</v>
      </c>
    </row>
    <row r="811" hidden="1">
      <c r="A811" s="46">
        <v>6.3146094E8</v>
      </c>
      <c r="B811" s="137" t="s">
        <v>221</v>
      </c>
      <c r="C811" s="137">
        <v>2014.0</v>
      </c>
      <c r="D811" s="138">
        <v>41907.0</v>
      </c>
      <c r="E811" s="139">
        <v>41917.0</v>
      </c>
      <c r="F811" s="142" t="s">
        <v>226</v>
      </c>
      <c r="G811" s="142">
        <v>2014.0</v>
      </c>
      <c r="H811" s="46">
        <v>8875.0</v>
      </c>
      <c r="I811" s="46">
        <v>2180.0</v>
      </c>
      <c r="J811" s="84">
        <v>919720.2</v>
      </c>
      <c r="K811" s="84">
        <v>795024.2</v>
      </c>
      <c r="L811" s="84">
        <v>124696.0</v>
      </c>
      <c r="M811" s="46" t="s">
        <v>167</v>
      </c>
      <c r="N811" s="46" t="s">
        <v>171</v>
      </c>
      <c r="O811" s="46" t="s">
        <v>146</v>
      </c>
      <c r="P811" s="46" t="s">
        <v>147</v>
      </c>
      <c r="Q811" s="46" t="str">
        <f t="shared" si="1"/>
        <v>September, 2014</v>
      </c>
      <c r="R811" s="115">
        <f t="shared" si="2"/>
        <v>41883</v>
      </c>
      <c r="S811" s="49">
        <f t="array" ref="S811">WEEKDAY(D811,2)</f>
        <v>4</v>
      </c>
      <c r="T811" s="46" t="s">
        <v>104</v>
      </c>
      <c r="U811" s="46" t="str">
        <f t="array" ref="U811">TEXT(D811,"dddd")</f>
        <v>Thursday</v>
      </c>
    </row>
    <row r="812" hidden="1">
      <c r="A812" s="46">
        <v>6.31463515E8</v>
      </c>
      <c r="B812" s="137" t="s">
        <v>216</v>
      </c>
      <c r="C812" s="137">
        <v>2012.0</v>
      </c>
      <c r="D812" s="138">
        <v>41142.0</v>
      </c>
      <c r="E812" s="139">
        <v>41177.0</v>
      </c>
      <c r="F812" s="142" t="s">
        <v>221</v>
      </c>
      <c r="G812" s="142">
        <v>2012.0</v>
      </c>
      <c r="H812" s="46">
        <v>2455.0</v>
      </c>
      <c r="I812" s="46">
        <v>2942.0</v>
      </c>
      <c r="J812" s="84">
        <v>321501.76</v>
      </c>
      <c r="K812" s="84">
        <v>105441.28000000001</v>
      </c>
      <c r="L812" s="84">
        <v>216060.47999999998</v>
      </c>
      <c r="M812" s="46" t="s">
        <v>150</v>
      </c>
      <c r="N812" s="46" t="s">
        <v>184</v>
      </c>
      <c r="O812" s="46" t="s">
        <v>146</v>
      </c>
      <c r="P812" s="46" t="s">
        <v>155</v>
      </c>
      <c r="Q812" s="46" t="str">
        <f t="shared" si="1"/>
        <v>August, 2012</v>
      </c>
      <c r="R812" s="115">
        <f t="shared" si="2"/>
        <v>41122</v>
      </c>
      <c r="S812" s="49">
        <f t="array" ref="S812">WEEKDAY(D812,2)</f>
        <v>2</v>
      </c>
      <c r="T812" s="46" t="s">
        <v>114</v>
      </c>
      <c r="U812" s="46" t="str">
        <f t="array" ref="U812">TEXT(D812,"dddd")</f>
        <v>Tuesday</v>
      </c>
    </row>
    <row r="813" hidden="1">
      <c r="A813" s="46">
        <v>6.33312737E8</v>
      </c>
      <c r="B813" s="137" t="s">
        <v>217</v>
      </c>
      <c r="C813" s="137">
        <v>2011.0</v>
      </c>
      <c r="D813" s="138">
        <v>40741.0</v>
      </c>
      <c r="E813" s="139">
        <v>40766.0</v>
      </c>
      <c r="F813" s="142" t="s">
        <v>216</v>
      </c>
      <c r="G813" s="142">
        <v>2011.0</v>
      </c>
      <c r="H813" s="46">
        <v>8875.0</v>
      </c>
      <c r="I813" s="46">
        <v>167.0</v>
      </c>
      <c r="J813" s="84">
        <v>70455.63</v>
      </c>
      <c r="K813" s="84">
        <v>60903.23</v>
      </c>
      <c r="L813" s="84">
        <v>9552.400000000001</v>
      </c>
      <c r="M813" s="46" t="s">
        <v>167</v>
      </c>
      <c r="N813" s="46" t="s">
        <v>157</v>
      </c>
      <c r="O813" s="46" t="s">
        <v>146</v>
      </c>
      <c r="P813" s="46" t="s">
        <v>158</v>
      </c>
      <c r="Q813" s="46" t="str">
        <f t="shared" si="1"/>
        <v>July, 2011</v>
      </c>
      <c r="R813" s="115">
        <f t="shared" si="2"/>
        <v>40725</v>
      </c>
      <c r="S813" s="49">
        <f t="array" ref="S813">WEEKDAY(D813,2)</f>
        <v>7</v>
      </c>
      <c r="T813" s="46" t="s">
        <v>97</v>
      </c>
      <c r="U813" s="46" t="str">
        <f t="array" ref="U813">TEXT(D813,"dddd")</f>
        <v>Sunday</v>
      </c>
    </row>
    <row r="814" hidden="1">
      <c r="A814" s="46">
        <v>6.33806264E8</v>
      </c>
      <c r="B814" s="137" t="s">
        <v>223</v>
      </c>
      <c r="C814" s="137">
        <v>2014.0</v>
      </c>
      <c r="D814" s="138">
        <v>41744.0</v>
      </c>
      <c r="E814" s="139">
        <v>41755.0</v>
      </c>
      <c r="F814" s="142" t="s">
        <v>223</v>
      </c>
      <c r="G814" s="142">
        <v>2014.0</v>
      </c>
      <c r="H814" s="46">
        <v>2455.0</v>
      </c>
      <c r="I814" s="46">
        <v>6213.0</v>
      </c>
      <c r="J814" s="84">
        <v>678956.64</v>
      </c>
      <c r="K814" s="84">
        <v>222673.92</v>
      </c>
      <c r="L814" s="84">
        <v>456282.72</v>
      </c>
      <c r="M814" s="46" t="s">
        <v>150</v>
      </c>
      <c r="N814" s="46" t="s">
        <v>157</v>
      </c>
      <c r="O814" s="46" t="s">
        <v>146</v>
      </c>
      <c r="P814" s="46" t="s">
        <v>158</v>
      </c>
      <c r="Q814" s="46" t="str">
        <f t="shared" si="1"/>
        <v>April, 2014</v>
      </c>
      <c r="R814" s="115">
        <f t="shared" si="2"/>
        <v>41730</v>
      </c>
      <c r="S814" s="49">
        <f t="array" ref="S814">WEEKDAY(D814,2)</f>
        <v>2</v>
      </c>
      <c r="T814" s="46" t="s">
        <v>97</v>
      </c>
      <c r="U814" s="46" t="str">
        <f t="array" ref="U814">TEXT(D814,"dddd")</f>
        <v>Tuesday</v>
      </c>
    </row>
    <row r="815" hidden="1">
      <c r="A815" s="46">
        <v>6.33992946E8</v>
      </c>
      <c r="B815" s="137" t="s">
        <v>227</v>
      </c>
      <c r="C815" s="137">
        <v>2014.0</v>
      </c>
      <c r="D815" s="138">
        <v>41643.0</v>
      </c>
      <c r="E815" s="139">
        <v>41645.0</v>
      </c>
      <c r="F815" s="142" t="s">
        <v>227</v>
      </c>
      <c r="G815" s="142">
        <v>2014.0</v>
      </c>
      <c r="H815" s="46">
        <v>4594.0</v>
      </c>
      <c r="I815" s="46">
        <v>1456.0</v>
      </c>
      <c r="J815" s="84">
        <v>13584.48</v>
      </c>
      <c r="K815" s="84">
        <v>10075.52</v>
      </c>
      <c r="L815" s="84">
        <v>3508.959999999999</v>
      </c>
      <c r="M815" s="46" t="s">
        <v>156</v>
      </c>
      <c r="N815" s="46" t="s">
        <v>194</v>
      </c>
      <c r="O815" s="46" t="s">
        <v>146</v>
      </c>
      <c r="P815" s="46" t="s">
        <v>155</v>
      </c>
      <c r="Q815" s="46" t="str">
        <f t="shared" si="1"/>
        <v>January, 2014</v>
      </c>
      <c r="R815" s="115">
        <f t="shared" si="2"/>
        <v>41640</v>
      </c>
      <c r="S815" s="49">
        <f t="array" ref="S815">WEEKDAY(D815,2)</f>
        <v>6</v>
      </c>
      <c r="T815" s="46" t="s">
        <v>123</v>
      </c>
      <c r="U815" s="46" t="str">
        <f t="array" ref="U815">TEXT(D815,"dddd")</f>
        <v>Saturday</v>
      </c>
    </row>
    <row r="816" hidden="1">
      <c r="A816" s="46">
        <v>6.34033286E8</v>
      </c>
      <c r="B816" s="137" t="s">
        <v>227</v>
      </c>
      <c r="C816" s="137">
        <v>2014.0</v>
      </c>
      <c r="D816" s="138">
        <v>41653.0</v>
      </c>
      <c r="E816" s="139">
        <v>41654.0</v>
      </c>
      <c r="F816" s="142" t="s">
        <v>227</v>
      </c>
      <c r="G816" s="142">
        <v>2014.0</v>
      </c>
      <c r="H816" s="46">
        <v>3127.0</v>
      </c>
      <c r="I816" s="46">
        <v>3394.0</v>
      </c>
      <c r="J816" s="84">
        <v>277391.62</v>
      </c>
      <c r="K816" s="84">
        <v>192337.98</v>
      </c>
      <c r="L816" s="84">
        <v>85053.63999999998</v>
      </c>
      <c r="M816" s="46" t="s">
        <v>185</v>
      </c>
      <c r="N816" s="46" t="s">
        <v>183</v>
      </c>
      <c r="O816" s="46" t="s">
        <v>146</v>
      </c>
      <c r="P816" s="46" t="s">
        <v>170</v>
      </c>
      <c r="Q816" s="46" t="str">
        <f t="shared" si="1"/>
        <v>January, 2014</v>
      </c>
      <c r="R816" s="115">
        <f t="shared" si="2"/>
        <v>41640</v>
      </c>
      <c r="S816" s="49">
        <f t="array" ref="S816">WEEKDAY(D816,2)</f>
        <v>2</v>
      </c>
      <c r="T816" s="46" t="s">
        <v>90</v>
      </c>
      <c r="U816" s="46" t="str">
        <f t="array" ref="U816">TEXT(D816,"dddd")</f>
        <v>Tuesday</v>
      </c>
    </row>
    <row r="817" hidden="1">
      <c r="A817" s="46">
        <v>6.36278617E8</v>
      </c>
      <c r="B817" s="137" t="s">
        <v>228</v>
      </c>
      <c r="C817" s="137">
        <v>2014.0</v>
      </c>
      <c r="D817" s="138">
        <v>41672.0</v>
      </c>
      <c r="E817" s="139">
        <v>41720.0</v>
      </c>
      <c r="F817" s="142" t="s">
        <v>222</v>
      </c>
      <c r="G817" s="142">
        <v>2014.0</v>
      </c>
      <c r="H817" s="46">
        <v>4594.0</v>
      </c>
      <c r="I817" s="46">
        <v>7837.0</v>
      </c>
      <c r="J817" s="84">
        <v>73119.21</v>
      </c>
      <c r="K817" s="84">
        <v>54232.04</v>
      </c>
      <c r="L817" s="84">
        <v>18887.170000000006</v>
      </c>
      <c r="M817" s="46" t="s">
        <v>156</v>
      </c>
      <c r="N817" s="46" t="s">
        <v>197</v>
      </c>
      <c r="O817" s="46" t="s">
        <v>146</v>
      </c>
      <c r="P817" s="46" t="s">
        <v>147</v>
      </c>
      <c r="Q817" s="46" t="str">
        <f t="shared" si="1"/>
        <v>February, 2014</v>
      </c>
      <c r="R817" s="115">
        <f t="shared" si="2"/>
        <v>41671</v>
      </c>
      <c r="S817" s="49">
        <f t="array" ref="S817">WEEKDAY(D817,2)</f>
        <v>7</v>
      </c>
      <c r="T817" s="46" t="s">
        <v>126</v>
      </c>
      <c r="U817" s="46" t="str">
        <f t="array" ref="U817">TEXT(D817,"dddd")</f>
        <v>Sunday</v>
      </c>
    </row>
    <row r="818" hidden="1">
      <c r="A818" s="46">
        <v>6.36360585E8</v>
      </c>
      <c r="B818" s="137" t="s">
        <v>228</v>
      </c>
      <c r="C818" s="137">
        <v>2013.0</v>
      </c>
      <c r="D818" s="138">
        <v>41310.0</v>
      </c>
      <c r="E818" s="139">
        <v>41341.0</v>
      </c>
      <c r="F818" s="142" t="s">
        <v>222</v>
      </c>
      <c r="G818" s="142">
        <v>2013.0</v>
      </c>
      <c r="H818" s="46">
        <v>2103.0</v>
      </c>
      <c r="I818" s="46">
        <v>2093.0</v>
      </c>
      <c r="J818" s="84">
        <v>430530.1</v>
      </c>
      <c r="K818" s="84">
        <v>245111.23</v>
      </c>
      <c r="L818" s="84">
        <v>185418.86999999997</v>
      </c>
      <c r="M818" s="46" t="s">
        <v>144</v>
      </c>
      <c r="N818" s="46" t="s">
        <v>186</v>
      </c>
      <c r="O818" s="46" t="s">
        <v>146</v>
      </c>
      <c r="P818" s="46" t="s">
        <v>147</v>
      </c>
      <c r="Q818" s="46" t="str">
        <f t="shared" si="1"/>
        <v>February, 2013</v>
      </c>
      <c r="R818" s="115">
        <f t="shared" si="2"/>
        <v>41306</v>
      </c>
      <c r="S818" s="49">
        <f t="array" ref="S818">WEEKDAY(D818,2)</f>
        <v>2</v>
      </c>
      <c r="T818" s="46" t="s">
        <v>115</v>
      </c>
      <c r="U818" s="46" t="str">
        <f t="array" ref="U818">TEXT(D818,"dddd")</f>
        <v>Tuesday</v>
      </c>
    </row>
    <row r="819" hidden="1">
      <c r="A819" s="46">
        <v>6.36907756E8</v>
      </c>
      <c r="B819" s="137" t="s">
        <v>228</v>
      </c>
      <c r="C819" s="137">
        <v>2015.0</v>
      </c>
      <c r="D819" s="138">
        <v>42061.0</v>
      </c>
      <c r="E819" s="139">
        <v>42095.0</v>
      </c>
      <c r="F819" s="142" t="s">
        <v>223</v>
      </c>
      <c r="G819" s="142">
        <v>2015.0</v>
      </c>
      <c r="H819" s="46">
        <v>5988.0</v>
      </c>
      <c r="I819" s="46">
        <v>4013.0</v>
      </c>
      <c r="J819" s="84">
        <v>618242.78</v>
      </c>
      <c r="K819" s="84">
        <v>364902.09</v>
      </c>
      <c r="L819" s="84">
        <v>253340.69</v>
      </c>
      <c r="M819" s="46" t="s">
        <v>159</v>
      </c>
      <c r="N819" s="46" t="s">
        <v>168</v>
      </c>
      <c r="O819" s="46" t="s">
        <v>165</v>
      </c>
      <c r="P819" s="46" t="s">
        <v>166</v>
      </c>
      <c r="Q819" s="46" t="str">
        <f t="shared" si="1"/>
        <v>February, 2015</v>
      </c>
      <c r="R819" s="115">
        <f t="shared" si="2"/>
        <v>42036</v>
      </c>
      <c r="S819" s="49">
        <f t="array" ref="S819">WEEKDAY(D819,2)</f>
        <v>4</v>
      </c>
      <c r="T819" s="46" t="s">
        <v>102</v>
      </c>
      <c r="U819" s="46" t="str">
        <f t="array" ref="U819">TEXT(D819,"dddd")</f>
        <v>Thursday</v>
      </c>
    </row>
    <row r="820" hidden="1">
      <c r="A820" s="46">
        <v>6.37040793E8</v>
      </c>
      <c r="B820" s="137" t="s">
        <v>217</v>
      </c>
      <c r="C820" s="137">
        <v>2015.0</v>
      </c>
      <c r="D820" s="138">
        <v>42211.0</v>
      </c>
      <c r="E820" s="139">
        <v>42220.0</v>
      </c>
      <c r="F820" s="142" t="s">
        <v>216</v>
      </c>
      <c r="G820" s="142">
        <v>2015.0</v>
      </c>
      <c r="H820" s="46">
        <v>8969.0</v>
      </c>
      <c r="I820" s="46">
        <v>3382.0</v>
      </c>
      <c r="J820" s="84">
        <v>516025.56000000006</v>
      </c>
      <c r="K820" s="84">
        <v>329542.08</v>
      </c>
      <c r="L820" s="84">
        <v>186483.48000000004</v>
      </c>
      <c r="M820" s="46" t="s">
        <v>182</v>
      </c>
      <c r="N820" s="46" t="s">
        <v>154</v>
      </c>
      <c r="O820" s="46" t="s">
        <v>146</v>
      </c>
      <c r="P820" s="46" t="s">
        <v>155</v>
      </c>
      <c r="Q820" s="46" t="str">
        <f t="shared" si="1"/>
        <v>July, 2015</v>
      </c>
      <c r="R820" s="115">
        <f t="shared" si="2"/>
        <v>42186</v>
      </c>
      <c r="S820" s="49">
        <f t="array" ref="S820">WEEKDAY(D820,2)</f>
        <v>7</v>
      </c>
      <c r="T820" s="46" t="s">
        <v>96</v>
      </c>
      <c r="U820" s="46" t="str">
        <f t="array" ref="U820">TEXT(D820,"dddd")</f>
        <v>Sunday</v>
      </c>
    </row>
    <row r="821" hidden="1">
      <c r="A821" s="46">
        <v>6.37188422E8</v>
      </c>
      <c r="B821" s="137" t="s">
        <v>222</v>
      </c>
      <c r="C821" s="137">
        <v>2014.0</v>
      </c>
      <c r="D821" s="138">
        <v>41718.0</v>
      </c>
      <c r="E821" s="139">
        <v>41758.0</v>
      </c>
      <c r="F821" s="142" t="s">
        <v>223</v>
      </c>
      <c r="G821" s="142">
        <v>2014.0</v>
      </c>
      <c r="H821" s="46">
        <v>8293.0</v>
      </c>
      <c r="I821" s="46">
        <v>7069.0</v>
      </c>
      <c r="J821" s="84">
        <v>3090566.8</v>
      </c>
      <c r="K821" s="84">
        <v>1861479.7699999998</v>
      </c>
      <c r="L821" s="84">
        <v>1229087.03</v>
      </c>
      <c r="M821" s="46" t="s">
        <v>178</v>
      </c>
      <c r="N821" s="46" t="s">
        <v>157</v>
      </c>
      <c r="O821" s="46" t="s">
        <v>146</v>
      </c>
      <c r="P821" s="46" t="s">
        <v>158</v>
      </c>
      <c r="Q821" s="46" t="str">
        <f t="shared" si="1"/>
        <v>March, 2014</v>
      </c>
      <c r="R821" s="115">
        <f t="shared" si="2"/>
        <v>41699</v>
      </c>
      <c r="S821" s="49">
        <f t="array" ref="S821">WEEKDAY(D821,2)</f>
        <v>4</v>
      </c>
      <c r="T821" s="46" t="s">
        <v>97</v>
      </c>
      <c r="U821" s="46" t="str">
        <f t="array" ref="U821">TEXT(D821,"dddd")</f>
        <v>Thursday</v>
      </c>
    </row>
    <row r="822" hidden="1">
      <c r="A822" s="46">
        <v>6.3804115E8</v>
      </c>
      <c r="B822" s="137" t="s">
        <v>226</v>
      </c>
      <c r="C822" s="137">
        <v>2012.0</v>
      </c>
      <c r="D822" s="138">
        <v>41191.0</v>
      </c>
      <c r="E822" s="139">
        <v>41241.0</v>
      </c>
      <c r="F822" s="142" t="s">
        <v>224</v>
      </c>
      <c r="G822" s="142">
        <v>2012.0</v>
      </c>
      <c r="H822" s="46">
        <v>7331.0</v>
      </c>
      <c r="I822" s="46">
        <v>9410.0</v>
      </c>
      <c r="J822" s="84">
        <v>2402184.8</v>
      </c>
      <c r="K822" s="84">
        <v>1500142.2</v>
      </c>
      <c r="L822" s="84">
        <v>902042.5999999999</v>
      </c>
      <c r="M822" s="46" t="s">
        <v>161</v>
      </c>
      <c r="N822" s="46" t="s">
        <v>204</v>
      </c>
      <c r="O822" s="46" t="s">
        <v>146</v>
      </c>
      <c r="P822" s="46" t="s">
        <v>147</v>
      </c>
      <c r="Q822" s="46" t="str">
        <f t="shared" si="1"/>
        <v>October, 2012</v>
      </c>
      <c r="R822" s="115">
        <f t="shared" si="2"/>
        <v>41183</v>
      </c>
      <c r="S822" s="49">
        <f t="array" ref="S822">WEEKDAY(D822,2)</f>
        <v>2</v>
      </c>
      <c r="T822" s="46" t="s">
        <v>133</v>
      </c>
      <c r="U822" s="46" t="str">
        <f t="array" ref="U822">TEXT(D822,"dddd")</f>
        <v>Tuesday</v>
      </c>
    </row>
    <row r="823">
      <c r="A823" s="46">
        <v>6.38314521E8</v>
      </c>
      <c r="B823" s="137" t="s">
        <v>221</v>
      </c>
      <c r="C823" s="137">
        <v>2012.0</v>
      </c>
      <c r="D823" s="138">
        <v>41169.0</v>
      </c>
      <c r="E823" s="139">
        <v>41197.0</v>
      </c>
      <c r="F823" s="142" t="s">
        <v>226</v>
      </c>
      <c r="G823" s="142">
        <v>2012.0</v>
      </c>
      <c r="H823" s="46">
        <v>8875.0</v>
      </c>
      <c r="I823" s="46">
        <v>306.0</v>
      </c>
      <c r="J823" s="84">
        <v>129098.34</v>
      </c>
      <c r="K823" s="84">
        <v>111595.14</v>
      </c>
      <c r="L823" s="84">
        <v>17503.199999999997</v>
      </c>
      <c r="M823" s="46" t="s">
        <v>167</v>
      </c>
      <c r="N823" s="46" t="s">
        <v>149</v>
      </c>
      <c r="O823" s="46" t="s">
        <v>149</v>
      </c>
      <c r="P823" s="46" t="s">
        <v>218</v>
      </c>
      <c r="Q823" s="46" t="str">
        <f t="shared" si="1"/>
        <v>September, 2012</v>
      </c>
      <c r="R823" s="115">
        <f t="shared" si="2"/>
        <v>41153</v>
      </c>
      <c r="S823" s="49">
        <f t="array" ref="S823">WEEKDAY(D823,2)</f>
        <v>1</v>
      </c>
      <c r="T823" s="46" t="s">
        <v>92</v>
      </c>
      <c r="U823" s="46" t="str">
        <f t="array" ref="U823">TEXT(D823,"dddd")</f>
        <v>Monday</v>
      </c>
    </row>
    <row r="824" hidden="1">
      <c r="A824" s="46">
        <v>6.385939E8</v>
      </c>
      <c r="B824" s="137" t="s">
        <v>226</v>
      </c>
      <c r="C824" s="137">
        <v>2012.0</v>
      </c>
      <c r="D824" s="138">
        <v>41208.0</v>
      </c>
      <c r="E824" s="139">
        <v>41255.0</v>
      </c>
      <c r="F824" s="142" t="s">
        <v>225</v>
      </c>
      <c r="G824" s="142">
        <v>2012.0</v>
      </c>
      <c r="H824" s="46">
        <v>8293.0</v>
      </c>
      <c r="I824" s="46">
        <v>2981.0</v>
      </c>
      <c r="J824" s="84">
        <v>1303293.2</v>
      </c>
      <c r="K824" s="84">
        <v>784986.73</v>
      </c>
      <c r="L824" s="84">
        <v>518306.47</v>
      </c>
      <c r="M824" s="46" t="s">
        <v>178</v>
      </c>
      <c r="N824" s="46" t="s">
        <v>203</v>
      </c>
      <c r="O824" s="46" t="s">
        <v>146</v>
      </c>
      <c r="P824" s="46" t="s">
        <v>170</v>
      </c>
      <c r="Q824" s="46" t="str">
        <f t="shared" si="1"/>
        <v>October, 2012</v>
      </c>
      <c r="R824" s="115">
        <f t="shared" si="2"/>
        <v>41183</v>
      </c>
      <c r="S824" s="49">
        <f t="array" ref="S824">WEEKDAY(D824,2)</f>
        <v>5</v>
      </c>
      <c r="T824" s="46" t="s">
        <v>132</v>
      </c>
      <c r="U824" s="46" t="str">
        <f t="array" ref="U824">TEXT(D824,"dddd")</f>
        <v>Friday</v>
      </c>
    </row>
    <row r="825" hidden="1">
      <c r="A825" s="46">
        <v>6.38856971E8</v>
      </c>
      <c r="B825" s="137" t="s">
        <v>217</v>
      </c>
      <c r="C825" s="137">
        <v>2013.0</v>
      </c>
      <c r="D825" s="138">
        <v>41479.0</v>
      </c>
      <c r="E825" s="139">
        <v>41507.0</v>
      </c>
      <c r="F825" s="142" t="s">
        <v>216</v>
      </c>
      <c r="G825" s="142">
        <v>2013.0</v>
      </c>
      <c r="H825" s="46">
        <v>3127.0</v>
      </c>
      <c r="I825" s="46">
        <v>829.0</v>
      </c>
      <c r="J825" s="84">
        <v>67754.17</v>
      </c>
      <c r="K825" s="84">
        <v>46979.43</v>
      </c>
      <c r="L825" s="84">
        <v>20774.739999999998</v>
      </c>
      <c r="M825" s="46" t="s">
        <v>185</v>
      </c>
      <c r="N825" s="46" t="s">
        <v>187</v>
      </c>
      <c r="O825" s="46" t="s">
        <v>146</v>
      </c>
      <c r="P825" s="46" t="s">
        <v>155</v>
      </c>
      <c r="Q825" s="46" t="str">
        <f t="shared" si="1"/>
        <v>July, 2013</v>
      </c>
      <c r="R825" s="115">
        <f t="shared" si="2"/>
        <v>41456</v>
      </c>
      <c r="S825" s="49">
        <f t="array" ref="S825">WEEKDAY(D825,2)</f>
        <v>3</v>
      </c>
      <c r="T825" s="46" t="s">
        <v>116</v>
      </c>
      <c r="U825" s="46" t="str">
        <f t="array" ref="U825">TEXT(D825,"dddd")</f>
        <v>Wednesday</v>
      </c>
    </row>
    <row r="826" hidden="1">
      <c r="A826" s="46">
        <v>6.38937652E8</v>
      </c>
      <c r="B826" s="137" t="s">
        <v>216</v>
      </c>
      <c r="C826" s="137">
        <v>2013.0</v>
      </c>
      <c r="D826" s="138">
        <v>41498.0</v>
      </c>
      <c r="E826" s="139">
        <v>41523.0</v>
      </c>
      <c r="F826" s="142" t="s">
        <v>221</v>
      </c>
      <c r="G826" s="142">
        <v>2013.0</v>
      </c>
      <c r="H826" s="46">
        <v>4594.0</v>
      </c>
      <c r="I826" s="46">
        <v>4705.0</v>
      </c>
      <c r="J826" s="84">
        <v>43897.65</v>
      </c>
      <c r="K826" s="84">
        <v>32558.6</v>
      </c>
      <c r="L826" s="84">
        <v>11339.050000000003</v>
      </c>
      <c r="M826" s="46" t="s">
        <v>156</v>
      </c>
      <c r="N826" s="46" t="s">
        <v>183</v>
      </c>
      <c r="O826" s="46" t="s">
        <v>146</v>
      </c>
      <c r="P826" s="46" t="s">
        <v>170</v>
      </c>
      <c r="Q826" s="46" t="str">
        <f t="shared" si="1"/>
        <v>August, 2013</v>
      </c>
      <c r="R826" s="115">
        <f t="shared" si="2"/>
        <v>41487</v>
      </c>
      <c r="S826" s="49">
        <f t="array" ref="S826">WEEKDAY(D826,2)</f>
        <v>1</v>
      </c>
      <c r="T826" s="46" t="s">
        <v>90</v>
      </c>
      <c r="U826" s="46" t="str">
        <f t="array" ref="U826">TEXT(D826,"dddd")</f>
        <v>Monday</v>
      </c>
    </row>
    <row r="827" hidden="1">
      <c r="A827" s="46">
        <v>6.38957822E8</v>
      </c>
      <c r="B827" s="137" t="s">
        <v>219</v>
      </c>
      <c r="C827" s="137">
        <v>2017.0</v>
      </c>
      <c r="D827" s="138">
        <v>42886.0</v>
      </c>
      <c r="E827" s="139">
        <v>42910.0</v>
      </c>
      <c r="F827" s="142" t="s">
        <v>220</v>
      </c>
      <c r="G827" s="142">
        <v>2017.0</v>
      </c>
      <c r="H827" s="46">
        <v>1270.0</v>
      </c>
      <c r="I827" s="46">
        <v>673.0</v>
      </c>
      <c r="J827" s="84">
        <v>31933.850000000002</v>
      </c>
      <c r="K827" s="84">
        <v>21394.67</v>
      </c>
      <c r="L827" s="84">
        <v>10539.180000000004</v>
      </c>
      <c r="M827" s="46" t="s">
        <v>152</v>
      </c>
      <c r="N827" s="46" t="s">
        <v>154</v>
      </c>
      <c r="O827" s="46" t="s">
        <v>146</v>
      </c>
      <c r="P827" s="46" t="s">
        <v>155</v>
      </c>
      <c r="Q827" s="46" t="str">
        <f t="shared" si="1"/>
        <v>May, 2017</v>
      </c>
      <c r="R827" s="115">
        <f t="shared" si="2"/>
        <v>42856</v>
      </c>
      <c r="S827" s="49">
        <f t="array" ref="S827">WEEKDAY(D827,2)</f>
        <v>3</v>
      </c>
      <c r="T827" s="46" t="s">
        <v>96</v>
      </c>
      <c r="U827" s="46" t="str">
        <f t="array" ref="U827">TEXT(D827,"dddd")</f>
        <v>Wednesday</v>
      </c>
    </row>
    <row r="828" hidden="1">
      <c r="A828" s="46">
        <v>6.39126908E8</v>
      </c>
      <c r="B828" s="137" t="s">
        <v>222</v>
      </c>
      <c r="C828" s="137">
        <v>2011.0</v>
      </c>
      <c r="D828" s="138">
        <v>40632.0</v>
      </c>
      <c r="E828" s="139">
        <v>40673.0</v>
      </c>
      <c r="F828" s="142" t="s">
        <v>219</v>
      </c>
      <c r="G828" s="142">
        <v>2011.0</v>
      </c>
      <c r="H828" s="46">
        <v>2103.0</v>
      </c>
      <c r="I828" s="46">
        <v>710.0</v>
      </c>
      <c r="J828" s="84">
        <v>146047.0</v>
      </c>
      <c r="K828" s="84">
        <v>83148.1</v>
      </c>
      <c r="L828" s="84">
        <v>62898.899999999994</v>
      </c>
      <c r="M828" s="46" t="s">
        <v>144</v>
      </c>
      <c r="N828" s="46" t="s">
        <v>204</v>
      </c>
      <c r="O828" s="46" t="s">
        <v>146</v>
      </c>
      <c r="P828" s="46" t="s">
        <v>147</v>
      </c>
      <c r="Q828" s="46" t="str">
        <f t="shared" si="1"/>
        <v>March, 2011</v>
      </c>
      <c r="R828" s="115">
        <f t="shared" si="2"/>
        <v>40603</v>
      </c>
      <c r="S828" s="49">
        <f t="array" ref="S828">WEEKDAY(D828,2)</f>
        <v>3</v>
      </c>
      <c r="T828" s="46" t="s">
        <v>133</v>
      </c>
      <c r="U828" s="46" t="str">
        <f t="array" ref="U828">TEXT(D828,"dddd")</f>
        <v>Wednesday</v>
      </c>
    </row>
    <row r="829" hidden="1">
      <c r="A829" s="46">
        <v>6.40295922E8</v>
      </c>
      <c r="B829" s="137" t="s">
        <v>223</v>
      </c>
      <c r="C829" s="137">
        <v>2015.0</v>
      </c>
      <c r="D829" s="138">
        <v>42095.0</v>
      </c>
      <c r="E829" s="139">
        <v>42097.0</v>
      </c>
      <c r="F829" s="142" t="s">
        <v>223</v>
      </c>
      <c r="G829" s="142">
        <v>2015.0</v>
      </c>
      <c r="H829" s="46">
        <v>7331.0</v>
      </c>
      <c r="I829" s="46">
        <v>6647.0</v>
      </c>
      <c r="J829" s="84">
        <v>1696846.16</v>
      </c>
      <c r="K829" s="84">
        <v>1059664.74</v>
      </c>
      <c r="L829" s="84">
        <v>637181.4199999999</v>
      </c>
      <c r="M829" s="46" t="s">
        <v>161</v>
      </c>
      <c r="N829" s="46" t="s">
        <v>204</v>
      </c>
      <c r="O829" s="46" t="s">
        <v>146</v>
      </c>
      <c r="P829" s="46" t="s">
        <v>147</v>
      </c>
      <c r="Q829" s="46" t="str">
        <f t="shared" si="1"/>
        <v>April, 2015</v>
      </c>
      <c r="R829" s="115">
        <f t="shared" si="2"/>
        <v>42095</v>
      </c>
      <c r="S829" s="49">
        <f t="array" ref="S829">WEEKDAY(D829,2)</f>
        <v>3</v>
      </c>
      <c r="T829" s="46" t="s">
        <v>133</v>
      </c>
      <c r="U829" s="46" t="str">
        <f t="array" ref="U829">TEXT(D829,"dddd")</f>
        <v>Wednesday</v>
      </c>
    </row>
    <row r="830" hidden="1">
      <c r="A830" s="46">
        <v>6.40394628E8</v>
      </c>
      <c r="B830" s="137" t="s">
        <v>226</v>
      </c>
      <c r="C830" s="137">
        <v>2015.0</v>
      </c>
      <c r="D830" s="138">
        <v>42296.0</v>
      </c>
      <c r="E830" s="139">
        <v>42315.0</v>
      </c>
      <c r="F830" s="142" t="s">
        <v>224</v>
      </c>
      <c r="G830" s="142">
        <v>2015.0</v>
      </c>
      <c r="H830" s="46">
        <v>8681.0</v>
      </c>
      <c r="I830" s="46">
        <v>5856.0</v>
      </c>
      <c r="J830" s="84">
        <v>3813485.7600000002</v>
      </c>
      <c r="K830" s="84">
        <v>3074165.7600000002</v>
      </c>
      <c r="L830" s="84">
        <v>739320.0</v>
      </c>
      <c r="M830" s="46" t="s">
        <v>153</v>
      </c>
      <c r="N830" s="46" t="s">
        <v>204</v>
      </c>
      <c r="O830" s="46" t="s">
        <v>146</v>
      </c>
      <c r="P830" s="46" t="s">
        <v>147</v>
      </c>
      <c r="Q830" s="46" t="str">
        <f t="shared" si="1"/>
        <v>October, 2015</v>
      </c>
      <c r="R830" s="115">
        <f t="shared" si="2"/>
        <v>42278</v>
      </c>
      <c r="S830" s="49">
        <f t="array" ref="S830">WEEKDAY(D830,2)</f>
        <v>1</v>
      </c>
      <c r="T830" s="46" t="s">
        <v>133</v>
      </c>
      <c r="U830" s="46" t="str">
        <f t="array" ref="U830">TEXT(D830,"dddd")</f>
        <v>Monday</v>
      </c>
    </row>
    <row r="831" hidden="1">
      <c r="A831" s="46">
        <v>6.40476596E8</v>
      </c>
      <c r="B831" s="137" t="s">
        <v>226</v>
      </c>
      <c r="C831" s="137">
        <v>2014.0</v>
      </c>
      <c r="D831" s="138">
        <v>41933.0</v>
      </c>
      <c r="E831" s="139">
        <v>41936.0</v>
      </c>
      <c r="F831" s="142" t="s">
        <v>226</v>
      </c>
      <c r="G831" s="142">
        <v>2014.0</v>
      </c>
      <c r="H831" s="46">
        <v>4594.0</v>
      </c>
      <c r="I831" s="46">
        <v>112.0</v>
      </c>
      <c r="J831" s="84">
        <v>1044.96</v>
      </c>
      <c r="K831" s="84">
        <v>775.04</v>
      </c>
      <c r="L831" s="84">
        <v>269.9200000000001</v>
      </c>
      <c r="M831" s="46" t="s">
        <v>156</v>
      </c>
      <c r="N831" s="46" t="s">
        <v>207</v>
      </c>
      <c r="O831" s="46" t="s">
        <v>146</v>
      </c>
      <c r="P831" s="46" t="s">
        <v>170</v>
      </c>
      <c r="Q831" s="46" t="str">
        <f t="shared" si="1"/>
        <v>October, 2014</v>
      </c>
      <c r="R831" s="115">
        <f t="shared" si="2"/>
        <v>41913</v>
      </c>
      <c r="S831" s="49">
        <f t="array" ref="S831">WEEKDAY(D831,2)</f>
        <v>2</v>
      </c>
      <c r="T831" s="46" t="s">
        <v>137</v>
      </c>
      <c r="U831" s="46" t="str">
        <f t="array" ref="U831">TEXT(D831,"dddd")</f>
        <v>Tuesday</v>
      </c>
    </row>
    <row r="832" hidden="1">
      <c r="A832" s="46">
        <v>6.41537463E8</v>
      </c>
      <c r="B832" s="137" t="s">
        <v>224</v>
      </c>
      <c r="C832" s="137">
        <v>2015.0</v>
      </c>
      <c r="D832" s="138">
        <v>42310.0</v>
      </c>
      <c r="E832" s="139">
        <v>42352.0</v>
      </c>
      <c r="F832" s="142" t="s">
        <v>225</v>
      </c>
      <c r="G832" s="142">
        <v>2015.0</v>
      </c>
      <c r="H832" s="46">
        <v>8681.0</v>
      </c>
      <c r="I832" s="46">
        <v>4047.0</v>
      </c>
      <c r="J832" s="84">
        <v>2635446.87</v>
      </c>
      <c r="K832" s="84">
        <v>2124513.12</v>
      </c>
      <c r="L832" s="84">
        <v>510933.75</v>
      </c>
      <c r="M832" s="46" t="s">
        <v>153</v>
      </c>
      <c r="N832" s="46" t="s">
        <v>196</v>
      </c>
      <c r="O832" s="46" t="s">
        <v>146</v>
      </c>
      <c r="P832" s="46" t="s">
        <v>155</v>
      </c>
      <c r="Q832" s="46" t="str">
        <f t="shared" si="1"/>
        <v>November, 2015</v>
      </c>
      <c r="R832" s="115">
        <f t="shared" si="2"/>
        <v>42309</v>
      </c>
      <c r="S832" s="49">
        <f t="array" ref="S832">WEEKDAY(D832,2)</f>
        <v>1</v>
      </c>
      <c r="T832" s="46" t="s">
        <v>125</v>
      </c>
      <c r="U832" s="46" t="str">
        <f t="array" ref="U832">TEXT(D832,"dddd")</f>
        <v>Monday</v>
      </c>
    </row>
    <row r="833" hidden="1">
      <c r="A833" s="46">
        <v>6.42123687E8</v>
      </c>
      <c r="B833" s="137" t="s">
        <v>219</v>
      </c>
      <c r="C833" s="137">
        <v>2011.0</v>
      </c>
      <c r="D833" s="138">
        <v>40688.0</v>
      </c>
      <c r="E833" s="139">
        <v>40693.0</v>
      </c>
      <c r="F833" s="142" t="s">
        <v>219</v>
      </c>
      <c r="G833" s="142">
        <v>2011.0</v>
      </c>
      <c r="H833" s="46">
        <v>1270.0</v>
      </c>
      <c r="I833" s="46">
        <v>7523.0</v>
      </c>
      <c r="J833" s="84">
        <v>356966.35000000003</v>
      </c>
      <c r="K833" s="84">
        <v>239156.16999999998</v>
      </c>
      <c r="L833" s="84">
        <v>117810.18000000005</v>
      </c>
      <c r="M833" s="46" t="s">
        <v>152</v>
      </c>
      <c r="N833" s="46" t="s">
        <v>208</v>
      </c>
      <c r="O833" s="46" t="s">
        <v>146</v>
      </c>
      <c r="P833" s="46" t="s">
        <v>147</v>
      </c>
      <c r="Q833" s="46" t="str">
        <f t="shared" si="1"/>
        <v>May, 2011</v>
      </c>
      <c r="R833" s="115">
        <f t="shared" si="2"/>
        <v>40664</v>
      </c>
      <c r="S833" s="49">
        <f t="array" ref="S833">WEEKDAY(D833,2)</f>
        <v>3</v>
      </c>
      <c r="T833" s="46" t="s">
        <v>138</v>
      </c>
      <c r="U833" s="46" t="str">
        <f t="array" ref="U833">TEXT(D833,"dddd")</f>
        <v>Wednesday</v>
      </c>
    </row>
    <row r="834" hidden="1">
      <c r="A834" s="46">
        <v>6.4295367E8</v>
      </c>
      <c r="B834" s="137" t="s">
        <v>226</v>
      </c>
      <c r="C834" s="137">
        <v>2015.0</v>
      </c>
      <c r="D834" s="138">
        <v>42304.0</v>
      </c>
      <c r="E834" s="139">
        <v>42347.0</v>
      </c>
      <c r="F834" s="142" t="s">
        <v>225</v>
      </c>
      <c r="G834" s="142">
        <v>2015.0</v>
      </c>
      <c r="H834" s="46">
        <v>1270.0</v>
      </c>
      <c r="I834" s="46">
        <v>3134.0</v>
      </c>
      <c r="J834" s="84">
        <v>148708.30000000002</v>
      </c>
      <c r="K834" s="84">
        <v>99629.86</v>
      </c>
      <c r="L834" s="84">
        <v>49078.44000000002</v>
      </c>
      <c r="M834" s="46" t="s">
        <v>152</v>
      </c>
      <c r="N834" s="46" t="s">
        <v>192</v>
      </c>
      <c r="O834" s="46" t="s">
        <v>146</v>
      </c>
      <c r="P834" s="46" t="s">
        <v>158</v>
      </c>
      <c r="Q834" s="46" t="str">
        <f t="shared" si="1"/>
        <v>October, 2015</v>
      </c>
      <c r="R834" s="115">
        <f t="shared" si="2"/>
        <v>42278</v>
      </c>
      <c r="S834" s="49">
        <f t="array" ref="S834">WEEKDAY(D834,2)</f>
        <v>2</v>
      </c>
      <c r="T834" s="46" t="s">
        <v>121</v>
      </c>
      <c r="U834" s="46" t="str">
        <f t="array" ref="U834">TEXT(D834,"dddd")</f>
        <v>Tuesday</v>
      </c>
    </row>
    <row r="835" hidden="1">
      <c r="A835" s="46">
        <v>6.43027484E8</v>
      </c>
      <c r="B835" s="137" t="s">
        <v>219</v>
      </c>
      <c r="C835" s="137">
        <v>2011.0</v>
      </c>
      <c r="D835" s="138">
        <v>40674.0</v>
      </c>
      <c r="E835" s="139">
        <v>40681.0</v>
      </c>
      <c r="F835" s="142" t="s">
        <v>219</v>
      </c>
      <c r="G835" s="142">
        <v>2011.0</v>
      </c>
      <c r="H835" s="46">
        <v>8875.0</v>
      </c>
      <c r="I835" s="46">
        <v>4977.0</v>
      </c>
      <c r="J835" s="84">
        <v>2099746.53</v>
      </c>
      <c r="K835" s="84">
        <v>1815062.13</v>
      </c>
      <c r="L835" s="84">
        <v>284684.3999999999</v>
      </c>
      <c r="M835" s="46" t="s">
        <v>167</v>
      </c>
      <c r="N835" s="46" t="s">
        <v>207</v>
      </c>
      <c r="O835" s="46" t="s">
        <v>146</v>
      </c>
      <c r="P835" s="46" t="s">
        <v>170</v>
      </c>
      <c r="Q835" s="46" t="str">
        <f t="shared" si="1"/>
        <v>May, 2011</v>
      </c>
      <c r="R835" s="115">
        <f t="shared" si="2"/>
        <v>40664</v>
      </c>
      <c r="S835" s="49">
        <f t="array" ref="S835">WEEKDAY(D835,2)</f>
        <v>3</v>
      </c>
      <c r="T835" s="46" t="s">
        <v>137</v>
      </c>
      <c r="U835" s="46" t="str">
        <f t="array" ref="U835">TEXT(D835,"dddd")</f>
        <v>Wednesday</v>
      </c>
    </row>
    <row r="836" hidden="1">
      <c r="A836" s="46">
        <v>6.43259227E8</v>
      </c>
      <c r="B836" s="137" t="s">
        <v>223</v>
      </c>
      <c r="C836" s="137">
        <v>2012.0</v>
      </c>
      <c r="D836" s="138">
        <v>41025.0</v>
      </c>
      <c r="E836" s="139">
        <v>41025.0</v>
      </c>
      <c r="F836" s="142" t="s">
        <v>223</v>
      </c>
      <c r="G836" s="142">
        <v>2012.0</v>
      </c>
      <c r="H836" s="46">
        <v>8875.0</v>
      </c>
      <c r="I836" s="46">
        <v>3555.0</v>
      </c>
      <c r="J836" s="84">
        <v>1499818.95</v>
      </c>
      <c r="K836" s="84">
        <v>1296472.95</v>
      </c>
      <c r="L836" s="84">
        <v>203346.0</v>
      </c>
      <c r="M836" s="46" t="s">
        <v>167</v>
      </c>
      <c r="N836" s="46" t="s">
        <v>193</v>
      </c>
      <c r="O836" s="46" t="s">
        <v>146</v>
      </c>
      <c r="P836" s="46" t="s">
        <v>158</v>
      </c>
      <c r="Q836" s="46" t="str">
        <f t="shared" si="1"/>
        <v>April, 2012</v>
      </c>
      <c r="R836" s="115">
        <f t="shared" si="2"/>
        <v>41000</v>
      </c>
      <c r="S836" s="49">
        <f t="array" ref="S836">WEEKDAY(D836,2)</f>
        <v>4</v>
      </c>
      <c r="T836" s="46" t="s">
        <v>122</v>
      </c>
      <c r="U836" s="46" t="str">
        <f t="array" ref="U836">TEXT(D836,"dddd")</f>
        <v>Thursday</v>
      </c>
    </row>
    <row r="837" hidden="1">
      <c r="A837" s="46">
        <v>6.43448483E8</v>
      </c>
      <c r="B837" s="137" t="s">
        <v>217</v>
      </c>
      <c r="C837" s="137">
        <v>2017.0</v>
      </c>
      <c r="D837" s="138">
        <v>42925.0</v>
      </c>
      <c r="E837" s="139">
        <v>42941.0</v>
      </c>
      <c r="F837" s="142" t="s">
        <v>217</v>
      </c>
      <c r="G837" s="142">
        <v>2017.0</v>
      </c>
      <c r="H837" s="46">
        <v>4594.0</v>
      </c>
      <c r="I837" s="46">
        <v>9560.0</v>
      </c>
      <c r="J837" s="84">
        <v>89194.8</v>
      </c>
      <c r="K837" s="84">
        <v>66155.2</v>
      </c>
      <c r="L837" s="84">
        <v>23039.600000000006</v>
      </c>
      <c r="M837" s="46" t="s">
        <v>156</v>
      </c>
      <c r="N837" s="46" t="s">
        <v>208</v>
      </c>
      <c r="O837" s="46" t="s">
        <v>146</v>
      </c>
      <c r="P837" s="46" t="s">
        <v>147</v>
      </c>
      <c r="Q837" s="46" t="str">
        <f t="shared" si="1"/>
        <v>July, 2017</v>
      </c>
      <c r="R837" s="115">
        <f t="shared" si="2"/>
        <v>42917</v>
      </c>
      <c r="S837" s="49">
        <f t="array" ref="S837">WEEKDAY(D837,2)</f>
        <v>7</v>
      </c>
      <c r="T837" s="46" t="s">
        <v>138</v>
      </c>
      <c r="U837" s="46" t="str">
        <f t="array" ref="U837">TEXT(D837,"dddd")</f>
        <v>Sunday</v>
      </c>
    </row>
    <row r="838" hidden="1">
      <c r="A838" s="46">
        <v>6.43770778E8</v>
      </c>
      <c r="B838" s="137" t="s">
        <v>217</v>
      </c>
      <c r="C838" s="137">
        <v>2015.0</v>
      </c>
      <c r="D838" s="138">
        <v>42209.0</v>
      </c>
      <c r="E838" s="139">
        <v>42216.0</v>
      </c>
      <c r="F838" s="142" t="s">
        <v>217</v>
      </c>
      <c r="G838" s="142">
        <v>2015.0</v>
      </c>
      <c r="H838" s="46">
        <v>3127.0</v>
      </c>
      <c r="I838" s="46">
        <v>4934.0</v>
      </c>
      <c r="J838" s="84">
        <v>403255.82</v>
      </c>
      <c r="K838" s="84">
        <v>279609.78</v>
      </c>
      <c r="L838" s="84">
        <v>123646.03999999998</v>
      </c>
      <c r="M838" s="46" t="s">
        <v>185</v>
      </c>
      <c r="N838" s="46" t="s">
        <v>168</v>
      </c>
      <c r="O838" s="46" t="s">
        <v>165</v>
      </c>
      <c r="P838" s="46" t="s">
        <v>166</v>
      </c>
      <c r="Q838" s="46" t="str">
        <f t="shared" si="1"/>
        <v>July, 2015</v>
      </c>
      <c r="R838" s="115">
        <f t="shared" si="2"/>
        <v>42186</v>
      </c>
      <c r="S838" s="49">
        <f t="array" ref="S838">WEEKDAY(D838,2)</f>
        <v>5</v>
      </c>
      <c r="T838" s="46" t="s">
        <v>102</v>
      </c>
      <c r="U838" s="46" t="str">
        <f t="array" ref="U838">TEXT(D838,"dddd")</f>
        <v>Friday</v>
      </c>
    </row>
    <row r="839" hidden="1">
      <c r="A839" s="46">
        <v>6.44592607E8</v>
      </c>
      <c r="B839" s="137" t="s">
        <v>217</v>
      </c>
      <c r="C839" s="137">
        <v>2016.0</v>
      </c>
      <c r="D839" s="138">
        <v>42557.0</v>
      </c>
      <c r="E839" s="139">
        <v>42582.0</v>
      </c>
      <c r="F839" s="142" t="s">
        <v>217</v>
      </c>
      <c r="G839" s="142">
        <v>2016.0</v>
      </c>
      <c r="H839" s="46">
        <v>8681.0</v>
      </c>
      <c r="I839" s="46">
        <v>8131.0</v>
      </c>
      <c r="J839" s="84">
        <v>5294988.510000001</v>
      </c>
      <c r="K839" s="84">
        <v>4268449.760000001</v>
      </c>
      <c r="L839" s="84">
        <v>1026538.75</v>
      </c>
      <c r="M839" s="46" t="s">
        <v>153</v>
      </c>
      <c r="N839" s="46" t="s">
        <v>187</v>
      </c>
      <c r="O839" s="46" t="s">
        <v>146</v>
      </c>
      <c r="P839" s="46" t="s">
        <v>155</v>
      </c>
      <c r="Q839" s="46" t="str">
        <f t="shared" si="1"/>
        <v>July, 2016</v>
      </c>
      <c r="R839" s="115">
        <f t="shared" si="2"/>
        <v>42552</v>
      </c>
      <c r="S839" s="49">
        <f t="array" ref="S839">WEEKDAY(D839,2)</f>
        <v>3</v>
      </c>
      <c r="T839" s="46" t="s">
        <v>116</v>
      </c>
      <c r="U839" s="46" t="str">
        <f t="array" ref="U839">TEXT(D839,"dddd")</f>
        <v>Wednesday</v>
      </c>
    </row>
    <row r="840" hidden="1">
      <c r="A840" s="46">
        <v>6.45111024E8</v>
      </c>
      <c r="B840" s="137" t="s">
        <v>221</v>
      </c>
      <c r="C840" s="137">
        <v>2016.0</v>
      </c>
      <c r="D840" s="138">
        <v>42625.0</v>
      </c>
      <c r="E840" s="139">
        <v>42639.0</v>
      </c>
      <c r="F840" s="142" t="s">
        <v>221</v>
      </c>
      <c r="G840" s="142">
        <v>2016.0</v>
      </c>
      <c r="H840" s="46">
        <v>8875.0</v>
      </c>
      <c r="I840" s="46">
        <v>1543.0</v>
      </c>
      <c r="J840" s="84">
        <v>650976.27</v>
      </c>
      <c r="K840" s="84">
        <v>562716.67</v>
      </c>
      <c r="L840" s="84">
        <v>88259.59999999998</v>
      </c>
      <c r="M840" s="46" t="s">
        <v>167</v>
      </c>
      <c r="N840" s="46" t="s">
        <v>208</v>
      </c>
      <c r="O840" s="46" t="s">
        <v>146</v>
      </c>
      <c r="P840" s="46" t="s">
        <v>147</v>
      </c>
      <c r="Q840" s="46" t="str">
        <f t="shared" si="1"/>
        <v>September, 2016</v>
      </c>
      <c r="R840" s="115">
        <f t="shared" si="2"/>
        <v>42614</v>
      </c>
      <c r="S840" s="49">
        <f t="array" ref="S840">WEEKDAY(D840,2)</f>
        <v>1</v>
      </c>
      <c r="T840" s="46" t="s">
        <v>138</v>
      </c>
      <c r="U840" s="46" t="str">
        <f t="array" ref="U840">TEXT(D840,"dddd")</f>
        <v>Monday</v>
      </c>
    </row>
    <row r="841" hidden="1">
      <c r="A841" s="46">
        <v>6.45309722E8</v>
      </c>
      <c r="B841" s="137" t="s">
        <v>226</v>
      </c>
      <c r="C841" s="137">
        <v>2016.0</v>
      </c>
      <c r="D841" s="138">
        <v>42644.0</v>
      </c>
      <c r="E841" s="139">
        <v>42680.0</v>
      </c>
      <c r="F841" s="142" t="s">
        <v>224</v>
      </c>
      <c r="G841" s="142">
        <v>2016.0</v>
      </c>
      <c r="H841" s="46">
        <v>8875.0</v>
      </c>
      <c r="I841" s="46">
        <v>342.0</v>
      </c>
      <c r="J841" s="84">
        <v>144286.38</v>
      </c>
      <c r="K841" s="84">
        <v>124723.98</v>
      </c>
      <c r="L841" s="84">
        <v>19562.40000000001</v>
      </c>
      <c r="M841" s="46" t="s">
        <v>167</v>
      </c>
      <c r="N841" s="46" t="s">
        <v>164</v>
      </c>
      <c r="O841" s="46" t="s">
        <v>165</v>
      </c>
      <c r="P841" s="46" t="s">
        <v>166</v>
      </c>
      <c r="Q841" s="46" t="str">
        <f t="shared" si="1"/>
        <v>October, 2016</v>
      </c>
      <c r="R841" s="115">
        <f t="shared" si="2"/>
        <v>42644</v>
      </c>
      <c r="S841" s="49">
        <f t="array" ref="S841">WEEKDAY(D841,2)</f>
        <v>6</v>
      </c>
      <c r="T841" s="46" t="s">
        <v>101</v>
      </c>
      <c r="U841" s="46" t="str">
        <f t="array" ref="U841">TEXT(D841,"dddd")</f>
        <v>Saturday</v>
      </c>
    </row>
    <row r="842" hidden="1">
      <c r="A842" s="46">
        <v>6.45701968E8</v>
      </c>
      <c r="B842" s="137" t="s">
        <v>220</v>
      </c>
      <c r="C842" s="137">
        <v>2013.0</v>
      </c>
      <c r="D842" s="138">
        <v>41445.0</v>
      </c>
      <c r="E842" s="139">
        <v>41476.0</v>
      </c>
      <c r="F842" s="142" t="s">
        <v>217</v>
      </c>
      <c r="G842" s="142">
        <v>2013.0</v>
      </c>
      <c r="H842" s="46">
        <v>2103.0</v>
      </c>
      <c r="I842" s="46">
        <v>6416.0</v>
      </c>
      <c r="J842" s="84">
        <v>1319771.2</v>
      </c>
      <c r="K842" s="84">
        <v>751377.76</v>
      </c>
      <c r="L842" s="84">
        <v>568393.44</v>
      </c>
      <c r="M842" s="46" t="s">
        <v>144</v>
      </c>
      <c r="N842" s="46" t="s">
        <v>183</v>
      </c>
      <c r="O842" s="46" t="s">
        <v>146</v>
      </c>
      <c r="P842" s="46" t="s">
        <v>170</v>
      </c>
      <c r="Q842" s="46" t="str">
        <f t="shared" si="1"/>
        <v>June, 2013</v>
      </c>
      <c r="R842" s="115">
        <f t="shared" si="2"/>
        <v>41426</v>
      </c>
      <c r="S842" s="49">
        <f t="array" ref="S842">WEEKDAY(D842,2)</f>
        <v>4</v>
      </c>
      <c r="T842" s="46" t="s">
        <v>90</v>
      </c>
      <c r="U842" s="46" t="str">
        <f t="array" ref="U842">TEXT(D842,"dddd")</f>
        <v>Thursday</v>
      </c>
    </row>
    <row r="843" hidden="1">
      <c r="A843" s="46">
        <v>6.45956456E8</v>
      </c>
      <c r="B843" s="137" t="s">
        <v>228</v>
      </c>
      <c r="C843" s="137">
        <v>2016.0</v>
      </c>
      <c r="D843" s="138">
        <v>42420.0</v>
      </c>
      <c r="E843" s="139">
        <v>42468.0</v>
      </c>
      <c r="F843" s="142" t="s">
        <v>223</v>
      </c>
      <c r="G843" s="142">
        <v>2016.0</v>
      </c>
      <c r="H843" s="46">
        <v>7331.0</v>
      </c>
      <c r="I843" s="46">
        <v>1725.0</v>
      </c>
      <c r="J843" s="84">
        <v>440358.0</v>
      </c>
      <c r="K843" s="84">
        <v>274999.5</v>
      </c>
      <c r="L843" s="84">
        <v>165358.5</v>
      </c>
      <c r="M843" s="46" t="s">
        <v>161</v>
      </c>
      <c r="N843" s="46" t="s">
        <v>173</v>
      </c>
      <c r="O843" s="46" t="s">
        <v>146</v>
      </c>
      <c r="P843" s="46" t="s">
        <v>155</v>
      </c>
      <c r="Q843" s="46" t="str">
        <f t="shared" si="1"/>
        <v>February, 2016</v>
      </c>
      <c r="R843" s="115">
        <f t="shared" si="2"/>
        <v>42401</v>
      </c>
      <c r="S843" s="49">
        <f t="array" ref="S843">WEEKDAY(D843,2)</f>
        <v>6</v>
      </c>
      <c r="T843" s="46" t="s">
        <v>106</v>
      </c>
      <c r="U843" s="46" t="str">
        <f t="array" ref="U843">TEXT(D843,"dddd")</f>
        <v>Saturday</v>
      </c>
    </row>
    <row r="844" hidden="1">
      <c r="A844" s="46">
        <v>6.46691596E8</v>
      </c>
      <c r="B844" s="137" t="s">
        <v>224</v>
      </c>
      <c r="C844" s="137">
        <v>2016.0</v>
      </c>
      <c r="D844" s="138">
        <v>42688.0</v>
      </c>
      <c r="E844" s="139">
        <v>42717.0</v>
      </c>
      <c r="F844" s="142" t="s">
        <v>225</v>
      </c>
      <c r="G844" s="142">
        <v>2016.0</v>
      </c>
      <c r="H844" s="46">
        <v>1270.0</v>
      </c>
      <c r="I844" s="46">
        <v>9269.0</v>
      </c>
      <c r="J844" s="84">
        <v>439814.05000000005</v>
      </c>
      <c r="K844" s="84">
        <v>294661.51</v>
      </c>
      <c r="L844" s="84">
        <v>145152.54000000004</v>
      </c>
      <c r="M844" s="46" t="s">
        <v>152</v>
      </c>
      <c r="N844" s="46" t="s">
        <v>189</v>
      </c>
      <c r="O844" s="46" t="s">
        <v>146</v>
      </c>
      <c r="P844" s="46" t="s">
        <v>158</v>
      </c>
      <c r="Q844" s="46" t="str">
        <f t="shared" si="1"/>
        <v>November, 2016</v>
      </c>
      <c r="R844" s="115">
        <f t="shared" si="2"/>
        <v>42675</v>
      </c>
      <c r="S844" s="49">
        <f t="array" ref="S844">WEEKDAY(D844,2)</f>
        <v>1</v>
      </c>
      <c r="T844" s="46" t="s">
        <v>118</v>
      </c>
      <c r="U844" s="46" t="str">
        <f t="array" ref="U844">TEXT(D844,"dddd")</f>
        <v>Monday</v>
      </c>
    </row>
    <row r="845" hidden="1">
      <c r="A845" s="46">
        <v>6.46981704E8</v>
      </c>
      <c r="B845" s="137" t="s">
        <v>226</v>
      </c>
      <c r="C845" s="137">
        <v>2010.0</v>
      </c>
      <c r="D845" s="138">
        <v>40464.0</v>
      </c>
      <c r="E845" s="139">
        <v>40505.0</v>
      </c>
      <c r="F845" s="142" t="s">
        <v>224</v>
      </c>
      <c r="G845" s="142">
        <v>2010.0</v>
      </c>
      <c r="H845" s="46">
        <v>7331.0</v>
      </c>
      <c r="I845" s="46">
        <v>5118.0</v>
      </c>
      <c r="J845" s="84">
        <v>1306523.04</v>
      </c>
      <c r="K845" s="84">
        <v>815911.5599999999</v>
      </c>
      <c r="L845" s="84">
        <v>490611.4800000001</v>
      </c>
      <c r="M845" s="46" t="s">
        <v>161</v>
      </c>
      <c r="N845" s="46" t="s">
        <v>201</v>
      </c>
      <c r="O845" s="46" t="s">
        <v>146</v>
      </c>
      <c r="P845" s="46" t="s">
        <v>170</v>
      </c>
      <c r="Q845" s="46" t="str">
        <f t="shared" si="1"/>
        <v>October, 2010</v>
      </c>
      <c r="R845" s="115">
        <f t="shared" si="2"/>
        <v>40452</v>
      </c>
      <c r="S845" s="49">
        <f t="array" ref="S845">WEEKDAY(D845,2)</f>
        <v>3</v>
      </c>
      <c r="T845" s="46" t="s">
        <v>130</v>
      </c>
      <c r="U845" s="46" t="str">
        <f t="array" ref="U845">TEXT(D845,"dddd")</f>
        <v>Wednesday</v>
      </c>
    </row>
    <row r="846" hidden="1">
      <c r="A846" s="46">
        <v>6.47943866E8</v>
      </c>
      <c r="B846" s="137" t="s">
        <v>223</v>
      </c>
      <c r="C846" s="137">
        <v>2011.0</v>
      </c>
      <c r="D846" s="138">
        <v>40640.0</v>
      </c>
      <c r="E846" s="139">
        <v>40651.0</v>
      </c>
      <c r="F846" s="142" t="s">
        <v>223</v>
      </c>
      <c r="G846" s="142">
        <v>2011.0</v>
      </c>
      <c r="H846" s="46">
        <v>2455.0</v>
      </c>
      <c r="I846" s="46">
        <v>9843.0</v>
      </c>
      <c r="J846" s="84">
        <v>1075643.04</v>
      </c>
      <c r="K846" s="84">
        <v>352773.12000000005</v>
      </c>
      <c r="L846" s="84">
        <v>722869.9199999999</v>
      </c>
      <c r="M846" s="46" t="s">
        <v>150</v>
      </c>
      <c r="N846" s="46" t="s">
        <v>202</v>
      </c>
      <c r="O846" s="46" t="s">
        <v>146</v>
      </c>
      <c r="P846" s="46" t="s">
        <v>147</v>
      </c>
      <c r="Q846" s="46" t="str">
        <f t="shared" si="1"/>
        <v>April, 2011</v>
      </c>
      <c r="R846" s="115">
        <f t="shared" si="2"/>
        <v>40634</v>
      </c>
      <c r="S846" s="49">
        <f t="array" ref="S846">WEEKDAY(D846,2)</f>
        <v>4</v>
      </c>
      <c r="T846" s="46" t="s">
        <v>131</v>
      </c>
      <c r="U846" s="46" t="str">
        <f t="array" ref="U846">TEXT(D846,"dddd")</f>
        <v>Thursday</v>
      </c>
    </row>
    <row r="847" hidden="1">
      <c r="A847" s="46">
        <v>6.50078475E8</v>
      </c>
      <c r="B847" s="137" t="s">
        <v>220</v>
      </c>
      <c r="C847" s="137">
        <v>2010.0</v>
      </c>
      <c r="D847" s="138">
        <v>40338.0</v>
      </c>
      <c r="E847" s="139">
        <v>40347.0</v>
      </c>
      <c r="F847" s="142" t="s">
        <v>220</v>
      </c>
      <c r="G847" s="142">
        <v>2010.0</v>
      </c>
      <c r="H847" s="46">
        <v>8681.0</v>
      </c>
      <c r="I847" s="46">
        <v>1522.0</v>
      </c>
      <c r="J847" s="84">
        <v>991141.6200000001</v>
      </c>
      <c r="K847" s="84">
        <v>798989.1200000001</v>
      </c>
      <c r="L847" s="84">
        <v>192152.5</v>
      </c>
      <c r="M847" s="46" t="s">
        <v>153</v>
      </c>
      <c r="N847" s="46" t="s">
        <v>162</v>
      </c>
      <c r="O847" s="46" t="s">
        <v>146</v>
      </c>
      <c r="P847" s="46" t="s">
        <v>147</v>
      </c>
      <c r="Q847" s="46" t="str">
        <f t="shared" si="1"/>
        <v>June, 2010</v>
      </c>
      <c r="R847" s="115">
        <f t="shared" si="2"/>
        <v>40330</v>
      </c>
      <c r="S847" s="49">
        <f t="array" ref="S847">WEEKDAY(D847,2)</f>
        <v>3</v>
      </c>
      <c r="T847" s="46" t="s">
        <v>99</v>
      </c>
      <c r="U847" s="46" t="str">
        <f t="array" ref="U847">TEXT(D847,"dddd")</f>
        <v>Wednesday</v>
      </c>
    </row>
    <row r="848" hidden="1">
      <c r="A848" s="46">
        <v>6.50208079E8</v>
      </c>
      <c r="B848" s="137" t="s">
        <v>228</v>
      </c>
      <c r="C848" s="137">
        <v>2016.0</v>
      </c>
      <c r="D848" s="138">
        <v>42429.0</v>
      </c>
      <c r="E848" s="139">
        <v>42448.0</v>
      </c>
      <c r="F848" s="142" t="s">
        <v>222</v>
      </c>
      <c r="G848" s="142">
        <v>2016.0</v>
      </c>
      <c r="H848" s="46">
        <v>1270.0</v>
      </c>
      <c r="I848" s="46">
        <v>9875.0</v>
      </c>
      <c r="J848" s="84">
        <v>468568.75</v>
      </c>
      <c r="K848" s="84">
        <v>313926.25</v>
      </c>
      <c r="L848" s="84">
        <v>154642.5</v>
      </c>
      <c r="M848" s="46" t="s">
        <v>152</v>
      </c>
      <c r="N848" s="46" t="s">
        <v>188</v>
      </c>
      <c r="O848" s="46" t="s">
        <v>146</v>
      </c>
      <c r="P848" s="46" t="s">
        <v>170</v>
      </c>
      <c r="Q848" s="46" t="str">
        <f t="shared" si="1"/>
        <v>February, 2016</v>
      </c>
      <c r="R848" s="115">
        <f t="shared" si="2"/>
        <v>42401</v>
      </c>
      <c r="S848" s="49">
        <f t="array" ref="S848">WEEKDAY(D848,2)</f>
        <v>1</v>
      </c>
      <c r="T848" s="46" t="s">
        <v>117</v>
      </c>
      <c r="U848" s="46" t="str">
        <f t="array" ref="U848">TEXT(D848,"dddd")</f>
        <v>Monday</v>
      </c>
    </row>
    <row r="849" hidden="1">
      <c r="A849" s="46">
        <v>6.51247489E8</v>
      </c>
      <c r="B849" s="137" t="s">
        <v>220</v>
      </c>
      <c r="C849" s="137">
        <v>2014.0</v>
      </c>
      <c r="D849" s="138">
        <v>41801.0</v>
      </c>
      <c r="E849" s="139">
        <v>41822.0</v>
      </c>
      <c r="F849" s="142" t="s">
        <v>217</v>
      </c>
      <c r="G849" s="142">
        <v>2014.0</v>
      </c>
      <c r="H849" s="46">
        <v>5988.0</v>
      </c>
      <c r="I849" s="46">
        <v>7459.0</v>
      </c>
      <c r="J849" s="84">
        <v>1149133.54</v>
      </c>
      <c r="K849" s="84">
        <v>678246.87</v>
      </c>
      <c r="L849" s="84">
        <v>470886.67000000004</v>
      </c>
      <c r="M849" s="46" t="s">
        <v>159</v>
      </c>
      <c r="N849" s="46" t="s">
        <v>196</v>
      </c>
      <c r="O849" s="46" t="s">
        <v>146</v>
      </c>
      <c r="P849" s="46" t="s">
        <v>155</v>
      </c>
      <c r="Q849" s="46" t="str">
        <f t="shared" si="1"/>
        <v>June, 2014</v>
      </c>
      <c r="R849" s="115">
        <f t="shared" si="2"/>
        <v>41791</v>
      </c>
      <c r="S849" s="49">
        <f t="array" ref="S849">WEEKDAY(D849,2)</f>
        <v>3</v>
      </c>
      <c r="T849" s="46" t="s">
        <v>125</v>
      </c>
      <c r="U849" s="46" t="str">
        <f t="array" ref="U849">TEXT(D849,"dddd")</f>
        <v>Wednesday</v>
      </c>
    </row>
    <row r="850" hidden="1">
      <c r="A850" s="46">
        <v>6.51895511E8</v>
      </c>
      <c r="B850" s="137" t="s">
        <v>226</v>
      </c>
      <c r="C850" s="137">
        <v>2012.0</v>
      </c>
      <c r="D850" s="138">
        <v>41194.0</v>
      </c>
      <c r="E850" s="139">
        <v>41214.0</v>
      </c>
      <c r="F850" s="142" t="s">
        <v>224</v>
      </c>
      <c r="G850" s="142">
        <v>2012.0</v>
      </c>
      <c r="H850" s="46">
        <v>7331.0</v>
      </c>
      <c r="I850" s="46">
        <v>9223.0</v>
      </c>
      <c r="J850" s="84">
        <v>2354447.44</v>
      </c>
      <c r="K850" s="84">
        <v>1470330.66</v>
      </c>
      <c r="L850" s="84">
        <v>884116.78</v>
      </c>
      <c r="M850" s="46" t="s">
        <v>161</v>
      </c>
      <c r="N850" s="46" t="s">
        <v>200</v>
      </c>
      <c r="O850" s="46" t="s">
        <v>146</v>
      </c>
      <c r="P850" s="46" t="s">
        <v>158</v>
      </c>
      <c r="Q850" s="46" t="str">
        <f t="shared" si="1"/>
        <v>October, 2012</v>
      </c>
      <c r="R850" s="115">
        <f t="shared" si="2"/>
        <v>41183</v>
      </c>
      <c r="S850" s="49">
        <f t="array" ref="S850">WEEKDAY(D850,2)</f>
        <v>5</v>
      </c>
      <c r="T850" s="46" t="s">
        <v>129</v>
      </c>
      <c r="U850" s="46" t="str">
        <f t="array" ref="U850">TEXT(D850,"dddd")</f>
        <v>Friday</v>
      </c>
    </row>
    <row r="851" hidden="1">
      <c r="A851" s="46">
        <v>6.52252137E8</v>
      </c>
      <c r="B851" s="137" t="s">
        <v>221</v>
      </c>
      <c r="C851" s="137">
        <v>2010.0</v>
      </c>
      <c r="D851" s="138">
        <v>40428.0</v>
      </c>
      <c r="E851" s="139">
        <v>40447.0</v>
      </c>
      <c r="F851" s="142" t="s">
        <v>221</v>
      </c>
      <c r="G851" s="142">
        <v>2010.0</v>
      </c>
      <c r="H851" s="46">
        <v>5988.0</v>
      </c>
      <c r="I851" s="46">
        <v>4757.0</v>
      </c>
      <c r="J851" s="84">
        <v>732863.42</v>
      </c>
      <c r="K851" s="84">
        <v>432554.01</v>
      </c>
      <c r="L851" s="84">
        <v>300309.41000000003</v>
      </c>
      <c r="M851" s="46" t="s">
        <v>159</v>
      </c>
      <c r="N851" s="46" t="s">
        <v>169</v>
      </c>
      <c r="O851" s="46" t="s">
        <v>146</v>
      </c>
      <c r="P851" s="46" t="s">
        <v>170</v>
      </c>
      <c r="Q851" s="46" t="str">
        <f t="shared" si="1"/>
        <v>September, 2010</v>
      </c>
      <c r="R851" s="115">
        <f t="shared" si="2"/>
        <v>40422</v>
      </c>
      <c r="S851" s="49">
        <f t="array" ref="S851">WEEKDAY(D851,2)</f>
        <v>2</v>
      </c>
      <c r="T851" s="46" t="s">
        <v>103</v>
      </c>
      <c r="U851" s="46" t="str">
        <f t="array" ref="U851">TEXT(D851,"dddd")</f>
        <v>Tuesday</v>
      </c>
    </row>
    <row r="852" hidden="1">
      <c r="A852" s="46">
        <v>6.52501904E8</v>
      </c>
      <c r="B852" s="137" t="s">
        <v>228</v>
      </c>
      <c r="C852" s="137">
        <v>2012.0</v>
      </c>
      <c r="D852" s="138">
        <v>40960.0</v>
      </c>
      <c r="E852" s="139">
        <v>40993.0</v>
      </c>
      <c r="F852" s="142" t="s">
        <v>222</v>
      </c>
      <c r="G852" s="142">
        <v>2012.0</v>
      </c>
      <c r="H852" s="46">
        <v>2103.0</v>
      </c>
      <c r="I852" s="46">
        <v>8668.0</v>
      </c>
      <c r="J852" s="84">
        <v>1783007.5999999999</v>
      </c>
      <c r="K852" s="84">
        <v>1015109.48</v>
      </c>
      <c r="L852" s="84">
        <v>767898.1199999999</v>
      </c>
      <c r="M852" s="46" t="s">
        <v>144</v>
      </c>
      <c r="N852" s="46" t="s">
        <v>171</v>
      </c>
      <c r="O852" s="46" t="s">
        <v>146</v>
      </c>
      <c r="P852" s="46" t="s">
        <v>147</v>
      </c>
      <c r="Q852" s="46" t="str">
        <f t="shared" si="1"/>
        <v>February, 2012</v>
      </c>
      <c r="R852" s="115">
        <f t="shared" si="2"/>
        <v>40940</v>
      </c>
      <c r="S852" s="49">
        <f t="array" ref="S852">WEEKDAY(D852,2)</f>
        <v>2</v>
      </c>
      <c r="T852" s="46" t="s">
        <v>104</v>
      </c>
      <c r="U852" s="46" t="str">
        <f t="array" ref="U852">TEXT(D852,"dddd")</f>
        <v>Tuesday</v>
      </c>
    </row>
    <row r="853" hidden="1">
      <c r="A853" s="46">
        <v>6.5308727E8</v>
      </c>
      <c r="B853" s="137" t="s">
        <v>225</v>
      </c>
      <c r="C853" s="137">
        <v>2010.0</v>
      </c>
      <c r="D853" s="138">
        <v>40514.0</v>
      </c>
      <c r="E853" s="139">
        <v>40519.0</v>
      </c>
      <c r="F853" s="142" t="s">
        <v>225</v>
      </c>
      <c r="G853" s="142">
        <v>2010.0</v>
      </c>
      <c r="H853" s="46">
        <v>8969.0</v>
      </c>
      <c r="I853" s="46">
        <v>1891.0</v>
      </c>
      <c r="J853" s="84">
        <v>288528.78</v>
      </c>
      <c r="K853" s="84">
        <v>184259.04</v>
      </c>
      <c r="L853" s="84">
        <v>104269.74000000002</v>
      </c>
      <c r="M853" s="46" t="s">
        <v>182</v>
      </c>
      <c r="N853" s="46" t="s">
        <v>202</v>
      </c>
      <c r="O853" s="46" t="s">
        <v>146</v>
      </c>
      <c r="P853" s="46" t="s">
        <v>147</v>
      </c>
      <c r="Q853" s="46" t="str">
        <f t="shared" si="1"/>
        <v>December, 2010</v>
      </c>
      <c r="R853" s="115">
        <f t="shared" si="2"/>
        <v>40513</v>
      </c>
      <c r="S853" s="49">
        <f t="array" ref="S853">WEEKDAY(D853,2)</f>
        <v>4</v>
      </c>
      <c r="T853" s="46" t="s">
        <v>131</v>
      </c>
      <c r="U853" s="46" t="str">
        <f t="array" ref="U853">TEXT(D853,"dddd")</f>
        <v>Thursday</v>
      </c>
    </row>
    <row r="854" hidden="1">
      <c r="A854" s="46">
        <v>6.53152501E8</v>
      </c>
      <c r="B854" s="137" t="s">
        <v>225</v>
      </c>
      <c r="C854" s="137">
        <v>2015.0</v>
      </c>
      <c r="D854" s="138">
        <v>42355.0</v>
      </c>
      <c r="E854" s="139">
        <v>42360.0</v>
      </c>
      <c r="F854" s="142" t="s">
        <v>225</v>
      </c>
      <c r="G854" s="142">
        <v>2015.0</v>
      </c>
      <c r="H854" s="46">
        <v>1270.0</v>
      </c>
      <c r="I854" s="46">
        <v>1194.0</v>
      </c>
      <c r="J854" s="84">
        <v>56655.3</v>
      </c>
      <c r="K854" s="84">
        <v>37957.26</v>
      </c>
      <c r="L854" s="84">
        <v>18698.04</v>
      </c>
      <c r="M854" s="46" t="s">
        <v>152</v>
      </c>
      <c r="N854" s="46" t="s">
        <v>190</v>
      </c>
      <c r="O854" s="46" t="s">
        <v>146</v>
      </c>
      <c r="P854" s="46" t="s">
        <v>147</v>
      </c>
      <c r="Q854" s="46" t="str">
        <f t="shared" si="1"/>
        <v>December, 2015</v>
      </c>
      <c r="R854" s="115">
        <f t="shared" si="2"/>
        <v>42339</v>
      </c>
      <c r="S854" s="49">
        <f t="array" ref="S854">WEEKDAY(D854,2)</f>
        <v>4</v>
      </c>
      <c r="T854" s="46" t="s">
        <v>119</v>
      </c>
      <c r="U854" s="46" t="str">
        <f t="array" ref="U854">TEXT(D854,"dddd")</f>
        <v>Thursday</v>
      </c>
    </row>
    <row r="855" hidden="1">
      <c r="A855" s="46">
        <v>6.5354861E8</v>
      </c>
      <c r="B855" s="137" t="s">
        <v>228</v>
      </c>
      <c r="C855" s="137">
        <v>2017.0</v>
      </c>
      <c r="D855" s="138">
        <v>42775.0</v>
      </c>
      <c r="E855" s="139">
        <v>42787.0</v>
      </c>
      <c r="F855" s="142" t="s">
        <v>228</v>
      </c>
      <c r="G855" s="142">
        <v>2017.0</v>
      </c>
      <c r="H855" s="46">
        <v>1270.0</v>
      </c>
      <c r="I855" s="46">
        <v>8412.0</v>
      </c>
      <c r="J855" s="84">
        <v>399149.4</v>
      </c>
      <c r="K855" s="84">
        <v>267417.48</v>
      </c>
      <c r="L855" s="84">
        <v>131731.92000000004</v>
      </c>
      <c r="M855" s="46" t="s">
        <v>152</v>
      </c>
      <c r="N855" s="46" t="s">
        <v>188</v>
      </c>
      <c r="O855" s="46" t="s">
        <v>146</v>
      </c>
      <c r="P855" s="46" t="s">
        <v>170</v>
      </c>
      <c r="Q855" s="46" t="str">
        <f t="shared" si="1"/>
        <v>February, 2017</v>
      </c>
      <c r="R855" s="115">
        <f t="shared" si="2"/>
        <v>42767</v>
      </c>
      <c r="S855" s="49">
        <f t="array" ref="S855">WEEKDAY(D855,2)</f>
        <v>4</v>
      </c>
      <c r="T855" s="46" t="s">
        <v>117</v>
      </c>
      <c r="U855" s="46" t="str">
        <f t="array" ref="U855">TEXT(D855,"dddd")</f>
        <v>Thursday</v>
      </c>
    </row>
    <row r="856" hidden="1">
      <c r="A856" s="46">
        <v>6.53800523E8</v>
      </c>
      <c r="B856" s="137" t="s">
        <v>223</v>
      </c>
      <c r="C856" s="137">
        <v>2014.0</v>
      </c>
      <c r="D856" s="138">
        <v>41748.0</v>
      </c>
      <c r="E856" s="139">
        <v>41752.0</v>
      </c>
      <c r="F856" s="142" t="s">
        <v>223</v>
      </c>
      <c r="G856" s="142">
        <v>2014.0</v>
      </c>
      <c r="H856" s="46">
        <v>3127.0</v>
      </c>
      <c r="I856" s="46">
        <v>2958.0</v>
      </c>
      <c r="J856" s="84">
        <v>241757.34000000003</v>
      </c>
      <c r="K856" s="84">
        <v>167629.86000000002</v>
      </c>
      <c r="L856" s="84">
        <v>74127.48000000001</v>
      </c>
      <c r="M856" s="46" t="s">
        <v>185</v>
      </c>
      <c r="N856" s="46" t="s">
        <v>193</v>
      </c>
      <c r="O856" s="46" t="s">
        <v>146</v>
      </c>
      <c r="P856" s="46" t="s">
        <v>158</v>
      </c>
      <c r="Q856" s="46" t="str">
        <f t="shared" si="1"/>
        <v>April, 2014</v>
      </c>
      <c r="R856" s="115">
        <f t="shared" si="2"/>
        <v>41730</v>
      </c>
      <c r="S856" s="49">
        <f t="array" ref="S856">WEEKDAY(D856,2)</f>
        <v>6</v>
      </c>
      <c r="T856" s="46" t="s">
        <v>122</v>
      </c>
      <c r="U856" s="46" t="str">
        <f t="array" ref="U856">TEXT(D856,"dddd")</f>
        <v>Saturday</v>
      </c>
    </row>
    <row r="857" hidden="1">
      <c r="A857" s="46">
        <v>6.53909957E8</v>
      </c>
      <c r="B857" s="137" t="s">
        <v>222</v>
      </c>
      <c r="C857" s="137">
        <v>2016.0</v>
      </c>
      <c r="D857" s="138">
        <v>42452.0</v>
      </c>
      <c r="E857" s="139">
        <v>42466.0</v>
      </c>
      <c r="F857" s="142" t="s">
        <v>223</v>
      </c>
      <c r="G857" s="142">
        <v>2016.0</v>
      </c>
      <c r="H857" s="46">
        <v>8681.0</v>
      </c>
      <c r="I857" s="46">
        <v>5342.0</v>
      </c>
      <c r="J857" s="84">
        <v>3478763.8200000003</v>
      </c>
      <c r="K857" s="84">
        <v>2804336.3200000003</v>
      </c>
      <c r="L857" s="84">
        <v>674427.5</v>
      </c>
      <c r="M857" s="46" t="s">
        <v>153</v>
      </c>
      <c r="N857" s="46" t="s">
        <v>154</v>
      </c>
      <c r="O857" s="46" t="s">
        <v>146</v>
      </c>
      <c r="P857" s="46" t="s">
        <v>155</v>
      </c>
      <c r="Q857" s="46" t="str">
        <f t="shared" si="1"/>
        <v>March, 2016</v>
      </c>
      <c r="R857" s="115">
        <f t="shared" si="2"/>
        <v>42430</v>
      </c>
      <c r="S857" s="49">
        <f t="array" ref="S857">WEEKDAY(D857,2)</f>
        <v>3</v>
      </c>
      <c r="T857" s="46" t="s">
        <v>96</v>
      </c>
      <c r="U857" s="46" t="str">
        <f t="array" ref="U857">TEXT(D857,"dddd")</f>
        <v>Wednesday</v>
      </c>
    </row>
    <row r="858" hidden="1">
      <c r="A858" s="46">
        <v>6.53920686E8</v>
      </c>
      <c r="B858" s="137" t="s">
        <v>227</v>
      </c>
      <c r="C858" s="137">
        <v>2010.0</v>
      </c>
      <c r="D858" s="138">
        <v>40189.0</v>
      </c>
      <c r="E858" s="139">
        <v>40196.0</v>
      </c>
      <c r="F858" s="142" t="s">
        <v>227</v>
      </c>
      <c r="G858" s="142">
        <v>2010.0</v>
      </c>
      <c r="H858" s="46">
        <v>8969.0</v>
      </c>
      <c r="I858" s="46">
        <v>8517.0</v>
      </c>
      <c r="J858" s="84">
        <v>1299523.86</v>
      </c>
      <c r="K858" s="84">
        <v>829896.48</v>
      </c>
      <c r="L858" s="84">
        <v>469627.3800000001</v>
      </c>
      <c r="M858" s="46" t="s">
        <v>182</v>
      </c>
      <c r="N858" s="46" t="s">
        <v>172</v>
      </c>
      <c r="O858" s="46" t="s">
        <v>146</v>
      </c>
      <c r="P858" s="46" t="s">
        <v>155</v>
      </c>
      <c r="Q858" s="46" t="str">
        <f t="shared" si="1"/>
        <v>January, 2010</v>
      </c>
      <c r="R858" s="115">
        <f t="shared" si="2"/>
        <v>40179</v>
      </c>
      <c r="S858" s="49">
        <f t="array" ref="S858">WEEKDAY(D858,2)</f>
        <v>1</v>
      </c>
      <c r="T858" s="46" t="s">
        <v>105</v>
      </c>
      <c r="U858" s="46" t="str">
        <f t="array" ref="U858">TEXT(D858,"dddd")</f>
        <v>Monday</v>
      </c>
    </row>
    <row r="859" hidden="1">
      <c r="A859" s="46">
        <v>6.5528711E8</v>
      </c>
      <c r="B859" s="137" t="s">
        <v>228</v>
      </c>
      <c r="C859" s="137">
        <v>2015.0</v>
      </c>
      <c r="D859" s="138">
        <v>42053.0</v>
      </c>
      <c r="E859" s="139">
        <v>42057.0</v>
      </c>
      <c r="F859" s="142" t="s">
        <v>228</v>
      </c>
      <c r="G859" s="142">
        <v>2015.0</v>
      </c>
      <c r="H859" s="46">
        <v>7940.0</v>
      </c>
      <c r="I859" s="46">
        <v>2873.0</v>
      </c>
      <c r="J859" s="84">
        <v>1919939.71</v>
      </c>
      <c r="K859" s="84">
        <v>1443797.4200000002</v>
      </c>
      <c r="L859" s="84">
        <v>476142.2899999998</v>
      </c>
      <c r="M859" s="46" t="s">
        <v>148</v>
      </c>
      <c r="N859" s="46" t="s">
        <v>186</v>
      </c>
      <c r="O859" s="46" t="s">
        <v>146</v>
      </c>
      <c r="P859" s="46" t="s">
        <v>147</v>
      </c>
      <c r="Q859" s="46" t="str">
        <f t="shared" si="1"/>
        <v>February, 2015</v>
      </c>
      <c r="R859" s="115">
        <f t="shared" si="2"/>
        <v>42036</v>
      </c>
      <c r="S859" s="49">
        <f t="array" ref="S859">WEEKDAY(D859,2)</f>
        <v>3</v>
      </c>
      <c r="T859" s="46" t="s">
        <v>115</v>
      </c>
      <c r="U859" s="46" t="str">
        <f t="array" ref="U859">TEXT(D859,"dddd")</f>
        <v>Wednesday</v>
      </c>
    </row>
    <row r="860" hidden="1">
      <c r="A860" s="46">
        <v>6.55328738E8</v>
      </c>
      <c r="B860" s="137" t="s">
        <v>228</v>
      </c>
      <c r="C860" s="137">
        <v>2014.0</v>
      </c>
      <c r="D860" s="138">
        <v>41680.0</v>
      </c>
      <c r="E860" s="139">
        <v>41720.0</v>
      </c>
      <c r="F860" s="142" t="s">
        <v>222</v>
      </c>
      <c r="G860" s="142">
        <v>2014.0</v>
      </c>
      <c r="H860" s="46">
        <v>2103.0</v>
      </c>
      <c r="I860" s="46">
        <v>5191.0</v>
      </c>
      <c r="J860" s="84">
        <v>1067788.7</v>
      </c>
      <c r="K860" s="84">
        <v>607918.01</v>
      </c>
      <c r="L860" s="84">
        <v>459870.68999999994</v>
      </c>
      <c r="M860" s="46" t="s">
        <v>144</v>
      </c>
      <c r="N860" s="46" t="s">
        <v>173</v>
      </c>
      <c r="O860" s="46" t="s">
        <v>146</v>
      </c>
      <c r="P860" s="46" t="s">
        <v>155</v>
      </c>
      <c r="Q860" s="46" t="str">
        <f t="shared" si="1"/>
        <v>February, 2014</v>
      </c>
      <c r="R860" s="115">
        <f t="shared" si="2"/>
        <v>41671</v>
      </c>
      <c r="S860" s="49">
        <f t="array" ref="S860">WEEKDAY(D860,2)</f>
        <v>1</v>
      </c>
      <c r="T860" s="46" t="s">
        <v>106</v>
      </c>
      <c r="U860" s="46" t="str">
        <f t="array" ref="U860">TEXT(D860,"dddd")</f>
        <v>Monday</v>
      </c>
    </row>
    <row r="861" hidden="1">
      <c r="A861" s="46">
        <v>6.56244552E8</v>
      </c>
      <c r="B861" s="137" t="s">
        <v>219</v>
      </c>
      <c r="C861" s="137">
        <v>2014.0</v>
      </c>
      <c r="D861" s="138">
        <v>41787.0</v>
      </c>
      <c r="E861" s="139">
        <v>41809.0</v>
      </c>
      <c r="F861" s="142" t="s">
        <v>220</v>
      </c>
      <c r="G861" s="142">
        <v>2014.0</v>
      </c>
      <c r="H861" s="46">
        <v>4594.0</v>
      </c>
      <c r="I861" s="46">
        <v>6201.0</v>
      </c>
      <c r="J861" s="84">
        <v>57855.33</v>
      </c>
      <c r="K861" s="84">
        <v>42910.92</v>
      </c>
      <c r="L861" s="84">
        <v>14944.410000000003</v>
      </c>
      <c r="M861" s="46" t="s">
        <v>156</v>
      </c>
      <c r="N861" s="46" t="s">
        <v>208</v>
      </c>
      <c r="O861" s="46" t="s">
        <v>146</v>
      </c>
      <c r="P861" s="46" t="s">
        <v>147</v>
      </c>
      <c r="Q861" s="46" t="str">
        <f t="shared" si="1"/>
        <v>May, 2014</v>
      </c>
      <c r="R861" s="115">
        <f t="shared" si="2"/>
        <v>41760</v>
      </c>
      <c r="S861" s="49">
        <f t="array" ref="S861">WEEKDAY(D861,2)</f>
        <v>3</v>
      </c>
      <c r="T861" s="46" t="s">
        <v>138</v>
      </c>
      <c r="U861" s="46" t="str">
        <f t="array" ref="U861">TEXT(D861,"dddd")</f>
        <v>Wednesday</v>
      </c>
    </row>
    <row r="862" hidden="1">
      <c r="A862" s="46">
        <v>6.56689155E8</v>
      </c>
      <c r="B862" s="137" t="s">
        <v>220</v>
      </c>
      <c r="C862" s="137">
        <v>2011.0</v>
      </c>
      <c r="D862" s="138">
        <v>40718.0</v>
      </c>
      <c r="E862" s="139">
        <v>40764.0</v>
      </c>
      <c r="F862" s="142" t="s">
        <v>216</v>
      </c>
      <c r="G862" s="142">
        <v>2011.0</v>
      </c>
      <c r="H862" s="46">
        <v>7940.0</v>
      </c>
      <c r="I862" s="46">
        <v>7769.0</v>
      </c>
      <c r="J862" s="84">
        <v>5191789.63</v>
      </c>
      <c r="K862" s="84">
        <v>3904233.2600000002</v>
      </c>
      <c r="L862" s="84">
        <v>1287556.3699999996</v>
      </c>
      <c r="M862" s="46" t="s">
        <v>148</v>
      </c>
      <c r="N862" s="46" t="s">
        <v>203</v>
      </c>
      <c r="O862" s="46" t="s">
        <v>146</v>
      </c>
      <c r="P862" s="46" t="s">
        <v>170</v>
      </c>
      <c r="Q862" s="46" t="str">
        <f t="shared" si="1"/>
        <v>June, 2011</v>
      </c>
      <c r="R862" s="115">
        <f t="shared" si="2"/>
        <v>40695</v>
      </c>
      <c r="S862" s="49">
        <f t="array" ref="S862">WEEKDAY(D862,2)</f>
        <v>5</v>
      </c>
      <c r="T862" s="46" t="s">
        <v>132</v>
      </c>
      <c r="U862" s="46" t="str">
        <f t="array" ref="U862">TEXT(D862,"dddd")</f>
        <v>Friday</v>
      </c>
    </row>
    <row r="863" hidden="1">
      <c r="A863" s="46">
        <v>6.59193694E8</v>
      </c>
      <c r="B863" s="137" t="s">
        <v>219</v>
      </c>
      <c r="C863" s="137">
        <v>2015.0</v>
      </c>
      <c r="D863" s="138">
        <v>42155.0</v>
      </c>
      <c r="E863" s="139">
        <v>42166.0</v>
      </c>
      <c r="F863" s="142" t="s">
        <v>220</v>
      </c>
      <c r="G863" s="142">
        <v>2015.0</v>
      </c>
      <c r="H863" s="46">
        <v>8681.0</v>
      </c>
      <c r="I863" s="46">
        <v>8918.0</v>
      </c>
      <c r="J863" s="84">
        <v>5807490.78</v>
      </c>
      <c r="K863" s="84">
        <v>4681593.28</v>
      </c>
      <c r="L863" s="84">
        <v>1125897.5</v>
      </c>
      <c r="M863" s="46" t="s">
        <v>153</v>
      </c>
      <c r="N863" s="46" t="s">
        <v>145</v>
      </c>
      <c r="O863" s="46" t="s">
        <v>146</v>
      </c>
      <c r="P863" s="46" t="s">
        <v>147</v>
      </c>
      <c r="Q863" s="46" t="str">
        <f t="shared" si="1"/>
        <v>May, 2015</v>
      </c>
      <c r="R863" s="115">
        <f t="shared" si="2"/>
        <v>42125</v>
      </c>
      <c r="S863" s="49">
        <f t="array" ref="S863">WEEKDAY(D863,2)</f>
        <v>7</v>
      </c>
      <c r="T863" s="46" t="s">
        <v>91</v>
      </c>
      <c r="U863" s="46" t="str">
        <f t="array" ref="U863">TEXT(D863,"dddd")</f>
        <v>Sunday</v>
      </c>
    </row>
    <row r="864" hidden="1">
      <c r="A864" s="46">
        <v>6.59196269E8</v>
      </c>
      <c r="B864" s="137" t="s">
        <v>223</v>
      </c>
      <c r="C864" s="137">
        <v>2013.0</v>
      </c>
      <c r="D864" s="138">
        <v>41390.0</v>
      </c>
      <c r="E864" s="139">
        <v>41426.0</v>
      </c>
      <c r="F864" s="142" t="s">
        <v>220</v>
      </c>
      <c r="G864" s="142">
        <v>2013.0</v>
      </c>
      <c r="H864" s="46">
        <v>7940.0</v>
      </c>
      <c r="I864" s="46">
        <v>9680.0</v>
      </c>
      <c r="J864" s="84">
        <v>6468853.6</v>
      </c>
      <c r="K864" s="84">
        <v>4864587.2</v>
      </c>
      <c r="L864" s="84">
        <v>1604266.3999999994</v>
      </c>
      <c r="M864" s="46" t="s">
        <v>148</v>
      </c>
      <c r="N864" s="46" t="s">
        <v>162</v>
      </c>
      <c r="O864" s="46" t="s">
        <v>146</v>
      </c>
      <c r="P864" s="46" t="s">
        <v>147</v>
      </c>
      <c r="Q864" s="46" t="str">
        <f t="shared" si="1"/>
        <v>April, 2013</v>
      </c>
      <c r="R864" s="115">
        <f t="shared" si="2"/>
        <v>41365</v>
      </c>
      <c r="S864" s="49">
        <f t="array" ref="S864">WEEKDAY(D864,2)</f>
        <v>5</v>
      </c>
      <c r="T864" s="46" t="s">
        <v>99</v>
      </c>
      <c r="U864" s="46" t="str">
        <f t="array" ref="U864">TEXT(D864,"dddd")</f>
        <v>Friday</v>
      </c>
    </row>
    <row r="865" hidden="1">
      <c r="A865" s="46">
        <v>6.59671771E8</v>
      </c>
      <c r="B865" s="137" t="s">
        <v>217</v>
      </c>
      <c r="C865" s="137">
        <v>2015.0</v>
      </c>
      <c r="D865" s="138">
        <v>42213.0</v>
      </c>
      <c r="E865" s="139">
        <v>42214.0</v>
      </c>
      <c r="F865" s="142" t="s">
        <v>217</v>
      </c>
      <c r="G865" s="142">
        <v>2015.0</v>
      </c>
      <c r="H865" s="46">
        <v>8293.0</v>
      </c>
      <c r="I865" s="46">
        <v>391.0</v>
      </c>
      <c r="J865" s="84">
        <v>170945.19999999998</v>
      </c>
      <c r="K865" s="84">
        <v>102962.03</v>
      </c>
      <c r="L865" s="84">
        <v>67983.16999999998</v>
      </c>
      <c r="M865" s="46" t="s">
        <v>178</v>
      </c>
      <c r="N865" s="46" t="s">
        <v>179</v>
      </c>
      <c r="O865" s="46" t="s">
        <v>146</v>
      </c>
      <c r="P865" s="46" t="s">
        <v>155</v>
      </c>
      <c r="Q865" s="46" t="str">
        <f t="shared" si="1"/>
        <v>July, 2015</v>
      </c>
      <c r="R865" s="115">
        <f t="shared" si="2"/>
        <v>42186</v>
      </c>
      <c r="S865" s="49">
        <f t="array" ref="S865">WEEKDAY(D865,2)</f>
        <v>2</v>
      </c>
      <c r="T865" s="46" t="s">
        <v>111</v>
      </c>
      <c r="U865" s="46" t="str">
        <f t="array" ref="U865">TEXT(D865,"dddd")</f>
        <v>Tuesday</v>
      </c>
    </row>
    <row r="866" hidden="1">
      <c r="A866" s="46">
        <v>6.60312926E8</v>
      </c>
      <c r="B866" s="137" t="s">
        <v>225</v>
      </c>
      <c r="C866" s="137">
        <v>2016.0</v>
      </c>
      <c r="D866" s="138">
        <v>42722.0</v>
      </c>
      <c r="E866" s="139">
        <v>42740.0</v>
      </c>
      <c r="F866" s="142" t="s">
        <v>227</v>
      </c>
      <c r="G866" s="142">
        <v>2017.0</v>
      </c>
      <c r="H866" s="46">
        <v>2455.0</v>
      </c>
      <c r="I866" s="46">
        <v>123.0</v>
      </c>
      <c r="J866" s="84">
        <v>13441.44</v>
      </c>
      <c r="K866" s="84">
        <v>4408.320000000001</v>
      </c>
      <c r="L866" s="84">
        <v>9033.119999999999</v>
      </c>
      <c r="M866" s="46" t="s">
        <v>150</v>
      </c>
      <c r="N866" s="46" t="s">
        <v>188</v>
      </c>
      <c r="O866" s="46" t="s">
        <v>146</v>
      </c>
      <c r="P866" s="46" t="s">
        <v>170</v>
      </c>
      <c r="Q866" s="46" t="str">
        <f t="shared" si="1"/>
        <v>December, 2016</v>
      </c>
      <c r="R866" s="115">
        <f t="shared" si="2"/>
        <v>42705</v>
      </c>
      <c r="S866" s="49">
        <f t="array" ref="S866">WEEKDAY(D866,2)</f>
        <v>7</v>
      </c>
      <c r="T866" s="46" t="s">
        <v>117</v>
      </c>
      <c r="U866" s="46" t="str">
        <f t="array" ref="U866">TEXT(D866,"dddd")</f>
        <v>Sunday</v>
      </c>
    </row>
    <row r="867" hidden="1">
      <c r="A867" s="46">
        <v>6.60481584E8</v>
      </c>
      <c r="B867" s="137" t="s">
        <v>222</v>
      </c>
      <c r="C867" s="137">
        <v>2016.0</v>
      </c>
      <c r="D867" s="138">
        <v>42440.0</v>
      </c>
      <c r="E867" s="139">
        <v>42480.0</v>
      </c>
      <c r="F867" s="142" t="s">
        <v>223</v>
      </c>
      <c r="G867" s="142">
        <v>2016.0</v>
      </c>
      <c r="H867" s="46">
        <v>8681.0</v>
      </c>
      <c r="I867" s="46">
        <v>33.0</v>
      </c>
      <c r="J867" s="84">
        <v>21489.93</v>
      </c>
      <c r="K867" s="84">
        <v>17323.68</v>
      </c>
      <c r="L867" s="84">
        <v>4166.25</v>
      </c>
      <c r="M867" s="46" t="s">
        <v>153</v>
      </c>
      <c r="N867" s="46" t="s">
        <v>181</v>
      </c>
      <c r="O867" s="46" t="s">
        <v>146</v>
      </c>
      <c r="P867" s="46" t="s">
        <v>155</v>
      </c>
      <c r="Q867" s="46" t="str">
        <f t="shared" si="1"/>
        <v>March, 2016</v>
      </c>
      <c r="R867" s="115">
        <f t="shared" si="2"/>
        <v>42430</v>
      </c>
      <c r="S867" s="49">
        <f t="array" ref="S867">WEEKDAY(D867,2)</f>
        <v>5</v>
      </c>
      <c r="T867" s="46" t="s">
        <v>113</v>
      </c>
      <c r="U867" s="46" t="str">
        <f t="array" ref="U867">TEXT(D867,"dddd")</f>
        <v>Friday</v>
      </c>
    </row>
    <row r="868" hidden="1">
      <c r="A868" s="46">
        <v>6.62623488E8</v>
      </c>
      <c r="B868" s="137" t="s">
        <v>220</v>
      </c>
      <c r="C868" s="137">
        <v>2014.0</v>
      </c>
      <c r="D868" s="138">
        <v>41816.0</v>
      </c>
      <c r="E868" s="139">
        <v>41831.0</v>
      </c>
      <c r="F868" s="142" t="s">
        <v>217</v>
      </c>
      <c r="G868" s="142">
        <v>2014.0</v>
      </c>
      <c r="H868" s="46">
        <v>8875.0</v>
      </c>
      <c r="I868" s="46">
        <v>3870.0</v>
      </c>
      <c r="J868" s="84">
        <v>1632714.3</v>
      </c>
      <c r="K868" s="84">
        <v>1411350.3</v>
      </c>
      <c r="L868" s="84">
        <v>221364.0</v>
      </c>
      <c r="M868" s="46" t="s">
        <v>167</v>
      </c>
      <c r="N868" s="46" t="s">
        <v>180</v>
      </c>
      <c r="O868" s="46" t="s">
        <v>146</v>
      </c>
      <c r="P868" s="46" t="s">
        <v>147</v>
      </c>
      <c r="Q868" s="46" t="str">
        <f t="shared" si="1"/>
        <v>June, 2014</v>
      </c>
      <c r="R868" s="115">
        <f t="shared" si="2"/>
        <v>41791</v>
      </c>
      <c r="S868" s="49">
        <f t="array" ref="S868">WEEKDAY(D868,2)</f>
        <v>4</v>
      </c>
      <c r="T868" s="46" t="s">
        <v>112</v>
      </c>
      <c r="U868" s="46" t="str">
        <f t="array" ref="U868">TEXT(D868,"dddd")</f>
        <v>Thursday</v>
      </c>
    </row>
    <row r="869" hidden="1">
      <c r="A869" s="46">
        <v>6.63080108E8</v>
      </c>
      <c r="B869" s="137" t="s">
        <v>224</v>
      </c>
      <c r="C869" s="137">
        <v>2011.0</v>
      </c>
      <c r="D869" s="138">
        <v>40868.0</v>
      </c>
      <c r="E869" s="139">
        <v>40887.0</v>
      </c>
      <c r="F869" s="142" t="s">
        <v>225</v>
      </c>
      <c r="G869" s="142">
        <v>2011.0</v>
      </c>
      <c r="H869" s="46">
        <v>8875.0</v>
      </c>
      <c r="I869" s="46">
        <v>8994.0</v>
      </c>
      <c r="J869" s="84">
        <v>3794478.6599999997</v>
      </c>
      <c r="K869" s="84">
        <v>3280021.86</v>
      </c>
      <c r="L869" s="84">
        <v>514456.7999999998</v>
      </c>
      <c r="M869" s="46" t="s">
        <v>167</v>
      </c>
      <c r="N869" s="46" t="s">
        <v>186</v>
      </c>
      <c r="O869" s="46" t="s">
        <v>146</v>
      </c>
      <c r="P869" s="46" t="s">
        <v>147</v>
      </c>
      <c r="Q869" s="46" t="str">
        <f t="shared" si="1"/>
        <v>November, 2011</v>
      </c>
      <c r="R869" s="115">
        <f t="shared" si="2"/>
        <v>40848</v>
      </c>
      <c r="S869" s="49">
        <f t="array" ref="S869">WEEKDAY(D869,2)</f>
        <v>1</v>
      </c>
      <c r="T869" s="46" t="s">
        <v>115</v>
      </c>
      <c r="U869" s="46" t="str">
        <f t="array" ref="U869">TEXT(D869,"dddd")</f>
        <v>Monday</v>
      </c>
    </row>
    <row r="870" hidden="1">
      <c r="A870" s="46">
        <v>6.65786778E8</v>
      </c>
      <c r="B870" s="137" t="s">
        <v>217</v>
      </c>
      <c r="C870" s="137">
        <v>2010.0</v>
      </c>
      <c r="D870" s="138">
        <v>40383.0</v>
      </c>
      <c r="E870" s="139">
        <v>40405.0</v>
      </c>
      <c r="F870" s="142" t="s">
        <v>216</v>
      </c>
      <c r="G870" s="142">
        <v>2010.0</v>
      </c>
      <c r="H870" s="46">
        <v>4594.0</v>
      </c>
      <c r="I870" s="46">
        <v>9958.0</v>
      </c>
      <c r="J870" s="84">
        <v>92908.14</v>
      </c>
      <c r="K870" s="84">
        <v>68909.36</v>
      </c>
      <c r="L870" s="84">
        <v>23998.78</v>
      </c>
      <c r="M870" s="46" t="s">
        <v>156</v>
      </c>
      <c r="N870" s="46" t="s">
        <v>172</v>
      </c>
      <c r="O870" s="46" t="s">
        <v>146</v>
      </c>
      <c r="P870" s="46" t="s">
        <v>155</v>
      </c>
      <c r="Q870" s="46" t="str">
        <f t="shared" si="1"/>
        <v>July, 2010</v>
      </c>
      <c r="R870" s="115">
        <f t="shared" si="2"/>
        <v>40360</v>
      </c>
      <c r="S870" s="49">
        <f t="array" ref="S870">WEEKDAY(D870,2)</f>
        <v>6</v>
      </c>
      <c r="T870" s="46" t="s">
        <v>105</v>
      </c>
      <c r="U870" s="46" t="str">
        <f t="array" ref="U870">TEXT(D870,"dddd")</f>
        <v>Saturday</v>
      </c>
    </row>
    <row r="871" hidden="1">
      <c r="A871" s="46">
        <v>6.65817677E8</v>
      </c>
      <c r="B871" s="137" t="s">
        <v>221</v>
      </c>
      <c r="C871" s="137">
        <v>2015.0</v>
      </c>
      <c r="D871" s="138">
        <v>42273.0</v>
      </c>
      <c r="E871" s="139">
        <v>42287.0</v>
      </c>
      <c r="F871" s="142" t="s">
        <v>226</v>
      </c>
      <c r="G871" s="142">
        <v>2015.0</v>
      </c>
      <c r="H871" s="46">
        <v>4594.0</v>
      </c>
      <c r="I871" s="46">
        <v>9102.0</v>
      </c>
      <c r="J871" s="84">
        <v>84921.66</v>
      </c>
      <c r="K871" s="84">
        <v>62985.84</v>
      </c>
      <c r="L871" s="84">
        <v>21935.820000000007</v>
      </c>
      <c r="M871" s="46" t="s">
        <v>156</v>
      </c>
      <c r="N871" s="46" t="s">
        <v>145</v>
      </c>
      <c r="O871" s="46" t="s">
        <v>146</v>
      </c>
      <c r="P871" s="46" t="s">
        <v>147</v>
      </c>
      <c r="Q871" s="46" t="str">
        <f t="shared" si="1"/>
        <v>September, 2015</v>
      </c>
      <c r="R871" s="115">
        <f t="shared" si="2"/>
        <v>42248</v>
      </c>
      <c r="S871" s="49">
        <f t="array" ref="S871">WEEKDAY(D871,2)</f>
        <v>6</v>
      </c>
      <c r="T871" s="46" t="s">
        <v>91</v>
      </c>
      <c r="U871" s="46" t="str">
        <f t="array" ref="U871">TEXT(D871,"dddd")</f>
        <v>Saturday</v>
      </c>
    </row>
    <row r="872" hidden="1">
      <c r="A872" s="46">
        <v>6.66483724E8</v>
      </c>
      <c r="B872" s="137" t="s">
        <v>217</v>
      </c>
      <c r="C872" s="137">
        <v>2014.0</v>
      </c>
      <c r="D872" s="138">
        <v>41848.0</v>
      </c>
      <c r="E872" s="139">
        <v>41882.0</v>
      </c>
      <c r="F872" s="142" t="s">
        <v>216</v>
      </c>
      <c r="G872" s="142">
        <v>2014.0</v>
      </c>
      <c r="H872" s="46">
        <v>7940.0</v>
      </c>
      <c r="I872" s="46">
        <v>6199.0</v>
      </c>
      <c r="J872" s="84">
        <v>4142605.73</v>
      </c>
      <c r="K872" s="84">
        <v>3115245.46</v>
      </c>
      <c r="L872" s="84">
        <v>1027360.27</v>
      </c>
      <c r="M872" s="46" t="s">
        <v>148</v>
      </c>
      <c r="N872" s="46" t="s">
        <v>190</v>
      </c>
      <c r="O872" s="46" t="s">
        <v>146</v>
      </c>
      <c r="P872" s="46" t="s">
        <v>147</v>
      </c>
      <c r="Q872" s="46" t="str">
        <f t="shared" si="1"/>
        <v>July, 2014</v>
      </c>
      <c r="R872" s="115">
        <f t="shared" si="2"/>
        <v>41821</v>
      </c>
      <c r="S872" s="49">
        <f t="array" ref="S872">WEEKDAY(D872,2)</f>
        <v>1</v>
      </c>
      <c r="T872" s="46" t="s">
        <v>119</v>
      </c>
      <c r="U872" s="46" t="str">
        <f t="array" ref="U872">TEXT(D872,"dddd")</f>
        <v>Monday</v>
      </c>
    </row>
    <row r="873" hidden="1">
      <c r="A873" s="46">
        <v>6.6692146E8</v>
      </c>
      <c r="B873" s="137" t="s">
        <v>221</v>
      </c>
      <c r="C873" s="137">
        <v>2014.0</v>
      </c>
      <c r="D873" s="138">
        <v>41896.0</v>
      </c>
      <c r="E873" s="139">
        <v>41922.0</v>
      </c>
      <c r="F873" s="142" t="s">
        <v>226</v>
      </c>
      <c r="G873" s="142">
        <v>2014.0</v>
      </c>
      <c r="H873" s="46">
        <v>2103.0</v>
      </c>
      <c r="I873" s="46">
        <v>5735.0</v>
      </c>
      <c r="J873" s="84">
        <v>1179689.5</v>
      </c>
      <c r="K873" s="84">
        <v>671625.85</v>
      </c>
      <c r="L873" s="84">
        <v>508063.65</v>
      </c>
      <c r="M873" s="46" t="s">
        <v>144</v>
      </c>
      <c r="N873" s="46" t="s">
        <v>205</v>
      </c>
      <c r="O873" s="46" t="s">
        <v>146</v>
      </c>
      <c r="P873" s="46" t="s">
        <v>170</v>
      </c>
      <c r="Q873" s="46" t="str">
        <f t="shared" si="1"/>
        <v>September, 2014</v>
      </c>
      <c r="R873" s="115">
        <f t="shared" si="2"/>
        <v>41883</v>
      </c>
      <c r="S873" s="49">
        <f t="array" ref="S873">WEEKDAY(D873,2)</f>
        <v>7</v>
      </c>
      <c r="T873" s="46" t="s">
        <v>135</v>
      </c>
      <c r="U873" s="46" t="str">
        <f t="array" ref="U873">TEXT(D873,"dddd")</f>
        <v>Sunday</v>
      </c>
    </row>
    <row r="874" hidden="1">
      <c r="A874" s="46">
        <v>6.67054498E8</v>
      </c>
      <c r="B874" s="137" t="s">
        <v>228</v>
      </c>
      <c r="C874" s="137">
        <v>2015.0</v>
      </c>
      <c r="D874" s="138">
        <v>42046.0</v>
      </c>
      <c r="E874" s="139">
        <v>42047.0</v>
      </c>
      <c r="F874" s="142" t="s">
        <v>228</v>
      </c>
      <c r="G874" s="142">
        <v>2015.0</v>
      </c>
      <c r="H874" s="46">
        <v>3127.0</v>
      </c>
      <c r="I874" s="46">
        <v>5104.0</v>
      </c>
      <c r="J874" s="84">
        <v>417149.92000000004</v>
      </c>
      <c r="K874" s="84">
        <v>289243.68</v>
      </c>
      <c r="L874" s="84">
        <v>127906.24000000005</v>
      </c>
      <c r="M874" s="46" t="s">
        <v>185</v>
      </c>
      <c r="N874" s="46" t="s">
        <v>186</v>
      </c>
      <c r="O874" s="46" t="s">
        <v>146</v>
      </c>
      <c r="P874" s="46" t="s">
        <v>147</v>
      </c>
      <c r="Q874" s="46" t="str">
        <f t="shared" si="1"/>
        <v>February, 2015</v>
      </c>
      <c r="R874" s="115">
        <f t="shared" si="2"/>
        <v>42036</v>
      </c>
      <c r="S874" s="49">
        <f t="array" ref="S874">WEEKDAY(D874,2)</f>
        <v>3</v>
      </c>
      <c r="T874" s="46" t="s">
        <v>115</v>
      </c>
      <c r="U874" s="46" t="str">
        <f t="array" ref="U874">TEXT(D874,"dddd")</f>
        <v>Wednesday</v>
      </c>
    </row>
    <row r="875" hidden="1">
      <c r="A875" s="46">
        <v>6.67324435E8</v>
      </c>
      <c r="B875" s="137" t="s">
        <v>226</v>
      </c>
      <c r="C875" s="137">
        <v>2012.0</v>
      </c>
      <c r="D875" s="138">
        <v>41200.0</v>
      </c>
      <c r="E875" s="139">
        <v>41213.0</v>
      </c>
      <c r="F875" s="142" t="s">
        <v>226</v>
      </c>
      <c r="G875" s="142">
        <v>2012.0</v>
      </c>
      <c r="H875" s="46">
        <v>7331.0</v>
      </c>
      <c r="I875" s="46">
        <v>4985.0</v>
      </c>
      <c r="J875" s="84">
        <v>1272570.8</v>
      </c>
      <c r="K875" s="84">
        <v>794708.7</v>
      </c>
      <c r="L875" s="84">
        <v>477862.1000000001</v>
      </c>
      <c r="M875" s="46" t="s">
        <v>161</v>
      </c>
      <c r="N875" s="46" t="s">
        <v>191</v>
      </c>
      <c r="O875" s="46" t="s">
        <v>146</v>
      </c>
      <c r="P875" s="46" t="s">
        <v>147</v>
      </c>
      <c r="Q875" s="46" t="str">
        <f t="shared" si="1"/>
        <v>October, 2012</v>
      </c>
      <c r="R875" s="115">
        <f t="shared" si="2"/>
        <v>41183</v>
      </c>
      <c r="S875" s="49">
        <f t="array" ref="S875">WEEKDAY(D875,2)</f>
        <v>4</v>
      </c>
      <c r="T875" s="46" t="s">
        <v>120</v>
      </c>
      <c r="U875" s="46" t="str">
        <f t="array" ref="U875">TEXT(D875,"dddd")</f>
        <v>Thursday</v>
      </c>
    </row>
    <row r="876" hidden="1">
      <c r="A876" s="46">
        <v>6.67420995E8</v>
      </c>
      <c r="B876" s="137" t="s">
        <v>227</v>
      </c>
      <c r="C876" s="137">
        <v>2010.0</v>
      </c>
      <c r="D876" s="138">
        <v>40194.0</v>
      </c>
      <c r="E876" s="139">
        <v>40196.0</v>
      </c>
      <c r="F876" s="142" t="s">
        <v>227</v>
      </c>
      <c r="G876" s="142">
        <v>2010.0</v>
      </c>
      <c r="H876" s="46">
        <v>3127.0</v>
      </c>
      <c r="I876" s="46">
        <v>3559.0</v>
      </c>
      <c r="J876" s="84">
        <v>290877.07</v>
      </c>
      <c r="K876" s="84">
        <v>201688.53</v>
      </c>
      <c r="L876" s="84">
        <v>89188.54000000001</v>
      </c>
      <c r="M876" s="46" t="s">
        <v>185</v>
      </c>
      <c r="N876" s="46" t="s">
        <v>164</v>
      </c>
      <c r="O876" s="46" t="s">
        <v>165</v>
      </c>
      <c r="P876" s="46" t="s">
        <v>166</v>
      </c>
      <c r="Q876" s="46" t="str">
        <f t="shared" si="1"/>
        <v>January, 2010</v>
      </c>
      <c r="R876" s="115">
        <f t="shared" si="2"/>
        <v>40179</v>
      </c>
      <c r="S876" s="49">
        <f t="array" ref="S876">WEEKDAY(D876,2)</f>
        <v>6</v>
      </c>
      <c r="T876" s="46" t="s">
        <v>101</v>
      </c>
      <c r="U876" s="46" t="str">
        <f t="array" ref="U876">TEXT(D876,"dddd")</f>
        <v>Saturday</v>
      </c>
    </row>
    <row r="877" hidden="1">
      <c r="A877" s="46">
        <v>6.68280589E8</v>
      </c>
      <c r="B877" s="137" t="s">
        <v>228</v>
      </c>
      <c r="C877" s="137">
        <v>2013.0</v>
      </c>
      <c r="D877" s="138">
        <v>41316.0</v>
      </c>
      <c r="E877" s="139">
        <v>41361.0</v>
      </c>
      <c r="F877" s="142" t="s">
        <v>222</v>
      </c>
      <c r="G877" s="142">
        <v>2013.0</v>
      </c>
      <c r="H877" s="46">
        <v>8875.0</v>
      </c>
      <c r="I877" s="46">
        <v>7932.0</v>
      </c>
      <c r="J877" s="84">
        <v>3346431.48</v>
      </c>
      <c r="K877" s="84">
        <v>2892721.08</v>
      </c>
      <c r="L877" s="84">
        <v>453710.3999999999</v>
      </c>
      <c r="M877" s="46" t="s">
        <v>167</v>
      </c>
      <c r="N877" s="46" t="s">
        <v>186</v>
      </c>
      <c r="O877" s="46" t="s">
        <v>146</v>
      </c>
      <c r="P877" s="46" t="s">
        <v>147</v>
      </c>
      <c r="Q877" s="46" t="str">
        <f t="shared" si="1"/>
        <v>February, 2013</v>
      </c>
      <c r="R877" s="115">
        <f t="shared" si="2"/>
        <v>41306</v>
      </c>
      <c r="S877" s="49">
        <f t="array" ref="S877">WEEKDAY(D877,2)</f>
        <v>1</v>
      </c>
      <c r="T877" s="46" t="s">
        <v>115</v>
      </c>
      <c r="U877" s="46" t="str">
        <f t="array" ref="U877">TEXT(D877,"dddd")</f>
        <v>Monday</v>
      </c>
    </row>
    <row r="878" hidden="1">
      <c r="A878" s="46">
        <v>6.69353473E8</v>
      </c>
      <c r="B878" s="137" t="s">
        <v>220</v>
      </c>
      <c r="C878" s="137">
        <v>2014.0</v>
      </c>
      <c r="D878" s="138">
        <v>41814.0</v>
      </c>
      <c r="E878" s="139">
        <v>41827.0</v>
      </c>
      <c r="F878" s="142" t="s">
        <v>217</v>
      </c>
      <c r="G878" s="142">
        <v>2014.0</v>
      </c>
      <c r="H878" s="46">
        <v>4594.0</v>
      </c>
      <c r="I878" s="46">
        <v>5422.0</v>
      </c>
      <c r="J878" s="84">
        <v>50587.26</v>
      </c>
      <c r="K878" s="84">
        <v>37520.24</v>
      </c>
      <c r="L878" s="84">
        <v>13067.020000000004</v>
      </c>
      <c r="M878" s="46" t="s">
        <v>156</v>
      </c>
      <c r="N878" s="46" t="s">
        <v>187</v>
      </c>
      <c r="O878" s="46" t="s">
        <v>146</v>
      </c>
      <c r="P878" s="46" t="s">
        <v>155</v>
      </c>
      <c r="Q878" s="46" t="str">
        <f t="shared" si="1"/>
        <v>June, 2014</v>
      </c>
      <c r="R878" s="115">
        <f t="shared" si="2"/>
        <v>41791</v>
      </c>
      <c r="S878" s="49">
        <f t="array" ref="S878">WEEKDAY(D878,2)</f>
        <v>2</v>
      </c>
      <c r="T878" s="46" t="s">
        <v>116</v>
      </c>
      <c r="U878" s="46" t="str">
        <f t="array" ref="U878">TEXT(D878,"dddd")</f>
        <v>Tuesday</v>
      </c>
    </row>
    <row r="879" hidden="1">
      <c r="A879" s="46">
        <v>6.69550883E8</v>
      </c>
      <c r="B879" s="137" t="s">
        <v>217</v>
      </c>
      <c r="C879" s="137">
        <v>2015.0</v>
      </c>
      <c r="D879" s="138">
        <v>42215.0</v>
      </c>
      <c r="E879" s="139">
        <v>42263.0</v>
      </c>
      <c r="F879" s="142" t="s">
        <v>221</v>
      </c>
      <c r="G879" s="142">
        <v>2015.0</v>
      </c>
      <c r="H879" s="46">
        <v>8293.0</v>
      </c>
      <c r="I879" s="46">
        <v>3840.0</v>
      </c>
      <c r="J879" s="84">
        <v>1678848.0</v>
      </c>
      <c r="K879" s="84">
        <v>1011187.2</v>
      </c>
      <c r="L879" s="84">
        <v>667660.8</v>
      </c>
      <c r="M879" s="46" t="s">
        <v>178</v>
      </c>
      <c r="N879" s="46" t="s">
        <v>187</v>
      </c>
      <c r="O879" s="46" t="s">
        <v>146</v>
      </c>
      <c r="P879" s="46" t="s">
        <v>155</v>
      </c>
      <c r="Q879" s="46" t="str">
        <f t="shared" si="1"/>
        <v>July, 2015</v>
      </c>
      <c r="R879" s="115">
        <f t="shared" si="2"/>
        <v>42186</v>
      </c>
      <c r="S879" s="49">
        <f t="array" ref="S879">WEEKDAY(D879,2)</f>
        <v>4</v>
      </c>
      <c r="T879" s="46" t="s">
        <v>116</v>
      </c>
      <c r="U879" s="46" t="str">
        <f t="array" ref="U879">TEXT(D879,"dddd")</f>
        <v>Thursday</v>
      </c>
    </row>
    <row r="880" hidden="1">
      <c r="A880" s="46">
        <v>6.70274865E8</v>
      </c>
      <c r="B880" s="137" t="s">
        <v>226</v>
      </c>
      <c r="C880" s="137">
        <v>2012.0</v>
      </c>
      <c r="D880" s="138">
        <v>41186.0</v>
      </c>
      <c r="E880" s="139">
        <v>41226.0</v>
      </c>
      <c r="F880" s="142" t="s">
        <v>224</v>
      </c>
      <c r="G880" s="142">
        <v>2012.0</v>
      </c>
      <c r="H880" s="46">
        <v>5988.0</v>
      </c>
      <c r="I880" s="46">
        <v>8082.0</v>
      </c>
      <c r="J880" s="84">
        <v>1245112.92</v>
      </c>
      <c r="K880" s="84">
        <v>734896.26</v>
      </c>
      <c r="L880" s="84">
        <v>510216.6599999999</v>
      </c>
      <c r="M880" s="46" t="s">
        <v>159</v>
      </c>
      <c r="N880" s="46" t="s">
        <v>193</v>
      </c>
      <c r="O880" s="46" t="s">
        <v>146</v>
      </c>
      <c r="P880" s="46" t="s">
        <v>158</v>
      </c>
      <c r="Q880" s="46" t="str">
        <f t="shared" si="1"/>
        <v>October, 2012</v>
      </c>
      <c r="R880" s="115">
        <f t="shared" si="2"/>
        <v>41183</v>
      </c>
      <c r="S880" s="49">
        <f t="array" ref="S880">WEEKDAY(D880,2)</f>
        <v>4</v>
      </c>
      <c r="T880" s="46" t="s">
        <v>122</v>
      </c>
      <c r="U880" s="46" t="str">
        <f t="array" ref="U880">TEXT(D880,"dddd")</f>
        <v>Thursday</v>
      </c>
    </row>
    <row r="881" hidden="1">
      <c r="A881" s="46">
        <v>6.71616399E8</v>
      </c>
      <c r="B881" s="137" t="s">
        <v>224</v>
      </c>
      <c r="C881" s="137">
        <v>2012.0</v>
      </c>
      <c r="D881" s="138">
        <v>41219.0</v>
      </c>
      <c r="E881" s="139">
        <v>41253.0</v>
      </c>
      <c r="F881" s="142" t="s">
        <v>225</v>
      </c>
      <c r="G881" s="142">
        <v>2012.0</v>
      </c>
      <c r="H881" s="46">
        <v>5988.0</v>
      </c>
      <c r="I881" s="46">
        <v>5072.0</v>
      </c>
      <c r="J881" s="84">
        <v>781392.3200000001</v>
      </c>
      <c r="K881" s="84">
        <v>461196.96</v>
      </c>
      <c r="L881" s="84">
        <v>320195.36000000004</v>
      </c>
      <c r="M881" s="46" t="s">
        <v>159</v>
      </c>
      <c r="N881" s="46" t="s">
        <v>206</v>
      </c>
      <c r="O881" s="46" t="s">
        <v>146</v>
      </c>
      <c r="P881" s="46" t="s">
        <v>158</v>
      </c>
      <c r="Q881" s="46" t="str">
        <f t="shared" si="1"/>
        <v>November, 2012</v>
      </c>
      <c r="R881" s="115">
        <f t="shared" si="2"/>
        <v>41214</v>
      </c>
      <c r="S881" s="49">
        <f t="array" ref="S881">WEEKDAY(D881,2)</f>
        <v>2</v>
      </c>
      <c r="T881" s="46" t="s">
        <v>136</v>
      </c>
      <c r="U881" s="46" t="str">
        <f t="array" ref="U881">TEXT(D881,"dddd")</f>
        <v>Tuesday</v>
      </c>
    </row>
    <row r="882" hidden="1">
      <c r="A882" s="46">
        <v>6.72330081E8</v>
      </c>
      <c r="B882" s="137" t="s">
        <v>226</v>
      </c>
      <c r="C882" s="137">
        <v>2010.0</v>
      </c>
      <c r="D882" s="138">
        <v>40482.0</v>
      </c>
      <c r="E882" s="139">
        <v>40511.0</v>
      </c>
      <c r="F882" s="142" t="s">
        <v>224</v>
      </c>
      <c r="G882" s="142">
        <v>2010.0</v>
      </c>
      <c r="H882" s="46">
        <v>8681.0</v>
      </c>
      <c r="I882" s="46">
        <v>6266.0</v>
      </c>
      <c r="J882" s="84">
        <v>4080481.8600000003</v>
      </c>
      <c r="K882" s="84">
        <v>3289399.3600000003</v>
      </c>
      <c r="L882" s="84">
        <v>791082.5</v>
      </c>
      <c r="M882" s="46" t="s">
        <v>153</v>
      </c>
      <c r="N882" s="46" t="s">
        <v>196</v>
      </c>
      <c r="O882" s="46" t="s">
        <v>146</v>
      </c>
      <c r="P882" s="46" t="s">
        <v>155</v>
      </c>
      <c r="Q882" s="46" t="str">
        <f t="shared" si="1"/>
        <v>October, 2010</v>
      </c>
      <c r="R882" s="115">
        <f t="shared" si="2"/>
        <v>40452</v>
      </c>
      <c r="S882" s="49">
        <f t="array" ref="S882">WEEKDAY(D882,2)</f>
        <v>7</v>
      </c>
      <c r="T882" s="46" t="s">
        <v>125</v>
      </c>
      <c r="U882" s="46" t="str">
        <f t="array" ref="U882">TEXT(D882,"dddd")</f>
        <v>Sunday</v>
      </c>
    </row>
    <row r="883">
      <c r="A883" s="46">
        <v>6.72856652E8</v>
      </c>
      <c r="B883" s="137" t="s">
        <v>220</v>
      </c>
      <c r="C883" s="137">
        <v>2014.0</v>
      </c>
      <c r="D883" s="138">
        <v>41817.0</v>
      </c>
      <c r="E883" s="139">
        <v>41854.0</v>
      </c>
      <c r="F883" s="142" t="s">
        <v>216</v>
      </c>
      <c r="G883" s="142">
        <v>2014.0</v>
      </c>
      <c r="H883" s="46">
        <v>7940.0</v>
      </c>
      <c r="I883" s="46">
        <v>2091.0</v>
      </c>
      <c r="J883" s="84">
        <v>1397352.57</v>
      </c>
      <c r="K883" s="84">
        <v>1050811.1400000001</v>
      </c>
      <c r="L883" s="84">
        <v>346541.42999999993</v>
      </c>
      <c r="M883" s="46" t="s">
        <v>148</v>
      </c>
      <c r="N883" s="46" t="s">
        <v>149</v>
      </c>
      <c r="O883" s="46" t="s">
        <v>149</v>
      </c>
      <c r="P883" s="46" t="s">
        <v>218</v>
      </c>
      <c r="Q883" s="46" t="str">
        <f t="shared" si="1"/>
        <v>June, 2014</v>
      </c>
      <c r="R883" s="115">
        <f t="shared" si="2"/>
        <v>41791</v>
      </c>
      <c r="S883" s="49">
        <f t="array" ref="S883">WEEKDAY(D883,2)</f>
        <v>5</v>
      </c>
      <c r="T883" s="46" t="s">
        <v>92</v>
      </c>
      <c r="U883" s="46" t="str">
        <f t="array" ref="U883">TEXT(D883,"dddd")</f>
        <v>Friday</v>
      </c>
    </row>
    <row r="884" hidden="1">
      <c r="A884" s="46">
        <v>6.74060428E8</v>
      </c>
      <c r="B884" s="137" t="s">
        <v>225</v>
      </c>
      <c r="C884" s="137">
        <v>2012.0</v>
      </c>
      <c r="D884" s="138">
        <v>41258.0</v>
      </c>
      <c r="E884" s="139">
        <v>41260.0</v>
      </c>
      <c r="F884" s="142" t="s">
        <v>225</v>
      </c>
      <c r="G884" s="142">
        <v>2012.0</v>
      </c>
      <c r="H884" s="46">
        <v>2103.0</v>
      </c>
      <c r="I884" s="46">
        <v>8315.0</v>
      </c>
      <c r="J884" s="84">
        <v>1710395.5</v>
      </c>
      <c r="K884" s="84">
        <v>973769.65</v>
      </c>
      <c r="L884" s="84">
        <v>736625.85</v>
      </c>
      <c r="M884" s="46" t="s">
        <v>144</v>
      </c>
      <c r="N884" s="46" t="s">
        <v>187</v>
      </c>
      <c r="O884" s="46" t="s">
        <v>146</v>
      </c>
      <c r="P884" s="46" t="s">
        <v>155</v>
      </c>
      <c r="Q884" s="46" t="str">
        <f t="shared" si="1"/>
        <v>December, 2012</v>
      </c>
      <c r="R884" s="115">
        <f t="shared" si="2"/>
        <v>41244</v>
      </c>
      <c r="S884" s="49">
        <f t="array" ref="S884">WEEKDAY(D884,2)</f>
        <v>6</v>
      </c>
      <c r="T884" s="46" t="s">
        <v>116</v>
      </c>
      <c r="U884" s="46" t="str">
        <f t="array" ref="U884">TEXT(D884,"dddd")</f>
        <v>Saturday</v>
      </c>
    </row>
    <row r="885" hidden="1">
      <c r="A885" s="46">
        <v>6.77851569E8</v>
      </c>
      <c r="B885" s="137" t="s">
        <v>228</v>
      </c>
      <c r="C885" s="137">
        <v>2011.0</v>
      </c>
      <c r="D885" s="138">
        <v>40596.0</v>
      </c>
      <c r="E885" s="139">
        <v>40604.0</v>
      </c>
      <c r="F885" s="142" t="s">
        <v>222</v>
      </c>
      <c r="G885" s="142">
        <v>2011.0</v>
      </c>
      <c r="H885" s="46">
        <v>7940.0</v>
      </c>
      <c r="I885" s="46">
        <v>198.0</v>
      </c>
      <c r="J885" s="84">
        <v>132317.46</v>
      </c>
      <c r="K885" s="84">
        <v>99502.92</v>
      </c>
      <c r="L885" s="84">
        <v>32814.53999999999</v>
      </c>
      <c r="M885" s="46" t="s">
        <v>148</v>
      </c>
      <c r="N885" s="46" t="s">
        <v>197</v>
      </c>
      <c r="O885" s="46" t="s">
        <v>146</v>
      </c>
      <c r="P885" s="46" t="s">
        <v>147</v>
      </c>
      <c r="Q885" s="46" t="str">
        <f t="shared" si="1"/>
        <v>February, 2011</v>
      </c>
      <c r="R885" s="115">
        <f t="shared" si="2"/>
        <v>40575</v>
      </c>
      <c r="S885" s="49">
        <f t="array" ref="S885">WEEKDAY(D885,2)</f>
        <v>2</v>
      </c>
      <c r="T885" s="46" t="s">
        <v>126</v>
      </c>
      <c r="U885" s="46" t="str">
        <f t="array" ref="U885">TEXT(D885,"dddd")</f>
        <v>Tuesday</v>
      </c>
    </row>
    <row r="886" hidden="1">
      <c r="A886" s="46">
        <v>6.79039466E8</v>
      </c>
      <c r="B886" s="137" t="s">
        <v>220</v>
      </c>
      <c r="C886" s="137">
        <v>2012.0</v>
      </c>
      <c r="D886" s="138">
        <v>41063.0</v>
      </c>
      <c r="E886" s="139">
        <v>41095.0</v>
      </c>
      <c r="F886" s="142" t="s">
        <v>217</v>
      </c>
      <c r="G886" s="142">
        <v>2012.0</v>
      </c>
      <c r="H886" s="46">
        <v>8293.0</v>
      </c>
      <c r="I886" s="46">
        <v>1723.0</v>
      </c>
      <c r="J886" s="84">
        <v>753295.6</v>
      </c>
      <c r="K886" s="84">
        <v>453717.58999999997</v>
      </c>
      <c r="L886" s="84">
        <v>299578.01</v>
      </c>
      <c r="M886" s="46" t="s">
        <v>178</v>
      </c>
      <c r="N886" s="46" t="s">
        <v>203</v>
      </c>
      <c r="O886" s="46" t="s">
        <v>146</v>
      </c>
      <c r="P886" s="46" t="s">
        <v>170</v>
      </c>
      <c r="Q886" s="46" t="str">
        <f t="shared" si="1"/>
        <v>June, 2012</v>
      </c>
      <c r="R886" s="115">
        <f t="shared" si="2"/>
        <v>41061</v>
      </c>
      <c r="S886" s="49">
        <f t="array" ref="S886">WEEKDAY(D886,2)</f>
        <v>7</v>
      </c>
      <c r="T886" s="46" t="s">
        <v>132</v>
      </c>
      <c r="U886" s="46" t="str">
        <f t="array" ref="U886">TEXT(D886,"dddd")</f>
        <v>Sunday</v>
      </c>
    </row>
    <row r="887" hidden="1">
      <c r="A887" s="46">
        <v>6.7910856E8</v>
      </c>
      <c r="B887" s="137" t="s">
        <v>223</v>
      </c>
      <c r="C887" s="137">
        <v>2014.0</v>
      </c>
      <c r="D887" s="138">
        <v>41756.0</v>
      </c>
      <c r="E887" s="139">
        <v>41801.0</v>
      </c>
      <c r="F887" s="142" t="s">
        <v>220</v>
      </c>
      <c r="G887" s="142">
        <v>2014.0</v>
      </c>
      <c r="H887" s="46">
        <v>7940.0</v>
      </c>
      <c r="I887" s="46">
        <v>2169.0</v>
      </c>
      <c r="J887" s="84">
        <v>1449477.63</v>
      </c>
      <c r="K887" s="84">
        <v>1090009.26</v>
      </c>
      <c r="L887" s="84">
        <v>359468.3699999999</v>
      </c>
      <c r="M887" s="46" t="s">
        <v>148</v>
      </c>
      <c r="N887" s="46" t="s">
        <v>200</v>
      </c>
      <c r="O887" s="46" t="s">
        <v>146</v>
      </c>
      <c r="P887" s="46" t="s">
        <v>158</v>
      </c>
      <c r="Q887" s="46" t="str">
        <f t="shared" si="1"/>
        <v>April, 2014</v>
      </c>
      <c r="R887" s="115">
        <f t="shared" si="2"/>
        <v>41730</v>
      </c>
      <c r="S887" s="49">
        <f t="array" ref="S887">WEEKDAY(D887,2)</f>
        <v>7</v>
      </c>
      <c r="T887" s="46" t="s">
        <v>129</v>
      </c>
      <c r="U887" s="46" t="str">
        <f t="array" ref="U887">TEXT(D887,"dddd")</f>
        <v>Sunday</v>
      </c>
    </row>
    <row r="888" hidden="1">
      <c r="A888" s="46">
        <v>6.8032521E8</v>
      </c>
      <c r="B888" s="137" t="s">
        <v>220</v>
      </c>
      <c r="C888" s="137">
        <v>2017.0</v>
      </c>
      <c r="D888" s="138">
        <v>42907.0</v>
      </c>
      <c r="E888" s="139">
        <v>42939.0</v>
      </c>
      <c r="F888" s="142" t="s">
        <v>217</v>
      </c>
      <c r="G888" s="142">
        <v>2017.0</v>
      </c>
      <c r="H888" s="46">
        <v>5988.0</v>
      </c>
      <c r="I888" s="46">
        <v>2203.0</v>
      </c>
      <c r="J888" s="84">
        <v>339394.18</v>
      </c>
      <c r="K888" s="84">
        <v>200318.79</v>
      </c>
      <c r="L888" s="84">
        <v>139075.38999999998</v>
      </c>
      <c r="M888" s="46" t="s">
        <v>159</v>
      </c>
      <c r="N888" s="46" t="s">
        <v>201</v>
      </c>
      <c r="O888" s="46" t="s">
        <v>146</v>
      </c>
      <c r="P888" s="46" t="s">
        <v>170</v>
      </c>
      <c r="Q888" s="46" t="str">
        <f t="shared" si="1"/>
        <v>June, 2017</v>
      </c>
      <c r="R888" s="115">
        <f t="shared" si="2"/>
        <v>42887</v>
      </c>
      <c r="S888" s="49">
        <f t="array" ref="S888">WEEKDAY(D888,2)</f>
        <v>3</v>
      </c>
      <c r="T888" s="46" t="s">
        <v>130</v>
      </c>
      <c r="U888" s="46" t="str">
        <f t="array" ref="U888">TEXT(D888,"dddd")</f>
        <v>Wednesday</v>
      </c>
    </row>
    <row r="889" hidden="1">
      <c r="A889" s="46">
        <v>6.81713092E8</v>
      </c>
      <c r="B889" s="137" t="s">
        <v>222</v>
      </c>
      <c r="C889" s="137">
        <v>2010.0</v>
      </c>
      <c r="D889" s="138">
        <v>40245.0</v>
      </c>
      <c r="E889" s="139">
        <v>40259.0</v>
      </c>
      <c r="F889" s="142" t="s">
        <v>222</v>
      </c>
      <c r="G889" s="142">
        <v>2010.0</v>
      </c>
      <c r="H889" s="46">
        <v>1270.0</v>
      </c>
      <c r="I889" s="46">
        <v>2908.0</v>
      </c>
      <c r="J889" s="84">
        <v>137984.6</v>
      </c>
      <c r="K889" s="84">
        <v>92445.31999999999</v>
      </c>
      <c r="L889" s="84">
        <v>45539.28000000001</v>
      </c>
      <c r="M889" s="46" t="s">
        <v>152</v>
      </c>
      <c r="N889" s="46" t="s">
        <v>187</v>
      </c>
      <c r="O889" s="46" t="s">
        <v>146</v>
      </c>
      <c r="P889" s="46" t="s">
        <v>155</v>
      </c>
      <c r="Q889" s="46" t="str">
        <f t="shared" si="1"/>
        <v>March, 2010</v>
      </c>
      <c r="R889" s="115">
        <f t="shared" si="2"/>
        <v>40238</v>
      </c>
      <c r="S889" s="49">
        <f t="array" ref="S889">WEEKDAY(D889,2)</f>
        <v>1</v>
      </c>
      <c r="T889" s="46" t="s">
        <v>116</v>
      </c>
      <c r="U889" s="46" t="str">
        <f t="array" ref="U889">TEXT(D889,"dddd")</f>
        <v>Monday</v>
      </c>
    </row>
    <row r="890" hidden="1">
      <c r="A890" s="46">
        <v>6.82066285E8</v>
      </c>
      <c r="B890" s="137" t="s">
        <v>219</v>
      </c>
      <c r="C890" s="137">
        <v>2013.0</v>
      </c>
      <c r="D890" s="138">
        <v>41420.0</v>
      </c>
      <c r="E890" s="139">
        <v>41468.0</v>
      </c>
      <c r="F890" s="142" t="s">
        <v>217</v>
      </c>
      <c r="G890" s="142">
        <v>2013.0</v>
      </c>
      <c r="H890" s="46">
        <v>5988.0</v>
      </c>
      <c r="I890" s="46">
        <v>7426.0</v>
      </c>
      <c r="J890" s="84">
        <v>1144049.56</v>
      </c>
      <c r="K890" s="84">
        <v>675246.18</v>
      </c>
      <c r="L890" s="84">
        <v>468803.38</v>
      </c>
      <c r="M890" s="46" t="s">
        <v>159</v>
      </c>
      <c r="N890" s="46" t="s">
        <v>176</v>
      </c>
      <c r="O890" s="46" t="s">
        <v>146</v>
      </c>
      <c r="P890" s="46" t="s">
        <v>158</v>
      </c>
      <c r="Q890" s="46" t="str">
        <f t="shared" si="1"/>
        <v>May, 2013</v>
      </c>
      <c r="R890" s="115">
        <f t="shared" si="2"/>
        <v>41395</v>
      </c>
      <c r="S890" s="49">
        <f t="array" ref="S890">WEEKDAY(D890,2)</f>
        <v>7</v>
      </c>
      <c r="T890" s="46" t="s">
        <v>109</v>
      </c>
      <c r="U890" s="46" t="str">
        <f t="array" ref="U890">TEXT(D890,"dddd")</f>
        <v>Sunday</v>
      </c>
    </row>
    <row r="891" hidden="1">
      <c r="A891" s="46">
        <v>6.82162415E8</v>
      </c>
      <c r="B891" s="137" t="s">
        <v>227</v>
      </c>
      <c r="C891" s="137">
        <v>2016.0</v>
      </c>
      <c r="D891" s="138">
        <v>42385.0</v>
      </c>
      <c r="E891" s="139">
        <v>42426.0</v>
      </c>
      <c r="F891" s="142" t="s">
        <v>228</v>
      </c>
      <c r="G891" s="142">
        <v>2016.0</v>
      </c>
      <c r="H891" s="46">
        <v>8875.0</v>
      </c>
      <c r="I891" s="46">
        <v>5873.0</v>
      </c>
      <c r="J891" s="84">
        <v>2477759.9699999997</v>
      </c>
      <c r="K891" s="84">
        <v>2141824.37</v>
      </c>
      <c r="L891" s="84">
        <v>335935.5999999996</v>
      </c>
      <c r="M891" s="46" t="s">
        <v>167</v>
      </c>
      <c r="N891" s="46" t="s">
        <v>172</v>
      </c>
      <c r="O891" s="46" t="s">
        <v>146</v>
      </c>
      <c r="P891" s="46" t="s">
        <v>155</v>
      </c>
      <c r="Q891" s="46" t="str">
        <f t="shared" si="1"/>
        <v>January, 2016</v>
      </c>
      <c r="R891" s="115">
        <f t="shared" si="2"/>
        <v>42370</v>
      </c>
      <c r="S891" s="49">
        <f t="array" ref="S891">WEEKDAY(D891,2)</f>
        <v>6</v>
      </c>
      <c r="T891" s="46" t="s">
        <v>105</v>
      </c>
      <c r="U891" s="46" t="str">
        <f t="array" ref="U891">TEXT(D891,"dddd")</f>
        <v>Saturday</v>
      </c>
    </row>
    <row r="892" hidden="1">
      <c r="A892" s="46">
        <v>6.82314765E8</v>
      </c>
      <c r="B892" s="137" t="s">
        <v>224</v>
      </c>
      <c r="C892" s="137">
        <v>2015.0</v>
      </c>
      <c r="D892" s="138">
        <v>42334.0</v>
      </c>
      <c r="E892" s="139">
        <v>42358.0</v>
      </c>
      <c r="F892" s="142" t="s">
        <v>225</v>
      </c>
      <c r="G892" s="142">
        <v>2015.0</v>
      </c>
      <c r="H892" s="46">
        <v>1270.0</v>
      </c>
      <c r="I892" s="46">
        <v>956.0</v>
      </c>
      <c r="J892" s="84">
        <v>45362.200000000004</v>
      </c>
      <c r="K892" s="84">
        <v>30391.239999999998</v>
      </c>
      <c r="L892" s="84">
        <v>14970.960000000006</v>
      </c>
      <c r="M892" s="46" t="s">
        <v>152</v>
      </c>
      <c r="N892" s="46" t="s">
        <v>163</v>
      </c>
      <c r="O892" s="46" t="s">
        <v>146</v>
      </c>
      <c r="P892" s="46" t="s">
        <v>158</v>
      </c>
      <c r="Q892" s="46" t="str">
        <f t="shared" si="1"/>
        <v>November, 2015</v>
      </c>
      <c r="R892" s="115">
        <f t="shared" si="2"/>
        <v>42309</v>
      </c>
      <c r="S892" s="49">
        <f t="array" ref="S892">WEEKDAY(D892,2)</f>
        <v>4</v>
      </c>
      <c r="T892" s="46" t="s">
        <v>100</v>
      </c>
      <c r="U892" s="46" t="str">
        <f t="array" ref="U892">TEXT(D892,"dddd")</f>
        <v>Thursday</v>
      </c>
    </row>
    <row r="893" hidden="1">
      <c r="A893" s="46">
        <v>6.84239947E8</v>
      </c>
      <c r="B893" s="137" t="s">
        <v>216</v>
      </c>
      <c r="C893" s="137">
        <v>2013.0</v>
      </c>
      <c r="D893" s="138">
        <v>41510.0</v>
      </c>
      <c r="E893" s="139">
        <v>41517.0</v>
      </c>
      <c r="F893" s="142" t="s">
        <v>216</v>
      </c>
      <c r="G893" s="142">
        <v>2013.0</v>
      </c>
      <c r="H893" s="46">
        <v>8293.0</v>
      </c>
      <c r="I893" s="46">
        <v>661.0</v>
      </c>
      <c r="J893" s="84">
        <v>288989.2</v>
      </c>
      <c r="K893" s="84">
        <v>174061.12999999998</v>
      </c>
      <c r="L893" s="84">
        <v>114928.07000000004</v>
      </c>
      <c r="M893" s="46" t="s">
        <v>178</v>
      </c>
      <c r="N893" s="46" t="s">
        <v>203</v>
      </c>
      <c r="O893" s="46" t="s">
        <v>146</v>
      </c>
      <c r="P893" s="46" t="s">
        <v>170</v>
      </c>
      <c r="Q893" s="46" t="str">
        <f t="shared" si="1"/>
        <v>August, 2013</v>
      </c>
      <c r="R893" s="115">
        <f t="shared" si="2"/>
        <v>41487</v>
      </c>
      <c r="S893" s="49">
        <f t="array" ref="S893">WEEKDAY(D893,2)</f>
        <v>6</v>
      </c>
      <c r="T893" s="46" t="s">
        <v>132</v>
      </c>
      <c r="U893" s="46" t="str">
        <f t="array" ref="U893">TEXT(D893,"dddd")</f>
        <v>Saturday</v>
      </c>
    </row>
    <row r="894" hidden="1">
      <c r="A894" s="46">
        <v>6.84853637E8</v>
      </c>
      <c r="B894" s="137" t="s">
        <v>228</v>
      </c>
      <c r="C894" s="137">
        <v>2012.0</v>
      </c>
      <c r="D894" s="138">
        <v>40954.0</v>
      </c>
      <c r="E894" s="139">
        <v>41002.0</v>
      </c>
      <c r="F894" s="142" t="s">
        <v>223</v>
      </c>
      <c r="G894" s="142">
        <v>2012.0</v>
      </c>
      <c r="H894" s="46">
        <v>2455.0</v>
      </c>
      <c r="I894" s="46">
        <v>2265.0</v>
      </c>
      <c r="J894" s="84">
        <v>247519.2</v>
      </c>
      <c r="K894" s="84">
        <v>81177.6</v>
      </c>
      <c r="L894" s="84">
        <v>166341.6</v>
      </c>
      <c r="M894" s="46" t="s">
        <v>150</v>
      </c>
      <c r="N894" s="46" t="s">
        <v>186</v>
      </c>
      <c r="O894" s="46" t="s">
        <v>146</v>
      </c>
      <c r="P894" s="46" t="s">
        <v>147</v>
      </c>
      <c r="Q894" s="46" t="str">
        <f t="shared" si="1"/>
        <v>February, 2012</v>
      </c>
      <c r="R894" s="115">
        <f t="shared" si="2"/>
        <v>40940</v>
      </c>
      <c r="S894" s="49">
        <f t="array" ref="S894">WEEKDAY(D894,2)</f>
        <v>3</v>
      </c>
      <c r="T894" s="46" t="s">
        <v>115</v>
      </c>
      <c r="U894" s="46" t="str">
        <f t="array" ref="U894">TEXT(D894,"dddd")</f>
        <v>Wednesday</v>
      </c>
    </row>
    <row r="895" hidden="1">
      <c r="A895" s="46">
        <v>6.85233008E8</v>
      </c>
      <c r="B895" s="137" t="s">
        <v>221</v>
      </c>
      <c r="C895" s="137">
        <v>2011.0</v>
      </c>
      <c r="D895" s="138">
        <v>40812.0</v>
      </c>
      <c r="E895" s="139">
        <v>40833.0</v>
      </c>
      <c r="F895" s="142" t="s">
        <v>226</v>
      </c>
      <c r="G895" s="142">
        <v>2011.0</v>
      </c>
      <c r="H895" s="46">
        <v>7331.0</v>
      </c>
      <c r="I895" s="46">
        <v>4529.0</v>
      </c>
      <c r="J895" s="84">
        <v>1156163.12</v>
      </c>
      <c r="K895" s="84">
        <v>722013.1799999999</v>
      </c>
      <c r="L895" s="84">
        <v>434149.9400000002</v>
      </c>
      <c r="M895" s="46" t="s">
        <v>161</v>
      </c>
      <c r="N895" s="46" t="s">
        <v>173</v>
      </c>
      <c r="O895" s="46" t="s">
        <v>146</v>
      </c>
      <c r="P895" s="46" t="s">
        <v>155</v>
      </c>
      <c r="Q895" s="46" t="str">
        <f t="shared" si="1"/>
        <v>September, 2011</v>
      </c>
      <c r="R895" s="115">
        <f t="shared" si="2"/>
        <v>40787</v>
      </c>
      <c r="S895" s="49">
        <f t="array" ref="S895">WEEKDAY(D895,2)</f>
        <v>1</v>
      </c>
      <c r="T895" s="46" t="s">
        <v>106</v>
      </c>
      <c r="U895" s="46" t="str">
        <f t="array" ref="U895">TEXT(D895,"dddd")</f>
        <v>Monday</v>
      </c>
    </row>
    <row r="896" hidden="1">
      <c r="A896" s="46">
        <v>6.8559693E8</v>
      </c>
      <c r="B896" s="137" t="s">
        <v>223</v>
      </c>
      <c r="C896" s="137">
        <v>2016.0</v>
      </c>
      <c r="D896" s="138">
        <v>42489.0</v>
      </c>
      <c r="E896" s="139">
        <v>42537.0</v>
      </c>
      <c r="F896" s="142" t="s">
        <v>220</v>
      </c>
      <c r="G896" s="142">
        <v>2016.0</v>
      </c>
      <c r="H896" s="46">
        <v>2455.0</v>
      </c>
      <c r="I896" s="46">
        <v>2222.0</v>
      </c>
      <c r="J896" s="84">
        <v>242820.16</v>
      </c>
      <c r="K896" s="84">
        <v>79636.48000000001</v>
      </c>
      <c r="L896" s="84">
        <v>163183.68</v>
      </c>
      <c r="M896" s="46" t="s">
        <v>150</v>
      </c>
      <c r="N896" s="46" t="s">
        <v>151</v>
      </c>
      <c r="O896" s="46" t="s">
        <v>146</v>
      </c>
      <c r="P896" s="46" t="s">
        <v>147</v>
      </c>
      <c r="Q896" s="46" t="str">
        <f t="shared" si="1"/>
        <v>April, 2016</v>
      </c>
      <c r="R896" s="115">
        <f t="shared" si="2"/>
        <v>42461</v>
      </c>
      <c r="S896" s="49">
        <f t="array" ref="S896">WEEKDAY(D896,2)</f>
        <v>5</v>
      </c>
      <c r="T896" s="46" t="s">
        <v>94</v>
      </c>
      <c r="U896" s="46" t="str">
        <f t="array" ref="U896">TEXT(D896,"dddd")</f>
        <v>Friday</v>
      </c>
    </row>
    <row r="897" hidden="1">
      <c r="A897" s="46">
        <v>6.87374913E8</v>
      </c>
      <c r="B897" s="137" t="s">
        <v>227</v>
      </c>
      <c r="C897" s="137">
        <v>2010.0</v>
      </c>
      <c r="D897" s="138">
        <v>40188.0</v>
      </c>
      <c r="E897" s="139">
        <v>40235.0</v>
      </c>
      <c r="F897" s="142" t="s">
        <v>228</v>
      </c>
      <c r="G897" s="142">
        <v>2010.0</v>
      </c>
      <c r="H897" s="46">
        <v>2103.0</v>
      </c>
      <c r="I897" s="46">
        <v>8367.0</v>
      </c>
      <c r="J897" s="84">
        <v>1721091.9</v>
      </c>
      <c r="K897" s="84">
        <v>979859.37</v>
      </c>
      <c r="L897" s="84">
        <v>741232.5299999999</v>
      </c>
      <c r="M897" s="46" t="s">
        <v>144</v>
      </c>
      <c r="N897" s="46" t="s">
        <v>208</v>
      </c>
      <c r="O897" s="46" t="s">
        <v>146</v>
      </c>
      <c r="P897" s="46" t="s">
        <v>147</v>
      </c>
      <c r="Q897" s="46" t="str">
        <f t="shared" si="1"/>
        <v>January, 2010</v>
      </c>
      <c r="R897" s="115">
        <f t="shared" si="2"/>
        <v>40179</v>
      </c>
      <c r="S897" s="49">
        <f t="array" ref="S897">WEEKDAY(D897,2)</f>
        <v>7</v>
      </c>
      <c r="T897" s="46" t="s">
        <v>138</v>
      </c>
      <c r="U897" s="46" t="str">
        <f t="array" ref="U897">TEXT(D897,"dddd")</f>
        <v>Sunday</v>
      </c>
    </row>
    <row r="898" hidden="1">
      <c r="A898" s="46">
        <v>6.88650786E8</v>
      </c>
      <c r="B898" s="137" t="s">
        <v>220</v>
      </c>
      <c r="C898" s="137">
        <v>2010.0</v>
      </c>
      <c r="D898" s="138">
        <v>40352.0</v>
      </c>
      <c r="E898" s="139">
        <v>40397.0</v>
      </c>
      <c r="F898" s="142" t="s">
        <v>216</v>
      </c>
      <c r="G898" s="142">
        <v>2010.0</v>
      </c>
      <c r="H898" s="46">
        <v>7940.0</v>
      </c>
      <c r="I898" s="46">
        <v>5926.0</v>
      </c>
      <c r="J898" s="84">
        <v>3960168.02</v>
      </c>
      <c r="K898" s="84">
        <v>2978052.04</v>
      </c>
      <c r="L898" s="84">
        <v>982115.98</v>
      </c>
      <c r="M898" s="46" t="s">
        <v>148</v>
      </c>
      <c r="N898" s="46" t="s">
        <v>203</v>
      </c>
      <c r="O898" s="46" t="s">
        <v>146</v>
      </c>
      <c r="P898" s="46" t="s">
        <v>170</v>
      </c>
      <c r="Q898" s="46" t="str">
        <f t="shared" si="1"/>
        <v>June, 2010</v>
      </c>
      <c r="R898" s="115">
        <f t="shared" si="2"/>
        <v>40330</v>
      </c>
      <c r="S898" s="49">
        <f t="array" ref="S898">WEEKDAY(D898,2)</f>
        <v>3</v>
      </c>
      <c r="T898" s="46" t="s">
        <v>132</v>
      </c>
      <c r="U898" s="46" t="str">
        <f t="array" ref="U898">TEXT(D898,"dddd")</f>
        <v>Wednesday</v>
      </c>
    </row>
    <row r="899" hidden="1">
      <c r="A899" s="46">
        <v>6.88698422E8</v>
      </c>
      <c r="B899" s="137" t="s">
        <v>222</v>
      </c>
      <c r="C899" s="137">
        <v>2017.0</v>
      </c>
      <c r="D899" s="138">
        <v>42806.0</v>
      </c>
      <c r="E899" s="139">
        <v>42826.0</v>
      </c>
      <c r="F899" s="142" t="s">
        <v>223</v>
      </c>
      <c r="G899" s="142">
        <v>2017.0</v>
      </c>
      <c r="H899" s="46">
        <v>5988.0</v>
      </c>
      <c r="I899" s="46">
        <v>22.0</v>
      </c>
      <c r="J899" s="84">
        <v>3389.32</v>
      </c>
      <c r="K899" s="84">
        <v>2000.46</v>
      </c>
      <c r="L899" s="84">
        <v>1388.8600000000001</v>
      </c>
      <c r="M899" s="46" t="s">
        <v>159</v>
      </c>
      <c r="N899" s="46" t="s">
        <v>192</v>
      </c>
      <c r="O899" s="46" t="s">
        <v>146</v>
      </c>
      <c r="P899" s="46" t="s">
        <v>158</v>
      </c>
      <c r="Q899" s="46" t="str">
        <f t="shared" si="1"/>
        <v>March, 2017</v>
      </c>
      <c r="R899" s="115">
        <f t="shared" si="2"/>
        <v>42795</v>
      </c>
      <c r="S899" s="49">
        <f t="array" ref="S899">WEEKDAY(D899,2)</f>
        <v>7</v>
      </c>
      <c r="T899" s="46" t="s">
        <v>121</v>
      </c>
      <c r="U899" s="46" t="str">
        <f t="array" ref="U899">TEXT(D899,"dddd")</f>
        <v>Sunday</v>
      </c>
    </row>
    <row r="900" hidden="1">
      <c r="A900" s="46">
        <v>6.88903129E8</v>
      </c>
      <c r="B900" s="137" t="s">
        <v>219</v>
      </c>
      <c r="C900" s="137">
        <v>2017.0</v>
      </c>
      <c r="D900" s="138">
        <v>42886.0</v>
      </c>
      <c r="E900" s="139">
        <v>42918.0</v>
      </c>
      <c r="F900" s="142" t="s">
        <v>217</v>
      </c>
      <c r="G900" s="142">
        <v>2017.0</v>
      </c>
      <c r="H900" s="46">
        <v>7940.0</v>
      </c>
      <c r="I900" s="46">
        <v>600.0</v>
      </c>
      <c r="J900" s="84">
        <v>400962.0</v>
      </c>
      <c r="K900" s="84">
        <v>301524.0</v>
      </c>
      <c r="L900" s="84">
        <v>99438.0</v>
      </c>
      <c r="M900" s="46" t="s">
        <v>148</v>
      </c>
      <c r="N900" s="46" t="s">
        <v>196</v>
      </c>
      <c r="O900" s="46" t="s">
        <v>146</v>
      </c>
      <c r="P900" s="46" t="s">
        <v>155</v>
      </c>
      <c r="Q900" s="46" t="str">
        <f t="shared" si="1"/>
        <v>May, 2017</v>
      </c>
      <c r="R900" s="115">
        <f t="shared" si="2"/>
        <v>42856</v>
      </c>
      <c r="S900" s="49">
        <f t="array" ref="S900">WEEKDAY(D900,2)</f>
        <v>3</v>
      </c>
      <c r="T900" s="46" t="s">
        <v>125</v>
      </c>
      <c r="U900" s="46" t="str">
        <f t="array" ref="U900">TEXT(D900,"dddd")</f>
        <v>Wednesday</v>
      </c>
    </row>
    <row r="901" hidden="1">
      <c r="A901" s="46">
        <v>6.89349019E8</v>
      </c>
      <c r="B901" s="137" t="s">
        <v>220</v>
      </c>
      <c r="C901" s="137">
        <v>2013.0</v>
      </c>
      <c r="D901" s="138">
        <v>41435.0</v>
      </c>
      <c r="E901" s="139">
        <v>41478.0</v>
      </c>
      <c r="F901" s="142" t="s">
        <v>217</v>
      </c>
      <c r="G901" s="142">
        <v>2013.0</v>
      </c>
      <c r="H901" s="46">
        <v>8293.0</v>
      </c>
      <c r="I901" s="46">
        <v>2548.0</v>
      </c>
      <c r="J901" s="84">
        <v>1113985.5999999999</v>
      </c>
      <c r="K901" s="84">
        <v>670964.84</v>
      </c>
      <c r="L901" s="84">
        <v>443020.7599999999</v>
      </c>
      <c r="M901" s="46" t="s">
        <v>178</v>
      </c>
      <c r="N901" s="46" t="s">
        <v>194</v>
      </c>
      <c r="O901" s="46" t="s">
        <v>146</v>
      </c>
      <c r="P901" s="46" t="s">
        <v>155</v>
      </c>
      <c r="Q901" s="46" t="str">
        <f t="shared" si="1"/>
        <v>June, 2013</v>
      </c>
      <c r="R901" s="115">
        <f t="shared" si="2"/>
        <v>41426</v>
      </c>
      <c r="S901" s="49">
        <f t="array" ref="S901">WEEKDAY(D901,2)</f>
        <v>1</v>
      </c>
      <c r="T901" s="46" t="s">
        <v>123</v>
      </c>
      <c r="U901" s="46" t="str">
        <f t="array" ref="U901">TEXT(D901,"dddd")</f>
        <v>Monday</v>
      </c>
    </row>
    <row r="902" hidden="1">
      <c r="A902" s="46">
        <v>6.89421546E8</v>
      </c>
      <c r="B902" s="137" t="s">
        <v>227</v>
      </c>
      <c r="C902" s="137">
        <v>2010.0</v>
      </c>
      <c r="D902" s="138">
        <v>40188.0</v>
      </c>
      <c r="E902" s="139">
        <v>40209.0</v>
      </c>
      <c r="F902" s="142" t="s">
        <v>227</v>
      </c>
      <c r="G902" s="142">
        <v>2010.0</v>
      </c>
      <c r="H902" s="46">
        <v>2455.0</v>
      </c>
      <c r="I902" s="46">
        <v>4011.0</v>
      </c>
      <c r="J902" s="84">
        <v>438322.08</v>
      </c>
      <c r="K902" s="84">
        <v>143754.24000000002</v>
      </c>
      <c r="L902" s="84">
        <v>294567.83999999997</v>
      </c>
      <c r="M902" s="46" t="s">
        <v>150</v>
      </c>
      <c r="N902" s="46" t="s">
        <v>197</v>
      </c>
      <c r="O902" s="46" t="s">
        <v>146</v>
      </c>
      <c r="P902" s="46" t="s">
        <v>147</v>
      </c>
      <c r="Q902" s="46" t="str">
        <f t="shared" si="1"/>
        <v>January, 2010</v>
      </c>
      <c r="R902" s="115">
        <f t="shared" si="2"/>
        <v>40179</v>
      </c>
      <c r="S902" s="49">
        <f t="array" ref="S902">WEEKDAY(D902,2)</f>
        <v>7</v>
      </c>
      <c r="T902" s="46" t="s">
        <v>126</v>
      </c>
      <c r="U902" s="46" t="str">
        <f t="array" ref="U902">TEXT(D902,"dddd")</f>
        <v>Sunday</v>
      </c>
    </row>
    <row r="903" hidden="1">
      <c r="A903" s="46">
        <v>6.9022063E8</v>
      </c>
      <c r="B903" s="137" t="s">
        <v>224</v>
      </c>
      <c r="C903" s="137">
        <v>2016.0</v>
      </c>
      <c r="D903" s="138">
        <v>42678.0</v>
      </c>
      <c r="E903" s="139">
        <v>42693.0</v>
      </c>
      <c r="F903" s="142" t="s">
        <v>224</v>
      </c>
      <c r="G903" s="142">
        <v>2016.0</v>
      </c>
      <c r="H903" s="46">
        <v>7940.0</v>
      </c>
      <c r="I903" s="46">
        <v>477.0</v>
      </c>
      <c r="J903" s="84">
        <v>318764.79</v>
      </c>
      <c r="K903" s="84">
        <v>239711.58000000002</v>
      </c>
      <c r="L903" s="84">
        <v>79053.20999999996</v>
      </c>
      <c r="M903" s="46" t="s">
        <v>148</v>
      </c>
      <c r="N903" s="46" t="s">
        <v>192</v>
      </c>
      <c r="O903" s="46" t="s">
        <v>146</v>
      </c>
      <c r="P903" s="46" t="s">
        <v>158</v>
      </c>
      <c r="Q903" s="46" t="str">
        <f t="shared" si="1"/>
        <v>November, 2016</v>
      </c>
      <c r="R903" s="115">
        <f t="shared" si="2"/>
        <v>42675</v>
      </c>
      <c r="S903" s="49">
        <f t="array" ref="S903">WEEKDAY(D903,2)</f>
        <v>5</v>
      </c>
      <c r="T903" s="46" t="s">
        <v>121</v>
      </c>
      <c r="U903" s="46" t="str">
        <f t="array" ref="U903">TEXT(D903,"dddd")</f>
        <v>Friday</v>
      </c>
    </row>
    <row r="904" hidden="1">
      <c r="A904" s="46">
        <v>6.91383635E8</v>
      </c>
      <c r="B904" s="137" t="s">
        <v>228</v>
      </c>
      <c r="C904" s="137">
        <v>2013.0</v>
      </c>
      <c r="D904" s="138">
        <v>41315.0</v>
      </c>
      <c r="E904" s="139">
        <v>41352.0</v>
      </c>
      <c r="F904" s="142" t="s">
        <v>222</v>
      </c>
      <c r="G904" s="142">
        <v>2013.0</v>
      </c>
      <c r="H904" s="46">
        <v>5988.0</v>
      </c>
      <c r="I904" s="46">
        <v>4637.0</v>
      </c>
      <c r="J904" s="84">
        <v>714376.22</v>
      </c>
      <c r="K904" s="84">
        <v>421642.41000000003</v>
      </c>
      <c r="L904" s="84">
        <v>292733.80999999994</v>
      </c>
      <c r="M904" s="46" t="s">
        <v>159</v>
      </c>
      <c r="N904" s="46" t="s">
        <v>171</v>
      </c>
      <c r="O904" s="46" t="s">
        <v>146</v>
      </c>
      <c r="P904" s="46" t="s">
        <v>147</v>
      </c>
      <c r="Q904" s="46" t="str">
        <f t="shared" si="1"/>
        <v>February, 2013</v>
      </c>
      <c r="R904" s="115">
        <f t="shared" si="2"/>
        <v>41306</v>
      </c>
      <c r="S904" s="49">
        <f t="array" ref="S904">WEEKDAY(D904,2)</f>
        <v>7</v>
      </c>
      <c r="T904" s="46" t="s">
        <v>104</v>
      </c>
      <c r="U904" s="46" t="str">
        <f t="array" ref="U904">TEXT(D904,"dddd")</f>
        <v>Sunday</v>
      </c>
    </row>
    <row r="905" hidden="1">
      <c r="A905" s="46">
        <v>6.91760861E8</v>
      </c>
      <c r="B905" s="137" t="s">
        <v>225</v>
      </c>
      <c r="C905" s="137">
        <v>2016.0</v>
      </c>
      <c r="D905" s="138">
        <v>42731.0</v>
      </c>
      <c r="E905" s="139">
        <v>42763.0</v>
      </c>
      <c r="F905" s="142" t="s">
        <v>227</v>
      </c>
      <c r="G905" s="142">
        <v>2017.0</v>
      </c>
      <c r="H905" s="46">
        <v>2455.0</v>
      </c>
      <c r="I905" s="46">
        <v>6266.0</v>
      </c>
      <c r="J905" s="84">
        <v>684748.48</v>
      </c>
      <c r="K905" s="84">
        <v>224573.44000000003</v>
      </c>
      <c r="L905" s="84">
        <v>460175.0399999999</v>
      </c>
      <c r="M905" s="46" t="s">
        <v>150</v>
      </c>
      <c r="N905" s="46" t="s">
        <v>187</v>
      </c>
      <c r="O905" s="46" t="s">
        <v>146</v>
      </c>
      <c r="P905" s="46" t="s">
        <v>155</v>
      </c>
      <c r="Q905" s="46" t="str">
        <f t="shared" si="1"/>
        <v>December, 2016</v>
      </c>
      <c r="R905" s="115">
        <f t="shared" si="2"/>
        <v>42705</v>
      </c>
      <c r="S905" s="49">
        <f t="array" ref="S905">WEEKDAY(D905,2)</f>
        <v>2</v>
      </c>
      <c r="T905" s="46" t="s">
        <v>116</v>
      </c>
      <c r="U905" s="46" t="str">
        <f t="array" ref="U905">TEXT(D905,"dddd")</f>
        <v>Tuesday</v>
      </c>
    </row>
    <row r="906" hidden="1">
      <c r="A906" s="46">
        <v>6.92555224E8</v>
      </c>
      <c r="B906" s="137" t="s">
        <v>227</v>
      </c>
      <c r="C906" s="137">
        <v>2015.0</v>
      </c>
      <c r="D906" s="138">
        <v>42013.0</v>
      </c>
      <c r="E906" s="139">
        <v>42036.0</v>
      </c>
      <c r="F906" s="142" t="s">
        <v>228</v>
      </c>
      <c r="G906" s="142">
        <v>2015.0</v>
      </c>
      <c r="H906" s="46">
        <v>8875.0</v>
      </c>
      <c r="I906" s="46">
        <v>1336.0</v>
      </c>
      <c r="J906" s="84">
        <v>563645.04</v>
      </c>
      <c r="K906" s="84">
        <v>487225.84</v>
      </c>
      <c r="L906" s="84">
        <v>76419.20000000001</v>
      </c>
      <c r="M906" s="46" t="s">
        <v>167</v>
      </c>
      <c r="N906" s="46" t="s">
        <v>184</v>
      </c>
      <c r="O906" s="46" t="s">
        <v>146</v>
      </c>
      <c r="P906" s="46" t="s">
        <v>155</v>
      </c>
      <c r="Q906" s="46" t="str">
        <f t="shared" si="1"/>
        <v>January, 2015</v>
      </c>
      <c r="R906" s="115">
        <f t="shared" si="2"/>
        <v>42005</v>
      </c>
      <c r="S906" s="49">
        <f t="array" ref="S906">WEEKDAY(D906,2)</f>
        <v>5</v>
      </c>
      <c r="T906" s="46" t="s">
        <v>114</v>
      </c>
      <c r="U906" s="46" t="str">
        <f t="array" ref="U906">TEXT(D906,"dddd")</f>
        <v>Friday</v>
      </c>
    </row>
    <row r="907" hidden="1">
      <c r="A907" s="46">
        <v>6.92704999E8</v>
      </c>
      <c r="B907" s="137" t="s">
        <v>225</v>
      </c>
      <c r="C907" s="137">
        <v>2016.0</v>
      </c>
      <c r="D907" s="138">
        <v>42727.0</v>
      </c>
      <c r="E907" s="139">
        <v>42759.0</v>
      </c>
      <c r="F907" s="142" t="s">
        <v>227</v>
      </c>
      <c r="G907" s="142">
        <v>2017.0</v>
      </c>
      <c r="H907" s="46">
        <v>7940.0</v>
      </c>
      <c r="I907" s="46">
        <v>5657.0</v>
      </c>
      <c r="J907" s="84">
        <v>3780403.3899999997</v>
      </c>
      <c r="K907" s="84">
        <v>2842868.7800000003</v>
      </c>
      <c r="L907" s="84">
        <v>937534.6099999994</v>
      </c>
      <c r="M907" s="46" t="s">
        <v>148</v>
      </c>
      <c r="N907" s="46" t="s">
        <v>197</v>
      </c>
      <c r="O907" s="46" t="s">
        <v>146</v>
      </c>
      <c r="P907" s="46" t="s">
        <v>147</v>
      </c>
      <c r="Q907" s="46" t="str">
        <f t="shared" si="1"/>
        <v>December, 2016</v>
      </c>
      <c r="R907" s="115">
        <f t="shared" si="2"/>
        <v>42705</v>
      </c>
      <c r="S907" s="49">
        <f t="array" ref="S907">WEEKDAY(D907,2)</f>
        <v>5</v>
      </c>
      <c r="T907" s="46" t="s">
        <v>126</v>
      </c>
      <c r="U907" s="46" t="str">
        <f t="array" ref="U907">TEXT(D907,"dddd")</f>
        <v>Friday</v>
      </c>
    </row>
    <row r="908" hidden="1">
      <c r="A908" s="46">
        <v>6.92757356E8</v>
      </c>
      <c r="B908" s="137" t="s">
        <v>219</v>
      </c>
      <c r="C908" s="137">
        <v>2017.0</v>
      </c>
      <c r="D908" s="138">
        <v>42857.0</v>
      </c>
      <c r="E908" s="139">
        <v>42867.0</v>
      </c>
      <c r="F908" s="142" t="s">
        <v>219</v>
      </c>
      <c r="G908" s="142">
        <v>2017.0</v>
      </c>
      <c r="H908" s="46">
        <v>8875.0</v>
      </c>
      <c r="I908" s="46">
        <v>1151.0</v>
      </c>
      <c r="J908" s="84">
        <v>485595.38999999996</v>
      </c>
      <c r="K908" s="84">
        <v>419758.19</v>
      </c>
      <c r="L908" s="84">
        <v>65837.19999999995</v>
      </c>
      <c r="M908" s="46" t="s">
        <v>167</v>
      </c>
      <c r="N908" s="46" t="s">
        <v>163</v>
      </c>
      <c r="O908" s="46" t="s">
        <v>146</v>
      </c>
      <c r="P908" s="46" t="s">
        <v>158</v>
      </c>
      <c r="Q908" s="46" t="str">
        <f t="shared" si="1"/>
        <v>May, 2017</v>
      </c>
      <c r="R908" s="115">
        <f t="shared" si="2"/>
        <v>42856</v>
      </c>
      <c r="S908" s="49">
        <f t="array" ref="S908">WEEKDAY(D908,2)</f>
        <v>2</v>
      </c>
      <c r="T908" s="46" t="s">
        <v>100</v>
      </c>
      <c r="U908" s="46" t="str">
        <f t="array" ref="U908">TEXT(D908,"dddd")</f>
        <v>Tuesday</v>
      </c>
    </row>
    <row r="909" hidden="1">
      <c r="A909" s="46">
        <v>6.92952191E8</v>
      </c>
      <c r="B909" s="137" t="s">
        <v>225</v>
      </c>
      <c r="C909" s="137">
        <v>2012.0</v>
      </c>
      <c r="D909" s="138">
        <v>41257.0</v>
      </c>
      <c r="E909" s="139">
        <v>41278.0</v>
      </c>
      <c r="F909" s="142" t="s">
        <v>227</v>
      </c>
      <c r="G909" s="142">
        <v>2013.0</v>
      </c>
      <c r="H909" s="46">
        <v>8293.0</v>
      </c>
      <c r="I909" s="46">
        <v>8807.0</v>
      </c>
      <c r="J909" s="84">
        <v>3850420.4</v>
      </c>
      <c r="K909" s="84">
        <v>2319147.31</v>
      </c>
      <c r="L909" s="84">
        <v>1531273.0899999999</v>
      </c>
      <c r="M909" s="46" t="s">
        <v>178</v>
      </c>
      <c r="N909" s="46" t="s">
        <v>169</v>
      </c>
      <c r="O909" s="46" t="s">
        <v>146</v>
      </c>
      <c r="P909" s="46" t="s">
        <v>170</v>
      </c>
      <c r="Q909" s="46" t="str">
        <f t="shared" si="1"/>
        <v>December, 2012</v>
      </c>
      <c r="R909" s="115">
        <f t="shared" si="2"/>
        <v>41244</v>
      </c>
      <c r="S909" s="49">
        <f t="array" ref="S909">WEEKDAY(D909,2)</f>
        <v>5</v>
      </c>
      <c r="T909" s="46" t="s">
        <v>103</v>
      </c>
      <c r="U909" s="46" t="str">
        <f t="array" ref="U909">TEXT(D909,"dddd")</f>
        <v>Friday</v>
      </c>
    </row>
    <row r="910" hidden="1">
      <c r="A910" s="46">
        <v>6.93210542E8</v>
      </c>
      <c r="B910" s="137" t="s">
        <v>220</v>
      </c>
      <c r="C910" s="137">
        <v>2012.0</v>
      </c>
      <c r="D910" s="138">
        <v>41085.0</v>
      </c>
      <c r="E910" s="139">
        <v>41134.0</v>
      </c>
      <c r="F910" s="142" t="s">
        <v>216</v>
      </c>
      <c r="G910" s="142">
        <v>2012.0</v>
      </c>
      <c r="H910" s="46">
        <v>8875.0</v>
      </c>
      <c r="I910" s="46">
        <v>5259.0</v>
      </c>
      <c r="J910" s="84">
        <v>2218719.51</v>
      </c>
      <c r="K910" s="84">
        <v>1917904.71</v>
      </c>
      <c r="L910" s="84">
        <v>300814.7999999998</v>
      </c>
      <c r="M910" s="46" t="s">
        <v>167</v>
      </c>
      <c r="N910" s="46" t="s">
        <v>164</v>
      </c>
      <c r="O910" s="46" t="s">
        <v>165</v>
      </c>
      <c r="P910" s="46" t="s">
        <v>166</v>
      </c>
      <c r="Q910" s="46" t="str">
        <f t="shared" si="1"/>
        <v>June, 2012</v>
      </c>
      <c r="R910" s="115">
        <f t="shared" si="2"/>
        <v>41061</v>
      </c>
      <c r="S910" s="49">
        <f t="array" ref="S910">WEEKDAY(D910,2)</f>
        <v>1</v>
      </c>
      <c r="T910" s="46" t="s">
        <v>101</v>
      </c>
      <c r="U910" s="46" t="str">
        <f t="array" ref="U910">TEXT(D910,"dddd")</f>
        <v>Monday</v>
      </c>
    </row>
    <row r="911" hidden="1">
      <c r="A911" s="46">
        <v>6.93583905E8</v>
      </c>
      <c r="B911" s="137" t="s">
        <v>225</v>
      </c>
      <c r="C911" s="137">
        <v>2011.0</v>
      </c>
      <c r="D911" s="138">
        <v>40882.0</v>
      </c>
      <c r="E911" s="139">
        <v>40914.0</v>
      </c>
      <c r="F911" s="142" t="s">
        <v>227</v>
      </c>
      <c r="G911" s="142">
        <v>2012.0</v>
      </c>
      <c r="H911" s="46">
        <v>8875.0</v>
      </c>
      <c r="I911" s="46">
        <v>5745.0</v>
      </c>
      <c r="J911" s="84">
        <v>2423758.05</v>
      </c>
      <c r="K911" s="84">
        <v>2095144.05</v>
      </c>
      <c r="L911" s="84">
        <v>328613.99999999977</v>
      </c>
      <c r="M911" s="46" t="s">
        <v>167</v>
      </c>
      <c r="N911" s="46" t="s">
        <v>184</v>
      </c>
      <c r="O911" s="46" t="s">
        <v>146</v>
      </c>
      <c r="P911" s="46" t="s">
        <v>155</v>
      </c>
      <c r="Q911" s="46" t="str">
        <f t="shared" si="1"/>
        <v>December, 2011</v>
      </c>
      <c r="R911" s="115">
        <f t="shared" si="2"/>
        <v>40878</v>
      </c>
      <c r="S911" s="49">
        <f t="array" ref="S911">WEEKDAY(D911,2)</f>
        <v>1</v>
      </c>
      <c r="T911" s="46" t="s">
        <v>114</v>
      </c>
      <c r="U911" s="46" t="str">
        <f t="array" ref="U911">TEXT(D911,"dddd")</f>
        <v>Monday</v>
      </c>
    </row>
    <row r="912" hidden="1">
      <c r="A912" s="46">
        <v>6.93831098E8</v>
      </c>
      <c r="B912" s="137" t="s">
        <v>220</v>
      </c>
      <c r="C912" s="137">
        <v>2015.0</v>
      </c>
      <c r="D912" s="138">
        <v>42178.0</v>
      </c>
      <c r="E912" s="139">
        <v>42199.0</v>
      </c>
      <c r="F912" s="142" t="s">
        <v>217</v>
      </c>
      <c r="G912" s="142">
        <v>2015.0</v>
      </c>
      <c r="H912" s="46">
        <v>7331.0</v>
      </c>
      <c r="I912" s="46">
        <v>8895.0</v>
      </c>
      <c r="J912" s="84">
        <v>2270715.6</v>
      </c>
      <c r="K912" s="84">
        <v>1418040.9</v>
      </c>
      <c r="L912" s="84">
        <v>852674.7000000002</v>
      </c>
      <c r="M912" s="46" t="s">
        <v>161</v>
      </c>
      <c r="N912" s="46" t="s">
        <v>172</v>
      </c>
      <c r="O912" s="46" t="s">
        <v>146</v>
      </c>
      <c r="P912" s="46" t="s">
        <v>155</v>
      </c>
      <c r="Q912" s="46" t="str">
        <f t="shared" si="1"/>
        <v>June, 2015</v>
      </c>
      <c r="R912" s="115">
        <f t="shared" si="2"/>
        <v>42156</v>
      </c>
      <c r="S912" s="49">
        <f t="array" ref="S912">WEEKDAY(D912,2)</f>
        <v>2</v>
      </c>
      <c r="T912" s="46" t="s">
        <v>105</v>
      </c>
      <c r="U912" s="46" t="str">
        <f t="array" ref="U912">TEXT(D912,"dddd")</f>
        <v>Tuesday</v>
      </c>
    </row>
    <row r="913" hidden="1">
      <c r="A913" s="46">
        <v>6.94771802E8</v>
      </c>
      <c r="B913" s="137" t="s">
        <v>222</v>
      </c>
      <c r="C913" s="137">
        <v>2013.0</v>
      </c>
      <c r="D913" s="138">
        <v>41349.0</v>
      </c>
      <c r="E913" s="139">
        <v>41354.0</v>
      </c>
      <c r="F913" s="142" t="s">
        <v>222</v>
      </c>
      <c r="G913" s="142">
        <v>2013.0</v>
      </c>
      <c r="H913" s="46">
        <v>7331.0</v>
      </c>
      <c r="I913" s="46">
        <v>7270.0</v>
      </c>
      <c r="J913" s="84">
        <v>1855885.6</v>
      </c>
      <c r="K913" s="84">
        <v>1158983.4</v>
      </c>
      <c r="L913" s="84">
        <v>696902.2000000002</v>
      </c>
      <c r="M913" s="46" t="s">
        <v>161</v>
      </c>
      <c r="N913" s="46" t="s">
        <v>192</v>
      </c>
      <c r="O913" s="46" t="s">
        <v>146</v>
      </c>
      <c r="P913" s="46" t="s">
        <v>158</v>
      </c>
      <c r="Q913" s="46" t="str">
        <f t="shared" si="1"/>
        <v>March, 2013</v>
      </c>
      <c r="R913" s="115">
        <f t="shared" si="2"/>
        <v>41334</v>
      </c>
      <c r="S913" s="49">
        <f t="array" ref="S913">WEEKDAY(D913,2)</f>
        <v>6</v>
      </c>
      <c r="T913" s="46" t="s">
        <v>121</v>
      </c>
      <c r="U913" s="46" t="str">
        <f t="array" ref="U913">TEXT(D913,"dddd")</f>
        <v>Saturday</v>
      </c>
    </row>
    <row r="914" hidden="1">
      <c r="A914" s="46">
        <v>6.9491471E8</v>
      </c>
      <c r="B914" s="137" t="s">
        <v>216</v>
      </c>
      <c r="C914" s="137">
        <v>2010.0</v>
      </c>
      <c r="D914" s="138">
        <v>40413.0</v>
      </c>
      <c r="E914" s="139">
        <v>40446.0</v>
      </c>
      <c r="F914" s="142" t="s">
        <v>221</v>
      </c>
      <c r="G914" s="142">
        <v>2010.0</v>
      </c>
      <c r="H914" s="46">
        <v>8293.0</v>
      </c>
      <c r="I914" s="46">
        <v>9560.0</v>
      </c>
      <c r="J914" s="84">
        <v>4179632.0</v>
      </c>
      <c r="K914" s="84">
        <v>2517434.8</v>
      </c>
      <c r="L914" s="84">
        <v>1662197.2000000002</v>
      </c>
      <c r="M914" s="46" t="s">
        <v>178</v>
      </c>
      <c r="N914" s="46" t="s">
        <v>202</v>
      </c>
      <c r="O914" s="46" t="s">
        <v>146</v>
      </c>
      <c r="P914" s="46" t="s">
        <v>147</v>
      </c>
      <c r="Q914" s="46" t="str">
        <f t="shared" si="1"/>
        <v>August, 2010</v>
      </c>
      <c r="R914" s="115">
        <f t="shared" si="2"/>
        <v>40391</v>
      </c>
      <c r="S914" s="49">
        <f t="array" ref="S914">WEEKDAY(D914,2)</f>
        <v>1</v>
      </c>
      <c r="T914" s="46" t="s">
        <v>131</v>
      </c>
      <c r="U914" s="46" t="str">
        <f t="array" ref="U914">TEXT(D914,"dddd")</f>
        <v>Monday</v>
      </c>
    </row>
    <row r="915" hidden="1">
      <c r="A915" s="46">
        <v>6.95059764E8</v>
      </c>
      <c r="B915" s="137" t="s">
        <v>219</v>
      </c>
      <c r="C915" s="137">
        <v>2011.0</v>
      </c>
      <c r="D915" s="138">
        <v>40684.0</v>
      </c>
      <c r="E915" s="139">
        <v>40723.0</v>
      </c>
      <c r="F915" s="142" t="s">
        <v>220</v>
      </c>
      <c r="G915" s="142">
        <v>2011.0</v>
      </c>
      <c r="H915" s="46">
        <v>8293.0</v>
      </c>
      <c r="I915" s="46">
        <v>2485.0</v>
      </c>
      <c r="J915" s="84">
        <v>1086442.0</v>
      </c>
      <c r="K915" s="84">
        <v>654375.0499999999</v>
      </c>
      <c r="L915" s="84">
        <v>432066.95000000007</v>
      </c>
      <c r="M915" s="46" t="s">
        <v>178</v>
      </c>
      <c r="N915" s="46" t="s">
        <v>176</v>
      </c>
      <c r="O915" s="46" t="s">
        <v>146</v>
      </c>
      <c r="P915" s="46" t="s">
        <v>158</v>
      </c>
      <c r="Q915" s="46" t="str">
        <f t="shared" si="1"/>
        <v>May, 2011</v>
      </c>
      <c r="R915" s="115">
        <f t="shared" si="2"/>
        <v>40664</v>
      </c>
      <c r="S915" s="49">
        <f t="array" ref="S915">WEEKDAY(D915,2)</f>
        <v>6</v>
      </c>
      <c r="T915" s="46" t="s">
        <v>109</v>
      </c>
      <c r="U915" s="46" t="str">
        <f t="array" ref="U915">TEXT(D915,"dddd")</f>
        <v>Saturday</v>
      </c>
    </row>
    <row r="916" hidden="1">
      <c r="A916" s="46">
        <v>6.96197879E8</v>
      </c>
      <c r="B916" s="137" t="s">
        <v>222</v>
      </c>
      <c r="C916" s="137">
        <v>2010.0</v>
      </c>
      <c r="D916" s="138">
        <v>40256.0</v>
      </c>
      <c r="E916" s="139">
        <v>40263.0</v>
      </c>
      <c r="F916" s="142" t="s">
        <v>222</v>
      </c>
      <c r="G916" s="142">
        <v>2010.0</v>
      </c>
      <c r="H916" s="46">
        <v>2103.0</v>
      </c>
      <c r="I916" s="46">
        <v>9278.0</v>
      </c>
      <c r="J916" s="84">
        <v>1908484.5999999999</v>
      </c>
      <c r="K916" s="84">
        <v>1086546.58</v>
      </c>
      <c r="L916" s="84">
        <v>821938.0199999998</v>
      </c>
      <c r="M916" s="46" t="s">
        <v>144</v>
      </c>
      <c r="N916" s="46" t="s">
        <v>199</v>
      </c>
      <c r="O916" s="46" t="s">
        <v>146</v>
      </c>
      <c r="P916" s="46" t="s">
        <v>147</v>
      </c>
      <c r="Q916" s="46" t="str">
        <f t="shared" si="1"/>
        <v>March, 2010</v>
      </c>
      <c r="R916" s="115">
        <f t="shared" si="2"/>
        <v>40238</v>
      </c>
      <c r="S916" s="49">
        <f t="array" ref="S916">WEEKDAY(D916,2)</f>
        <v>5</v>
      </c>
      <c r="T916" s="46" t="s">
        <v>128</v>
      </c>
      <c r="U916" s="46" t="str">
        <f t="array" ref="U916">TEXT(D916,"dddd")</f>
        <v>Friday</v>
      </c>
    </row>
    <row r="917" hidden="1">
      <c r="A917" s="46">
        <v>6.96839892E8</v>
      </c>
      <c r="B917" s="137" t="s">
        <v>225</v>
      </c>
      <c r="C917" s="137">
        <v>2015.0</v>
      </c>
      <c r="D917" s="138">
        <v>42355.0</v>
      </c>
      <c r="E917" s="139">
        <v>42371.0</v>
      </c>
      <c r="F917" s="142" t="s">
        <v>227</v>
      </c>
      <c r="G917" s="142">
        <v>2016.0</v>
      </c>
      <c r="H917" s="46">
        <v>8681.0</v>
      </c>
      <c r="I917" s="46">
        <v>9264.0</v>
      </c>
      <c r="J917" s="84">
        <v>6032809.44</v>
      </c>
      <c r="K917" s="84">
        <v>4863229.44</v>
      </c>
      <c r="L917" s="84">
        <v>1169580.0</v>
      </c>
      <c r="M917" s="46" t="s">
        <v>153</v>
      </c>
      <c r="N917" s="46" t="s">
        <v>190</v>
      </c>
      <c r="O917" s="46" t="s">
        <v>146</v>
      </c>
      <c r="P917" s="46" t="s">
        <v>147</v>
      </c>
      <c r="Q917" s="46" t="str">
        <f t="shared" si="1"/>
        <v>December, 2015</v>
      </c>
      <c r="R917" s="115">
        <f t="shared" si="2"/>
        <v>42339</v>
      </c>
      <c r="S917" s="49">
        <f t="array" ref="S917">WEEKDAY(D917,2)</f>
        <v>4</v>
      </c>
      <c r="T917" s="46" t="s">
        <v>119</v>
      </c>
      <c r="U917" s="46" t="str">
        <f t="array" ref="U917">TEXT(D917,"dddd")</f>
        <v>Thursday</v>
      </c>
    </row>
    <row r="918" hidden="1">
      <c r="A918" s="46">
        <v>6.96844613E8</v>
      </c>
      <c r="B918" s="137" t="s">
        <v>222</v>
      </c>
      <c r="C918" s="137">
        <v>2017.0</v>
      </c>
      <c r="D918" s="138">
        <v>42797.0</v>
      </c>
      <c r="E918" s="139">
        <v>42816.0</v>
      </c>
      <c r="F918" s="142" t="s">
        <v>222</v>
      </c>
      <c r="G918" s="142">
        <v>2017.0</v>
      </c>
      <c r="H918" s="46">
        <v>8875.0</v>
      </c>
      <c r="I918" s="46">
        <v>661.0</v>
      </c>
      <c r="J918" s="84">
        <v>278869.29</v>
      </c>
      <c r="K918" s="84">
        <v>241060.09</v>
      </c>
      <c r="L918" s="84">
        <v>37809.19999999998</v>
      </c>
      <c r="M918" s="46" t="s">
        <v>167</v>
      </c>
      <c r="N918" s="46" t="s">
        <v>183</v>
      </c>
      <c r="O918" s="46" t="s">
        <v>146</v>
      </c>
      <c r="P918" s="46" t="s">
        <v>170</v>
      </c>
      <c r="Q918" s="46" t="str">
        <f t="shared" si="1"/>
        <v>March, 2017</v>
      </c>
      <c r="R918" s="115">
        <f t="shared" si="2"/>
        <v>42795</v>
      </c>
      <c r="S918" s="49">
        <f t="array" ref="S918">WEEKDAY(D918,2)</f>
        <v>5</v>
      </c>
      <c r="T918" s="46" t="s">
        <v>90</v>
      </c>
      <c r="U918" s="46" t="str">
        <f t="array" ref="U918">TEXT(D918,"dddd")</f>
        <v>Friday</v>
      </c>
    </row>
    <row r="919">
      <c r="A919" s="46">
        <v>6.97617518E8</v>
      </c>
      <c r="B919" s="137" t="s">
        <v>220</v>
      </c>
      <c r="C919" s="137">
        <v>2012.0</v>
      </c>
      <c r="D919" s="138">
        <v>41073.0</v>
      </c>
      <c r="E919" s="139">
        <v>41097.0</v>
      </c>
      <c r="F919" s="142" t="s">
        <v>217</v>
      </c>
      <c r="G919" s="142">
        <v>2012.0</v>
      </c>
      <c r="H919" s="46">
        <v>8875.0</v>
      </c>
      <c r="I919" s="46">
        <v>9381.0</v>
      </c>
      <c r="J919" s="84">
        <v>3957750.09</v>
      </c>
      <c r="K919" s="84">
        <v>3421156.89</v>
      </c>
      <c r="L919" s="84">
        <v>536593.1999999997</v>
      </c>
      <c r="M919" s="46" t="s">
        <v>167</v>
      </c>
      <c r="N919" s="46" t="s">
        <v>149</v>
      </c>
      <c r="O919" s="46" t="s">
        <v>149</v>
      </c>
      <c r="P919" s="46" t="s">
        <v>218</v>
      </c>
      <c r="Q919" s="46" t="str">
        <f t="shared" si="1"/>
        <v>June, 2012</v>
      </c>
      <c r="R919" s="115">
        <f t="shared" si="2"/>
        <v>41061</v>
      </c>
      <c r="S919" s="49">
        <f t="array" ref="S919">WEEKDAY(D919,2)</f>
        <v>3</v>
      </c>
      <c r="T919" s="46" t="s">
        <v>92</v>
      </c>
      <c r="U919" s="46" t="str">
        <f t="array" ref="U919">TEXT(D919,"dddd")</f>
        <v>Wednesday</v>
      </c>
    </row>
    <row r="920" hidden="1">
      <c r="A920" s="46">
        <v>6.97638976E8</v>
      </c>
      <c r="B920" s="137" t="s">
        <v>222</v>
      </c>
      <c r="C920" s="137">
        <v>2015.0</v>
      </c>
      <c r="D920" s="138">
        <v>42079.0</v>
      </c>
      <c r="E920" s="139">
        <v>42089.0</v>
      </c>
      <c r="F920" s="142" t="s">
        <v>222</v>
      </c>
      <c r="G920" s="142">
        <v>2015.0</v>
      </c>
      <c r="H920" s="46">
        <v>5988.0</v>
      </c>
      <c r="I920" s="46">
        <v>5731.0</v>
      </c>
      <c r="J920" s="84">
        <v>882917.86</v>
      </c>
      <c r="K920" s="84">
        <v>521119.83</v>
      </c>
      <c r="L920" s="84">
        <v>361798.02999999997</v>
      </c>
      <c r="M920" s="46" t="s">
        <v>159</v>
      </c>
      <c r="N920" s="46" t="s">
        <v>145</v>
      </c>
      <c r="O920" s="46" t="s">
        <v>146</v>
      </c>
      <c r="P920" s="46" t="s">
        <v>147</v>
      </c>
      <c r="Q920" s="46" t="str">
        <f t="shared" si="1"/>
        <v>March, 2015</v>
      </c>
      <c r="R920" s="115">
        <f t="shared" si="2"/>
        <v>42064</v>
      </c>
      <c r="S920" s="49">
        <f t="array" ref="S920">WEEKDAY(D920,2)</f>
        <v>1</v>
      </c>
      <c r="T920" s="46" t="s">
        <v>91</v>
      </c>
      <c r="U920" s="46" t="str">
        <f t="array" ref="U920">TEXT(D920,"dddd")</f>
        <v>Monday</v>
      </c>
    </row>
    <row r="921">
      <c r="A921" s="46">
        <v>7.00069701E8</v>
      </c>
      <c r="B921" s="137" t="s">
        <v>227</v>
      </c>
      <c r="C921" s="137">
        <v>2016.0</v>
      </c>
      <c r="D921" s="138">
        <v>42379.0</v>
      </c>
      <c r="E921" s="139">
        <v>42390.0</v>
      </c>
      <c r="F921" s="142" t="s">
        <v>227</v>
      </c>
      <c r="G921" s="142">
        <v>2016.0</v>
      </c>
      <c r="H921" s="46">
        <v>5988.0</v>
      </c>
      <c r="I921" s="46">
        <v>5037.0</v>
      </c>
      <c r="J921" s="84">
        <v>776000.22</v>
      </c>
      <c r="K921" s="84">
        <v>458014.41000000003</v>
      </c>
      <c r="L921" s="84">
        <v>317985.80999999994</v>
      </c>
      <c r="M921" s="46" t="s">
        <v>159</v>
      </c>
      <c r="N921" s="46" t="s">
        <v>149</v>
      </c>
      <c r="O921" s="46" t="s">
        <v>149</v>
      </c>
      <c r="P921" s="46" t="s">
        <v>218</v>
      </c>
      <c r="Q921" s="46" t="str">
        <f t="shared" si="1"/>
        <v>January, 2016</v>
      </c>
      <c r="R921" s="115">
        <f t="shared" si="2"/>
        <v>42370</v>
      </c>
      <c r="S921" s="49">
        <f t="array" ref="S921">WEEKDAY(D921,2)</f>
        <v>7</v>
      </c>
      <c r="T921" s="46" t="s">
        <v>92</v>
      </c>
      <c r="U921" s="46" t="str">
        <f t="array" ref="U921">TEXT(D921,"dddd")</f>
        <v>Sunday</v>
      </c>
    </row>
    <row r="922" hidden="1">
      <c r="A922" s="46">
        <v>7.00304019E8</v>
      </c>
      <c r="B922" s="137" t="s">
        <v>224</v>
      </c>
      <c r="C922" s="137">
        <v>2014.0</v>
      </c>
      <c r="D922" s="138">
        <v>41966.0</v>
      </c>
      <c r="E922" s="139">
        <v>41994.0</v>
      </c>
      <c r="F922" s="142" t="s">
        <v>225</v>
      </c>
      <c r="G922" s="142">
        <v>2014.0</v>
      </c>
      <c r="H922" s="46">
        <v>3127.0</v>
      </c>
      <c r="I922" s="46">
        <v>4376.0</v>
      </c>
      <c r="J922" s="84">
        <v>357650.48000000004</v>
      </c>
      <c r="K922" s="84">
        <v>247987.92</v>
      </c>
      <c r="L922" s="84">
        <v>109662.56000000003</v>
      </c>
      <c r="M922" s="46" t="s">
        <v>185</v>
      </c>
      <c r="N922" s="46" t="s">
        <v>171</v>
      </c>
      <c r="O922" s="46" t="s">
        <v>146</v>
      </c>
      <c r="P922" s="46" t="s">
        <v>147</v>
      </c>
      <c r="Q922" s="46" t="str">
        <f t="shared" si="1"/>
        <v>November, 2014</v>
      </c>
      <c r="R922" s="115">
        <f t="shared" si="2"/>
        <v>41944</v>
      </c>
      <c r="S922" s="49">
        <f t="array" ref="S922">WEEKDAY(D922,2)</f>
        <v>7</v>
      </c>
      <c r="T922" s="46" t="s">
        <v>104</v>
      </c>
      <c r="U922" s="46" t="str">
        <f t="array" ref="U922">TEXT(D922,"dddd")</f>
        <v>Sunday</v>
      </c>
    </row>
    <row r="923" hidden="1">
      <c r="A923" s="46">
        <v>7.01298367E8</v>
      </c>
      <c r="B923" s="137" t="s">
        <v>225</v>
      </c>
      <c r="C923" s="137">
        <v>2011.0</v>
      </c>
      <c r="D923" s="138">
        <v>40885.0</v>
      </c>
      <c r="E923" s="139">
        <v>40914.0</v>
      </c>
      <c r="F923" s="142" t="s">
        <v>227</v>
      </c>
      <c r="G923" s="142">
        <v>2012.0</v>
      </c>
      <c r="H923" s="46">
        <v>3127.0</v>
      </c>
      <c r="I923" s="46">
        <v>8626.0</v>
      </c>
      <c r="J923" s="84">
        <v>705002.98</v>
      </c>
      <c r="K923" s="84">
        <v>488835.42000000004</v>
      </c>
      <c r="L923" s="84">
        <v>216167.55999999994</v>
      </c>
      <c r="M923" s="46" t="s">
        <v>185</v>
      </c>
      <c r="N923" s="46" t="s">
        <v>208</v>
      </c>
      <c r="O923" s="46" t="s">
        <v>146</v>
      </c>
      <c r="P923" s="46" t="s">
        <v>147</v>
      </c>
      <c r="Q923" s="46" t="str">
        <f t="shared" si="1"/>
        <v>December, 2011</v>
      </c>
      <c r="R923" s="115">
        <f t="shared" si="2"/>
        <v>40878</v>
      </c>
      <c r="S923" s="49">
        <f t="array" ref="S923">WEEKDAY(D923,2)</f>
        <v>4</v>
      </c>
      <c r="T923" s="46" t="s">
        <v>138</v>
      </c>
      <c r="U923" s="46" t="str">
        <f t="array" ref="U923">TEXT(D923,"dddd")</f>
        <v>Thursday</v>
      </c>
    </row>
    <row r="924" hidden="1">
      <c r="A924" s="46">
        <v>7.02357947E8</v>
      </c>
      <c r="B924" s="137" t="s">
        <v>227</v>
      </c>
      <c r="C924" s="137">
        <v>2014.0</v>
      </c>
      <c r="D924" s="138">
        <v>41644.0</v>
      </c>
      <c r="E924" s="139">
        <v>41674.0</v>
      </c>
      <c r="F924" s="142" t="s">
        <v>228</v>
      </c>
      <c r="G924" s="142">
        <v>2014.0</v>
      </c>
      <c r="H924" s="46">
        <v>3127.0</v>
      </c>
      <c r="I924" s="46">
        <v>2179.0</v>
      </c>
      <c r="J924" s="84">
        <v>178089.67</v>
      </c>
      <c r="K924" s="84">
        <v>123483.93000000001</v>
      </c>
      <c r="L924" s="84">
        <v>54605.740000000005</v>
      </c>
      <c r="M924" s="46" t="s">
        <v>185</v>
      </c>
      <c r="N924" s="46" t="s">
        <v>198</v>
      </c>
      <c r="O924" s="46" t="s">
        <v>146</v>
      </c>
      <c r="P924" s="46" t="s">
        <v>170</v>
      </c>
      <c r="Q924" s="46" t="str">
        <f t="shared" si="1"/>
        <v>January, 2014</v>
      </c>
      <c r="R924" s="115">
        <f t="shared" si="2"/>
        <v>41640</v>
      </c>
      <c r="S924" s="49">
        <f t="array" ref="S924">WEEKDAY(D924,2)</f>
        <v>7</v>
      </c>
      <c r="T924" s="46" t="s">
        <v>127</v>
      </c>
      <c r="U924" s="46" t="str">
        <f t="array" ref="U924">TEXT(D924,"dddd")</f>
        <v>Sunday</v>
      </c>
    </row>
    <row r="925" hidden="1">
      <c r="A925" s="46">
        <v>7.02815854E8</v>
      </c>
      <c r="B925" s="137" t="s">
        <v>219</v>
      </c>
      <c r="C925" s="137">
        <v>2010.0</v>
      </c>
      <c r="D925" s="138">
        <v>40314.0</v>
      </c>
      <c r="E925" s="139">
        <v>40335.0</v>
      </c>
      <c r="F925" s="142" t="s">
        <v>220</v>
      </c>
      <c r="G925" s="142">
        <v>2010.0</v>
      </c>
      <c r="H925" s="46">
        <v>7940.0</v>
      </c>
      <c r="I925" s="46">
        <v>7684.0</v>
      </c>
      <c r="J925" s="84">
        <v>5134986.68</v>
      </c>
      <c r="K925" s="84">
        <v>3861517.3600000003</v>
      </c>
      <c r="L925" s="84">
        <v>1273469.3199999994</v>
      </c>
      <c r="M925" s="46" t="s">
        <v>148</v>
      </c>
      <c r="N925" s="46" t="s">
        <v>205</v>
      </c>
      <c r="O925" s="46" t="s">
        <v>146</v>
      </c>
      <c r="P925" s="46" t="s">
        <v>170</v>
      </c>
      <c r="Q925" s="46" t="str">
        <f t="shared" si="1"/>
        <v>May, 2010</v>
      </c>
      <c r="R925" s="115">
        <f t="shared" si="2"/>
        <v>40299</v>
      </c>
      <c r="S925" s="49">
        <f t="array" ref="S925">WEEKDAY(D925,2)</f>
        <v>7</v>
      </c>
      <c r="T925" s="46" t="s">
        <v>135</v>
      </c>
      <c r="U925" s="46" t="str">
        <f t="array" ref="U925">TEXT(D925,"dddd")</f>
        <v>Sunday</v>
      </c>
    </row>
    <row r="926" hidden="1">
      <c r="A926" s="46">
        <v>7.03966844E8</v>
      </c>
      <c r="B926" s="137" t="s">
        <v>224</v>
      </c>
      <c r="C926" s="137">
        <v>2013.0</v>
      </c>
      <c r="D926" s="138">
        <v>41596.0</v>
      </c>
      <c r="E926" s="139">
        <v>41608.0</v>
      </c>
      <c r="F926" s="142" t="s">
        <v>224</v>
      </c>
      <c r="G926" s="142">
        <v>2013.0</v>
      </c>
      <c r="H926" s="46">
        <v>8969.0</v>
      </c>
      <c r="I926" s="46">
        <v>8288.0</v>
      </c>
      <c r="J926" s="84">
        <v>1264583.04</v>
      </c>
      <c r="K926" s="84">
        <v>807582.72</v>
      </c>
      <c r="L926" s="84">
        <v>457000.32000000007</v>
      </c>
      <c r="M926" s="46" t="s">
        <v>182</v>
      </c>
      <c r="N926" s="46" t="s">
        <v>145</v>
      </c>
      <c r="O926" s="46" t="s">
        <v>146</v>
      </c>
      <c r="P926" s="46" t="s">
        <v>147</v>
      </c>
      <c r="Q926" s="46" t="str">
        <f t="shared" si="1"/>
        <v>November, 2013</v>
      </c>
      <c r="R926" s="115">
        <f t="shared" si="2"/>
        <v>41579</v>
      </c>
      <c r="S926" s="49">
        <f t="array" ref="S926">WEEKDAY(D926,2)</f>
        <v>1</v>
      </c>
      <c r="T926" s="46" t="s">
        <v>91</v>
      </c>
      <c r="U926" s="46" t="str">
        <f t="array" ref="U926">TEXT(D926,"dddd")</f>
        <v>Monday</v>
      </c>
    </row>
    <row r="927" hidden="1">
      <c r="A927" s="46">
        <v>7.04139363E8</v>
      </c>
      <c r="B927" s="137" t="s">
        <v>217</v>
      </c>
      <c r="C927" s="137">
        <v>2017.0</v>
      </c>
      <c r="D927" s="138">
        <v>42933.0</v>
      </c>
      <c r="E927" s="139">
        <v>42978.0</v>
      </c>
      <c r="F927" s="142" t="s">
        <v>216</v>
      </c>
      <c r="G927" s="142">
        <v>2017.0</v>
      </c>
      <c r="H927" s="46">
        <v>1270.0</v>
      </c>
      <c r="I927" s="46">
        <v>9340.0</v>
      </c>
      <c r="J927" s="84">
        <v>443183.0</v>
      </c>
      <c r="K927" s="84">
        <v>296918.6</v>
      </c>
      <c r="L927" s="84">
        <v>146264.40000000002</v>
      </c>
      <c r="M927" s="46" t="s">
        <v>152</v>
      </c>
      <c r="N927" s="46" t="s">
        <v>190</v>
      </c>
      <c r="O927" s="46" t="s">
        <v>146</v>
      </c>
      <c r="P927" s="46" t="s">
        <v>147</v>
      </c>
      <c r="Q927" s="46" t="str">
        <f t="shared" si="1"/>
        <v>July, 2017</v>
      </c>
      <c r="R927" s="115">
        <f t="shared" si="2"/>
        <v>42917</v>
      </c>
      <c r="S927" s="49">
        <f t="array" ref="S927">WEEKDAY(D927,2)</f>
        <v>1</v>
      </c>
      <c r="T927" s="46" t="s">
        <v>119</v>
      </c>
      <c r="U927" s="46" t="str">
        <f t="array" ref="U927">TEXT(D927,"dddd")</f>
        <v>Monday</v>
      </c>
    </row>
    <row r="928" hidden="1">
      <c r="A928" s="46">
        <v>7.04233348E8</v>
      </c>
      <c r="B928" s="137" t="s">
        <v>224</v>
      </c>
      <c r="C928" s="137">
        <v>2016.0</v>
      </c>
      <c r="D928" s="138">
        <v>42691.0</v>
      </c>
      <c r="E928" s="139">
        <v>42700.0</v>
      </c>
      <c r="F928" s="142" t="s">
        <v>224</v>
      </c>
      <c r="G928" s="142">
        <v>2016.0</v>
      </c>
      <c r="H928" s="46">
        <v>4594.0</v>
      </c>
      <c r="I928" s="46">
        <v>7152.0</v>
      </c>
      <c r="J928" s="84">
        <v>66728.16</v>
      </c>
      <c r="K928" s="84">
        <v>49491.84</v>
      </c>
      <c r="L928" s="84">
        <v>17236.320000000007</v>
      </c>
      <c r="M928" s="46" t="s">
        <v>156</v>
      </c>
      <c r="N928" s="46" t="s">
        <v>197</v>
      </c>
      <c r="O928" s="46" t="s">
        <v>146</v>
      </c>
      <c r="P928" s="46" t="s">
        <v>147</v>
      </c>
      <c r="Q928" s="46" t="str">
        <f t="shared" si="1"/>
        <v>November, 2016</v>
      </c>
      <c r="R928" s="115">
        <f t="shared" si="2"/>
        <v>42675</v>
      </c>
      <c r="S928" s="49">
        <f t="array" ref="S928">WEEKDAY(D928,2)</f>
        <v>4</v>
      </c>
      <c r="T928" s="46" t="s">
        <v>126</v>
      </c>
      <c r="U928" s="46" t="str">
        <f t="array" ref="U928">TEXT(D928,"dddd")</f>
        <v>Thursday</v>
      </c>
    </row>
    <row r="929" hidden="1">
      <c r="A929" s="46">
        <v>7.04361665E8</v>
      </c>
      <c r="B929" s="137" t="s">
        <v>227</v>
      </c>
      <c r="C929" s="137">
        <v>2016.0</v>
      </c>
      <c r="D929" s="138">
        <v>42399.0</v>
      </c>
      <c r="E929" s="139">
        <v>42430.0</v>
      </c>
      <c r="F929" s="142" t="s">
        <v>222</v>
      </c>
      <c r="G929" s="142">
        <v>2016.0</v>
      </c>
      <c r="H929" s="46">
        <v>7940.0</v>
      </c>
      <c r="I929" s="46">
        <v>5124.0</v>
      </c>
      <c r="J929" s="84">
        <v>3424215.48</v>
      </c>
      <c r="K929" s="84">
        <v>2575014.96</v>
      </c>
      <c r="L929" s="84">
        <v>849200.52</v>
      </c>
      <c r="M929" s="46" t="s">
        <v>148</v>
      </c>
      <c r="N929" s="46" t="s">
        <v>154</v>
      </c>
      <c r="O929" s="46" t="s">
        <v>146</v>
      </c>
      <c r="P929" s="46" t="s">
        <v>155</v>
      </c>
      <c r="Q929" s="46" t="str">
        <f t="shared" si="1"/>
        <v>January, 2016</v>
      </c>
      <c r="R929" s="115">
        <f t="shared" si="2"/>
        <v>42370</v>
      </c>
      <c r="S929" s="49">
        <f t="array" ref="S929">WEEKDAY(D929,2)</f>
        <v>6</v>
      </c>
      <c r="T929" s="46" t="s">
        <v>96</v>
      </c>
      <c r="U929" s="46" t="str">
        <f t="array" ref="U929">TEXT(D929,"dddd")</f>
        <v>Saturday</v>
      </c>
    </row>
    <row r="930" hidden="1">
      <c r="A930" s="46">
        <v>7.06176555E8</v>
      </c>
      <c r="B930" s="137" t="s">
        <v>228</v>
      </c>
      <c r="C930" s="137">
        <v>2015.0</v>
      </c>
      <c r="D930" s="138">
        <v>42048.0</v>
      </c>
      <c r="E930" s="139">
        <v>42061.0</v>
      </c>
      <c r="F930" s="142" t="s">
        <v>228</v>
      </c>
      <c r="G930" s="142">
        <v>2015.0</v>
      </c>
      <c r="H930" s="46">
        <v>5988.0</v>
      </c>
      <c r="I930" s="46">
        <v>2190.0</v>
      </c>
      <c r="J930" s="84">
        <v>337391.4</v>
      </c>
      <c r="K930" s="84">
        <v>199136.7</v>
      </c>
      <c r="L930" s="84">
        <v>138254.7</v>
      </c>
      <c r="M930" s="46" t="s">
        <v>159</v>
      </c>
      <c r="N930" s="46" t="s">
        <v>207</v>
      </c>
      <c r="O930" s="46" t="s">
        <v>146</v>
      </c>
      <c r="P930" s="46" t="s">
        <v>170</v>
      </c>
      <c r="Q930" s="46" t="str">
        <f t="shared" si="1"/>
        <v>February, 2015</v>
      </c>
      <c r="R930" s="115">
        <f t="shared" si="2"/>
        <v>42036</v>
      </c>
      <c r="S930" s="49">
        <f t="array" ref="S930">WEEKDAY(D930,2)</f>
        <v>5</v>
      </c>
      <c r="T930" s="46" t="s">
        <v>137</v>
      </c>
      <c r="U930" s="46" t="str">
        <f t="array" ref="U930">TEXT(D930,"dddd")</f>
        <v>Friday</v>
      </c>
    </row>
    <row r="931" hidden="1">
      <c r="A931" s="46">
        <v>7.06301438E8</v>
      </c>
      <c r="B931" s="137" t="s">
        <v>227</v>
      </c>
      <c r="C931" s="137">
        <v>2012.0</v>
      </c>
      <c r="D931" s="138">
        <v>40931.0</v>
      </c>
      <c r="E931" s="139">
        <v>40950.0</v>
      </c>
      <c r="F931" s="142" t="s">
        <v>228</v>
      </c>
      <c r="G931" s="142">
        <v>2012.0</v>
      </c>
      <c r="H931" s="46">
        <v>7940.0</v>
      </c>
      <c r="I931" s="46">
        <v>9146.0</v>
      </c>
      <c r="J931" s="84">
        <v>6111997.42</v>
      </c>
      <c r="K931" s="84">
        <v>4596230.84</v>
      </c>
      <c r="L931" s="84">
        <v>1515766.58</v>
      </c>
      <c r="M931" s="46" t="s">
        <v>148</v>
      </c>
      <c r="N931" s="46" t="s">
        <v>208</v>
      </c>
      <c r="O931" s="46" t="s">
        <v>146</v>
      </c>
      <c r="P931" s="46" t="s">
        <v>147</v>
      </c>
      <c r="Q931" s="46" t="str">
        <f t="shared" si="1"/>
        <v>January, 2012</v>
      </c>
      <c r="R931" s="115">
        <f t="shared" si="2"/>
        <v>40909</v>
      </c>
      <c r="S931" s="49">
        <f t="array" ref="S931">WEEKDAY(D931,2)</f>
        <v>1</v>
      </c>
      <c r="T931" s="46" t="s">
        <v>138</v>
      </c>
      <c r="U931" s="46" t="str">
        <f t="array" ref="U931">TEXT(D931,"dddd")</f>
        <v>Monday</v>
      </c>
    </row>
    <row r="932" hidden="1">
      <c r="A932" s="46">
        <v>7.07661855E8</v>
      </c>
      <c r="B932" s="137" t="s">
        <v>225</v>
      </c>
      <c r="C932" s="137">
        <v>2016.0</v>
      </c>
      <c r="D932" s="138">
        <v>42735.0</v>
      </c>
      <c r="E932" s="139">
        <v>42761.0</v>
      </c>
      <c r="F932" s="142" t="s">
        <v>227</v>
      </c>
      <c r="G932" s="142">
        <v>2017.0</v>
      </c>
      <c r="H932" s="46">
        <v>4594.0</v>
      </c>
      <c r="I932" s="46">
        <v>1723.0</v>
      </c>
      <c r="J932" s="84">
        <v>16075.59</v>
      </c>
      <c r="K932" s="84">
        <v>11923.16</v>
      </c>
      <c r="L932" s="84">
        <v>4152.43</v>
      </c>
      <c r="M932" s="46" t="s">
        <v>156</v>
      </c>
      <c r="N932" s="46" t="s">
        <v>174</v>
      </c>
      <c r="O932" s="46" t="s">
        <v>146</v>
      </c>
      <c r="P932" s="46" t="s">
        <v>158</v>
      </c>
      <c r="Q932" s="46" t="str">
        <f t="shared" si="1"/>
        <v>December, 2016</v>
      </c>
      <c r="R932" s="115">
        <f t="shared" si="2"/>
        <v>42705</v>
      </c>
      <c r="S932" s="49">
        <f t="array" ref="S932">WEEKDAY(D932,2)</f>
        <v>6</v>
      </c>
      <c r="T932" s="46" t="s">
        <v>107</v>
      </c>
      <c r="U932" s="46" t="str">
        <f t="array" ref="U932">TEXT(D932,"dddd")</f>
        <v>Saturday</v>
      </c>
    </row>
    <row r="933" hidden="1">
      <c r="A933" s="46">
        <v>7.07718932E8</v>
      </c>
      <c r="B933" s="137" t="s">
        <v>225</v>
      </c>
      <c r="C933" s="137">
        <v>2010.0</v>
      </c>
      <c r="D933" s="138">
        <v>40542.0</v>
      </c>
      <c r="E933" s="139">
        <v>40549.0</v>
      </c>
      <c r="F933" s="142" t="s">
        <v>227</v>
      </c>
      <c r="G933" s="142">
        <v>2011.0</v>
      </c>
      <c r="H933" s="46">
        <v>4594.0</v>
      </c>
      <c r="I933" s="46">
        <v>8614.0</v>
      </c>
      <c r="J933" s="84">
        <v>80368.62</v>
      </c>
      <c r="K933" s="84">
        <v>59608.88</v>
      </c>
      <c r="L933" s="84">
        <v>20759.739999999998</v>
      </c>
      <c r="M933" s="46" t="s">
        <v>156</v>
      </c>
      <c r="N933" s="46" t="s">
        <v>190</v>
      </c>
      <c r="O933" s="46" t="s">
        <v>146</v>
      </c>
      <c r="P933" s="46" t="s">
        <v>147</v>
      </c>
      <c r="Q933" s="46" t="str">
        <f t="shared" si="1"/>
        <v>December, 2010</v>
      </c>
      <c r="R933" s="115">
        <f t="shared" si="2"/>
        <v>40513</v>
      </c>
      <c r="S933" s="49">
        <f t="array" ref="S933">WEEKDAY(D933,2)</f>
        <v>4</v>
      </c>
      <c r="T933" s="46" t="s">
        <v>119</v>
      </c>
      <c r="U933" s="46" t="str">
        <f t="array" ref="U933">TEXT(D933,"dddd")</f>
        <v>Thursday</v>
      </c>
    </row>
    <row r="934" hidden="1">
      <c r="A934" s="46">
        <v>7.08320605E8</v>
      </c>
      <c r="B934" s="137" t="s">
        <v>221</v>
      </c>
      <c r="C934" s="137">
        <v>2016.0</v>
      </c>
      <c r="D934" s="138">
        <v>42631.0</v>
      </c>
      <c r="E934" s="139">
        <v>42648.0</v>
      </c>
      <c r="F934" s="142" t="s">
        <v>226</v>
      </c>
      <c r="G934" s="142">
        <v>2016.0</v>
      </c>
      <c r="H934" s="46">
        <v>4594.0</v>
      </c>
      <c r="I934" s="46">
        <v>6662.0</v>
      </c>
      <c r="J934" s="84">
        <v>62156.46</v>
      </c>
      <c r="K934" s="84">
        <v>46101.04</v>
      </c>
      <c r="L934" s="84">
        <v>16055.419999999998</v>
      </c>
      <c r="M934" s="46" t="s">
        <v>156</v>
      </c>
      <c r="N934" s="46" t="s">
        <v>191</v>
      </c>
      <c r="O934" s="46" t="s">
        <v>146</v>
      </c>
      <c r="P934" s="46" t="s">
        <v>147</v>
      </c>
      <c r="Q934" s="46" t="str">
        <f t="shared" si="1"/>
        <v>September, 2016</v>
      </c>
      <c r="R934" s="115">
        <f t="shared" si="2"/>
        <v>42614</v>
      </c>
      <c r="S934" s="49">
        <f t="array" ref="S934">WEEKDAY(D934,2)</f>
        <v>7</v>
      </c>
      <c r="T934" s="46" t="s">
        <v>120</v>
      </c>
      <c r="U934" s="46" t="str">
        <f t="array" ref="U934">TEXT(D934,"dddd")</f>
        <v>Sunday</v>
      </c>
    </row>
    <row r="935" hidden="1">
      <c r="A935" s="46">
        <v>7.09071195E8</v>
      </c>
      <c r="B935" s="137" t="s">
        <v>220</v>
      </c>
      <c r="C935" s="137">
        <v>2012.0</v>
      </c>
      <c r="D935" s="138">
        <v>41078.0</v>
      </c>
      <c r="E935" s="139">
        <v>41123.0</v>
      </c>
      <c r="F935" s="142" t="s">
        <v>216</v>
      </c>
      <c r="G935" s="142">
        <v>2012.0</v>
      </c>
      <c r="H935" s="46">
        <v>7940.0</v>
      </c>
      <c r="I935" s="46">
        <v>8778.0</v>
      </c>
      <c r="J935" s="84">
        <v>5866074.06</v>
      </c>
      <c r="K935" s="84">
        <v>4411296.12</v>
      </c>
      <c r="L935" s="84">
        <v>1454777.9399999995</v>
      </c>
      <c r="M935" s="46" t="s">
        <v>148</v>
      </c>
      <c r="N935" s="46" t="s">
        <v>175</v>
      </c>
      <c r="O935" s="46" t="s">
        <v>165</v>
      </c>
      <c r="P935" s="46" t="s">
        <v>166</v>
      </c>
      <c r="Q935" s="46" t="str">
        <f t="shared" si="1"/>
        <v>June, 2012</v>
      </c>
      <c r="R935" s="115">
        <f t="shared" si="2"/>
        <v>41061</v>
      </c>
      <c r="S935" s="49">
        <f t="array" ref="S935">WEEKDAY(D935,2)</f>
        <v>1</v>
      </c>
      <c r="T935" s="46" t="s">
        <v>108</v>
      </c>
      <c r="U935" s="46" t="str">
        <f t="array" ref="U935">TEXT(D935,"dddd")</f>
        <v>Monday</v>
      </c>
    </row>
    <row r="936" hidden="1">
      <c r="A936" s="46">
        <v>7.09105527E8</v>
      </c>
      <c r="B936" s="137" t="s">
        <v>223</v>
      </c>
      <c r="C936" s="137">
        <v>2012.0</v>
      </c>
      <c r="D936" s="138">
        <v>41028.0</v>
      </c>
      <c r="E936" s="139">
        <v>41030.0</v>
      </c>
      <c r="F936" s="142" t="s">
        <v>219</v>
      </c>
      <c r="G936" s="142">
        <v>2012.0</v>
      </c>
      <c r="H936" s="46">
        <v>2455.0</v>
      </c>
      <c r="I936" s="46">
        <v>8938.0</v>
      </c>
      <c r="J936" s="84">
        <v>976744.64</v>
      </c>
      <c r="K936" s="84">
        <v>320337.92000000004</v>
      </c>
      <c r="L936" s="84">
        <v>656406.72</v>
      </c>
      <c r="M936" s="46" t="s">
        <v>150</v>
      </c>
      <c r="N936" s="46" t="s">
        <v>183</v>
      </c>
      <c r="O936" s="46" t="s">
        <v>146</v>
      </c>
      <c r="P936" s="46" t="s">
        <v>170</v>
      </c>
      <c r="Q936" s="46" t="str">
        <f t="shared" si="1"/>
        <v>April, 2012</v>
      </c>
      <c r="R936" s="115">
        <f t="shared" si="2"/>
        <v>41000</v>
      </c>
      <c r="S936" s="49">
        <f t="array" ref="S936">WEEKDAY(D936,2)</f>
        <v>7</v>
      </c>
      <c r="T936" s="46" t="s">
        <v>90</v>
      </c>
      <c r="U936" s="46" t="str">
        <f t="array" ref="U936">TEXT(D936,"dddd")</f>
        <v>Sunday</v>
      </c>
    </row>
    <row r="937" hidden="1">
      <c r="A937" s="46">
        <v>7.09276759E8</v>
      </c>
      <c r="B937" s="137" t="s">
        <v>227</v>
      </c>
      <c r="C937" s="137">
        <v>2017.0</v>
      </c>
      <c r="D937" s="138">
        <v>42747.0</v>
      </c>
      <c r="E937" s="139">
        <v>42795.0</v>
      </c>
      <c r="F937" s="142" t="s">
        <v>222</v>
      </c>
      <c r="G937" s="142">
        <v>2017.0</v>
      </c>
      <c r="H937" s="46">
        <v>2455.0</v>
      </c>
      <c r="I937" s="46">
        <v>9610.0</v>
      </c>
      <c r="J937" s="84">
        <v>1050180.8</v>
      </c>
      <c r="K937" s="84">
        <v>344422.4</v>
      </c>
      <c r="L937" s="84">
        <v>705758.4</v>
      </c>
      <c r="M937" s="46" t="s">
        <v>150</v>
      </c>
      <c r="N937" s="46" t="s">
        <v>172</v>
      </c>
      <c r="O937" s="46" t="s">
        <v>146</v>
      </c>
      <c r="P937" s="46" t="s">
        <v>155</v>
      </c>
      <c r="Q937" s="46" t="str">
        <f t="shared" si="1"/>
        <v>January, 2017</v>
      </c>
      <c r="R937" s="115">
        <f t="shared" si="2"/>
        <v>42736</v>
      </c>
      <c r="S937" s="49">
        <f t="array" ref="S937">WEEKDAY(D937,2)</f>
        <v>4</v>
      </c>
      <c r="T937" s="46" t="s">
        <v>105</v>
      </c>
      <c r="U937" s="46" t="str">
        <f t="array" ref="U937">TEXT(D937,"dddd")</f>
        <v>Thursday</v>
      </c>
    </row>
    <row r="938" hidden="1">
      <c r="A938" s="46">
        <v>7.12595832E8</v>
      </c>
      <c r="B938" s="137" t="s">
        <v>222</v>
      </c>
      <c r="C938" s="137">
        <v>2015.0</v>
      </c>
      <c r="D938" s="138">
        <v>42087.0</v>
      </c>
      <c r="E938" s="139">
        <v>42091.0</v>
      </c>
      <c r="F938" s="142" t="s">
        <v>222</v>
      </c>
      <c r="G938" s="142">
        <v>2015.0</v>
      </c>
      <c r="H938" s="46">
        <v>1270.0</v>
      </c>
      <c r="I938" s="46">
        <v>1797.0</v>
      </c>
      <c r="J938" s="84">
        <v>85267.65000000001</v>
      </c>
      <c r="K938" s="84">
        <v>57126.63</v>
      </c>
      <c r="L938" s="84">
        <v>28141.02000000001</v>
      </c>
      <c r="M938" s="46" t="s">
        <v>152</v>
      </c>
      <c r="N938" s="46" t="s">
        <v>181</v>
      </c>
      <c r="O938" s="46" t="s">
        <v>146</v>
      </c>
      <c r="P938" s="46" t="s">
        <v>155</v>
      </c>
      <c r="Q938" s="46" t="str">
        <f t="shared" si="1"/>
        <v>March, 2015</v>
      </c>
      <c r="R938" s="115">
        <f t="shared" si="2"/>
        <v>42064</v>
      </c>
      <c r="S938" s="49">
        <f t="array" ref="S938">WEEKDAY(D938,2)</f>
        <v>2</v>
      </c>
      <c r="T938" s="46" t="s">
        <v>113</v>
      </c>
      <c r="U938" s="46" t="str">
        <f t="array" ref="U938">TEXT(D938,"dddd")</f>
        <v>Tuesday</v>
      </c>
    </row>
    <row r="939" hidden="1">
      <c r="A939" s="46">
        <v>7.13009965E8</v>
      </c>
      <c r="B939" s="137" t="s">
        <v>224</v>
      </c>
      <c r="C939" s="137">
        <v>2016.0</v>
      </c>
      <c r="D939" s="138">
        <v>42689.0</v>
      </c>
      <c r="E939" s="139">
        <v>42720.0</v>
      </c>
      <c r="F939" s="142" t="s">
        <v>225</v>
      </c>
      <c r="G939" s="142">
        <v>2016.0</v>
      </c>
      <c r="H939" s="46">
        <v>7940.0</v>
      </c>
      <c r="I939" s="46">
        <v>4348.0</v>
      </c>
      <c r="J939" s="84">
        <v>2905637.96</v>
      </c>
      <c r="K939" s="84">
        <v>2185043.92</v>
      </c>
      <c r="L939" s="84">
        <v>720594.04</v>
      </c>
      <c r="M939" s="46" t="s">
        <v>148</v>
      </c>
      <c r="N939" s="46" t="s">
        <v>199</v>
      </c>
      <c r="O939" s="46" t="s">
        <v>146</v>
      </c>
      <c r="P939" s="46" t="s">
        <v>147</v>
      </c>
      <c r="Q939" s="46" t="str">
        <f t="shared" si="1"/>
        <v>November, 2016</v>
      </c>
      <c r="R939" s="115">
        <f t="shared" si="2"/>
        <v>42675</v>
      </c>
      <c r="S939" s="49">
        <f t="array" ref="S939">WEEKDAY(D939,2)</f>
        <v>2</v>
      </c>
      <c r="T939" s="46" t="s">
        <v>128</v>
      </c>
      <c r="U939" s="46" t="str">
        <f t="array" ref="U939">TEXT(D939,"dddd")</f>
        <v>Tuesday</v>
      </c>
    </row>
    <row r="940" hidden="1">
      <c r="A940" s="46">
        <v>7.1335715E8</v>
      </c>
      <c r="B940" s="137" t="s">
        <v>219</v>
      </c>
      <c r="C940" s="137">
        <v>2012.0</v>
      </c>
      <c r="D940" s="138">
        <v>41038.0</v>
      </c>
      <c r="E940" s="139">
        <v>41063.0</v>
      </c>
      <c r="F940" s="142" t="s">
        <v>220</v>
      </c>
      <c r="G940" s="142">
        <v>2012.0</v>
      </c>
      <c r="H940" s="46">
        <v>2455.0</v>
      </c>
      <c r="I940" s="46">
        <v>7088.0</v>
      </c>
      <c r="J940" s="84">
        <v>774576.64</v>
      </c>
      <c r="K940" s="84">
        <v>254033.92</v>
      </c>
      <c r="L940" s="84">
        <v>520542.72</v>
      </c>
      <c r="M940" s="46" t="s">
        <v>150</v>
      </c>
      <c r="N940" s="46" t="s">
        <v>205</v>
      </c>
      <c r="O940" s="46" t="s">
        <v>146</v>
      </c>
      <c r="P940" s="46" t="s">
        <v>170</v>
      </c>
      <c r="Q940" s="46" t="str">
        <f t="shared" si="1"/>
        <v>May, 2012</v>
      </c>
      <c r="R940" s="115">
        <f t="shared" si="2"/>
        <v>41030</v>
      </c>
      <c r="S940" s="49">
        <f t="array" ref="S940">WEEKDAY(D940,2)</f>
        <v>3</v>
      </c>
      <c r="T940" s="46" t="s">
        <v>135</v>
      </c>
      <c r="U940" s="46" t="str">
        <f t="array" ref="U940">TEXT(D940,"dddd")</f>
        <v>Wednesday</v>
      </c>
    </row>
    <row r="941" hidden="1">
      <c r="A941" s="46">
        <v>7.14165675E8</v>
      </c>
      <c r="B941" s="137" t="s">
        <v>227</v>
      </c>
      <c r="C941" s="137">
        <v>2014.0</v>
      </c>
      <c r="D941" s="138">
        <v>41647.0</v>
      </c>
      <c r="E941" s="139">
        <v>41672.0</v>
      </c>
      <c r="F941" s="142" t="s">
        <v>228</v>
      </c>
      <c r="G941" s="142">
        <v>2014.0</v>
      </c>
      <c r="H941" s="46">
        <v>1270.0</v>
      </c>
      <c r="I941" s="46">
        <v>6348.0</v>
      </c>
      <c r="J941" s="84">
        <v>301212.60000000003</v>
      </c>
      <c r="K941" s="84">
        <v>201802.91999999998</v>
      </c>
      <c r="L941" s="84">
        <v>99409.68000000005</v>
      </c>
      <c r="M941" s="46" t="s">
        <v>152</v>
      </c>
      <c r="N941" s="46" t="s">
        <v>173</v>
      </c>
      <c r="O941" s="46" t="s">
        <v>146</v>
      </c>
      <c r="P941" s="46" t="s">
        <v>155</v>
      </c>
      <c r="Q941" s="46" t="str">
        <f t="shared" si="1"/>
        <v>January, 2014</v>
      </c>
      <c r="R941" s="115">
        <f t="shared" si="2"/>
        <v>41640</v>
      </c>
      <c r="S941" s="49">
        <f t="array" ref="S941">WEEKDAY(D941,2)</f>
        <v>3</v>
      </c>
      <c r="T941" s="46" t="s">
        <v>106</v>
      </c>
      <c r="U941" s="46" t="str">
        <f t="array" ref="U941">TEXT(D941,"dddd")</f>
        <v>Wednesday</v>
      </c>
    </row>
    <row r="942" hidden="1">
      <c r="A942" s="46">
        <v>7.15309798E8</v>
      </c>
      <c r="B942" s="137" t="s">
        <v>227</v>
      </c>
      <c r="C942" s="137">
        <v>2013.0</v>
      </c>
      <c r="D942" s="138">
        <v>41280.0</v>
      </c>
      <c r="E942" s="139">
        <v>41315.0</v>
      </c>
      <c r="F942" s="142" t="s">
        <v>228</v>
      </c>
      <c r="G942" s="142">
        <v>2013.0</v>
      </c>
      <c r="H942" s="46">
        <v>2103.0</v>
      </c>
      <c r="I942" s="46">
        <v>4920.0</v>
      </c>
      <c r="J942" s="84">
        <v>1012044.0</v>
      </c>
      <c r="K942" s="84">
        <v>576181.2</v>
      </c>
      <c r="L942" s="84">
        <v>435862.80000000005</v>
      </c>
      <c r="M942" s="46" t="s">
        <v>144</v>
      </c>
      <c r="N942" s="46" t="s">
        <v>197</v>
      </c>
      <c r="O942" s="46" t="s">
        <v>146</v>
      </c>
      <c r="P942" s="46" t="s">
        <v>147</v>
      </c>
      <c r="Q942" s="46" t="str">
        <f t="shared" si="1"/>
        <v>January, 2013</v>
      </c>
      <c r="R942" s="115">
        <f t="shared" si="2"/>
        <v>41275</v>
      </c>
      <c r="S942" s="49">
        <f t="array" ref="S942">WEEKDAY(D942,2)</f>
        <v>7</v>
      </c>
      <c r="T942" s="46" t="s">
        <v>126</v>
      </c>
      <c r="U942" s="46" t="str">
        <f t="array" ref="U942">TEXT(D942,"dddd")</f>
        <v>Sunday</v>
      </c>
    </row>
    <row r="943" hidden="1">
      <c r="A943" s="46">
        <v>7.15863835E8</v>
      </c>
      <c r="B943" s="137" t="s">
        <v>227</v>
      </c>
      <c r="C943" s="137">
        <v>2012.0</v>
      </c>
      <c r="D943" s="138">
        <v>40915.0</v>
      </c>
      <c r="E943" s="139">
        <v>40934.0</v>
      </c>
      <c r="F943" s="142" t="s">
        <v>227</v>
      </c>
      <c r="G943" s="142">
        <v>2012.0</v>
      </c>
      <c r="H943" s="46">
        <v>5988.0</v>
      </c>
      <c r="I943" s="46">
        <v>8872.0</v>
      </c>
      <c r="J943" s="84">
        <v>1366820.32</v>
      </c>
      <c r="K943" s="84">
        <v>806730.9600000001</v>
      </c>
      <c r="L943" s="84">
        <v>560089.36</v>
      </c>
      <c r="M943" s="46" t="s">
        <v>159</v>
      </c>
      <c r="N943" s="46" t="s">
        <v>203</v>
      </c>
      <c r="O943" s="46" t="s">
        <v>146</v>
      </c>
      <c r="P943" s="46" t="s">
        <v>170</v>
      </c>
      <c r="Q943" s="46" t="str">
        <f t="shared" si="1"/>
        <v>January, 2012</v>
      </c>
      <c r="R943" s="115">
        <f t="shared" si="2"/>
        <v>40909</v>
      </c>
      <c r="S943" s="49">
        <f t="array" ref="S943">WEEKDAY(D943,2)</f>
        <v>6</v>
      </c>
      <c r="T943" s="46" t="s">
        <v>132</v>
      </c>
      <c r="U943" s="46" t="str">
        <f t="array" ref="U943">TEXT(D943,"dddd")</f>
        <v>Saturday</v>
      </c>
    </row>
    <row r="944" hidden="1">
      <c r="A944" s="46">
        <v>7.16054379E8</v>
      </c>
      <c r="B944" s="137" t="s">
        <v>222</v>
      </c>
      <c r="C944" s="137">
        <v>2016.0</v>
      </c>
      <c r="D944" s="138">
        <v>42433.0</v>
      </c>
      <c r="E944" s="139">
        <v>42455.0</v>
      </c>
      <c r="F944" s="142" t="s">
        <v>222</v>
      </c>
      <c r="G944" s="142">
        <v>2016.0</v>
      </c>
      <c r="H944" s="46">
        <v>4594.0</v>
      </c>
      <c r="I944" s="46">
        <v>5258.0</v>
      </c>
      <c r="J944" s="84">
        <v>49057.14</v>
      </c>
      <c r="K944" s="84">
        <v>36385.36</v>
      </c>
      <c r="L944" s="84">
        <v>12671.779999999999</v>
      </c>
      <c r="M944" s="46" t="s">
        <v>156</v>
      </c>
      <c r="N944" s="46" t="s">
        <v>199</v>
      </c>
      <c r="O944" s="46" t="s">
        <v>146</v>
      </c>
      <c r="P944" s="46" t="s">
        <v>147</v>
      </c>
      <c r="Q944" s="46" t="str">
        <f t="shared" si="1"/>
        <v>March, 2016</v>
      </c>
      <c r="R944" s="115">
        <f t="shared" si="2"/>
        <v>42430</v>
      </c>
      <c r="S944" s="49">
        <f t="array" ref="S944">WEEKDAY(D944,2)</f>
        <v>5</v>
      </c>
      <c r="T944" s="46" t="s">
        <v>128</v>
      </c>
      <c r="U944" s="46" t="str">
        <f t="array" ref="U944">TEXT(D944,"dddd")</f>
        <v>Friday</v>
      </c>
    </row>
    <row r="945" hidden="1">
      <c r="A945" s="46">
        <v>7.16411006E8</v>
      </c>
      <c r="B945" s="137" t="s">
        <v>227</v>
      </c>
      <c r="C945" s="137">
        <v>2014.0</v>
      </c>
      <c r="D945" s="138">
        <v>41666.0</v>
      </c>
      <c r="E945" s="139">
        <v>41687.0</v>
      </c>
      <c r="F945" s="142" t="s">
        <v>228</v>
      </c>
      <c r="G945" s="142">
        <v>2014.0</v>
      </c>
      <c r="H945" s="46">
        <v>3127.0</v>
      </c>
      <c r="I945" s="46">
        <v>792.0</v>
      </c>
      <c r="J945" s="84">
        <v>64730.16</v>
      </c>
      <c r="K945" s="84">
        <v>44882.64</v>
      </c>
      <c r="L945" s="84">
        <v>19847.520000000004</v>
      </c>
      <c r="M945" s="46" t="s">
        <v>185</v>
      </c>
      <c r="N945" s="46" t="s">
        <v>195</v>
      </c>
      <c r="O945" s="46" t="s">
        <v>146</v>
      </c>
      <c r="P945" s="46" t="s">
        <v>170</v>
      </c>
      <c r="Q945" s="46" t="str">
        <f t="shared" si="1"/>
        <v>January, 2014</v>
      </c>
      <c r="R945" s="115">
        <f t="shared" si="2"/>
        <v>41640</v>
      </c>
      <c r="S945" s="49">
        <f t="array" ref="S945">WEEKDAY(D945,2)</f>
        <v>1</v>
      </c>
      <c r="T945" s="46" t="s">
        <v>124</v>
      </c>
      <c r="U945" s="46" t="str">
        <f t="array" ref="U945">TEXT(D945,"dddd")</f>
        <v>Monday</v>
      </c>
    </row>
    <row r="946" hidden="1">
      <c r="A946" s="46">
        <v>7.1783322E8</v>
      </c>
      <c r="B946" s="137" t="s">
        <v>222</v>
      </c>
      <c r="C946" s="137">
        <v>2014.0</v>
      </c>
      <c r="D946" s="138">
        <v>41720.0</v>
      </c>
      <c r="E946" s="139">
        <v>41732.0</v>
      </c>
      <c r="F946" s="142" t="s">
        <v>223</v>
      </c>
      <c r="G946" s="142">
        <v>2014.0</v>
      </c>
      <c r="H946" s="46">
        <v>5988.0</v>
      </c>
      <c r="I946" s="46">
        <v>1657.0</v>
      </c>
      <c r="J946" s="84">
        <v>255277.42</v>
      </c>
      <c r="K946" s="84">
        <v>150671.01</v>
      </c>
      <c r="L946" s="84">
        <v>104606.41</v>
      </c>
      <c r="M946" s="46" t="s">
        <v>159</v>
      </c>
      <c r="N946" s="46" t="s">
        <v>145</v>
      </c>
      <c r="O946" s="46" t="s">
        <v>146</v>
      </c>
      <c r="P946" s="46" t="s">
        <v>147</v>
      </c>
      <c r="Q946" s="46" t="str">
        <f t="shared" si="1"/>
        <v>March, 2014</v>
      </c>
      <c r="R946" s="115">
        <f t="shared" si="2"/>
        <v>41699</v>
      </c>
      <c r="S946" s="49">
        <f t="array" ref="S946">WEEKDAY(D946,2)</f>
        <v>6</v>
      </c>
      <c r="T946" s="46" t="s">
        <v>91</v>
      </c>
      <c r="U946" s="46" t="str">
        <f t="array" ref="U946">TEXT(D946,"dddd")</f>
        <v>Saturday</v>
      </c>
    </row>
    <row r="947" hidden="1">
      <c r="A947" s="46">
        <v>7.1929363E8</v>
      </c>
      <c r="B947" s="137" t="s">
        <v>228</v>
      </c>
      <c r="C947" s="137">
        <v>2011.0</v>
      </c>
      <c r="D947" s="138">
        <v>40576.0</v>
      </c>
      <c r="E947" s="139">
        <v>40599.0</v>
      </c>
      <c r="F947" s="142" t="s">
        <v>228</v>
      </c>
      <c r="G947" s="142">
        <v>2011.0</v>
      </c>
      <c r="H947" s="46">
        <v>8681.0</v>
      </c>
      <c r="I947" s="46">
        <v>3824.0</v>
      </c>
      <c r="J947" s="84">
        <v>2490227.04</v>
      </c>
      <c r="K947" s="84">
        <v>2007447.04</v>
      </c>
      <c r="L947" s="84">
        <v>482780.0</v>
      </c>
      <c r="M947" s="46" t="s">
        <v>153</v>
      </c>
      <c r="N947" s="46" t="s">
        <v>192</v>
      </c>
      <c r="O947" s="46" t="s">
        <v>146</v>
      </c>
      <c r="P947" s="46" t="s">
        <v>158</v>
      </c>
      <c r="Q947" s="46" t="str">
        <f t="shared" si="1"/>
        <v>February, 2011</v>
      </c>
      <c r="R947" s="115">
        <f t="shared" si="2"/>
        <v>40575</v>
      </c>
      <c r="S947" s="49">
        <f t="array" ref="S947">WEEKDAY(D947,2)</f>
        <v>3</v>
      </c>
      <c r="T947" s="46" t="s">
        <v>121</v>
      </c>
      <c r="U947" s="46" t="str">
        <f t="array" ref="U947">TEXT(D947,"dddd")</f>
        <v>Wednesday</v>
      </c>
    </row>
    <row r="948" hidden="1">
      <c r="A948" s="46">
        <v>7.19404351E8</v>
      </c>
      <c r="B948" s="137" t="s">
        <v>225</v>
      </c>
      <c r="C948" s="137">
        <v>2011.0</v>
      </c>
      <c r="D948" s="138">
        <v>40898.0</v>
      </c>
      <c r="E948" s="139">
        <v>40918.0</v>
      </c>
      <c r="F948" s="142" t="s">
        <v>227</v>
      </c>
      <c r="G948" s="142">
        <v>2012.0</v>
      </c>
      <c r="H948" s="46">
        <v>8681.0</v>
      </c>
      <c r="I948" s="46">
        <v>6589.0</v>
      </c>
      <c r="J948" s="84">
        <v>4290822.69</v>
      </c>
      <c r="K948" s="84">
        <v>3458961.4400000004</v>
      </c>
      <c r="L948" s="84">
        <v>831861.25</v>
      </c>
      <c r="M948" s="46" t="s">
        <v>153</v>
      </c>
      <c r="N948" s="46" t="s">
        <v>201</v>
      </c>
      <c r="O948" s="46" t="s">
        <v>146</v>
      </c>
      <c r="P948" s="46" t="s">
        <v>170</v>
      </c>
      <c r="Q948" s="46" t="str">
        <f t="shared" si="1"/>
        <v>December, 2011</v>
      </c>
      <c r="R948" s="115">
        <f t="shared" si="2"/>
        <v>40878</v>
      </c>
      <c r="S948" s="49">
        <f t="array" ref="S948">WEEKDAY(D948,2)</f>
        <v>3</v>
      </c>
      <c r="T948" s="46" t="s">
        <v>130</v>
      </c>
      <c r="U948" s="46" t="str">
        <f t="array" ref="U948">TEXT(D948,"dddd")</f>
        <v>Wednesday</v>
      </c>
    </row>
    <row r="949" hidden="1">
      <c r="A949" s="46">
        <v>7.19730079E8</v>
      </c>
      <c r="B949" s="137" t="s">
        <v>223</v>
      </c>
      <c r="C949" s="137">
        <v>2012.0</v>
      </c>
      <c r="D949" s="138">
        <v>41007.0</v>
      </c>
      <c r="E949" s="139">
        <v>41035.0</v>
      </c>
      <c r="F949" s="142" t="s">
        <v>219</v>
      </c>
      <c r="G949" s="142">
        <v>2012.0</v>
      </c>
      <c r="H949" s="46">
        <v>2455.0</v>
      </c>
      <c r="I949" s="46">
        <v>2979.0</v>
      </c>
      <c r="J949" s="84">
        <v>325545.12</v>
      </c>
      <c r="K949" s="84">
        <v>106767.36000000002</v>
      </c>
      <c r="L949" s="84">
        <v>218777.75999999998</v>
      </c>
      <c r="M949" s="46" t="s">
        <v>150</v>
      </c>
      <c r="N949" s="46" t="s">
        <v>192</v>
      </c>
      <c r="O949" s="46" t="s">
        <v>146</v>
      </c>
      <c r="P949" s="46" t="s">
        <v>158</v>
      </c>
      <c r="Q949" s="46" t="str">
        <f t="shared" si="1"/>
        <v>April, 2012</v>
      </c>
      <c r="R949" s="115">
        <f t="shared" si="2"/>
        <v>41000</v>
      </c>
      <c r="S949" s="49">
        <f t="array" ref="S949">WEEKDAY(D949,2)</f>
        <v>7</v>
      </c>
      <c r="T949" s="46" t="s">
        <v>121</v>
      </c>
      <c r="U949" s="46" t="str">
        <f t="array" ref="U949">TEXT(D949,"dddd")</f>
        <v>Sunday</v>
      </c>
    </row>
    <row r="950">
      <c r="A950" s="46">
        <v>7.20229613E8</v>
      </c>
      <c r="B950" s="137" t="s">
        <v>222</v>
      </c>
      <c r="C950" s="137">
        <v>2015.0</v>
      </c>
      <c r="D950" s="138">
        <v>42070.0</v>
      </c>
      <c r="E950" s="139">
        <v>42074.0</v>
      </c>
      <c r="F950" s="142" t="s">
        <v>222</v>
      </c>
      <c r="G950" s="142">
        <v>2015.0</v>
      </c>
      <c r="H950" s="46">
        <v>4594.0</v>
      </c>
      <c r="I950" s="46">
        <v>803.0</v>
      </c>
      <c r="J950" s="84">
        <v>7491.99</v>
      </c>
      <c r="K950" s="84">
        <v>5556.76</v>
      </c>
      <c r="L950" s="84">
        <v>1935.2299999999996</v>
      </c>
      <c r="M950" s="46" t="s">
        <v>156</v>
      </c>
      <c r="N950" s="46" t="s">
        <v>149</v>
      </c>
      <c r="O950" s="46" t="s">
        <v>149</v>
      </c>
      <c r="P950" s="46" t="s">
        <v>218</v>
      </c>
      <c r="Q950" s="46" t="str">
        <f t="shared" si="1"/>
        <v>March, 2015</v>
      </c>
      <c r="R950" s="115">
        <f t="shared" si="2"/>
        <v>42064</v>
      </c>
      <c r="S950" s="49">
        <f t="array" ref="S950">WEEKDAY(D950,2)</f>
        <v>6</v>
      </c>
      <c r="T950" s="46" t="s">
        <v>92</v>
      </c>
      <c r="U950" s="46" t="str">
        <f t="array" ref="U950">TEXT(D950,"dddd")</f>
        <v>Saturday</v>
      </c>
    </row>
    <row r="951" hidden="1">
      <c r="A951" s="46">
        <v>7.20878922E8</v>
      </c>
      <c r="B951" s="137" t="s">
        <v>220</v>
      </c>
      <c r="C951" s="137">
        <v>2012.0</v>
      </c>
      <c r="D951" s="138">
        <v>41082.0</v>
      </c>
      <c r="E951" s="139">
        <v>41122.0</v>
      </c>
      <c r="F951" s="142" t="s">
        <v>216</v>
      </c>
      <c r="G951" s="142">
        <v>2012.0</v>
      </c>
      <c r="H951" s="46">
        <v>7331.0</v>
      </c>
      <c r="I951" s="46">
        <v>2948.0</v>
      </c>
      <c r="J951" s="84">
        <v>752565.4400000001</v>
      </c>
      <c r="K951" s="84">
        <v>469970.16</v>
      </c>
      <c r="L951" s="84">
        <v>282595.2800000001</v>
      </c>
      <c r="M951" s="46" t="s">
        <v>161</v>
      </c>
      <c r="N951" s="46" t="s">
        <v>200</v>
      </c>
      <c r="O951" s="46" t="s">
        <v>146</v>
      </c>
      <c r="P951" s="46" t="s">
        <v>158</v>
      </c>
      <c r="Q951" s="46" t="str">
        <f t="shared" si="1"/>
        <v>June, 2012</v>
      </c>
      <c r="R951" s="115">
        <f t="shared" si="2"/>
        <v>41061</v>
      </c>
      <c r="S951" s="49">
        <f t="array" ref="S951">WEEKDAY(D951,2)</f>
        <v>5</v>
      </c>
      <c r="T951" s="46" t="s">
        <v>129</v>
      </c>
      <c r="U951" s="46" t="str">
        <f t="array" ref="U951">TEXT(D951,"dddd")</f>
        <v>Friday</v>
      </c>
    </row>
    <row r="952" hidden="1">
      <c r="A952" s="46">
        <v>7.20931279E8</v>
      </c>
      <c r="B952" s="137" t="s">
        <v>226</v>
      </c>
      <c r="C952" s="137">
        <v>2012.0</v>
      </c>
      <c r="D952" s="138">
        <v>41212.0</v>
      </c>
      <c r="E952" s="139">
        <v>41231.0</v>
      </c>
      <c r="F952" s="142" t="s">
        <v>224</v>
      </c>
      <c r="G952" s="142">
        <v>2012.0</v>
      </c>
      <c r="H952" s="46">
        <v>8969.0</v>
      </c>
      <c r="I952" s="46">
        <v>8441.0</v>
      </c>
      <c r="J952" s="84">
        <v>1287927.78</v>
      </c>
      <c r="K952" s="84">
        <v>822491.04</v>
      </c>
      <c r="L952" s="84">
        <v>465436.74</v>
      </c>
      <c r="M952" s="46" t="s">
        <v>182</v>
      </c>
      <c r="N952" s="46" t="s">
        <v>207</v>
      </c>
      <c r="O952" s="46" t="s">
        <v>146</v>
      </c>
      <c r="P952" s="46" t="s">
        <v>170</v>
      </c>
      <c r="Q952" s="46" t="str">
        <f t="shared" si="1"/>
        <v>October, 2012</v>
      </c>
      <c r="R952" s="115">
        <f t="shared" si="2"/>
        <v>41183</v>
      </c>
      <c r="S952" s="49">
        <f t="array" ref="S952">WEEKDAY(D952,2)</f>
        <v>2</v>
      </c>
      <c r="T952" s="46" t="s">
        <v>137</v>
      </c>
      <c r="U952" s="46" t="str">
        <f t="array" ref="U952">TEXT(D952,"dddd")</f>
        <v>Tuesday</v>
      </c>
    </row>
    <row r="953" hidden="1">
      <c r="A953" s="46">
        <v>7.21318805E8</v>
      </c>
      <c r="B953" s="137" t="s">
        <v>224</v>
      </c>
      <c r="C953" s="137">
        <v>2015.0</v>
      </c>
      <c r="D953" s="138">
        <v>42337.0</v>
      </c>
      <c r="E953" s="139">
        <v>42347.0</v>
      </c>
      <c r="F953" s="142" t="s">
        <v>225</v>
      </c>
      <c r="G953" s="142">
        <v>2015.0</v>
      </c>
      <c r="H953" s="46">
        <v>4594.0</v>
      </c>
      <c r="I953" s="46">
        <v>3118.0</v>
      </c>
      <c r="J953" s="84">
        <v>29090.94</v>
      </c>
      <c r="K953" s="84">
        <v>21576.56</v>
      </c>
      <c r="L953" s="84">
        <v>7514.379999999997</v>
      </c>
      <c r="M953" s="46" t="s">
        <v>156</v>
      </c>
      <c r="N953" s="46" t="s">
        <v>193</v>
      </c>
      <c r="O953" s="46" t="s">
        <v>146</v>
      </c>
      <c r="P953" s="46" t="s">
        <v>158</v>
      </c>
      <c r="Q953" s="46" t="str">
        <f t="shared" si="1"/>
        <v>November, 2015</v>
      </c>
      <c r="R953" s="115">
        <f t="shared" si="2"/>
        <v>42309</v>
      </c>
      <c r="S953" s="49">
        <f t="array" ref="S953">WEEKDAY(D953,2)</f>
        <v>7</v>
      </c>
      <c r="T953" s="46" t="s">
        <v>122</v>
      </c>
      <c r="U953" s="46" t="str">
        <f t="array" ref="U953">TEXT(D953,"dddd")</f>
        <v>Sunday</v>
      </c>
    </row>
    <row r="954" hidden="1">
      <c r="A954" s="46">
        <v>7.22233331E8</v>
      </c>
      <c r="B954" s="137" t="s">
        <v>222</v>
      </c>
      <c r="C954" s="137">
        <v>2017.0</v>
      </c>
      <c r="D954" s="138">
        <v>42825.0</v>
      </c>
      <c r="E954" s="139">
        <v>42831.0</v>
      </c>
      <c r="F954" s="142" t="s">
        <v>223</v>
      </c>
      <c r="G954" s="142">
        <v>2017.0</v>
      </c>
      <c r="H954" s="46">
        <v>5988.0</v>
      </c>
      <c r="I954" s="46">
        <v>3747.0</v>
      </c>
      <c r="J954" s="84">
        <v>577262.8200000001</v>
      </c>
      <c r="K954" s="84">
        <v>340714.71</v>
      </c>
      <c r="L954" s="84">
        <v>236548.11000000004</v>
      </c>
      <c r="M954" s="46" t="s">
        <v>159</v>
      </c>
      <c r="N954" s="46" t="s">
        <v>160</v>
      </c>
      <c r="O954" s="46" t="s">
        <v>146</v>
      </c>
      <c r="P954" s="46" t="s">
        <v>147</v>
      </c>
      <c r="Q954" s="46" t="str">
        <f t="shared" si="1"/>
        <v>March, 2017</v>
      </c>
      <c r="R954" s="115">
        <f t="shared" si="2"/>
        <v>42795</v>
      </c>
      <c r="S954" s="49">
        <f t="array" ref="S954">WEEKDAY(D954,2)</f>
        <v>5</v>
      </c>
      <c r="T954" s="46" t="s">
        <v>98</v>
      </c>
      <c r="U954" s="46" t="str">
        <f t="array" ref="U954">TEXT(D954,"dddd")</f>
        <v>Friday</v>
      </c>
    </row>
    <row r="955" hidden="1">
      <c r="A955" s="46">
        <v>7.2224878E8</v>
      </c>
      <c r="B955" s="137" t="s">
        <v>223</v>
      </c>
      <c r="C955" s="137">
        <v>2012.0</v>
      </c>
      <c r="D955" s="138">
        <v>41005.0</v>
      </c>
      <c r="E955" s="139">
        <v>41007.0</v>
      </c>
      <c r="F955" s="142" t="s">
        <v>223</v>
      </c>
      <c r="G955" s="142">
        <v>2012.0</v>
      </c>
      <c r="H955" s="46">
        <v>8969.0</v>
      </c>
      <c r="I955" s="46">
        <v>8319.0</v>
      </c>
      <c r="J955" s="84">
        <v>1269313.02</v>
      </c>
      <c r="K955" s="84">
        <v>810603.36</v>
      </c>
      <c r="L955" s="84">
        <v>458709.66000000003</v>
      </c>
      <c r="M955" s="46" t="s">
        <v>182</v>
      </c>
      <c r="N955" s="46" t="s">
        <v>193</v>
      </c>
      <c r="O955" s="46" t="s">
        <v>146</v>
      </c>
      <c r="P955" s="46" t="s">
        <v>158</v>
      </c>
      <c r="Q955" s="46" t="str">
        <f t="shared" si="1"/>
        <v>April, 2012</v>
      </c>
      <c r="R955" s="115">
        <f t="shared" si="2"/>
        <v>41000</v>
      </c>
      <c r="S955" s="49">
        <f t="array" ref="S955">WEEKDAY(D955,2)</f>
        <v>5</v>
      </c>
      <c r="T955" s="46" t="s">
        <v>122</v>
      </c>
      <c r="U955" s="46" t="str">
        <f t="array" ref="U955">TEXT(D955,"dddd")</f>
        <v>Friday</v>
      </c>
    </row>
    <row r="956" hidden="1">
      <c r="A956" s="46">
        <v>7.23893725E8</v>
      </c>
      <c r="B956" s="137" t="s">
        <v>228</v>
      </c>
      <c r="C956" s="137">
        <v>2013.0</v>
      </c>
      <c r="D956" s="138">
        <v>41318.0</v>
      </c>
      <c r="E956" s="139">
        <v>41344.0</v>
      </c>
      <c r="F956" s="142" t="s">
        <v>222</v>
      </c>
      <c r="G956" s="142">
        <v>2013.0</v>
      </c>
      <c r="H956" s="46">
        <v>7940.0</v>
      </c>
      <c r="I956" s="46">
        <v>5095.0</v>
      </c>
      <c r="J956" s="84">
        <v>3404835.65</v>
      </c>
      <c r="K956" s="84">
        <v>2560441.3000000003</v>
      </c>
      <c r="L956" s="84">
        <v>844394.3499999996</v>
      </c>
      <c r="M956" s="46" t="s">
        <v>148</v>
      </c>
      <c r="N956" s="46" t="s">
        <v>204</v>
      </c>
      <c r="O956" s="46" t="s">
        <v>146</v>
      </c>
      <c r="P956" s="46" t="s">
        <v>147</v>
      </c>
      <c r="Q956" s="46" t="str">
        <f t="shared" si="1"/>
        <v>February, 2013</v>
      </c>
      <c r="R956" s="115">
        <f t="shared" si="2"/>
        <v>41306</v>
      </c>
      <c r="S956" s="49">
        <f t="array" ref="S956">WEEKDAY(D956,2)</f>
        <v>3</v>
      </c>
      <c r="T956" s="46" t="s">
        <v>133</v>
      </c>
      <c r="U956" s="46" t="str">
        <f t="array" ref="U956">TEXT(D956,"dddd")</f>
        <v>Wednesday</v>
      </c>
    </row>
    <row r="957" hidden="1">
      <c r="A957" s="46">
        <v>7.24085128E8</v>
      </c>
      <c r="B957" s="137" t="s">
        <v>227</v>
      </c>
      <c r="C957" s="137">
        <v>2014.0</v>
      </c>
      <c r="D957" s="138">
        <v>41660.0</v>
      </c>
      <c r="E957" s="139">
        <v>41680.0</v>
      </c>
      <c r="F957" s="142" t="s">
        <v>228</v>
      </c>
      <c r="G957" s="142">
        <v>2014.0</v>
      </c>
      <c r="H957" s="46">
        <v>4594.0</v>
      </c>
      <c r="I957" s="46">
        <v>1735.0</v>
      </c>
      <c r="J957" s="84">
        <v>16187.55</v>
      </c>
      <c r="K957" s="84">
        <v>12006.2</v>
      </c>
      <c r="L957" s="84">
        <v>4181.3499999999985</v>
      </c>
      <c r="M957" s="46" t="s">
        <v>156</v>
      </c>
      <c r="N957" s="46" t="s">
        <v>168</v>
      </c>
      <c r="O957" s="46" t="s">
        <v>165</v>
      </c>
      <c r="P957" s="46" t="s">
        <v>166</v>
      </c>
      <c r="Q957" s="46" t="str">
        <f t="shared" si="1"/>
        <v>January, 2014</v>
      </c>
      <c r="R957" s="115">
        <f t="shared" si="2"/>
        <v>41640</v>
      </c>
      <c r="S957" s="49">
        <f t="array" ref="S957">WEEKDAY(D957,2)</f>
        <v>2</v>
      </c>
      <c r="T957" s="46" t="s">
        <v>102</v>
      </c>
      <c r="U957" s="46" t="str">
        <f t="array" ref="U957">TEXT(D957,"dddd")</f>
        <v>Tuesday</v>
      </c>
    </row>
    <row r="958" hidden="1">
      <c r="A958" s="46">
        <v>7.2622317E8</v>
      </c>
      <c r="B958" s="137" t="s">
        <v>220</v>
      </c>
      <c r="C958" s="137">
        <v>2015.0</v>
      </c>
      <c r="D958" s="138">
        <v>42182.0</v>
      </c>
      <c r="E958" s="139">
        <v>42216.0</v>
      </c>
      <c r="F958" s="142" t="s">
        <v>217</v>
      </c>
      <c r="G958" s="142">
        <v>2015.0</v>
      </c>
      <c r="H958" s="46">
        <v>7331.0</v>
      </c>
      <c r="I958" s="46">
        <v>4429.0</v>
      </c>
      <c r="J958" s="84">
        <v>1130635.12</v>
      </c>
      <c r="K958" s="84">
        <v>706071.1799999999</v>
      </c>
      <c r="L958" s="84">
        <v>424563.9400000002</v>
      </c>
      <c r="M958" s="46" t="s">
        <v>161</v>
      </c>
      <c r="N958" s="46" t="s">
        <v>193</v>
      </c>
      <c r="O958" s="46" t="s">
        <v>146</v>
      </c>
      <c r="P958" s="46" t="s">
        <v>158</v>
      </c>
      <c r="Q958" s="46" t="str">
        <f t="shared" si="1"/>
        <v>June, 2015</v>
      </c>
      <c r="R958" s="115">
        <f t="shared" si="2"/>
        <v>42156</v>
      </c>
      <c r="S958" s="49">
        <f t="array" ref="S958">WEEKDAY(D958,2)</f>
        <v>6</v>
      </c>
      <c r="T958" s="46" t="s">
        <v>122</v>
      </c>
      <c r="U958" s="46" t="str">
        <f t="array" ref="U958">TEXT(D958,"dddd")</f>
        <v>Saturday</v>
      </c>
    </row>
    <row r="959" hidden="1">
      <c r="A959" s="46">
        <v>7.27175891E8</v>
      </c>
      <c r="B959" s="137" t="s">
        <v>217</v>
      </c>
      <c r="C959" s="137">
        <v>2013.0</v>
      </c>
      <c r="D959" s="138">
        <v>41474.0</v>
      </c>
      <c r="E959" s="139">
        <v>41524.0</v>
      </c>
      <c r="F959" s="142" t="s">
        <v>221</v>
      </c>
      <c r="G959" s="142">
        <v>2013.0</v>
      </c>
      <c r="H959" s="46">
        <v>8875.0</v>
      </c>
      <c r="I959" s="46">
        <v>6360.0</v>
      </c>
      <c r="J959" s="84">
        <v>2683220.4</v>
      </c>
      <c r="K959" s="84">
        <v>2319428.4</v>
      </c>
      <c r="L959" s="84">
        <v>363792.0</v>
      </c>
      <c r="M959" s="46" t="s">
        <v>167</v>
      </c>
      <c r="N959" s="46" t="s">
        <v>197</v>
      </c>
      <c r="O959" s="46" t="s">
        <v>146</v>
      </c>
      <c r="P959" s="46" t="s">
        <v>147</v>
      </c>
      <c r="Q959" s="46" t="str">
        <f t="shared" si="1"/>
        <v>July, 2013</v>
      </c>
      <c r="R959" s="115">
        <f t="shared" si="2"/>
        <v>41456</v>
      </c>
      <c r="S959" s="49">
        <f t="array" ref="S959">WEEKDAY(D959,2)</f>
        <v>5</v>
      </c>
      <c r="T959" s="46" t="s">
        <v>126</v>
      </c>
      <c r="U959" s="46" t="str">
        <f t="array" ref="U959">TEXT(D959,"dddd")</f>
        <v>Friday</v>
      </c>
    </row>
    <row r="960" hidden="1">
      <c r="A960" s="46">
        <v>7.27426946E8</v>
      </c>
      <c r="B960" s="137" t="s">
        <v>225</v>
      </c>
      <c r="C960" s="137">
        <v>2013.0</v>
      </c>
      <c r="D960" s="138">
        <v>41623.0</v>
      </c>
      <c r="E960" s="139">
        <v>41673.0</v>
      </c>
      <c r="F960" s="142" t="s">
        <v>228</v>
      </c>
      <c r="G960" s="142">
        <v>2014.0</v>
      </c>
      <c r="H960" s="46">
        <v>5988.0</v>
      </c>
      <c r="I960" s="46">
        <v>653.0</v>
      </c>
      <c r="J960" s="84">
        <v>100601.18000000001</v>
      </c>
      <c r="K960" s="84">
        <v>59377.29</v>
      </c>
      <c r="L960" s="84">
        <v>41223.89000000001</v>
      </c>
      <c r="M960" s="46" t="s">
        <v>159</v>
      </c>
      <c r="N960" s="46" t="s">
        <v>199</v>
      </c>
      <c r="O960" s="46" t="s">
        <v>146</v>
      </c>
      <c r="P960" s="46" t="s">
        <v>147</v>
      </c>
      <c r="Q960" s="46" t="str">
        <f t="shared" si="1"/>
        <v>December, 2013</v>
      </c>
      <c r="R960" s="115">
        <f t="shared" si="2"/>
        <v>41609</v>
      </c>
      <c r="S960" s="49">
        <f t="array" ref="S960">WEEKDAY(D960,2)</f>
        <v>7</v>
      </c>
      <c r="T960" s="46" t="s">
        <v>128</v>
      </c>
      <c r="U960" s="46" t="str">
        <f t="array" ref="U960">TEXT(D960,"dddd")</f>
        <v>Sunday</v>
      </c>
    </row>
    <row r="961" hidden="1">
      <c r="A961" s="46">
        <v>7.27821767E8</v>
      </c>
      <c r="B961" s="137" t="s">
        <v>228</v>
      </c>
      <c r="C961" s="137">
        <v>2016.0</v>
      </c>
      <c r="D961" s="138">
        <v>42426.0</v>
      </c>
      <c r="E961" s="139">
        <v>42445.0</v>
      </c>
      <c r="F961" s="142" t="s">
        <v>222</v>
      </c>
      <c r="G961" s="142">
        <v>2016.0</v>
      </c>
      <c r="H961" s="46">
        <v>8293.0</v>
      </c>
      <c r="I961" s="46">
        <v>7489.0</v>
      </c>
      <c r="J961" s="84">
        <v>3274190.8</v>
      </c>
      <c r="K961" s="84">
        <v>1972078.3699999999</v>
      </c>
      <c r="L961" s="84">
        <v>1302112.43</v>
      </c>
      <c r="M961" s="46" t="s">
        <v>178</v>
      </c>
      <c r="N961" s="46" t="s">
        <v>199</v>
      </c>
      <c r="O961" s="46" t="s">
        <v>146</v>
      </c>
      <c r="P961" s="46" t="s">
        <v>147</v>
      </c>
      <c r="Q961" s="46" t="str">
        <f t="shared" si="1"/>
        <v>February, 2016</v>
      </c>
      <c r="R961" s="115">
        <f t="shared" si="2"/>
        <v>42401</v>
      </c>
      <c r="S961" s="49">
        <f t="array" ref="S961">WEEKDAY(D961,2)</f>
        <v>5</v>
      </c>
      <c r="T961" s="46" t="s">
        <v>128</v>
      </c>
      <c r="U961" s="46" t="str">
        <f t="array" ref="U961">TEXT(D961,"dddd")</f>
        <v>Friday</v>
      </c>
    </row>
    <row r="962" hidden="1">
      <c r="A962" s="46">
        <v>7.2799772E8</v>
      </c>
      <c r="B962" s="137" t="s">
        <v>217</v>
      </c>
      <c r="C962" s="137">
        <v>2014.0</v>
      </c>
      <c r="D962" s="138">
        <v>41822.0</v>
      </c>
      <c r="E962" s="139">
        <v>41839.0</v>
      </c>
      <c r="F962" s="142" t="s">
        <v>217</v>
      </c>
      <c r="G962" s="142">
        <v>2014.0</v>
      </c>
      <c r="H962" s="46">
        <v>5988.0</v>
      </c>
      <c r="I962" s="46">
        <v>9558.0</v>
      </c>
      <c r="J962" s="84">
        <v>1472505.48</v>
      </c>
      <c r="K962" s="84">
        <v>869108.9400000001</v>
      </c>
      <c r="L962" s="84">
        <v>603396.5399999999</v>
      </c>
      <c r="M962" s="46" t="s">
        <v>159</v>
      </c>
      <c r="N962" s="46" t="s">
        <v>175</v>
      </c>
      <c r="O962" s="46" t="s">
        <v>165</v>
      </c>
      <c r="P962" s="46" t="s">
        <v>166</v>
      </c>
      <c r="Q962" s="46" t="str">
        <f t="shared" si="1"/>
        <v>July, 2014</v>
      </c>
      <c r="R962" s="115">
        <f t="shared" si="2"/>
        <v>41821</v>
      </c>
      <c r="S962" s="49">
        <f t="array" ref="S962">WEEKDAY(D962,2)</f>
        <v>3</v>
      </c>
      <c r="T962" s="46" t="s">
        <v>108</v>
      </c>
      <c r="U962" s="46" t="str">
        <f t="array" ref="U962">TEXT(D962,"dddd")</f>
        <v>Wednesday</v>
      </c>
    </row>
    <row r="963" hidden="1">
      <c r="A963" s="46">
        <v>7.2879337E8</v>
      </c>
      <c r="B963" s="137" t="s">
        <v>220</v>
      </c>
      <c r="C963" s="137">
        <v>2011.0</v>
      </c>
      <c r="D963" s="138">
        <v>40721.0</v>
      </c>
      <c r="E963" s="139">
        <v>40767.0</v>
      </c>
      <c r="F963" s="142" t="s">
        <v>216</v>
      </c>
      <c r="G963" s="142">
        <v>2011.0</v>
      </c>
      <c r="H963" s="46">
        <v>8293.0</v>
      </c>
      <c r="I963" s="46">
        <v>5009.0</v>
      </c>
      <c r="J963" s="84">
        <v>2189934.8</v>
      </c>
      <c r="K963" s="84">
        <v>1319019.97</v>
      </c>
      <c r="L963" s="84">
        <v>870914.8299999998</v>
      </c>
      <c r="M963" s="46" t="s">
        <v>178</v>
      </c>
      <c r="N963" s="46" t="s">
        <v>202</v>
      </c>
      <c r="O963" s="46" t="s">
        <v>146</v>
      </c>
      <c r="P963" s="46" t="s">
        <v>147</v>
      </c>
      <c r="Q963" s="46" t="str">
        <f t="shared" si="1"/>
        <v>June, 2011</v>
      </c>
      <c r="R963" s="115">
        <f t="shared" si="2"/>
        <v>40695</v>
      </c>
      <c r="S963" s="49">
        <f t="array" ref="S963">WEEKDAY(D963,2)</f>
        <v>1</v>
      </c>
      <c r="T963" s="46" t="s">
        <v>131</v>
      </c>
      <c r="U963" s="46" t="str">
        <f t="array" ref="U963">TEXT(D963,"dddd")</f>
        <v>Monday</v>
      </c>
    </row>
    <row r="964" hidden="1">
      <c r="A964" s="46">
        <v>7.29373586E8</v>
      </c>
      <c r="B964" s="137" t="s">
        <v>220</v>
      </c>
      <c r="C964" s="137">
        <v>2014.0</v>
      </c>
      <c r="D964" s="138">
        <v>41805.0</v>
      </c>
      <c r="E964" s="139">
        <v>41825.0</v>
      </c>
      <c r="F964" s="142" t="s">
        <v>217</v>
      </c>
      <c r="G964" s="142">
        <v>2014.0</v>
      </c>
      <c r="H964" s="46">
        <v>8681.0</v>
      </c>
      <c r="I964" s="46">
        <v>6707.0</v>
      </c>
      <c r="J964" s="84">
        <v>4367665.470000001</v>
      </c>
      <c r="K964" s="84">
        <v>3520906.72</v>
      </c>
      <c r="L964" s="84">
        <v>846758.7500000005</v>
      </c>
      <c r="M964" s="46" t="s">
        <v>153</v>
      </c>
      <c r="N964" s="46" t="s">
        <v>198</v>
      </c>
      <c r="O964" s="46" t="s">
        <v>146</v>
      </c>
      <c r="P964" s="46" t="s">
        <v>170</v>
      </c>
      <c r="Q964" s="46" t="str">
        <f t="shared" si="1"/>
        <v>June, 2014</v>
      </c>
      <c r="R964" s="115">
        <f t="shared" si="2"/>
        <v>41791</v>
      </c>
      <c r="S964" s="49">
        <f t="array" ref="S964">WEEKDAY(D964,2)</f>
        <v>7</v>
      </c>
      <c r="T964" s="46" t="s">
        <v>127</v>
      </c>
      <c r="U964" s="46" t="str">
        <f t="array" ref="U964">TEXT(D964,"dddd")</f>
        <v>Sunday</v>
      </c>
    </row>
    <row r="965" hidden="1">
      <c r="A965" s="46">
        <v>7.30490243E8</v>
      </c>
      <c r="B965" s="137" t="s">
        <v>217</v>
      </c>
      <c r="C965" s="137">
        <v>2010.0</v>
      </c>
      <c r="D965" s="138">
        <v>40371.0</v>
      </c>
      <c r="E965" s="139">
        <v>40373.0</v>
      </c>
      <c r="F965" s="142" t="s">
        <v>217</v>
      </c>
      <c r="G965" s="142">
        <v>2010.0</v>
      </c>
      <c r="H965" s="46">
        <v>8875.0</v>
      </c>
      <c r="I965" s="46">
        <v>7151.0</v>
      </c>
      <c r="J965" s="84">
        <v>3016935.39</v>
      </c>
      <c r="K965" s="84">
        <v>2607898.19</v>
      </c>
      <c r="L965" s="84">
        <v>409037.2000000002</v>
      </c>
      <c r="M965" s="46" t="s">
        <v>167</v>
      </c>
      <c r="N965" s="46" t="s">
        <v>200</v>
      </c>
      <c r="O965" s="46" t="s">
        <v>146</v>
      </c>
      <c r="P965" s="46" t="s">
        <v>158</v>
      </c>
      <c r="Q965" s="46" t="str">
        <f t="shared" si="1"/>
        <v>July, 2010</v>
      </c>
      <c r="R965" s="115">
        <f t="shared" si="2"/>
        <v>40360</v>
      </c>
      <c r="S965" s="49">
        <f t="array" ref="S965">WEEKDAY(D965,2)</f>
        <v>1</v>
      </c>
      <c r="T965" s="46" t="s">
        <v>129</v>
      </c>
      <c r="U965" s="46" t="str">
        <f t="array" ref="U965">TEXT(D965,"dddd")</f>
        <v>Monday</v>
      </c>
    </row>
    <row r="966" hidden="1">
      <c r="A966" s="46">
        <v>7.32703387E8</v>
      </c>
      <c r="B966" s="137" t="s">
        <v>227</v>
      </c>
      <c r="C966" s="137">
        <v>2014.0</v>
      </c>
      <c r="D966" s="138">
        <v>41648.0</v>
      </c>
      <c r="E966" s="139">
        <v>41667.0</v>
      </c>
      <c r="F966" s="142" t="s">
        <v>227</v>
      </c>
      <c r="G966" s="142">
        <v>2014.0</v>
      </c>
      <c r="H966" s="46">
        <v>1270.0</v>
      </c>
      <c r="I966" s="46">
        <v>2069.0</v>
      </c>
      <c r="J966" s="84">
        <v>98174.05</v>
      </c>
      <c r="K966" s="84">
        <v>65773.51</v>
      </c>
      <c r="L966" s="84">
        <v>32400.540000000008</v>
      </c>
      <c r="M966" s="46" t="s">
        <v>152</v>
      </c>
      <c r="N966" s="46" t="s">
        <v>177</v>
      </c>
      <c r="O966" s="46" t="s">
        <v>146</v>
      </c>
      <c r="P966" s="46" t="s">
        <v>170</v>
      </c>
      <c r="Q966" s="46" t="str">
        <f t="shared" si="1"/>
        <v>January, 2014</v>
      </c>
      <c r="R966" s="115">
        <f t="shared" si="2"/>
        <v>41640</v>
      </c>
      <c r="S966" s="49">
        <f t="array" ref="S966">WEEKDAY(D966,2)</f>
        <v>4</v>
      </c>
      <c r="T966" s="46" t="s">
        <v>110</v>
      </c>
      <c r="U966" s="46" t="str">
        <f t="array" ref="U966">TEXT(D966,"dddd")</f>
        <v>Thursday</v>
      </c>
    </row>
    <row r="967" hidden="1">
      <c r="A967" s="46">
        <v>7.33636796E8</v>
      </c>
      <c r="B967" s="137" t="s">
        <v>216</v>
      </c>
      <c r="C967" s="137">
        <v>2012.0</v>
      </c>
      <c r="D967" s="138">
        <v>41141.0</v>
      </c>
      <c r="E967" s="139">
        <v>41167.0</v>
      </c>
      <c r="F967" s="142" t="s">
        <v>221</v>
      </c>
      <c r="G967" s="142">
        <v>2012.0</v>
      </c>
      <c r="H967" s="46">
        <v>8875.0</v>
      </c>
      <c r="I967" s="46">
        <v>8286.0</v>
      </c>
      <c r="J967" s="84">
        <v>3495780.54</v>
      </c>
      <c r="K967" s="84">
        <v>3021821.34</v>
      </c>
      <c r="L967" s="84">
        <v>473959.2000000002</v>
      </c>
      <c r="M967" s="46" t="s">
        <v>167</v>
      </c>
      <c r="N967" s="46" t="s">
        <v>181</v>
      </c>
      <c r="O967" s="46" t="s">
        <v>146</v>
      </c>
      <c r="P967" s="46" t="s">
        <v>155</v>
      </c>
      <c r="Q967" s="46" t="str">
        <f t="shared" si="1"/>
        <v>August, 2012</v>
      </c>
      <c r="R967" s="115">
        <f t="shared" si="2"/>
        <v>41122</v>
      </c>
      <c r="S967" s="49">
        <f t="array" ref="S967">WEEKDAY(D967,2)</f>
        <v>1</v>
      </c>
      <c r="T967" s="46" t="s">
        <v>113</v>
      </c>
      <c r="U967" s="46" t="str">
        <f t="array" ref="U967">TEXT(D967,"dddd")</f>
        <v>Monday</v>
      </c>
    </row>
    <row r="968" hidden="1">
      <c r="A968" s="46">
        <v>7.33648812E8</v>
      </c>
      <c r="B968" s="137" t="s">
        <v>225</v>
      </c>
      <c r="C968" s="137">
        <v>2012.0</v>
      </c>
      <c r="D968" s="138">
        <v>41261.0</v>
      </c>
      <c r="E968" s="139">
        <v>41267.0</v>
      </c>
      <c r="F968" s="142" t="s">
        <v>225</v>
      </c>
      <c r="G968" s="142">
        <v>2012.0</v>
      </c>
      <c r="H968" s="46">
        <v>2103.0</v>
      </c>
      <c r="I968" s="46">
        <v>1842.0</v>
      </c>
      <c r="J968" s="84">
        <v>378899.39999999997</v>
      </c>
      <c r="K968" s="84">
        <v>215716.62</v>
      </c>
      <c r="L968" s="84">
        <v>163182.77999999997</v>
      </c>
      <c r="M968" s="46" t="s">
        <v>144</v>
      </c>
      <c r="N968" s="46" t="s">
        <v>174</v>
      </c>
      <c r="O968" s="46" t="s">
        <v>146</v>
      </c>
      <c r="P968" s="46" t="s">
        <v>158</v>
      </c>
      <c r="Q968" s="46" t="str">
        <f t="shared" si="1"/>
        <v>December, 2012</v>
      </c>
      <c r="R968" s="115">
        <f t="shared" si="2"/>
        <v>41244</v>
      </c>
      <c r="S968" s="49">
        <f t="array" ref="S968">WEEKDAY(D968,2)</f>
        <v>2</v>
      </c>
      <c r="T968" s="46" t="s">
        <v>107</v>
      </c>
      <c r="U968" s="46" t="str">
        <f t="array" ref="U968">TEXT(D968,"dddd")</f>
        <v>Tuesday</v>
      </c>
    </row>
    <row r="969" hidden="1">
      <c r="A969" s="46">
        <v>7.34189975E8</v>
      </c>
      <c r="B969" s="137" t="s">
        <v>224</v>
      </c>
      <c r="C969" s="137">
        <v>2014.0</v>
      </c>
      <c r="D969" s="138">
        <v>41953.0</v>
      </c>
      <c r="E969" s="139">
        <v>41972.0</v>
      </c>
      <c r="F969" s="142" t="s">
        <v>224</v>
      </c>
      <c r="G969" s="142">
        <v>2014.0</v>
      </c>
      <c r="H969" s="46">
        <v>2103.0</v>
      </c>
      <c r="I969" s="46">
        <v>1984.0</v>
      </c>
      <c r="J969" s="84">
        <v>408108.8</v>
      </c>
      <c r="K969" s="84">
        <v>232346.24</v>
      </c>
      <c r="L969" s="84">
        <v>175762.56</v>
      </c>
      <c r="M969" s="46" t="s">
        <v>144</v>
      </c>
      <c r="N969" s="46" t="s">
        <v>163</v>
      </c>
      <c r="O969" s="46" t="s">
        <v>146</v>
      </c>
      <c r="P969" s="46" t="s">
        <v>158</v>
      </c>
      <c r="Q969" s="46" t="str">
        <f t="shared" si="1"/>
        <v>November, 2014</v>
      </c>
      <c r="R969" s="115">
        <f t="shared" si="2"/>
        <v>41944</v>
      </c>
      <c r="S969" s="49">
        <f t="array" ref="S969">WEEKDAY(D969,2)</f>
        <v>1</v>
      </c>
      <c r="T969" s="46" t="s">
        <v>100</v>
      </c>
      <c r="U969" s="46" t="str">
        <f t="array" ref="U969">TEXT(D969,"dddd")</f>
        <v>Monday</v>
      </c>
    </row>
    <row r="970" hidden="1">
      <c r="A970" s="46">
        <v>7.34318292E8</v>
      </c>
      <c r="B970" s="137" t="s">
        <v>227</v>
      </c>
      <c r="C970" s="137">
        <v>2014.0</v>
      </c>
      <c r="D970" s="138">
        <v>41660.0</v>
      </c>
      <c r="E970" s="139">
        <v>41702.0</v>
      </c>
      <c r="F970" s="142" t="s">
        <v>222</v>
      </c>
      <c r="G970" s="142">
        <v>2014.0</v>
      </c>
      <c r="H970" s="46">
        <v>8681.0</v>
      </c>
      <c r="I970" s="46">
        <v>9956.0</v>
      </c>
      <c r="J970" s="84">
        <v>6483446.760000001</v>
      </c>
      <c r="K970" s="84">
        <v>5226501.760000001</v>
      </c>
      <c r="L970" s="84">
        <v>1256945.0</v>
      </c>
      <c r="M970" s="46" t="s">
        <v>153</v>
      </c>
      <c r="N970" s="46" t="s">
        <v>186</v>
      </c>
      <c r="O970" s="46" t="s">
        <v>146</v>
      </c>
      <c r="P970" s="46" t="s">
        <v>147</v>
      </c>
      <c r="Q970" s="46" t="str">
        <f t="shared" si="1"/>
        <v>January, 2014</v>
      </c>
      <c r="R970" s="115">
        <f t="shared" si="2"/>
        <v>41640</v>
      </c>
      <c r="S970" s="49">
        <f t="array" ref="S970">WEEKDAY(D970,2)</f>
        <v>2</v>
      </c>
      <c r="T970" s="46" t="s">
        <v>115</v>
      </c>
      <c r="U970" s="46" t="str">
        <f t="array" ref="U970">TEXT(D970,"dddd")</f>
        <v>Tuesday</v>
      </c>
    </row>
    <row r="971" hidden="1">
      <c r="A971" s="46">
        <v>7.35445678E8</v>
      </c>
      <c r="B971" s="137" t="s">
        <v>217</v>
      </c>
      <c r="C971" s="137">
        <v>2011.0</v>
      </c>
      <c r="D971" s="138">
        <v>40729.0</v>
      </c>
      <c r="E971" s="139">
        <v>40746.0</v>
      </c>
      <c r="F971" s="142" t="s">
        <v>217</v>
      </c>
      <c r="G971" s="142">
        <v>2011.0</v>
      </c>
      <c r="H971" s="46">
        <v>1270.0</v>
      </c>
      <c r="I971" s="46">
        <v>3574.0</v>
      </c>
      <c r="J971" s="84">
        <v>169586.30000000002</v>
      </c>
      <c r="K971" s="84">
        <v>113617.45999999999</v>
      </c>
      <c r="L971" s="84">
        <v>55968.840000000026</v>
      </c>
      <c r="M971" s="46" t="s">
        <v>152</v>
      </c>
      <c r="N971" s="46" t="s">
        <v>173</v>
      </c>
      <c r="O971" s="46" t="s">
        <v>146</v>
      </c>
      <c r="P971" s="46" t="s">
        <v>155</v>
      </c>
      <c r="Q971" s="46" t="str">
        <f t="shared" si="1"/>
        <v>July, 2011</v>
      </c>
      <c r="R971" s="115">
        <f t="shared" si="2"/>
        <v>40725</v>
      </c>
      <c r="S971" s="49">
        <f t="array" ref="S971">WEEKDAY(D971,2)</f>
        <v>2</v>
      </c>
      <c r="T971" s="46" t="s">
        <v>106</v>
      </c>
      <c r="U971" s="46" t="str">
        <f t="array" ref="U971">TEXT(D971,"dddd")</f>
        <v>Tuesday</v>
      </c>
    </row>
    <row r="972" hidden="1">
      <c r="A972" s="46">
        <v>7.36240041E8</v>
      </c>
      <c r="B972" s="137" t="s">
        <v>228</v>
      </c>
      <c r="C972" s="137">
        <v>2017.0</v>
      </c>
      <c r="D972" s="138">
        <v>42777.0</v>
      </c>
      <c r="E972" s="139">
        <v>42786.0</v>
      </c>
      <c r="F972" s="142" t="s">
        <v>228</v>
      </c>
      <c r="G972" s="142">
        <v>2017.0</v>
      </c>
      <c r="H972" s="46">
        <v>7940.0</v>
      </c>
      <c r="I972" s="46">
        <v>8644.0</v>
      </c>
      <c r="J972" s="84">
        <v>5776525.88</v>
      </c>
      <c r="K972" s="84">
        <v>4343955.76</v>
      </c>
      <c r="L972" s="84">
        <v>1432570.12</v>
      </c>
      <c r="M972" s="46" t="s">
        <v>148</v>
      </c>
      <c r="N972" s="46" t="s">
        <v>171</v>
      </c>
      <c r="O972" s="46" t="s">
        <v>146</v>
      </c>
      <c r="P972" s="46" t="s">
        <v>147</v>
      </c>
      <c r="Q972" s="46" t="str">
        <f t="shared" si="1"/>
        <v>February, 2017</v>
      </c>
      <c r="R972" s="115">
        <f t="shared" si="2"/>
        <v>42767</v>
      </c>
      <c r="S972" s="49">
        <f t="array" ref="S972">WEEKDAY(D972,2)</f>
        <v>6</v>
      </c>
      <c r="T972" s="46" t="s">
        <v>104</v>
      </c>
      <c r="U972" s="46" t="str">
        <f t="array" ref="U972">TEXT(D972,"dddd")</f>
        <v>Saturday</v>
      </c>
    </row>
    <row r="973" hidden="1">
      <c r="A973" s="46">
        <v>7.37095344E8</v>
      </c>
      <c r="B973" s="137" t="s">
        <v>217</v>
      </c>
      <c r="C973" s="137">
        <v>2013.0</v>
      </c>
      <c r="D973" s="138">
        <v>41486.0</v>
      </c>
      <c r="E973" s="139">
        <v>41530.0</v>
      </c>
      <c r="F973" s="142" t="s">
        <v>221</v>
      </c>
      <c r="G973" s="142">
        <v>2013.0</v>
      </c>
      <c r="H973" s="46">
        <v>8969.0</v>
      </c>
      <c r="I973" s="46">
        <v>1747.0</v>
      </c>
      <c r="J973" s="84">
        <v>266557.26</v>
      </c>
      <c r="K973" s="84">
        <v>170227.68</v>
      </c>
      <c r="L973" s="84">
        <v>96329.58000000002</v>
      </c>
      <c r="M973" s="46" t="s">
        <v>182</v>
      </c>
      <c r="N973" s="46" t="s">
        <v>164</v>
      </c>
      <c r="O973" s="46" t="s">
        <v>165</v>
      </c>
      <c r="P973" s="46" t="s">
        <v>166</v>
      </c>
      <c r="Q973" s="46" t="str">
        <f t="shared" si="1"/>
        <v>July, 2013</v>
      </c>
      <c r="R973" s="115">
        <f t="shared" si="2"/>
        <v>41456</v>
      </c>
      <c r="S973" s="49">
        <f t="array" ref="S973">WEEKDAY(D973,2)</f>
        <v>3</v>
      </c>
      <c r="T973" s="46" t="s">
        <v>101</v>
      </c>
      <c r="U973" s="46" t="str">
        <f t="array" ref="U973">TEXT(D973,"dddd")</f>
        <v>Wednesday</v>
      </c>
    </row>
    <row r="974" hidden="1">
      <c r="A974" s="46">
        <v>7.3773607E8</v>
      </c>
      <c r="B974" s="137" t="s">
        <v>226</v>
      </c>
      <c r="C974" s="137">
        <v>2012.0</v>
      </c>
      <c r="D974" s="138">
        <v>41201.0</v>
      </c>
      <c r="E974" s="139">
        <v>41216.0</v>
      </c>
      <c r="F974" s="142" t="s">
        <v>224</v>
      </c>
      <c r="G974" s="142">
        <v>2012.0</v>
      </c>
      <c r="H974" s="46">
        <v>2103.0</v>
      </c>
      <c r="I974" s="46">
        <v>1352.0</v>
      </c>
      <c r="J974" s="84">
        <v>278106.39999999997</v>
      </c>
      <c r="K974" s="84">
        <v>158332.72</v>
      </c>
      <c r="L974" s="84">
        <v>119773.67999999996</v>
      </c>
      <c r="M974" s="46" t="s">
        <v>144</v>
      </c>
      <c r="N974" s="46" t="s">
        <v>203</v>
      </c>
      <c r="O974" s="46" t="s">
        <v>146</v>
      </c>
      <c r="P974" s="46" t="s">
        <v>170</v>
      </c>
      <c r="Q974" s="46" t="str">
        <f t="shared" si="1"/>
        <v>October, 2012</v>
      </c>
      <c r="R974" s="115">
        <f t="shared" si="2"/>
        <v>41183</v>
      </c>
      <c r="S974" s="49">
        <f t="array" ref="S974">WEEKDAY(D974,2)</f>
        <v>5</v>
      </c>
      <c r="T974" s="46" t="s">
        <v>132</v>
      </c>
      <c r="U974" s="46" t="str">
        <f t="array" ref="U974">TEXT(D974,"dddd")</f>
        <v>Friday</v>
      </c>
    </row>
    <row r="975" hidden="1">
      <c r="A975" s="46">
        <v>7.40300261E8</v>
      </c>
      <c r="B975" s="137" t="s">
        <v>222</v>
      </c>
      <c r="C975" s="137">
        <v>2016.0</v>
      </c>
      <c r="D975" s="138">
        <v>42446.0</v>
      </c>
      <c r="E975" s="139">
        <v>42483.0</v>
      </c>
      <c r="F975" s="142" t="s">
        <v>223</v>
      </c>
      <c r="G975" s="142">
        <v>2016.0</v>
      </c>
      <c r="H975" s="46">
        <v>7331.0</v>
      </c>
      <c r="I975" s="46">
        <v>153.0</v>
      </c>
      <c r="J975" s="84">
        <v>39057.840000000004</v>
      </c>
      <c r="K975" s="84">
        <v>24391.26</v>
      </c>
      <c r="L975" s="84">
        <v>14666.580000000005</v>
      </c>
      <c r="M975" s="46" t="s">
        <v>161</v>
      </c>
      <c r="N975" s="46" t="s">
        <v>175</v>
      </c>
      <c r="O975" s="46" t="s">
        <v>165</v>
      </c>
      <c r="P975" s="46" t="s">
        <v>166</v>
      </c>
      <c r="Q975" s="46" t="str">
        <f t="shared" si="1"/>
        <v>March, 2016</v>
      </c>
      <c r="R975" s="115">
        <f t="shared" si="2"/>
        <v>42430</v>
      </c>
      <c r="S975" s="49">
        <f t="array" ref="S975">WEEKDAY(D975,2)</f>
        <v>4</v>
      </c>
      <c r="T975" s="46" t="s">
        <v>108</v>
      </c>
      <c r="U975" s="46" t="str">
        <f t="array" ref="U975">TEXT(D975,"dddd")</f>
        <v>Thursday</v>
      </c>
    </row>
    <row r="976" hidden="1">
      <c r="A976" s="46">
        <v>7.41690289E8</v>
      </c>
      <c r="B976" s="137" t="s">
        <v>222</v>
      </c>
      <c r="C976" s="137">
        <v>2012.0</v>
      </c>
      <c r="D976" s="138">
        <v>40991.0</v>
      </c>
      <c r="E976" s="139">
        <v>41039.0</v>
      </c>
      <c r="F976" s="142" t="s">
        <v>219</v>
      </c>
      <c r="G976" s="142">
        <v>2012.0</v>
      </c>
      <c r="H976" s="46">
        <v>8875.0</v>
      </c>
      <c r="I976" s="46">
        <v>1494.0</v>
      </c>
      <c r="J976" s="84">
        <v>630303.66</v>
      </c>
      <c r="K976" s="84">
        <v>544846.86</v>
      </c>
      <c r="L976" s="84">
        <v>85456.80000000005</v>
      </c>
      <c r="M976" s="46" t="s">
        <v>167</v>
      </c>
      <c r="N976" s="46" t="s">
        <v>172</v>
      </c>
      <c r="O976" s="46" t="s">
        <v>146</v>
      </c>
      <c r="P976" s="46" t="s">
        <v>155</v>
      </c>
      <c r="Q976" s="46" t="str">
        <f t="shared" si="1"/>
        <v>March, 2012</v>
      </c>
      <c r="R976" s="115">
        <f t="shared" si="2"/>
        <v>40969</v>
      </c>
      <c r="S976" s="49">
        <f t="array" ref="S976">WEEKDAY(D976,2)</f>
        <v>5</v>
      </c>
      <c r="T976" s="46" t="s">
        <v>105</v>
      </c>
      <c r="U976" s="46" t="str">
        <f t="array" ref="U976">TEXT(D976,"dddd")</f>
        <v>Friday</v>
      </c>
    </row>
    <row r="977" hidden="1">
      <c r="A977" s="46">
        <v>7.41866242E8</v>
      </c>
      <c r="B977" s="137" t="s">
        <v>217</v>
      </c>
      <c r="C977" s="137">
        <v>2010.0</v>
      </c>
      <c r="D977" s="138">
        <v>40387.0</v>
      </c>
      <c r="E977" s="139">
        <v>40434.0</v>
      </c>
      <c r="F977" s="142" t="s">
        <v>221</v>
      </c>
      <c r="G977" s="142">
        <v>2010.0</v>
      </c>
      <c r="H977" s="46">
        <v>7940.0</v>
      </c>
      <c r="I977" s="46">
        <v>3562.0</v>
      </c>
      <c r="J977" s="84">
        <v>2380377.7399999998</v>
      </c>
      <c r="K977" s="84">
        <v>1790047.48</v>
      </c>
      <c r="L977" s="84">
        <v>590330.2599999998</v>
      </c>
      <c r="M977" s="46" t="s">
        <v>148</v>
      </c>
      <c r="N977" s="46" t="s">
        <v>181</v>
      </c>
      <c r="O977" s="46" t="s">
        <v>146</v>
      </c>
      <c r="P977" s="46" t="s">
        <v>155</v>
      </c>
      <c r="Q977" s="46" t="str">
        <f t="shared" si="1"/>
        <v>July, 2010</v>
      </c>
      <c r="R977" s="115">
        <f t="shared" si="2"/>
        <v>40360</v>
      </c>
      <c r="S977" s="49">
        <f t="array" ref="S977">WEEKDAY(D977,2)</f>
        <v>3</v>
      </c>
      <c r="T977" s="46" t="s">
        <v>113</v>
      </c>
      <c r="U977" s="46" t="str">
        <f t="array" ref="U977">TEXT(D977,"dddd")</f>
        <v>Wednesday</v>
      </c>
    </row>
    <row r="978" hidden="1">
      <c r="A978" s="46">
        <v>7.41964948E8</v>
      </c>
      <c r="B978" s="137" t="s">
        <v>228</v>
      </c>
      <c r="C978" s="137">
        <v>2011.0</v>
      </c>
      <c r="D978" s="138">
        <v>40587.0</v>
      </c>
      <c r="E978" s="139">
        <v>40600.0</v>
      </c>
      <c r="F978" s="142" t="s">
        <v>228</v>
      </c>
      <c r="G978" s="142">
        <v>2011.0</v>
      </c>
      <c r="H978" s="46">
        <v>2103.0</v>
      </c>
      <c r="I978" s="46">
        <v>2771.0</v>
      </c>
      <c r="J978" s="84">
        <v>569994.7</v>
      </c>
      <c r="K978" s="84">
        <v>324511.81</v>
      </c>
      <c r="L978" s="84">
        <v>245482.88999999996</v>
      </c>
      <c r="M978" s="46" t="s">
        <v>144</v>
      </c>
      <c r="N978" s="46" t="s">
        <v>181</v>
      </c>
      <c r="O978" s="46" t="s">
        <v>146</v>
      </c>
      <c r="P978" s="46" t="s">
        <v>155</v>
      </c>
      <c r="Q978" s="46" t="str">
        <f t="shared" si="1"/>
        <v>February, 2011</v>
      </c>
      <c r="R978" s="115">
        <f t="shared" si="2"/>
        <v>40575</v>
      </c>
      <c r="S978" s="49">
        <f t="array" ref="S978">WEEKDAY(D978,2)</f>
        <v>7</v>
      </c>
      <c r="T978" s="46" t="s">
        <v>113</v>
      </c>
      <c r="U978" s="46" t="str">
        <f t="array" ref="U978">TEXT(D978,"dddd")</f>
        <v>Sunday</v>
      </c>
    </row>
    <row r="979" hidden="1">
      <c r="A979" s="46">
        <v>7.4210056E8</v>
      </c>
      <c r="B979" s="137" t="s">
        <v>227</v>
      </c>
      <c r="C979" s="137">
        <v>2017.0</v>
      </c>
      <c r="D979" s="138">
        <v>42739.0</v>
      </c>
      <c r="E979" s="139">
        <v>42752.0</v>
      </c>
      <c r="F979" s="142" t="s">
        <v>227</v>
      </c>
      <c r="G979" s="142">
        <v>2017.0</v>
      </c>
      <c r="H979" s="46">
        <v>8969.0</v>
      </c>
      <c r="I979" s="46">
        <v>2902.0</v>
      </c>
      <c r="J979" s="84">
        <v>442787.16000000003</v>
      </c>
      <c r="K979" s="84">
        <v>282770.88</v>
      </c>
      <c r="L979" s="84">
        <v>160016.28000000003</v>
      </c>
      <c r="M979" s="46" t="s">
        <v>182</v>
      </c>
      <c r="N979" s="46" t="s">
        <v>191</v>
      </c>
      <c r="O979" s="46" t="s">
        <v>146</v>
      </c>
      <c r="P979" s="46" t="s">
        <v>147</v>
      </c>
      <c r="Q979" s="46" t="str">
        <f t="shared" si="1"/>
        <v>January, 2017</v>
      </c>
      <c r="R979" s="115">
        <f t="shared" si="2"/>
        <v>42736</v>
      </c>
      <c r="S979" s="49">
        <f t="array" ref="S979">WEEKDAY(D979,2)</f>
        <v>3</v>
      </c>
      <c r="T979" s="46" t="s">
        <v>120</v>
      </c>
      <c r="U979" s="46" t="str">
        <f t="array" ref="U979">TEXT(D979,"dddd")</f>
        <v>Wednesday</v>
      </c>
    </row>
    <row r="980" hidden="1">
      <c r="A980" s="46">
        <v>7.42569196E8</v>
      </c>
      <c r="B980" s="137" t="s">
        <v>221</v>
      </c>
      <c r="C980" s="137">
        <v>2014.0</v>
      </c>
      <c r="D980" s="138">
        <v>41912.0</v>
      </c>
      <c r="E980" s="139">
        <v>41960.0</v>
      </c>
      <c r="F980" s="142" t="s">
        <v>224</v>
      </c>
      <c r="G980" s="142">
        <v>2014.0</v>
      </c>
      <c r="H980" s="46">
        <v>5988.0</v>
      </c>
      <c r="I980" s="46">
        <v>1581.0</v>
      </c>
      <c r="J980" s="84">
        <v>243568.86000000002</v>
      </c>
      <c r="K980" s="84">
        <v>143760.33000000002</v>
      </c>
      <c r="L980" s="84">
        <v>99808.53</v>
      </c>
      <c r="M980" s="46" t="s">
        <v>159</v>
      </c>
      <c r="N980" s="46" t="s">
        <v>174</v>
      </c>
      <c r="O980" s="46" t="s">
        <v>146</v>
      </c>
      <c r="P980" s="46" t="s">
        <v>158</v>
      </c>
      <c r="Q980" s="46" t="str">
        <f t="shared" si="1"/>
        <v>September, 2014</v>
      </c>
      <c r="R980" s="115">
        <f t="shared" si="2"/>
        <v>41883</v>
      </c>
      <c r="S980" s="49">
        <f t="array" ref="S980">WEEKDAY(D980,2)</f>
        <v>2</v>
      </c>
      <c r="T980" s="46" t="s">
        <v>107</v>
      </c>
      <c r="U980" s="46" t="str">
        <f t="array" ref="U980">TEXT(D980,"dddd")</f>
        <v>Tuesday</v>
      </c>
    </row>
    <row r="981" hidden="1">
      <c r="A981" s="46">
        <v>7.42843854E8</v>
      </c>
      <c r="B981" s="137" t="s">
        <v>216</v>
      </c>
      <c r="C981" s="137">
        <v>2013.0</v>
      </c>
      <c r="D981" s="138">
        <v>41508.0</v>
      </c>
      <c r="E981" s="139">
        <v>41521.0</v>
      </c>
      <c r="F981" s="142" t="s">
        <v>221</v>
      </c>
      <c r="G981" s="142">
        <v>2013.0</v>
      </c>
      <c r="H981" s="46">
        <v>1270.0</v>
      </c>
      <c r="I981" s="46">
        <v>2859.0</v>
      </c>
      <c r="J981" s="84">
        <v>135659.55000000002</v>
      </c>
      <c r="K981" s="84">
        <v>90887.61</v>
      </c>
      <c r="L981" s="84">
        <v>44771.94000000002</v>
      </c>
      <c r="M981" s="46" t="s">
        <v>152</v>
      </c>
      <c r="N981" s="46" t="s">
        <v>173</v>
      </c>
      <c r="O981" s="46" t="s">
        <v>146</v>
      </c>
      <c r="P981" s="46" t="s">
        <v>155</v>
      </c>
      <c r="Q981" s="46" t="str">
        <f t="shared" si="1"/>
        <v>August, 2013</v>
      </c>
      <c r="R981" s="115">
        <f t="shared" si="2"/>
        <v>41487</v>
      </c>
      <c r="S981" s="49">
        <f t="array" ref="S981">WEEKDAY(D981,2)</f>
        <v>4</v>
      </c>
      <c r="T981" s="46" t="s">
        <v>106</v>
      </c>
      <c r="U981" s="46" t="str">
        <f t="array" ref="U981">TEXT(D981,"dddd")</f>
        <v>Thursday</v>
      </c>
    </row>
    <row r="982" hidden="1">
      <c r="A982" s="46">
        <v>7.43619334E8</v>
      </c>
      <c r="B982" s="137" t="s">
        <v>219</v>
      </c>
      <c r="C982" s="137">
        <v>2014.0</v>
      </c>
      <c r="D982" s="138">
        <v>41786.0</v>
      </c>
      <c r="E982" s="139">
        <v>41829.0</v>
      </c>
      <c r="F982" s="142" t="s">
        <v>217</v>
      </c>
      <c r="G982" s="142">
        <v>2014.0</v>
      </c>
      <c r="H982" s="46">
        <v>8293.0</v>
      </c>
      <c r="I982" s="46">
        <v>2341.0</v>
      </c>
      <c r="J982" s="84">
        <v>1023485.2</v>
      </c>
      <c r="K982" s="84">
        <v>616455.5299999999</v>
      </c>
      <c r="L982" s="84">
        <v>407029.67000000004</v>
      </c>
      <c r="M982" s="46" t="s">
        <v>178</v>
      </c>
      <c r="N982" s="46" t="s">
        <v>194</v>
      </c>
      <c r="O982" s="46" t="s">
        <v>146</v>
      </c>
      <c r="P982" s="46" t="s">
        <v>155</v>
      </c>
      <c r="Q982" s="46" t="str">
        <f t="shared" si="1"/>
        <v>May, 2014</v>
      </c>
      <c r="R982" s="115">
        <f t="shared" si="2"/>
        <v>41760</v>
      </c>
      <c r="S982" s="49">
        <f t="array" ref="S982">WEEKDAY(D982,2)</f>
        <v>2</v>
      </c>
      <c r="T982" s="46" t="s">
        <v>123</v>
      </c>
      <c r="U982" s="46" t="str">
        <f t="array" ref="U982">TEXT(D982,"dddd")</f>
        <v>Tuesday</v>
      </c>
    </row>
    <row r="983" hidden="1">
      <c r="A983" s="46">
        <v>7.43769109E8</v>
      </c>
      <c r="B983" s="137" t="s">
        <v>219</v>
      </c>
      <c r="C983" s="137">
        <v>2016.0</v>
      </c>
      <c r="D983" s="138">
        <v>42500.0</v>
      </c>
      <c r="E983" s="139">
        <v>42501.0</v>
      </c>
      <c r="F983" s="142" t="s">
        <v>219</v>
      </c>
      <c r="G983" s="142">
        <v>2016.0</v>
      </c>
      <c r="H983" s="46">
        <v>5988.0</v>
      </c>
      <c r="I983" s="46">
        <v>6662.0</v>
      </c>
      <c r="J983" s="84">
        <v>1026347.72</v>
      </c>
      <c r="K983" s="84">
        <v>605775.66</v>
      </c>
      <c r="L983" s="84">
        <v>420572.05999999994</v>
      </c>
      <c r="M983" s="46" t="s">
        <v>159</v>
      </c>
      <c r="N983" s="46" t="s">
        <v>180</v>
      </c>
      <c r="O983" s="46" t="s">
        <v>146</v>
      </c>
      <c r="P983" s="46" t="s">
        <v>147</v>
      </c>
      <c r="Q983" s="46" t="str">
        <f t="shared" si="1"/>
        <v>May, 2016</v>
      </c>
      <c r="R983" s="115">
        <f t="shared" si="2"/>
        <v>42491</v>
      </c>
      <c r="S983" s="49">
        <f t="array" ref="S983">WEEKDAY(D983,2)</f>
        <v>2</v>
      </c>
      <c r="T983" s="46" t="s">
        <v>112</v>
      </c>
      <c r="U983" s="46" t="str">
        <f t="array" ref="U983">TEXT(D983,"dddd")</f>
        <v>Tuesday</v>
      </c>
    </row>
    <row r="984" hidden="1">
      <c r="A984" s="46">
        <v>7.44583642E8</v>
      </c>
      <c r="B984" s="137" t="s">
        <v>216</v>
      </c>
      <c r="C984" s="137">
        <v>2010.0</v>
      </c>
      <c r="D984" s="138">
        <v>40404.0</v>
      </c>
      <c r="E984" s="139">
        <v>40447.0</v>
      </c>
      <c r="F984" s="142" t="s">
        <v>221</v>
      </c>
      <c r="G984" s="142">
        <v>2010.0</v>
      </c>
      <c r="H984" s="46">
        <v>2455.0</v>
      </c>
      <c r="I984" s="46">
        <v>7701.0</v>
      </c>
      <c r="J984" s="84">
        <v>841565.28</v>
      </c>
      <c r="K984" s="84">
        <v>276003.84</v>
      </c>
      <c r="L984" s="84">
        <v>565561.44</v>
      </c>
      <c r="M984" s="46" t="s">
        <v>150</v>
      </c>
      <c r="N984" s="46" t="s">
        <v>160</v>
      </c>
      <c r="O984" s="46" t="s">
        <v>146</v>
      </c>
      <c r="P984" s="46" t="s">
        <v>147</v>
      </c>
      <c r="Q984" s="46" t="str">
        <f t="shared" si="1"/>
        <v>August, 2010</v>
      </c>
      <c r="R984" s="115">
        <f t="shared" si="2"/>
        <v>40391</v>
      </c>
      <c r="S984" s="49">
        <f t="array" ref="S984">WEEKDAY(D984,2)</f>
        <v>6</v>
      </c>
      <c r="T984" s="46" t="s">
        <v>98</v>
      </c>
      <c r="U984" s="46" t="str">
        <f t="array" ref="U984">TEXT(D984,"dddd")</f>
        <v>Saturday</v>
      </c>
    </row>
    <row r="985" hidden="1">
      <c r="A985" s="46">
        <v>7.44683635E8</v>
      </c>
      <c r="B985" s="137" t="s">
        <v>228</v>
      </c>
      <c r="C985" s="137">
        <v>2010.0</v>
      </c>
      <c r="D985" s="138">
        <v>40222.0</v>
      </c>
      <c r="E985" s="139">
        <v>40269.0</v>
      </c>
      <c r="F985" s="142" t="s">
        <v>223</v>
      </c>
      <c r="G985" s="142">
        <v>2010.0</v>
      </c>
      <c r="H985" s="46">
        <v>5988.0</v>
      </c>
      <c r="I985" s="46">
        <v>7291.0</v>
      </c>
      <c r="J985" s="84">
        <v>1123251.46</v>
      </c>
      <c r="K985" s="84">
        <v>662970.63</v>
      </c>
      <c r="L985" s="84">
        <v>460280.82999999996</v>
      </c>
      <c r="M985" s="46" t="s">
        <v>159</v>
      </c>
      <c r="N985" s="46" t="s">
        <v>174</v>
      </c>
      <c r="O985" s="46" t="s">
        <v>146</v>
      </c>
      <c r="P985" s="46" t="s">
        <v>158</v>
      </c>
      <c r="Q985" s="46" t="str">
        <f t="shared" si="1"/>
        <v>February, 2010</v>
      </c>
      <c r="R985" s="115">
        <f t="shared" si="2"/>
        <v>40210</v>
      </c>
      <c r="S985" s="49">
        <f t="array" ref="S985">WEEKDAY(D985,2)</f>
        <v>6</v>
      </c>
      <c r="T985" s="46" t="s">
        <v>107</v>
      </c>
      <c r="U985" s="46" t="str">
        <f t="array" ref="U985">TEXT(D985,"dddd")</f>
        <v>Saturday</v>
      </c>
    </row>
    <row r="986" hidden="1">
      <c r="A986" s="46">
        <v>7.45467269E8</v>
      </c>
      <c r="B986" s="137" t="s">
        <v>219</v>
      </c>
      <c r="C986" s="137">
        <v>2014.0</v>
      </c>
      <c r="D986" s="138">
        <v>41767.0</v>
      </c>
      <c r="E986" s="139">
        <v>41813.0</v>
      </c>
      <c r="F986" s="142" t="s">
        <v>220</v>
      </c>
      <c r="G986" s="142">
        <v>2014.0</v>
      </c>
      <c r="H986" s="46">
        <v>2455.0</v>
      </c>
      <c r="I986" s="46">
        <v>9186.0</v>
      </c>
      <c r="J986" s="84">
        <v>1003846.08</v>
      </c>
      <c r="K986" s="84">
        <v>329226.24000000005</v>
      </c>
      <c r="L986" s="84">
        <v>674619.8399999999</v>
      </c>
      <c r="M986" s="46" t="s">
        <v>150</v>
      </c>
      <c r="N986" s="46" t="s">
        <v>179</v>
      </c>
      <c r="O986" s="46" t="s">
        <v>146</v>
      </c>
      <c r="P986" s="46" t="s">
        <v>155</v>
      </c>
      <c r="Q986" s="46" t="str">
        <f t="shared" si="1"/>
        <v>May, 2014</v>
      </c>
      <c r="R986" s="115">
        <f t="shared" si="2"/>
        <v>41760</v>
      </c>
      <c r="S986" s="49">
        <f t="array" ref="S986">WEEKDAY(D986,2)</f>
        <v>4</v>
      </c>
      <c r="T986" s="46" t="s">
        <v>111</v>
      </c>
      <c r="U986" s="46" t="str">
        <f t="array" ref="U986">TEXT(D986,"dddd")</f>
        <v>Thursday</v>
      </c>
    </row>
    <row r="987" hidden="1">
      <c r="A987" s="46">
        <v>7.46563756E8</v>
      </c>
      <c r="B987" s="137" t="s">
        <v>222</v>
      </c>
      <c r="C987" s="137">
        <v>2014.0</v>
      </c>
      <c r="D987" s="138">
        <v>41712.0</v>
      </c>
      <c r="E987" s="139">
        <v>41741.0</v>
      </c>
      <c r="F987" s="142" t="s">
        <v>223</v>
      </c>
      <c r="G987" s="142">
        <v>2014.0</v>
      </c>
      <c r="H987" s="46">
        <v>8293.0</v>
      </c>
      <c r="I987" s="46">
        <v>3661.0</v>
      </c>
      <c r="J987" s="84">
        <v>1600589.2</v>
      </c>
      <c r="K987" s="84">
        <v>964051.1299999999</v>
      </c>
      <c r="L987" s="84">
        <v>636538.0700000001</v>
      </c>
      <c r="M987" s="46" t="s">
        <v>178</v>
      </c>
      <c r="N987" s="46" t="s">
        <v>183</v>
      </c>
      <c r="O987" s="46" t="s">
        <v>146</v>
      </c>
      <c r="P987" s="46" t="s">
        <v>170</v>
      </c>
      <c r="Q987" s="46" t="str">
        <f t="shared" si="1"/>
        <v>March, 2014</v>
      </c>
      <c r="R987" s="115">
        <f t="shared" si="2"/>
        <v>41699</v>
      </c>
      <c r="S987" s="49">
        <f t="array" ref="S987">WEEKDAY(D987,2)</f>
        <v>5</v>
      </c>
      <c r="T987" s="46" t="s">
        <v>90</v>
      </c>
      <c r="U987" s="46" t="str">
        <f t="array" ref="U987">TEXT(D987,"dddd")</f>
        <v>Friday</v>
      </c>
    </row>
    <row r="988" hidden="1">
      <c r="A988" s="46">
        <v>7.4732722E8</v>
      </c>
      <c r="B988" s="137" t="s">
        <v>216</v>
      </c>
      <c r="C988" s="137">
        <v>2014.0</v>
      </c>
      <c r="D988" s="138">
        <v>41869.0</v>
      </c>
      <c r="E988" s="139">
        <v>41897.0</v>
      </c>
      <c r="F988" s="142" t="s">
        <v>221</v>
      </c>
      <c r="G988" s="142">
        <v>2014.0</v>
      </c>
      <c r="H988" s="46">
        <v>8969.0</v>
      </c>
      <c r="I988" s="46">
        <v>9587.0</v>
      </c>
      <c r="J988" s="84">
        <v>1462784.4600000002</v>
      </c>
      <c r="K988" s="84">
        <v>934157.28</v>
      </c>
      <c r="L988" s="84">
        <v>528627.1800000002</v>
      </c>
      <c r="M988" s="46" t="s">
        <v>182</v>
      </c>
      <c r="N988" s="46" t="s">
        <v>172</v>
      </c>
      <c r="O988" s="46" t="s">
        <v>146</v>
      </c>
      <c r="P988" s="46" t="s">
        <v>155</v>
      </c>
      <c r="Q988" s="46" t="str">
        <f t="shared" si="1"/>
        <v>August, 2014</v>
      </c>
      <c r="R988" s="115">
        <f t="shared" si="2"/>
        <v>41852</v>
      </c>
      <c r="S988" s="49">
        <f t="array" ref="S988">WEEKDAY(D988,2)</f>
        <v>1</v>
      </c>
      <c r="T988" s="46" t="s">
        <v>105</v>
      </c>
      <c r="U988" s="46" t="str">
        <f t="array" ref="U988">TEXT(D988,"dddd")</f>
        <v>Monday</v>
      </c>
    </row>
    <row r="989" hidden="1">
      <c r="A989" s="46">
        <v>7.47774398E8</v>
      </c>
      <c r="B989" s="137" t="s">
        <v>222</v>
      </c>
      <c r="C989" s="137">
        <v>2017.0</v>
      </c>
      <c r="D989" s="138">
        <v>42802.0</v>
      </c>
      <c r="E989" s="139">
        <v>42828.0</v>
      </c>
      <c r="F989" s="142" t="s">
        <v>223</v>
      </c>
      <c r="G989" s="142">
        <v>2017.0</v>
      </c>
      <c r="H989" s="46">
        <v>8875.0</v>
      </c>
      <c r="I989" s="46">
        <v>1916.0</v>
      </c>
      <c r="J989" s="84">
        <v>808341.24</v>
      </c>
      <c r="K989" s="84">
        <v>698746.04</v>
      </c>
      <c r="L989" s="84">
        <v>109595.19999999995</v>
      </c>
      <c r="M989" s="46" t="s">
        <v>167</v>
      </c>
      <c r="N989" s="46" t="s">
        <v>192</v>
      </c>
      <c r="O989" s="46" t="s">
        <v>146</v>
      </c>
      <c r="P989" s="46" t="s">
        <v>158</v>
      </c>
      <c r="Q989" s="46" t="str">
        <f t="shared" si="1"/>
        <v>March, 2017</v>
      </c>
      <c r="R989" s="115">
        <f t="shared" si="2"/>
        <v>42795</v>
      </c>
      <c r="S989" s="49">
        <f t="array" ref="S989">WEEKDAY(D989,2)</f>
        <v>3</v>
      </c>
      <c r="T989" s="46" t="s">
        <v>121</v>
      </c>
      <c r="U989" s="46" t="str">
        <f t="array" ref="U989">TEXT(D989,"dddd")</f>
        <v>Wednesday</v>
      </c>
    </row>
    <row r="990" hidden="1">
      <c r="A990" s="46">
        <v>7.47826755E8</v>
      </c>
      <c r="B990" s="137" t="s">
        <v>217</v>
      </c>
      <c r="C990" s="137">
        <v>2017.0</v>
      </c>
      <c r="D990" s="138">
        <v>42933.0</v>
      </c>
      <c r="E990" s="139">
        <v>42938.0</v>
      </c>
      <c r="F990" s="142" t="s">
        <v>217</v>
      </c>
      <c r="G990" s="142">
        <v>2017.0</v>
      </c>
      <c r="H990" s="46">
        <v>8681.0</v>
      </c>
      <c r="I990" s="46">
        <v>7410.0</v>
      </c>
      <c r="J990" s="84">
        <v>4825466.100000001</v>
      </c>
      <c r="K990" s="84">
        <v>3889953.6</v>
      </c>
      <c r="L990" s="84">
        <v>935512.5000000005</v>
      </c>
      <c r="M990" s="46" t="s">
        <v>153</v>
      </c>
      <c r="N990" s="46" t="s">
        <v>190</v>
      </c>
      <c r="O990" s="46" t="s">
        <v>146</v>
      </c>
      <c r="P990" s="46" t="s">
        <v>147</v>
      </c>
      <c r="Q990" s="46" t="str">
        <f t="shared" si="1"/>
        <v>July, 2017</v>
      </c>
      <c r="R990" s="115">
        <f t="shared" si="2"/>
        <v>42917</v>
      </c>
      <c r="S990" s="49">
        <f t="array" ref="S990">WEEKDAY(D990,2)</f>
        <v>1</v>
      </c>
      <c r="T990" s="46" t="s">
        <v>119</v>
      </c>
      <c r="U990" s="46" t="str">
        <f t="array" ref="U990">TEXT(D990,"dddd")</f>
        <v>Monday</v>
      </c>
    </row>
    <row r="991" hidden="1">
      <c r="A991" s="46">
        <v>7.47955071E8</v>
      </c>
      <c r="B991" s="137" t="s">
        <v>221</v>
      </c>
      <c r="C991" s="137">
        <v>2016.0</v>
      </c>
      <c r="D991" s="138">
        <v>42640.0</v>
      </c>
      <c r="E991" s="139">
        <v>42668.0</v>
      </c>
      <c r="F991" s="142" t="s">
        <v>226</v>
      </c>
      <c r="G991" s="142">
        <v>2016.0</v>
      </c>
      <c r="H991" s="46">
        <v>2455.0</v>
      </c>
      <c r="I991" s="46">
        <v>5382.0</v>
      </c>
      <c r="J991" s="84">
        <v>588144.96</v>
      </c>
      <c r="K991" s="84">
        <v>192890.88</v>
      </c>
      <c r="L991" s="84">
        <v>395254.07999999996</v>
      </c>
      <c r="M991" s="46" t="s">
        <v>150</v>
      </c>
      <c r="N991" s="46" t="s">
        <v>181</v>
      </c>
      <c r="O991" s="46" t="s">
        <v>146</v>
      </c>
      <c r="P991" s="46" t="s">
        <v>155</v>
      </c>
      <c r="Q991" s="46" t="str">
        <f t="shared" si="1"/>
        <v>September, 2016</v>
      </c>
      <c r="R991" s="115">
        <f t="shared" si="2"/>
        <v>42614</v>
      </c>
      <c r="S991" s="49">
        <f t="array" ref="S991">WEEKDAY(D991,2)</f>
        <v>2</v>
      </c>
      <c r="T991" s="46" t="s">
        <v>113</v>
      </c>
      <c r="U991" s="46" t="str">
        <f t="array" ref="U991">TEXT(D991,"dddd")</f>
        <v>Tuesday</v>
      </c>
    </row>
    <row r="992" hidden="1">
      <c r="A992" s="46">
        <v>7.48357188E8</v>
      </c>
      <c r="B992" s="137" t="s">
        <v>220</v>
      </c>
      <c r="C992" s="137">
        <v>2010.0</v>
      </c>
      <c r="D992" s="138">
        <v>40355.0</v>
      </c>
      <c r="E992" s="139">
        <v>40379.0</v>
      </c>
      <c r="F992" s="142" t="s">
        <v>217</v>
      </c>
      <c r="G992" s="142">
        <v>2010.0</v>
      </c>
      <c r="H992" s="46">
        <v>7331.0</v>
      </c>
      <c r="I992" s="46">
        <v>4377.0</v>
      </c>
      <c r="J992" s="84">
        <v>1117360.56</v>
      </c>
      <c r="K992" s="84">
        <v>697781.34</v>
      </c>
      <c r="L992" s="84">
        <v>419579.2200000001</v>
      </c>
      <c r="M992" s="46" t="s">
        <v>161</v>
      </c>
      <c r="N992" s="46" t="s">
        <v>197</v>
      </c>
      <c r="O992" s="46" t="s">
        <v>146</v>
      </c>
      <c r="P992" s="46" t="s">
        <v>147</v>
      </c>
      <c r="Q992" s="46" t="str">
        <f t="shared" si="1"/>
        <v>June, 2010</v>
      </c>
      <c r="R992" s="115">
        <f t="shared" si="2"/>
        <v>40330</v>
      </c>
      <c r="S992" s="49">
        <f t="array" ref="S992">WEEKDAY(D992,2)</f>
        <v>6</v>
      </c>
      <c r="T992" s="46" t="s">
        <v>126</v>
      </c>
      <c r="U992" s="46" t="str">
        <f t="array" ref="U992">TEXT(D992,"dddd")</f>
        <v>Saturday</v>
      </c>
    </row>
    <row r="993" hidden="1">
      <c r="A993" s="46">
        <v>7.50047194E8</v>
      </c>
      <c r="B993" s="137" t="s">
        <v>217</v>
      </c>
      <c r="C993" s="137">
        <v>2012.0</v>
      </c>
      <c r="D993" s="138">
        <v>41121.0</v>
      </c>
      <c r="E993" s="139">
        <v>41170.0</v>
      </c>
      <c r="F993" s="142" t="s">
        <v>221</v>
      </c>
      <c r="G993" s="142">
        <v>2012.0</v>
      </c>
      <c r="H993" s="46">
        <v>4594.0</v>
      </c>
      <c r="I993" s="46">
        <v>4487.0</v>
      </c>
      <c r="J993" s="84">
        <v>41863.71</v>
      </c>
      <c r="K993" s="84">
        <v>31050.04</v>
      </c>
      <c r="L993" s="84">
        <v>10813.669999999998</v>
      </c>
      <c r="M993" s="46" t="s">
        <v>156</v>
      </c>
      <c r="N993" s="46" t="s">
        <v>189</v>
      </c>
      <c r="O993" s="46" t="s">
        <v>146</v>
      </c>
      <c r="P993" s="46" t="s">
        <v>158</v>
      </c>
      <c r="Q993" s="46" t="str">
        <f t="shared" si="1"/>
        <v>July, 2012</v>
      </c>
      <c r="R993" s="115">
        <f t="shared" si="2"/>
        <v>41091</v>
      </c>
      <c r="S993" s="49">
        <f t="array" ref="S993">WEEKDAY(D993,2)</f>
        <v>2</v>
      </c>
      <c r="T993" s="46" t="s">
        <v>118</v>
      </c>
      <c r="U993" s="46" t="str">
        <f t="array" ref="U993">TEXT(D993,"dddd")</f>
        <v>Tuesday</v>
      </c>
    </row>
    <row r="994" hidden="1">
      <c r="A994" s="46">
        <v>7.50439441E8</v>
      </c>
      <c r="B994" s="137" t="s">
        <v>224</v>
      </c>
      <c r="C994" s="137">
        <v>2016.0</v>
      </c>
      <c r="D994" s="138">
        <v>42689.0</v>
      </c>
      <c r="E994" s="139">
        <v>42733.0</v>
      </c>
      <c r="F994" s="142" t="s">
        <v>225</v>
      </c>
      <c r="G994" s="142">
        <v>2016.0</v>
      </c>
      <c r="H994" s="46">
        <v>8969.0</v>
      </c>
      <c r="I994" s="46">
        <v>562.0</v>
      </c>
      <c r="J994" s="84">
        <v>85749.96</v>
      </c>
      <c r="K994" s="84">
        <v>54761.28</v>
      </c>
      <c r="L994" s="84">
        <v>30988.680000000008</v>
      </c>
      <c r="M994" s="46" t="s">
        <v>182</v>
      </c>
      <c r="N994" s="46" t="s">
        <v>183</v>
      </c>
      <c r="O994" s="46" t="s">
        <v>146</v>
      </c>
      <c r="P994" s="46" t="s">
        <v>170</v>
      </c>
      <c r="Q994" s="46" t="str">
        <f t="shared" si="1"/>
        <v>November, 2016</v>
      </c>
      <c r="R994" s="115">
        <f t="shared" si="2"/>
        <v>42675</v>
      </c>
      <c r="S994" s="49">
        <f t="array" ref="S994">WEEKDAY(D994,2)</f>
        <v>2</v>
      </c>
      <c r="T994" s="46" t="s">
        <v>90</v>
      </c>
      <c r="U994" s="46" t="str">
        <f t="array" ref="U994">TEXT(D994,"dddd")</f>
        <v>Tuesday</v>
      </c>
    </row>
    <row r="995" hidden="1">
      <c r="A995" s="46">
        <v>7.50959146E8</v>
      </c>
      <c r="B995" s="137" t="s">
        <v>227</v>
      </c>
      <c r="C995" s="137">
        <v>2016.0</v>
      </c>
      <c r="D995" s="138">
        <v>42374.0</v>
      </c>
      <c r="E995" s="139">
        <v>42394.0</v>
      </c>
      <c r="F995" s="142" t="s">
        <v>227</v>
      </c>
      <c r="G995" s="142">
        <v>2016.0</v>
      </c>
      <c r="H995" s="46">
        <v>7331.0</v>
      </c>
      <c r="I995" s="46">
        <v>4354.0</v>
      </c>
      <c r="J995" s="84">
        <v>1111489.12</v>
      </c>
      <c r="K995" s="84">
        <v>694114.6799999999</v>
      </c>
      <c r="L995" s="84">
        <v>417374.4400000002</v>
      </c>
      <c r="M995" s="46" t="s">
        <v>161</v>
      </c>
      <c r="N995" s="46" t="s">
        <v>151</v>
      </c>
      <c r="O995" s="46" t="s">
        <v>146</v>
      </c>
      <c r="P995" s="46" t="s">
        <v>147</v>
      </c>
      <c r="Q995" s="46" t="str">
        <f t="shared" si="1"/>
        <v>January, 2016</v>
      </c>
      <c r="R995" s="115">
        <f t="shared" si="2"/>
        <v>42370</v>
      </c>
      <c r="S995" s="49">
        <f t="array" ref="S995">WEEKDAY(D995,2)</f>
        <v>2</v>
      </c>
      <c r="T995" s="46" t="s">
        <v>94</v>
      </c>
      <c r="U995" s="46" t="str">
        <f t="array" ref="U995">TEXT(D995,"dddd")</f>
        <v>Tuesday</v>
      </c>
    </row>
    <row r="996" hidden="1">
      <c r="A996" s="46">
        <v>7.52792918E8</v>
      </c>
      <c r="B996" s="137" t="s">
        <v>223</v>
      </c>
      <c r="C996" s="137">
        <v>2012.0</v>
      </c>
      <c r="D996" s="138">
        <v>41028.0</v>
      </c>
      <c r="E996" s="139">
        <v>41041.0</v>
      </c>
      <c r="F996" s="142" t="s">
        <v>219</v>
      </c>
      <c r="G996" s="142">
        <v>2012.0</v>
      </c>
      <c r="H996" s="46">
        <v>4594.0</v>
      </c>
      <c r="I996" s="46">
        <v>7008.0</v>
      </c>
      <c r="J996" s="84">
        <v>65384.64</v>
      </c>
      <c r="K996" s="84">
        <v>48495.36</v>
      </c>
      <c r="L996" s="84">
        <v>16889.28</v>
      </c>
      <c r="M996" s="46" t="s">
        <v>156</v>
      </c>
      <c r="N996" s="46" t="s">
        <v>183</v>
      </c>
      <c r="O996" s="46" t="s">
        <v>146</v>
      </c>
      <c r="P996" s="46" t="s">
        <v>170</v>
      </c>
      <c r="Q996" s="46" t="str">
        <f t="shared" si="1"/>
        <v>April, 2012</v>
      </c>
      <c r="R996" s="115">
        <f t="shared" si="2"/>
        <v>41000</v>
      </c>
      <c r="S996" s="49">
        <f t="array" ref="S996">WEEKDAY(D996,2)</f>
        <v>7</v>
      </c>
      <c r="T996" s="46" t="s">
        <v>90</v>
      </c>
      <c r="U996" s="46" t="str">
        <f t="array" ref="U996">TEXT(D996,"dddd")</f>
        <v>Sunday</v>
      </c>
    </row>
    <row r="997" hidden="1">
      <c r="A997" s="46">
        <v>7.53166282E8</v>
      </c>
      <c r="B997" s="137" t="s">
        <v>226</v>
      </c>
      <c r="C997" s="137">
        <v>2011.0</v>
      </c>
      <c r="D997" s="138">
        <v>40825.0</v>
      </c>
      <c r="E997" s="139">
        <v>40872.0</v>
      </c>
      <c r="F997" s="142" t="s">
        <v>224</v>
      </c>
      <c r="G997" s="142">
        <v>2011.0</v>
      </c>
      <c r="H997" s="46">
        <v>4594.0</v>
      </c>
      <c r="I997" s="46">
        <v>7495.0</v>
      </c>
      <c r="J997" s="84">
        <v>69928.35</v>
      </c>
      <c r="K997" s="84">
        <v>51865.4</v>
      </c>
      <c r="L997" s="84">
        <v>18062.950000000004</v>
      </c>
      <c r="M997" s="46" t="s">
        <v>156</v>
      </c>
      <c r="N997" s="46" t="s">
        <v>160</v>
      </c>
      <c r="O997" s="46" t="s">
        <v>146</v>
      </c>
      <c r="P997" s="46" t="s">
        <v>147</v>
      </c>
      <c r="Q997" s="46" t="str">
        <f t="shared" si="1"/>
        <v>October, 2011</v>
      </c>
      <c r="R997" s="115">
        <f t="shared" si="2"/>
        <v>40817</v>
      </c>
      <c r="S997" s="49">
        <f t="array" ref="S997">WEEKDAY(D997,2)</f>
        <v>7</v>
      </c>
      <c r="T997" s="46" t="s">
        <v>98</v>
      </c>
      <c r="U997" s="46" t="str">
        <f t="array" ref="U997">TEXT(D997,"dddd")</f>
        <v>Sunday</v>
      </c>
    </row>
    <row r="998" hidden="1">
      <c r="A998" s="46">
        <v>7.54227149E8</v>
      </c>
      <c r="B998" s="137" t="s">
        <v>226</v>
      </c>
      <c r="C998" s="137">
        <v>2012.0</v>
      </c>
      <c r="D998" s="138">
        <v>41202.0</v>
      </c>
      <c r="E998" s="139">
        <v>41237.0</v>
      </c>
      <c r="F998" s="142" t="s">
        <v>224</v>
      </c>
      <c r="G998" s="142">
        <v>2012.0</v>
      </c>
      <c r="H998" s="46">
        <v>8681.0</v>
      </c>
      <c r="I998" s="46">
        <v>1429.0</v>
      </c>
      <c r="J998" s="84">
        <v>930579.0900000001</v>
      </c>
      <c r="K998" s="84">
        <v>750167.8400000001</v>
      </c>
      <c r="L998" s="84">
        <v>180411.25</v>
      </c>
      <c r="M998" s="46" t="s">
        <v>153</v>
      </c>
      <c r="N998" s="46" t="s">
        <v>206</v>
      </c>
      <c r="O998" s="46" t="s">
        <v>146</v>
      </c>
      <c r="P998" s="46" t="s">
        <v>158</v>
      </c>
      <c r="Q998" s="46" t="str">
        <f t="shared" si="1"/>
        <v>October, 2012</v>
      </c>
      <c r="R998" s="115">
        <f t="shared" si="2"/>
        <v>41183</v>
      </c>
      <c r="S998" s="49">
        <f t="array" ref="S998">WEEKDAY(D998,2)</f>
        <v>6</v>
      </c>
      <c r="T998" s="46" t="s">
        <v>136</v>
      </c>
      <c r="U998" s="46" t="str">
        <f t="array" ref="U998">TEXT(D998,"dddd")</f>
        <v>Saturday</v>
      </c>
    </row>
    <row r="999" hidden="1">
      <c r="A999" s="46">
        <v>7.54541289E8</v>
      </c>
      <c r="B999" s="137" t="s">
        <v>225</v>
      </c>
      <c r="C999" s="137">
        <v>2014.0</v>
      </c>
      <c r="D999" s="138">
        <v>41985.0</v>
      </c>
      <c r="E999" s="139">
        <v>41992.0</v>
      </c>
      <c r="F999" s="142" t="s">
        <v>225</v>
      </c>
      <c r="G999" s="142">
        <v>2014.0</v>
      </c>
      <c r="H999" s="46">
        <v>3127.0</v>
      </c>
      <c r="I999" s="46">
        <v>4390.0</v>
      </c>
      <c r="J999" s="84">
        <v>358794.7</v>
      </c>
      <c r="K999" s="84">
        <v>248781.30000000002</v>
      </c>
      <c r="L999" s="84">
        <v>110013.4</v>
      </c>
      <c r="M999" s="46" t="s">
        <v>185</v>
      </c>
      <c r="N999" s="46" t="s">
        <v>199</v>
      </c>
      <c r="O999" s="46" t="s">
        <v>146</v>
      </c>
      <c r="P999" s="46" t="s">
        <v>147</v>
      </c>
      <c r="Q999" s="46" t="str">
        <f t="shared" si="1"/>
        <v>December, 2014</v>
      </c>
      <c r="R999" s="115">
        <f t="shared" si="2"/>
        <v>41974</v>
      </c>
      <c r="S999" s="49">
        <f t="array" ref="S999">WEEKDAY(D999,2)</f>
        <v>5</v>
      </c>
      <c r="T999" s="46" t="s">
        <v>128</v>
      </c>
      <c r="U999" s="46" t="str">
        <f t="array" ref="U999">TEXT(D999,"dddd")</f>
        <v>Friday</v>
      </c>
    </row>
    <row r="1000" hidden="1">
      <c r="A1000" s="46">
        <v>7.55318915E8</v>
      </c>
      <c r="B1000" s="137" t="s">
        <v>220</v>
      </c>
      <c r="C1000" s="137">
        <v>2011.0</v>
      </c>
      <c r="D1000" s="138">
        <v>40704.0</v>
      </c>
      <c r="E1000" s="139">
        <v>40719.0</v>
      </c>
      <c r="F1000" s="142" t="s">
        <v>220</v>
      </c>
      <c r="G1000" s="142">
        <v>2011.0</v>
      </c>
      <c r="H1000" s="46">
        <v>2455.0</v>
      </c>
      <c r="I1000" s="46">
        <v>4507.0</v>
      </c>
      <c r="J1000" s="84">
        <v>492524.96</v>
      </c>
      <c r="K1000" s="84">
        <v>161530.88</v>
      </c>
      <c r="L1000" s="84">
        <v>330994.08</v>
      </c>
      <c r="M1000" s="46" t="s">
        <v>150</v>
      </c>
      <c r="N1000" s="46" t="s">
        <v>197</v>
      </c>
      <c r="O1000" s="46" t="s">
        <v>146</v>
      </c>
      <c r="P1000" s="46" t="s">
        <v>147</v>
      </c>
      <c r="Q1000" s="46" t="str">
        <f t="shared" si="1"/>
        <v>June, 2011</v>
      </c>
      <c r="R1000" s="115">
        <f t="shared" si="2"/>
        <v>40695</v>
      </c>
      <c r="S1000" s="49">
        <f t="array" ref="S1000">WEEKDAY(D1000,2)</f>
        <v>5</v>
      </c>
      <c r="T1000" s="46" t="s">
        <v>126</v>
      </c>
      <c r="U1000" s="46" t="str">
        <f t="array" ref="U1000">TEXT(D1000,"dddd")</f>
        <v>Friday</v>
      </c>
    </row>
    <row r="1001" hidden="1">
      <c r="A1001" s="46">
        <v>7.5560559E8</v>
      </c>
      <c r="B1001" s="137" t="s">
        <v>216</v>
      </c>
      <c r="C1001" s="137">
        <v>2010.0</v>
      </c>
      <c r="D1001" s="138">
        <v>40421.0</v>
      </c>
      <c r="E1001" s="139">
        <v>40432.0</v>
      </c>
      <c r="F1001" s="142" t="s">
        <v>221</v>
      </c>
      <c r="G1001" s="142">
        <v>2010.0</v>
      </c>
      <c r="H1001" s="46">
        <v>8969.0</v>
      </c>
      <c r="I1001" s="46">
        <v>9340.0</v>
      </c>
      <c r="J1001" s="84">
        <v>1425097.2000000002</v>
      </c>
      <c r="K1001" s="84">
        <v>910089.6</v>
      </c>
      <c r="L1001" s="84">
        <v>515007.6000000002</v>
      </c>
      <c r="M1001" s="46" t="s">
        <v>182</v>
      </c>
      <c r="N1001" s="46" t="s">
        <v>184</v>
      </c>
      <c r="O1001" s="46" t="s">
        <v>146</v>
      </c>
      <c r="P1001" s="46" t="s">
        <v>155</v>
      </c>
      <c r="Q1001" s="46" t="str">
        <f t="shared" si="1"/>
        <v>August, 2010</v>
      </c>
      <c r="R1001" s="115">
        <f t="shared" si="2"/>
        <v>40391</v>
      </c>
      <c r="S1001" s="49">
        <f t="array" ref="S1001">WEEKDAY(D1001,2)</f>
        <v>2</v>
      </c>
      <c r="T1001" s="46" t="s">
        <v>114</v>
      </c>
      <c r="U1001" s="46" t="str">
        <f t="array" ref="U1001">TEXT(D1001,"dddd")</f>
        <v>Tuesday</v>
      </c>
    </row>
    <row r="1002" hidden="1">
      <c r="A1002" s="46">
        <v>7.56252324E8</v>
      </c>
      <c r="B1002" s="137" t="s">
        <v>227</v>
      </c>
      <c r="C1002" s="137">
        <v>2010.0</v>
      </c>
      <c r="D1002" s="138">
        <v>40196.0</v>
      </c>
      <c r="E1002" s="139">
        <v>40218.0</v>
      </c>
      <c r="F1002" s="142" t="s">
        <v>228</v>
      </c>
      <c r="G1002" s="142">
        <v>2010.0</v>
      </c>
      <c r="H1002" s="46">
        <v>4594.0</v>
      </c>
      <c r="I1002" s="46">
        <v>723.0</v>
      </c>
      <c r="J1002" s="84">
        <v>6745.59</v>
      </c>
      <c r="K1002" s="84">
        <v>5003.16</v>
      </c>
      <c r="L1002" s="84">
        <v>1742.4300000000003</v>
      </c>
      <c r="M1002" s="46" t="s">
        <v>156</v>
      </c>
      <c r="N1002" s="46" t="s">
        <v>171</v>
      </c>
      <c r="O1002" s="46" t="s">
        <v>146</v>
      </c>
      <c r="P1002" s="46" t="s">
        <v>147</v>
      </c>
      <c r="Q1002" s="46" t="str">
        <f t="shared" si="1"/>
        <v>January, 2010</v>
      </c>
      <c r="R1002" s="115">
        <f t="shared" si="2"/>
        <v>40179</v>
      </c>
      <c r="S1002" s="49">
        <f t="array" ref="S1002">WEEKDAY(D1002,2)</f>
        <v>1</v>
      </c>
      <c r="T1002" s="46" t="s">
        <v>104</v>
      </c>
      <c r="U1002" s="46" t="str">
        <f t="array" ref="U1002">TEXT(D1002,"dddd")</f>
        <v>Monday</v>
      </c>
    </row>
    <row r="1003" hidden="1">
      <c r="A1003" s="46">
        <v>7.56395232E8</v>
      </c>
      <c r="B1003" s="137" t="s">
        <v>227</v>
      </c>
      <c r="C1003" s="137">
        <v>2015.0</v>
      </c>
      <c r="D1003" s="138">
        <v>42026.0</v>
      </c>
      <c r="E1003" s="139">
        <v>42076.0</v>
      </c>
      <c r="F1003" s="142" t="s">
        <v>222</v>
      </c>
      <c r="G1003" s="142">
        <v>2015.0</v>
      </c>
      <c r="H1003" s="46">
        <v>8875.0</v>
      </c>
      <c r="I1003" s="46">
        <v>3013.0</v>
      </c>
      <c r="J1003" s="84">
        <v>1271154.57</v>
      </c>
      <c r="K1003" s="84">
        <v>1098810.97</v>
      </c>
      <c r="L1003" s="84">
        <v>172343.6000000001</v>
      </c>
      <c r="M1003" s="46" t="s">
        <v>167</v>
      </c>
      <c r="N1003" s="46" t="s">
        <v>184</v>
      </c>
      <c r="O1003" s="46" t="s">
        <v>146</v>
      </c>
      <c r="P1003" s="46" t="s">
        <v>155</v>
      </c>
      <c r="Q1003" s="46" t="str">
        <f t="shared" si="1"/>
        <v>January, 2015</v>
      </c>
      <c r="R1003" s="115">
        <f t="shared" si="2"/>
        <v>42005</v>
      </c>
      <c r="S1003" s="49">
        <f t="array" ref="S1003">WEEKDAY(D1003,2)</f>
        <v>4</v>
      </c>
      <c r="T1003" s="46" t="s">
        <v>114</v>
      </c>
      <c r="U1003" s="46" t="str">
        <f t="array" ref="U1003">TEXT(D1003,"dddd")</f>
        <v>Thursday</v>
      </c>
    </row>
    <row r="1004" hidden="1">
      <c r="A1004" s="46">
        <v>7.57468974E8</v>
      </c>
      <c r="B1004" s="137" t="s">
        <v>222</v>
      </c>
      <c r="C1004" s="137">
        <v>2013.0</v>
      </c>
      <c r="D1004" s="138">
        <v>41347.0</v>
      </c>
      <c r="E1004" s="139">
        <v>41356.0</v>
      </c>
      <c r="F1004" s="142" t="s">
        <v>222</v>
      </c>
      <c r="G1004" s="142">
        <v>2013.0</v>
      </c>
      <c r="H1004" s="46">
        <v>1270.0</v>
      </c>
      <c r="I1004" s="46">
        <v>757.0</v>
      </c>
      <c r="J1004" s="84">
        <v>35919.65</v>
      </c>
      <c r="K1004" s="84">
        <v>24065.03</v>
      </c>
      <c r="L1004" s="84">
        <v>11854.620000000003</v>
      </c>
      <c r="M1004" s="46" t="s">
        <v>152</v>
      </c>
      <c r="N1004" s="46" t="s">
        <v>206</v>
      </c>
      <c r="O1004" s="46" t="s">
        <v>146</v>
      </c>
      <c r="P1004" s="46" t="s">
        <v>158</v>
      </c>
      <c r="Q1004" s="46" t="str">
        <f t="shared" si="1"/>
        <v>March, 2013</v>
      </c>
      <c r="R1004" s="115">
        <f t="shared" si="2"/>
        <v>41334</v>
      </c>
      <c r="S1004" s="49">
        <f t="array" ref="S1004">WEEKDAY(D1004,2)</f>
        <v>4</v>
      </c>
      <c r="T1004" s="46" t="s">
        <v>136</v>
      </c>
      <c r="U1004" s="46" t="str">
        <f t="array" ref="U1004">TEXT(D1004,"dddd")</f>
        <v>Thursday</v>
      </c>
    </row>
    <row r="1005" hidden="1">
      <c r="A1005" s="46">
        <v>7.59086453E8</v>
      </c>
      <c r="B1005" s="137" t="s">
        <v>228</v>
      </c>
      <c r="C1005" s="137">
        <v>2011.0</v>
      </c>
      <c r="D1005" s="138">
        <v>40595.0</v>
      </c>
      <c r="E1005" s="139">
        <v>40601.0</v>
      </c>
      <c r="F1005" s="142" t="s">
        <v>228</v>
      </c>
      <c r="G1005" s="142">
        <v>2011.0</v>
      </c>
      <c r="H1005" s="46">
        <v>7940.0</v>
      </c>
      <c r="I1005" s="46">
        <v>9405.0</v>
      </c>
      <c r="J1005" s="84">
        <v>6285079.35</v>
      </c>
      <c r="K1005" s="84">
        <v>4726388.7</v>
      </c>
      <c r="L1005" s="84">
        <v>1558690.6499999994</v>
      </c>
      <c r="M1005" s="46" t="s">
        <v>148</v>
      </c>
      <c r="N1005" s="46" t="s">
        <v>184</v>
      </c>
      <c r="O1005" s="46" t="s">
        <v>146</v>
      </c>
      <c r="P1005" s="46" t="s">
        <v>155</v>
      </c>
      <c r="Q1005" s="46" t="str">
        <f t="shared" si="1"/>
        <v>February, 2011</v>
      </c>
      <c r="R1005" s="115">
        <f t="shared" si="2"/>
        <v>40575</v>
      </c>
      <c r="S1005" s="49">
        <f t="array" ref="S1005">WEEKDAY(D1005,2)</f>
        <v>1</v>
      </c>
      <c r="T1005" s="46" t="s">
        <v>114</v>
      </c>
      <c r="U1005" s="46" t="str">
        <f t="array" ref="U1005">TEXT(D1005,"dddd")</f>
        <v>Monday</v>
      </c>
    </row>
    <row r="1006" hidden="1">
      <c r="A1006" s="46">
        <v>7.59594142E8</v>
      </c>
      <c r="B1006" s="137" t="s">
        <v>217</v>
      </c>
      <c r="C1006" s="137">
        <v>2017.0</v>
      </c>
      <c r="D1006" s="138">
        <v>42926.0</v>
      </c>
      <c r="E1006" s="139">
        <v>42928.0</v>
      </c>
      <c r="F1006" s="142" t="s">
        <v>217</v>
      </c>
      <c r="G1006" s="142">
        <v>2017.0</v>
      </c>
      <c r="H1006" s="46">
        <v>5988.0</v>
      </c>
      <c r="I1006" s="46">
        <v>9641.0</v>
      </c>
      <c r="J1006" s="84">
        <v>1485292.46</v>
      </c>
      <c r="K1006" s="84">
        <v>876656.1300000001</v>
      </c>
      <c r="L1006" s="84">
        <v>608636.3299999998</v>
      </c>
      <c r="M1006" s="46" t="s">
        <v>159</v>
      </c>
      <c r="N1006" s="46" t="s">
        <v>190</v>
      </c>
      <c r="O1006" s="46" t="s">
        <v>146</v>
      </c>
      <c r="P1006" s="46" t="s">
        <v>147</v>
      </c>
      <c r="Q1006" s="46" t="str">
        <f t="shared" si="1"/>
        <v>July, 2017</v>
      </c>
      <c r="R1006" s="115">
        <f t="shared" si="2"/>
        <v>42917</v>
      </c>
      <c r="S1006" s="49">
        <f t="array" ref="S1006">WEEKDAY(D1006,2)</f>
        <v>1</v>
      </c>
      <c r="T1006" s="46" t="s">
        <v>119</v>
      </c>
      <c r="U1006" s="46" t="str">
        <f t="array" ref="U1006">TEXT(D1006,"dddd")</f>
        <v>Monday</v>
      </c>
    </row>
    <row r="1007">
      <c r="A1007" s="46">
        <v>7.60280358E8</v>
      </c>
      <c r="B1007" s="137" t="s">
        <v>216</v>
      </c>
      <c r="C1007" s="137">
        <v>2012.0</v>
      </c>
      <c r="D1007" s="138">
        <v>41122.0</v>
      </c>
      <c r="E1007" s="139">
        <v>41142.0</v>
      </c>
      <c r="F1007" s="142" t="s">
        <v>216</v>
      </c>
      <c r="G1007" s="142">
        <v>2012.0</v>
      </c>
      <c r="H1007" s="46">
        <v>8681.0</v>
      </c>
      <c r="I1007" s="46">
        <v>2708.0</v>
      </c>
      <c r="J1007" s="84">
        <v>1763476.6800000002</v>
      </c>
      <c r="K1007" s="84">
        <v>1421591.6800000002</v>
      </c>
      <c r="L1007" s="84">
        <v>341885.0</v>
      </c>
      <c r="M1007" s="46" t="s">
        <v>153</v>
      </c>
      <c r="N1007" s="46" t="s">
        <v>149</v>
      </c>
      <c r="O1007" s="46" t="s">
        <v>149</v>
      </c>
      <c r="P1007" s="46" t="s">
        <v>218</v>
      </c>
      <c r="Q1007" s="46" t="str">
        <f t="shared" si="1"/>
        <v>August, 2012</v>
      </c>
      <c r="R1007" s="115">
        <f t="shared" si="2"/>
        <v>41122</v>
      </c>
      <c r="S1007" s="49">
        <f t="array" ref="S1007">WEEKDAY(D1007,2)</f>
        <v>3</v>
      </c>
      <c r="T1007" s="46" t="s">
        <v>92</v>
      </c>
      <c r="U1007" s="46" t="str">
        <f t="array" ref="U1007">TEXT(D1007,"dddd")</f>
        <v>Wednesday</v>
      </c>
    </row>
    <row r="1008" hidden="1">
      <c r="A1008" s="46">
        <v>7.60346877E8</v>
      </c>
      <c r="B1008" s="137" t="s">
        <v>217</v>
      </c>
      <c r="C1008" s="137">
        <v>2016.0</v>
      </c>
      <c r="D1008" s="138">
        <v>42580.0</v>
      </c>
      <c r="E1008" s="139">
        <v>42588.0</v>
      </c>
      <c r="F1008" s="142" t="s">
        <v>216</v>
      </c>
      <c r="G1008" s="142">
        <v>2016.0</v>
      </c>
      <c r="H1008" s="46">
        <v>7940.0</v>
      </c>
      <c r="I1008" s="46">
        <v>2392.0</v>
      </c>
      <c r="J1008" s="84">
        <v>1598501.8399999999</v>
      </c>
      <c r="K1008" s="84">
        <v>1202075.68</v>
      </c>
      <c r="L1008" s="84">
        <v>396426.1599999999</v>
      </c>
      <c r="M1008" s="46" t="s">
        <v>148</v>
      </c>
      <c r="N1008" s="46" t="s">
        <v>173</v>
      </c>
      <c r="O1008" s="46" t="s">
        <v>146</v>
      </c>
      <c r="P1008" s="46" t="s">
        <v>155</v>
      </c>
      <c r="Q1008" s="46" t="str">
        <f t="shared" si="1"/>
        <v>July, 2016</v>
      </c>
      <c r="R1008" s="115">
        <f t="shared" si="2"/>
        <v>42552</v>
      </c>
      <c r="S1008" s="49">
        <f t="array" ref="S1008">WEEKDAY(D1008,2)</f>
        <v>5</v>
      </c>
      <c r="T1008" s="46" t="s">
        <v>106</v>
      </c>
      <c r="U1008" s="46" t="str">
        <f t="array" ref="U1008">TEXT(D1008,"dddd")</f>
        <v>Friday</v>
      </c>
    </row>
    <row r="1009" hidden="1">
      <c r="A1009" s="46">
        <v>7.6061939E8</v>
      </c>
      <c r="B1009" s="137" t="s">
        <v>222</v>
      </c>
      <c r="C1009" s="137">
        <v>2012.0</v>
      </c>
      <c r="D1009" s="138">
        <v>40970.0</v>
      </c>
      <c r="E1009" s="139">
        <v>41015.0</v>
      </c>
      <c r="F1009" s="142" t="s">
        <v>223</v>
      </c>
      <c r="G1009" s="142">
        <v>2012.0</v>
      </c>
      <c r="H1009" s="46">
        <v>5988.0</v>
      </c>
      <c r="I1009" s="46">
        <v>3035.0</v>
      </c>
      <c r="J1009" s="84">
        <v>467572.10000000003</v>
      </c>
      <c r="K1009" s="84">
        <v>275972.55000000005</v>
      </c>
      <c r="L1009" s="84">
        <v>191599.55</v>
      </c>
      <c r="M1009" s="46" t="s">
        <v>159</v>
      </c>
      <c r="N1009" s="46" t="s">
        <v>204</v>
      </c>
      <c r="O1009" s="46" t="s">
        <v>146</v>
      </c>
      <c r="P1009" s="46" t="s">
        <v>147</v>
      </c>
      <c r="Q1009" s="46" t="str">
        <f t="shared" si="1"/>
        <v>March, 2012</v>
      </c>
      <c r="R1009" s="115">
        <f t="shared" si="2"/>
        <v>40969</v>
      </c>
      <c r="S1009" s="49">
        <f t="array" ref="S1009">WEEKDAY(D1009,2)</f>
        <v>5</v>
      </c>
      <c r="T1009" s="46" t="s">
        <v>133</v>
      </c>
      <c r="U1009" s="46" t="str">
        <f t="array" ref="U1009">TEXT(D1009,"dddd")</f>
        <v>Friday</v>
      </c>
    </row>
    <row r="1010">
      <c r="A1010" s="46">
        <v>7.6172403E8</v>
      </c>
      <c r="B1010" s="137" t="s">
        <v>220</v>
      </c>
      <c r="C1010" s="137">
        <v>2015.0</v>
      </c>
      <c r="D1010" s="138">
        <v>42181.0</v>
      </c>
      <c r="E1010" s="139">
        <v>42229.0</v>
      </c>
      <c r="F1010" s="142" t="s">
        <v>216</v>
      </c>
      <c r="G1010" s="142">
        <v>2015.0</v>
      </c>
      <c r="H1010" s="46">
        <v>1270.0</v>
      </c>
      <c r="I1010" s="46">
        <v>9923.0</v>
      </c>
      <c r="J1010" s="84">
        <v>470846.35000000003</v>
      </c>
      <c r="K1010" s="84">
        <v>315452.17</v>
      </c>
      <c r="L1010" s="84">
        <v>155394.18000000005</v>
      </c>
      <c r="M1010" s="46" t="s">
        <v>152</v>
      </c>
      <c r="N1010" s="46" t="s">
        <v>149</v>
      </c>
      <c r="O1010" s="46" t="s">
        <v>149</v>
      </c>
      <c r="P1010" s="46" t="s">
        <v>218</v>
      </c>
      <c r="Q1010" s="46" t="str">
        <f t="shared" si="1"/>
        <v>June, 2015</v>
      </c>
      <c r="R1010" s="115">
        <f t="shared" si="2"/>
        <v>42156</v>
      </c>
      <c r="S1010" s="49">
        <f t="array" ref="S1010">WEEKDAY(D1010,2)</f>
        <v>5</v>
      </c>
      <c r="T1010" s="46" t="s">
        <v>92</v>
      </c>
      <c r="U1010" s="46" t="str">
        <f t="array" ref="U1010">TEXT(D1010,"dddd")</f>
        <v>Friday</v>
      </c>
    </row>
    <row r="1011" hidden="1">
      <c r="A1011" s="46">
        <v>7.61887109E8</v>
      </c>
      <c r="B1011" s="137" t="s">
        <v>221</v>
      </c>
      <c r="C1011" s="137">
        <v>2016.0</v>
      </c>
      <c r="D1011" s="138">
        <v>42633.0</v>
      </c>
      <c r="E1011" s="139">
        <v>42657.0</v>
      </c>
      <c r="F1011" s="142" t="s">
        <v>226</v>
      </c>
      <c r="G1011" s="142">
        <v>2016.0</v>
      </c>
      <c r="H1011" s="46">
        <v>2455.0</v>
      </c>
      <c r="I1011" s="46">
        <v>8181.0</v>
      </c>
      <c r="J1011" s="84">
        <v>894019.68</v>
      </c>
      <c r="K1011" s="84">
        <v>293207.04000000004</v>
      </c>
      <c r="L1011" s="84">
        <v>600812.64</v>
      </c>
      <c r="M1011" s="46" t="s">
        <v>150</v>
      </c>
      <c r="N1011" s="46" t="s">
        <v>176</v>
      </c>
      <c r="O1011" s="46" t="s">
        <v>146</v>
      </c>
      <c r="P1011" s="46" t="s">
        <v>158</v>
      </c>
      <c r="Q1011" s="46" t="str">
        <f t="shared" si="1"/>
        <v>September, 2016</v>
      </c>
      <c r="R1011" s="115">
        <f t="shared" si="2"/>
        <v>42614</v>
      </c>
      <c r="S1011" s="49">
        <f t="array" ref="S1011">WEEKDAY(D1011,2)</f>
        <v>2</v>
      </c>
      <c r="T1011" s="46" t="s">
        <v>109</v>
      </c>
      <c r="U1011" s="46" t="str">
        <f t="array" ref="U1011">TEXT(D1011,"dddd")</f>
        <v>Tuesday</v>
      </c>
    </row>
    <row r="1012" hidden="1">
      <c r="A1012" s="46">
        <v>7.62117564E8</v>
      </c>
      <c r="B1012" s="137" t="s">
        <v>228</v>
      </c>
      <c r="C1012" s="137">
        <v>2011.0</v>
      </c>
      <c r="D1012" s="138">
        <v>40600.0</v>
      </c>
      <c r="E1012" s="139">
        <v>40630.0</v>
      </c>
      <c r="F1012" s="142" t="s">
        <v>222</v>
      </c>
      <c r="G1012" s="142">
        <v>2011.0</v>
      </c>
      <c r="H1012" s="46">
        <v>3127.0</v>
      </c>
      <c r="I1012" s="46">
        <v>6378.0</v>
      </c>
      <c r="J1012" s="84">
        <v>521273.94</v>
      </c>
      <c r="K1012" s="84">
        <v>361441.26</v>
      </c>
      <c r="L1012" s="84">
        <v>159832.68</v>
      </c>
      <c r="M1012" s="46" t="s">
        <v>185</v>
      </c>
      <c r="N1012" s="46" t="s">
        <v>181</v>
      </c>
      <c r="O1012" s="46" t="s">
        <v>146</v>
      </c>
      <c r="P1012" s="46" t="s">
        <v>155</v>
      </c>
      <c r="Q1012" s="46" t="str">
        <f t="shared" si="1"/>
        <v>February, 2011</v>
      </c>
      <c r="R1012" s="115">
        <f t="shared" si="2"/>
        <v>40575</v>
      </c>
      <c r="S1012" s="49">
        <f t="array" ref="S1012">WEEKDAY(D1012,2)</f>
        <v>6</v>
      </c>
      <c r="T1012" s="46" t="s">
        <v>113</v>
      </c>
      <c r="U1012" s="46" t="str">
        <f t="array" ref="U1012">TEXT(D1012,"dddd")</f>
        <v>Saturday</v>
      </c>
    </row>
    <row r="1013" hidden="1">
      <c r="A1013" s="46">
        <v>7.62655293E8</v>
      </c>
      <c r="B1013" s="137" t="s">
        <v>226</v>
      </c>
      <c r="C1013" s="137">
        <v>2010.0</v>
      </c>
      <c r="D1013" s="138">
        <v>40467.0</v>
      </c>
      <c r="E1013" s="139">
        <v>40493.0</v>
      </c>
      <c r="F1013" s="142" t="s">
        <v>224</v>
      </c>
      <c r="G1013" s="142">
        <v>2010.0</v>
      </c>
      <c r="H1013" s="46">
        <v>3127.0</v>
      </c>
      <c r="I1013" s="46">
        <v>5504.0</v>
      </c>
      <c r="J1013" s="84">
        <v>449841.92000000004</v>
      </c>
      <c r="K1013" s="84">
        <v>311911.68</v>
      </c>
      <c r="L1013" s="84">
        <v>137930.24000000005</v>
      </c>
      <c r="M1013" s="46" t="s">
        <v>185</v>
      </c>
      <c r="N1013" s="46" t="s">
        <v>157</v>
      </c>
      <c r="O1013" s="46" t="s">
        <v>146</v>
      </c>
      <c r="P1013" s="46" t="s">
        <v>158</v>
      </c>
      <c r="Q1013" s="46" t="str">
        <f t="shared" si="1"/>
        <v>October, 2010</v>
      </c>
      <c r="R1013" s="115">
        <f t="shared" si="2"/>
        <v>40452</v>
      </c>
      <c r="S1013" s="49">
        <f t="array" ref="S1013">WEEKDAY(D1013,2)</f>
        <v>6</v>
      </c>
      <c r="T1013" s="46" t="s">
        <v>97</v>
      </c>
      <c r="U1013" s="46" t="str">
        <f t="array" ref="U1013">TEXT(D1013,"dddd")</f>
        <v>Saturday</v>
      </c>
    </row>
    <row r="1014" hidden="1">
      <c r="A1014" s="46">
        <v>7.64483058E8</v>
      </c>
      <c r="B1014" s="137" t="s">
        <v>217</v>
      </c>
      <c r="C1014" s="137">
        <v>2014.0</v>
      </c>
      <c r="D1014" s="138">
        <v>41826.0</v>
      </c>
      <c r="E1014" s="139">
        <v>41856.0</v>
      </c>
      <c r="F1014" s="142" t="s">
        <v>216</v>
      </c>
      <c r="G1014" s="142">
        <v>2014.0</v>
      </c>
      <c r="H1014" s="46">
        <v>8875.0</v>
      </c>
      <c r="I1014" s="46">
        <v>6380.0</v>
      </c>
      <c r="J1014" s="84">
        <v>2691658.1999999997</v>
      </c>
      <c r="K1014" s="84">
        <v>2326722.2</v>
      </c>
      <c r="L1014" s="84">
        <v>364935.99999999953</v>
      </c>
      <c r="M1014" s="46" t="s">
        <v>167</v>
      </c>
      <c r="N1014" s="46" t="s">
        <v>177</v>
      </c>
      <c r="O1014" s="46" t="s">
        <v>146</v>
      </c>
      <c r="P1014" s="46" t="s">
        <v>170</v>
      </c>
      <c r="Q1014" s="46" t="str">
        <f t="shared" si="1"/>
        <v>July, 2014</v>
      </c>
      <c r="R1014" s="115">
        <f t="shared" si="2"/>
        <v>41821</v>
      </c>
      <c r="S1014" s="49">
        <f t="array" ref="S1014">WEEKDAY(D1014,2)</f>
        <v>7</v>
      </c>
      <c r="T1014" s="46" t="s">
        <v>110</v>
      </c>
      <c r="U1014" s="46" t="str">
        <f t="array" ref="U1014">TEXT(D1014,"dddd")</f>
        <v>Sunday</v>
      </c>
    </row>
    <row r="1015" hidden="1">
      <c r="A1015" s="46">
        <v>7.64592492E8</v>
      </c>
      <c r="B1015" s="137" t="s">
        <v>220</v>
      </c>
      <c r="C1015" s="137">
        <v>2016.0</v>
      </c>
      <c r="D1015" s="138">
        <v>42530.0</v>
      </c>
      <c r="E1015" s="139">
        <v>42570.0</v>
      </c>
      <c r="F1015" s="142" t="s">
        <v>217</v>
      </c>
      <c r="G1015" s="142">
        <v>2016.0</v>
      </c>
      <c r="H1015" s="46">
        <v>8681.0</v>
      </c>
      <c r="I1015" s="46">
        <v>8764.0</v>
      </c>
      <c r="J1015" s="84">
        <v>5707204.44</v>
      </c>
      <c r="K1015" s="84">
        <v>4600749.44</v>
      </c>
      <c r="L1015" s="84">
        <v>1106455.0</v>
      </c>
      <c r="M1015" s="46" t="s">
        <v>153</v>
      </c>
      <c r="N1015" s="46" t="s">
        <v>197</v>
      </c>
      <c r="O1015" s="46" t="s">
        <v>146</v>
      </c>
      <c r="P1015" s="46" t="s">
        <v>147</v>
      </c>
      <c r="Q1015" s="46" t="str">
        <f t="shared" si="1"/>
        <v>June, 2016</v>
      </c>
      <c r="R1015" s="115">
        <f t="shared" si="2"/>
        <v>42522</v>
      </c>
      <c r="S1015" s="49">
        <f t="array" ref="S1015">WEEKDAY(D1015,2)</f>
        <v>4</v>
      </c>
      <c r="T1015" s="46" t="s">
        <v>126</v>
      </c>
      <c r="U1015" s="46" t="str">
        <f t="array" ref="U1015">TEXT(D1015,"dddd")</f>
        <v>Thursday</v>
      </c>
    </row>
    <row r="1016" hidden="1">
      <c r="A1016" s="46">
        <v>7.6481136E8</v>
      </c>
      <c r="B1016" s="137" t="s">
        <v>221</v>
      </c>
      <c r="C1016" s="137">
        <v>2012.0</v>
      </c>
      <c r="D1016" s="138">
        <v>41171.0</v>
      </c>
      <c r="E1016" s="139">
        <v>41182.0</v>
      </c>
      <c r="F1016" s="142" t="s">
        <v>221</v>
      </c>
      <c r="G1016" s="142">
        <v>2012.0</v>
      </c>
      <c r="H1016" s="46">
        <v>2103.0</v>
      </c>
      <c r="I1016" s="46">
        <v>3532.0</v>
      </c>
      <c r="J1016" s="84">
        <v>726532.3999999999</v>
      </c>
      <c r="K1016" s="84">
        <v>413632.52</v>
      </c>
      <c r="L1016" s="84">
        <v>312899.8799999999</v>
      </c>
      <c r="M1016" s="46" t="s">
        <v>144</v>
      </c>
      <c r="N1016" s="46" t="s">
        <v>157</v>
      </c>
      <c r="O1016" s="46" t="s">
        <v>146</v>
      </c>
      <c r="P1016" s="46" t="s">
        <v>158</v>
      </c>
      <c r="Q1016" s="46" t="str">
        <f t="shared" si="1"/>
        <v>September, 2012</v>
      </c>
      <c r="R1016" s="115">
        <f t="shared" si="2"/>
        <v>41153</v>
      </c>
      <c r="S1016" s="49">
        <f t="array" ref="S1016">WEEKDAY(D1016,2)</f>
        <v>3</v>
      </c>
      <c r="T1016" s="46" t="s">
        <v>97</v>
      </c>
      <c r="U1016" s="46" t="str">
        <f t="array" ref="U1016">TEXT(D1016,"dddd")</f>
        <v>Wednesday</v>
      </c>
    </row>
    <row r="1017" hidden="1">
      <c r="A1017" s="46">
        <v>7.64837539E8</v>
      </c>
      <c r="B1017" s="137" t="s">
        <v>221</v>
      </c>
      <c r="C1017" s="137">
        <v>2016.0</v>
      </c>
      <c r="D1017" s="138">
        <v>42619.0</v>
      </c>
      <c r="E1017" s="139">
        <v>42619.0</v>
      </c>
      <c r="F1017" s="142" t="s">
        <v>221</v>
      </c>
      <c r="G1017" s="142">
        <v>2016.0</v>
      </c>
      <c r="H1017" s="46">
        <v>7331.0</v>
      </c>
      <c r="I1017" s="46">
        <v>1279.0</v>
      </c>
      <c r="J1017" s="84">
        <v>326503.12</v>
      </c>
      <c r="K1017" s="84">
        <v>203898.18</v>
      </c>
      <c r="L1017" s="84">
        <v>122604.94</v>
      </c>
      <c r="M1017" s="46" t="s">
        <v>161</v>
      </c>
      <c r="N1017" s="46" t="s">
        <v>205</v>
      </c>
      <c r="O1017" s="46" t="s">
        <v>146</v>
      </c>
      <c r="P1017" s="46" t="s">
        <v>170</v>
      </c>
      <c r="Q1017" s="46" t="str">
        <f t="shared" si="1"/>
        <v>September, 2016</v>
      </c>
      <c r="R1017" s="115">
        <f t="shared" si="2"/>
        <v>42614</v>
      </c>
      <c r="S1017" s="49">
        <f t="array" ref="S1017">WEEKDAY(D1017,2)</f>
        <v>2</v>
      </c>
      <c r="T1017" s="46" t="s">
        <v>135</v>
      </c>
      <c r="U1017" s="46" t="str">
        <f t="array" ref="U1017">TEXT(D1017,"dddd")</f>
        <v>Tuesday</v>
      </c>
    </row>
    <row r="1018" hidden="1">
      <c r="A1018" s="46">
        <v>7.65101468E8</v>
      </c>
      <c r="B1018" s="137" t="s">
        <v>222</v>
      </c>
      <c r="C1018" s="137">
        <v>2014.0</v>
      </c>
      <c r="D1018" s="138">
        <v>41712.0</v>
      </c>
      <c r="E1018" s="139">
        <v>41735.0</v>
      </c>
      <c r="F1018" s="142" t="s">
        <v>223</v>
      </c>
      <c r="G1018" s="142">
        <v>2014.0</v>
      </c>
      <c r="H1018" s="46">
        <v>8293.0</v>
      </c>
      <c r="I1018" s="46">
        <v>9382.0</v>
      </c>
      <c r="J1018" s="84">
        <v>4101810.4</v>
      </c>
      <c r="K1018" s="84">
        <v>2470562.06</v>
      </c>
      <c r="L1018" s="84">
        <v>1631248.3399999999</v>
      </c>
      <c r="M1018" s="46" t="s">
        <v>178</v>
      </c>
      <c r="N1018" s="46" t="s">
        <v>195</v>
      </c>
      <c r="O1018" s="46" t="s">
        <v>146</v>
      </c>
      <c r="P1018" s="46" t="s">
        <v>170</v>
      </c>
      <c r="Q1018" s="46" t="str">
        <f t="shared" si="1"/>
        <v>March, 2014</v>
      </c>
      <c r="R1018" s="115">
        <f t="shared" si="2"/>
        <v>41699</v>
      </c>
      <c r="S1018" s="49">
        <f t="array" ref="S1018">WEEKDAY(D1018,2)</f>
        <v>5</v>
      </c>
      <c r="T1018" s="46" t="s">
        <v>124</v>
      </c>
      <c r="U1018" s="46" t="str">
        <f t="array" ref="U1018">TEXT(D1018,"dddd")</f>
        <v>Friday</v>
      </c>
    </row>
    <row r="1019" hidden="1">
      <c r="A1019" s="46">
        <v>7.65552079E8</v>
      </c>
      <c r="B1019" s="137" t="s">
        <v>220</v>
      </c>
      <c r="C1019" s="137">
        <v>2011.0</v>
      </c>
      <c r="D1019" s="138">
        <v>40704.0</v>
      </c>
      <c r="E1019" s="139">
        <v>40741.0</v>
      </c>
      <c r="F1019" s="142" t="s">
        <v>217</v>
      </c>
      <c r="G1019" s="142">
        <v>2011.0</v>
      </c>
      <c r="H1019" s="46">
        <v>8969.0</v>
      </c>
      <c r="I1019" s="46">
        <v>2727.0</v>
      </c>
      <c r="J1019" s="84">
        <v>416085.66000000003</v>
      </c>
      <c r="K1019" s="84">
        <v>265718.88</v>
      </c>
      <c r="L1019" s="84">
        <v>150366.78000000003</v>
      </c>
      <c r="M1019" s="46" t="s">
        <v>182</v>
      </c>
      <c r="N1019" s="46" t="s">
        <v>154</v>
      </c>
      <c r="O1019" s="46" t="s">
        <v>146</v>
      </c>
      <c r="P1019" s="46" t="s">
        <v>155</v>
      </c>
      <c r="Q1019" s="46" t="str">
        <f t="shared" si="1"/>
        <v>June, 2011</v>
      </c>
      <c r="R1019" s="115">
        <f t="shared" si="2"/>
        <v>40695</v>
      </c>
      <c r="S1019" s="49">
        <f t="array" ref="S1019">WEEKDAY(D1019,2)</f>
        <v>5</v>
      </c>
      <c r="T1019" s="46" t="s">
        <v>96</v>
      </c>
      <c r="U1019" s="46" t="str">
        <f t="array" ref="U1019">TEXT(D1019,"dddd")</f>
        <v>Friday</v>
      </c>
    </row>
    <row r="1020" hidden="1">
      <c r="A1020" s="46">
        <v>7.6573404E8</v>
      </c>
      <c r="B1020" s="137" t="s">
        <v>217</v>
      </c>
      <c r="C1020" s="137">
        <v>2017.0</v>
      </c>
      <c r="D1020" s="138">
        <v>42926.0</v>
      </c>
      <c r="E1020" s="139">
        <v>42951.0</v>
      </c>
      <c r="F1020" s="142" t="s">
        <v>216</v>
      </c>
      <c r="G1020" s="142">
        <v>2017.0</v>
      </c>
      <c r="H1020" s="46">
        <v>4594.0</v>
      </c>
      <c r="I1020" s="46">
        <v>6574.0</v>
      </c>
      <c r="J1020" s="84">
        <v>61335.42</v>
      </c>
      <c r="K1020" s="84">
        <v>45492.08</v>
      </c>
      <c r="L1020" s="84">
        <v>15843.339999999997</v>
      </c>
      <c r="M1020" s="46" t="s">
        <v>156</v>
      </c>
      <c r="N1020" s="46" t="s">
        <v>191</v>
      </c>
      <c r="O1020" s="46" t="s">
        <v>146</v>
      </c>
      <c r="P1020" s="46" t="s">
        <v>147</v>
      </c>
      <c r="Q1020" s="46" t="str">
        <f t="shared" si="1"/>
        <v>July, 2017</v>
      </c>
      <c r="R1020" s="115">
        <f t="shared" si="2"/>
        <v>42917</v>
      </c>
      <c r="S1020" s="49">
        <f t="array" ref="S1020">WEEKDAY(D1020,2)</f>
        <v>1</v>
      </c>
      <c r="T1020" s="46" t="s">
        <v>120</v>
      </c>
      <c r="U1020" s="46" t="str">
        <f t="array" ref="U1020">TEXT(D1020,"dddd")</f>
        <v>Monday</v>
      </c>
    </row>
    <row r="1021" hidden="1">
      <c r="A1021" s="46">
        <v>7.65858924E8</v>
      </c>
      <c r="B1021" s="137" t="s">
        <v>220</v>
      </c>
      <c r="C1021" s="137">
        <v>2014.0</v>
      </c>
      <c r="D1021" s="138">
        <v>41809.0</v>
      </c>
      <c r="E1021" s="139">
        <v>41841.0</v>
      </c>
      <c r="F1021" s="142" t="s">
        <v>217</v>
      </c>
      <c r="G1021" s="142">
        <v>2014.0</v>
      </c>
      <c r="H1021" s="46">
        <v>7940.0</v>
      </c>
      <c r="I1021" s="46">
        <v>3530.0</v>
      </c>
      <c r="J1021" s="84">
        <v>2358993.1</v>
      </c>
      <c r="K1021" s="84">
        <v>1773966.2000000002</v>
      </c>
      <c r="L1021" s="84">
        <v>585026.8999999999</v>
      </c>
      <c r="M1021" s="46" t="s">
        <v>148</v>
      </c>
      <c r="N1021" s="46" t="s">
        <v>172</v>
      </c>
      <c r="O1021" s="46" t="s">
        <v>146</v>
      </c>
      <c r="P1021" s="46" t="s">
        <v>155</v>
      </c>
      <c r="Q1021" s="46" t="str">
        <f t="shared" si="1"/>
        <v>June, 2014</v>
      </c>
      <c r="R1021" s="115">
        <f t="shared" si="2"/>
        <v>41791</v>
      </c>
      <c r="S1021" s="49">
        <f t="array" ref="S1021">WEEKDAY(D1021,2)</f>
        <v>4</v>
      </c>
      <c r="T1021" s="46" t="s">
        <v>105</v>
      </c>
      <c r="U1021" s="46" t="str">
        <f t="array" ref="U1021">TEXT(D1021,"dddd")</f>
        <v>Thursday</v>
      </c>
    </row>
    <row r="1022" hidden="1">
      <c r="A1022" s="46">
        <v>7.66118133E8</v>
      </c>
      <c r="B1022" s="137" t="s">
        <v>226</v>
      </c>
      <c r="C1022" s="137">
        <v>2010.0</v>
      </c>
      <c r="D1022" s="138">
        <v>40460.0</v>
      </c>
      <c r="E1022" s="139">
        <v>40461.0</v>
      </c>
      <c r="F1022" s="142" t="s">
        <v>226</v>
      </c>
      <c r="G1022" s="142">
        <v>2010.0</v>
      </c>
      <c r="H1022" s="46">
        <v>7940.0</v>
      </c>
      <c r="I1022" s="46">
        <v>235.0</v>
      </c>
      <c r="J1022" s="84">
        <v>157043.44999999998</v>
      </c>
      <c r="K1022" s="84">
        <v>118096.90000000001</v>
      </c>
      <c r="L1022" s="84">
        <v>38946.549999999974</v>
      </c>
      <c r="M1022" s="46" t="s">
        <v>148</v>
      </c>
      <c r="N1022" s="46" t="s">
        <v>203</v>
      </c>
      <c r="O1022" s="46" t="s">
        <v>146</v>
      </c>
      <c r="P1022" s="46" t="s">
        <v>170</v>
      </c>
      <c r="Q1022" s="46" t="str">
        <f t="shared" si="1"/>
        <v>October, 2010</v>
      </c>
      <c r="R1022" s="115">
        <f t="shared" si="2"/>
        <v>40452</v>
      </c>
      <c r="S1022" s="49">
        <f t="array" ref="S1022">WEEKDAY(D1022,2)</f>
        <v>6</v>
      </c>
      <c r="T1022" s="46" t="s">
        <v>132</v>
      </c>
      <c r="U1022" s="46" t="str">
        <f t="array" ref="U1022">TEXT(D1022,"dddd")</f>
        <v>Saturday</v>
      </c>
    </row>
    <row r="1023" hidden="1">
      <c r="A1023" s="46">
        <v>7.67490565E8</v>
      </c>
      <c r="B1023" s="137" t="s">
        <v>227</v>
      </c>
      <c r="C1023" s="137">
        <v>2016.0</v>
      </c>
      <c r="D1023" s="138">
        <v>42385.0</v>
      </c>
      <c r="E1023" s="139">
        <v>42423.0</v>
      </c>
      <c r="F1023" s="142" t="s">
        <v>228</v>
      </c>
      <c r="G1023" s="142">
        <v>2016.0</v>
      </c>
      <c r="H1023" s="46">
        <v>2455.0</v>
      </c>
      <c r="I1023" s="46">
        <v>6368.0</v>
      </c>
      <c r="J1023" s="84">
        <v>695895.04</v>
      </c>
      <c r="K1023" s="84">
        <v>228229.12000000002</v>
      </c>
      <c r="L1023" s="84">
        <v>467665.92000000004</v>
      </c>
      <c r="M1023" s="46" t="s">
        <v>150</v>
      </c>
      <c r="N1023" s="46" t="s">
        <v>192</v>
      </c>
      <c r="O1023" s="46" t="s">
        <v>146</v>
      </c>
      <c r="P1023" s="46" t="s">
        <v>158</v>
      </c>
      <c r="Q1023" s="46" t="str">
        <f t="shared" si="1"/>
        <v>January, 2016</v>
      </c>
      <c r="R1023" s="115">
        <f t="shared" si="2"/>
        <v>42370</v>
      </c>
      <c r="S1023" s="49">
        <f t="array" ref="S1023">WEEKDAY(D1023,2)</f>
        <v>6</v>
      </c>
      <c r="T1023" s="46" t="s">
        <v>121</v>
      </c>
      <c r="U1023" s="46" t="str">
        <f t="array" ref="U1023">TEXT(D1023,"dddd")</f>
        <v>Saturday</v>
      </c>
    </row>
    <row r="1024" hidden="1">
      <c r="A1024" s="46">
        <v>7.68230426E8</v>
      </c>
      <c r="B1024" s="137" t="s">
        <v>219</v>
      </c>
      <c r="C1024" s="137">
        <v>2010.0</v>
      </c>
      <c r="D1024" s="138">
        <v>40329.0</v>
      </c>
      <c r="E1024" s="139">
        <v>40351.0</v>
      </c>
      <c r="F1024" s="142" t="s">
        <v>220</v>
      </c>
      <c r="G1024" s="142">
        <v>2010.0</v>
      </c>
      <c r="H1024" s="46">
        <v>8969.0</v>
      </c>
      <c r="I1024" s="46">
        <v>5310.0</v>
      </c>
      <c r="J1024" s="84">
        <v>810199.8</v>
      </c>
      <c r="K1024" s="84">
        <v>517406.39999999997</v>
      </c>
      <c r="L1024" s="84">
        <v>292793.4000000001</v>
      </c>
      <c r="M1024" s="46" t="s">
        <v>182</v>
      </c>
      <c r="N1024" s="46" t="s">
        <v>196</v>
      </c>
      <c r="O1024" s="46" t="s">
        <v>146</v>
      </c>
      <c r="P1024" s="46" t="s">
        <v>155</v>
      </c>
      <c r="Q1024" s="46" t="str">
        <f t="shared" si="1"/>
        <v>May, 2010</v>
      </c>
      <c r="R1024" s="115">
        <f t="shared" si="2"/>
        <v>40299</v>
      </c>
      <c r="S1024" s="49">
        <f t="array" ref="S1024">WEEKDAY(D1024,2)</f>
        <v>1</v>
      </c>
      <c r="T1024" s="46" t="s">
        <v>125</v>
      </c>
      <c r="U1024" s="46" t="str">
        <f t="array" ref="U1024">TEXT(D1024,"dddd")</f>
        <v>Monday</v>
      </c>
    </row>
    <row r="1025" hidden="1">
      <c r="A1025" s="46">
        <v>7.68676316E8</v>
      </c>
      <c r="B1025" s="137" t="s">
        <v>227</v>
      </c>
      <c r="C1025" s="137">
        <v>2014.0</v>
      </c>
      <c r="D1025" s="138">
        <v>41645.0</v>
      </c>
      <c r="E1025" s="139">
        <v>41678.0</v>
      </c>
      <c r="F1025" s="142" t="s">
        <v>228</v>
      </c>
      <c r="G1025" s="142">
        <v>2014.0</v>
      </c>
      <c r="H1025" s="46">
        <v>5988.0</v>
      </c>
      <c r="I1025" s="46">
        <v>7259.0</v>
      </c>
      <c r="J1025" s="84">
        <v>1118321.54</v>
      </c>
      <c r="K1025" s="84">
        <v>660060.87</v>
      </c>
      <c r="L1025" s="84">
        <v>458260.67000000004</v>
      </c>
      <c r="M1025" s="46" t="s">
        <v>159</v>
      </c>
      <c r="N1025" s="46" t="s">
        <v>194</v>
      </c>
      <c r="O1025" s="46" t="s">
        <v>146</v>
      </c>
      <c r="P1025" s="46" t="s">
        <v>155</v>
      </c>
      <c r="Q1025" s="46" t="str">
        <f t="shared" si="1"/>
        <v>January, 2014</v>
      </c>
      <c r="R1025" s="115">
        <f t="shared" si="2"/>
        <v>41640</v>
      </c>
      <c r="S1025" s="49">
        <f t="array" ref="S1025">WEEKDAY(D1025,2)</f>
        <v>1</v>
      </c>
      <c r="T1025" s="46" t="s">
        <v>123</v>
      </c>
      <c r="U1025" s="46" t="str">
        <f t="array" ref="U1025">TEXT(D1025,"dddd")</f>
        <v>Monday</v>
      </c>
    </row>
    <row r="1026">
      <c r="A1026" s="46">
        <v>7.70821654E8</v>
      </c>
      <c r="B1026" s="137" t="s">
        <v>217</v>
      </c>
      <c r="C1026" s="137">
        <v>2014.0</v>
      </c>
      <c r="D1026" s="138">
        <v>41846.0</v>
      </c>
      <c r="E1026" s="139">
        <v>41870.0</v>
      </c>
      <c r="F1026" s="142" t="s">
        <v>216</v>
      </c>
      <c r="G1026" s="142">
        <v>2014.0</v>
      </c>
      <c r="H1026" s="46">
        <v>8681.0</v>
      </c>
      <c r="I1026" s="46">
        <v>2112.0</v>
      </c>
      <c r="J1026" s="84">
        <v>1375355.52</v>
      </c>
      <c r="K1026" s="84">
        <v>1108715.52</v>
      </c>
      <c r="L1026" s="84">
        <v>266640.0</v>
      </c>
      <c r="M1026" s="46" t="s">
        <v>153</v>
      </c>
      <c r="N1026" s="46" t="s">
        <v>149</v>
      </c>
      <c r="O1026" s="46" t="s">
        <v>149</v>
      </c>
      <c r="P1026" s="46" t="s">
        <v>218</v>
      </c>
      <c r="Q1026" s="46" t="str">
        <f t="shared" si="1"/>
        <v>July, 2014</v>
      </c>
      <c r="R1026" s="115">
        <f t="shared" si="2"/>
        <v>41821</v>
      </c>
      <c r="S1026" s="49">
        <f t="array" ref="S1026">WEEKDAY(D1026,2)</f>
        <v>6</v>
      </c>
      <c r="T1026" s="46" t="s">
        <v>92</v>
      </c>
      <c r="U1026" s="46" t="str">
        <f t="array" ref="U1026">TEXT(D1026,"dddd")</f>
        <v>Saturday</v>
      </c>
    </row>
    <row r="1027" hidden="1">
      <c r="A1027" s="46">
        <v>7.71674382E8</v>
      </c>
      <c r="B1027" s="137" t="s">
        <v>228</v>
      </c>
      <c r="C1027" s="137">
        <v>2013.0</v>
      </c>
      <c r="D1027" s="138">
        <v>41319.0</v>
      </c>
      <c r="E1027" s="139">
        <v>41354.0</v>
      </c>
      <c r="F1027" s="142" t="s">
        <v>222</v>
      </c>
      <c r="G1027" s="142">
        <v>2013.0</v>
      </c>
      <c r="H1027" s="46">
        <v>5988.0</v>
      </c>
      <c r="I1027" s="46">
        <v>4453.0</v>
      </c>
      <c r="J1027" s="84">
        <v>686029.18</v>
      </c>
      <c r="K1027" s="84">
        <v>404911.29000000004</v>
      </c>
      <c r="L1027" s="84">
        <v>281117.89</v>
      </c>
      <c r="M1027" s="46" t="s">
        <v>159</v>
      </c>
      <c r="N1027" s="46" t="s">
        <v>201</v>
      </c>
      <c r="O1027" s="46" t="s">
        <v>146</v>
      </c>
      <c r="P1027" s="46" t="s">
        <v>170</v>
      </c>
      <c r="Q1027" s="46" t="str">
        <f t="shared" si="1"/>
        <v>February, 2013</v>
      </c>
      <c r="R1027" s="115">
        <f t="shared" si="2"/>
        <v>41306</v>
      </c>
      <c r="S1027" s="49">
        <f t="array" ref="S1027">WEEKDAY(D1027,2)</f>
        <v>4</v>
      </c>
      <c r="T1027" s="46" t="s">
        <v>130</v>
      </c>
      <c r="U1027" s="46" t="str">
        <f t="array" ref="U1027">TEXT(D1027,"dddd")</f>
        <v>Thursday</v>
      </c>
    </row>
    <row r="1028" hidden="1">
      <c r="A1028" s="46">
        <v>7.72643411E8</v>
      </c>
      <c r="B1028" s="137" t="s">
        <v>217</v>
      </c>
      <c r="C1028" s="137">
        <v>2010.0</v>
      </c>
      <c r="D1028" s="138">
        <v>40378.0</v>
      </c>
      <c r="E1028" s="139">
        <v>40415.0</v>
      </c>
      <c r="F1028" s="142" t="s">
        <v>216</v>
      </c>
      <c r="G1028" s="142">
        <v>2010.0</v>
      </c>
      <c r="H1028" s="46">
        <v>2103.0</v>
      </c>
      <c r="I1028" s="46">
        <v>1210.0</v>
      </c>
      <c r="J1028" s="84">
        <v>248897.0</v>
      </c>
      <c r="K1028" s="84">
        <v>141703.1</v>
      </c>
      <c r="L1028" s="84">
        <v>107193.9</v>
      </c>
      <c r="M1028" s="46" t="s">
        <v>144</v>
      </c>
      <c r="N1028" s="46" t="s">
        <v>203</v>
      </c>
      <c r="O1028" s="46" t="s">
        <v>146</v>
      </c>
      <c r="P1028" s="46" t="s">
        <v>170</v>
      </c>
      <c r="Q1028" s="46" t="str">
        <f t="shared" si="1"/>
        <v>July, 2010</v>
      </c>
      <c r="R1028" s="115">
        <f t="shared" si="2"/>
        <v>40360</v>
      </c>
      <c r="S1028" s="49">
        <f t="array" ref="S1028">WEEKDAY(D1028,2)</f>
        <v>1</v>
      </c>
      <c r="T1028" s="46" t="s">
        <v>132</v>
      </c>
      <c r="U1028" s="46" t="str">
        <f t="array" ref="U1028">TEXT(D1028,"dddd")</f>
        <v>Monday</v>
      </c>
    </row>
    <row r="1029" hidden="1">
      <c r="A1029" s="46">
        <v>7.72893178E8</v>
      </c>
      <c r="B1029" s="137" t="s">
        <v>227</v>
      </c>
      <c r="C1029" s="137">
        <v>2012.0</v>
      </c>
      <c r="D1029" s="138">
        <v>40910.0</v>
      </c>
      <c r="E1029" s="139">
        <v>40910.0</v>
      </c>
      <c r="F1029" s="142" t="s">
        <v>227</v>
      </c>
      <c r="G1029" s="142">
        <v>2012.0</v>
      </c>
      <c r="H1029" s="46">
        <v>1270.0</v>
      </c>
      <c r="I1029" s="46">
        <v>5122.0</v>
      </c>
      <c r="J1029" s="84">
        <v>243038.90000000002</v>
      </c>
      <c r="K1029" s="84">
        <v>162828.38</v>
      </c>
      <c r="L1029" s="84">
        <v>80210.52000000002</v>
      </c>
      <c r="M1029" s="46" t="s">
        <v>152</v>
      </c>
      <c r="N1029" s="46" t="s">
        <v>191</v>
      </c>
      <c r="O1029" s="46" t="s">
        <v>146</v>
      </c>
      <c r="P1029" s="46" t="s">
        <v>147</v>
      </c>
      <c r="Q1029" s="46" t="str">
        <f t="shared" si="1"/>
        <v>January, 2012</v>
      </c>
      <c r="R1029" s="115">
        <f t="shared" si="2"/>
        <v>40909</v>
      </c>
      <c r="S1029" s="49">
        <f t="array" ref="S1029">WEEKDAY(D1029,2)</f>
        <v>1</v>
      </c>
      <c r="T1029" s="46" t="s">
        <v>120</v>
      </c>
      <c r="U1029" s="46" t="str">
        <f t="array" ref="U1029">TEXT(D1029,"dddd")</f>
        <v>Monday</v>
      </c>
    </row>
    <row r="1030" hidden="1">
      <c r="A1030" s="46">
        <v>7.73645913E8</v>
      </c>
      <c r="B1030" s="137" t="s">
        <v>227</v>
      </c>
      <c r="C1030" s="137">
        <v>2011.0</v>
      </c>
      <c r="D1030" s="138">
        <v>40565.0</v>
      </c>
      <c r="E1030" s="139">
        <v>40571.0</v>
      </c>
      <c r="F1030" s="142" t="s">
        <v>227</v>
      </c>
      <c r="G1030" s="142">
        <v>2011.0</v>
      </c>
      <c r="H1030" s="46">
        <v>8293.0</v>
      </c>
      <c r="I1030" s="46">
        <v>7873.0</v>
      </c>
      <c r="J1030" s="84">
        <v>3442075.6</v>
      </c>
      <c r="K1030" s="84">
        <v>2073197.0899999999</v>
      </c>
      <c r="L1030" s="84">
        <v>1368878.5100000002</v>
      </c>
      <c r="M1030" s="46" t="s">
        <v>178</v>
      </c>
      <c r="N1030" s="46" t="s">
        <v>181</v>
      </c>
      <c r="O1030" s="46" t="s">
        <v>146</v>
      </c>
      <c r="P1030" s="46" t="s">
        <v>155</v>
      </c>
      <c r="Q1030" s="46" t="str">
        <f t="shared" si="1"/>
        <v>January, 2011</v>
      </c>
      <c r="R1030" s="115">
        <f t="shared" si="2"/>
        <v>40544</v>
      </c>
      <c r="S1030" s="49">
        <f t="array" ref="S1030">WEEKDAY(D1030,2)</f>
        <v>6</v>
      </c>
      <c r="T1030" s="46" t="s">
        <v>113</v>
      </c>
      <c r="U1030" s="46" t="str">
        <f t="array" ref="U1030">TEXT(D1030,"dddd")</f>
        <v>Saturday</v>
      </c>
    </row>
    <row r="1031" hidden="1">
      <c r="A1031" s="46">
        <v>7.74698626E8</v>
      </c>
      <c r="B1031" s="137" t="s">
        <v>222</v>
      </c>
      <c r="C1031" s="137">
        <v>2016.0</v>
      </c>
      <c r="D1031" s="138">
        <v>42441.0</v>
      </c>
      <c r="E1031" s="139">
        <v>42467.0</v>
      </c>
      <c r="F1031" s="142" t="s">
        <v>223</v>
      </c>
      <c r="G1031" s="142">
        <v>2016.0</v>
      </c>
      <c r="H1031" s="46">
        <v>4594.0</v>
      </c>
      <c r="I1031" s="46">
        <v>9394.0</v>
      </c>
      <c r="J1031" s="84">
        <v>87646.02</v>
      </c>
      <c r="K1031" s="84">
        <v>65006.479999999996</v>
      </c>
      <c r="L1031" s="84">
        <v>22639.540000000008</v>
      </c>
      <c r="M1031" s="46" t="s">
        <v>156</v>
      </c>
      <c r="N1031" s="46" t="s">
        <v>196</v>
      </c>
      <c r="O1031" s="46" t="s">
        <v>146</v>
      </c>
      <c r="P1031" s="46" t="s">
        <v>155</v>
      </c>
      <c r="Q1031" s="46" t="str">
        <f t="shared" si="1"/>
        <v>March, 2016</v>
      </c>
      <c r="R1031" s="115">
        <f t="shared" si="2"/>
        <v>42430</v>
      </c>
      <c r="S1031" s="49">
        <f t="array" ref="S1031">WEEKDAY(D1031,2)</f>
        <v>6</v>
      </c>
      <c r="T1031" s="46" t="s">
        <v>125</v>
      </c>
      <c r="U1031" s="46" t="str">
        <f t="array" ref="U1031">TEXT(D1031,"dddd")</f>
        <v>Saturday</v>
      </c>
    </row>
    <row r="1032" hidden="1">
      <c r="A1032" s="46">
        <v>7.74926936E8</v>
      </c>
      <c r="B1032" s="137" t="s">
        <v>224</v>
      </c>
      <c r="C1032" s="137">
        <v>2014.0</v>
      </c>
      <c r="D1032" s="138">
        <v>41967.0</v>
      </c>
      <c r="E1032" s="139">
        <v>41970.0</v>
      </c>
      <c r="F1032" s="142" t="s">
        <v>224</v>
      </c>
      <c r="G1032" s="142">
        <v>2014.0</v>
      </c>
      <c r="H1032" s="46">
        <v>4594.0</v>
      </c>
      <c r="I1032" s="46">
        <v>6956.0</v>
      </c>
      <c r="J1032" s="84">
        <v>64899.48</v>
      </c>
      <c r="K1032" s="84">
        <v>48135.52</v>
      </c>
      <c r="L1032" s="84">
        <v>16763.960000000006</v>
      </c>
      <c r="M1032" s="46" t="s">
        <v>156</v>
      </c>
      <c r="N1032" s="46" t="s">
        <v>184</v>
      </c>
      <c r="O1032" s="46" t="s">
        <v>146</v>
      </c>
      <c r="P1032" s="46" t="s">
        <v>155</v>
      </c>
      <c r="Q1032" s="46" t="str">
        <f t="shared" si="1"/>
        <v>November, 2014</v>
      </c>
      <c r="R1032" s="115">
        <f t="shared" si="2"/>
        <v>41944</v>
      </c>
      <c r="S1032" s="49">
        <f t="array" ref="S1032">WEEKDAY(D1032,2)</f>
        <v>1</v>
      </c>
      <c r="T1032" s="46" t="s">
        <v>114</v>
      </c>
      <c r="U1032" s="46" t="str">
        <f t="array" ref="U1032">TEXT(D1032,"dddd")</f>
        <v>Monday</v>
      </c>
    </row>
    <row r="1033" hidden="1">
      <c r="A1033" s="46">
        <v>7.75008904E8</v>
      </c>
      <c r="B1033" s="137" t="s">
        <v>224</v>
      </c>
      <c r="C1033" s="137">
        <v>2013.0</v>
      </c>
      <c r="D1033" s="138">
        <v>41604.0</v>
      </c>
      <c r="E1033" s="139">
        <v>41641.0</v>
      </c>
      <c r="F1033" s="142" t="s">
        <v>227</v>
      </c>
      <c r="G1033" s="142">
        <v>2014.0</v>
      </c>
      <c r="H1033" s="46">
        <v>7331.0</v>
      </c>
      <c r="I1033" s="46">
        <v>1212.0</v>
      </c>
      <c r="J1033" s="84">
        <v>309399.36</v>
      </c>
      <c r="K1033" s="84">
        <v>193217.03999999998</v>
      </c>
      <c r="L1033" s="84">
        <v>116182.32</v>
      </c>
      <c r="M1033" s="46" t="s">
        <v>161</v>
      </c>
      <c r="N1033" s="46" t="s">
        <v>200</v>
      </c>
      <c r="O1033" s="46" t="s">
        <v>146</v>
      </c>
      <c r="P1033" s="46" t="s">
        <v>158</v>
      </c>
      <c r="Q1033" s="46" t="str">
        <f t="shared" si="1"/>
        <v>November, 2013</v>
      </c>
      <c r="R1033" s="115">
        <f t="shared" si="2"/>
        <v>41579</v>
      </c>
      <c r="S1033" s="49">
        <f t="array" ref="S1033">WEEKDAY(D1033,2)</f>
        <v>2</v>
      </c>
      <c r="T1033" s="46" t="s">
        <v>129</v>
      </c>
      <c r="U1033" s="46" t="str">
        <f t="array" ref="U1033">TEXT(D1033,"dddd")</f>
        <v>Tuesday</v>
      </c>
    </row>
    <row r="1034" hidden="1">
      <c r="A1034" s="46">
        <v>7.75347936E8</v>
      </c>
      <c r="B1034" s="137" t="s">
        <v>220</v>
      </c>
      <c r="C1034" s="137">
        <v>2013.0</v>
      </c>
      <c r="D1034" s="138">
        <v>41452.0</v>
      </c>
      <c r="E1034" s="139">
        <v>41463.0</v>
      </c>
      <c r="F1034" s="142" t="s">
        <v>217</v>
      </c>
      <c r="G1034" s="142">
        <v>2013.0</v>
      </c>
      <c r="H1034" s="46">
        <v>7331.0</v>
      </c>
      <c r="I1034" s="46">
        <v>1539.0</v>
      </c>
      <c r="J1034" s="84">
        <v>392875.92</v>
      </c>
      <c r="K1034" s="84">
        <v>245347.37999999998</v>
      </c>
      <c r="L1034" s="84">
        <v>147528.54</v>
      </c>
      <c r="M1034" s="46" t="s">
        <v>161</v>
      </c>
      <c r="N1034" s="46" t="s">
        <v>162</v>
      </c>
      <c r="O1034" s="46" t="s">
        <v>146</v>
      </c>
      <c r="P1034" s="46" t="s">
        <v>147</v>
      </c>
      <c r="Q1034" s="46" t="str">
        <f t="shared" si="1"/>
        <v>June, 2013</v>
      </c>
      <c r="R1034" s="115">
        <f t="shared" si="2"/>
        <v>41426</v>
      </c>
      <c r="S1034" s="49">
        <f t="array" ref="S1034">WEEKDAY(D1034,2)</f>
        <v>4</v>
      </c>
      <c r="T1034" s="46" t="s">
        <v>99</v>
      </c>
      <c r="U1034" s="46" t="str">
        <f t="array" ref="U1034">TEXT(D1034,"dddd")</f>
        <v>Thursday</v>
      </c>
    </row>
    <row r="1035" hidden="1">
      <c r="A1035" s="46">
        <v>7.75849616E8</v>
      </c>
      <c r="B1035" s="137" t="s">
        <v>228</v>
      </c>
      <c r="C1035" s="137">
        <v>2012.0</v>
      </c>
      <c r="D1035" s="138">
        <v>40956.0</v>
      </c>
      <c r="E1035" s="139">
        <v>40973.0</v>
      </c>
      <c r="F1035" s="142" t="s">
        <v>222</v>
      </c>
      <c r="G1035" s="142">
        <v>2012.0</v>
      </c>
      <c r="H1035" s="46">
        <v>8681.0</v>
      </c>
      <c r="I1035" s="46">
        <v>9997.0</v>
      </c>
      <c r="J1035" s="84">
        <v>6510146.37</v>
      </c>
      <c r="K1035" s="84">
        <v>5248025.12</v>
      </c>
      <c r="L1035" s="84">
        <v>1262121.25</v>
      </c>
      <c r="M1035" s="46" t="s">
        <v>153</v>
      </c>
      <c r="N1035" s="46" t="s">
        <v>186</v>
      </c>
      <c r="O1035" s="46" t="s">
        <v>146</v>
      </c>
      <c r="P1035" s="46" t="s">
        <v>147</v>
      </c>
      <c r="Q1035" s="46" t="str">
        <f t="shared" si="1"/>
        <v>February, 2012</v>
      </c>
      <c r="R1035" s="115">
        <f t="shared" si="2"/>
        <v>40940</v>
      </c>
      <c r="S1035" s="49">
        <f t="array" ref="S1035">WEEKDAY(D1035,2)</f>
        <v>5</v>
      </c>
      <c r="T1035" s="46" t="s">
        <v>115</v>
      </c>
      <c r="U1035" s="46" t="str">
        <f t="array" ref="U1035">TEXT(D1035,"dddd")</f>
        <v>Friday</v>
      </c>
    </row>
    <row r="1036" hidden="1">
      <c r="A1036" s="46">
        <v>7.7701863E8</v>
      </c>
      <c r="B1036" s="137" t="s">
        <v>228</v>
      </c>
      <c r="C1036" s="137">
        <v>2016.0</v>
      </c>
      <c r="D1036" s="138">
        <v>42419.0</v>
      </c>
      <c r="E1036" s="139">
        <v>42448.0</v>
      </c>
      <c r="F1036" s="142" t="s">
        <v>222</v>
      </c>
      <c r="G1036" s="142">
        <v>2016.0</v>
      </c>
      <c r="H1036" s="46">
        <v>5988.0</v>
      </c>
      <c r="I1036" s="46">
        <v>5935.0</v>
      </c>
      <c r="J1036" s="84">
        <v>914346.1</v>
      </c>
      <c r="K1036" s="84">
        <v>539669.55</v>
      </c>
      <c r="L1036" s="84">
        <v>374676.54999999993</v>
      </c>
      <c r="M1036" s="46" t="s">
        <v>159</v>
      </c>
      <c r="N1036" s="46" t="s">
        <v>173</v>
      </c>
      <c r="O1036" s="46" t="s">
        <v>146</v>
      </c>
      <c r="P1036" s="46" t="s">
        <v>155</v>
      </c>
      <c r="Q1036" s="46" t="str">
        <f t="shared" si="1"/>
        <v>February, 2016</v>
      </c>
      <c r="R1036" s="115">
        <f t="shared" si="2"/>
        <v>42401</v>
      </c>
      <c r="S1036" s="49">
        <f t="array" ref="S1036">WEEKDAY(D1036,2)</f>
        <v>5</v>
      </c>
      <c r="T1036" s="46" t="s">
        <v>106</v>
      </c>
      <c r="U1036" s="46" t="str">
        <f t="array" ref="U1036">TEXT(D1036,"dddd")</f>
        <v>Friday</v>
      </c>
    </row>
    <row r="1037" hidden="1">
      <c r="A1037" s="46">
        <v>7.80590045E8</v>
      </c>
      <c r="B1037" s="137" t="s">
        <v>221</v>
      </c>
      <c r="C1037" s="137">
        <v>2013.0</v>
      </c>
      <c r="D1037" s="138">
        <v>41527.0</v>
      </c>
      <c r="E1037" s="139">
        <v>41550.0</v>
      </c>
      <c r="F1037" s="142" t="s">
        <v>226</v>
      </c>
      <c r="G1037" s="142">
        <v>2013.0</v>
      </c>
      <c r="H1037" s="46">
        <v>8875.0</v>
      </c>
      <c r="I1037" s="46">
        <v>2796.0</v>
      </c>
      <c r="J1037" s="84">
        <v>1179604.44</v>
      </c>
      <c r="K1037" s="84">
        <v>1019673.24</v>
      </c>
      <c r="L1037" s="84">
        <v>159931.19999999995</v>
      </c>
      <c r="M1037" s="46" t="s">
        <v>167</v>
      </c>
      <c r="N1037" s="46" t="s">
        <v>196</v>
      </c>
      <c r="O1037" s="46" t="s">
        <v>146</v>
      </c>
      <c r="P1037" s="46" t="s">
        <v>155</v>
      </c>
      <c r="Q1037" s="46" t="str">
        <f t="shared" si="1"/>
        <v>September, 2013</v>
      </c>
      <c r="R1037" s="115">
        <f t="shared" si="2"/>
        <v>41518</v>
      </c>
      <c r="S1037" s="49">
        <f t="array" ref="S1037">WEEKDAY(D1037,2)</f>
        <v>2</v>
      </c>
      <c r="T1037" s="46" t="s">
        <v>125</v>
      </c>
      <c r="U1037" s="46" t="str">
        <f t="array" ref="U1037">TEXT(D1037,"dddd")</f>
        <v>Tuesday</v>
      </c>
    </row>
    <row r="1038" hidden="1">
      <c r="A1038" s="46">
        <v>7.80899035E8</v>
      </c>
      <c r="B1038" s="137" t="s">
        <v>220</v>
      </c>
      <c r="C1038" s="137">
        <v>2012.0</v>
      </c>
      <c r="D1038" s="138">
        <v>41073.0</v>
      </c>
      <c r="E1038" s="139">
        <v>41120.0</v>
      </c>
      <c r="F1038" s="142" t="s">
        <v>217</v>
      </c>
      <c r="G1038" s="142">
        <v>2012.0</v>
      </c>
      <c r="H1038" s="46">
        <v>8293.0</v>
      </c>
      <c r="I1038" s="46">
        <v>4233.0</v>
      </c>
      <c r="J1038" s="84">
        <v>1850667.5999999999</v>
      </c>
      <c r="K1038" s="84">
        <v>1114675.89</v>
      </c>
      <c r="L1038" s="84">
        <v>735991.71</v>
      </c>
      <c r="M1038" s="46" t="s">
        <v>178</v>
      </c>
      <c r="N1038" s="46" t="s">
        <v>154</v>
      </c>
      <c r="O1038" s="46" t="s">
        <v>146</v>
      </c>
      <c r="P1038" s="46" t="s">
        <v>155</v>
      </c>
      <c r="Q1038" s="46" t="str">
        <f t="shared" si="1"/>
        <v>June, 2012</v>
      </c>
      <c r="R1038" s="115">
        <f t="shared" si="2"/>
        <v>41061</v>
      </c>
      <c r="S1038" s="49">
        <f t="array" ref="S1038">WEEKDAY(D1038,2)</f>
        <v>3</v>
      </c>
      <c r="T1038" s="46" t="s">
        <v>96</v>
      </c>
      <c r="U1038" s="46" t="str">
        <f t="array" ref="U1038">TEXT(D1038,"dddd")</f>
        <v>Wednesday</v>
      </c>
    </row>
    <row r="1039" hidden="1">
      <c r="A1039" s="46">
        <v>7.81083571E8</v>
      </c>
      <c r="B1039" s="137" t="s">
        <v>220</v>
      </c>
      <c r="C1039" s="137">
        <v>2016.0</v>
      </c>
      <c r="D1039" s="138">
        <v>42530.0</v>
      </c>
      <c r="E1039" s="139">
        <v>42539.0</v>
      </c>
      <c r="F1039" s="142" t="s">
        <v>220</v>
      </c>
      <c r="G1039" s="142">
        <v>2016.0</v>
      </c>
      <c r="H1039" s="46">
        <v>2455.0</v>
      </c>
      <c r="I1039" s="46">
        <v>8841.0</v>
      </c>
      <c r="J1039" s="84">
        <v>966144.48</v>
      </c>
      <c r="K1039" s="84">
        <v>316861.44</v>
      </c>
      <c r="L1039" s="84">
        <v>649283.04</v>
      </c>
      <c r="M1039" s="46" t="s">
        <v>150</v>
      </c>
      <c r="N1039" s="46" t="s">
        <v>162</v>
      </c>
      <c r="O1039" s="46" t="s">
        <v>146</v>
      </c>
      <c r="P1039" s="46" t="s">
        <v>147</v>
      </c>
      <c r="Q1039" s="46" t="str">
        <f t="shared" si="1"/>
        <v>June, 2016</v>
      </c>
      <c r="R1039" s="115">
        <f t="shared" si="2"/>
        <v>42522</v>
      </c>
      <c r="S1039" s="49">
        <f t="array" ref="S1039">WEEKDAY(D1039,2)</f>
        <v>4</v>
      </c>
      <c r="T1039" s="46" t="s">
        <v>99</v>
      </c>
      <c r="U1039" s="46" t="str">
        <f t="array" ref="U1039">TEXT(D1039,"dddd")</f>
        <v>Thursday</v>
      </c>
    </row>
    <row r="1040" hidden="1">
      <c r="A1040" s="46">
        <v>7.81416594E8</v>
      </c>
      <c r="B1040" s="137" t="s">
        <v>224</v>
      </c>
      <c r="C1040" s="137">
        <v>2015.0</v>
      </c>
      <c r="D1040" s="138">
        <v>42317.0</v>
      </c>
      <c r="E1040" s="139">
        <v>42361.0</v>
      </c>
      <c r="F1040" s="142" t="s">
        <v>225</v>
      </c>
      <c r="G1040" s="142">
        <v>2015.0</v>
      </c>
      <c r="H1040" s="46">
        <v>8875.0</v>
      </c>
      <c r="I1040" s="46">
        <v>7390.0</v>
      </c>
      <c r="J1040" s="84">
        <v>3117767.1</v>
      </c>
      <c r="K1040" s="84">
        <v>2695059.1</v>
      </c>
      <c r="L1040" s="84">
        <v>422708.0</v>
      </c>
      <c r="M1040" s="46" t="s">
        <v>167</v>
      </c>
      <c r="N1040" s="46" t="s">
        <v>164</v>
      </c>
      <c r="O1040" s="46" t="s">
        <v>165</v>
      </c>
      <c r="P1040" s="46" t="s">
        <v>166</v>
      </c>
      <c r="Q1040" s="46" t="str">
        <f t="shared" si="1"/>
        <v>November, 2015</v>
      </c>
      <c r="R1040" s="115">
        <f t="shared" si="2"/>
        <v>42309</v>
      </c>
      <c r="S1040" s="49">
        <f t="array" ref="S1040">WEEKDAY(D1040,2)</f>
        <v>1</v>
      </c>
      <c r="T1040" s="46" t="s">
        <v>101</v>
      </c>
      <c r="U1040" s="46" t="str">
        <f t="array" ref="U1040">TEXT(D1040,"dddd")</f>
        <v>Monday</v>
      </c>
    </row>
    <row r="1041" hidden="1">
      <c r="A1041" s="46">
        <v>7.831169E8</v>
      </c>
      <c r="B1041" s="137" t="s">
        <v>228</v>
      </c>
      <c r="C1041" s="137">
        <v>2017.0</v>
      </c>
      <c r="D1041" s="138">
        <v>42792.0</v>
      </c>
      <c r="E1041" s="139">
        <v>42808.0</v>
      </c>
      <c r="F1041" s="142" t="s">
        <v>222</v>
      </c>
      <c r="G1041" s="142">
        <v>2017.0</v>
      </c>
      <c r="H1041" s="46">
        <v>2455.0</v>
      </c>
      <c r="I1041" s="46">
        <v>548.0</v>
      </c>
      <c r="J1041" s="84">
        <v>59885.44</v>
      </c>
      <c r="K1041" s="84">
        <v>19640.320000000003</v>
      </c>
      <c r="L1041" s="84">
        <v>40245.119999999995</v>
      </c>
      <c r="M1041" s="46" t="s">
        <v>150</v>
      </c>
      <c r="N1041" s="46" t="s">
        <v>169</v>
      </c>
      <c r="O1041" s="46" t="s">
        <v>146</v>
      </c>
      <c r="P1041" s="46" t="s">
        <v>170</v>
      </c>
      <c r="Q1041" s="46" t="str">
        <f t="shared" si="1"/>
        <v>February, 2017</v>
      </c>
      <c r="R1041" s="115">
        <f t="shared" si="2"/>
        <v>42767</v>
      </c>
      <c r="S1041" s="49">
        <f t="array" ref="S1041">WEEKDAY(D1041,2)</f>
        <v>7</v>
      </c>
      <c r="T1041" s="46" t="s">
        <v>103</v>
      </c>
      <c r="U1041" s="46" t="str">
        <f t="array" ref="U1041">TEXT(D1041,"dddd")</f>
        <v>Sunday</v>
      </c>
    </row>
    <row r="1042" hidden="1">
      <c r="A1042" s="46">
        <v>7.83594977E8</v>
      </c>
      <c r="B1042" s="137" t="s">
        <v>223</v>
      </c>
      <c r="C1042" s="137">
        <v>2017.0</v>
      </c>
      <c r="D1042" s="138">
        <v>42850.0</v>
      </c>
      <c r="E1042" s="139">
        <v>42856.0</v>
      </c>
      <c r="F1042" s="142" t="s">
        <v>219</v>
      </c>
      <c r="G1042" s="142">
        <v>2017.0</v>
      </c>
      <c r="H1042" s="46">
        <v>8875.0</v>
      </c>
      <c r="I1042" s="46">
        <v>2022.0</v>
      </c>
      <c r="J1042" s="84">
        <v>853061.58</v>
      </c>
      <c r="K1042" s="84">
        <v>737403.18</v>
      </c>
      <c r="L1042" s="84">
        <v>115658.3999999999</v>
      </c>
      <c r="M1042" s="46" t="s">
        <v>167</v>
      </c>
      <c r="N1042" s="46" t="s">
        <v>181</v>
      </c>
      <c r="O1042" s="46" t="s">
        <v>146</v>
      </c>
      <c r="P1042" s="46" t="s">
        <v>155</v>
      </c>
      <c r="Q1042" s="46" t="str">
        <f t="shared" si="1"/>
        <v>April, 2017</v>
      </c>
      <c r="R1042" s="115">
        <f t="shared" si="2"/>
        <v>42826</v>
      </c>
      <c r="S1042" s="49">
        <f t="array" ref="S1042">WEEKDAY(D1042,2)</f>
        <v>2</v>
      </c>
      <c r="T1042" s="46" t="s">
        <v>113</v>
      </c>
      <c r="U1042" s="46" t="str">
        <f t="array" ref="U1042">TEXT(D1042,"dddd")</f>
        <v>Tuesday</v>
      </c>
    </row>
    <row r="1043">
      <c r="A1043" s="46">
        <v>7.83913838E8</v>
      </c>
      <c r="B1043" s="137" t="s">
        <v>228</v>
      </c>
      <c r="C1043" s="137">
        <v>2013.0</v>
      </c>
      <c r="D1043" s="138">
        <v>41310.0</v>
      </c>
      <c r="E1043" s="139">
        <v>41342.0</v>
      </c>
      <c r="F1043" s="142" t="s">
        <v>222</v>
      </c>
      <c r="G1043" s="142">
        <v>2013.0</v>
      </c>
      <c r="H1043" s="46">
        <v>8969.0</v>
      </c>
      <c r="I1043" s="46">
        <v>6380.0</v>
      </c>
      <c r="J1043" s="84">
        <v>973460.4</v>
      </c>
      <c r="K1043" s="84">
        <v>621667.2</v>
      </c>
      <c r="L1043" s="84">
        <v>351793.20000000007</v>
      </c>
      <c r="M1043" s="46" t="s">
        <v>182</v>
      </c>
      <c r="N1043" s="46" t="s">
        <v>149</v>
      </c>
      <c r="O1043" s="46" t="s">
        <v>149</v>
      </c>
      <c r="P1043" s="46" t="s">
        <v>218</v>
      </c>
      <c r="Q1043" s="46" t="str">
        <f t="shared" si="1"/>
        <v>February, 2013</v>
      </c>
      <c r="R1043" s="115">
        <f t="shared" si="2"/>
        <v>41306</v>
      </c>
      <c r="S1043" s="49">
        <f t="array" ref="S1043">WEEKDAY(D1043,2)</f>
        <v>2</v>
      </c>
      <c r="T1043" s="46" t="s">
        <v>92</v>
      </c>
      <c r="U1043" s="46" t="str">
        <f t="array" ref="U1043">TEXT(D1043,"dddd")</f>
        <v>Tuesday</v>
      </c>
    </row>
    <row r="1044" hidden="1">
      <c r="A1044" s="46">
        <v>7.84397923E8</v>
      </c>
      <c r="B1044" s="137" t="s">
        <v>220</v>
      </c>
      <c r="C1044" s="137">
        <v>2013.0</v>
      </c>
      <c r="D1044" s="138">
        <v>41428.0</v>
      </c>
      <c r="E1044" s="139">
        <v>41440.0</v>
      </c>
      <c r="F1044" s="142" t="s">
        <v>220</v>
      </c>
      <c r="G1044" s="142">
        <v>2013.0</v>
      </c>
      <c r="H1044" s="46">
        <v>8969.0</v>
      </c>
      <c r="I1044" s="46">
        <v>9631.0</v>
      </c>
      <c r="J1044" s="84">
        <v>1469497.9800000002</v>
      </c>
      <c r="K1044" s="84">
        <v>938444.64</v>
      </c>
      <c r="L1044" s="84">
        <v>531053.3400000002</v>
      </c>
      <c r="M1044" s="46" t="s">
        <v>182</v>
      </c>
      <c r="N1044" s="46" t="s">
        <v>205</v>
      </c>
      <c r="O1044" s="46" t="s">
        <v>146</v>
      </c>
      <c r="P1044" s="46" t="s">
        <v>170</v>
      </c>
      <c r="Q1044" s="46" t="str">
        <f t="shared" si="1"/>
        <v>June, 2013</v>
      </c>
      <c r="R1044" s="115">
        <f t="shared" si="2"/>
        <v>41426</v>
      </c>
      <c r="S1044" s="49">
        <f t="array" ref="S1044">WEEKDAY(D1044,2)</f>
        <v>1</v>
      </c>
      <c r="T1044" s="46" t="s">
        <v>135</v>
      </c>
      <c r="U1044" s="46" t="str">
        <f t="array" ref="U1044">TEXT(D1044,"dddd")</f>
        <v>Monday</v>
      </c>
    </row>
    <row r="1045" hidden="1">
      <c r="A1045" s="46">
        <v>7.85364806E8</v>
      </c>
      <c r="B1045" s="137" t="s">
        <v>228</v>
      </c>
      <c r="C1045" s="137">
        <v>2015.0</v>
      </c>
      <c r="D1045" s="138">
        <v>42047.0</v>
      </c>
      <c r="E1045" s="139">
        <v>42084.0</v>
      </c>
      <c r="F1045" s="142" t="s">
        <v>222</v>
      </c>
      <c r="G1045" s="142">
        <v>2015.0</v>
      </c>
      <c r="H1045" s="46">
        <v>7940.0</v>
      </c>
      <c r="I1045" s="46">
        <v>5754.0</v>
      </c>
      <c r="J1045" s="84">
        <v>3845225.58</v>
      </c>
      <c r="K1045" s="84">
        <v>2891615.16</v>
      </c>
      <c r="L1045" s="84">
        <v>953610.4199999999</v>
      </c>
      <c r="M1045" s="46" t="s">
        <v>148</v>
      </c>
      <c r="N1045" s="46" t="s">
        <v>187</v>
      </c>
      <c r="O1045" s="46" t="s">
        <v>146</v>
      </c>
      <c r="P1045" s="46" t="s">
        <v>155</v>
      </c>
      <c r="Q1045" s="46" t="str">
        <f t="shared" si="1"/>
        <v>February, 2015</v>
      </c>
      <c r="R1045" s="115">
        <f t="shared" si="2"/>
        <v>42036</v>
      </c>
      <c r="S1045" s="49">
        <f t="array" ref="S1045">WEEKDAY(D1045,2)</f>
        <v>4</v>
      </c>
      <c r="T1045" s="46" t="s">
        <v>116</v>
      </c>
      <c r="U1045" s="46" t="str">
        <f t="array" ref="U1045">TEXT(D1045,"dddd")</f>
        <v>Thursday</v>
      </c>
    </row>
    <row r="1046" hidden="1">
      <c r="A1046" s="46">
        <v>7.86318385E8</v>
      </c>
      <c r="B1046" s="137" t="s">
        <v>217</v>
      </c>
      <c r="C1046" s="137">
        <v>2017.0</v>
      </c>
      <c r="D1046" s="138">
        <v>42927.0</v>
      </c>
      <c r="E1046" s="139">
        <v>42970.0</v>
      </c>
      <c r="F1046" s="142" t="s">
        <v>216</v>
      </c>
      <c r="G1046" s="142">
        <v>2017.0</v>
      </c>
      <c r="H1046" s="46">
        <v>1270.0</v>
      </c>
      <c r="I1046" s="46">
        <v>7939.0</v>
      </c>
      <c r="J1046" s="84">
        <v>376705.55000000005</v>
      </c>
      <c r="K1046" s="84">
        <v>252380.81</v>
      </c>
      <c r="L1046" s="84">
        <v>124324.74000000005</v>
      </c>
      <c r="M1046" s="46" t="s">
        <v>152</v>
      </c>
      <c r="N1046" s="46" t="s">
        <v>192</v>
      </c>
      <c r="O1046" s="46" t="s">
        <v>146</v>
      </c>
      <c r="P1046" s="46" t="s">
        <v>158</v>
      </c>
      <c r="Q1046" s="46" t="str">
        <f t="shared" si="1"/>
        <v>July, 2017</v>
      </c>
      <c r="R1046" s="115">
        <f t="shared" si="2"/>
        <v>42917</v>
      </c>
      <c r="S1046" s="49">
        <f t="array" ref="S1046">WEEKDAY(D1046,2)</f>
        <v>2</v>
      </c>
      <c r="T1046" s="46" t="s">
        <v>121</v>
      </c>
      <c r="U1046" s="46" t="str">
        <f t="array" ref="U1046">TEXT(D1046,"dddd")</f>
        <v>Tuesday</v>
      </c>
    </row>
    <row r="1047" hidden="1">
      <c r="A1047" s="46">
        <v>7.8948425E8</v>
      </c>
      <c r="B1047" s="137" t="s">
        <v>217</v>
      </c>
      <c r="C1047" s="137">
        <v>2011.0</v>
      </c>
      <c r="D1047" s="138">
        <v>40729.0</v>
      </c>
      <c r="E1047" s="139">
        <v>40754.0</v>
      </c>
      <c r="F1047" s="142" t="s">
        <v>217</v>
      </c>
      <c r="G1047" s="142">
        <v>2011.0</v>
      </c>
      <c r="H1047" s="46">
        <v>8969.0</v>
      </c>
      <c r="I1047" s="46">
        <v>4789.0</v>
      </c>
      <c r="J1047" s="84">
        <v>730705.6200000001</v>
      </c>
      <c r="K1047" s="84">
        <v>466640.16</v>
      </c>
      <c r="L1047" s="84">
        <v>264065.46000000014</v>
      </c>
      <c r="M1047" s="46" t="s">
        <v>182</v>
      </c>
      <c r="N1047" s="46" t="s">
        <v>184</v>
      </c>
      <c r="O1047" s="46" t="s">
        <v>146</v>
      </c>
      <c r="P1047" s="46" t="s">
        <v>155</v>
      </c>
      <c r="Q1047" s="46" t="str">
        <f t="shared" si="1"/>
        <v>July, 2011</v>
      </c>
      <c r="R1047" s="115">
        <f t="shared" si="2"/>
        <v>40725</v>
      </c>
      <c r="S1047" s="49">
        <f t="array" ref="S1047">WEEKDAY(D1047,2)</f>
        <v>2</v>
      </c>
      <c r="T1047" s="46" t="s">
        <v>114</v>
      </c>
      <c r="U1047" s="46" t="str">
        <f t="array" ref="U1047">TEXT(D1047,"dddd")</f>
        <v>Tuesday</v>
      </c>
    </row>
    <row r="1048" hidden="1">
      <c r="A1048" s="46">
        <v>7.89760196E8</v>
      </c>
      <c r="B1048" s="137" t="s">
        <v>225</v>
      </c>
      <c r="C1048" s="137">
        <v>2016.0</v>
      </c>
      <c r="D1048" s="138">
        <v>42710.0</v>
      </c>
      <c r="E1048" s="139">
        <v>42737.0</v>
      </c>
      <c r="F1048" s="142" t="s">
        <v>227</v>
      </c>
      <c r="G1048" s="142">
        <v>2017.0</v>
      </c>
      <c r="H1048" s="46">
        <v>3127.0</v>
      </c>
      <c r="I1048" s="46">
        <v>6447.0</v>
      </c>
      <c r="J1048" s="84">
        <v>526913.31</v>
      </c>
      <c r="K1048" s="84">
        <v>365351.49</v>
      </c>
      <c r="L1048" s="84">
        <v>161561.82000000007</v>
      </c>
      <c r="M1048" s="46" t="s">
        <v>185</v>
      </c>
      <c r="N1048" s="46" t="s">
        <v>164</v>
      </c>
      <c r="O1048" s="46" t="s">
        <v>165</v>
      </c>
      <c r="P1048" s="46" t="s">
        <v>166</v>
      </c>
      <c r="Q1048" s="46" t="str">
        <f t="shared" si="1"/>
        <v>December, 2016</v>
      </c>
      <c r="R1048" s="115">
        <f t="shared" si="2"/>
        <v>42705</v>
      </c>
      <c r="S1048" s="49">
        <f t="array" ref="S1048">WEEKDAY(D1048,2)</f>
        <v>2</v>
      </c>
      <c r="T1048" s="46" t="s">
        <v>101</v>
      </c>
      <c r="U1048" s="46" t="str">
        <f t="array" ref="U1048">TEXT(D1048,"dddd")</f>
        <v>Tuesday</v>
      </c>
    </row>
    <row r="1049" hidden="1">
      <c r="A1049" s="46">
        <v>7.90149009E8</v>
      </c>
      <c r="B1049" s="137" t="s">
        <v>219</v>
      </c>
      <c r="C1049" s="137">
        <v>2011.0</v>
      </c>
      <c r="D1049" s="138">
        <v>40686.0</v>
      </c>
      <c r="E1049" s="139">
        <v>40692.0</v>
      </c>
      <c r="F1049" s="142" t="s">
        <v>219</v>
      </c>
      <c r="G1049" s="142">
        <v>2011.0</v>
      </c>
      <c r="H1049" s="46">
        <v>8293.0</v>
      </c>
      <c r="I1049" s="46">
        <v>1505.0</v>
      </c>
      <c r="J1049" s="84">
        <v>657986.0</v>
      </c>
      <c r="K1049" s="84">
        <v>396311.64999999997</v>
      </c>
      <c r="L1049" s="84">
        <v>261674.35000000003</v>
      </c>
      <c r="M1049" s="46" t="s">
        <v>178</v>
      </c>
      <c r="N1049" s="46" t="s">
        <v>188</v>
      </c>
      <c r="O1049" s="46" t="s">
        <v>146</v>
      </c>
      <c r="P1049" s="46" t="s">
        <v>170</v>
      </c>
      <c r="Q1049" s="46" t="str">
        <f t="shared" si="1"/>
        <v>May, 2011</v>
      </c>
      <c r="R1049" s="115">
        <f t="shared" si="2"/>
        <v>40664</v>
      </c>
      <c r="S1049" s="49">
        <f t="array" ref="S1049">WEEKDAY(D1049,2)</f>
        <v>1</v>
      </c>
      <c r="T1049" s="46" t="s">
        <v>117</v>
      </c>
      <c r="U1049" s="46" t="str">
        <f t="array" ref="U1049">TEXT(D1049,"dddd")</f>
        <v>Monday</v>
      </c>
    </row>
    <row r="1050" hidden="1">
      <c r="A1050" s="46">
        <v>7.91692674E8</v>
      </c>
      <c r="B1050" s="137" t="s">
        <v>226</v>
      </c>
      <c r="C1050" s="137">
        <v>2013.0</v>
      </c>
      <c r="D1050" s="138">
        <v>41564.0</v>
      </c>
      <c r="E1050" s="139">
        <v>41602.0</v>
      </c>
      <c r="F1050" s="142" t="s">
        <v>224</v>
      </c>
      <c r="G1050" s="142">
        <v>2013.0</v>
      </c>
      <c r="H1050" s="46">
        <v>4594.0</v>
      </c>
      <c r="I1050" s="46">
        <v>8310.0</v>
      </c>
      <c r="J1050" s="84">
        <v>77532.3</v>
      </c>
      <c r="K1050" s="84">
        <v>57505.2</v>
      </c>
      <c r="L1050" s="84">
        <v>20027.100000000006</v>
      </c>
      <c r="M1050" s="46" t="s">
        <v>156</v>
      </c>
      <c r="N1050" s="46" t="s">
        <v>176</v>
      </c>
      <c r="O1050" s="46" t="s">
        <v>146</v>
      </c>
      <c r="P1050" s="46" t="s">
        <v>158</v>
      </c>
      <c r="Q1050" s="46" t="str">
        <f t="shared" si="1"/>
        <v>October, 2013</v>
      </c>
      <c r="R1050" s="115">
        <f t="shared" si="2"/>
        <v>41548</v>
      </c>
      <c r="S1050" s="49">
        <f t="array" ref="S1050">WEEKDAY(D1050,2)</f>
        <v>4</v>
      </c>
      <c r="T1050" s="46" t="s">
        <v>109</v>
      </c>
      <c r="U1050" s="46" t="str">
        <f t="array" ref="U1050">TEXT(D1050,"dddd")</f>
        <v>Thursday</v>
      </c>
    </row>
    <row r="1051" hidden="1">
      <c r="A1051" s="46">
        <v>7.91890084E8</v>
      </c>
      <c r="B1051" s="137" t="s">
        <v>224</v>
      </c>
      <c r="C1051" s="137">
        <v>2014.0</v>
      </c>
      <c r="D1051" s="138">
        <v>41965.0</v>
      </c>
      <c r="E1051" s="139">
        <v>41988.0</v>
      </c>
      <c r="F1051" s="142" t="s">
        <v>225</v>
      </c>
      <c r="G1051" s="142">
        <v>2014.0</v>
      </c>
      <c r="H1051" s="46">
        <v>2103.0</v>
      </c>
      <c r="I1051" s="46">
        <v>6728.0</v>
      </c>
      <c r="J1051" s="84">
        <v>1383949.5999999999</v>
      </c>
      <c r="K1051" s="84">
        <v>787916.08</v>
      </c>
      <c r="L1051" s="84">
        <v>596033.5199999999</v>
      </c>
      <c r="M1051" s="46" t="s">
        <v>144</v>
      </c>
      <c r="N1051" s="46" t="s">
        <v>176</v>
      </c>
      <c r="O1051" s="46" t="s">
        <v>146</v>
      </c>
      <c r="P1051" s="46" t="s">
        <v>158</v>
      </c>
      <c r="Q1051" s="46" t="str">
        <f t="shared" si="1"/>
        <v>November, 2014</v>
      </c>
      <c r="R1051" s="115">
        <f t="shared" si="2"/>
        <v>41944</v>
      </c>
      <c r="S1051" s="49">
        <f t="array" ref="S1051">WEEKDAY(D1051,2)</f>
        <v>6</v>
      </c>
      <c r="T1051" s="46" t="s">
        <v>109</v>
      </c>
      <c r="U1051" s="46" t="str">
        <f t="array" ref="U1051">TEXT(D1051,"dddd")</f>
        <v>Saturday</v>
      </c>
    </row>
    <row r="1052" hidden="1">
      <c r="A1052" s="46">
        <v>7.92178905E8</v>
      </c>
      <c r="B1052" s="137" t="s">
        <v>220</v>
      </c>
      <c r="C1052" s="137">
        <v>2017.0</v>
      </c>
      <c r="D1052" s="138">
        <v>42889.0</v>
      </c>
      <c r="E1052" s="139">
        <v>42937.0</v>
      </c>
      <c r="F1052" s="142" t="s">
        <v>217</v>
      </c>
      <c r="G1052" s="142">
        <v>2017.0</v>
      </c>
      <c r="H1052" s="46">
        <v>2103.0</v>
      </c>
      <c r="I1052" s="46">
        <v>2197.0</v>
      </c>
      <c r="J1052" s="84">
        <v>451922.89999999997</v>
      </c>
      <c r="K1052" s="84">
        <v>257290.67</v>
      </c>
      <c r="L1052" s="84">
        <v>194632.22999999995</v>
      </c>
      <c r="M1052" s="46" t="s">
        <v>144</v>
      </c>
      <c r="N1052" s="46" t="s">
        <v>206</v>
      </c>
      <c r="O1052" s="46" t="s">
        <v>146</v>
      </c>
      <c r="P1052" s="46" t="s">
        <v>158</v>
      </c>
      <c r="Q1052" s="46" t="str">
        <f t="shared" si="1"/>
        <v>June, 2017</v>
      </c>
      <c r="R1052" s="115">
        <f t="shared" si="2"/>
        <v>42887</v>
      </c>
      <c r="S1052" s="49">
        <f t="array" ref="S1052">WEEKDAY(D1052,2)</f>
        <v>6</v>
      </c>
      <c r="T1052" s="46" t="s">
        <v>136</v>
      </c>
      <c r="U1052" s="46" t="str">
        <f t="array" ref="U1052">TEXT(D1052,"dddd")</f>
        <v>Saturday</v>
      </c>
    </row>
    <row r="1053">
      <c r="A1053" s="46">
        <v>7.92792594E8</v>
      </c>
      <c r="B1053" s="137" t="s">
        <v>224</v>
      </c>
      <c r="C1053" s="137">
        <v>2015.0</v>
      </c>
      <c r="D1053" s="138">
        <v>42333.0</v>
      </c>
      <c r="E1053" s="139">
        <v>42371.0</v>
      </c>
      <c r="F1053" s="142" t="s">
        <v>227</v>
      </c>
      <c r="G1053" s="142">
        <v>2016.0</v>
      </c>
      <c r="H1053" s="46">
        <v>7940.0</v>
      </c>
      <c r="I1053" s="46">
        <v>3801.0</v>
      </c>
      <c r="J1053" s="84">
        <v>2540094.27</v>
      </c>
      <c r="K1053" s="84">
        <v>1910154.54</v>
      </c>
      <c r="L1053" s="84">
        <v>629939.73</v>
      </c>
      <c r="M1053" s="46" t="s">
        <v>148</v>
      </c>
      <c r="N1053" s="46" t="s">
        <v>149</v>
      </c>
      <c r="O1053" s="46" t="s">
        <v>149</v>
      </c>
      <c r="P1053" s="46" t="s">
        <v>218</v>
      </c>
      <c r="Q1053" s="46" t="str">
        <f t="shared" si="1"/>
        <v>November, 2015</v>
      </c>
      <c r="R1053" s="115">
        <f t="shared" si="2"/>
        <v>42309</v>
      </c>
      <c r="S1053" s="49">
        <f t="array" ref="S1053">WEEKDAY(D1053,2)</f>
        <v>3</v>
      </c>
      <c r="T1053" s="46" t="s">
        <v>92</v>
      </c>
      <c r="U1053" s="46" t="str">
        <f t="array" ref="U1053">TEXT(D1053,"dddd")</f>
        <v>Wednesday</v>
      </c>
    </row>
    <row r="1054" hidden="1">
      <c r="A1054" s="46">
        <v>7.95141351E8</v>
      </c>
      <c r="B1054" s="137" t="s">
        <v>228</v>
      </c>
      <c r="C1054" s="137">
        <v>2010.0</v>
      </c>
      <c r="D1054" s="138">
        <v>40229.0</v>
      </c>
      <c r="E1054" s="139">
        <v>40233.0</v>
      </c>
      <c r="F1054" s="142" t="s">
        <v>228</v>
      </c>
      <c r="G1054" s="142">
        <v>2010.0</v>
      </c>
      <c r="H1054" s="46">
        <v>1270.0</v>
      </c>
      <c r="I1054" s="46">
        <v>8850.0</v>
      </c>
      <c r="J1054" s="84">
        <v>419932.5</v>
      </c>
      <c r="K1054" s="84">
        <v>281341.5</v>
      </c>
      <c r="L1054" s="84">
        <v>138591.0</v>
      </c>
      <c r="M1054" s="46" t="s">
        <v>152</v>
      </c>
      <c r="N1054" s="46" t="s">
        <v>208</v>
      </c>
      <c r="O1054" s="46" t="s">
        <v>146</v>
      </c>
      <c r="P1054" s="46" t="s">
        <v>147</v>
      </c>
      <c r="Q1054" s="46" t="str">
        <f t="shared" si="1"/>
        <v>February, 2010</v>
      </c>
      <c r="R1054" s="115">
        <f t="shared" si="2"/>
        <v>40210</v>
      </c>
      <c r="S1054" s="49">
        <f t="array" ref="S1054">WEEKDAY(D1054,2)</f>
        <v>6</v>
      </c>
      <c r="T1054" s="46" t="s">
        <v>138</v>
      </c>
      <c r="U1054" s="46" t="str">
        <f t="array" ref="U1054">TEXT(D1054,"dddd")</f>
        <v>Saturday</v>
      </c>
    </row>
    <row r="1055" hidden="1">
      <c r="A1055" s="46">
        <v>7.96418511E8</v>
      </c>
      <c r="B1055" s="137" t="s">
        <v>228</v>
      </c>
      <c r="C1055" s="137">
        <v>2017.0</v>
      </c>
      <c r="D1055" s="138">
        <v>42778.0</v>
      </c>
      <c r="E1055" s="139">
        <v>42817.0</v>
      </c>
      <c r="F1055" s="142" t="s">
        <v>222</v>
      </c>
      <c r="G1055" s="142">
        <v>2017.0</v>
      </c>
      <c r="H1055" s="46">
        <v>8875.0</v>
      </c>
      <c r="I1055" s="46">
        <v>6791.0</v>
      </c>
      <c r="J1055" s="84">
        <v>2865054.9899999998</v>
      </c>
      <c r="K1055" s="84">
        <v>2476609.79</v>
      </c>
      <c r="L1055" s="84">
        <v>388445.1999999997</v>
      </c>
      <c r="M1055" s="46" t="s">
        <v>167</v>
      </c>
      <c r="N1055" s="46" t="s">
        <v>190</v>
      </c>
      <c r="O1055" s="46" t="s">
        <v>146</v>
      </c>
      <c r="P1055" s="46" t="s">
        <v>147</v>
      </c>
      <c r="Q1055" s="46" t="str">
        <f t="shared" si="1"/>
        <v>February, 2017</v>
      </c>
      <c r="R1055" s="115">
        <f t="shared" si="2"/>
        <v>42767</v>
      </c>
      <c r="S1055" s="49">
        <f t="array" ref="S1055">WEEKDAY(D1055,2)</f>
        <v>7</v>
      </c>
      <c r="T1055" s="46" t="s">
        <v>119</v>
      </c>
      <c r="U1055" s="46" t="str">
        <f t="array" ref="U1055">TEXT(D1055,"dddd")</f>
        <v>Sunday</v>
      </c>
    </row>
    <row r="1056" hidden="1">
      <c r="A1056" s="46">
        <v>7.97202146E8</v>
      </c>
      <c r="B1056" s="137" t="s">
        <v>226</v>
      </c>
      <c r="C1056" s="137">
        <v>2013.0</v>
      </c>
      <c r="D1056" s="138">
        <v>41557.0</v>
      </c>
      <c r="E1056" s="139">
        <v>41595.0</v>
      </c>
      <c r="F1056" s="142" t="s">
        <v>224</v>
      </c>
      <c r="G1056" s="142">
        <v>2013.0</v>
      </c>
      <c r="H1056" s="46">
        <v>1270.0</v>
      </c>
      <c r="I1056" s="46">
        <v>8685.0</v>
      </c>
      <c r="J1056" s="84">
        <v>412103.25</v>
      </c>
      <c r="K1056" s="84">
        <v>276096.14999999997</v>
      </c>
      <c r="L1056" s="84">
        <v>136007.10000000003</v>
      </c>
      <c r="M1056" s="46" t="s">
        <v>152</v>
      </c>
      <c r="N1056" s="46" t="s">
        <v>179</v>
      </c>
      <c r="O1056" s="46" t="s">
        <v>146</v>
      </c>
      <c r="P1056" s="46" t="s">
        <v>155</v>
      </c>
      <c r="Q1056" s="46" t="str">
        <f t="shared" si="1"/>
        <v>October, 2013</v>
      </c>
      <c r="R1056" s="115">
        <f t="shared" si="2"/>
        <v>41548</v>
      </c>
      <c r="S1056" s="49">
        <f t="array" ref="S1056">WEEKDAY(D1056,2)</f>
        <v>4</v>
      </c>
      <c r="T1056" s="46" t="s">
        <v>111</v>
      </c>
      <c r="U1056" s="46" t="str">
        <f t="array" ref="U1056">TEXT(D1056,"dddd")</f>
        <v>Thursday</v>
      </c>
    </row>
    <row r="1057" hidden="1">
      <c r="A1057" s="46">
        <v>7.973163E8</v>
      </c>
      <c r="B1057" s="137" t="s">
        <v>224</v>
      </c>
      <c r="C1057" s="137">
        <v>2016.0</v>
      </c>
      <c r="D1057" s="138">
        <v>42703.0</v>
      </c>
      <c r="E1057" s="139">
        <v>42703.0</v>
      </c>
      <c r="F1057" s="142" t="s">
        <v>224</v>
      </c>
      <c r="G1057" s="142">
        <v>2016.0</v>
      </c>
      <c r="H1057" s="46">
        <v>1270.0</v>
      </c>
      <c r="I1057" s="46">
        <v>2466.0</v>
      </c>
      <c r="J1057" s="84">
        <v>117011.70000000001</v>
      </c>
      <c r="K1057" s="84">
        <v>78394.14</v>
      </c>
      <c r="L1057" s="84">
        <v>38617.56000000001</v>
      </c>
      <c r="M1057" s="46" t="s">
        <v>152</v>
      </c>
      <c r="N1057" s="46" t="s">
        <v>145</v>
      </c>
      <c r="O1057" s="46" t="s">
        <v>146</v>
      </c>
      <c r="P1057" s="46" t="s">
        <v>147</v>
      </c>
      <c r="Q1057" s="46" t="str">
        <f t="shared" si="1"/>
        <v>November, 2016</v>
      </c>
      <c r="R1057" s="115">
        <f t="shared" si="2"/>
        <v>42675</v>
      </c>
      <c r="S1057" s="49">
        <f t="array" ref="S1057">WEEKDAY(D1057,2)</f>
        <v>2</v>
      </c>
      <c r="T1057" s="46" t="s">
        <v>91</v>
      </c>
      <c r="U1057" s="46" t="str">
        <f t="array" ref="U1057">TEXT(D1057,"dddd")</f>
        <v>Tuesday</v>
      </c>
    </row>
    <row r="1058" hidden="1">
      <c r="A1058" s="46">
        <v>7.97461354E8</v>
      </c>
      <c r="B1058" s="137" t="s">
        <v>227</v>
      </c>
      <c r="C1058" s="137">
        <v>2010.0</v>
      </c>
      <c r="D1058" s="138">
        <v>40208.0</v>
      </c>
      <c r="E1058" s="139">
        <v>40214.0</v>
      </c>
      <c r="F1058" s="142" t="s">
        <v>228</v>
      </c>
      <c r="G1058" s="142">
        <v>2010.0</v>
      </c>
      <c r="H1058" s="46">
        <v>1270.0</v>
      </c>
      <c r="I1058" s="46">
        <v>5391.0</v>
      </c>
      <c r="J1058" s="84">
        <v>255802.95</v>
      </c>
      <c r="K1058" s="84">
        <v>171379.88999999998</v>
      </c>
      <c r="L1058" s="84">
        <v>84423.06000000003</v>
      </c>
      <c r="M1058" s="46" t="s">
        <v>152</v>
      </c>
      <c r="N1058" s="46" t="s">
        <v>193</v>
      </c>
      <c r="O1058" s="46" t="s">
        <v>146</v>
      </c>
      <c r="P1058" s="46" t="s">
        <v>158</v>
      </c>
      <c r="Q1058" s="46" t="str">
        <f t="shared" si="1"/>
        <v>January, 2010</v>
      </c>
      <c r="R1058" s="115">
        <f t="shared" si="2"/>
        <v>40179</v>
      </c>
      <c r="S1058" s="49">
        <f t="array" ref="S1058">WEEKDAY(D1058,2)</f>
        <v>6</v>
      </c>
      <c r="T1058" s="46" t="s">
        <v>122</v>
      </c>
      <c r="U1058" s="46" t="str">
        <f t="array" ref="U1058">TEXT(D1058,"dddd")</f>
        <v>Saturday</v>
      </c>
    </row>
    <row r="1059" hidden="1">
      <c r="A1059" s="46">
        <v>7.97718417E8</v>
      </c>
      <c r="B1059" s="137" t="s">
        <v>216</v>
      </c>
      <c r="C1059" s="137">
        <v>2010.0</v>
      </c>
      <c r="D1059" s="138">
        <v>40418.0</v>
      </c>
      <c r="E1059" s="139">
        <v>40466.0</v>
      </c>
      <c r="F1059" s="142" t="s">
        <v>226</v>
      </c>
      <c r="G1059" s="142">
        <v>2010.0</v>
      </c>
      <c r="H1059" s="46">
        <v>2103.0</v>
      </c>
      <c r="I1059" s="46">
        <v>1462.0</v>
      </c>
      <c r="J1059" s="84">
        <v>300733.39999999997</v>
      </c>
      <c r="K1059" s="84">
        <v>171214.82</v>
      </c>
      <c r="L1059" s="84">
        <v>129518.57999999996</v>
      </c>
      <c r="M1059" s="46" t="s">
        <v>144</v>
      </c>
      <c r="N1059" s="46" t="s">
        <v>157</v>
      </c>
      <c r="O1059" s="46" t="s">
        <v>146</v>
      </c>
      <c r="P1059" s="46" t="s">
        <v>158</v>
      </c>
      <c r="Q1059" s="46" t="str">
        <f t="shared" si="1"/>
        <v>August, 2010</v>
      </c>
      <c r="R1059" s="115">
        <f t="shared" si="2"/>
        <v>40391</v>
      </c>
      <c r="S1059" s="49">
        <f t="array" ref="S1059">WEEKDAY(D1059,2)</f>
        <v>6</v>
      </c>
      <c r="T1059" s="46" t="s">
        <v>97</v>
      </c>
      <c r="U1059" s="46" t="str">
        <f t="array" ref="U1059">TEXT(D1059,"dddd")</f>
        <v>Saturday</v>
      </c>
    </row>
    <row r="1060">
      <c r="A1060" s="46">
        <v>7.97788369E8</v>
      </c>
      <c r="B1060" s="137" t="s">
        <v>224</v>
      </c>
      <c r="C1060" s="137">
        <v>2016.0</v>
      </c>
      <c r="D1060" s="138">
        <v>42701.0</v>
      </c>
      <c r="E1060" s="139">
        <v>42702.0</v>
      </c>
      <c r="F1060" s="142" t="s">
        <v>224</v>
      </c>
      <c r="G1060" s="142">
        <v>2016.0</v>
      </c>
      <c r="H1060" s="46">
        <v>8681.0</v>
      </c>
      <c r="I1060" s="46">
        <v>2162.0</v>
      </c>
      <c r="J1060" s="84">
        <v>1407916.02</v>
      </c>
      <c r="K1060" s="84">
        <v>1134963.52</v>
      </c>
      <c r="L1060" s="84">
        <v>272952.5</v>
      </c>
      <c r="M1060" s="46" t="s">
        <v>153</v>
      </c>
      <c r="N1060" s="46" t="s">
        <v>149</v>
      </c>
      <c r="O1060" s="46" t="s">
        <v>149</v>
      </c>
      <c r="P1060" s="46" t="s">
        <v>218</v>
      </c>
      <c r="Q1060" s="46" t="str">
        <f t="shared" si="1"/>
        <v>November, 2016</v>
      </c>
      <c r="R1060" s="115">
        <f t="shared" si="2"/>
        <v>42675</v>
      </c>
      <c r="S1060" s="49">
        <f t="array" ref="S1060">WEEKDAY(D1060,2)</f>
        <v>7</v>
      </c>
      <c r="T1060" s="46" t="s">
        <v>92</v>
      </c>
      <c r="U1060" s="46" t="str">
        <f t="array" ref="U1060">TEXT(D1060,"dddd")</f>
        <v>Sunday</v>
      </c>
    </row>
    <row r="1061" hidden="1">
      <c r="A1061" s="46">
        <v>7.99109733E8</v>
      </c>
      <c r="B1061" s="137" t="s">
        <v>222</v>
      </c>
      <c r="C1061" s="137">
        <v>2013.0</v>
      </c>
      <c r="D1061" s="138">
        <v>41347.0</v>
      </c>
      <c r="E1061" s="139">
        <v>41393.0</v>
      </c>
      <c r="F1061" s="142" t="s">
        <v>223</v>
      </c>
      <c r="G1061" s="142">
        <v>2013.0</v>
      </c>
      <c r="H1061" s="46">
        <v>2455.0</v>
      </c>
      <c r="I1061" s="46">
        <v>3183.0</v>
      </c>
      <c r="J1061" s="84">
        <v>347838.24</v>
      </c>
      <c r="K1061" s="84">
        <v>114078.72000000002</v>
      </c>
      <c r="L1061" s="84">
        <v>233759.51999999996</v>
      </c>
      <c r="M1061" s="46" t="s">
        <v>150</v>
      </c>
      <c r="N1061" s="46" t="s">
        <v>190</v>
      </c>
      <c r="O1061" s="46" t="s">
        <v>146</v>
      </c>
      <c r="P1061" s="46" t="s">
        <v>147</v>
      </c>
      <c r="Q1061" s="46" t="str">
        <f t="shared" si="1"/>
        <v>March, 2013</v>
      </c>
      <c r="R1061" s="115">
        <f t="shared" si="2"/>
        <v>41334</v>
      </c>
      <c r="S1061" s="49">
        <f t="array" ref="S1061">WEEKDAY(D1061,2)</f>
        <v>4</v>
      </c>
      <c r="T1061" s="46" t="s">
        <v>119</v>
      </c>
      <c r="U1061" s="46" t="str">
        <f t="array" ref="U1061">TEXT(D1061,"dddd")</f>
        <v>Thursday</v>
      </c>
    </row>
    <row r="1062" hidden="1">
      <c r="A1062" s="46">
        <v>7.99848306E8</v>
      </c>
      <c r="B1062" s="137" t="s">
        <v>222</v>
      </c>
      <c r="C1062" s="137">
        <v>2016.0</v>
      </c>
      <c r="D1062" s="138">
        <v>42440.0</v>
      </c>
      <c r="E1062" s="139">
        <v>42483.0</v>
      </c>
      <c r="F1062" s="142" t="s">
        <v>223</v>
      </c>
      <c r="G1062" s="142">
        <v>2016.0</v>
      </c>
      <c r="H1062" s="46">
        <v>7940.0</v>
      </c>
      <c r="I1062" s="46">
        <v>1743.0</v>
      </c>
      <c r="J1062" s="84">
        <v>1164794.6099999999</v>
      </c>
      <c r="K1062" s="84">
        <v>875927.2200000001</v>
      </c>
      <c r="L1062" s="84">
        <v>288867.3899999998</v>
      </c>
      <c r="M1062" s="46" t="s">
        <v>148</v>
      </c>
      <c r="N1062" s="46" t="s">
        <v>208</v>
      </c>
      <c r="O1062" s="46" t="s">
        <v>146</v>
      </c>
      <c r="P1062" s="46" t="s">
        <v>147</v>
      </c>
      <c r="Q1062" s="46" t="str">
        <f t="shared" si="1"/>
        <v>March, 2016</v>
      </c>
      <c r="R1062" s="115">
        <f t="shared" si="2"/>
        <v>42430</v>
      </c>
      <c r="S1062" s="49">
        <f t="array" ref="S1062">WEEKDAY(D1062,2)</f>
        <v>5</v>
      </c>
      <c r="T1062" s="46" t="s">
        <v>138</v>
      </c>
      <c r="U1062" s="46" t="str">
        <f t="array" ref="U1062">TEXT(D1062,"dddd")</f>
        <v>Friday</v>
      </c>
    </row>
    <row r="1063" hidden="1">
      <c r="A1063" s="46">
        <v>8.00045716E8</v>
      </c>
      <c r="B1063" s="137" t="s">
        <v>223</v>
      </c>
      <c r="C1063" s="137">
        <v>2017.0</v>
      </c>
      <c r="D1063" s="138">
        <v>42841.0</v>
      </c>
      <c r="E1063" s="139">
        <v>42869.0</v>
      </c>
      <c r="F1063" s="142" t="s">
        <v>219</v>
      </c>
      <c r="G1063" s="142">
        <v>2017.0</v>
      </c>
      <c r="H1063" s="46">
        <v>3127.0</v>
      </c>
      <c r="I1063" s="46">
        <v>161.0</v>
      </c>
      <c r="J1063" s="84">
        <v>13158.53</v>
      </c>
      <c r="K1063" s="84">
        <v>9123.87</v>
      </c>
      <c r="L1063" s="84">
        <v>4034.66</v>
      </c>
      <c r="M1063" s="46" t="s">
        <v>185</v>
      </c>
      <c r="N1063" s="46" t="s">
        <v>208</v>
      </c>
      <c r="O1063" s="46" t="s">
        <v>146</v>
      </c>
      <c r="P1063" s="46" t="s">
        <v>147</v>
      </c>
      <c r="Q1063" s="46" t="str">
        <f t="shared" si="1"/>
        <v>April, 2017</v>
      </c>
      <c r="R1063" s="115">
        <f t="shared" si="2"/>
        <v>42826</v>
      </c>
      <c r="S1063" s="49">
        <f t="array" ref="S1063">WEEKDAY(D1063,2)</f>
        <v>7</v>
      </c>
      <c r="T1063" s="46" t="s">
        <v>138</v>
      </c>
      <c r="U1063" s="46" t="str">
        <f t="array" ref="U1063">TEXT(D1063,"dddd")</f>
        <v>Sunday</v>
      </c>
    </row>
    <row r="1064" hidden="1">
      <c r="A1064" s="46">
        <v>8.00352561E8</v>
      </c>
      <c r="B1064" s="137" t="s">
        <v>221</v>
      </c>
      <c r="C1064" s="137">
        <v>2012.0</v>
      </c>
      <c r="D1064" s="138">
        <v>41180.0</v>
      </c>
      <c r="E1064" s="139">
        <v>41203.0</v>
      </c>
      <c r="F1064" s="142" t="s">
        <v>226</v>
      </c>
      <c r="G1064" s="142">
        <v>2012.0</v>
      </c>
      <c r="H1064" s="46">
        <v>5988.0</v>
      </c>
      <c r="I1064" s="46">
        <v>963.0</v>
      </c>
      <c r="J1064" s="84">
        <v>148359.78</v>
      </c>
      <c r="K1064" s="84">
        <v>87565.59000000001</v>
      </c>
      <c r="L1064" s="84">
        <v>60794.18999999999</v>
      </c>
      <c r="M1064" s="46" t="s">
        <v>159</v>
      </c>
      <c r="N1064" s="46" t="s">
        <v>201</v>
      </c>
      <c r="O1064" s="46" t="s">
        <v>146</v>
      </c>
      <c r="P1064" s="46" t="s">
        <v>170</v>
      </c>
      <c r="Q1064" s="46" t="str">
        <f t="shared" si="1"/>
        <v>September, 2012</v>
      </c>
      <c r="R1064" s="115">
        <f t="shared" si="2"/>
        <v>41153</v>
      </c>
      <c r="S1064" s="49">
        <f t="array" ref="S1064">WEEKDAY(D1064,2)</f>
        <v>5</v>
      </c>
      <c r="T1064" s="46" t="s">
        <v>130</v>
      </c>
      <c r="U1064" s="46" t="str">
        <f t="array" ref="U1064">TEXT(D1064,"dddd")</f>
        <v>Friday</v>
      </c>
    </row>
    <row r="1065" hidden="1">
      <c r="A1065" s="46">
        <v>8.01352488E8</v>
      </c>
      <c r="B1065" s="137" t="s">
        <v>219</v>
      </c>
      <c r="C1065" s="137">
        <v>2015.0</v>
      </c>
      <c r="D1065" s="138">
        <v>42130.0</v>
      </c>
      <c r="E1065" s="139">
        <v>42147.0</v>
      </c>
      <c r="F1065" s="142" t="s">
        <v>219</v>
      </c>
      <c r="G1065" s="142">
        <v>2015.0</v>
      </c>
      <c r="H1065" s="46">
        <v>8293.0</v>
      </c>
      <c r="I1065" s="46">
        <v>6864.0</v>
      </c>
      <c r="J1065" s="84">
        <v>3000940.8</v>
      </c>
      <c r="K1065" s="84">
        <v>1807497.1199999999</v>
      </c>
      <c r="L1065" s="84">
        <v>1193443.68</v>
      </c>
      <c r="M1065" s="46" t="s">
        <v>178</v>
      </c>
      <c r="N1065" s="46" t="s">
        <v>169</v>
      </c>
      <c r="O1065" s="46" t="s">
        <v>146</v>
      </c>
      <c r="P1065" s="46" t="s">
        <v>170</v>
      </c>
      <c r="Q1065" s="46" t="str">
        <f t="shared" si="1"/>
        <v>May, 2015</v>
      </c>
      <c r="R1065" s="115">
        <f t="shared" si="2"/>
        <v>42125</v>
      </c>
      <c r="S1065" s="49">
        <f t="array" ref="S1065">WEEKDAY(D1065,2)</f>
        <v>3</v>
      </c>
      <c r="T1065" s="46" t="s">
        <v>103</v>
      </c>
      <c r="U1065" s="46" t="str">
        <f t="array" ref="U1065">TEXT(D1065,"dddd")</f>
        <v>Wednesday</v>
      </c>
    </row>
    <row r="1066" hidden="1">
      <c r="A1066" s="46">
        <v>8.01925837E8</v>
      </c>
      <c r="B1066" s="137" t="s">
        <v>226</v>
      </c>
      <c r="C1066" s="137">
        <v>2013.0</v>
      </c>
      <c r="D1066" s="138">
        <v>41564.0</v>
      </c>
      <c r="E1066" s="139">
        <v>41573.0</v>
      </c>
      <c r="F1066" s="142" t="s">
        <v>226</v>
      </c>
      <c r="G1066" s="142">
        <v>2013.0</v>
      </c>
      <c r="H1066" s="46">
        <v>5988.0</v>
      </c>
      <c r="I1066" s="46">
        <v>6531.0</v>
      </c>
      <c r="J1066" s="84">
        <v>1006165.86</v>
      </c>
      <c r="K1066" s="84">
        <v>593863.8300000001</v>
      </c>
      <c r="L1066" s="84">
        <v>412302.0299999999</v>
      </c>
      <c r="M1066" s="46" t="s">
        <v>159</v>
      </c>
      <c r="N1066" s="46" t="s">
        <v>200</v>
      </c>
      <c r="O1066" s="46" t="s">
        <v>146</v>
      </c>
      <c r="P1066" s="46" t="s">
        <v>158</v>
      </c>
      <c r="Q1066" s="46" t="str">
        <f t="shared" si="1"/>
        <v>October, 2013</v>
      </c>
      <c r="R1066" s="115">
        <f t="shared" si="2"/>
        <v>41548</v>
      </c>
      <c r="S1066" s="49">
        <f t="array" ref="S1066">WEEKDAY(D1066,2)</f>
        <v>4</v>
      </c>
      <c r="T1066" s="46" t="s">
        <v>129</v>
      </c>
      <c r="U1066" s="46" t="str">
        <f t="array" ref="U1066">TEXT(D1066,"dddd")</f>
        <v>Thursday</v>
      </c>
    </row>
    <row r="1067">
      <c r="A1067" s="46">
        <v>8.05095136E8</v>
      </c>
      <c r="B1067" s="137" t="s">
        <v>227</v>
      </c>
      <c r="C1067" s="137">
        <v>2010.0</v>
      </c>
      <c r="D1067" s="138">
        <v>40191.0</v>
      </c>
      <c r="E1067" s="139">
        <v>40198.0</v>
      </c>
      <c r="F1067" s="142" t="s">
        <v>227</v>
      </c>
      <c r="G1067" s="142">
        <v>2010.0</v>
      </c>
      <c r="H1067" s="46">
        <v>5988.0</v>
      </c>
      <c r="I1067" s="46">
        <v>4396.0</v>
      </c>
      <c r="J1067" s="84">
        <v>677247.76</v>
      </c>
      <c r="K1067" s="84">
        <v>399728.28</v>
      </c>
      <c r="L1067" s="84">
        <v>277519.48</v>
      </c>
      <c r="M1067" s="46" t="s">
        <v>159</v>
      </c>
      <c r="N1067" s="46" t="s">
        <v>149</v>
      </c>
      <c r="O1067" s="46" t="s">
        <v>149</v>
      </c>
      <c r="P1067" s="46" t="s">
        <v>218</v>
      </c>
      <c r="Q1067" s="46" t="str">
        <f t="shared" si="1"/>
        <v>January, 2010</v>
      </c>
      <c r="R1067" s="115">
        <f t="shared" si="2"/>
        <v>40179</v>
      </c>
      <c r="S1067" s="49">
        <f t="array" ref="S1067">WEEKDAY(D1067,2)</f>
        <v>3</v>
      </c>
      <c r="T1067" s="46" t="s">
        <v>92</v>
      </c>
      <c r="U1067" s="46" t="str">
        <f t="array" ref="U1067">TEXT(D1067,"dddd")</f>
        <v>Wednesday</v>
      </c>
    </row>
    <row r="1068" hidden="1">
      <c r="A1068" s="46">
        <v>8.05974042E8</v>
      </c>
      <c r="B1068" s="137" t="s">
        <v>217</v>
      </c>
      <c r="C1068" s="137">
        <v>2012.0</v>
      </c>
      <c r="D1068" s="138">
        <v>41112.0</v>
      </c>
      <c r="E1068" s="139">
        <v>41118.0</v>
      </c>
      <c r="F1068" s="142" t="s">
        <v>217</v>
      </c>
      <c r="G1068" s="142">
        <v>2012.0</v>
      </c>
      <c r="H1068" s="46">
        <v>8293.0</v>
      </c>
      <c r="I1068" s="46">
        <v>4484.0</v>
      </c>
      <c r="J1068" s="84">
        <v>1960404.8</v>
      </c>
      <c r="K1068" s="84">
        <v>1180771.72</v>
      </c>
      <c r="L1068" s="84">
        <v>779633.0800000001</v>
      </c>
      <c r="M1068" s="46" t="s">
        <v>178</v>
      </c>
      <c r="N1068" s="46" t="s">
        <v>205</v>
      </c>
      <c r="O1068" s="46" t="s">
        <v>146</v>
      </c>
      <c r="P1068" s="46" t="s">
        <v>170</v>
      </c>
      <c r="Q1068" s="46" t="str">
        <f t="shared" si="1"/>
        <v>July, 2012</v>
      </c>
      <c r="R1068" s="115">
        <f t="shared" si="2"/>
        <v>41091</v>
      </c>
      <c r="S1068" s="49">
        <f t="array" ref="S1068">WEEKDAY(D1068,2)</f>
        <v>7</v>
      </c>
      <c r="T1068" s="46" t="s">
        <v>135</v>
      </c>
      <c r="U1068" s="46" t="str">
        <f t="array" ref="U1068">TEXT(D1068,"dddd")</f>
        <v>Sunday</v>
      </c>
    </row>
    <row r="1069" hidden="1">
      <c r="A1069" s="46">
        <v>8.06197631E8</v>
      </c>
      <c r="B1069" s="137" t="s">
        <v>227</v>
      </c>
      <c r="C1069" s="137">
        <v>2010.0</v>
      </c>
      <c r="D1069" s="138">
        <v>40196.0</v>
      </c>
      <c r="E1069" s="139">
        <v>40227.0</v>
      </c>
      <c r="F1069" s="142" t="s">
        <v>228</v>
      </c>
      <c r="G1069" s="142">
        <v>2010.0</v>
      </c>
      <c r="H1069" s="46">
        <v>7331.0</v>
      </c>
      <c r="I1069" s="46">
        <v>649.0</v>
      </c>
      <c r="J1069" s="84">
        <v>165676.72</v>
      </c>
      <c r="K1069" s="84">
        <v>103463.57999999999</v>
      </c>
      <c r="L1069" s="84">
        <v>62213.140000000014</v>
      </c>
      <c r="M1069" s="46" t="s">
        <v>161</v>
      </c>
      <c r="N1069" s="46" t="s">
        <v>175</v>
      </c>
      <c r="O1069" s="46" t="s">
        <v>165</v>
      </c>
      <c r="P1069" s="46" t="s">
        <v>166</v>
      </c>
      <c r="Q1069" s="46" t="str">
        <f t="shared" si="1"/>
        <v>January, 2010</v>
      </c>
      <c r="R1069" s="115">
        <f t="shared" si="2"/>
        <v>40179</v>
      </c>
      <c r="S1069" s="49">
        <f t="array" ref="S1069">WEEKDAY(D1069,2)</f>
        <v>1</v>
      </c>
      <c r="T1069" s="46" t="s">
        <v>108</v>
      </c>
      <c r="U1069" s="46" t="str">
        <f t="array" ref="U1069">TEXT(D1069,"dddd")</f>
        <v>Monday</v>
      </c>
    </row>
    <row r="1070" hidden="1">
      <c r="A1070" s="46">
        <v>8.06662404E8</v>
      </c>
      <c r="B1070" s="137" t="s">
        <v>225</v>
      </c>
      <c r="C1070" s="137">
        <v>2010.0</v>
      </c>
      <c r="D1070" s="138">
        <v>40516.0</v>
      </c>
      <c r="E1070" s="139">
        <v>40519.0</v>
      </c>
      <c r="F1070" s="142" t="s">
        <v>225</v>
      </c>
      <c r="G1070" s="142">
        <v>2010.0</v>
      </c>
      <c r="H1070" s="46">
        <v>2103.0</v>
      </c>
      <c r="I1070" s="46">
        <v>8186.0</v>
      </c>
      <c r="J1070" s="84">
        <v>1683860.2</v>
      </c>
      <c r="K1070" s="84">
        <v>958662.46</v>
      </c>
      <c r="L1070" s="84">
        <v>725197.74</v>
      </c>
      <c r="M1070" s="46" t="s">
        <v>144</v>
      </c>
      <c r="N1070" s="46" t="s">
        <v>160</v>
      </c>
      <c r="O1070" s="46" t="s">
        <v>146</v>
      </c>
      <c r="P1070" s="46" t="s">
        <v>147</v>
      </c>
      <c r="Q1070" s="46" t="str">
        <f t="shared" si="1"/>
        <v>December, 2010</v>
      </c>
      <c r="R1070" s="115">
        <f t="shared" si="2"/>
        <v>40513</v>
      </c>
      <c r="S1070" s="49">
        <f t="array" ref="S1070">WEEKDAY(D1070,2)</f>
        <v>6</v>
      </c>
      <c r="T1070" s="46" t="s">
        <v>98</v>
      </c>
      <c r="U1070" s="46" t="str">
        <f t="array" ref="U1070">TEXT(D1070,"dddd")</f>
        <v>Saturday</v>
      </c>
    </row>
    <row r="1071">
      <c r="A1071" s="46">
        <v>8.10752236E8</v>
      </c>
      <c r="B1071" s="137" t="s">
        <v>222</v>
      </c>
      <c r="C1071" s="137">
        <v>2016.0</v>
      </c>
      <c r="D1071" s="138">
        <v>42457.0</v>
      </c>
      <c r="E1071" s="139">
        <v>42494.0</v>
      </c>
      <c r="F1071" s="142" t="s">
        <v>219</v>
      </c>
      <c r="G1071" s="142">
        <v>2016.0</v>
      </c>
      <c r="H1071" s="46">
        <v>5988.0</v>
      </c>
      <c r="I1071" s="46">
        <v>8458.0</v>
      </c>
      <c r="J1071" s="84">
        <v>1303039.48</v>
      </c>
      <c r="K1071" s="84">
        <v>769085.9400000001</v>
      </c>
      <c r="L1071" s="84">
        <v>533953.5399999999</v>
      </c>
      <c r="M1071" s="46" t="s">
        <v>159</v>
      </c>
      <c r="N1071" s="46" t="s">
        <v>149</v>
      </c>
      <c r="O1071" s="46" t="s">
        <v>149</v>
      </c>
      <c r="P1071" s="46" t="s">
        <v>218</v>
      </c>
      <c r="Q1071" s="46" t="str">
        <f t="shared" si="1"/>
        <v>March, 2016</v>
      </c>
      <c r="R1071" s="115">
        <f t="shared" si="2"/>
        <v>42430</v>
      </c>
      <c r="S1071" s="49">
        <f t="array" ref="S1071">WEEKDAY(D1071,2)</f>
        <v>1</v>
      </c>
      <c r="T1071" s="46" t="s">
        <v>92</v>
      </c>
      <c r="U1071" s="46" t="str">
        <f t="array" ref="U1071">TEXT(D1071,"dddd")</f>
        <v>Monday</v>
      </c>
    </row>
    <row r="1072" hidden="1">
      <c r="A1072" s="46">
        <v>8.1197704E8</v>
      </c>
      <c r="B1072" s="137" t="s">
        <v>223</v>
      </c>
      <c r="C1072" s="137">
        <v>2015.0</v>
      </c>
      <c r="D1072" s="138">
        <v>42109.0</v>
      </c>
      <c r="E1072" s="139">
        <v>42152.0</v>
      </c>
      <c r="F1072" s="142" t="s">
        <v>219</v>
      </c>
      <c r="G1072" s="142">
        <v>2015.0</v>
      </c>
      <c r="H1072" s="46">
        <v>8293.0</v>
      </c>
      <c r="I1072" s="46">
        <v>905.0</v>
      </c>
      <c r="J1072" s="84">
        <v>395666.0</v>
      </c>
      <c r="K1072" s="84">
        <v>238313.65</v>
      </c>
      <c r="L1072" s="84">
        <v>157352.35</v>
      </c>
      <c r="M1072" s="46" t="s">
        <v>178</v>
      </c>
      <c r="N1072" s="46" t="s">
        <v>193</v>
      </c>
      <c r="O1072" s="46" t="s">
        <v>146</v>
      </c>
      <c r="P1072" s="46" t="s">
        <v>158</v>
      </c>
      <c r="Q1072" s="46" t="str">
        <f t="shared" si="1"/>
        <v>April, 2015</v>
      </c>
      <c r="R1072" s="115">
        <f t="shared" si="2"/>
        <v>42095</v>
      </c>
      <c r="S1072" s="49">
        <f t="array" ref="S1072">WEEKDAY(D1072,2)</f>
        <v>3</v>
      </c>
      <c r="T1072" s="46" t="s">
        <v>122</v>
      </c>
      <c r="U1072" s="46" t="str">
        <f t="array" ref="U1072">TEXT(D1072,"dddd")</f>
        <v>Wednesday</v>
      </c>
    </row>
    <row r="1073" hidden="1">
      <c r="A1073" s="46">
        <v>8.12632358E8</v>
      </c>
      <c r="B1073" s="137" t="s">
        <v>221</v>
      </c>
      <c r="C1073" s="137">
        <v>2012.0</v>
      </c>
      <c r="D1073" s="138">
        <v>41181.0</v>
      </c>
      <c r="E1073" s="139">
        <v>41199.0</v>
      </c>
      <c r="F1073" s="142" t="s">
        <v>226</v>
      </c>
      <c r="G1073" s="142">
        <v>2012.0</v>
      </c>
      <c r="H1073" s="46">
        <v>2103.0</v>
      </c>
      <c r="I1073" s="46">
        <v>4828.0</v>
      </c>
      <c r="J1073" s="84">
        <v>993119.6</v>
      </c>
      <c r="K1073" s="84">
        <v>565407.08</v>
      </c>
      <c r="L1073" s="84">
        <v>427712.52</v>
      </c>
      <c r="M1073" s="46" t="s">
        <v>144</v>
      </c>
      <c r="N1073" s="46" t="s">
        <v>172</v>
      </c>
      <c r="O1073" s="46" t="s">
        <v>146</v>
      </c>
      <c r="P1073" s="46" t="s">
        <v>155</v>
      </c>
      <c r="Q1073" s="46" t="str">
        <f t="shared" si="1"/>
        <v>September, 2012</v>
      </c>
      <c r="R1073" s="115">
        <f t="shared" si="2"/>
        <v>41153</v>
      </c>
      <c r="S1073" s="49">
        <f t="array" ref="S1073">WEEKDAY(D1073,2)</f>
        <v>6</v>
      </c>
      <c r="T1073" s="46" t="s">
        <v>105</v>
      </c>
      <c r="U1073" s="46" t="str">
        <f t="array" ref="U1073">TEXT(D1073,"dddd")</f>
        <v>Saturday</v>
      </c>
    </row>
    <row r="1074" hidden="1">
      <c r="A1074" s="46">
        <v>8.12637078E8</v>
      </c>
      <c r="B1074" s="137" t="s">
        <v>225</v>
      </c>
      <c r="C1074" s="137">
        <v>2013.0</v>
      </c>
      <c r="D1074" s="138">
        <v>41623.0</v>
      </c>
      <c r="E1074" s="139">
        <v>41644.0</v>
      </c>
      <c r="F1074" s="142" t="s">
        <v>227</v>
      </c>
      <c r="G1074" s="142">
        <v>2014.0</v>
      </c>
      <c r="H1074" s="46">
        <v>4594.0</v>
      </c>
      <c r="I1074" s="46">
        <v>6225.0</v>
      </c>
      <c r="J1074" s="84">
        <v>58079.25</v>
      </c>
      <c r="K1074" s="84">
        <v>43077.0</v>
      </c>
      <c r="L1074" s="84">
        <v>15002.25</v>
      </c>
      <c r="M1074" s="46" t="s">
        <v>156</v>
      </c>
      <c r="N1074" s="46" t="s">
        <v>171</v>
      </c>
      <c r="O1074" s="46" t="s">
        <v>146</v>
      </c>
      <c r="P1074" s="46" t="s">
        <v>147</v>
      </c>
      <c r="Q1074" s="46" t="str">
        <f t="shared" si="1"/>
        <v>December, 2013</v>
      </c>
      <c r="R1074" s="115">
        <f t="shared" si="2"/>
        <v>41609</v>
      </c>
      <c r="S1074" s="49">
        <f t="array" ref="S1074">WEEKDAY(D1074,2)</f>
        <v>7</v>
      </c>
      <c r="T1074" s="46" t="s">
        <v>104</v>
      </c>
      <c r="U1074" s="46" t="str">
        <f t="array" ref="U1074">TEXT(D1074,"dddd")</f>
        <v>Sunday</v>
      </c>
    </row>
    <row r="1075">
      <c r="A1075" s="46">
        <v>8.13973891E8</v>
      </c>
      <c r="B1075" s="137" t="s">
        <v>224</v>
      </c>
      <c r="C1075" s="137">
        <v>2012.0</v>
      </c>
      <c r="D1075" s="138">
        <v>41214.0</v>
      </c>
      <c r="E1075" s="139">
        <v>41226.0</v>
      </c>
      <c r="F1075" s="142" t="s">
        <v>224</v>
      </c>
      <c r="G1075" s="142">
        <v>2012.0</v>
      </c>
      <c r="H1075" s="46">
        <v>8293.0</v>
      </c>
      <c r="I1075" s="46">
        <v>1818.0</v>
      </c>
      <c r="J1075" s="84">
        <v>794829.6</v>
      </c>
      <c r="K1075" s="84">
        <v>478733.93999999994</v>
      </c>
      <c r="L1075" s="84">
        <v>316095.66000000003</v>
      </c>
      <c r="M1075" s="46" t="s">
        <v>178</v>
      </c>
      <c r="N1075" s="46" t="s">
        <v>149</v>
      </c>
      <c r="O1075" s="46" t="s">
        <v>149</v>
      </c>
      <c r="P1075" s="46" t="s">
        <v>218</v>
      </c>
      <c r="Q1075" s="46" t="str">
        <f t="shared" si="1"/>
        <v>November, 2012</v>
      </c>
      <c r="R1075" s="115">
        <f t="shared" si="2"/>
        <v>41214</v>
      </c>
      <c r="S1075" s="49">
        <f t="array" ref="S1075">WEEKDAY(D1075,2)</f>
        <v>4</v>
      </c>
      <c r="T1075" s="46" t="s">
        <v>92</v>
      </c>
      <c r="U1075" s="46" t="str">
        <f t="array" ref="U1075">TEXT(D1075,"dddd")</f>
        <v>Thursday</v>
      </c>
    </row>
    <row r="1076">
      <c r="A1076" s="46">
        <v>8.15755307E8</v>
      </c>
      <c r="B1076" s="137" t="s">
        <v>219</v>
      </c>
      <c r="C1076" s="137">
        <v>2016.0</v>
      </c>
      <c r="D1076" s="138">
        <v>42503.0</v>
      </c>
      <c r="E1076" s="139">
        <v>42530.0</v>
      </c>
      <c r="F1076" s="142" t="s">
        <v>220</v>
      </c>
      <c r="G1076" s="142">
        <v>2016.0</v>
      </c>
      <c r="H1076" s="46">
        <v>8875.0</v>
      </c>
      <c r="I1076" s="46">
        <v>8978.0</v>
      </c>
      <c r="J1076" s="84">
        <v>3787728.42</v>
      </c>
      <c r="K1076" s="84">
        <v>3274186.82</v>
      </c>
      <c r="L1076" s="84">
        <v>513541.6000000001</v>
      </c>
      <c r="M1076" s="46" t="s">
        <v>167</v>
      </c>
      <c r="N1076" s="46" t="s">
        <v>149</v>
      </c>
      <c r="O1076" s="46" t="s">
        <v>149</v>
      </c>
      <c r="P1076" s="46" t="s">
        <v>218</v>
      </c>
      <c r="Q1076" s="46" t="str">
        <f t="shared" si="1"/>
        <v>May, 2016</v>
      </c>
      <c r="R1076" s="115">
        <f t="shared" si="2"/>
        <v>42491</v>
      </c>
      <c r="S1076" s="49">
        <f t="array" ref="S1076">WEEKDAY(D1076,2)</f>
        <v>5</v>
      </c>
      <c r="T1076" s="46" t="s">
        <v>92</v>
      </c>
      <c r="U1076" s="46" t="str">
        <f t="array" ref="U1076">TEXT(D1076,"dddd")</f>
        <v>Friday</v>
      </c>
    </row>
    <row r="1077" hidden="1">
      <c r="A1077" s="46">
        <v>8.15917098E8</v>
      </c>
      <c r="B1077" s="137" t="s">
        <v>227</v>
      </c>
      <c r="C1077" s="137">
        <v>2011.0</v>
      </c>
      <c r="D1077" s="138">
        <v>40571.0</v>
      </c>
      <c r="E1077" s="139">
        <v>40587.0</v>
      </c>
      <c r="F1077" s="142" t="s">
        <v>228</v>
      </c>
      <c r="G1077" s="142">
        <v>2011.0</v>
      </c>
      <c r="H1077" s="46">
        <v>8293.0</v>
      </c>
      <c r="I1077" s="46">
        <v>6856.0</v>
      </c>
      <c r="J1077" s="84">
        <v>2997443.1999999997</v>
      </c>
      <c r="K1077" s="84">
        <v>1805390.48</v>
      </c>
      <c r="L1077" s="84">
        <v>1192052.7199999997</v>
      </c>
      <c r="M1077" s="46" t="s">
        <v>178</v>
      </c>
      <c r="N1077" s="46" t="s">
        <v>198</v>
      </c>
      <c r="O1077" s="46" t="s">
        <v>146</v>
      </c>
      <c r="P1077" s="46" t="s">
        <v>170</v>
      </c>
      <c r="Q1077" s="46" t="str">
        <f t="shared" si="1"/>
        <v>January, 2011</v>
      </c>
      <c r="R1077" s="115">
        <f t="shared" si="2"/>
        <v>40544</v>
      </c>
      <c r="S1077" s="49">
        <f t="array" ref="S1077">WEEKDAY(D1077,2)</f>
        <v>5</v>
      </c>
      <c r="T1077" s="46" t="s">
        <v>127</v>
      </c>
      <c r="U1077" s="46" t="str">
        <f t="array" ref="U1077">TEXT(D1077,"dddd")</f>
        <v>Friday</v>
      </c>
    </row>
    <row r="1078" hidden="1">
      <c r="A1078" s="46">
        <v>8.17006289E8</v>
      </c>
      <c r="B1078" s="137" t="s">
        <v>226</v>
      </c>
      <c r="C1078" s="137">
        <v>2011.0</v>
      </c>
      <c r="D1078" s="138">
        <v>40838.0</v>
      </c>
      <c r="E1078" s="139">
        <v>40861.0</v>
      </c>
      <c r="F1078" s="142" t="s">
        <v>224</v>
      </c>
      <c r="G1078" s="142">
        <v>2011.0</v>
      </c>
      <c r="H1078" s="46">
        <v>4594.0</v>
      </c>
      <c r="I1078" s="46">
        <v>9172.0</v>
      </c>
      <c r="J1078" s="84">
        <v>85574.76</v>
      </c>
      <c r="K1078" s="84">
        <v>63470.24</v>
      </c>
      <c r="L1078" s="84">
        <v>22104.519999999997</v>
      </c>
      <c r="M1078" s="46" t="s">
        <v>156</v>
      </c>
      <c r="N1078" s="46" t="s">
        <v>160</v>
      </c>
      <c r="O1078" s="46" t="s">
        <v>146</v>
      </c>
      <c r="P1078" s="46" t="s">
        <v>147</v>
      </c>
      <c r="Q1078" s="46" t="str">
        <f t="shared" si="1"/>
        <v>October, 2011</v>
      </c>
      <c r="R1078" s="115">
        <f t="shared" si="2"/>
        <v>40817</v>
      </c>
      <c r="S1078" s="49">
        <f t="array" ref="S1078">WEEKDAY(D1078,2)</f>
        <v>6</v>
      </c>
      <c r="T1078" s="46" t="s">
        <v>98</v>
      </c>
      <c r="U1078" s="46" t="str">
        <f t="array" ref="U1078">TEXT(D1078,"dddd")</f>
        <v>Saturday</v>
      </c>
    </row>
    <row r="1079" hidden="1">
      <c r="A1079" s="46">
        <v>8.17061221E8</v>
      </c>
      <c r="B1079" s="137" t="s">
        <v>227</v>
      </c>
      <c r="C1079" s="137">
        <v>2010.0</v>
      </c>
      <c r="D1079" s="138">
        <v>40204.0</v>
      </c>
      <c r="E1079" s="139">
        <v>40230.0</v>
      </c>
      <c r="F1079" s="142" t="s">
        <v>228</v>
      </c>
      <c r="G1079" s="142">
        <v>2010.0</v>
      </c>
      <c r="H1079" s="46">
        <v>5988.0</v>
      </c>
      <c r="I1079" s="46">
        <v>5427.0</v>
      </c>
      <c r="J1079" s="84">
        <v>836083.62</v>
      </c>
      <c r="K1079" s="84">
        <v>493477.11000000004</v>
      </c>
      <c r="L1079" s="84">
        <v>342606.50999999995</v>
      </c>
      <c r="M1079" s="46" t="s">
        <v>159</v>
      </c>
      <c r="N1079" s="46" t="s">
        <v>196</v>
      </c>
      <c r="O1079" s="46" t="s">
        <v>146</v>
      </c>
      <c r="P1079" s="46" t="s">
        <v>155</v>
      </c>
      <c r="Q1079" s="46" t="str">
        <f t="shared" si="1"/>
        <v>January, 2010</v>
      </c>
      <c r="R1079" s="115">
        <f t="shared" si="2"/>
        <v>40179</v>
      </c>
      <c r="S1079" s="49">
        <f t="array" ref="S1079">WEEKDAY(D1079,2)</f>
        <v>2</v>
      </c>
      <c r="T1079" s="46" t="s">
        <v>125</v>
      </c>
      <c r="U1079" s="46" t="str">
        <f t="array" ref="U1079">TEXT(D1079,"dddd")</f>
        <v>Tuesday</v>
      </c>
    </row>
    <row r="1080">
      <c r="A1080" s="46">
        <v>8.18976962E8</v>
      </c>
      <c r="B1080" s="137" t="s">
        <v>225</v>
      </c>
      <c r="C1080" s="137">
        <v>2012.0</v>
      </c>
      <c r="D1080" s="138">
        <v>41261.0</v>
      </c>
      <c r="E1080" s="139">
        <v>41264.0</v>
      </c>
      <c r="F1080" s="142" t="s">
        <v>225</v>
      </c>
      <c r="G1080" s="142">
        <v>2012.0</v>
      </c>
      <c r="H1080" s="46">
        <v>5988.0</v>
      </c>
      <c r="I1080" s="46">
        <v>2337.0</v>
      </c>
      <c r="J1080" s="84">
        <v>360038.22000000003</v>
      </c>
      <c r="K1080" s="84">
        <v>212503.41</v>
      </c>
      <c r="L1080" s="84">
        <v>147534.81000000003</v>
      </c>
      <c r="M1080" s="46" t="s">
        <v>159</v>
      </c>
      <c r="N1080" s="46" t="s">
        <v>149</v>
      </c>
      <c r="O1080" s="46" t="s">
        <v>149</v>
      </c>
      <c r="P1080" s="46" t="s">
        <v>218</v>
      </c>
      <c r="Q1080" s="46" t="str">
        <f t="shared" si="1"/>
        <v>December, 2012</v>
      </c>
      <c r="R1080" s="115">
        <f t="shared" si="2"/>
        <v>41244</v>
      </c>
      <c r="S1080" s="49">
        <f t="array" ref="S1080">WEEKDAY(D1080,2)</f>
        <v>2</v>
      </c>
      <c r="T1080" s="46" t="s">
        <v>92</v>
      </c>
      <c r="U1080" s="46" t="str">
        <f t="array" ref="U1080">TEXT(D1080,"dddd")</f>
        <v>Tuesday</v>
      </c>
    </row>
    <row r="1081" hidden="1">
      <c r="A1081" s="46">
        <v>8.19037473E8</v>
      </c>
      <c r="B1081" s="137" t="s">
        <v>226</v>
      </c>
      <c r="C1081" s="137">
        <v>2016.0</v>
      </c>
      <c r="D1081" s="138">
        <v>42658.0</v>
      </c>
      <c r="E1081" s="139">
        <v>42658.0</v>
      </c>
      <c r="F1081" s="142" t="s">
        <v>226</v>
      </c>
      <c r="G1081" s="142">
        <v>2016.0</v>
      </c>
      <c r="H1081" s="46">
        <v>5988.0</v>
      </c>
      <c r="I1081" s="46">
        <v>244.0</v>
      </c>
      <c r="J1081" s="84">
        <v>37590.64</v>
      </c>
      <c r="K1081" s="84">
        <v>22186.920000000002</v>
      </c>
      <c r="L1081" s="84">
        <v>15403.719999999998</v>
      </c>
      <c r="M1081" s="46" t="s">
        <v>159</v>
      </c>
      <c r="N1081" s="46" t="s">
        <v>193</v>
      </c>
      <c r="O1081" s="46" t="s">
        <v>146</v>
      </c>
      <c r="P1081" s="46" t="s">
        <v>158</v>
      </c>
      <c r="Q1081" s="46" t="str">
        <f t="shared" si="1"/>
        <v>October, 2016</v>
      </c>
      <c r="R1081" s="115">
        <f t="shared" si="2"/>
        <v>42644</v>
      </c>
      <c r="S1081" s="49">
        <f t="array" ref="S1081">WEEKDAY(D1081,2)</f>
        <v>6</v>
      </c>
      <c r="T1081" s="46" t="s">
        <v>122</v>
      </c>
      <c r="U1081" s="46" t="str">
        <f t="array" ref="U1081">TEXT(D1081,"dddd")</f>
        <v>Saturday</v>
      </c>
    </row>
    <row r="1082" hidden="1">
      <c r="A1082" s="46">
        <v>8.19152915E8</v>
      </c>
      <c r="B1082" s="137" t="s">
        <v>223</v>
      </c>
      <c r="C1082" s="137">
        <v>2011.0</v>
      </c>
      <c r="D1082" s="138">
        <v>40656.0</v>
      </c>
      <c r="E1082" s="139">
        <v>40657.0</v>
      </c>
      <c r="F1082" s="142" t="s">
        <v>223</v>
      </c>
      <c r="G1082" s="142">
        <v>2011.0</v>
      </c>
      <c r="H1082" s="46">
        <v>8681.0</v>
      </c>
      <c r="I1082" s="46">
        <v>4406.0</v>
      </c>
      <c r="J1082" s="84">
        <v>2869231.2600000002</v>
      </c>
      <c r="K1082" s="84">
        <v>2312973.7600000002</v>
      </c>
      <c r="L1082" s="84">
        <v>556257.5</v>
      </c>
      <c r="M1082" s="46" t="s">
        <v>153</v>
      </c>
      <c r="N1082" s="46" t="s">
        <v>151</v>
      </c>
      <c r="O1082" s="46" t="s">
        <v>146</v>
      </c>
      <c r="P1082" s="46" t="s">
        <v>147</v>
      </c>
      <c r="Q1082" s="46" t="str">
        <f t="shared" si="1"/>
        <v>April, 2011</v>
      </c>
      <c r="R1082" s="115">
        <f t="shared" si="2"/>
        <v>40634</v>
      </c>
      <c r="S1082" s="49">
        <f t="array" ref="S1082">WEEKDAY(D1082,2)</f>
        <v>6</v>
      </c>
      <c r="T1082" s="46" t="s">
        <v>94</v>
      </c>
      <c r="U1082" s="46" t="str">
        <f t="array" ref="U1082">TEXT(D1082,"dddd")</f>
        <v>Saturday</v>
      </c>
    </row>
    <row r="1083" hidden="1">
      <c r="A1083" s="46">
        <v>8.19516837E8</v>
      </c>
      <c r="B1083" s="137" t="s">
        <v>224</v>
      </c>
      <c r="C1083" s="137">
        <v>2015.0</v>
      </c>
      <c r="D1083" s="138">
        <v>42334.0</v>
      </c>
      <c r="E1083" s="139">
        <v>42363.0</v>
      </c>
      <c r="F1083" s="142" t="s">
        <v>225</v>
      </c>
      <c r="G1083" s="142">
        <v>2015.0</v>
      </c>
      <c r="H1083" s="46">
        <v>8293.0</v>
      </c>
      <c r="I1083" s="46">
        <v>2098.0</v>
      </c>
      <c r="J1083" s="84">
        <v>917245.6</v>
      </c>
      <c r="K1083" s="84">
        <v>552466.34</v>
      </c>
      <c r="L1083" s="84">
        <v>364779.26</v>
      </c>
      <c r="M1083" s="46" t="s">
        <v>178</v>
      </c>
      <c r="N1083" s="46" t="s">
        <v>180</v>
      </c>
      <c r="O1083" s="46" t="s">
        <v>146</v>
      </c>
      <c r="P1083" s="46" t="s">
        <v>147</v>
      </c>
      <c r="Q1083" s="46" t="str">
        <f t="shared" si="1"/>
        <v>November, 2015</v>
      </c>
      <c r="R1083" s="115">
        <f t="shared" si="2"/>
        <v>42309</v>
      </c>
      <c r="S1083" s="49">
        <f t="array" ref="S1083">WEEKDAY(D1083,2)</f>
        <v>4</v>
      </c>
      <c r="T1083" s="46" t="s">
        <v>112</v>
      </c>
      <c r="U1083" s="46" t="str">
        <f t="array" ref="U1083">TEXT(D1083,"dddd")</f>
        <v>Thursday</v>
      </c>
    </row>
    <row r="1084">
      <c r="A1084" s="46">
        <v>8.20195758E8</v>
      </c>
      <c r="B1084" s="137" t="s">
        <v>224</v>
      </c>
      <c r="C1084" s="137">
        <v>2011.0</v>
      </c>
      <c r="D1084" s="138">
        <v>40852.0</v>
      </c>
      <c r="E1084" s="139">
        <v>40871.0</v>
      </c>
      <c r="F1084" s="142" t="s">
        <v>224</v>
      </c>
      <c r="G1084" s="142">
        <v>2011.0</v>
      </c>
      <c r="H1084" s="46">
        <v>8969.0</v>
      </c>
      <c r="I1084" s="46">
        <v>3006.0</v>
      </c>
      <c r="J1084" s="84">
        <v>458655.48000000004</v>
      </c>
      <c r="K1084" s="84">
        <v>292904.64</v>
      </c>
      <c r="L1084" s="84">
        <v>165750.84000000003</v>
      </c>
      <c r="M1084" s="46" t="s">
        <v>182</v>
      </c>
      <c r="N1084" s="46" t="s">
        <v>149</v>
      </c>
      <c r="O1084" s="46" t="s">
        <v>149</v>
      </c>
      <c r="P1084" s="46" t="s">
        <v>218</v>
      </c>
      <c r="Q1084" s="46" t="str">
        <f t="shared" si="1"/>
        <v>November, 2011</v>
      </c>
      <c r="R1084" s="115">
        <f t="shared" si="2"/>
        <v>40848</v>
      </c>
      <c r="S1084" s="49">
        <f t="array" ref="S1084">WEEKDAY(D1084,2)</f>
        <v>6</v>
      </c>
      <c r="T1084" s="46" t="s">
        <v>92</v>
      </c>
      <c r="U1084" s="46" t="str">
        <f t="array" ref="U1084">TEXT(D1084,"dddd")</f>
        <v>Saturday</v>
      </c>
    </row>
    <row r="1085" hidden="1">
      <c r="A1085" s="46">
        <v>8.20437371E8</v>
      </c>
      <c r="B1085" s="137" t="s">
        <v>219</v>
      </c>
      <c r="C1085" s="137">
        <v>2017.0</v>
      </c>
      <c r="D1085" s="138">
        <v>42883.0</v>
      </c>
      <c r="E1085" s="139">
        <v>42897.0</v>
      </c>
      <c r="F1085" s="142" t="s">
        <v>220</v>
      </c>
      <c r="G1085" s="142">
        <v>2017.0</v>
      </c>
      <c r="H1085" s="46">
        <v>8875.0</v>
      </c>
      <c r="I1085" s="46">
        <v>4505.0</v>
      </c>
      <c r="J1085" s="84">
        <v>1900614.45</v>
      </c>
      <c r="K1085" s="84">
        <v>1642928.45</v>
      </c>
      <c r="L1085" s="84">
        <v>257686.0</v>
      </c>
      <c r="M1085" s="46" t="s">
        <v>167</v>
      </c>
      <c r="N1085" s="46" t="s">
        <v>163</v>
      </c>
      <c r="O1085" s="46" t="s">
        <v>146</v>
      </c>
      <c r="P1085" s="46" t="s">
        <v>158</v>
      </c>
      <c r="Q1085" s="46" t="str">
        <f t="shared" si="1"/>
        <v>May, 2017</v>
      </c>
      <c r="R1085" s="115">
        <f t="shared" si="2"/>
        <v>42856</v>
      </c>
      <c r="S1085" s="49">
        <f t="array" ref="S1085">WEEKDAY(D1085,2)</f>
        <v>7</v>
      </c>
      <c r="T1085" s="46" t="s">
        <v>100</v>
      </c>
      <c r="U1085" s="46" t="str">
        <f t="array" ref="U1085">TEXT(D1085,"dddd")</f>
        <v>Sunday</v>
      </c>
    </row>
    <row r="1086" hidden="1">
      <c r="A1086" s="46">
        <v>8.21131742E8</v>
      </c>
      <c r="B1086" s="137" t="s">
        <v>225</v>
      </c>
      <c r="C1086" s="137">
        <v>2015.0</v>
      </c>
      <c r="D1086" s="138">
        <v>42347.0</v>
      </c>
      <c r="E1086" s="139">
        <v>42347.0</v>
      </c>
      <c r="F1086" s="142" t="s">
        <v>225</v>
      </c>
      <c r="G1086" s="142">
        <v>2015.0</v>
      </c>
      <c r="H1086" s="46">
        <v>7940.0</v>
      </c>
      <c r="I1086" s="46">
        <v>9985.0</v>
      </c>
      <c r="J1086" s="84">
        <v>6672675.95</v>
      </c>
      <c r="K1086" s="84">
        <v>5017861.9</v>
      </c>
      <c r="L1086" s="84">
        <v>1654814.0499999998</v>
      </c>
      <c r="M1086" s="46" t="s">
        <v>148</v>
      </c>
      <c r="N1086" s="46" t="s">
        <v>191</v>
      </c>
      <c r="O1086" s="46" t="s">
        <v>146</v>
      </c>
      <c r="P1086" s="46" t="s">
        <v>147</v>
      </c>
      <c r="Q1086" s="46" t="str">
        <f t="shared" si="1"/>
        <v>December, 2015</v>
      </c>
      <c r="R1086" s="115">
        <f t="shared" si="2"/>
        <v>42339</v>
      </c>
      <c r="S1086" s="49">
        <f t="array" ref="S1086">WEEKDAY(D1086,2)</f>
        <v>3</v>
      </c>
      <c r="T1086" s="46" t="s">
        <v>120</v>
      </c>
      <c r="U1086" s="46" t="str">
        <f t="array" ref="U1086">TEXT(D1086,"dddd")</f>
        <v>Wednesday</v>
      </c>
    </row>
    <row r="1087" hidden="1">
      <c r="A1087" s="46">
        <v>8.21916663E8</v>
      </c>
      <c r="B1087" s="137" t="s">
        <v>217</v>
      </c>
      <c r="C1087" s="137">
        <v>2011.0</v>
      </c>
      <c r="D1087" s="138">
        <v>40744.0</v>
      </c>
      <c r="E1087" s="139">
        <v>40781.0</v>
      </c>
      <c r="F1087" s="142" t="s">
        <v>216</v>
      </c>
      <c r="G1087" s="142">
        <v>2011.0</v>
      </c>
      <c r="H1087" s="46">
        <v>8293.0</v>
      </c>
      <c r="I1087" s="46">
        <v>2260.0</v>
      </c>
      <c r="J1087" s="84">
        <v>988072.0</v>
      </c>
      <c r="K1087" s="84">
        <v>595125.7999999999</v>
      </c>
      <c r="L1087" s="84">
        <v>392946.20000000007</v>
      </c>
      <c r="M1087" s="46" t="s">
        <v>178</v>
      </c>
      <c r="N1087" s="46" t="s">
        <v>183</v>
      </c>
      <c r="O1087" s="46" t="s">
        <v>146</v>
      </c>
      <c r="P1087" s="46" t="s">
        <v>170</v>
      </c>
      <c r="Q1087" s="46" t="str">
        <f t="shared" si="1"/>
        <v>July, 2011</v>
      </c>
      <c r="R1087" s="115">
        <f t="shared" si="2"/>
        <v>40725</v>
      </c>
      <c r="S1087" s="49">
        <f t="array" ref="S1087">WEEKDAY(D1087,2)</f>
        <v>3</v>
      </c>
      <c r="T1087" s="46" t="s">
        <v>90</v>
      </c>
      <c r="U1087" s="46" t="str">
        <f t="array" ref="U1087">TEXT(D1087,"dddd")</f>
        <v>Wednesday</v>
      </c>
    </row>
    <row r="1088" hidden="1">
      <c r="A1088" s="46">
        <v>8.23236739E8</v>
      </c>
      <c r="B1088" s="137" t="s">
        <v>220</v>
      </c>
      <c r="C1088" s="137">
        <v>2016.0</v>
      </c>
      <c r="D1088" s="138">
        <v>42538.0</v>
      </c>
      <c r="E1088" s="139">
        <v>42583.0</v>
      </c>
      <c r="F1088" s="142" t="s">
        <v>216</v>
      </c>
      <c r="G1088" s="142">
        <v>2016.0</v>
      </c>
      <c r="H1088" s="46">
        <v>8681.0</v>
      </c>
      <c r="I1088" s="46">
        <v>2900.0</v>
      </c>
      <c r="J1088" s="84">
        <v>1888509.0</v>
      </c>
      <c r="K1088" s="84">
        <v>1522384.0</v>
      </c>
      <c r="L1088" s="84">
        <v>366125.0</v>
      </c>
      <c r="M1088" s="46" t="s">
        <v>153</v>
      </c>
      <c r="N1088" s="46" t="s">
        <v>190</v>
      </c>
      <c r="O1088" s="46" t="s">
        <v>146</v>
      </c>
      <c r="P1088" s="46" t="s">
        <v>147</v>
      </c>
      <c r="Q1088" s="46" t="str">
        <f t="shared" si="1"/>
        <v>June, 2016</v>
      </c>
      <c r="R1088" s="115">
        <f t="shared" si="2"/>
        <v>42522</v>
      </c>
      <c r="S1088" s="49">
        <f t="array" ref="S1088">WEEKDAY(D1088,2)</f>
        <v>5</v>
      </c>
      <c r="T1088" s="46" t="s">
        <v>119</v>
      </c>
      <c r="U1088" s="46" t="str">
        <f t="array" ref="U1088">TEXT(D1088,"dddd")</f>
        <v>Friday</v>
      </c>
    </row>
    <row r="1089" hidden="1">
      <c r="A1089" s="46">
        <v>8.23505389E8</v>
      </c>
      <c r="B1089" s="137" t="s">
        <v>222</v>
      </c>
      <c r="C1089" s="137">
        <v>2015.0</v>
      </c>
      <c r="D1089" s="138">
        <v>42074.0</v>
      </c>
      <c r="E1089" s="139">
        <v>42093.0</v>
      </c>
      <c r="F1089" s="142" t="s">
        <v>222</v>
      </c>
      <c r="G1089" s="142">
        <v>2015.0</v>
      </c>
      <c r="H1089" s="46">
        <v>2455.0</v>
      </c>
      <c r="I1089" s="46">
        <v>2400.0</v>
      </c>
      <c r="J1089" s="84">
        <v>262272.0</v>
      </c>
      <c r="K1089" s="84">
        <v>86016.00000000001</v>
      </c>
      <c r="L1089" s="84">
        <v>176256.0</v>
      </c>
      <c r="M1089" s="46" t="s">
        <v>150</v>
      </c>
      <c r="N1089" s="46" t="s">
        <v>181</v>
      </c>
      <c r="O1089" s="46" t="s">
        <v>146</v>
      </c>
      <c r="P1089" s="46" t="s">
        <v>155</v>
      </c>
      <c r="Q1089" s="46" t="str">
        <f t="shared" si="1"/>
        <v>March, 2015</v>
      </c>
      <c r="R1089" s="115">
        <f t="shared" si="2"/>
        <v>42064</v>
      </c>
      <c r="S1089" s="49">
        <f t="array" ref="S1089">WEEKDAY(D1089,2)</f>
        <v>3</v>
      </c>
      <c r="T1089" s="46" t="s">
        <v>113</v>
      </c>
      <c r="U1089" s="46" t="str">
        <f t="array" ref="U1089">TEXT(D1089,"dddd")</f>
        <v>Wednesday</v>
      </c>
    </row>
    <row r="1090" hidden="1">
      <c r="A1090" s="46">
        <v>8.25065791E8</v>
      </c>
      <c r="B1090" s="137" t="s">
        <v>217</v>
      </c>
      <c r="C1090" s="137">
        <v>2011.0</v>
      </c>
      <c r="D1090" s="138">
        <v>40748.0</v>
      </c>
      <c r="E1090" s="139">
        <v>40783.0</v>
      </c>
      <c r="F1090" s="142" t="s">
        <v>216</v>
      </c>
      <c r="G1090" s="142">
        <v>2011.0</v>
      </c>
      <c r="H1090" s="46">
        <v>8875.0</v>
      </c>
      <c r="I1090" s="46">
        <v>4157.0</v>
      </c>
      <c r="J1090" s="84">
        <v>1753796.73</v>
      </c>
      <c r="K1090" s="84">
        <v>1516016.33</v>
      </c>
      <c r="L1090" s="84">
        <v>237780.3999999999</v>
      </c>
      <c r="M1090" s="46" t="s">
        <v>167</v>
      </c>
      <c r="N1090" s="46" t="s">
        <v>195</v>
      </c>
      <c r="O1090" s="46" t="s">
        <v>146</v>
      </c>
      <c r="P1090" s="46" t="s">
        <v>170</v>
      </c>
      <c r="Q1090" s="46" t="str">
        <f t="shared" si="1"/>
        <v>July, 2011</v>
      </c>
      <c r="R1090" s="115">
        <f t="shared" si="2"/>
        <v>40725</v>
      </c>
      <c r="S1090" s="49">
        <f t="array" ref="S1090">WEEKDAY(D1090,2)</f>
        <v>7</v>
      </c>
      <c r="T1090" s="46" t="s">
        <v>124</v>
      </c>
      <c r="U1090" s="46" t="str">
        <f t="array" ref="U1090">TEXT(D1090,"dddd")</f>
        <v>Sunday</v>
      </c>
    </row>
    <row r="1091" hidden="1">
      <c r="A1091" s="46">
        <v>8.26677262E8</v>
      </c>
      <c r="B1091" s="137" t="s">
        <v>224</v>
      </c>
      <c r="C1091" s="137">
        <v>2016.0</v>
      </c>
      <c r="D1091" s="138">
        <v>42702.0</v>
      </c>
      <c r="E1091" s="139">
        <v>42744.0</v>
      </c>
      <c r="F1091" s="142" t="s">
        <v>227</v>
      </c>
      <c r="G1091" s="142">
        <v>2017.0</v>
      </c>
      <c r="H1091" s="46">
        <v>1270.0</v>
      </c>
      <c r="I1091" s="46">
        <v>1027.0</v>
      </c>
      <c r="J1091" s="84">
        <v>48731.15</v>
      </c>
      <c r="K1091" s="84">
        <v>32648.329999999998</v>
      </c>
      <c r="L1091" s="84">
        <v>16082.820000000003</v>
      </c>
      <c r="M1091" s="46" t="s">
        <v>152</v>
      </c>
      <c r="N1091" s="46" t="s">
        <v>188</v>
      </c>
      <c r="O1091" s="46" t="s">
        <v>146</v>
      </c>
      <c r="P1091" s="46" t="s">
        <v>170</v>
      </c>
      <c r="Q1091" s="46" t="str">
        <f t="shared" si="1"/>
        <v>November, 2016</v>
      </c>
      <c r="R1091" s="115">
        <f t="shared" si="2"/>
        <v>42675</v>
      </c>
      <c r="S1091" s="49">
        <f t="array" ref="S1091">WEEKDAY(D1091,2)</f>
        <v>1</v>
      </c>
      <c r="T1091" s="46" t="s">
        <v>117</v>
      </c>
      <c r="U1091" s="46" t="str">
        <f t="array" ref="U1091">TEXT(D1091,"dddd")</f>
        <v>Monday</v>
      </c>
    </row>
    <row r="1092" hidden="1">
      <c r="A1092" s="46">
        <v>8.26936471E8</v>
      </c>
      <c r="B1092" s="137" t="s">
        <v>222</v>
      </c>
      <c r="C1092" s="137">
        <v>2013.0</v>
      </c>
      <c r="D1092" s="138">
        <v>41353.0</v>
      </c>
      <c r="E1092" s="139">
        <v>41363.0</v>
      </c>
      <c r="F1092" s="142" t="s">
        <v>222</v>
      </c>
      <c r="G1092" s="142">
        <v>2013.0</v>
      </c>
      <c r="H1092" s="46">
        <v>7331.0</v>
      </c>
      <c r="I1092" s="46">
        <v>7733.0</v>
      </c>
      <c r="J1092" s="84">
        <v>1974080.24</v>
      </c>
      <c r="K1092" s="84">
        <v>1232794.8599999999</v>
      </c>
      <c r="L1092" s="84">
        <v>741285.3800000001</v>
      </c>
      <c r="M1092" s="46" t="s">
        <v>161</v>
      </c>
      <c r="N1092" s="46" t="s">
        <v>207</v>
      </c>
      <c r="O1092" s="46" t="s">
        <v>146</v>
      </c>
      <c r="P1092" s="46" t="s">
        <v>170</v>
      </c>
      <c r="Q1092" s="46" t="str">
        <f t="shared" si="1"/>
        <v>March, 2013</v>
      </c>
      <c r="R1092" s="115">
        <f t="shared" si="2"/>
        <v>41334</v>
      </c>
      <c r="S1092" s="49">
        <f t="array" ref="S1092">WEEKDAY(D1092,2)</f>
        <v>3</v>
      </c>
      <c r="T1092" s="46" t="s">
        <v>137</v>
      </c>
      <c r="U1092" s="46" t="str">
        <f t="array" ref="U1092">TEXT(D1092,"dddd")</f>
        <v>Wednesday</v>
      </c>
    </row>
    <row r="1093" hidden="1">
      <c r="A1093" s="46">
        <v>8.26968657E8</v>
      </c>
      <c r="B1093" s="137" t="s">
        <v>219</v>
      </c>
      <c r="C1093" s="137">
        <v>2017.0</v>
      </c>
      <c r="D1093" s="138">
        <v>42861.0</v>
      </c>
      <c r="E1093" s="139">
        <v>42901.0</v>
      </c>
      <c r="F1093" s="142" t="s">
        <v>220</v>
      </c>
      <c r="G1093" s="142">
        <v>2017.0</v>
      </c>
      <c r="H1093" s="46">
        <v>8293.0</v>
      </c>
      <c r="I1093" s="46">
        <v>7258.0</v>
      </c>
      <c r="J1093" s="84">
        <v>3173197.6</v>
      </c>
      <c r="K1093" s="84">
        <v>1911249.14</v>
      </c>
      <c r="L1093" s="84">
        <v>1261948.4600000002</v>
      </c>
      <c r="M1093" s="46" t="s">
        <v>178</v>
      </c>
      <c r="N1093" s="46" t="s">
        <v>196</v>
      </c>
      <c r="O1093" s="46" t="s">
        <v>146</v>
      </c>
      <c r="P1093" s="46" t="s">
        <v>155</v>
      </c>
      <c r="Q1093" s="46" t="str">
        <f t="shared" si="1"/>
        <v>May, 2017</v>
      </c>
      <c r="R1093" s="115">
        <f t="shared" si="2"/>
        <v>42856</v>
      </c>
      <c r="S1093" s="49">
        <f t="array" ref="S1093">WEEKDAY(D1093,2)</f>
        <v>6</v>
      </c>
      <c r="T1093" s="46" t="s">
        <v>125</v>
      </c>
      <c r="U1093" s="46" t="str">
        <f t="array" ref="U1093">TEXT(D1093,"dddd")</f>
        <v>Saturday</v>
      </c>
    </row>
    <row r="1094" hidden="1">
      <c r="A1094" s="46">
        <v>8.28993833E8</v>
      </c>
      <c r="B1094" s="137" t="s">
        <v>216</v>
      </c>
      <c r="C1094" s="137">
        <v>2014.0</v>
      </c>
      <c r="D1094" s="138">
        <v>41856.0</v>
      </c>
      <c r="E1094" s="139">
        <v>41884.0</v>
      </c>
      <c r="F1094" s="142" t="s">
        <v>221</v>
      </c>
      <c r="G1094" s="142">
        <v>2014.0</v>
      </c>
      <c r="H1094" s="46">
        <v>7331.0</v>
      </c>
      <c r="I1094" s="46">
        <v>6552.0</v>
      </c>
      <c r="J1094" s="84">
        <v>1672594.56</v>
      </c>
      <c r="K1094" s="84">
        <v>1044519.84</v>
      </c>
      <c r="L1094" s="84">
        <v>628074.7200000001</v>
      </c>
      <c r="M1094" s="46" t="s">
        <v>161</v>
      </c>
      <c r="N1094" s="46" t="s">
        <v>207</v>
      </c>
      <c r="O1094" s="46" t="s">
        <v>146</v>
      </c>
      <c r="P1094" s="46" t="s">
        <v>170</v>
      </c>
      <c r="Q1094" s="46" t="str">
        <f t="shared" si="1"/>
        <v>August, 2014</v>
      </c>
      <c r="R1094" s="115">
        <f t="shared" si="2"/>
        <v>41852</v>
      </c>
      <c r="S1094" s="49">
        <f t="array" ref="S1094">WEEKDAY(D1094,2)</f>
        <v>2</v>
      </c>
      <c r="T1094" s="46" t="s">
        <v>137</v>
      </c>
      <c r="U1094" s="46" t="str">
        <f t="array" ref="U1094">TEXT(D1094,"dddd")</f>
        <v>Tuesday</v>
      </c>
    </row>
    <row r="1095" hidden="1">
      <c r="A1095" s="46">
        <v>8.29356467E8</v>
      </c>
      <c r="B1095" s="137" t="s">
        <v>216</v>
      </c>
      <c r="C1095" s="137">
        <v>2012.0</v>
      </c>
      <c r="D1095" s="138">
        <v>41150.0</v>
      </c>
      <c r="E1095" s="139">
        <v>41168.0</v>
      </c>
      <c r="F1095" s="142" t="s">
        <v>221</v>
      </c>
      <c r="G1095" s="142">
        <v>2012.0</v>
      </c>
      <c r="H1095" s="46">
        <v>7940.0</v>
      </c>
      <c r="I1095" s="46">
        <v>3864.0</v>
      </c>
      <c r="J1095" s="84">
        <v>2582195.28</v>
      </c>
      <c r="K1095" s="84">
        <v>1941814.56</v>
      </c>
      <c r="L1095" s="84">
        <v>640380.7199999997</v>
      </c>
      <c r="M1095" s="46" t="s">
        <v>148</v>
      </c>
      <c r="N1095" s="46" t="s">
        <v>151</v>
      </c>
      <c r="O1095" s="46" t="s">
        <v>146</v>
      </c>
      <c r="P1095" s="46" t="s">
        <v>147</v>
      </c>
      <c r="Q1095" s="46" t="str">
        <f t="shared" si="1"/>
        <v>August, 2012</v>
      </c>
      <c r="R1095" s="115">
        <f t="shared" si="2"/>
        <v>41122</v>
      </c>
      <c r="S1095" s="49">
        <f t="array" ref="S1095">WEEKDAY(D1095,2)</f>
        <v>3</v>
      </c>
      <c r="T1095" s="46" t="s">
        <v>94</v>
      </c>
      <c r="U1095" s="46" t="str">
        <f t="array" ref="U1095">TEXT(D1095,"dddd")</f>
        <v>Wednesday</v>
      </c>
    </row>
    <row r="1096">
      <c r="A1096" s="46">
        <v>8.30172288E8</v>
      </c>
      <c r="B1096" s="137" t="s">
        <v>220</v>
      </c>
      <c r="C1096" s="137">
        <v>2013.0</v>
      </c>
      <c r="D1096" s="138">
        <v>41438.0</v>
      </c>
      <c r="E1096" s="139">
        <v>41484.0</v>
      </c>
      <c r="F1096" s="142" t="s">
        <v>217</v>
      </c>
      <c r="G1096" s="142">
        <v>2013.0</v>
      </c>
      <c r="H1096" s="46">
        <v>8293.0</v>
      </c>
      <c r="I1096" s="46">
        <v>5283.0</v>
      </c>
      <c r="J1096" s="84">
        <v>2309727.6</v>
      </c>
      <c r="K1096" s="84">
        <v>1391172.39</v>
      </c>
      <c r="L1096" s="84">
        <v>918555.2100000002</v>
      </c>
      <c r="M1096" s="46" t="s">
        <v>178</v>
      </c>
      <c r="N1096" s="46" t="s">
        <v>149</v>
      </c>
      <c r="O1096" s="46" t="s">
        <v>149</v>
      </c>
      <c r="P1096" s="46" t="s">
        <v>218</v>
      </c>
      <c r="Q1096" s="46" t="str">
        <f t="shared" si="1"/>
        <v>June, 2013</v>
      </c>
      <c r="R1096" s="115">
        <f t="shared" si="2"/>
        <v>41426</v>
      </c>
      <c r="S1096" s="49">
        <f t="array" ref="S1096">WEEKDAY(D1096,2)</f>
        <v>4</v>
      </c>
      <c r="T1096" s="46" t="s">
        <v>92</v>
      </c>
      <c r="U1096" s="46" t="str">
        <f t="array" ref="U1096">TEXT(D1096,"dddd")</f>
        <v>Thursday</v>
      </c>
    </row>
    <row r="1097" hidden="1">
      <c r="A1097" s="46">
        <v>8.31143891E8</v>
      </c>
      <c r="B1097" s="137" t="s">
        <v>219</v>
      </c>
      <c r="C1097" s="137">
        <v>2016.0</v>
      </c>
      <c r="D1097" s="138">
        <v>42499.0</v>
      </c>
      <c r="E1097" s="139">
        <v>42522.0</v>
      </c>
      <c r="F1097" s="142" t="s">
        <v>220</v>
      </c>
      <c r="G1097" s="142">
        <v>2016.0</v>
      </c>
      <c r="H1097" s="46">
        <v>4594.0</v>
      </c>
      <c r="I1097" s="46">
        <v>2802.0</v>
      </c>
      <c r="J1097" s="84">
        <v>26142.66</v>
      </c>
      <c r="K1097" s="84">
        <v>19389.84</v>
      </c>
      <c r="L1097" s="84">
        <v>6752.82</v>
      </c>
      <c r="M1097" s="46" t="s">
        <v>156</v>
      </c>
      <c r="N1097" s="46" t="s">
        <v>180</v>
      </c>
      <c r="O1097" s="46" t="s">
        <v>146</v>
      </c>
      <c r="P1097" s="46" t="s">
        <v>147</v>
      </c>
      <c r="Q1097" s="46" t="str">
        <f t="shared" si="1"/>
        <v>May, 2016</v>
      </c>
      <c r="R1097" s="115">
        <f t="shared" si="2"/>
        <v>42491</v>
      </c>
      <c r="S1097" s="49">
        <f t="array" ref="S1097">WEEKDAY(D1097,2)</f>
        <v>1</v>
      </c>
      <c r="T1097" s="46" t="s">
        <v>112</v>
      </c>
      <c r="U1097" s="46" t="str">
        <f t="array" ref="U1097">TEXT(D1097,"dddd")</f>
        <v>Monday</v>
      </c>
    </row>
    <row r="1098" hidden="1">
      <c r="A1098" s="46">
        <v>8.3205713E8</v>
      </c>
      <c r="B1098" s="137" t="s">
        <v>222</v>
      </c>
      <c r="C1098" s="137">
        <v>2011.0</v>
      </c>
      <c r="D1098" s="138">
        <v>40604.0</v>
      </c>
      <c r="E1098" s="139">
        <v>40635.0</v>
      </c>
      <c r="F1098" s="142" t="s">
        <v>223</v>
      </c>
      <c r="G1098" s="142">
        <v>2011.0</v>
      </c>
      <c r="H1098" s="46">
        <v>8293.0</v>
      </c>
      <c r="I1098" s="46">
        <v>3050.0</v>
      </c>
      <c r="J1098" s="84">
        <v>1333460.0</v>
      </c>
      <c r="K1098" s="84">
        <v>803156.5</v>
      </c>
      <c r="L1098" s="84">
        <v>530303.5</v>
      </c>
      <c r="M1098" s="46" t="s">
        <v>178</v>
      </c>
      <c r="N1098" s="46" t="s">
        <v>160</v>
      </c>
      <c r="O1098" s="46" t="s">
        <v>146</v>
      </c>
      <c r="P1098" s="46" t="s">
        <v>147</v>
      </c>
      <c r="Q1098" s="46" t="str">
        <f t="shared" si="1"/>
        <v>March, 2011</v>
      </c>
      <c r="R1098" s="115">
        <f t="shared" si="2"/>
        <v>40603</v>
      </c>
      <c r="S1098" s="49">
        <f t="array" ref="S1098">WEEKDAY(D1098,2)</f>
        <v>3</v>
      </c>
      <c r="T1098" s="46" t="s">
        <v>98</v>
      </c>
      <c r="U1098" s="46" t="str">
        <f t="array" ref="U1098">TEXT(D1098,"dddd")</f>
        <v>Wednesday</v>
      </c>
    </row>
    <row r="1099" hidden="1">
      <c r="A1099" s="46">
        <v>8.33473765E8</v>
      </c>
      <c r="B1099" s="137" t="s">
        <v>223</v>
      </c>
      <c r="C1099" s="137">
        <v>2013.0</v>
      </c>
      <c r="D1099" s="138">
        <v>41392.0</v>
      </c>
      <c r="E1099" s="139">
        <v>41419.0</v>
      </c>
      <c r="F1099" s="142" t="s">
        <v>219</v>
      </c>
      <c r="G1099" s="142">
        <v>2013.0</v>
      </c>
      <c r="H1099" s="46">
        <v>1270.0</v>
      </c>
      <c r="I1099" s="46">
        <v>2264.0</v>
      </c>
      <c r="J1099" s="84">
        <v>107426.8</v>
      </c>
      <c r="K1099" s="84">
        <v>71972.56</v>
      </c>
      <c r="L1099" s="84">
        <v>35454.240000000005</v>
      </c>
      <c r="M1099" s="46" t="s">
        <v>152</v>
      </c>
      <c r="N1099" s="46" t="s">
        <v>202</v>
      </c>
      <c r="O1099" s="46" t="s">
        <v>146</v>
      </c>
      <c r="P1099" s="46" t="s">
        <v>147</v>
      </c>
      <c r="Q1099" s="46" t="str">
        <f t="shared" si="1"/>
        <v>April, 2013</v>
      </c>
      <c r="R1099" s="115">
        <f t="shared" si="2"/>
        <v>41365</v>
      </c>
      <c r="S1099" s="49">
        <f t="array" ref="S1099">WEEKDAY(D1099,2)</f>
        <v>7</v>
      </c>
      <c r="T1099" s="46" t="s">
        <v>131</v>
      </c>
      <c r="U1099" s="46" t="str">
        <f t="array" ref="U1099">TEXT(D1099,"dddd")</f>
        <v>Sunday</v>
      </c>
    </row>
    <row r="1100" hidden="1">
      <c r="A1100" s="46">
        <v>8.33706796E8</v>
      </c>
      <c r="B1100" s="137" t="s">
        <v>222</v>
      </c>
      <c r="C1100" s="137">
        <v>2013.0</v>
      </c>
      <c r="D1100" s="138">
        <v>41360.0</v>
      </c>
      <c r="E1100" s="139">
        <v>41367.0</v>
      </c>
      <c r="F1100" s="142" t="s">
        <v>223</v>
      </c>
      <c r="G1100" s="142">
        <v>2013.0</v>
      </c>
      <c r="H1100" s="46">
        <v>2103.0</v>
      </c>
      <c r="I1100" s="46">
        <v>1223.0</v>
      </c>
      <c r="J1100" s="84">
        <v>251571.09999999998</v>
      </c>
      <c r="K1100" s="84">
        <v>143225.53</v>
      </c>
      <c r="L1100" s="84">
        <v>108345.56999999998</v>
      </c>
      <c r="M1100" s="46" t="s">
        <v>144</v>
      </c>
      <c r="N1100" s="46" t="s">
        <v>175</v>
      </c>
      <c r="O1100" s="46" t="s">
        <v>165</v>
      </c>
      <c r="P1100" s="46" t="s">
        <v>166</v>
      </c>
      <c r="Q1100" s="46" t="str">
        <f t="shared" si="1"/>
        <v>March, 2013</v>
      </c>
      <c r="R1100" s="115">
        <f t="shared" si="2"/>
        <v>41334</v>
      </c>
      <c r="S1100" s="49">
        <f t="array" ref="S1100">WEEKDAY(D1100,2)</f>
        <v>3</v>
      </c>
      <c r="T1100" s="46" t="s">
        <v>108</v>
      </c>
      <c r="U1100" s="46" t="str">
        <f t="array" ref="U1100">TEXT(D1100,"dddd")</f>
        <v>Wednesday</v>
      </c>
    </row>
    <row r="1101" hidden="1">
      <c r="A1101" s="46">
        <v>8.34065997E8</v>
      </c>
      <c r="B1101" s="137" t="s">
        <v>216</v>
      </c>
      <c r="C1101" s="137">
        <v>2016.0</v>
      </c>
      <c r="D1101" s="138">
        <v>42596.0</v>
      </c>
      <c r="E1101" s="139">
        <v>42627.0</v>
      </c>
      <c r="F1101" s="142" t="s">
        <v>221</v>
      </c>
      <c r="G1101" s="142">
        <v>2016.0</v>
      </c>
      <c r="H1101" s="46">
        <v>7940.0</v>
      </c>
      <c r="I1101" s="46">
        <v>7518.0</v>
      </c>
      <c r="J1101" s="84">
        <v>5024053.859999999</v>
      </c>
      <c r="K1101" s="84">
        <v>3778095.72</v>
      </c>
      <c r="L1101" s="84">
        <v>1245958.1399999992</v>
      </c>
      <c r="M1101" s="46" t="s">
        <v>148</v>
      </c>
      <c r="N1101" s="46" t="s">
        <v>199</v>
      </c>
      <c r="O1101" s="46" t="s">
        <v>146</v>
      </c>
      <c r="P1101" s="46" t="s">
        <v>147</v>
      </c>
      <c r="Q1101" s="46" t="str">
        <f t="shared" si="1"/>
        <v>August, 2016</v>
      </c>
      <c r="R1101" s="115">
        <f t="shared" si="2"/>
        <v>42583</v>
      </c>
      <c r="S1101" s="49">
        <f t="array" ref="S1101">WEEKDAY(D1101,2)</f>
        <v>7</v>
      </c>
      <c r="T1101" s="46" t="s">
        <v>128</v>
      </c>
      <c r="U1101" s="46" t="str">
        <f t="array" ref="U1101">TEXT(D1101,"dddd")</f>
        <v>Sunday</v>
      </c>
    </row>
    <row r="1102" hidden="1">
      <c r="A1102" s="46">
        <v>8.3509339E8</v>
      </c>
      <c r="B1102" s="137" t="s">
        <v>217</v>
      </c>
      <c r="C1102" s="137">
        <v>2014.0</v>
      </c>
      <c r="D1102" s="138">
        <v>41847.0</v>
      </c>
      <c r="E1102" s="139">
        <v>41849.0</v>
      </c>
      <c r="F1102" s="142" t="s">
        <v>217</v>
      </c>
      <c r="G1102" s="142">
        <v>2014.0</v>
      </c>
      <c r="H1102" s="46">
        <v>3127.0</v>
      </c>
      <c r="I1102" s="46">
        <v>1547.0</v>
      </c>
      <c r="J1102" s="84">
        <v>126436.31000000001</v>
      </c>
      <c r="K1102" s="84">
        <v>87668.49</v>
      </c>
      <c r="L1102" s="84">
        <v>38767.82000000001</v>
      </c>
      <c r="M1102" s="46" t="s">
        <v>185</v>
      </c>
      <c r="N1102" s="46" t="s">
        <v>163</v>
      </c>
      <c r="O1102" s="46" t="s">
        <v>146</v>
      </c>
      <c r="P1102" s="46" t="s">
        <v>158</v>
      </c>
      <c r="Q1102" s="46" t="str">
        <f t="shared" si="1"/>
        <v>July, 2014</v>
      </c>
      <c r="R1102" s="115">
        <f t="shared" si="2"/>
        <v>41821</v>
      </c>
      <c r="S1102" s="49">
        <f t="array" ref="S1102">WEEKDAY(D1102,2)</f>
        <v>7</v>
      </c>
      <c r="T1102" s="46" t="s">
        <v>100</v>
      </c>
      <c r="U1102" s="46" t="str">
        <f t="array" ref="U1102">TEXT(D1102,"dddd")</f>
        <v>Sunday</v>
      </c>
    </row>
    <row r="1103" hidden="1">
      <c r="A1103" s="46">
        <v>8.3526591E8</v>
      </c>
      <c r="B1103" s="137" t="s">
        <v>216</v>
      </c>
      <c r="C1103" s="137">
        <v>2010.0</v>
      </c>
      <c r="D1103" s="138">
        <v>40417.0</v>
      </c>
      <c r="E1103" s="139">
        <v>40452.0</v>
      </c>
      <c r="F1103" s="142" t="s">
        <v>226</v>
      </c>
      <c r="G1103" s="142">
        <v>2010.0</v>
      </c>
      <c r="H1103" s="46">
        <v>7940.0</v>
      </c>
      <c r="I1103" s="46">
        <v>2599.0</v>
      </c>
      <c r="J1103" s="84">
        <v>1736833.73</v>
      </c>
      <c r="K1103" s="84">
        <v>1306101.46</v>
      </c>
      <c r="L1103" s="84">
        <v>430732.27</v>
      </c>
      <c r="M1103" s="46" t="s">
        <v>148</v>
      </c>
      <c r="N1103" s="46" t="s">
        <v>189</v>
      </c>
      <c r="O1103" s="46" t="s">
        <v>146</v>
      </c>
      <c r="P1103" s="46" t="s">
        <v>158</v>
      </c>
      <c r="Q1103" s="46" t="str">
        <f t="shared" si="1"/>
        <v>August, 2010</v>
      </c>
      <c r="R1103" s="115">
        <f t="shared" si="2"/>
        <v>40391</v>
      </c>
      <c r="S1103" s="49">
        <f t="array" ref="S1103">WEEKDAY(D1103,2)</f>
        <v>5</v>
      </c>
      <c r="T1103" s="46" t="s">
        <v>118</v>
      </c>
      <c r="U1103" s="46" t="str">
        <f t="array" ref="U1103">TEXT(D1103,"dddd")</f>
        <v>Friday</v>
      </c>
    </row>
    <row r="1104" hidden="1">
      <c r="A1104" s="46">
        <v>8.3534187E8</v>
      </c>
      <c r="B1104" s="137" t="s">
        <v>227</v>
      </c>
      <c r="C1104" s="137">
        <v>2017.0</v>
      </c>
      <c r="D1104" s="138">
        <v>42761.0</v>
      </c>
      <c r="E1104" s="139">
        <v>42790.0</v>
      </c>
      <c r="F1104" s="142" t="s">
        <v>228</v>
      </c>
      <c r="G1104" s="142">
        <v>2017.0</v>
      </c>
      <c r="H1104" s="46">
        <v>8293.0</v>
      </c>
      <c r="I1104" s="46">
        <v>5077.0</v>
      </c>
      <c r="J1104" s="84">
        <v>2219664.4</v>
      </c>
      <c r="K1104" s="84">
        <v>1336926.41</v>
      </c>
      <c r="L1104" s="84">
        <v>882737.99</v>
      </c>
      <c r="M1104" s="46" t="s">
        <v>178</v>
      </c>
      <c r="N1104" s="46" t="s">
        <v>174</v>
      </c>
      <c r="O1104" s="46" t="s">
        <v>146</v>
      </c>
      <c r="P1104" s="46" t="s">
        <v>158</v>
      </c>
      <c r="Q1104" s="46" t="str">
        <f t="shared" si="1"/>
        <v>January, 2017</v>
      </c>
      <c r="R1104" s="115">
        <f t="shared" si="2"/>
        <v>42736</v>
      </c>
      <c r="S1104" s="49">
        <f t="array" ref="S1104">WEEKDAY(D1104,2)</f>
        <v>4</v>
      </c>
      <c r="T1104" s="46" t="s">
        <v>107</v>
      </c>
      <c r="U1104" s="46" t="str">
        <f t="array" ref="U1104">TEXT(D1104,"dddd")</f>
        <v>Thursday</v>
      </c>
    </row>
    <row r="1105" hidden="1">
      <c r="A1105" s="46">
        <v>8.37608659E8</v>
      </c>
      <c r="B1105" s="137" t="s">
        <v>223</v>
      </c>
      <c r="C1105" s="137">
        <v>2012.0</v>
      </c>
      <c r="D1105" s="138">
        <v>41020.0</v>
      </c>
      <c r="E1105" s="139">
        <v>41031.0</v>
      </c>
      <c r="F1105" s="142" t="s">
        <v>219</v>
      </c>
      <c r="G1105" s="142">
        <v>2012.0</v>
      </c>
      <c r="H1105" s="46">
        <v>7940.0</v>
      </c>
      <c r="I1105" s="46">
        <v>5871.0</v>
      </c>
      <c r="J1105" s="84">
        <v>3923413.17</v>
      </c>
      <c r="K1105" s="84">
        <v>2950412.3400000003</v>
      </c>
      <c r="L1105" s="84">
        <v>973000.8299999996</v>
      </c>
      <c r="M1105" s="46" t="s">
        <v>148</v>
      </c>
      <c r="N1105" s="46" t="s">
        <v>196</v>
      </c>
      <c r="O1105" s="46" t="s">
        <v>146</v>
      </c>
      <c r="P1105" s="46" t="s">
        <v>155</v>
      </c>
      <c r="Q1105" s="46" t="str">
        <f t="shared" si="1"/>
        <v>April, 2012</v>
      </c>
      <c r="R1105" s="115">
        <f t="shared" si="2"/>
        <v>41000</v>
      </c>
      <c r="S1105" s="49">
        <f t="array" ref="S1105">WEEKDAY(D1105,2)</f>
        <v>6</v>
      </c>
      <c r="T1105" s="46" t="s">
        <v>125</v>
      </c>
      <c r="U1105" s="46" t="str">
        <f t="array" ref="U1105">TEXT(D1105,"dddd")</f>
        <v>Saturday</v>
      </c>
    </row>
    <row r="1106" hidden="1">
      <c r="A1106" s="46">
        <v>8.3790692E8</v>
      </c>
      <c r="B1106" s="137" t="s">
        <v>223</v>
      </c>
      <c r="C1106" s="137">
        <v>2017.0</v>
      </c>
      <c r="D1106" s="138">
        <v>42829.0</v>
      </c>
      <c r="E1106" s="139">
        <v>42871.0</v>
      </c>
      <c r="F1106" s="142" t="s">
        <v>219</v>
      </c>
      <c r="G1106" s="142">
        <v>2017.0</v>
      </c>
      <c r="H1106" s="46">
        <v>1270.0</v>
      </c>
      <c r="I1106" s="46">
        <v>4133.0</v>
      </c>
      <c r="J1106" s="84">
        <v>196110.85</v>
      </c>
      <c r="K1106" s="84">
        <v>131388.07</v>
      </c>
      <c r="L1106" s="84">
        <v>64722.78</v>
      </c>
      <c r="M1106" s="46" t="s">
        <v>152</v>
      </c>
      <c r="N1106" s="46" t="s">
        <v>193</v>
      </c>
      <c r="O1106" s="46" t="s">
        <v>146</v>
      </c>
      <c r="P1106" s="46" t="s">
        <v>158</v>
      </c>
      <c r="Q1106" s="46" t="str">
        <f t="shared" si="1"/>
        <v>April, 2017</v>
      </c>
      <c r="R1106" s="115">
        <f t="shared" si="2"/>
        <v>42826</v>
      </c>
      <c r="S1106" s="49">
        <f t="array" ref="S1106">WEEKDAY(D1106,2)</f>
        <v>2</v>
      </c>
      <c r="T1106" s="46" t="s">
        <v>122</v>
      </c>
      <c r="U1106" s="46" t="str">
        <f t="array" ref="U1106">TEXT(D1106,"dddd")</f>
        <v>Tuesday</v>
      </c>
    </row>
    <row r="1107" hidden="1">
      <c r="A1107" s="46">
        <v>8.38788402E8</v>
      </c>
      <c r="B1107" s="137" t="s">
        <v>228</v>
      </c>
      <c r="C1107" s="137">
        <v>2010.0</v>
      </c>
      <c r="D1107" s="138">
        <v>40219.0</v>
      </c>
      <c r="E1107" s="139">
        <v>40235.0</v>
      </c>
      <c r="F1107" s="142" t="s">
        <v>228</v>
      </c>
      <c r="G1107" s="142">
        <v>2010.0</v>
      </c>
      <c r="H1107" s="46">
        <v>7331.0</v>
      </c>
      <c r="I1107" s="46">
        <v>4983.0</v>
      </c>
      <c r="J1107" s="84">
        <v>1272060.24</v>
      </c>
      <c r="K1107" s="84">
        <v>794389.86</v>
      </c>
      <c r="L1107" s="84">
        <v>477670.38</v>
      </c>
      <c r="M1107" s="46" t="s">
        <v>161</v>
      </c>
      <c r="N1107" s="46" t="s">
        <v>164</v>
      </c>
      <c r="O1107" s="46" t="s">
        <v>165</v>
      </c>
      <c r="P1107" s="46" t="s">
        <v>166</v>
      </c>
      <c r="Q1107" s="46" t="str">
        <f t="shared" si="1"/>
        <v>February, 2010</v>
      </c>
      <c r="R1107" s="115">
        <f t="shared" si="2"/>
        <v>40210</v>
      </c>
      <c r="S1107" s="49">
        <f t="array" ref="S1107">WEEKDAY(D1107,2)</f>
        <v>3</v>
      </c>
      <c r="T1107" s="46" t="s">
        <v>101</v>
      </c>
      <c r="U1107" s="46" t="str">
        <f t="array" ref="U1107">TEXT(D1107,"dddd")</f>
        <v>Wednesday</v>
      </c>
    </row>
    <row r="1108">
      <c r="A1108" s="46">
        <v>8.38895261E8</v>
      </c>
      <c r="B1108" s="137" t="s">
        <v>228</v>
      </c>
      <c r="C1108" s="137">
        <v>2014.0</v>
      </c>
      <c r="D1108" s="138">
        <v>41687.0</v>
      </c>
      <c r="E1108" s="139">
        <v>41689.0</v>
      </c>
      <c r="F1108" s="142" t="s">
        <v>228</v>
      </c>
      <c r="G1108" s="142">
        <v>2014.0</v>
      </c>
      <c r="H1108" s="46">
        <v>3127.0</v>
      </c>
      <c r="I1108" s="46">
        <v>6605.0</v>
      </c>
      <c r="J1108" s="84">
        <v>539826.65</v>
      </c>
      <c r="K1108" s="84">
        <v>374305.35000000003</v>
      </c>
      <c r="L1108" s="84">
        <v>165521.3</v>
      </c>
      <c r="M1108" s="46" t="s">
        <v>185</v>
      </c>
      <c r="N1108" s="46" t="s">
        <v>149</v>
      </c>
      <c r="O1108" s="46" t="s">
        <v>149</v>
      </c>
      <c r="P1108" s="46" t="s">
        <v>218</v>
      </c>
      <c r="Q1108" s="46" t="str">
        <f t="shared" si="1"/>
        <v>February, 2014</v>
      </c>
      <c r="R1108" s="115">
        <f t="shared" si="2"/>
        <v>41671</v>
      </c>
      <c r="S1108" s="49">
        <f t="array" ref="S1108">WEEKDAY(D1108,2)</f>
        <v>1</v>
      </c>
      <c r="T1108" s="46" t="s">
        <v>92</v>
      </c>
      <c r="U1108" s="46" t="str">
        <f t="array" ref="U1108">TEXT(D1108,"dddd")</f>
        <v>Monday</v>
      </c>
    </row>
    <row r="1109" hidden="1">
      <c r="A1109" s="46">
        <v>8.39437711E8</v>
      </c>
      <c r="B1109" s="137" t="s">
        <v>225</v>
      </c>
      <c r="C1109" s="137">
        <v>2014.0</v>
      </c>
      <c r="D1109" s="138">
        <v>41996.0</v>
      </c>
      <c r="E1109" s="139">
        <v>41997.0</v>
      </c>
      <c r="F1109" s="142" t="s">
        <v>225</v>
      </c>
      <c r="G1109" s="142">
        <v>2014.0</v>
      </c>
      <c r="H1109" s="46">
        <v>2455.0</v>
      </c>
      <c r="I1109" s="46">
        <v>7128.0</v>
      </c>
      <c r="J1109" s="84">
        <v>778947.84</v>
      </c>
      <c r="K1109" s="84">
        <v>255467.52000000002</v>
      </c>
      <c r="L1109" s="84">
        <v>523480.31999999995</v>
      </c>
      <c r="M1109" s="46" t="s">
        <v>150</v>
      </c>
      <c r="N1109" s="46" t="s">
        <v>187</v>
      </c>
      <c r="O1109" s="46" t="s">
        <v>146</v>
      </c>
      <c r="P1109" s="46" t="s">
        <v>155</v>
      </c>
      <c r="Q1109" s="46" t="str">
        <f t="shared" si="1"/>
        <v>December, 2014</v>
      </c>
      <c r="R1109" s="115">
        <f t="shared" si="2"/>
        <v>41974</v>
      </c>
      <c r="S1109" s="49">
        <f t="array" ref="S1109">WEEKDAY(D1109,2)</f>
        <v>2</v>
      </c>
      <c r="T1109" s="46" t="s">
        <v>116</v>
      </c>
      <c r="U1109" s="46" t="str">
        <f t="array" ref="U1109">TEXT(D1109,"dddd")</f>
        <v>Tuesday</v>
      </c>
    </row>
    <row r="1110" hidden="1">
      <c r="A1110" s="46">
        <v>8.40747058E8</v>
      </c>
      <c r="B1110" s="137" t="s">
        <v>225</v>
      </c>
      <c r="C1110" s="137">
        <v>2010.0</v>
      </c>
      <c r="D1110" s="138">
        <v>40522.0</v>
      </c>
      <c r="E1110" s="139">
        <v>40538.0</v>
      </c>
      <c r="F1110" s="142" t="s">
        <v>225</v>
      </c>
      <c r="G1110" s="142">
        <v>2010.0</v>
      </c>
      <c r="H1110" s="46">
        <v>3127.0</v>
      </c>
      <c r="I1110" s="46">
        <v>4593.0</v>
      </c>
      <c r="J1110" s="84">
        <v>375385.89</v>
      </c>
      <c r="K1110" s="84">
        <v>260285.31</v>
      </c>
      <c r="L1110" s="84">
        <v>115100.58000000002</v>
      </c>
      <c r="M1110" s="46" t="s">
        <v>185</v>
      </c>
      <c r="N1110" s="46" t="s">
        <v>164</v>
      </c>
      <c r="O1110" s="46" t="s">
        <v>165</v>
      </c>
      <c r="P1110" s="46" t="s">
        <v>166</v>
      </c>
      <c r="Q1110" s="46" t="str">
        <f t="shared" si="1"/>
        <v>December, 2010</v>
      </c>
      <c r="R1110" s="115">
        <f t="shared" si="2"/>
        <v>40513</v>
      </c>
      <c r="S1110" s="49">
        <f t="array" ref="S1110">WEEKDAY(D1110,2)</f>
        <v>5</v>
      </c>
      <c r="T1110" s="46" t="s">
        <v>101</v>
      </c>
      <c r="U1110" s="46" t="str">
        <f t="array" ref="U1110">TEXT(D1110,"dddd")</f>
        <v>Friday</v>
      </c>
    </row>
    <row r="1111" hidden="1">
      <c r="A1111" s="46">
        <v>8.4078139E8</v>
      </c>
      <c r="B1111" s="137" t="s">
        <v>226</v>
      </c>
      <c r="C1111" s="137">
        <v>2010.0</v>
      </c>
      <c r="D1111" s="138">
        <v>40471.0</v>
      </c>
      <c r="E1111" s="139">
        <v>40495.0</v>
      </c>
      <c r="F1111" s="142" t="s">
        <v>224</v>
      </c>
      <c r="G1111" s="142">
        <v>2010.0</v>
      </c>
      <c r="H1111" s="46">
        <v>7940.0</v>
      </c>
      <c r="I1111" s="46">
        <v>4752.0</v>
      </c>
      <c r="J1111" s="84">
        <v>3175619.04</v>
      </c>
      <c r="K1111" s="84">
        <v>2388070.08</v>
      </c>
      <c r="L1111" s="84">
        <v>787548.96</v>
      </c>
      <c r="M1111" s="46" t="s">
        <v>148</v>
      </c>
      <c r="N1111" s="46" t="s">
        <v>174</v>
      </c>
      <c r="O1111" s="46" t="s">
        <v>146</v>
      </c>
      <c r="P1111" s="46" t="s">
        <v>158</v>
      </c>
      <c r="Q1111" s="46" t="str">
        <f t="shared" si="1"/>
        <v>October, 2010</v>
      </c>
      <c r="R1111" s="115">
        <f t="shared" si="2"/>
        <v>40452</v>
      </c>
      <c r="S1111" s="49">
        <f t="array" ref="S1111">WEEKDAY(D1111,2)</f>
        <v>3</v>
      </c>
      <c r="T1111" s="46" t="s">
        <v>107</v>
      </c>
      <c r="U1111" s="46" t="str">
        <f t="array" ref="U1111">TEXT(D1111,"dddd")</f>
        <v>Wednesday</v>
      </c>
    </row>
    <row r="1112" hidden="1">
      <c r="A1112" s="46">
        <v>8.4268769E8</v>
      </c>
      <c r="B1112" s="137" t="s">
        <v>223</v>
      </c>
      <c r="C1112" s="137">
        <v>2011.0</v>
      </c>
      <c r="D1112" s="138">
        <v>40643.0</v>
      </c>
      <c r="E1112" s="139">
        <v>40689.0</v>
      </c>
      <c r="F1112" s="142" t="s">
        <v>219</v>
      </c>
      <c r="G1112" s="142">
        <v>2011.0</v>
      </c>
      <c r="H1112" s="46">
        <v>5988.0</v>
      </c>
      <c r="I1112" s="46">
        <v>8869.0</v>
      </c>
      <c r="J1112" s="84">
        <v>1366358.1400000001</v>
      </c>
      <c r="K1112" s="84">
        <v>806458.17</v>
      </c>
      <c r="L1112" s="84">
        <v>559899.9700000001</v>
      </c>
      <c r="M1112" s="46" t="s">
        <v>159</v>
      </c>
      <c r="N1112" s="46" t="s">
        <v>151</v>
      </c>
      <c r="O1112" s="46" t="s">
        <v>146</v>
      </c>
      <c r="P1112" s="46" t="s">
        <v>147</v>
      </c>
      <c r="Q1112" s="46" t="str">
        <f t="shared" si="1"/>
        <v>April, 2011</v>
      </c>
      <c r="R1112" s="115">
        <f t="shared" si="2"/>
        <v>40634</v>
      </c>
      <c r="S1112" s="49">
        <f t="array" ref="S1112">WEEKDAY(D1112,2)</f>
        <v>7</v>
      </c>
      <c r="T1112" s="46" t="s">
        <v>94</v>
      </c>
      <c r="U1112" s="46" t="str">
        <f t="array" ref="U1112">TEXT(D1112,"dddd")</f>
        <v>Sunday</v>
      </c>
    </row>
    <row r="1113" hidden="1">
      <c r="A1113" s="46">
        <v>8.42725884E8</v>
      </c>
      <c r="B1113" s="137" t="s">
        <v>217</v>
      </c>
      <c r="C1113" s="137">
        <v>2015.0</v>
      </c>
      <c r="D1113" s="138">
        <v>42212.0</v>
      </c>
      <c r="E1113" s="139">
        <v>42227.0</v>
      </c>
      <c r="F1113" s="142" t="s">
        <v>216</v>
      </c>
      <c r="G1113" s="142">
        <v>2015.0</v>
      </c>
      <c r="H1113" s="46">
        <v>8969.0</v>
      </c>
      <c r="I1113" s="46">
        <v>171.0</v>
      </c>
      <c r="J1113" s="84">
        <v>26091.180000000004</v>
      </c>
      <c r="K1113" s="84">
        <v>16662.239999999998</v>
      </c>
      <c r="L1113" s="84">
        <v>9428.940000000006</v>
      </c>
      <c r="M1113" s="46" t="s">
        <v>182</v>
      </c>
      <c r="N1113" s="46" t="s">
        <v>175</v>
      </c>
      <c r="O1113" s="46" t="s">
        <v>165</v>
      </c>
      <c r="P1113" s="46" t="s">
        <v>166</v>
      </c>
      <c r="Q1113" s="46" t="str">
        <f t="shared" si="1"/>
        <v>July, 2015</v>
      </c>
      <c r="R1113" s="115">
        <f t="shared" si="2"/>
        <v>42186</v>
      </c>
      <c r="S1113" s="49">
        <f t="array" ref="S1113">WEEKDAY(D1113,2)</f>
        <v>1</v>
      </c>
      <c r="T1113" s="46" t="s">
        <v>108</v>
      </c>
      <c r="U1113" s="46" t="str">
        <f t="array" ref="U1113">TEXT(D1113,"dddd")</f>
        <v>Monday</v>
      </c>
    </row>
    <row r="1114" hidden="1">
      <c r="A1114" s="46">
        <v>8.44105184E8</v>
      </c>
      <c r="B1114" s="137" t="s">
        <v>222</v>
      </c>
      <c r="C1114" s="137">
        <v>2010.0</v>
      </c>
      <c r="D1114" s="138">
        <v>40254.0</v>
      </c>
      <c r="E1114" s="139">
        <v>40288.0</v>
      </c>
      <c r="F1114" s="142" t="s">
        <v>223</v>
      </c>
      <c r="G1114" s="142">
        <v>2010.0</v>
      </c>
      <c r="H1114" s="46">
        <v>1270.0</v>
      </c>
      <c r="I1114" s="46">
        <v>8337.0</v>
      </c>
      <c r="J1114" s="84">
        <v>395590.65</v>
      </c>
      <c r="K1114" s="84">
        <v>265033.23</v>
      </c>
      <c r="L1114" s="84">
        <v>130557.42000000004</v>
      </c>
      <c r="M1114" s="46" t="s">
        <v>152</v>
      </c>
      <c r="N1114" s="46" t="s">
        <v>171</v>
      </c>
      <c r="O1114" s="46" t="s">
        <v>146</v>
      </c>
      <c r="P1114" s="46" t="s">
        <v>147</v>
      </c>
      <c r="Q1114" s="46" t="str">
        <f t="shared" si="1"/>
        <v>March, 2010</v>
      </c>
      <c r="R1114" s="115">
        <f t="shared" si="2"/>
        <v>40238</v>
      </c>
      <c r="S1114" s="49">
        <f t="array" ref="S1114">WEEKDAY(D1114,2)</f>
        <v>3</v>
      </c>
      <c r="T1114" s="46" t="s">
        <v>104</v>
      </c>
      <c r="U1114" s="46" t="str">
        <f t="array" ref="U1114">TEXT(D1114,"dddd")</f>
        <v>Wednesday</v>
      </c>
    </row>
    <row r="1115" hidden="1">
      <c r="A1115" s="46">
        <v>8.44307315E8</v>
      </c>
      <c r="B1115" s="137" t="s">
        <v>217</v>
      </c>
      <c r="C1115" s="137">
        <v>2012.0</v>
      </c>
      <c r="D1115" s="138">
        <v>41098.0</v>
      </c>
      <c r="E1115" s="139">
        <v>41119.0</v>
      </c>
      <c r="F1115" s="142" t="s">
        <v>217</v>
      </c>
      <c r="G1115" s="142">
        <v>2012.0</v>
      </c>
      <c r="H1115" s="46">
        <v>7331.0</v>
      </c>
      <c r="I1115" s="46">
        <v>8152.0</v>
      </c>
      <c r="J1115" s="84">
        <v>2081042.56</v>
      </c>
      <c r="K1115" s="84">
        <v>1299591.8399999999</v>
      </c>
      <c r="L1115" s="84">
        <v>781450.7200000002</v>
      </c>
      <c r="M1115" s="46" t="s">
        <v>161</v>
      </c>
      <c r="N1115" s="46" t="s">
        <v>169</v>
      </c>
      <c r="O1115" s="46" t="s">
        <v>146</v>
      </c>
      <c r="P1115" s="46" t="s">
        <v>170</v>
      </c>
      <c r="Q1115" s="46" t="str">
        <f t="shared" si="1"/>
        <v>July, 2012</v>
      </c>
      <c r="R1115" s="115">
        <f t="shared" si="2"/>
        <v>41091</v>
      </c>
      <c r="S1115" s="49">
        <f t="array" ref="S1115">WEEKDAY(D1115,2)</f>
        <v>7</v>
      </c>
      <c r="T1115" s="46" t="s">
        <v>103</v>
      </c>
      <c r="U1115" s="46" t="str">
        <f t="array" ref="U1115">TEXT(D1115,"dddd")</f>
        <v>Sunday</v>
      </c>
    </row>
    <row r="1116" hidden="1">
      <c r="A1116" s="46">
        <v>8.44575107E8</v>
      </c>
      <c r="B1116" s="137" t="s">
        <v>220</v>
      </c>
      <c r="C1116" s="137">
        <v>2014.0</v>
      </c>
      <c r="D1116" s="138">
        <v>41811.0</v>
      </c>
      <c r="E1116" s="139">
        <v>41816.0</v>
      </c>
      <c r="F1116" s="142" t="s">
        <v>220</v>
      </c>
      <c r="G1116" s="142">
        <v>2014.0</v>
      </c>
      <c r="H1116" s="46">
        <v>8875.0</v>
      </c>
      <c r="I1116" s="46">
        <v>7397.0</v>
      </c>
      <c r="J1116" s="84">
        <v>3120720.33</v>
      </c>
      <c r="K1116" s="84">
        <v>2697611.93</v>
      </c>
      <c r="L1116" s="84">
        <v>423108.3999999999</v>
      </c>
      <c r="M1116" s="46" t="s">
        <v>167</v>
      </c>
      <c r="N1116" s="46" t="s">
        <v>201</v>
      </c>
      <c r="O1116" s="46" t="s">
        <v>146</v>
      </c>
      <c r="P1116" s="46" t="s">
        <v>170</v>
      </c>
      <c r="Q1116" s="46" t="str">
        <f t="shared" si="1"/>
        <v>June, 2014</v>
      </c>
      <c r="R1116" s="115">
        <f t="shared" si="2"/>
        <v>41791</v>
      </c>
      <c r="S1116" s="49">
        <f t="array" ref="S1116">WEEKDAY(D1116,2)</f>
        <v>6</v>
      </c>
      <c r="T1116" s="46" t="s">
        <v>130</v>
      </c>
      <c r="U1116" s="46" t="str">
        <f t="array" ref="U1116">TEXT(D1116,"dddd")</f>
        <v>Saturday</v>
      </c>
    </row>
    <row r="1117" hidden="1">
      <c r="A1117" s="46">
        <v>8.45067346E8</v>
      </c>
      <c r="B1117" s="137" t="s">
        <v>221</v>
      </c>
      <c r="C1117" s="137">
        <v>2010.0</v>
      </c>
      <c r="D1117" s="138">
        <v>40430.0</v>
      </c>
      <c r="E1117" s="139">
        <v>40434.0</v>
      </c>
      <c r="F1117" s="142" t="s">
        <v>221</v>
      </c>
      <c r="G1117" s="142">
        <v>2010.0</v>
      </c>
      <c r="H1117" s="46">
        <v>7940.0</v>
      </c>
      <c r="I1117" s="46">
        <v>3062.0</v>
      </c>
      <c r="J1117" s="84">
        <v>2046242.74</v>
      </c>
      <c r="K1117" s="84">
        <v>1538777.48</v>
      </c>
      <c r="L1117" s="84">
        <v>507465.26</v>
      </c>
      <c r="M1117" s="46" t="s">
        <v>148</v>
      </c>
      <c r="N1117" s="46" t="s">
        <v>180</v>
      </c>
      <c r="O1117" s="46" t="s">
        <v>146</v>
      </c>
      <c r="P1117" s="46" t="s">
        <v>147</v>
      </c>
      <c r="Q1117" s="46" t="str">
        <f t="shared" si="1"/>
        <v>September, 2010</v>
      </c>
      <c r="R1117" s="115">
        <f t="shared" si="2"/>
        <v>40422</v>
      </c>
      <c r="S1117" s="49">
        <f t="array" ref="S1117">WEEKDAY(D1117,2)</f>
        <v>4</v>
      </c>
      <c r="T1117" s="46" t="s">
        <v>112</v>
      </c>
      <c r="U1117" s="46" t="str">
        <f t="array" ref="U1117">TEXT(D1117,"dddd")</f>
        <v>Thursday</v>
      </c>
    </row>
    <row r="1118">
      <c r="A1118" s="46">
        <v>8.45738112E8</v>
      </c>
      <c r="B1118" s="137" t="s">
        <v>221</v>
      </c>
      <c r="C1118" s="137">
        <v>2010.0</v>
      </c>
      <c r="D1118" s="138">
        <v>40447.0</v>
      </c>
      <c r="E1118" s="139">
        <v>40474.0</v>
      </c>
      <c r="F1118" s="142" t="s">
        <v>226</v>
      </c>
      <c r="G1118" s="142">
        <v>2010.0</v>
      </c>
      <c r="H1118" s="46">
        <v>8293.0</v>
      </c>
      <c r="I1118" s="46">
        <v>1557.0</v>
      </c>
      <c r="J1118" s="84">
        <v>680720.4</v>
      </c>
      <c r="K1118" s="84">
        <v>410004.81</v>
      </c>
      <c r="L1118" s="84">
        <v>270715.59</v>
      </c>
      <c r="M1118" s="46" t="s">
        <v>178</v>
      </c>
      <c r="N1118" s="46" t="s">
        <v>149</v>
      </c>
      <c r="O1118" s="46" t="s">
        <v>149</v>
      </c>
      <c r="P1118" s="46" t="s">
        <v>218</v>
      </c>
      <c r="Q1118" s="46" t="str">
        <f t="shared" si="1"/>
        <v>September, 2010</v>
      </c>
      <c r="R1118" s="115">
        <f t="shared" si="2"/>
        <v>40422</v>
      </c>
      <c r="S1118" s="49">
        <f t="array" ref="S1118">WEEKDAY(D1118,2)</f>
        <v>7</v>
      </c>
      <c r="T1118" s="46" t="s">
        <v>92</v>
      </c>
      <c r="U1118" s="46" t="str">
        <f t="array" ref="U1118">TEXT(D1118,"dddd")</f>
        <v>Sunday</v>
      </c>
    </row>
    <row r="1119" hidden="1">
      <c r="A1119" s="46">
        <v>8.464136E8</v>
      </c>
      <c r="B1119" s="137" t="s">
        <v>225</v>
      </c>
      <c r="C1119" s="137">
        <v>2011.0</v>
      </c>
      <c r="D1119" s="138">
        <v>40907.0</v>
      </c>
      <c r="E1119" s="139">
        <v>40908.0</v>
      </c>
      <c r="F1119" s="142" t="s">
        <v>225</v>
      </c>
      <c r="G1119" s="142">
        <v>2011.0</v>
      </c>
      <c r="H1119" s="46">
        <v>8969.0</v>
      </c>
      <c r="I1119" s="46">
        <v>1448.0</v>
      </c>
      <c r="J1119" s="84">
        <v>220935.84000000003</v>
      </c>
      <c r="K1119" s="84">
        <v>141093.12</v>
      </c>
      <c r="L1119" s="84">
        <v>79842.72000000003</v>
      </c>
      <c r="M1119" s="46" t="s">
        <v>182</v>
      </c>
      <c r="N1119" s="46" t="s">
        <v>198</v>
      </c>
      <c r="O1119" s="46" t="s">
        <v>146</v>
      </c>
      <c r="P1119" s="46" t="s">
        <v>170</v>
      </c>
      <c r="Q1119" s="46" t="str">
        <f t="shared" si="1"/>
        <v>December, 2011</v>
      </c>
      <c r="R1119" s="115">
        <f t="shared" si="2"/>
        <v>40878</v>
      </c>
      <c r="S1119" s="49">
        <f t="array" ref="S1119">WEEKDAY(D1119,2)</f>
        <v>5</v>
      </c>
      <c r="T1119" s="46" t="s">
        <v>127</v>
      </c>
      <c r="U1119" s="46" t="str">
        <f t="array" ref="U1119">TEXT(D1119,"dddd")</f>
        <v>Friday</v>
      </c>
    </row>
    <row r="1120" hidden="1">
      <c r="A1120" s="46">
        <v>8.47317397E8</v>
      </c>
      <c r="B1120" s="137" t="s">
        <v>225</v>
      </c>
      <c r="C1120" s="137">
        <v>2011.0</v>
      </c>
      <c r="D1120" s="138">
        <v>40892.0</v>
      </c>
      <c r="E1120" s="139">
        <v>40895.0</v>
      </c>
      <c r="F1120" s="142" t="s">
        <v>225</v>
      </c>
      <c r="G1120" s="142">
        <v>2011.0</v>
      </c>
      <c r="H1120" s="46">
        <v>8875.0</v>
      </c>
      <c r="I1120" s="46">
        <v>8902.0</v>
      </c>
      <c r="J1120" s="84">
        <v>3755664.78</v>
      </c>
      <c r="K1120" s="84">
        <v>3246470.38</v>
      </c>
      <c r="L1120" s="84">
        <v>509194.3999999999</v>
      </c>
      <c r="M1120" s="46" t="s">
        <v>167</v>
      </c>
      <c r="N1120" s="46" t="s">
        <v>195</v>
      </c>
      <c r="O1120" s="46" t="s">
        <v>146</v>
      </c>
      <c r="P1120" s="46" t="s">
        <v>170</v>
      </c>
      <c r="Q1120" s="46" t="str">
        <f t="shared" si="1"/>
        <v>December, 2011</v>
      </c>
      <c r="R1120" s="115">
        <f t="shared" si="2"/>
        <v>40878</v>
      </c>
      <c r="S1120" s="49">
        <f t="array" ref="S1120">WEEKDAY(D1120,2)</f>
        <v>4</v>
      </c>
      <c r="T1120" s="46" t="s">
        <v>124</v>
      </c>
      <c r="U1120" s="46" t="str">
        <f t="array" ref="U1120">TEXT(D1120,"dddd")</f>
        <v>Thursday</v>
      </c>
    </row>
    <row r="1121" hidden="1">
      <c r="A1121" s="46">
        <v>8.48737466E8</v>
      </c>
      <c r="B1121" s="137" t="s">
        <v>219</v>
      </c>
      <c r="C1121" s="137">
        <v>2016.0</v>
      </c>
      <c r="D1121" s="138">
        <v>42505.0</v>
      </c>
      <c r="E1121" s="139">
        <v>42521.0</v>
      </c>
      <c r="F1121" s="142" t="s">
        <v>219</v>
      </c>
      <c r="G1121" s="142">
        <v>2016.0</v>
      </c>
      <c r="H1121" s="46">
        <v>5988.0</v>
      </c>
      <c r="I1121" s="46">
        <v>9132.0</v>
      </c>
      <c r="J1121" s="84">
        <v>1406875.92</v>
      </c>
      <c r="K1121" s="84">
        <v>830372.76</v>
      </c>
      <c r="L1121" s="84">
        <v>576503.1599999999</v>
      </c>
      <c r="M1121" s="46" t="s">
        <v>159</v>
      </c>
      <c r="N1121" s="46" t="s">
        <v>164</v>
      </c>
      <c r="O1121" s="46" t="s">
        <v>165</v>
      </c>
      <c r="P1121" s="46" t="s">
        <v>166</v>
      </c>
      <c r="Q1121" s="46" t="str">
        <f t="shared" si="1"/>
        <v>May, 2016</v>
      </c>
      <c r="R1121" s="115">
        <f t="shared" si="2"/>
        <v>42491</v>
      </c>
      <c r="S1121" s="49">
        <f t="array" ref="S1121">WEEKDAY(D1121,2)</f>
        <v>7</v>
      </c>
      <c r="T1121" s="46" t="s">
        <v>101</v>
      </c>
      <c r="U1121" s="46" t="str">
        <f t="array" ref="U1121">TEXT(D1121,"dddd")</f>
        <v>Sunday</v>
      </c>
    </row>
    <row r="1122" hidden="1">
      <c r="A1122" s="46">
        <v>8.49431836E8</v>
      </c>
      <c r="B1122" s="137" t="s">
        <v>224</v>
      </c>
      <c r="C1122" s="137">
        <v>2014.0</v>
      </c>
      <c r="D1122" s="138">
        <v>41968.0</v>
      </c>
      <c r="E1122" s="139">
        <v>41971.0</v>
      </c>
      <c r="F1122" s="142" t="s">
        <v>224</v>
      </c>
      <c r="G1122" s="142">
        <v>2014.0</v>
      </c>
      <c r="H1122" s="46">
        <v>8875.0</v>
      </c>
      <c r="I1122" s="46">
        <v>4611.0</v>
      </c>
      <c r="J1122" s="84">
        <v>1945334.79</v>
      </c>
      <c r="K1122" s="84">
        <v>1681585.59</v>
      </c>
      <c r="L1122" s="84">
        <v>263749.19999999995</v>
      </c>
      <c r="M1122" s="46" t="s">
        <v>167</v>
      </c>
      <c r="N1122" s="46" t="s">
        <v>195</v>
      </c>
      <c r="O1122" s="46" t="s">
        <v>146</v>
      </c>
      <c r="P1122" s="46" t="s">
        <v>170</v>
      </c>
      <c r="Q1122" s="46" t="str">
        <f t="shared" si="1"/>
        <v>November, 2014</v>
      </c>
      <c r="R1122" s="115">
        <f t="shared" si="2"/>
        <v>41944</v>
      </c>
      <c r="S1122" s="49">
        <f t="array" ref="S1122">WEEKDAY(D1122,2)</f>
        <v>2</v>
      </c>
      <c r="T1122" s="46" t="s">
        <v>124</v>
      </c>
      <c r="U1122" s="46" t="str">
        <f t="array" ref="U1122">TEXT(D1122,"dddd")</f>
        <v>Tuesday</v>
      </c>
    </row>
    <row r="1123" hidden="1">
      <c r="A1123" s="46">
        <v>8.49454581E8</v>
      </c>
      <c r="B1123" s="137" t="s">
        <v>216</v>
      </c>
      <c r="C1123" s="137">
        <v>2016.0</v>
      </c>
      <c r="D1123" s="138">
        <v>42592.0</v>
      </c>
      <c r="E1123" s="139">
        <v>42619.0</v>
      </c>
      <c r="F1123" s="142" t="s">
        <v>221</v>
      </c>
      <c r="G1123" s="142">
        <v>2016.0</v>
      </c>
      <c r="H1123" s="46">
        <v>8681.0</v>
      </c>
      <c r="I1123" s="46">
        <v>1342.0</v>
      </c>
      <c r="J1123" s="84">
        <v>873923.8200000001</v>
      </c>
      <c r="K1123" s="84">
        <v>704496.3200000001</v>
      </c>
      <c r="L1123" s="84">
        <v>169427.5</v>
      </c>
      <c r="M1123" s="46" t="s">
        <v>153</v>
      </c>
      <c r="N1123" s="46" t="s">
        <v>202</v>
      </c>
      <c r="O1123" s="46" t="s">
        <v>146</v>
      </c>
      <c r="P1123" s="46" t="s">
        <v>147</v>
      </c>
      <c r="Q1123" s="46" t="str">
        <f t="shared" si="1"/>
        <v>August, 2016</v>
      </c>
      <c r="R1123" s="115">
        <f t="shared" si="2"/>
        <v>42583</v>
      </c>
      <c r="S1123" s="49">
        <f t="array" ref="S1123">WEEKDAY(D1123,2)</f>
        <v>3</v>
      </c>
      <c r="T1123" s="46" t="s">
        <v>131</v>
      </c>
      <c r="U1123" s="46" t="str">
        <f t="array" ref="U1123">TEXT(D1123,"dddd")</f>
        <v>Wednesday</v>
      </c>
    </row>
    <row r="1124" hidden="1">
      <c r="A1124" s="46">
        <v>8.50279843E8</v>
      </c>
      <c r="B1124" s="137" t="s">
        <v>222</v>
      </c>
      <c r="C1124" s="137">
        <v>2012.0</v>
      </c>
      <c r="D1124" s="138">
        <v>40999.0</v>
      </c>
      <c r="E1124" s="139">
        <v>41009.0</v>
      </c>
      <c r="F1124" s="142" t="s">
        <v>223</v>
      </c>
      <c r="G1124" s="142">
        <v>2012.0</v>
      </c>
      <c r="H1124" s="46">
        <v>4594.0</v>
      </c>
      <c r="I1124" s="46">
        <v>5556.0</v>
      </c>
      <c r="J1124" s="84">
        <v>51837.48</v>
      </c>
      <c r="K1124" s="84">
        <v>38447.52</v>
      </c>
      <c r="L1124" s="84">
        <v>13389.960000000006</v>
      </c>
      <c r="M1124" s="46" t="s">
        <v>156</v>
      </c>
      <c r="N1124" s="46" t="s">
        <v>175</v>
      </c>
      <c r="O1124" s="46" t="s">
        <v>165</v>
      </c>
      <c r="P1124" s="46" t="s">
        <v>166</v>
      </c>
      <c r="Q1124" s="46" t="str">
        <f t="shared" si="1"/>
        <v>March, 2012</v>
      </c>
      <c r="R1124" s="115">
        <f t="shared" si="2"/>
        <v>40969</v>
      </c>
      <c r="S1124" s="49">
        <f t="array" ref="S1124">WEEKDAY(D1124,2)</f>
        <v>6</v>
      </c>
      <c r="T1124" s="46" t="s">
        <v>108</v>
      </c>
      <c r="U1124" s="46" t="str">
        <f t="array" ref="U1124">TEXT(D1124,"dddd")</f>
        <v>Saturday</v>
      </c>
    </row>
    <row r="1125" hidden="1">
      <c r="A1125" s="46">
        <v>8.50562655E8</v>
      </c>
      <c r="B1125" s="137" t="s">
        <v>216</v>
      </c>
      <c r="C1125" s="137">
        <v>2014.0</v>
      </c>
      <c r="D1125" s="138">
        <v>41862.0</v>
      </c>
      <c r="E1125" s="139">
        <v>41907.0</v>
      </c>
      <c r="F1125" s="142" t="s">
        <v>221</v>
      </c>
      <c r="G1125" s="142">
        <v>2014.0</v>
      </c>
      <c r="H1125" s="46">
        <v>7331.0</v>
      </c>
      <c r="I1125" s="46">
        <v>9246.0</v>
      </c>
      <c r="J1125" s="84">
        <v>2360318.88</v>
      </c>
      <c r="K1125" s="84">
        <v>1473997.3199999998</v>
      </c>
      <c r="L1125" s="84">
        <v>886321.56</v>
      </c>
      <c r="M1125" s="46" t="s">
        <v>161</v>
      </c>
      <c r="N1125" s="46" t="s">
        <v>193</v>
      </c>
      <c r="O1125" s="46" t="s">
        <v>146</v>
      </c>
      <c r="P1125" s="46" t="s">
        <v>158</v>
      </c>
      <c r="Q1125" s="46" t="str">
        <f t="shared" si="1"/>
        <v>August, 2014</v>
      </c>
      <c r="R1125" s="115">
        <f t="shared" si="2"/>
        <v>41852</v>
      </c>
      <c r="S1125" s="49">
        <f t="array" ref="S1125">WEEKDAY(D1125,2)</f>
        <v>1</v>
      </c>
      <c r="T1125" s="46" t="s">
        <v>122</v>
      </c>
      <c r="U1125" s="46" t="str">
        <f t="array" ref="U1125">TEXT(D1125,"dddd")</f>
        <v>Monday</v>
      </c>
    </row>
    <row r="1126" hidden="1">
      <c r="A1126" s="46">
        <v>8.50872075E8</v>
      </c>
      <c r="B1126" s="137" t="s">
        <v>217</v>
      </c>
      <c r="C1126" s="137">
        <v>2015.0</v>
      </c>
      <c r="D1126" s="138">
        <v>42203.0</v>
      </c>
      <c r="E1126" s="139">
        <v>42217.0</v>
      </c>
      <c r="F1126" s="142" t="s">
        <v>216</v>
      </c>
      <c r="G1126" s="142">
        <v>2015.0</v>
      </c>
      <c r="H1126" s="46">
        <v>7331.0</v>
      </c>
      <c r="I1126" s="46">
        <v>810.0</v>
      </c>
      <c r="J1126" s="84">
        <v>206776.8</v>
      </c>
      <c r="K1126" s="84">
        <v>129130.2</v>
      </c>
      <c r="L1126" s="84">
        <v>77646.59999999999</v>
      </c>
      <c r="M1126" s="46" t="s">
        <v>161</v>
      </c>
      <c r="N1126" s="46" t="s">
        <v>184</v>
      </c>
      <c r="O1126" s="46" t="s">
        <v>146</v>
      </c>
      <c r="P1126" s="46" t="s">
        <v>155</v>
      </c>
      <c r="Q1126" s="46" t="str">
        <f t="shared" si="1"/>
        <v>July, 2015</v>
      </c>
      <c r="R1126" s="115">
        <f t="shared" si="2"/>
        <v>42186</v>
      </c>
      <c r="S1126" s="49">
        <f t="array" ref="S1126">WEEKDAY(D1126,2)</f>
        <v>6</v>
      </c>
      <c r="T1126" s="46" t="s">
        <v>114</v>
      </c>
      <c r="U1126" s="46" t="str">
        <f t="array" ref="U1126">TEXT(D1126,"dddd")</f>
        <v>Saturday</v>
      </c>
    </row>
    <row r="1127" hidden="1">
      <c r="A1127" s="46">
        <v>8.52392995E8</v>
      </c>
      <c r="B1127" s="137" t="s">
        <v>222</v>
      </c>
      <c r="C1127" s="137">
        <v>2016.0</v>
      </c>
      <c r="D1127" s="138">
        <v>42457.0</v>
      </c>
      <c r="E1127" s="139">
        <v>42479.0</v>
      </c>
      <c r="F1127" s="142" t="s">
        <v>223</v>
      </c>
      <c r="G1127" s="142">
        <v>2016.0</v>
      </c>
      <c r="H1127" s="46">
        <v>8293.0</v>
      </c>
      <c r="I1127" s="46">
        <v>884.0</v>
      </c>
      <c r="J1127" s="84">
        <v>386484.8</v>
      </c>
      <c r="K1127" s="84">
        <v>232783.71999999997</v>
      </c>
      <c r="L1127" s="84">
        <v>153701.08000000002</v>
      </c>
      <c r="M1127" s="46" t="s">
        <v>178</v>
      </c>
      <c r="N1127" s="46" t="s">
        <v>177</v>
      </c>
      <c r="O1127" s="46" t="s">
        <v>146</v>
      </c>
      <c r="P1127" s="46" t="s">
        <v>170</v>
      </c>
      <c r="Q1127" s="46" t="str">
        <f t="shared" si="1"/>
        <v>March, 2016</v>
      </c>
      <c r="R1127" s="115">
        <f t="shared" si="2"/>
        <v>42430</v>
      </c>
      <c r="S1127" s="49">
        <f t="array" ref="S1127">WEEKDAY(D1127,2)</f>
        <v>1</v>
      </c>
      <c r="T1127" s="46" t="s">
        <v>110</v>
      </c>
      <c r="U1127" s="46" t="str">
        <f t="array" ref="U1127">TEXT(D1127,"dddd")</f>
        <v>Monday</v>
      </c>
    </row>
    <row r="1128" hidden="1">
      <c r="A1128" s="46">
        <v>8.53036296E8</v>
      </c>
      <c r="B1128" s="137" t="s">
        <v>219</v>
      </c>
      <c r="C1128" s="137">
        <v>2013.0</v>
      </c>
      <c r="D1128" s="138">
        <v>41408.0</v>
      </c>
      <c r="E1128" s="139">
        <v>41426.0</v>
      </c>
      <c r="F1128" s="142" t="s">
        <v>220</v>
      </c>
      <c r="G1128" s="142">
        <v>2013.0</v>
      </c>
      <c r="H1128" s="46">
        <v>3127.0</v>
      </c>
      <c r="I1128" s="46">
        <v>1251.0</v>
      </c>
      <c r="J1128" s="84">
        <v>102244.23000000001</v>
      </c>
      <c r="K1128" s="84">
        <v>70894.17</v>
      </c>
      <c r="L1128" s="84">
        <v>31350.060000000012</v>
      </c>
      <c r="M1128" s="46" t="s">
        <v>185</v>
      </c>
      <c r="N1128" s="46" t="s">
        <v>172</v>
      </c>
      <c r="O1128" s="46" t="s">
        <v>146</v>
      </c>
      <c r="P1128" s="46" t="s">
        <v>155</v>
      </c>
      <c r="Q1128" s="46" t="str">
        <f t="shared" si="1"/>
        <v>May, 2013</v>
      </c>
      <c r="R1128" s="115">
        <f t="shared" si="2"/>
        <v>41395</v>
      </c>
      <c r="S1128" s="49">
        <f t="array" ref="S1128">WEEKDAY(D1128,2)</f>
        <v>2</v>
      </c>
      <c r="T1128" s="46" t="s">
        <v>105</v>
      </c>
      <c r="U1128" s="46" t="str">
        <f t="array" ref="U1128">TEXT(D1128,"dddd")</f>
        <v>Tuesday</v>
      </c>
    </row>
    <row r="1129" hidden="1">
      <c r="A1129" s="46">
        <v>8.56648051E8</v>
      </c>
      <c r="B1129" s="137" t="s">
        <v>225</v>
      </c>
      <c r="C1129" s="137">
        <v>2010.0</v>
      </c>
      <c r="D1129" s="138">
        <v>40525.0</v>
      </c>
      <c r="E1129" s="139">
        <v>40535.0</v>
      </c>
      <c r="F1129" s="142" t="s">
        <v>225</v>
      </c>
      <c r="G1129" s="142">
        <v>2010.0</v>
      </c>
      <c r="H1129" s="46">
        <v>2103.0</v>
      </c>
      <c r="I1129" s="46">
        <v>50.0</v>
      </c>
      <c r="J1129" s="84">
        <v>10285.0</v>
      </c>
      <c r="K1129" s="84">
        <v>5855.5</v>
      </c>
      <c r="L1129" s="84">
        <v>4429.5</v>
      </c>
      <c r="M1129" s="46" t="s">
        <v>144</v>
      </c>
      <c r="N1129" s="46" t="s">
        <v>200</v>
      </c>
      <c r="O1129" s="46" t="s">
        <v>146</v>
      </c>
      <c r="P1129" s="46" t="s">
        <v>158</v>
      </c>
      <c r="Q1129" s="46" t="str">
        <f t="shared" si="1"/>
        <v>December, 2010</v>
      </c>
      <c r="R1129" s="115">
        <f t="shared" si="2"/>
        <v>40513</v>
      </c>
      <c r="S1129" s="49">
        <f t="array" ref="S1129">WEEKDAY(D1129,2)</f>
        <v>1</v>
      </c>
      <c r="T1129" s="46" t="s">
        <v>129</v>
      </c>
      <c r="U1129" s="46" t="str">
        <f t="array" ref="U1129">TEXT(D1129,"dddd")</f>
        <v>Monday</v>
      </c>
    </row>
    <row r="1130" hidden="1">
      <c r="A1130" s="46">
        <v>8.57457864E8</v>
      </c>
      <c r="B1130" s="137" t="s">
        <v>217</v>
      </c>
      <c r="C1130" s="137">
        <v>2011.0</v>
      </c>
      <c r="D1130" s="138">
        <v>40753.0</v>
      </c>
      <c r="E1130" s="139">
        <v>40802.0</v>
      </c>
      <c r="F1130" s="142" t="s">
        <v>221</v>
      </c>
      <c r="G1130" s="142">
        <v>2011.0</v>
      </c>
      <c r="H1130" s="46">
        <v>8681.0</v>
      </c>
      <c r="I1130" s="46">
        <v>9691.0</v>
      </c>
      <c r="J1130" s="84">
        <v>6310876.11</v>
      </c>
      <c r="K1130" s="84">
        <v>5087387.36</v>
      </c>
      <c r="L1130" s="84">
        <v>1223488.75</v>
      </c>
      <c r="M1130" s="46" t="s">
        <v>153</v>
      </c>
      <c r="N1130" s="46" t="s">
        <v>192</v>
      </c>
      <c r="O1130" s="46" t="s">
        <v>146</v>
      </c>
      <c r="P1130" s="46" t="s">
        <v>158</v>
      </c>
      <c r="Q1130" s="46" t="str">
        <f t="shared" si="1"/>
        <v>July, 2011</v>
      </c>
      <c r="R1130" s="115">
        <f t="shared" si="2"/>
        <v>40725</v>
      </c>
      <c r="S1130" s="49">
        <f t="array" ref="S1130">WEEKDAY(D1130,2)</f>
        <v>5</v>
      </c>
      <c r="T1130" s="46" t="s">
        <v>121</v>
      </c>
      <c r="U1130" s="46" t="str">
        <f t="array" ref="U1130">TEXT(D1130,"dddd")</f>
        <v>Friday</v>
      </c>
    </row>
    <row r="1131" hidden="1">
      <c r="A1131" s="46">
        <v>8.59914767E8</v>
      </c>
      <c r="B1131" s="137" t="s">
        <v>219</v>
      </c>
      <c r="C1131" s="137">
        <v>2016.0</v>
      </c>
      <c r="D1131" s="138">
        <v>42501.0</v>
      </c>
      <c r="E1131" s="139">
        <v>42539.0</v>
      </c>
      <c r="F1131" s="142" t="s">
        <v>220</v>
      </c>
      <c r="G1131" s="142">
        <v>2016.0</v>
      </c>
      <c r="H1131" s="46">
        <v>8681.0</v>
      </c>
      <c r="I1131" s="46">
        <v>6744.0</v>
      </c>
      <c r="J1131" s="84">
        <v>4391760.24</v>
      </c>
      <c r="K1131" s="84">
        <v>3540330.24</v>
      </c>
      <c r="L1131" s="84">
        <v>851430.0</v>
      </c>
      <c r="M1131" s="46" t="s">
        <v>153</v>
      </c>
      <c r="N1131" s="46" t="s">
        <v>191</v>
      </c>
      <c r="O1131" s="46" t="s">
        <v>146</v>
      </c>
      <c r="P1131" s="46" t="s">
        <v>147</v>
      </c>
      <c r="Q1131" s="46" t="str">
        <f t="shared" si="1"/>
        <v>May, 2016</v>
      </c>
      <c r="R1131" s="115">
        <f t="shared" si="2"/>
        <v>42491</v>
      </c>
      <c r="S1131" s="49">
        <f t="array" ref="S1131">WEEKDAY(D1131,2)</f>
        <v>3</v>
      </c>
      <c r="T1131" s="46" t="s">
        <v>120</v>
      </c>
      <c r="U1131" s="46" t="str">
        <f t="array" ref="U1131">TEXT(D1131,"dddd")</f>
        <v>Wednesday</v>
      </c>
    </row>
    <row r="1132" hidden="1">
      <c r="A1132" s="46">
        <v>8.60104024E8</v>
      </c>
      <c r="B1132" s="137" t="s">
        <v>225</v>
      </c>
      <c r="C1132" s="137">
        <v>2013.0</v>
      </c>
      <c r="D1132" s="138">
        <v>41635.0</v>
      </c>
      <c r="E1132" s="139">
        <v>41638.0</v>
      </c>
      <c r="F1132" s="142" t="s">
        <v>225</v>
      </c>
      <c r="G1132" s="142">
        <v>2013.0</v>
      </c>
      <c r="H1132" s="46">
        <v>8293.0</v>
      </c>
      <c r="I1132" s="46">
        <v>2749.0</v>
      </c>
      <c r="J1132" s="84">
        <v>1201862.8</v>
      </c>
      <c r="K1132" s="84">
        <v>723894.1699999999</v>
      </c>
      <c r="L1132" s="84">
        <v>477968.6300000001</v>
      </c>
      <c r="M1132" s="46" t="s">
        <v>178</v>
      </c>
      <c r="N1132" s="46" t="s">
        <v>205</v>
      </c>
      <c r="O1132" s="46" t="s">
        <v>146</v>
      </c>
      <c r="P1132" s="46" t="s">
        <v>170</v>
      </c>
      <c r="Q1132" s="46" t="str">
        <f t="shared" si="1"/>
        <v>December, 2013</v>
      </c>
      <c r="R1132" s="115">
        <f t="shared" si="2"/>
        <v>41609</v>
      </c>
      <c r="S1132" s="49">
        <f t="array" ref="S1132">WEEKDAY(D1132,2)</f>
        <v>5</v>
      </c>
      <c r="T1132" s="46" t="s">
        <v>135</v>
      </c>
      <c r="U1132" s="46" t="str">
        <f t="array" ref="U1132">TEXT(D1132,"dddd")</f>
        <v>Friday</v>
      </c>
    </row>
    <row r="1133" hidden="1">
      <c r="A1133" s="46">
        <v>8.61180341E8</v>
      </c>
      <c r="B1133" s="137" t="s">
        <v>227</v>
      </c>
      <c r="C1133" s="137">
        <v>2010.0</v>
      </c>
      <c r="D1133" s="138">
        <v>40191.0</v>
      </c>
      <c r="E1133" s="139">
        <v>40229.0</v>
      </c>
      <c r="F1133" s="142" t="s">
        <v>228</v>
      </c>
      <c r="G1133" s="142">
        <v>2010.0</v>
      </c>
      <c r="H1133" s="46">
        <v>1270.0</v>
      </c>
      <c r="I1133" s="46">
        <v>1255.0</v>
      </c>
      <c r="J1133" s="84">
        <v>59549.75</v>
      </c>
      <c r="K1133" s="84">
        <v>39896.45</v>
      </c>
      <c r="L1133" s="84">
        <v>19653.300000000003</v>
      </c>
      <c r="M1133" s="46" t="s">
        <v>152</v>
      </c>
      <c r="N1133" s="46" t="s">
        <v>199</v>
      </c>
      <c r="O1133" s="46" t="s">
        <v>146</v>
      </c>
      <c r="P1133" s="46" t="s">
        <v>147</v>
      </c>
      <c r="Q1133" s="46" t="str">
        <f t="shared" si="1"/>
        <v>January, 2010</v>
      </c>
      <c r="R1133" s="115">
        <f t="shared" si="2"/>
        <v>40179</v>
      </c>
      <c r="S1133" s="49">
        <f t="array" ref="S1133">WEEKDAY(D1133,2)</f>
        <v>3</v>
      </c>
      <c r="T1133" s="46" t="s">
        <v>128</v>
      </c>
      <c r="U1133" s="46" t="str">
        <f t="array" ref="U1133">TEXT(D1133,"dddd")</f>
        <v>Wednesday</v>
      </c>
    </row>
    <row r="1134" hidden="1">
      <c r="A1134" s="46">
        <v>8.61252868E8</v>
      </c>
      <c r="B1134" s="137" t="s">
        <v>222</v>
      </c>
      <c r="C1134" s="137">
        <v>2014.0</v>
      </c>
      <c r="D1134" s="138">
        <v>41710.0</v>
      </c>
      <c r="E1134" s="139">
        <v>41726.0</v>
      </c>
      <c r="F1134" s="142" t="s">
        <v>222</v>
      </c>
      <c r="G1134" s="142">
        <v>2014.0</v>
      </c>
      <c r="H1134" s="46">
        <v>8681.0</v>
      </c>
      <c r="I1134" s="46">
        <v>2717.0</v>
      </c>
      <c r="J1134" s="84">
        <v>1769337.57</v>
      </c>
      <c r="K1134" s="84">
        <v>1426316.32</v>
      </c>
      <c r="L1134" s="84">
        <v>343021.25</v>
      </c>
      <c r="M1134" s="46" t="s">
        <v>153</v>
      </c>
      <c r="N1134" s="46" t="s">
        <v>189</v>
      </c>
      <c r="O1134" s="46" t="s">
        <v>146</v>
      </c>
      <c r="P1134" s="46" t="s">
        <v>158</v>
      </c>
      <c r="Q1134" s="46" t="str">
        <f t="shared" si="1"/>
        <v>March, 2014</v>
      </c>
      <c r="R1134" s="115">
        <f t="shared" si="2"/>
        <v>41699</v>
      </c>
      <c r="S1134" s="49">
        <f t="array" ref="S1134">WEEKDAY(D1134,2)</f>
        <v>3</v>
      </c>
      <c r="T1134" s="46" t="s">
        <v>118</v>
      </c>
      <c r="U1134" s="46" t="str">
        <f t="array" ref="U1134">TEXT(D1134,"dddd")</f>
        <v>Wednesday</v>
      </c>
    </row>
    <row r="1135" hidden="1">
      <c r="A1135" s="46">
        <v>8.6197685E8</v>
      </c>
      <c r="B1135" s="137" t="s">
        <v>219</v>
      </c>
      <c r="C1135" s="137">
        <v>2011.0</v>
      </c>
      <c r="D1135" s="138">
        <v>40680.0</v>
      </c>
      <c r="E1135" s="139">
        <v>40688.0</v>
      </c>
      <c r="F1135" s="142" t="s">
        <v>219</v>
      </c>
      <c r="G1135" s="142">
        <v>2011.0</v>
      </c>
      <c r="H1135" s="46">
        <v>3127.0</v>
      </c>
      <c r="I1135" s="46">
        <v>6960.0</v>
      </c>
      <c r="J1135" s="84">
        <v>568840.8</v>
      </c>
      <c r="K1135" s="84">
        <v>394423.2</v>
      </c>
      <c r="L1135" s="84">
        <v>174417.60000000003</v>
      </c>
      <c r="M1135" s="46" t="s">
        <v>185</v>
      </c>
      <c r="N1135" s="46" t="s">
        <v>203</v>
      </c>
      <c r="O1135" s="46" t="s">
        <v>146</v>
      </c>
      <c r="P1135" s="46" t="s">
        <v>170</v>
      </c>
      <c r="Q1135" s="46" t="str">
        <f t="shared" si="1"/>
        <v>May, 2011</v>
      </c>
      <c r="R1135" s="115">
        <f t="shared" si="2"/>
        <v>40664</v>
      </c>
      <c r="S1135" s="49">
        <f t="array" ref="S1135">WEEKDAY(D1135,2)</f>
        <v>2</v>
      </c>
      <c r="T1135" s="46" t="s">
        <v>132</v>
      </c>
      <c r="U1135" s="46" t="str">
        <f t="array" ref="U1135">TEXT(D1135,"dddd")</f>
        <v>Tuesday</v>
      </c>
    </row>
    <row r="1136" hidden="1">
      <c r="A1136" s="46">
        <v>8.61982858E8</v>
      </c>
      <c r="B1136" s="137" t="s">
        <v>217</v>
      </c>
      <c r="C1136" s="137">
        <v>2011.0</v>
      </c>
      <c r="D1136" s="138">
        <v>40741.0</v>
      </c>
      <c r="E1136" s="139">
        <v>40790.0</v>
      </c>
      <c r="F1136" s="142" t="s">
        <v>221</v>
      </c>
      <c r="G1136" s="142">
        <v>2011.0</v>
      </c>
      <c r="H1136" s="46">
        <v>8969.0</v>
      </c>
      <c r="I1136" s="46">
        <v>8738.0</v>
      </c>
      <c r="J1136" s="84">
        <v>1333244.04</v>
      </c>
      <c r="K1136" s="84">
        <v>851430.72</v>
      </c>
      <c r="L1136" s="84">
        <v>481813.32000000007</v>
      </c>
      <c r="M1136" s="46" t="s">
        <v>182</v>
      </c>
      <c r="N1136" s="46" t="s">
        <v>183</v>
      </c>
      <c r="O1136" s="46" t="s">
        <v>146</v>
      </c>
      <c r="P1136" s="46" t="s">
        <v>170</v>
      </c>
      <c r="Q1136" s="46" t="str">
        <f t="shared" si="1"/>
        <v>July, 2011</v>
      </c>
      <c r="R1136" s="115">
        <f t="shared" si="2"/>
        <v>40725</v>
      </c>
      <c r="S1136" s="49">
        <f t="array" ref="S1136">WEEKDAY(D1136,2)</f>
        <v>7</v>
      </c>
      <c r="T1136" s="46" t="s">
        <v>90</v>
      </c>
      <c r="U1136" s="46" t="str">
        <f t="array" ref="U1136">TEXT(D1136,"dddd")</f>
        <v>Sunday</v>
      </c>
    </row>
    <row r="1137" hidden="1">
      <c r="A1137" s="46">
        <v>8.6232661E8</v>
      </c>
      <c r="B1137" s="137" t="s">
        <v>219</v>
      </c>
      <c r="C1137" s="137">
        <v>2012.0</v>
      </c>
      <c r="D1137" s="138">
        <v>41031.0</v>
      </c>
      <c r="E1137" s="139">
        <v>41057.0</v>
      </c>
      <c r="F1137" s="142" t="s">
        <v>219</v>
      </c>
      <c r="G1137" s="142">
        <v>2012.0</v>
      </c>
      <c r="H1137" s="46">
        <v>1270.0</v>
      </c>
      <c r="I1137" s="46">
        <v>461.0</v>
      </c>
      <c r="J1137" s="84">
        <v>21874.45</v>
      </c>
      <c r="K1137" s="84">
        <v>14655.19</v>
      </c>
      <c r="L1137" s="84">
        <v>7219.26</v>
      </c>
      <c r="M1137" s="46" t="s">
        <v>152</v>
      </c>
      <c r="N1137" s="46" t="s">
        <v>195</v>
      </c>
      <c r="O1137" s="46" t="s">
        <v>146</v>
      </c>
      <c r="P1137" s="46" t="s">
        <v>170</v>
      </c>
      <c r="Q1137" s="46" t="str">
        <f t="shared" si="1"/>
        <v>May, 2012</v>
      </c>
      <c r="R1137" s="115">
        <f t="shared" si="2"/>
        <v>41030</v>
      </c>
      <c r="S1137" s="49">
        <f t="array" ref="S1137">WEEKDAY(D1137,2)</f>
        <v>3</v>
      </c>
      <c r="T1137" s="46" t="s">
        <v>124</v>
      </c>
      <c r="U1137" s="46" t="str">
        <f t="array" ref="U1137">TEXT(D1137,"dddd")</f>
        <v>Wednesday</v>
      </c>
    </row>
    <row r="1138" hidden="1">
      <c r="A1138" s="46">
        <v>8.62485826E8</v>
      </c>
      <c r="B1138" s="137" t="s">
        <v>221</v>
      </c>
      <c r="C1138" s="137">
        <v>2016.0</v>
      </c>
      <c r="D1138" s="138">
        <v>42629.0</v>
      </c>
      <c r="E1138" s="139">
        <v>42670.0</v>
      </c>
      <c r="F1138" s="142" t="s">
        <v>226</v>
      </c>
      <c r="G1138" s="142">
        <v>2016.0</v>
      </c>
      <c r="H1138" s="46">
        <v>8681.0</v>
      </c>
      <c r="I1138" s="46">
        <v>7577.0</v>
      </c>
      <c r="J1138" s="84">
        <v>4934218.17</v>
      </c>
      <c r="K1138" s="84">
        <v>3977621.9200000004</v>
      </c>
      <c r="L1138" s="84">
        <v>956596.2499999995</v>
      </c>
      <c r="M1138" s="46" t="s">
        <v>153</v>
      </c>
      <c r="N1138" s="46" t="s">
        <v>181</v>
      </c>
      <c r="O1138" s="46" t="s">
        <v>146</v>
      </c>
      <c r="P1138" s="46" t="s">
        <v>155</v>
      </c>
      <c r="Q1138" s="46" t="str">
        <f t="shared" si="1"/>
        <v>September, 2016</v>
      </c>
      <c r="R1138" s="115">
        <f t="shared" si="2"/>
        <v>42614</v>
      </c>
      <c r="S1138" s="49">
        <f t="array" ref="S1138">WEEKDAY(D1138,2)</f>
        <v>5</v>
      </c>
      <c r="T1138" s="46" t="s">
        <v>113</v>
      </c>
      <c r="U1138" s="46" t="str">
        <f t="array" ref="U1138">TEXT(D1138,"dddd")</f>
        <v>Friday</v>
      </c>
    </row>
    <row r="1139" hidden="1">
      <c r="A1139" s="46">
        <v>8.63138997E8</v>
      </c>
      <c r="B1139" s="137" t="s">
        <v>224</v>
      </c>
      <c r="C1139" s="137">
        <v>2010.0</v>
      </c>
      <c r="D1139" s="138">
        <v>40494.0</v>
      </c>
      <c r="E1139" s="139">
        <v>40533.0</v>
      </c>
      <c r="F1139" s="142" t="s">
        <v>225</v>
      </c>
      <c r="G1139" s="142">
        <v>2010.0</v>
      </c>
      <c r="H1139" s="46">
        <v>8875.0</v>
      </c>
      <c r="I1139" s="46">
        <v>865.0</v>
      </c>
      <c r="J1139" s="84">
        <v>364934.85</v>
      </c>
      <c r="K1139" s="84">
        <v>315456.85</v>
      </c>
      <c r="L1139" s="84">
        <v>49478.0</v>
      </c>
      <c r="M1139" s="46" t="s">
        <v>167</v>
      </c>
      <c r="N1139" s="46" t="s">
        <v>202</v>
      </c>
      <c r="O1139" s="46" t="s">
        <v>146</v>
      </c>
      <c r="P1139" s="46" t="s">
        <v>147</v>
      </c>
      <c r="Q1139" s="46" t="str">
        <f t="shared" si="1"/>
        <v>November, 2010</v>
      </c>
      <c r="R1139" s="115">
        <f t="shared" si="2"/>
        <v>40483</v>
      </c>
      <c r="S1139" s="49">
        <f t="array" ref="S1139">WEEKDAY(D1139,2)</f>
        <v>5</v>
      </c>
      <c r="T1139" s="46" t="s">
        <v>131</v>
      </c>
      <c r="U1139" s="46" t="str">
        <f t="array" ref="U1139">TEXT(D1139,"dddd")</f>
        <v>Friday</v>
      </c>
    </row>
    <row r="1140" hidden="1">
      <c r="A1140" s="46">
        <v>8.63202941E8</v>
      </c>
      <c r="B1140" s="137" t="s">
        <v>225</v>
      </c>
      <c r="C1140" s="137">
        <v>2016.0</v>
      </c>
      <c r="D1140" s="138">
        <v>42716.0</v>
      </c>
      <c r="E1140" s="139">
        <v>42717.0</v>
      </c>
      <c r="F1140" s="142" t="s">
        <v>225</v>
      </c>
      <c r="G1140" s="142">
        <v>2016.0</v>
      </c>
      <c r="H1140" s="46">
        <v>8875.0</v>
      </c>
      <c r="I1140" s="46">
        <v>9787.0</v>
      </c>
      <c r="J1140" s="84">
        <v>4129037.4299999997</v>
      </c>
      <c r="K1140" s="84">
        <v>3569221.03</v>
      </c>
      <c r="L1140" s="84">
        <v>559816.3999999999</v>
      </c>
      <c r="M1140" s="46" t="s">
        <v>167</v>
      </c>
      <c r="N1140" s="46" t="s">
        <v>203</v>
      </c>
      <c r="O1140" s="46" t="s">
        <v>146</v>
      </c>
      <c r="P1140" s="46" t="s">
        <v>170</v>
      </c>
      <c r="Q1140" s="46" t="str">
        <f t="shared" si="1"/>
        <v>December, 2016</v>
      </c>
      <c r="R1140" s="115">
        <f t="shared" si="2"/>
        <v>42705</v>
      </c>
      <c r="S1140" s="49">
        <f t="array" ref="S1140">WEEKDAY(D1140,2)</f>
        <v>1</v>
      </c>
      <c r="T1140" s="46" t="s">
        <v>132</v>
      </c>
      <c r="U1140" s="46" t="str">
        <f t="array" ref="U1140">TEXT(D1140,"dddd")</f>
        <v>Monday</v>
      </c>
    </row>
    <row r="1141" hidden="1">
      <c r="A1141" s="46">
        <v>8.63890445E8</v>
      </c>
      <c r="B1141" s="137" t="s">
        <v>225</v>
      </c>
      <c r="C1141" s="137">
        <v>2010.0</v>
      </c>
      <c r="D1141" s="138">
        <v>40530.0</v>
      </c>
      <c r="E1141" s="139">
        <v>40537.0</v>
      </c>
      <c r="F1141" s="142" t="s">
        <v>225</v>
      </c>
      <c r="G1141" s="142">
        <v>2010.0</v>
      </c>
      <c r="H1141" s="46">
        <v>7940.0</v>
      </c>
      <c r="I1141" s="46">
        <v>3235.0</v>
      </c>
      <c r="J1141" s="84">
        <v>2161853.4499999997</v>
      </c>
      <c r="K1141" s="84">
        <v>1625716.9000000001</v>
      </c>
      <c r="L1141" s="84">
        <v>536136.5499999996</v>
      </c>
      <c r="M1141" s="46" t="s">
        <v>148</v>
      </c>
      <c r="N1141" s="46" t="s">
        <v>195</v>
      </c>
      <c r="O1141" s="46" t="s">
        <v>146</v>
      </c>
      <c r="P1141" s="46" t="s">
        <v>170</v>
      </c>
      <c r="Q1141" s="46" t="str">
        <f t="shared" si="1"/>
        <v>December, 2010</v>
      </c>
      <c r="R1141" s="115">
        <f t="shared" si="2"/>
        <v>40513</v>
      </c>
      <c r="S1141" s="49">
        <f t="array" ref="S1141">WEEKDAY(D1141,2)</f>
        <v>6</v>
      </c>
      <c r="T1141" s="46" t="s">
        <v>124</v>
      </c>
      <c r="U1141" s="46" t="str">
        <f t="array" ref="U1141">TEXT(D1141,"dddd")</f>
        <v>Saturday</v>
      </c>
    </row>
    <row r="1142" hidden="1">
      <c r="A1142" s="46">
        <v>8.64071118E8</v>
      </c>
      <c r="B1142" s="137" t="s">
        <v>217</v>
      </c>
      <c r="C1142" s="137">
        <v>2010.0</v>
      </c>
      <c r="D1142" s="138">
        <v>40369.0</v>
      </c>
      <c r="E1142" s="139">
        <v>40377.0</v>
      </c>
      <c r="F1142" s="142" t="s">
        <v>217</v>
      </c>
      <c r="G1142" s="142">
        <v>2010.0</v>
      </c>
      <c r="H1142" s="46">
        <v>1270.0</v>
      </c>
      <c r="I1142" s="46">
        <v>6700.0</v>
      </c>
      <c r="J1142" s="84">
        <v>317915.0</v>
      </c>
      <c r="K1142" s="84">
        <v>212993.0</v>
      </c>
      <c r="L1142" s="84">
        <v>104922.0</v>
      </c>
      <c r="M1142" s="46" t="s">
        <v>152</v>
      </c>
      <c r="N1142" s="46" t="s">
        <v>172</v>
      </c>
      <c r="O1142" s="46" t="s">
        <v>146</v>
      </c>
      <c r="P1142" s="46" t="s">
        <v>155</v>
      </c>
      <c r="Q1142" s="46" t="str">
        <f t="shared" si="1"/>
        <v>July, 2010</v>
      </c>
      <c r="R1142" s="115">
        <f t="shared" si="2"/>
        <v>40360</v>
      </c>
      <c r="S1142" s="49">
        <f t="array" ref="S1142">WEEKDAY(D1142,2)</f>
        <v>6</v>
      </c>
      <c r="T1142" s="46" t="s">
        <v>105</v>
      </c>
      <c r="U1142" s="46" t="str">
        <f t="array" ref="U1142">TEXT(D1142,"dddd")</f>
        <v>Saturday</v>
      </c>
    </row>
    <row r="1143" hidden="1">
      <c r="A1143" s="46">
        <v>8.6582421E8</v>
      </c>
      <c r="B1143" s="137" t="s">
        <v>219</v>
      </c>
      <c r="C1143" s="137">
        <v>2014.0</v>
      </c>
      <c r="D1143" s="138">
        <v>41768.0</v>
      </c>
      <c r="E1143" s="139">
        <v>41773.0</v>
      </c>
      <c r="F1143" s="142" t="s">
        <v>219</v>
      </c>
      <c r="G1143" s="142">
        <v>2014.0</v>
      </c>
      <c r="H1143" s="46">
        <v>8681.0</v>
      </c>
      <c r="I1143" s="46">
        <v>5479.0</v>
      </c>
      <c r="J1143" s="84">
        <v>3567979.5900000003</v>
      </c>
      <c r="K1143" s="84">
        <v>2876255.8400000003</v>
      </c>
      <c r="L1143" s="84">
        <v>691723.75</v>
      </c>
      <c r="M1143" s="46" t="s">
        <v>153</v>
      </c>
      <c r="N1143" s="46" t="s">
        <v>184</v>
      </c>
      <c r="O1143" s="46" t="s">
        <v>146</v>
      </c>
      <c r="P1143" s="46" t="s">
        <v>155</v>
      </c>
      <c r="Q1143" s="46" t="str">
        <f t="shared" si="1"/>
        <v>May, 2014</v>
      </c>
      <c r="R1143" s="115">
        <f t="shared" si="2"/>
        <v>41760</v>
      </c>
      <c r="S1143" s="49">
        <f t="array" ref="S1143">WEEKDAY(D1143,2)</f>
        <v>5</v>
      </c>
      <c r="T1143" s="46" t="s">
        <v>114</v>
      </c>
      <c r="U1143" s="46" t="str">
        <f t="array" ref="U1143">TEXT(D1143,"dddd")</f>
        <v>Friday</v>
      </c>
    </row>
    <row r="1144" hidden="1">
      <c r="A1144" s="46">
        <v>8.66396272E8</v>
      </c>
      <c r="B1144" s="137" t="s">
        <v>224</v>
      </c>
      <c r="C1144" s="137">
        <v>2013.0</v>
      </c>
      <c r="D1144" s="138">
        <v>41584.0</v>
      </c>
      <c r="E1144" s="139">
        <v>41594.0</v>
      </c>
      <c r="F1144" s="142" t="s">
        <v>224</v>
      </c>
      <c r="G1144" s="142">
        <v>2013.0</v>
      </c>
      <c r="H1144" s="46">
        <v>8875.0</v>
      </c>
      <c r="I1144" s="46">
        <v>4765.0</v>
      </c>
      <c r="J1144" s="84">
        <v>2010305.8499999999</v>
      </c>
      <c r="K1144" s="84">
        <v>1737747.85</v>
      </c>
      <c r="L1144" s="84">
        <v>272557.99999999977</v>
      </c>
      <c r="M1144" s="46" t="s">
        <v>167</v>
      </c>
      <c r="N1144" s="46" t="s">
        <v>189</v>
      </c>
      <c r="O1144" s="46" t="s">
        <v>146</v>
      </c>
      <c r="P1144" s="46" t="s">
        <v>158</v>
      </c>
      <c r="Q1144" s="46" t="str">
        <f t="shared" si="1"/>
        <v>November, 2013</v>
      </c>
      <c r="R1144" s="115">
        <f t="shared" si="2"/>
        <v>41579</v>
      </c>
      <c r="S1144" s="49">
        <f t="array" ref="S1144">WEEKDAY(D1144,2)</f>
        <v>3</v>
      </c>
      <c r="T1144" s="46" t="s">
        <v>118</v>
      </c>
      <c r="U1144" s="46" t="str">
        <f t="array" ref="U1144">TEXT(D1144,"dddd")</f>
        <v>Wednesday</v>
      </c>
    </row>
    <row r="1145" hidden="1">
      <c r="A1145" s="46">
        <v>8.67138278E8</v>
      </c>
      <c r="B1145" s="137" t="s">
        <v>217</v>
      </c>
      <c r="C1145" s="137">
        <v>2011.0</v>
      </c>
      <c r="D1145" s="138">
        <v>40736.0</v>
      </c>
      <c r="E1145" s="139">
        <v>40759.0</v>
      </c>
      <c r="F1145" s="142" t="s">
        <v>216</v>
      </c>
      <c r="G1145" s="142">
        <v>2011.0</v>
      </c>
      <c r="H1145" s="46">
        <v>8681.0</v>
      </c>
      <c r="I1145" s="46">
        <v>4341.0</v>
      </c>
      <c r="J1145" s="84">
        <v>2826902.6100000003</v>
      </c>
      <c r="K1145" s="84">
        <v>2278851.3600000003</v>
      </c>
      <c r="L1145" s="84">
        <v>548051.25</v>
      </c>
      <c r="M1145" s="46" t="s">
        <v>153</v>
      </c>
      <c r="N1145" s="46" t="s">
        <v>157</v>
      </c>
      <c r="O1145" s="46" t="s">
        <v>146</v>
      </c>
      <c r="P1145" s="46" t="s">
        <v>158</v>
      </c>
      <c r="Q1145" s="46" t="str">
        <f t="shared" si="1"/>
        <v>July, 2011</v>
      </c>
      <c r="R1145" s="115">
        <f t="shared" si="2"/>
        <v>40725</v>
      </c>
      <c r="S1145" s="49">
        <f t="array" ref="S1145">WEEKDAY(D1145,2)</f>
        <v>2</v>
      </c>
      <c r="T1145" s="46" t="s">
        <v>97</v>
      </c>
      <c r="U1145" s="46" t="str">
        <f t="array" ref="U1145">TEXT(D1145,"dddd")</f>
        <v>Tuesday</v>
      </c>
    </row>
    <row r="1146" hidden="1">
      <c r="A1146" s="46">
        <v>8.6929177E8</v>
      </c>
      <c r="B1146" s="137" t="s">
        <v>217</v>
      </c>
      <c r="C1146" s="137">
        <v>2015.0</v>
      </c>
      <c r="D1146" s="138">
        <v>42204.0</v>
      </c>
      <c r="E1146" s="139">
        <v>42237.0</v>
      </c>
      <c r="F1146" s="142" t="s">
        <v>216</v>
      </c>
      <c r="G1146" s="142">
        <v>2015.0</v>
      </c>
      <c r="H1146" s="46">
        <v>7940.0</v>
      </c>
      <c r="I1146" s="46">
        <v>1607.0</v>
      </c>
      <c r="J1146" s="84">
        <v>1073909.89</v>
      </c>
      <c r="K1146" s="84">
        <v>807581.78</v>
      </c>
      <c r="L1146" s="84">
        <v>266328.10999999987</v>
      </c>
      <c r="M1146" s="46" t="s">
        <v>148</v>
      </c>
      <c r="N1146" s="46" t="s">
        <v>193</v>
      </c>
      <c r="O1146" s="46" t="s">
        <v>146</v>
      </c>
      <c r="P1146" s="46" t="s">
        <v>158</v>
      </c>
      <c r="Q1146" s="46" t="str">
        <f t="shared" si="1"/>
        <v>July, 2015</v>
      </c>
      <c r="R1146" s="115">
        <f t="shared" si="2"/>
        <v>42186</v>
      </c>
      <c r="S1146" s="49">
        <f t="array" ref="S1146">WEEKDAY(D1146,2)</f>
        <v>7</v>
      </c>
      <c r="T1146" s="46" t="s">
        <v>122</v>
      </c>
      <c r="U1146" s="46" t="str">
        <f t="array" ref="U1146">TEXT(D1146,"dddd")</f>
        <v>Sunday</v>
      </c>
    </row>
    <row r="1147" hidden="1">
      <c r="A1147" s="46">
        <v>8.70173251E8</v>
      </c>
      <c r="B1147" s="137" t="s">
        <v>225</v>
      </c>
      <c r="C1147" s="137">
        <v>2015.0</v>
      </c>
      <c r="D1147" s="138">
        <v>42361.0</v>
      </c>
      <c r="E1147" s="139">
        <v>42368.0</v>
      </c>
      <c r="F1147" s="142" t="s">
        <v>225</v>
      </c>
      <c r="G1147" s="142">
        <v>2015.0</v>
      </c>
      <c r="H1147" s="46">
        <v>2455.0</v>
      </c>
      <c r="I1147" s="46">
        <v>2457.0</v>
      </c>
      <c r="J1147" s="84">
        <v>268500.96</v>
      </c>
      <c r="K1147" s="84">
        <v>88058.88</v>
      </c>
      <c r="L1147" s="84">
        <v>180442.08000000002</v>
      </c>
      <c r="M1147" s="46" t="s">
        <v>150</v>
      </c>
      <c r="N1147" s="46" t="s">
        <v>189</v>
      </c>
      <c r="O1147" s="46" t="s">
        <v>146</v>
      </c>
      <c r="P1147" s="46" t="s">
        <v>158</v>
      </c>
      <c r="Q1147" s="46" t="str">
        <f t="shared" si="1"/>
        <v>December, 2015</v>
      </c>
      <c r="R1147" s="115">
        <f t="shared" si="2"/>
        <v>42339</v>
      </c>
      <c r="S1147" s="49">
        <f t="array" ref="S1147">WEEKDAY(D1147,2)</f>
        <v>3</v>
      </c>
      <c r="T1147" s="46" t="s">
        <v>118</v>
      </c>
      <c r="U1147" s="46" t="str">
        <f t="array" ref="U1147">TEXT(D1147,"dddd")</f>
        <v>Wednesday</v>
      </c>
    </row>
    <row r="1148" hidden="1">
      <c r="A1148" s="46">
        <v>8.70218312E8</v>
      </c>
      <c r="B1148" s="137" t="s">
        <v>222</v>
      </c>
      <c r="C1148" s="137">
        <v>2017.0</v>
      </c>
      <c r="D1148" s="138">
        <v>42813.0</v>
      </c>
      <c r="E1148" s="139">
        <v>42821.0</v>
      </c>
      <c r="F1148" s="142" t="s">
        <v>222</v>
      </c>
      <c r="G1148" s="142">
        <v>2017.0</v>
      </c>
      <c r="H1148" s="46">
        <v>4594.0</v>
      </c>
      <c r="I1148" s="46">
        <v>5792.0</v>
      </c>
      <c r="J1148" s="84">
        <v>54039.36</v>
      </c>
      <c r="K1148" s="84">
        <v>40080.64</v>
      </c>
      <c r="L1148" s="84">
        <v>13958.720000000001</v>
      </c>
      <c r="M1148" s="46" t="s">
        <v>156</v>
      </c>
      <c r="N1148" s="46" t="s">
        <v>195</v>
      </c>
      <c r="O1148" s="46" t="s">
        <v>146</v>
      </c>
      <c r="P1148" s="46" t="s">
        <v>170</v>
      </c>
      <c r="Q1148" s="46" t="str">
        <f t="shared" si="1"/>
        <v>March, 2017</v>
      </c>
      <c r="R1148" s="115">
        <f t="shared" si="2"/>
        <v>42795</v>
      </c>
      <c r="S1148" s="49">
        <f t="array" ref="S1148">WEEKDAY(D1148,2)</f>
        <v>7</v>
      </c>
      <c r="T1148" s="46" t="s">
        <v>124</v>
      </c>
      <c r="U1148" s="46" t="str">
        <f t="array" ref="U1148">TEXT(D1148,"dddd")</f>
        <v>Sunday</v>
      </c>
    </row>
    <row r="1149" hidden="1">
      <c r="A1149" s="46">
        <v>8.71147E8</v>
      </c>
      <c r="B1149" s="137" t="s">
        <v>216</v>
      </c>
      <c r="C1149" s="137">
        <v>2014.0</v>
      </c>
      <c r="D1149" s="138">
        <v>41863.0</v>
      </c>
      <c r="E1149" s="139">
        <v>41876.0</v>
      </c>
      <c r="F1149" s="142" t="s">
        <v>216</v>
      </c>
      <c r="G1149" s="142">
        <v>2014.0</v>
      </c>
      <c r="H1149" s="46">
        <v>7940.0</v>
      </c>
      <c r="I1149" s="46">
        <v>611.0</v>
      </c>
      <c r="J1149" s="84">
        <v>408312.97</v>
      </c>
      <c r="K1149" s="84">
        <v>307051.94</v>
      </c>
      <c r="L1149" s="84">
        <v>101261.02999999997</v>
      </c>
      <c r="M1149" s="46" t="s">
        <v>148</v>
      </c>
      <c r="N1149" s="46" t="s">
        <v>191</v>
      </c>
      <c r="O1149" s="46" t="s">
        <v>146</v>
      </c>
      <c r="P1149" s="46" t="s">
        <v>147</v>
      </c>
      <c r="Q1149" s="46" t="str">
        <f t="shared" si="1"/>
        <v>August, 2014</v>
      </c>
      <c r="R1149" s="115">
        <f t="shared" si="2"/>
        <v>41852</v>
      </c>
      <c r="S1149" s="49">
        <f t="array" ref="S1149">WEEKDAY(D1149,2)</f>
        <v>2</v>
      </c>
      <c r="T1149" s="46" t="s">
        <v>120</v>
      </c>
      <c r="U1149" s="46" t="str">
        <f t="array" ref="U1149">TEXT(D1149,"dddd")</f>
        <v>Tuesday</v>
      </c>
    </row>
    <row r="1150" hidden="1">
      <c r="A1150" s="46">
        <v>8.71923768E8</v>
      </c>
      <c r="B1150" s="137" t="s">
        <v>223</v>
      </c>
      <c r="C1150" s="137">
        <v>2014.0</v>
      </c>
      <c r="D1150" s="138">
        <v>41759.0</v>
      </c>
      <c r="E1150" s="139">
        <v>41789.0</v>
      </c>
      <c r="F1150" s="142" t="s">
        <v>219</v>
      </c>
      <c r="G1150" s="142">
        <v>2014.0</v>
      </c>
      <c r="H1150" s="46">
        <v>7331.0</v>
      </c>
      <c r="I1150" s="46">
        <v>474.0</v>
      </c>
      <c r="J1150" s="84">
        <v>121002.72</v>
      </c>
      <c r="K1150" s="84">
        <v>75565.07999999999</v>
      </c>
      <c r="L1150" s="84">
        <v>45437.640000000014</v>
      </c>
      <c r="M1150" s="46" t="s">
        <v>161</v>
      </c>
      <c r="N1150" s="46" t="s">
        <v>204</v>
      </c>
      <c r="O1150" s="46" t="s">
        <v>146</v>
      </c>
      <c r="P1150" s="46" t="s">
        <v>147</v>
      </c>
      <c r="Q1150" s="46" t="str">
        <f t="shared" si="1"/>
        <v>April, 2014</v>
      </c>
      <c r="R1150" s="115">
        <f t="shared" si="2"/>
        <v>41730</v>
      </c>
      <c r="S1150" s="49">
        <f t="array" ref="S1150">WEEKDAY(D1150,2)</f>
        <v>3</v>
      </c>
      <c r="T1150" s="46" t="s">
        <v>133</v>
      </c>
      <c r="U1150" s="46" t="str">
        <f t="array" ref="U1150">TEXT(D1150,"dddd")</f>
        <v>Wednesday</v>
      </c>
    </row>
    <row r="1151" hidden="1">
      <c r="A1151" s="46">
        <v>8.73432672E8</v>
      </c>
      <c r="B1151" s="137" t="s">
        <v>221</v>
      </c>
      <c r="C1151" s="137">
        <v>2014.0</v>
      </c>
      <c r="D1151" s="138">
        <v>41892.0</v>
      </c>
      <c r="E1151" s="139">
        <v>41899.0</v>
      </c>
      <c r="F1151" s="142" t="s">
        <v>221</v>
      </c>
      <c r="G1151" s="142">
        <v>2014.0</v>
      </c>
      <c r="H1151" s="46">
        <v>7940.0</v>
      </c>
      <c r="I1151" s="46">
        <v>6992.0</v>
      </c>
      <c r="J1151" s="84">
        <v>4672543.84</v>
      </c>
      <c r="K1151" s="84">
        <v>3513759.68</v>
      </c>
      <c r="L1151" s="84">
        <v>1158784.1599999997</v>
      </c>
      <c r="M1151" s="46" t="s">
        <v>148</v>
      </c>
      <c r="N1151" s="46" t="s">
        <v>171</v>
      </c>
      <c r="O1151" s="46" t="s">
        <v>146</v>
      </c>
      <c r="P1151" s="46" t="s">
        <v>147</v>
      </c>
      <c r="Q1151" s="46" t="str">
        <f t="shared" si="1"/>
        <v>September, 2014</v>
      </c>
      <c r="R1151" s="115">
        <f t="shared" si="2"/>
        <v>41883</v>
      </c>
      <c r="S1151" s="49">
        <f t="array" ref="S1151">WEEKDAY(D1151,2)</f>
        <v>3</v>
      </c>
      <c r="T1151" s="46" t="s">
        <v>104</v>
      </c>
      <c r="U1151" s="46" t="str">
        <f t="array" ref="U1151">TEXT(D1151,"dddd")</f>
        <v>Wednesday</v>
      </c>
    </row>
    <row r="1152" hidden="1">
      <c r="A1152" s="46">
        <v>8.74172532E8</v>
      </c>
      <c r="B1152" s="137" t="s">
        <v>216</v>
      </c>
      <c r="C1152" s="137">
        <v>2016.0</v>
      </c>
      <c r="D1152" s="138">
        <v>42603.0</v>
      </c>
      <c r="E1152" s="139">
        <v>42645.0</v>
      </c>
      <c r="F1152" s="142" t="s">
        <v>226</v>
      </c>
      <c r="G1152" s="142">
        <v>2016.0</v>
      </c>
      <c r="H1152" s="46">
        <v>7940.0</v>
      </c>
      <c r="I1152" s="46">
        <v>5933.0</v>
      </c>
      <c r="J1152" s="84">
        <v>3964845.9099999997</v>
      </c>
      <c r="K1152" s="84">
        <v>2981569.8200000003</v>
      </c>
      <c r="L1152" s="84">
        <v>983276.0899999994</v>
      </c>
      <c r="M1152" s="46" t="s">
        <v>148</v>
      </c>
      <c r="N1152" s="46" t="s">
        <v>163</v>
      </c>
      <c r="O1152" s="46" t="s">
        <v>146</v>
      </c>
      <c r="P1152" s="46" t="s">
        <v>158</v>
      </c>
      <c r="Q1152" s="46" t="str">
        <f t="shared" si="1"/>
        <v>August, 2016</v>
      </c>
      <c r="R1152" s="115">
        <f t="shared" si="2"/>
        <v>42583</v>
      </c>
      <c r="S1152" s="49">
        <f t="array" ref="S1152">WEEKDAY(D1152,2)</f>
        <v>7</v>
      </c>
      <c r="T1152" s="46" t="s">
        <v>100</v>
      </c>
      <c r="U1152" s="46" t="str">
        <f t="array" ref="U1152">TEXT(D1152,"dddd")</f>
        <v>Sunday</v>
      </c>
    </row>
    <row r="1153" hidden="1">
      <c r="A1153" s="46">
        <v>8.74349772E8</v>
      </c>
      <c r="B1153" s="137" t="s">
        <v>225</v>
      </c>
      <c r="C1153" s="137">
        <v>2013.0</v>
      </c>
      <c r="D1153" s="138">
        <v>41616.0</v>
      </c>
      <c r="E1153" s="139">
        <v>41643.0</v>
      </c>
      <c r="F1153" s="142" t="s">
        <v>227</v>
      </c>
      <c r="G1153" s="142">
        <v>2014.0</v>
      </c>
      <c r="H1153" s="46">
        <v>1270.0</v>
      </c>
      <c r="I1153" s="46">
        <v>8383.0</v>
      </c>
      <c r="J1153" s="84">
        <v>397773.35000000003</v>
      </c>
      <c r="K1153" s="84">
        <v>266495.57</v>
      </c>
      <c r="L1153" s="84">
        <v>131277.78000000003</v>
      </c>
      <c r="M1153" s="46" t="s">
        <v>152</v>
      </c>
      <c r="N1153" s="46" t="s">
        <v>175</v>
      </c>
      <c r="O1153" s="46" t="s">
        <v>165</v>
      </c>
      <c r="P1153" s="46" t="s">
        <v>166</v>
      </c>
      <c r="Q1153" s="46" t="str">
        <f t="shared" si="1"/>
        <v>December, 2013</v>
      </c>
      <c r="R1153" s="115">
        <f t="shared" si="2"/>
        <v>41609</v>
      </c>
      <c r="S1153" s="49">
        <f t="array" ref="S1153">WEEKDAY(D1153,2)</f>
        <v>7</v>
      </c>
      <c r="T1153" s="46" t="s">
        <v>108</v>
      </c>
      <c r="U1153" s="46" t="str">
        <f t="array" ref="U1153">TEXT(D1153,"dddd")</f>
        <v>Sunday</v>
      </c>
    </row>
    <row r="1154" hidden="1">
      <c r="A1154" s="46">
        <v>8.75220096E8</v>
      </c>
      <c r="B1154" s="137" t="s">
        <v>226</v>
      </c>
      <c r="C1154" s="137">
        <v>2010.0</v>
      </c>
      <c r="D1154" s="138">
        <v>40476.0</v>
      </c>
      <c r="E1154" s="139">
        <v>40488.0</v>
      </c>
      <c r="F1154" s="142" t="s">
        <v>224</v>
      </c>
      <c r="G1154" s="142">
        <v>2010.0</v>
      </c>
      <c r="H1154" s="46">
        <v>4594.0</v>
      </c>
      <c r="I1154" s="46">
        <v>5930.0</v>
      </c>
      <c r="J1154" s="84">
        <v>55326.9</v>
      </c>
      <c r="K1154" s="84">
        <v>41035.6</v>
      </c>
      <c r="L1154" s="84">
        <v>14291.300000000003</v>
      </c>
      <c r="M1154" s="46" t="s">
        <v>156</v>
      </c>
      <c r="N1154" s="46" t="s">
        <v>191</v>
      </c>
      <c r="O1154" s="46" t="s">
        <v>146</v>
      </c>
      <c r="P1154" s="46" t="s">
        <v>147</v>
      </c>
      <c r="Q1154" s="46" t="str">
        <f t="shared" si="1"/>
        <v>October, 2010</v>
      </c>
      <c r="R1154" s="115">
        <f t="shared" si="2"/>
        <v>40452</v>
      </c>
      <c r="S1154" s="49">
        <f t="array" ref="S1154">WEEKDAY(D1154,2)</f>
        <v>1</v>
      </c>
      <c r="T1154" s="46" t="s">
        <v>120</v>
      </c>
      <c r="U1154" s="46" t="str">
        <f t="array" ref="U1154">TEXT(D1154,"dddd")</f>
        <v>Monday</v>
      </c>
    </row>
    <row r="1155" hidden="1">
      <c r="A1155" s="46">
        <v>8.76856458E8</v>
      </c>
      <c r="B1155" s="137" t="s">
        <v>216</v>
      </c>
      <c r="C1155" s="137">
        <v>2013.0</v>
      </c>
      <c r="D1155" s="138">
        <v>41494.0</v>
      </c>
      <c r="E1155" s="139">
        <v>41515.0</v>
      </c>
      <c r="F1155" s="142" t="s">
        <v>216</v>
      </c>
      <c r="G1155" s="142">
        <v>2013.0</v>
      </c>
      <c r="H1155" s="46">
        <v>8875.0</v>
      </c>
      <c r="I1155" s="46">
        <v>166.0</v>
      </c>
      <c r="J1155" s="84">
        <v>70033.73999999999</v>
      </c>
      <c r="K1155" s="84">
        <v>60538.54</v>
      </c>
      <c r="L1155" s="84">
        <v>9495.19999999999</v>
      </c>
      <c r="M1155" s="46" t="s">
        <v>167</v>
      </c>
      <c r="N1155" s="46" t="s">
        <v>154</v>
      </c>
      <c r="O1155" s="46" t="s">
        <v>146</v>
      </c>
      <c r="P1155" s="46" t="s">
        <v>155</v>
      </c>
      <c r="Q1155" s="46" t="str">
        <f t="shared" si="1"/>
        <v>August, 2013</v>
      </c>
      <c r="R1155" s="115">
        <f t="shared" si="2"/>
        <v>41487</v>
      </c>
      <c r="S1155" s="49">
        <f t="array" ref="S1155">WEEKDAY(D1155,2)</f>
        <v>4</v>
      </c>
      <c r="T1155" s="46" t="s">
        <v>96</v>
      </c>
      <c r="U1155" s="46" t="str">
        <f t="array" ref="U1155">TEXT(D1155,"dddd")</f>
        <v>Thursday</v>
      </c>
    </row>
    <row r="1156" hidden="1">
      <c r="A1156" s="46">
        <v>8.77062451E8</v>
      </c>
      <c r="B1156" s="137" t="s">
        <v>226</v>
      </c>
      <c r="C1156" s="137">
        <v>2012.0</v>
      </c>
      <c r="D1156" s="138">
        <v>41191.0</v>
      </c>
      <c r="E1156" s="139">
        <v>41211.0</v>
      </c>
      <c r="F1156" s="142" t="s">
        <v>226</v>
      </c>
      <c r="G1156" s="142">
        <v>2012.0</v>
      </c>
      <c r="H1156" s="46">
        <v>1270.0</v>
      </c>
      <c r="I1156" s="46">
        <v>1124.0</v>
      </c>
      <c r="J1156" s="84">
        <v>53333.8</v>
      </c>
      <c r="K1156" s="84">
        <v>35731.96</v>
      </c>
      <c r="L1156" s="84">
        <v>17601.840000000004</v>
      </c>
      <c r="M1156" s="46" t="s">
        <v>152</v>
      </c>
      <c r="N1156" s="46" t="s">
        <v>202</v>
      </c>
      <c r="O1156" s="46" t="s">
        <v>146</v>
      </c>
      <c r="P1156" s="46" t="s">
        <v>147</v>
      </c>
      <c r="Q1156" s="46" t="str">
        <f t="shared" si="1"/>
        <v>October, 2012</v>
      </c>
      <c r="R1156" s="115">
        <f t="shared" si="2"/>
        <v>41183</v>
      </c>
      <c r="S1156" s="49">
        <f t="array" ref="S1156">WEEKDAY(D1156,2)</f>
        <v>2</v>
      </c>
      <c r="T1156" s="46" t="s">
        <v>131</v>
      </c>
      <c r="U1156" s="46" t="str">
        <f t="array" ref="U1156">TEXT(D1156,"dddd")</f>
        <v>Tuesday</v>
      </c>
    </row>
    <row r="1157" hidden="1">
      <c r="A1157" s="46">
        <v>8.77084767E8</v>
      </c>
      <c r="B1157" s="137" t="s">
        <v>223</v>
      </c>
      <c r="C1157" s="137">
        <v>2012.0</v>
      </c>
      <c r="D1157" s="138">
        <v>41020.0</v>
      </c>
      <c r="E1157" s="139">
        <v>41069.0</v>
      </c>
      <c r="F1157" s="142" t="s">
        <v>220</v>
      </c>
      <c r="G1157" s="142">
        <v>2012.0</v>
      </c>
      <c r="H1157" s="46">
        <v>8875.0</v>
      </c>
      <c r="I1157" s="46">
        <v>7728.0</v>
      </c>
      <c r="J1157" s="84">
        <v>3260365.92</v>
      </c>
      <c r="K1157" s="84">
        <v>2818324.32</v>
      </c>
      <c r="L1157" s="84">
        <v>442041.6000000001</v>
      </c>
      <c r="M1157" s="46" t="s">
        <v>167</v>
      </c>
      <c r="N1157" s="46" t="s">
        <v>193</v>
      </c>
      <c r="O1157" s="46" t="s">
        <v>146</v>
      </c>
      <c r="P1157" s="46" t="s">
        <v>158</v>
      </c>
      <c r="Q1157" s="46" t="str">
        <f t="shared" si="1"/>
        <v>April, 2012</v>
      </c>
      <c r="R1157" s="115">
        <f t="shared" si="2"/>
        <v>41000</v>
      </c>
      <c r="S1157" s="49">
        <f t="array" ref="S1157">WEEKDAY(D1157,2)</f>
        <v>6</v>
      </c>
      <c r="T1157" s="46" t="s">
        <v>122</v>
      </c>
      <c r="U1157" s="46" t="str">
        <f t="array" ref="U1157">TEXT(D1157,"dddd")</f>
        <v>Saturday</v>
      </c>
    </row>
    <row r="1158" hidden="1">
      <c r="A1158" s="46">
        <v>8.77687728E8</v>
      </c>
      <c r="B1158" s="137" t="s">
        <v>225</v>
      </c>
      <c r="C1158" s="137">
        <v>2016.0</v>
      </c>
      <c r="D1158" s="138">
        <v>42727.0</v>
      </c>
      <c r="E1158" s="139">
        <v>42773.0</v>
      </c>
      <c r="F1158" s="142" t="s">
        <v>228</v>
      </c>
      <c r="G1158" s="142">
        <v>2017.0</v>
      </c>
      <c r="H1158" s="46">
        <v>3127.0</v>
      </c>
      <c r="I1158" s="46">
        <v>6158.0</v>
      </c>
      <c r="J1158" s="84">
        <v>503293.34</v>
      </c>
      <c r="K1158" s="84">
        <v>348973.86</v>
      </c>
      <c r="L1158" s="84">
        <v>154319.48000000004</v>
      </c>
      <c r="M1158" s="46" t="s">
        <v>185</v>
      </c>
      <c r="N1158" s="46" t="s">
        <v>154</v>
      </c>
      <c r="O1158" s="46" t="s">
        <v>146</v>
      </c>
      <c r="P1158" s="46" t="s">
        <v>155</v>
      </c>
      <c r="Q1158" s="46" t="str">
        <f t="shared" si="1"/>
        <v>December, 2016</v>
      </c>
      <c r="R1158" s="115">
        <f t="shared" si="2"/>
        <v>42705</v>
      </c>
      <c r="S1158" s="49">
        <f t="array" ref="S1158">WEEKDAY(D1158,2)</f>
        <v>5</v>
      </c>
      <c r="T1158" s="46" t="s">
        <v>96</v>
      </c>
      <c r="U1158" s="46" t="str">
        <f t="array" ref="U1158">TEXT(D1158,"dddd")</f>
        <v>Friday</v>
      </c>
    </row>
    <row r="1159" hidden="1">
      <c r="A1159" s="46">
        <v>8.7861427E8</v>
      </c>
      <c r="B1159" s="137" t="s">
        <v>227</v>
      </c>
      <c r="C1159" s="137">
        <v>2011.0</v>
      </c>
      <c r="D1159" s="138">
        <v>40570.0</v>
      </c>
      <c r="E1159" s="139">
        <v>40591.0</v>
      </c>
      <c r="F1159" s="142" t="s">
        <v>228</v>
      </c>
      <c r="G1159" s="142">
        <v>2011.0</v>
      </c>
      <c r="H1159" s="46">
        <v>8293.0</v>
      </c>
      <c r="I1159" s="46">
        <v>342.0</v>
      </c>
      <c r="J1159" s="84">
        <v>149522.4</v>
      </c>
      <c r="K1159" s="84">
        <v>90058.86</v>
      </c>
      <c r="L1159" s="84">
        <v>59463.53999999999</v>
      </c>
      <c r="M1159" s="46" t="s">
        <v>178</v>
      </c>
      <c r="N1159" s="46" t="s">
        <v>207</v>
      </c>
      <c r="O1159" s="46" t="s">
        <v>146</v>
      </c>
      <c r="P1159" s="46" t="s">
        <v>170</v>
      </c>
      <c r="Q1159" s="46" t="str">
        <f t="shared" si="1"/>
        <v>January, 2011</v>
      </c>
      <c r="R1159" s="115">
        <f t="shared" si="2"/>
        <v>40544</v>
      </c>
      <c r="S1159" s="49">
        <f t="array" ref="S1159">WEEKDAY(D1159,2)</f>
        <v>4</v>
      </c>
      <c r="T1159" s="46" t="s">
        <v>137</v>
      </c>
      <c r="U1159" s="46" t="str">
        <f t="array" ref="U1159">TEXT(D1159,"dddd")</f>
        <v>Thursday</v>
      </c>
    </row>
    <row r="1160" hidden="1">
      <c r="A1160" s="46">
        <v>8.794052E8</v>
      </c>
      <c r="B1160" s="137" t="s">
        <v>220</v>
      </c>
      <c r="C1160" s="137">
        <v>2014.0</v>
      </c>
      <c r="D1160" s="138">
        <v>41793.0</v>
      </c>
      <c r="E1160" s="139">
        <v>41840.0</v>
      </c>
      <c r="F1160" s="142" t="s">
        <v>217</v>
      </c>
      <c r="G1160" s="142">
        <v>2014.0</v>
      </c>
      <c r="H1160" s="46">
        <v>1270.0</v>
      </c>
      <c r="I1160" s="46">
        <v>4396.0</v>
      </c>
      <c r="J1160" s="84">
        <v>208590.2</v>
      </c>
      <c r="K1160" s="84">
        <v>139748.84</v>
      </c>
      <c r="L1160" s="84">
        <v>68841.36000000002</v>
      </c>
      <c r="M1160" s="46" t="s">
        <v>152</v>
      </c>
      <c r="N1160" s="46" t="s">
        <v>187</v>
      </c>
      <c r="O1160" s="46" t="s">
        <v>146</v>
      </c>
      <c r="P1160" s="46" t="s">
        <v>155</v>
      </c>
      <c r="Q1160" s="46" t="str">
        <f t="shared" si="1"/>
        <v>June, 2014</v>
      </c>
      <c r="R1160" s="115">
        <f t="shared" si="2"/>
        <v>41791</v>
      </c>
      <c r="S1160" s="49">
        <f t="array" ref="S1160">WEEKDAY(D1160,2)</f>
        <v>2</v>
      </c>
      <c r="T1160" s="46" t="s">
        <v>116</v>
      </c>
      <c r="U1160" s="46" t="str">
        <f t="array" ref="U1160">TEXT(D1160,"dddd")</f>
        <v>Tuesday</v>
      </c>
    </row>
    <row r="1161" hidden="1">
      <c r="A1161" s="46">
        <v>8.79845082E8</v>
      </c>
      <c r="B1161" s="137" t="s">
        <v>223</v>
      </c>
      <c r="C1161" s="137">
        <v>2010.0</v>
      </c>
      <c r="D1161" s="138">
        <v>40282.0</v>
      </c>
      <c r="E1161" s="139">
        <v>40299.0</v>
      </c>
      <c r="F1161" s="142" t="s">
        <v>219</v>
      </c>
      <c r="G1161" s="142">
        <v>2010.0</v>
      </c>
      <c r="H1161" s="46">
        <v>4594.0</v>
      </c>
      <c r="I1161" s="46">
        <v>4567.0</v>
      </c>
      <c r="J1161" s="84">
        <v>42610.11</v>
      </c>
      <c r="K1161" s="84">
        <v>31603.64</v>
      </c>
      <c r="L1161" s="84">
        <v>11006.470000000001</v>
      </c>
      <c r="M1161" s="46" t="s">
        <v>156</v>
      </c>
      <c r="N1161" s="46" t="s">
        <v>177</v>
      </c>
      <c r="O1161" s="46" t="s">
        <v>146</v>
      </c>
      <c r="P1161" s="46" t="s">
        <v>170</v>
      </c>
      <c r="Q1161" s="46" t="str">
        <f t="shared" si="1"/>
        <v>April, 2010</v>
      </c>
      <c r="R1161" s="115">
        <f t="shared" si="2"/>
        <v>40269</v>
      </c>
      <c r="S1161" s="49">
        <f t="array" ref="S1161">WEEKDAY(D1161,2)</f>
        <v>3</v>
      </c>
      <c r="T1161" s="46" t="s">
        <v>110</v>
      </c>
      <c r="U1161" s="46" t="str">
        <f t="array" ref="U1161">TEXT(D1161,"dddd")</f>
        <v>Wednesday</v>
      </c>
    </row>
    <row r="1162" hidden="1">
      <c r="A1162" s="46">
        <v>8.79923617E8</v>
      </c>
      <c r="B1162" s="137" t="s">
        <v>216</v>
      </c>
      <c r="C1162" s="137">
        <v>2014.0</v>
      </c>
      <c r="D1162" s="138">
        <v>41861.0</v>
      </c>
      <c r="E1162" s="139">
        <v>41897.0</v>
      </c>
      <c r="F1162" s="142" t="s">
        <v>221</v>
      </c>
      <c r="G1162" s="142">
        <v>2014.0</v>
      </c>
      <c r="H1162" s="46">
        <v>7331.0</v>
      </c>
      <c r="I1162" s="46">
        <v>7807.0</v>
      </c>
      <c r="J1162" s="84">
        <v>1992970.96</v>
      </c>
      <c r="K1162" s="84">
        <v>1244591.94</v>
      </c>
      <c r="L1162" s="84">
        <v>748379.02</v>
      </c>
      <c r="M1162" s="46" t="s">
        <v>161</v>
      </c>
      <c r="N1162" s="46" t="s">
        <v>194</v>
      </c>
      <c r="O1162" s="46" t="s">
        <v>146</v>
      </c>
      <c r="P1162" s="46" t="s">
        <v>155</v>
      </c>
      <c r="Q1162" s="46" t="str">
        <f t="shared" si="1"/>
        <v>August, 2014</v>
      </c>
      <c r="R1162" s="115">
        <f t="shared" si="2"/>
        <v>41852</v>
      </c>
      <c r="S1162" s="49">
        <f t="array" ref="S1162">WEEKDAY(D1162,2)</f>
        <v>7</v>
      </c>
      <c r="T1162" s="46" t="s">
        <v>123</v>
      </c>
      <c r="U1162" s="46" t="str">
        <f t="array" ref="U1162">TEXT(D1162,"dddd")</f>
        <v>Sunday</v>
      </c>
    </row>
    <row r="1163" hidden="1">
      <c r="A1163" s="46">
        <v>8.80176818E8</v>
      </c>
      <c r="B1163" s="137" t="s">
        <v>226</v>
      </c>
      <c r="C1163" s="137">
        <v>2010.0</v>
      </c>
      <c r="D1163" s="138">
        <v>40452.0</v>
      </c>
      <c r="E1163" s="139">
        <v>40466.0</v>
      </c>
      <c r="F1163" s="142" t="s">
        <v>226</v>
      </c>
      <c r="G1163" s="142">
        <v>2010.0</v>
      </c>
      <c r="H1163" s="46">
        <v>2455.0</v>
      </c>
      <c r="I1163" s="46">
        <v>2735.0</v>
      </c>
      <c r="J1163" s="84">
        <v>298880.8</v>
      </c>
      <c r="K1163" s="84">
        <v>98022.40000000001</v>
      </c>
      <c r="L1163" s="84">
        <v>200858.39999999997</v>
      </c>
      <c r="M1163" s="46" t="s">
        <v>150</v>
      </c>
      <c r="N1163" s="46" t="s">
        <v>173</v>
      </c>
      <c r="O1163" s="46" t="s">
        <v>146</v>
      </c>
      <c r="P1163" s="46" t="s">
        <v>155</v>
      </c>
      <c r="Q1163" s="46" t="str">
        <f t="shared" si="1"/>
        <v>October, 2010</v>
      </c>
      <c r="R1163" s="115">
        <f t="shared" si="2"/>
        <v>40452</v>
      </c>
      <c r="S1163" s="49">
        <f t="array" ref="S1163">WEEKDAY(D1163,2)</f>
        <v>5</v>
      </c>
      <c r="T1163" s="46" t="s">
        <v>106</v>
      </c>
      <c r="U1163" s="46" t="str">
        <f t="array" ref="U1163">TEXT(D1163,"dddd")</f>
        <v>Friday</v>
      </c>
    </row>
    <row r="1164" hidden="1">
      <c r="A1164" s="46">
        <v>8.8119477E8</v>
      </c>
      <c r="B1164" s="137" t="s">
        <v>224</v>
      </c>
      <c r="C1164" s="137">
        <v>2013.0</v>
      </c>
      <c r="D1164" s="138">
        <v>41583.0</v>
      </c>
      <c r="E1164" s="139">
        <v>41613.0</v>
      </c>
      <c r="F1164" s="142" t="s">
        <v>225</v>
      </c>
      <c r="G1164" s="142">
        <v>2013.0</v>
      </c>
      <c r="H1164" s="46">
        <v>8681.0</v>
      </c>
      <c r="I1164" s="46">
        <v>3969.0</v>
      </c>
      <c r="J1164" s="84">
        <v>2584652.49</v>
      </c>
      <c r="K1164" s="84">
        <v>2083566.2400000002</v>
      </c>
      <c r="L1164" s="84">
        <v>501086.25</v>
      </c>
      <c r="M1164" s="46" t="s">
        <v>153</v>
      </c>
      <c r="N1164" s="46" t="s">
        <v>191</v>
      </c>
      <c r="O1164" s="46" t="s">
        <v>146</v>
      </c>
      <c r="P1164" s="46" t="s">
        <v>147</v>
      </c>
      <c r="Q1164" s="46" t="str">
        <f t="shared" si="1"/>
        <v>November, 2013</v>
      </c>
      <c r="R1164" s="115">
        <f t="shared" si="2"/>
        <v>41579</v>
      </c>
      <c r="S1164" s="49">
        <f t="array" ref="S1164">WEEKDAY(D1164,2)</f>
        <v>2</v>
      </c>
      <c r="T1164" s="46" t="s">
        <v>120</v>
      </c>
      <c r="U1164" s="46" t="str">
        <f t="array" ref="U1164">TEXT(D1164,"dddd")</f>
        <v>Tuesday</v>
      </c>
    </row>
    <row r="1165" hidden="1">
      <c r="A1165" s="46">
        <v>8.8171705E8</v>
      </c>
      <c r="B1165" s="137" t="s">
        <v>224</v>
      </c>
      <c r="C1165" s="137">
        <v>2010.0</v>
      </c>
      <c r="D1165" s="138">
        <v>40504.0</v>
      </c>
      <c r="E1165" s="139">
        <v>40535.0</v>
      </c>
      <c r="F1165" s="142" t="s">
        <v>225</v>
      </c>
      <c r="G1165" s="142">
        <v>2010.0</v>
      </c>
      <c r="H1165" s="46">
        <v>8969.0</v>
      </c>
      <c r="I1165" s="46">
        <v>8524.0</v>
      </c>
      <c r="J1165" s="84">
        <v>1300591.9200000002</v>
      </c>
      <c r="K1165" s="84">
        <v>830578.5599999999</v>
      </c>
      <c r="L1165" s="84">
        <v>470013.3600000002</v>
      </c>
      <c r="M1165" s="46" t="s">
        <v>182</v>
      </c>
      <c r="N1165" s="46" t="s">
        <v>176</v>
      </c>
      <c r="O1165" s="46" t="s">
        <v>146</v>
      </c>
      <c r="P1165" s="46" t="s">
        <v>158</v>
      </c>
      <c r="Q1165" s="46" t="str">
        <f t="shared" si="1"/>
        <v>November, 2010</v>
      </c>
      <c r="R1165" s="115">
        <f t="shared" si="2"/>
        <v>40483</v>
      </c>
      <c r="S1165" s="49">
        <f t="array" ref="S1165">WEEKDAY(D1165,2)</f>
        <v>1</v>
      </c>
      <c r="T1165" s="46" t="s">
        <v>109</v>
      </c>
      <c r="U1165" s="46" t="str">
        <f t="array" ref="U1165">TEXT(D1165,"dddd")</f>
        <v>Monday</v>
      </c>
    </row>
    <row r="1166" hidden="1">
      <c r="A1166" s="46">
        <v>8.83504474E8</v>
      </c>
      <c r="B1166" s="137" t="s">
        <v>216</v>
      </c>
      <c r="C1166" s="137">
        <v>2014.0</v>
      </c>
      <c r="D1166" s="138">
        <v>41854.0</v>
      </c>
      <c r="E1166" s="139">
        <v>41890.0</v>
      </c>
      <c r="F1166" s="142" t="s">
        <v>221</v>
      </c>
      <c r="G1166" s="142">
        <v>2014.0</v>
      </c>
      <c r="H1166" s="46">
        <v>8681.0</v>
      </c>
      <c r="I1166" s="46">
        <v>7462.0</v>
      </c>
      <c r="J1166" s="84">
        <v>4859329.0200000005</v>
      </c>
      <c r="K1166" s="84">
        <v>3917251.5200000005</v>
      </c>
      <c r="L1166" s="84">
        <v>942077.5</v>
      </c>
      <c r="M1166" s="46" t="s">
        <v>153</v>
      </c>
      <c r="N1166" s="46" t="s">
        <v>164</v>
      </c>
      <c r="O1166" s="46" t="s">
        <v>165</v>
      </c>
      <c r="P1166" s="46" t="s">
        <v>166</v>
      </c>
      <c r="Q1166" s="46" t="str">
        <f t="shared" si="1"/>
        <v>August, 2014</v>
      </c>
      <c r="R1166" s="115">
        <f t="shared" si="2"/>
        <v>41852</v>
      </c>
      <c r="S1166" s="49">
        <f t="array" ref="S1166">WEEKDAY(D1166,2)</f>
        <v>7</v>
      </c>
      <c r="T1166" s="46" t="s">
        <v>101</v>
      </c>
      <c r="U1166" s="46" t="str">
        <f t="array" ref="U1166">TEXT(D1166,"dddd")</f>
        <v>Sunday</v>
      </c>
    </row>
    <row r="1167" hidden="1">
      <c r="A1167" s="46">
        <v>8.84147775E8</v>
      </c>
      <c r="B1167" s="137" t="s">
        <v>221</v>
      </c>
      <c r="C1167" s="137">
        <v>2011.0</v>
      </c>
      <c r="D1167" s="138">
        <v>40804.0</v>
      </c>
      <c r="E1167" s="139">
        <v>40835.0</v>
      </c>
      <c r="F1167" s="142" t="s">
        <v>226</v>
      </c>
      <c r="G1167" s="142">
        <v>2011.0</v>
      </c>
      <c r="H1167" s="46">
        <v>1270.0</v>
      </c>
      <c r="I1167" s="46">
        <v>7829.0</v>
      </c>
      <c r="J1167" s="84">
        <v>371486.05000000005</v>
      </c>
      <c r="K1167" s="84">
        <v>248883.91</v>
      </c>
      <c r="L1167" s="84">
        <v>122602.14000000004</v>
      </c>
      <c r="M1167" s="46" t="s">
        <v>152</v>
      </c>
      <c r="N1167" s="46" t="s">
        <v>201</v>
      </c>
      <c r="O1167" s="46" t="s">
        <v>146</v>
      </c>
      <c r="P1167" s="46" t="s">
        <v>170</v>
      </c>
      <c r="Q1167" s="46" t="str">
        <f t="shared" si="1"/>
        <v>September, 2011</v>
      </c>
      <c r="R1167" s="115">
        <f t="shared" si="2"/>
        <v>40787</v>
      </c>
      <c r="S1167" s="49">
        <f t="array" ref="S1167">WEEKDAY(D1167,2)</f>
        <v>7</v>
      </c>
      <c r="T1167" s="46" t="s">
        <v>130</v>
      </c>
      <c r="U1167" s="46" t="str">
        <f t="array" ref="U1167">TEXT(D1167,"dddd")</f>
        <v>Sunday</v>
      </c>
    </row>
    <row r="1168" hidden="1">
      <c r="A1168" s="46">
        <v>8.84192836E8</v>
      </c>
      <c r="B1168" s="137" t="s">
        <v>225</v>
      </c>
      <c r="C1168" s="137">
        <v>2012.0</v>
      </c>
      <c r="D1168" s="138">
        <v>41257.0</v>
      </c>
      <c r="E1168" s="139">
        <v>41289.0</v>
      </c>
      <c r="F1168" s="142" t="s">
        <v>227</v>
      </c>
      <c r="G1168" s="142">
        <v>2013.0</v>
      </c>
      <c r="H1168" s="46">
        <v>8681.0</v>
      </c>
      <c r="I1168" s="46">
        <v>1164.0</v>
      </c>
      <c r="J1168" s="84">
        <v>758008.4400000001</v>
      </c>
      <c r="K1168" s="84">
        <v>611053.4400000001</v>
      </c>
      <c r="L1168" s="84">
        <v>146955.0</v>
      </c>
      <c r="M1168" s="46" t="s">
        <v>153</v>
      </c>
      <c r="N1168" s="46" t="s">
        <v>183</v>
      </c>
      <c r="O1168" s="46" t="s">
        <v>146</v>
      </c>
      <c r="P1168" s="46" t="s">
        <v>170</v>
      </c>
      <c r="Q1168" s="46" t="str">
        <f t="shared" si="1"/>
        <v>December, 2012</v>
      </c>
      <c r="R1168" s="115">
        <f t="shared" si="2"/>
        <v>41244</v>
      </c>
      <c r="S1168" s="49">
        <f t="array" ref="S1168">WEEKDAY(D1168,2)</f>
        <v>5</v>
      </c>
      <c r="T1168" s="46" t="s">
        <v>90</v>
      </c>
      <c r="U1168" s="46" t="str">
        <f t="array" ref="U1168">TEXT(D1168,"dddd")</f>
        <v>Friday</v>
      </c>
    </row>
    <row r="1169" hidden="1">
      <c r="A1169" s="46">
        <v>8.84462773E8</v>
      </c>
      <c r="B1169" s="137" t="s">
        <v>216</v>
      </c>
      <c r="C1169" s="137">
        <v>2010.0</v>
      </c>
      <c r="D1169" s="138">
        <v>40411.0</v>
      </c>
      <c r="E1169" s="139">
        <v>40456.0</v>
      </c>
      <c r="F1169" s="142" t="s">
        <v>226</v>
      </c>
      <c r="G1169" s="142">
        <v>2010.0</v>
      </c>
      <c r="H1169" s="46">
        <v>8969.0</v>
      </c>
      <c r="I1169" s="46">
        <v>1044.0</v>
      </c>
      <c r="J1169" s="84">
        <v>159293.52000000002</v>
      </c>
      <c r="K1169" s="84">
        <v>101727.36</v>
      </c>
      <c r="L1169" s="84">
        <v>57566.16000000002</v>
      </c>
      <c r="M1169" s="46" t="s">
        <v>182</v>
      </c>
      <c r="N1169" s="46" t="s">
        <v>172</v>
      </c>
      <c r="O1169" s="46" t="s">
        <v>146</v>
      </c>
      <c r="P1169" s="46" t="s">
        <v>155</v>
      </c>
      <c r="Q1169" s="46" t="str">
        <f t="shared" si="1"/>
        <v>August, 2010</v>
      </c>
      <c r="R1169" s="115">
        <f t="shared" si="2"/>
        <v>40391</v>
      </c>
      <c r="S1169" s="49">
        <f t="array" ref="S1169">WEEKDAY(D1169,2)</f>
        <v>6</v>
      </c>
      <c r="T1169" s="46" t="s">
        <v>105</v>
      </c>
      <c r="U1169" s="46" t="str">
        <f t="array" ref="U1169">TEXT(D1169,"dddd")</f>
        <v>Saturday</v>
      </c>
    </row>
    <row r="1170" hidden="1">
      <c r="A1170" s="46">
        <v>8.85046851E8</v>
      </c>
      <c r="B1170" s="137" t="s">
        <v>220</v>
      </c>
      <c r="C1170" s="137">
        <v>2010.0</v>
      </c>
      <c r="D1170" s="138">
        <v>40348.0</v>
      </c>
      <c r="E1170" s="139">
        <v>40378.0</v>
      </c>
      <c r="F1170" s="142" t="s">
        <v>217</v>
      </c>
      <c r="G1170" s="142">
        <v>2010.0</v>
      </c>
      <c r="H1170" s="46">
        <v>8681.0</v>
      </c>
      <c r="I1170" s="46">
        <v>3886.0</v>
      </c>
      <c r="J1170" s="84">
        <v>2530602.06</v>
      </c>
      <c r="K1170" s="84">
        <v>2039994.56</v>
      </c>
      <c r="L1170" s="84">
        <v>490607.5</v>
      </c>
      <c r="M1170" s="46" t="s">
        <v>153</v>
      </c>
      <c r="N1170" s="46" t="s">
        <v>184</v>
      </c>
      <c r="O1170" s="46" t="s">
        <v>146</v>
      </c>
      <c r="P1170" s="46" t="s">
        <v>155</v>
      </c>
      <c r="Q1170" s="46" t="str">
        <f t="shared" si="1"/>
        <v>June, 2010</v>
      </c>
      <c r="R1170" s="115">
        <f t="shared" si="2"/>
        <v>40330</v>
      </c>
      <c r="S1170" s="49">
        <f t="array" ref="S1170">WEEKDAY(D1170,2)</f>
        <v>6</v>
      </c>
      <c r="T1170" s="46" t="s">
        <v>114</v>
      </c>
      <c r="U1170" s="46" t="str">
        <f t="array" ref="U1170">TEXT(D1170,"dddd")</f>
        <v>Saturday</v>
      </c>
    </row>
    <row r="1171" hidden="1">
      <c r="A1171" s="46">
        <v>8.85397469E8</v>
      </c>
      <c r="B1171" s="137" t="s">
        <v>226</v>
      </c>
      <c r="C1171" s="137">
        <v>2015.0</v>
      </c>
      <c r="D1171" s="138">
        <v>42287.0</v>
      </c>
      <c r="E1171" s="139">
        <v>42326.0</v>
      </c>
      <c r="F1171" s="142" t="s">
        <v>224</v>
      </c>
      <c r="G1171" s="142">
        <v>2015.0</v>
      </c>
      <c r="H1171" s="46">
        <v>8875.0</v>
      </c>
      <c r="I1171" s="46">
        <v>7642.0</v>
      </c>
      <c r="J1171" s="84">
        <v>3224083.38</v>
      </c>
      <c r="K1171" s="84">
        <v>2786960.98</v>
      </c>
      <c r="L1171" s="84">
        <v>437122.3999999999</v>
      </c>
      <c r="M1171" s="46" t="s">
        <v>167</v>
      </c>
      <c r="N1171" s="46" t="s">
        <v>171</v>
      </c>
      <c r="O1171" s="46" t="s">
        <v>146</v>
      </c>
      <c r="P1171" s="46" t="s">
        <v>147</v>
      </c>
      <c r="Q1171" s="46" t="str">
        <f t="shared" si="1"/>
        <v>October, 2015</v>
      </c>
      <c r="R1171" s="115">
        <f t="shared" si="2"/>
        <v>42278</v>
      </c>
      <c r="S1171" s="49">
        <f t="array" ref="S1171">WEEKDAY(D1171,2)</f>
        <v>6</v>
      </c>
      <c r="T1171" s="46" t="s">
        <v>104</v>
      </c>
      <c r="U1171" s="46" t="str">
        <f t="array" ref="U1171">TEXT(D1171,"dddd")</f>
        <v>Saturday</v>
      </c>
    </row>
    <row r="1172" hidden="1">
      <c r="A1172" s="46">
        <v>8.85998284E8</v>
      </c>
      <c r="B1172" s="137" t="s">
        <v>228</v>
      </c>
      <c r="C1172" s="137">
        <v>2017.0</v>
      </c>
      <c r="D1172" s="138">
        <v>42787.0</v>
      </c>
      <c r="E1172" s="139">
        <v>42794.0</v>
      </c>
      <c r="F1172" s="142" t="s">
        <v>228</v>
      </c>
      <c r="G1172" s="142">
        <v>2017.0</v>
      </c>
      <c r="H1172" s="46">
        <v>2455.0</v>
      </c>
      <c r="I1172" s="46">
        <v>5436.0</v>
      </c>
      <c r="J1172" s="84">
        <v>594046.08</v>
      </c>
      <c r="K1172" s="84">
        <v>194826.24000000002</v>
      </c>
      <c r="L1172" s="84">
        <v>399219.83999999997</v>
      </c>
      <c r="M1172" s="46" t="s">
        <v>150</v>
      </c>
      <c r="N1172" s="46" t="s">
        <v>164</v>
      </c>
      <c r="O1172" s="46" t="s">
        <v>165</v>
      </c>
      <c r="P1172" s="46" t="s">
        <v>166</v>
      </c>
      <c r="Q1172" s="46" t="str">
        <f t="shared" si="1"/>
        <v>February, 2017</v>
      </c>
      <c r="R1172" s="115">
        <f t="shared" si="2"/>
        <v>42767</v>
      </c>
      <c r="S1172" s="49">
        <f t="array" ref="S1172">WEEKDAY(D1172,2)</f>
        <v>2</v>
      </c>
      <c r="T1172" s="46" t="s">
        <v>101</v>
      </c>
      <c r="U1172" s="46" t="str">
        <f t="array" ref="U1172">TEXT(D1172,"dddd")</f>
        <v>Tuesday</v>
      </c>
    </row>
    <row r="1173" hidden="1">
      <c r="A1173" s="46">
        <v>8.86620128E8</v>
      </c>
      <c r="B1173" s="137" t="s">
        <v>217</v>
      </c>
      <c r="C1173" s="137">
        <v>2011.0</v>
      </c>
      <c r="D1173" s="138">
        <v>40732.0</v>
      </c>
      <c r="E1173" s="139">
        <v>40749.0</v>
      </c>
      <c r="F1173" s="142" t="s">
        <v>217</v>
      </c>
      <c r="G1173" s="142">
        <v>2011.0</v>
      </c>
      <c r="H1173" s="46">
        <v>8681.0</v>
      </c>
      <c r="I1173" s="46">
        <v>9453.0</v>
      </c>
      <c r="J1173" s="84">
        <v>6155888.13</v>
      </c>
      <c r="K1173" s="84">
        <v>4962446.88</v>
      </c>
      <c r="L1173" s="84">
        <v>1193441.25</v>
      </c>
      <c r="M1173" s="46" t="s">
        <v>153</v>
      </c>
      <c r="N1173" s="46" t="s">
        <v>197</v>
      </c>
      <c r="O1173" s="46" t="s">
        <v>146</v>
      </c>
      <c r="P1173" s="46" t="s">
        <v>147</v>
      </c>
      <c r="Q1173" s="46" t="str">
        <f t="shared" si="1"/>
        <v>July, 2011</v>
      </c>
      <c r="R1173" s="115">
        <f t="shared" si="2"/>
        <v>40725</v>
      </c>
      <c r="S1173" s="49">
        <f t="array" ref="S1173">WEEKDAY(D1173,2)</f>
        <v>5</v>
      </c>
      <c r="T1173" s="46" t="s">
        <v>126</v>
      </c>
      <c r="U1173" s="46" t="str">
        <f t="array" ref="U1173">TEXT(D1173,"dddd")</f>
        <v>Friday</v>
      </c>
    </row>
    <row r="1174" hidden="1">
      <c r="A1174" s="46">
        <v>8.86763894E8</v>
      </c>
      <c r="B1174" s="137" t="s">
        <v>223</v>
      </c>
      <c r="C1174" s="137">
        <v>2013.0</v>
      </c>
      <c r="D1174" s="138">
        <v>41385.0</v>
      </c>
      <c r="E1174" s="139">
        <v>41421.0</v>
      </c>
      <c r="F1174" s="142" t="s">
        <v>219</v>
      </c>
      <c r="G1174" s="142">
        <v>2013.0</v>
      </c>
      <c r="H1174" s="46">
        <v>5988.0</v>
      </c>
      <c r="I1174" s="46">
        <v>1997.0</v>
      </c>
      <c r="J1174" s="84">
        <v>307657.82</v>
      </c>
      <c r="K1174" s="84">
        <v>181587.21000000002</v>
      </c>
      <c r="L1174" s="84">
        <v>126070.60999999999</v>
      </c>
      <c r="M1174" s="46" t="s">
        <v>159</v>
      </c>
      <c r="N1174" s="46" t="s">
        <v>171</v>
      </c>
      <c r="O1174" s="46" t="s">
        <v>146</v>
      </c>
      <c r="P1174" s="46" t="s">
        <v>147</v>
      </c>
      <c r="Q1174" s="46" t="str">
        <f t="shared" si="1"/>
        <v>April, 2013</v>
      </c>
      <c r="R1174" s="115">
        <f t="shared" si="2"/>
        <v>41365</v>
      </c>
      <c r="S1174" s="49">
        <f t="array" ref="S1174">WEEKDAY(D1174,2)</f>
        <v>7</v>
      </c>
      <c r="T1174" s="46" t="s">
        <v>104</v>
      </c>
      <c r="U1174" s="46" t="str">
        <f t="array" ref="U1174">TEXT(D1174,"dddd")</f>
        <v>Sunday</v>
      </c>
    </row>
    <row r="1175" hidden="1">
      <c r="A1175" s="46">
        <v>8.8750118E8</v>
      </c>
      <c r="B1175" s="137" t="s">
        <v>219</v>
      </c>
      <c r="C1175" s="137">
        <v>2017.0</v>
      </c>
      <c r="D1175" s="138">
        <v>42860.0</v>
      </c>
      <c r="E1175" s="139">
        <v>42906.0</v>
      </c>
      <c r="F1175" s="142" t="s">
        <v>220</v>
      </c>
      <c r="G1175" s="142">
        <v>2017.0</v>
      </c>
      <c r="H1175" s="46">
        <v>8293.0</v>
      </c>
      <c r="I1175" s="46">
        <v>176.0</v>
      </c>
      <c r="J1175" s="84">
        <v>76947.2</v>
      </c>
      <c r="K1175" s="84">
        <v>46346.079999999994</v>
      </c>
      <c r="L1175" s="84">
        <v>30601.120000000003</v>
      </c>
      <c r="M1175" s="46" t="s">
        <v>178</v>
      </c>
      <c r="N1175" s="46" t="s">
        <v>169</v>
      </c>
      <c r="O1175" s="46" t="s">
        <v>146</v>
      </c>
      <c r="P1175" s="46" t="s">
        <v>170</v>
      </c>
      <c r="Q1175" s="46" t="str">
        <f t="shared" si="1"/>
        <v>May, 2017</v>
      </c>
      <c r="R1175" s="115">
        <f t="shared" si="2"/>
        <v>42856</v>
      </c>
      <c r="S1175" s="49">
        <f t="array" ref="S1175">WEEKDAY(D1175,2)</f>
        <v>5</v>
      </c>
      <c r="T1175" s="46" t="s">
        <v>103</v>
      </c>
      <c r="U1175" s="46" t="str">
        <f t="array" ref="U1175">TEXT(D1175,"dddd")</f>
        <v>Friday</v>
      </c>
    </row>
    <row r="1176" hidden="1">
      <c r="A1176" s="46">
        <v>8.89093768E8</v>
      </c>
      <c r="B1176" s="137" t="s">
        <v>223</v>
      </c>
      <c r="C1176" s="137">
        <v>2010.0</v>
      </c>
      <c r="D1176" s="138">
        <v>40278.0</v>
      </c>
      <c r="E1176" s="139">
        <v>40318.0</v>
      </c>
      <c r="F1176" s="142" t="s">
        <v>219</v>
      </c>
      <c r="G1176" s="142">
        <v>2010.0</v>
      </c>
      <c r="H1176" s="46">
        <v>2103.0</v>
      </c>
      <c r="I1176" s="46">
        <v>1458.0</v>
      </c>
      <c r="J1176" s="84">
        <v>299910.6</v>
      </c>
      <c r="K1176" s="84">
        <v>170746.38</v>
      </c>
      <c r="L1176" s="84">
        <v>129164.21999999997</v>
      </c>
      <c r="M1176" s="46" t="s">
        <v>144</v>
      </c>
      <c r="N1176" s="46" t="s">
        <v>201</v>
      </c>
      <c r="O1176" s="46" t="s">
        <v>146</v>
      </c>
      <c r="P1176" s="46" t="s">
        <v>170</v>
      </c>
      <c r="Q1176" s="46" t="str">
        <f t="shared" si="1"/>
        <v>April, 2010</v>
      </c>
      <c r="R1176" s="115">
        <f t="shared" si="2"/>
        <v>40269</v>
      </c>
      <c r="S1176" s="49">
        <f t="array" ref="S1176">WEEKDAY(D1176,2)</f>
        <v>6</v>
      </c>
      <c r="T1176" s="46" t="s">
        <v>130</v>
      </c>
      <c r="U1176" s="46" t="str">
        <f t="array" ref="U1176">TEXT(D1176,"dddd")</f>
        <v>Saturday</v>
      </c>
    </row>
    <row r="1177" hidden="1">
      <c r="A1177" s="46">
        <v>8.89125955E8</v>
      </c>
      <c r="B1177" s="137" t="s">
        <v>219</v>
      </c>
      <c r="C1177" s="137">
        <v>2014.0</v>
      </c>
      <c r="D1177" s="138">
        <v>41786.0</v>
      </c>
      <c r="E1177" s="139">
        <v>41805.0</v>
      </c>
      <c r="F1177" s="142" t="s">
        <v>220</v>
      </c>
      <c r="G1177" s="142">
        <v>2014.0</v>
      </c>
      <c r="H1177" s="46">
        <v>4594.0</v>
      </c>
      <c r="I1177" s="46">
        <v>983.0</v>
      </c>
      <c r="J1177" s="84">
        <v>9171.39</v>
      </c>
      <c r="K1177" s="84">
        <v>6802.36</v>
      </c>
      <c r="L1177" s="84">
        <v>2369.0299999999997</v>
      </c>
      <c r="M1177" s="46" t="s">
        <v>156</v>
      </c>
      <c r="N1177" s="46" t="s">
        <v>199</v>
      </c>
      <c r="O1177" s="46" t="s">
        <v>146</v>
      </c>
      <c r="P1177" s="46" t="s">
        <v>147</v>
      </c>
      <c r="Q1177" s="46" t="str">
        <f t="shared" si="1"/>
        <v>May, 2014</v>
      </c>
      <c r="R1177" s="115">
        <f t="shared" si="2"/>
        <v>41760</v>
      </c>
      <c r="S1177" s="49">
        <f t="array" ref="S1177">WEEKDAY(D1177,2)</f>
        <v>2</v>
      </c>
      <c r="T1177" s="46" t="s">
        <v>128</v>
      </c>
      <c r="U1177" s="46" t="str">
        <f t="array" ref="U1177">TEXT(D1177,"dddd")</f>
        <v>Tuesday</v>
      </c>
    </row>
    <row r="1178" hidden="1">
      <c r="A1178" s="46">
        <v>8.91681563E8</v>
      </c>
      <c r="B1178" s="137" t="s">
        <v>222</v>
      </c>
      <c r="C1178" s="137">
        <v>2012.0</v>
      </c>
      <c r="D1178" s="138">
        <v>40969.0</v>
      </c>
      <c r="E1178" s="139">
        <v>40995.0</v>
      </c>
      <c r="F1178" s="142" t="s">
        <v>222</v>
      </c>
      <c r="G1178" s="142">
        <v>2012.0</v>
      </c>
      <c r="H1178" s="46">
        <v>7940.0</v>
      </c>
      <c r="I1178" s="46">
        <v>7245.0</v>
      </c>
      <c r="J1178" s="84">
        <v>4841616.149999999</v>
      </c>
      <c r="K1178" s="84">
        <v>3640902.3000000003</v>
      </c>
      <c r="L1178" s="84">
        <v>1200713.8499999992</v>
      </c>
      <c r="M1178" s="46" t="s">
        <v>148</v>
      </c>
      <c r="N1178" s="46" t="s">
        <v>204</v>
      </c>
      <c r="O1178" s="46" t="s">
        <v>146</v>
      </c>
      <c r="P1178" s="46" t="s">
        <v>147</v>
      </c>
      <c r="Q1178" s="46" t="str">
        <f t="shared" si="1"/>
        <v>March, 2012</v>
      </c>
      <c r="R1178" s="115">
        <f t="shared" si="2"/>
        <v>40969</v>
      </c>
      <c r="S1178" s="49">
        <f t="array" ref="S1178">WEEKDAY(D1178,2)</f>
        <v>4</v>
      </c>
      <c r="T1178" s="46" t="s">
        <v>133</v>
      </c>
      <c r="U1178" s="46" t="str">
        <f t="array" ref="U1178">TEXT(D1178,"dddd")</f>
        <v>Thursday</v>
      </c>
    </row>
    <row r="1179" hidden="1">
      <c r="A1179" s="46">
        <v>8.91808593E8</v>
      </c>
      <c r="B1179" s="137" t="s">
        <v>219</v>
      </c>
      <c r="C1179" s="137">
        <v>2012.0</v>
      </c>
      <c r="D1179" s="138">
        <v>41059.0</v>
      </c>
      <c r="E1179" s="139">
        <v>41071.0</v>
      </c>
      <c r="F1179" s="142" t="s">
        <v>220</v>
      </c>
      <c r="G1179" s="142">
        <v>2012.0</v>
      </c>
      <c r="H1179" s="46">
        <v>7331.0</v>
      </c>
      <c r="I1179" s="46">
        <v>4835.0</v>
      </c>
      <c r="J1179" s="84">
        <v>1234278.8</v>
      </c>
      <c r="K1179" s="84">
        <v>770795.7</v>
      </c>
      <c r="L1179" s="84">
        <v>463483.1000000001</v>
      </c>
      <c r="M1179" s="46" t="s">
        <v>161</v>
      </c>
      <c r="N1179" s="46" t="s">
        <v>154</v>
      </c>
      <c r="O1179" s="46" t="s">
        <v>146</v>
      </c>
      <c r="P1179" s="46" t="s">
        <v>155</v>
      </c>
      <c r="Q1179" s="46" t="str">
        <f t="shared" si="1"/>
        <v>May, 2012</v>
      </c>
      <c r="R1179" s="115">
        <f t="shared" si="2"/>
        <v>41030</v>
      </c>
      <c r="S1179" s="49">
        <f t="array" ref="S1179">WEEKDAY(D1179,2)</f>
        <v>3</v>
      </c>
      <c r="T1179" s="46" t="s">
        <v>96</v>
      </c>
      <c r="U1179" s="46" t="str">
        <f t="array" ref="U1179">TEXT(D1179,"dddd")</f>
        <v>Wednesday</v>
      </c>
    </row>
    <row r="1180" hidden="1">
      <c r="A1180" s="46">
        <v>8.92042911E8</v>
      </c>
      <c r="B1180" s="137" t="s">
        <v>223</v>
      </c>
      <c r="C1180" s="137">
        <v>2011.0</v>
      </c>
      <c r="D1180" s="138">
        <v>40646.0</v>
      </c>
      <c r="E1180" s="139">
        <v>40675.0</v>
      </c>
      <c r="F1180" s="142" t="s">
        <v>219</v>
      </c>
      <c r="G1180" s="142">
        <v>2011.0</v>
      </c>
      <c r="H1180" s="46">
        <v>8293.0</v>
      </c>
      <c r="I1180" s="46">
        <v>4175.0</v>
      </c>
      <c r="J1180" s="84">
        <v>1825310.0</v>
      </c>
      <c r="K1180" s="84">
        <v>1099402.75</v>
      </c>
      <c r="L1180" s="84">
        <v>725907.25</v>
      </c>
      <c r="M1180" s="46" t="s">
        <v>178</v>
      </c>
      <c r="N1180" s="46" t="s">
        <v>173</v>
      </c>
      <c r="O1180" s="46" t="s">
        <v>146</v>
      </c>
      <c r="P1180" s="46" t="s">
        <v>155</v>
      </c>
      <c r="Q1180" s="46" t="str">
        <f t="shared" si="1"/>
        <v>April, 2011</v>
      </c>
      <c r="R1180" s="115">
        <f t="shared" si="2"/>
        <v>40634</v>
      </c>
      <c r="S1180" s="49">
        <f t="array" ref="S1180">WEEKDAY(D1180,2)</f>
        <v>3</v>
      </c>
      <c r="T1180" s="46" t="s">
        <v>106</v>
      </c>
      <c r="U1180" s="46" t="str">
        <f t="array" ref="U1180">TEXT(D1180,"dddd")</f>
        <v>Wednesday</v>
      </c>
    </row>
    <row r="1181" hidden="1">
      <c r="A1181" s="46">
        <v>8.94589078E8</v>
      </c>
      <c r="B1181" s="137" t="s">
        <v>222</v>
      </c>
      <c r="C1181" s="137">
        <v>2014.0</v>
      </c>
      <c r="D1181" s="138">
        <v>41709.0</v>
      </c>
      <c r="E1181" s="139">
        <v>41739.0</v>
      </c>
      <c r="F1181" s="142" t="s">
        <v>223</v>
      </c>
      <c r="G1181" s="142">
        <v>2014.0</v>
      </c>
      <c r="H1181" s="46">
        <v>5988.0</v>
      </c>
      <c r="I1181" s="46">
        <v>7643.0</v>
      </c>
      <c r="J1181" s="84">
        <v>1177480.58</v>
      </c>
      <c r="K1181" s="84">
        <v>694977.9900000001</v>
      </c>
      <c r="L1181" s="84">
        <v>482502.58999999997</v>
      </c>
      <c r="M1181" s="46" t="s">
        <v>159</v>
      </c>
      <c r="N1181" s="46" t="s">
        <v>180</v>
      </c>
      <c r="O1181" s="46" t="s">
        <v>146</v>
      </c>
      <c r="P1181" s="46" t="s">
        <v>147</v>
      </c>
      <c r="Q1181" s="46" t="str">
        <f t="shared" si="1"/>
        <v>March, 2014</v>
      </c>
      <c r="R1181" s="115">
        <f t="shared" si="2"/>
        <v>41699</v>
      </c>
      <c r="S1181" s="49">
        <f t="array" ref="S1181">WEEKDAY(D1181,2)</f>
        <v>2</v>
      </c>
      <c r="T1181" s="46" t="s">
        <v>112</v>
      </c>
      <c r="U1181" s="46" t="str">
        <f t="array" ref="U1181">TEXT(D1181,"dddd")</f>
        <v>Tuesday</v>
      </c>
    </row>
    <row r="1182" hidden="1">
      <c r="A1182" s="46">
        <v>8.97317206E8</v>
      </c>
      <c r="B1182" s="137" t="s">
        <v>216</v>
      </c>
      <c r="C1182" s="137">
        <v>2015.0</v>
      </c>
      <c r="D1182" s="138">
        <v>42229.0</v>
      </c>
      <c r="E1182" s="139">
        <v>42248.0</v>
      </c>
      <c r="F1182" s="142" t="s">
        <v>221</v>
      </c>
      <c r="G1182" s="142">
        <v>2015.0</v>
      </c>
      <c r="H1182" s="46">
        <v>1270.0</v>
      </c>
      <c r="I1182" s="46">
        <v>4957.0</v>
      </c>
      <c r="J1182" s="84">
        <v>235209.65000000002</v>
      </c>
      <c r="K1182" s="84">
        <v>157583.03</v>
      </c>
      <c r="L1182" s="84">
        <v>77626.62000000002</v>
      </c>
      <c r="M1182" s="46" t="s">
        <v>152</v>
      </c>
      <c r="N1182" s="46" t="s">
        <v>197</v>
      </c>
      <c r="O1182" s="46" t="s">
        <v>146</v>
      </c>
      <c r="P1182" s="46" t="s">
        <v>147</v>
      </c>
      <c r="Q1182" s="46" t="str">
        <f t="shared" si="1"/>
        <v>August, 2015</v>
      </c>
      <c r="R1182" s="115">
        <f t="shared" si="2"/>
        <v>42217</v>
      </c>
      <c r="S1182" s="49">
        <f t="array" ref="S1182">WEEKDAY(D1182,2)</f>
        <v>4</v>
      </c>
      <c r="T1182" s="46" t="s">
        <v>126</v>
      </c>
      <c r="U1182" s="46" t="str">
        <f t="array" ref="U1182">TEXT(D1182,"dddd")</f>
        <v>Thursday</v>
      </c>
    </row>
    <row r="1183" hidden="1">
      <c r="A1183" s="46">
        <v>8.97638213E8</v>
      </c>
      <c r="B1183" s="137" t="s">
        <v>221</v>
      </c>
      <c r="C1183" s="137">
        <v>2014.0</v>
      </c>
      <c r="D1183" s="138">
        <v>41896.0</v>
      </c>
      <c r="E1183" s="139">
        <v>41920.0</v>
      </c>
      <c r="F1183" s="142" t="s">
        <v>226</v>
      </c>
      <c r="G1183" s="142">
        <v>2014.0</v>
      </c>
      <c r="H1183" s="46">
        <v>2103.0</v>
      </c>
      <c r="I1183" s="46">
        <v>9950.0</v>
      </c>
      <c r="J1183" s="84">
        <v>2046715.0</v>
      </c>
      <c r="K1183" s="84">
        <v>1165244.5</v>
      </c>
      <c r="L1183" s="84">
        <v>881470.5</v>
      </c>
      <c r="M1183" s="46" t="s">
        <v>144</v>
      </c>
      <c r="N1183" s="46" t="s">
        <v>186</v>
      </c>
      <c r="O1183" s="46" t="s">
        <v>146</v>
      </c>
      <c r="P1183" s="46" t="s">
        <v>147</v>
      </c>
      <c r="Q1183" s="46" t="str">
        <f t="shared" si="1"/>
        <v>September, 2014</v>
      </c>
      <c r="R1183" s="115">
        <f t="shared" si="2"/>
        <v>41883</v>
      </c>
      <c r="S1183" s="49">
        <f t="array" ref="S1183">WEEKDAY(D1183,2)</f>
        <v>7</v>
      </c>
      <c r="T1183" s="46" t="s">
        <v>115</v>
      </c>
      <c r="U1183" s="46" t="str">
        <f t="array" ref="U1183">TEXT(D1183,"dddd")</f>
        <v>Sunday</v>
      </c>
    </row>
    <row r="1184" hidden="1">
      <c r="A1184" s="46">
        <v>8.97785842E8</v>
      </c>
      <c r="B1184" s="137" t="s">
        <v>219</v>
      </c>
      <c r="C1184" s="137">
        <v>2013.0</v>
      </c>
      <c r="D1184" s="138">
        <v>41402.0</v>
      </c>
      <c r="E1184" s="139">
        <v>41406.0</v>
      </c>
      <c r="F1184" s="142" t="s">
        <v>219</v>
      </c>
      <c r="G1184" s="142">
        <v>2013.0</v>
      </c>
      <c r="H1184" s="46">
        <v>8681.0</v>
      </c>
      <c r="I1184" s="46">
        <v>3636.0</v>
      </c>
      <c r="J1184" s="84">
        <v>2367799.56</v>
      </c>
      <c r="K1184" s="84">
        <v>1908754.56</v>
      </c>
      <c r="L1184" s="84">
        <v>459045.0</v>
      </c>
      <c r="M1184" s="46" t="s">
        <v>153</v>
      </c>
      <c r="N1184" s="46" t="s">
        <v>175</v>
      </c>
      <c r="O1184" s="46" t="s">
        <v>165</v>
      </c>
      <c r="P1184" s="46" t="s">
        <v>166</v>
      </c>
      <c r="Q1184" s="46" t="str">
        <f t="shared" si="1"/>
        <v>May, 2013</v>
      </c>
      <c r="R1184" s="115">
        <f t="shared" si="2"/>
        <v>41395</v>
      </c>
      <c r="S1184" s="49">
        <f t="array" ref="S1184">WEEKDAY(D1184,2)</f>
        <v>3</v>
      </c>
      <c r="T1184" s="46" t="s">
        <v>108</v>
      </c>
      <c r="U1184" s="46" t="str">
        <f t="array" ref="U1184">TEXT(D1184,"dddd")</f>
        <v>Wednesday</v>
      </c>
    </row>
    <row r="1185" hidden="1">
      <c r="A1185" s="46">
        <v>8.98211562E8</v>
      </c>
      <c r="B1185" s="137" t="s">
        <v>228</v>
      </c>
      <c r="C1185" s="137">
        <v>2013.0</v>
      </c>
      <c r="D1185" s="138">
        <v>41330.0</v>
      </c>
      <c r="E1185" s="139">
        <v>41345.0</v>
      </c>
      <c r="F1185" s="142" t="s">
        <v>222</v>
      </c>
      <c r="G1185" s="142">
        <v>2013.0</v>
      </c>
      <c r="H1185" s="46">
        <v>4594.0</v>
      </c>
      <c r="I1185" s="46">
        <v>9616.0</v>
      </c>
      <c r="J1185" s="84">
        <v>89717.28</v>
      </c>
      <c r="K1185" s="84">
        <v>66542.72</v>
      </c>
      <c r="L1185" s="84">
        <v>23174.559999999998</v>
      </c>
      <c r="M1185" s="46" t="s">
        <v>156</v>
      </c>
      <c r="N1185" s="46" t="s">
        <v>188</v>
      </c>
      <c r="O1185" s="46" t="s">
        <v>146</v>
      </c>
      <c r="P1185" s="46" t="s">
        <v>170</v>
      </c>
      <c r="Q1185" s="46" t="str">
        <f t="shared" si="1"/>
        <v>February, 2013</v>
      </c>
      <c r="R1185" s="115">
        <f t="shared" si="2"/>
        <v>41306</v>
      </c>
      <c r="S1185" s="49">
        <f t="array" ref="S1185">WEEKDAY(D1185,2)</f>
        <v>1</v>
      </c>
      <c r="T1185" s="46" t="s">
        <v>117</v>
      </c>
      <c r="U1185" s="46" t="str">
        <f t="array" ref="U1185">TEXT(D1185,"dddd")</f>
        <v>Monday</v>
      </c>
    </row>
    <row r="1186">
      <c r="A1186" s="46">
        <v>8.99868094E8</v>
      </c>
      <c r="B1186" s="137" t="s">
        <v>222</v>
      </c>
      <c r="C1186" s="137">
        <v>2012.0</v>
      </c>
      <c r="D1186" s="138">
        <v>40970.0</v>
      </c>
      <c r="E1186" s="139">
        <v>40994.0</v>
      </c>
      <c r="F1186" s="142" t="s">
        <v>222</v>
      </c>
      <c r="G1186" s="142">
        <v>2012.0</v>
      </c>
      <c r="H1186" s="46">
        <v>4594.0</v>
      </c>
      <c r="I1186" s="46">
        <v>9821.0</v>
      </c>
      <c r="J1186" s="84">
        <v>91629.93000000001</v>
      </c>
      <c r="K1186" s="84">
        <v>67961.31999999999</v>
      </c>
      <c r="L1186" s="84">
        <v>23668.610000000015</v>
      </c>
      <c r="M1186" s="46" t="s">
        <v>156</v>
      </c>
      <c r="N1186" s="46" t="s">
        <v>149</v>
      </c>
      <c r="O1186" s="46" t="s">
        <v>149</v>
      </c>
      <c r="P1186" s="46" t="s">
        <v>218</v>
      </c>
      <c r="Q1186" s="46" t="str">
        <f t="shared" si="1"/>
        <v>March, 2012</v>
      </c>
      <c r="R1186" s="115">
        <f t="shared" si="2"/>
        <v>40969</v>
      </c>
      <c r="S1186" s="49">
        <f t="array" ref="S1186">WEEKDAY(D1186,2)</f>
        <v>5</v>
      </c>
      <c r="T1186" s="46" t="s">
        <v>92</v>
      </c>
      <c r="U1186" s="46" t="str">
        <f t="array" ref="U1186">TEXT(D1186,"dddd")</f>
        <v>Friday</v>
      </c>
    </row>
    <row r="1187" hidden="1">
      <c r="A1187" s="46">
        <v>9.00808799E8</v>
      </c>
      <c r="B1187" s="137" t="s">
        <v>220</v>
      </c>
      <c r="C1187" s="137">
        <v>2017.0</v>
      </c>
      <c r="D1187" s="138">
        <v>42906.0</v>
      </c>
      <c r="E1187" s="139">
        <v>42914.0</v>
      </c>
      <c r="F1187" s="142" t="s">
        <v>220</v>
      </c>
      <c r="G1187" s="142">
        <v>2017.0</v>
      </c>
      <c r="H1187" s="46">
        <v>8293.0</v>
      </c>
      <c r="I1187" s="46">
        <v>8196.0</v>
      </c>
      <c r="J1187" s="84">
        <v>3583291.1999999997</v>
      </c>
      <c r="K1187" s="84">
        <v>2158252.6799999997</v>
      </c>
      <c r="L1187" s="84">
        <v>1425038.52</v>
      </c>
      <c r="M1187" s="46" t="s">
        <v>178</v>
      </c>
      <c r="N1187" s="46" t="s">
        <v>208</v>
      </c>
      <c r="O1187" s="46" t="s">
        <v>146</v>
      </c>
      <c r="P1187" s="46" t="s">
        <v>147</v>
      </c>
      <c r="Q1187" s="46" t="str">
        <f t="shared" si="1"/>
        <v>June, 2017</v>
      </c>
      <c r="R1187" s="115">
        <f t="shared" si="2"/>
        <v>42887</v>
      </c>
      <c r="S1187" s="49">
        <f t="array" ref="S1187">WEEKDAY(D1187,2)</f>
        <v>2</v>
      </c>
      <c r="T1187" s="46" t="s">
        <v>138</v>
      </c>
      <c r="U1187" s="46" t="str">
        <f t="array" ref="U1187">TEXT(D1187,"dddd")</f>
        <v>Tuesday</v>
      </c>
    </row>
    <row r="1188" hidden="1">
      <c r="A1188" s="46">
        <v>9.01670968E8</v>
      </c>
      <c r="B1188" s="137" t="s">
        <v>224</v>
      </c>
      <c r="C1188" s="137">
        <v>2010.0</v>
      </c>
      <c r="D1188" s="138">
        <v>40498.0</v>
      </c>
      <c r="E1188" s="139">
        <v>40523.0</v>
      </c>
      <c r="F1188" s="142" t="s">
        <v>225</v>
      </c>
      <c r="G1188" s="142">
        <v>2010.0</v>
      </c>
      <c r="H1188" s="46">
        <v>5988.0</v>
      </c>
      <c r="I1188" s="46">
        <v>3331.0</v>
      </c>
      <c r="J1188" s="84">
        <v>513173.86</v>
      </c>
      <c r="K1188" s="84">
        <v>302887.83</v>
      </c>
      <c r="L1188" s="84">
        <v>210286.02999999997</v>
      </c>
      <c r="M1188" s="46" t="s">
        <v>159</v>
      </c>
      <c r="N1188" s="46" t="s">
        <v>198</v>
      </c>
      <c r="O1188" s="46" t="s">
        <v>146</v>
      </c>
      <c r="P1188" s="46" t="s">
        <v>170</v>
      </c>
      <c r="Q1188" s="46" t="str">
        <f t="shared" si="1"/>
        <v>November, 2010</v>
      </c>
      <c r="R1188" s="115">
        <f t="shared" si="2"/>
        <v>40483</v>
      </c>
      <c r="S1188" s="49">
        <f t="array" ref="S1188">WEEKDAY(D1188,2)</f>
        <v>2</v>
      </c>
      <c r="T1188" s="46" t="s">
        <v>127</v>
      </c>
      <c r="U1188" s="46" t="str">
        <f t="array" ref="U1188">TEXT(D1188,"dddd")</f>
        <v>Tuesday</v>
      </c>
    </row>
    <row r="1189" hidden="1">
      <c r="A1189" s="46">
        <v>9.01789844E8</v>
      </c>
      <c r="B1189" s="137" t="s">
        <v>222</v>
      </c>
      <c r="C1189" s="137">
        <v>2015.0</v>
      </c>
      <c r="D1189" s="138">
        <v>42087.0</v>
      </c>
      <c r="E1189" s="139">
        <v>42129.0</v>
      </c>
      <c r="F1189" s="142" t="s">
        <v>219</v>
      </c>
      <c r="G1189" s="142">
        <v>2015.0</v>
      </c>
      <c r="H1189" s="46">
        <v>8875.0</v>
      </c>
      <c r="I1189" s="46">
        <v>8509.0</v>
      </c>
      <c r="J1189" s="84">
        <v>3589862.01</v>
      </c>
      <c r="K1189" s="84">
        <v>3103147.21</v>
      </c>
      <c r="L1189" s="84">
        <v>486714.7999999998</v>
      </c>
      <c r="M1189" s="46" t="s">
        <v>167</v>
      </c>
      <c r="N1189" s="46" t="s">
        <v>180</v>
      </c>
      <c r="O1189" s="46" t="s">
        <v>146</v>
      </c>
      <c r="P1189" s="46" t="s">
        <v>147</v>
      </c>
      <c r="Q1189" s="46" t="str">
        <f t="shared" si="1"/>
        <v>March, 2015</v>
      </c>
      <c r="R1189" s="115">
        <f t="shared" si="2"/>
        <v>42064</v>
      </c>
      <c r="S1189" s="49">
        <f t="array" ref="S1189">WEEKDAY(D1189,2)</f>
        <v>2</v>
      </c>
      <c r="T1189" s="46" t="s">
        <v>112</v>
      </c>
      <c r="U1189" s="46" t="str">
        <f t="array" ref="U1189">TEXT(D1189,"dddd")</f>
        <v>Tuesday</v>
      </c>
    </row>
    <row r="1190" hidden="1">
      <c r="A1190" s="46">
        <v>9.04589211E8</v>
      </c>
      <c r="B1190" s="137" t="s">
        <v>223</v>
      </c>
      <c r="C1190" s="137">
        <v>2014.0</v>
      </c>
      <c r="D1190" s="138">
        <v>41742.0</v>
      </c>
      <c r="E1190" s="139">
        <v>41763.0</v>
      </c>
      <c r="F1190" s="142" t="s">
        <v>219</v>
      </c>
      <c r="G1190" s="142">
        <v>2014.0</v>
      </c>
      <c r="H1190" s="46">
        <v>8681.0</v>
      </c>
      <c r="I1190" s="46">
        <v>6905.0</v>
      </c>
      <c r="J1190" s="84">
        <v>4496605.05</v>
      </c>
      <c r="K1190" s="84">
        <v>3624848.8000000003</v>
      </c>
      <c r="L1190" s="84">
        <v>871756.2499999995</v>
      </c>
      <c r="M1190" s="46" t="s">
        <v>153</v>
      </c>
      <c r="N1190" s="46" t="s">
        <v>191</v>
      </c>
      <c r="O1190" s="46" t="s">
        <v>146</v>
      </c>
      <c r="P1190" s="46" t="s">
        <v>147</v>
      </c>
      <c r="Q1190" s="46" t="str">
        <f t="shared" si="1"/>
        <v>April, 2014</v>
      </c>
      <c r="R1190" s="115">
        <f t="shared" si="2"/>
        <v>41730</v>
      </c>
      <c r="S1190" s="49">
        <f t="array" ref="S1190">WEEKDAY(D1190,2)</f>
        <v>7</v>
      </c>
      <c r="T1190" s="46" t="s">
        <v>120</v>
      </c>
      <c r="U1190" s="46" t="str">
        <f t="array" ref="U1190">TEXT(D1190,"dddd")</f>
        <v>Sunday</v>
      </c>
    </row>
    <row r="1191" hidden="1">
      <c r="A1191" s="46">
        <v>9.048128E8</v>
      </c>
      <c r="B1191" s="137" t="s">
        <v>226</v>
      </c>
      <c r="C1191" s="137">
        <v>2011.0</v>
      </c>
      <c r="D1191" s="138">
        <v>40825.0</v>
      </c>
      <c r="E1191" s="139">
        <v>40871.0</v>
      </c>
      <c r="F1191" s="142" t="s">
        <v>224</v>
      </c>
      <c r="G1191" s="142">
        <v>2011.0</v>
      </c>
      <c r="H1191" s="46">
        <v>4594.0</v>
      </c>
      <c r="I1191" s="46">
        <v>3069.0</v>
      </c>
      <c r="J1191" s="84">
        <v>28633.77</v>
      </c>
      <c r="K1191" s="84">
        <v>21237.48</v>
      </c>
      <c r="L1191" s="84">
        <v>7396.290000000001</v>
      </c>
      <c r="M1191" s="46" t="s">
        <v>156</v>
      </c>
      <c r="N1191" s="46" t="s">
        <v>172</v>
      </c>
      <c r="O1191" s="46" t="s">
        <v>146</v>
      </c>
      <c r="P1191" s="46" t="s">
        <v>155</v>
      </c>
      <c r="Q1191" s="46" t="str">
        <f t="shared" si="1"/>
        <v>October, 2011</v>
      </c>
      <c r="R1191" s="115">
        <f t="shared" si="2"/>
        <v>40817</v>
      </c>
      <c r="S1191" s="49">
        <f t="array" ref="S1191">WEEKDAY(D1191,2)</f>
        <v>7</v>
      </c>
      <c r="T1191" s="46" t="s">
        <v>105</v>
      </c>
      <c r="U1191" s="46" t="str">
        <f t="array" ref="U1191">TEXT(D1191,"dddd")</f>
        <v>Sunday</v>
      </c>
    </row>
    <row r="1192" hidden="1">
      <c r="A1192" s="46">
        <v>9.05036389E8</v>
      </c>
      <c r="B1192" s="137" t="s">
        <v>224</v>
      </c>
      <c r="C1192" s="137">
        <v>2016.0</v>
      </c>
      <c r="D1192" s="138">
        <v>42675.0</v>
      </c>
      <c r="E1192" s="139">
        <v>42694.0</v>
      </c>
      <c r="F1192" s="142" t="s">
        <v>224</v>
      </c>
      <c r="G1192" s="142">
        <v>2016.0</v>
      </c>
      <c r="H1192" s="46">
        <v>2103.0</v>
      </c>
      <c r="I1192" s="46">
        <v>9234.0</v>
      </c>
      <c r="J1192" s="84">
        <v>1899433.7999999998</v>
      </c>
      <c r="K1192" s="84">
        <v>1081393.74</v>
      </c>
      <c r="L1192" s="84">
        <v>818040.0599999998</v>
      </c>
      <c r="M1192" s="46" t="s">
        <v>144</v>
      </c>
      <c r="N1192" s="46" t="s">
        <v>173</v>
      </c>
      <c r="O1192" s="46" t="s">
        <v>146</v>
      </c>
      <c r="P1192" s="46" t="s">
        <v>155</v>
      </c>
      <c r="Q1192" s="46" t="str">
        <f t="shared" si="1"/>
        <v>November, 2016</v>
      </c>
      <c r="R1192" s="115">
        <f t="shared" si="2"/>
        <v>42675</v>
      </c>
      <c r="S1192" s="49">
        <f t="array" ref="S1192">WEEKDAY(D1192,2)</f>
        <v>2</v>
      </c>
      <c r="T1192" s="46" t="s">
        <v>106</v>
      </c>
      <c r="U1192" s="46" t="str">
        <f t="array" ref="U1192">TEXT(D1192,"dddd")</f>
        <v>Tuesday</v>
      </c>
    </row>
    <row r="1193" hidden="1">
      <c r="A1193" s="46">
        <v>9.05509746E8</v>
      </c>
      <c r="B1193" s="137" t="s">
        <v>226</v>
      </c>
      <c r="C1193" s="137">
        <v>2015.0</v>
      </c>
      <c r="D1193" s="138">
        <v>42290.0</v>
      </c>
      <c r="E1193" s="139">
        <v>42297.0</v>
      </c>
      <c r="F1193" s="142" t="s">
        <v>226</v>
      </c>
      <c r="G1193" s="142">
        <v>2015.0</v>
      </c>
      <c r="H1193" s="46">
        <v>7940.0</v>
      </c>
      <c r="I1193" s="46">
        <v>9311.0</v>
      </c>
      <c r="J1193" s="84">
        <v>6222261.97</v>
      </c>
      <c r="K1193" s="84">
        <v>4679149.94</v>
      </c>
      <c r="L1193" s="84">
        <v>1543112.0299999993</v>
      </c>
      <c r="M1193" s="46" t="s">
        <v>148</v>
      </c>
      <c r="N1193" s="46" t="s">
        <v>190</v>
      </c>
      <c r="O1193" s="46" t="s">
        <v>146</v>
      </c>
      <c r="P1193" s="46" t="s">
        <v>147</v>
      </c>
      <c r="Q1193" s="46" t="str">
        <f t="shared" si="1"/>
        <v>October, 2015</v>
      </c>
      <c r="R1193" s="115">
        <f t="shared" si="2"/>
        <v>42278</v>
      </c>
      <c r="S1193" s="49">
        <f t="array" ref="S1193">WEEKDAY(D1193,2)</f>
        <v>2</v>
      </c>
      <c r="T1193" s="46" t="s">
        <v>119</v>
      </c>
      <c r="U1193" s="46" t="str">
        <f t="array" ref="U1193">TEXT(D1193,"dddd")</f>
        <v>Tuesday</v>
      </c>
    </row>
    <row r="1194" hidden="1">
      <c r="A1194" s="46">
        <v>9.05947482E8</v>
      </c>
      <c r="B1194" s="137" t="s">
        <v>224</v>
      </c>
      <c r="C1194" s="137">
        <v>2015.0</v>
      </c>
      <c r="D1194" s="138">
        <v>42338.0</v>
      </c>
      <c r="E1194" s="139">
        <v>42387.0</v>
      </c>
      <c r="F1194" s="142" t="s">
        <v>227</v>
      </c>
      <c r="G1194" s="142">
        <v>2016.0</v>
      </c>
      <c r="H1194" s="46">
        <v>2103.0</v>
      </c>
      <c r="I1194" s="46">
        <v>8847.0</v>
      </c>
      <c r="J1194" s="84">
        <v>1819827.9</v>
      </c>
      <c r="K1194" s="84">
        <v>1036072.17</v>
      </c>
      <c r="L1194" s="84">
        <v>783755.7299999999</v>
      </c>
      <c r="M1194" s="46" t="s">
        <v>144</v>
      </c>
      <c r="N1194" s="46" t="s">
        <v>205</v>
      </c>
      <c r="O1194" s="46" t="s">
        <v>146</v>
      </c>
      <c r="P1194" s="46" t="s">
        <v>170</v>
      </c>
      <c r="Q1194" s="46" t="str">
        <f t="shared" si="1"/>
        <v>November, 2015</v>
      </c>
      <c r="R1194" s="115">
        <f t="shared" si="2"/>
        <v>42309</v>
      </c>
      <c r="S1194" s="49">
        <f t="array" ref="S1194">WEEKDAY(D1194,2)</f>
        <v>1</v>
      </c>
      <c r="T1194" s="46" t="s">
        <v>135</v>
      </c>
      <c r="U1194" s="46" t="str">
        <f t="array" ref="U1194">TEXT(D1194,"dddd")</f>
        <v>Monday</v>
      </c>
    </row>
    <row r="1195" hidden="1">
      <c r="A1195" s="46">
        <v>9.06345736E8</v>
      </c>
      <c r="B1195" s="137" t="s">
        <v>226</v>
      </c>
      <c r="C1195" s="137">
        <v>2012.0</v>
      </c>
      <c r="D1195" s="138">
        <v>41200.0</v>
      </c>
      <c r="E1195" s="139">
        <v>41234.0</v>
      </c>
      <c r="F1195" s="142" t="s">
        <v>224</v>
      </c>
      <c r="G1195" s="142">
        <v>2012.0</v>
      </c>
      <c r="H1195" s="46">
        <v>1270.0</v>
      </c>
      <c r="I1195" s="46">
        <v>6699.0</v>
      </c>
      <c r="J1195" s="84">
        <v>317867.55000000005</v>
      </c>
      <c r="K1195" s="84">
        <v>212961.21</v>
      </c>
      <c r="L1195" s="84">
        <v>104906.34000000005</v>
      </c>
      <c r="M1195" s="46" t="s">
        <v>152</v>
      </c>
      <c r="N1195" s="46" t="s">
        <v>192</v>
      </c>
      <c r="O1195" s="46" t="s">
        <v>146</v>
      </c>
      <c r="P1195" s="46" t="s">
        <v>158</v>
      </c>
      <c r="Q1195" s="46" t="str">
        <f t="shared" si="1"/>
        <v>October, 2012</v>
      </c>
      <c r="R1195" s="115">
        <f t="shared" si="2"/>
        <v>41183</v>
      </c>
      <c r="S1195" s="49">
        <f t="array" ref="S1195">WEEKDAY(D1195,2)</f>
        <v>4</v>
      </c>
      <c r="T1195" s="46" t="s">
        <v>121</v>
      </c>
      <c r="U1195" s="46" t="str">
        <f t="array" ref="U1195">TEXT(D1195,"dddd")</f>
        <v>Thursday</v>
      </c>
    </row>
    <row r="1196" hidden="1">
      <c r="A1196" s="46">
        <v>9.06508815E8</v>
      </c>
      <c r="B1196" s="137" t="s">
        <v>227</v>
      </c>
      <c r="C1196" s="137">
        <v>2014.0</v>
      </c>
      <c r="D1196" s="138">
        <v>41652.0</v>
      </c>
      <c r="E1196" s="139">
        <v>41662.0</v>
      </c>
      <c r="F1196" s="142" t="s">
        <v>227</v>
      </c>
      <c r="G1196" s="142">
        <v>2014.0</v>
      </c>
      <c r="H1196" s="46">
        <v>2455.0</v>
      </c>
      <c r="I1196" s="46">
        <v>4958.0</v>
      </c>
      <c r="J1196" s="84">
        <v>541810.24</v>
      </c>
      <c r="K1196" s="84">
        <v>177694.72000000003</v>
      </c>
      <c r="L1196" s="84">
        <v>364115.51999999996</v>
      </c>
      <c r="M1196" s="46" t="s">
        <v>150</v>
      </c>
      <c r="N1196" s="46" t="s">
        <v>162</v>
      </c>
      <c r="O1196" s="46" t="s">
        <v>146</v>
      </c>
      <c r="P1196" s="46" t="s">
        <v>147</v>
      </c>
      <c r="Q1196" s="46" t="str">
        <f t="shared" si="1"/>
        <v>January, 2014</v>
      </c>
      <c r="R1196" s="115">
        <f t="shared" si="2"/>
        <v>41640</v>
      </c>
      <c r="S1196" s="49">
        <f t="array" ref="S1196">WEEKDAY(D1196,2)</f>
        <v>1</v>
      </c>
      <c r="T1196" s="46" t="s">
        <v>99</v>
      </c>
      <c r="U1196" s="46" t="str">
        <f t="array" ref="U1196">TEXT(D1196,"dddd")</f>
        <v>Monday</v>
      </c>
    </row>
    <row r="1197" hidden="1">
      <c r="A1197" s="46">
        <v>9.06794202E8</v>
      </c>
      <c r="B1197" s="137" t="s">
        <v>223</v>
      </c>
      <c r="C1197" s="137">
        <v>2014.0</v>
      </c>
      <c r="D1197" s="138">
        <v>41751.0</v>
      </c>
      <c r="E1197" s="139">
        <v>41770.0</v>
      </c>
      <c r="F1197" s="142" t="s">
        <v>219</v>
      </c>
      <c r="G1197" s="142">
        <v>2014.0</v>
      </c>
      <c r="H1197" s="46">
        <v>2455.0</v>
      </c>
      <c r="I1197" s="46">
        <v>9410.0</v>
      </c>
      <c r="J1197" s="84">
        <v>1028324.8</v>
      </c>
      <c r="K1197" s="84">
        <v>337254.4</v>
      </c>
      <c r="L1197" s="84">
        <v>691070.4</v>
      </c>
      <c r="M1197" s="46" t="s">
        <v>150</v>
      </c>
      <c r="N1197" s="46" t="s">
        <v>201</v>
      </c>
      <c r="O1197" s="46" t="s">
        <v>146</v>
      </c>
      <c r="P1197" s="46" t="s">
        <v>170</v>
      </c>
      <c r="Q1197" s="46" t="str">
        <f t="shared" si="1"/>
        <v>April, 2014</v>
      </c>
      <c r="R1197" s="115">
        <f t="shared" si="2"/>
        <v>41730</v>
      </c>
      <c r="S1197" s="49">
        <f t="array" ref="S1197">WEEKDAY(D1197,2)</f>
        <v>2</v>
      </c>
      <c r="T1197" s="46" t="s">
        <v>130</v>
      </c>
      <c r="U1197" s="46" t="str">
        <f t="array" ref="U1197">TEXT(D1197,"dddd")</f>
        <v>Tuesday</v>
      </c>
    </row>
    <row r="1198">
      <c r="A1198" s="46">
        <v>9.07047402E8</v>
      </c>
      <c r="B1198" s="137" t="s">
        <v>220</v>
      </c>
      <c r="C1198" s="137">
        <v>2010.0</v>
      </c>
      <c r="D1198" s="138">
        <v>40342.0</v>
      </c>
      <c r="E1198" s="139">
        <v>40391.0</v>
      </c>
      <c r="F1198" s="142" t="s">
        <v>216</v>
      </c>
      <c r="G1198" s="142">
        <v>2010.0</v>
      </c>
      <c r="H1198" s="46">
        <v>8875.0</v>
      </c>
      <c r="I1198" s="46">
        <v>4338.0</v>
      </c>
      <c r="J1198" s="84">
        <v>1830158.8199999998</v>
      </c>
      <c r="K1198" s="84">
        <v>1582025.22</v>
      </c>
      <c r="L1198" s="84">
        <v>248133.59999999986</v>
      </c>
      <c r="M1198" s="46" t="s">
        <v>167</v>
      </c>
      <c r="N1198" s="46" t="s">
        <v>149</v>
      </c>
      <c r="O1198" s="46" t="s">
        <v>149</v>
      </c>
      <c r="P1198" s="46" t="s">
        <v>218</v>
      </c>
      <c r="Q1198" s="46" t="str">
        <f t="shared" si="1"/>
        <v>June, 2010</v>
      </c>
      <c r="R1198" s="115">
        <f t="shared" si="2"/>
        <v>40330</v>
      </c>
      <c r="S1198" s="49">
        <f t="array" ref="S1198">WEEKDAY(D1198,2)</f>
        <v>7</v>
      </c>
      <c r="T1198" s="46" t="s">
        <v>92</v>
      </c>
      <c r="U1198" s="46" t="str">
        <f t="array" ref="U1198">TEXT(D1198,"dddd")</f>
        <v>Sunday</v>
      </c>
    </row>
    <row r="1199" hidden="1">
      <c r="A1199" s="46">
        <v>9.07349526E8</v>
      </c>
      <c r="B1199" s="137" t="s">
        <v>223</v>
      </c>
      <c r="C1199" s="137">
        <v>2012.0</v>
      </c>
      <c r="D1199" s="138">
        <v>41004.0</v>
      </c>
      <c r="E1199" s="139">
        <v>41045.0</v>
      </c>
      <c r="F1199" s="142" t="s">
        <v>219</v>
      </c>
      <c r="G1199" s="142">
        <v>2012.0</v>
      </c>
      <c r="H1199" s="46">
        <v>8293.0</v>
      </c>
      <c r="I1199" s="46">
        <v>3743.0</v>
      </c>
      <c r="J1199" s="84">
        <v>1636439.5999999999</v>
      </c>
      <c r="K1199" s="84">
        <v>985644.19</v>
      </c>
      <c r="L1199" s="84">
        <v>650795.4099999999</v>
      </c>
      <c r="M1199" s="46" t="s">
        <v>178</v>
      </c>
      <c r="N1199" s="46" t="s">
        <v>207</v>
      </c>
      <c r="O1199" s="46" t="s">
        <v>146</v>
      </c>
      <c r="P1199" s="46" t="s">
        <v>170</v>
      </c>
      <c r="Q1199" s="46" t="str">
        <f t="shared" si="1"/>
        <v>April, 2012</v>
      </c>
      <c r="R1199" s="115">
        <f t="shared" si="2"/>
        <v>41000</v>
      </c>
      <c r="S1199" s="49">
        <f t="array" ref="S1199">WEEKDAY(D1199,2)</f>
        <v>4</v>
      </c>
      <c r="T1199" s="46" t="s">
        <v>137</v>
      </c>
      <c r="U1199" s="46" t="str">
        <f t="array" ref="U1199">TEXT(D1199,"dddd")</f>
        <v>Thursday</v>
      </c>
    </row>
    <row r="1200" hidden="1">
      <c r="A1200" s="46">
        <v>9.07691991E8</v>
      </c>
      <c r="B1200" s="137" t="s">
        <v>228</v>
      </c>
      <c r="C1200" s="137">
        <v>2014.0</v>
      </c>
      <c r="D1200" s="138">
        <v>41676.0</v>
      </c>
      <c r="E1200" s="139">
        <v>41707.0</v>
      </c>
      <c r="F1200" s="142" t="s">
        <v>222</v>
      </c>
      <c r="G1200" s="142">
        <v>2014.0</v>
      </c>
      <c r="H1200" s="46">
        <v>2103.0</v>
      </c>
      <c r="I1200" s="46">
        <v>5086.0</v>
      </c>
      <c r="J1200" s="84">
        <v>1046190.2</v>
      </c>
      <c r="K1200" s="84">
        <v>595621.46</v>
      </c>
      <c r="L1200" s="84">
        <v>450568.74</v>
      </c>
      <c r="M1200" s="46" t="s">
        <v>144</v>
      </c>
      <c r="N1200" s="46" t="s">
        <v>177</v>
      </c>
      <c r="O1200" s="46" t="s">
        <v>146</v>
      </c>
      <c r="P1200" s="46" t="s">
        <v>170</v>
      </c>
      <c r="Q1200" s="46" t="str">
        <f t="shared" si="1"/>
        <v>February, 2014</v>
      </c>
      <c r="R1200" s="115">
        <f t="shared" si="2"/>
        <v>41671</v>
      </c>
      <c r="S1200" s="49">
        <f t="array" ref="S1200">WEEKDAY(D1200,2)</f>
        <v>4</v>
      </c>
      <c r="T1200" s="46" t="s">
        <v>110</v>
      </c>
      <c r="U1200" s="46" t="str">
        <f t="array" ref="U1200">TEXT(D1200,"dddd")</f>
        <v>Thursday</v>
      </c>
    </row>
    <row r="1201" hidden="1">
      <c r="A1201" s="46">
        <v>9.10610234E8</v>
      </c>
      <c r="B1201" s="137" t="s">
        <v>217</v>
      </c>
      <c r="C1201" s="137">
        <v>2017.0</v>
      </c>
      <c r="D1201" s="138">
        <v>42919.0</v>
      </c>
      <c r="E1201" s="139">
        <v>42947.0</v>
      </c>
      <c r="F1201" s="142" t="s">
        <v>217</v>
      </c>
      <c r="G1201" s="142">
        <v>2017.0</v>
      </c>
      <c r="H1201" s="46">
        <v>8293.0</v>
      </c>
      <c r="I1201" s="46">
        <v>8659.0</v>
      </c>
      <c r="J1201" s="84">
        <v>3785714.8</v>
      </c>
      <c r="K1201" s="84">
        <v>2280174.4699999997</v>
      </c>
      <c r="L1201" s="84">
        <v>1505540.33</v>
      </c>
      <c r="M1201" s="46" t="s">
        <v>178</v>
      </c>
      <c r="N1201" s="46" t="s">
        <v>203</v>
      </c>
      <c r="O1201" s="46" t="s">
        <v>146</v>
      </c>
      <c r="P1201" s="46" t="s">
        <v>170</v>
      </c>
      <c r="Q1201" s="46" t="str">
        <f t="shared" si="1"/>
        <v>July, 2017</v>
      </c>
      <c r="R1201" s="115">
        <f t="shared" si="2"/>
        <v>42917</v>
      </c>
      <c r="S1201" s="49">
        <f t="array" ref="S1201">WEEKDAY(D1201,2)</f>
        <v>1</v>
      </c>
      <c r="T1201" s="46" t="s">
        <v>132</v>
      </c>
      <c r="U1201" s="46" t="str">
        <f t="array" ref="U1201">TEXT(D1201,"dddd")</f>
        <v>Monday</v>
      </c>
    </row>
    <row r="1202" hidden="1">
      <c r="A1202" s="46">
        <v>9.1088618E8</v>
      </c>
      <c r="B1202" s="137" t="s">
        <v>219</v>
      </c>
      <c r="C1202" s="137">
        <v>2015.0</v>
      </c>
      <c r="D1202" s="138">
        <v>42134.0</v>
      </c>
      <c r="E1202" s="139">
        <v>42165.0</v>
      </c>
      <c r="F1202" s="142" t="s">
        <v>220</v>
      </c>
      <c r="G1202" s="142">
        <v>2015.0</v>
      </c>
      <c r="H1202" s="46">
        <v>1270.0</v>
      </c>
      <c r="I1202" s="46">
        <v>317.0</v>
      </c>
      <c r="J1202" s="84">
        <v>15041.650000000001</v>
      </c>
      <c r="K1202" s="84">
        <v>10077.43</v>
      </c>
      <c r="L1202" s="84">
        <v>4964.220000000001</v>
      </c>
      <c r="M1202" s="46" t="s">
        <v>152</v>
      </c>
      <c r="N1202" s="46" t="s">
        <v>172</v>
      </c>
      <c r="O1202" s="46" t="s">
        <v>146</v>
      </c>
      <c r="P1202" s="46" t="s">
        <v>155</v>
      </c>
      <c r="Q1202" s="46" t="str">
        <f t="shared" si="1"/>
        <v>May, 2015</v>
      </c>
      <c r="R1202" s="115">
        <f t="shared" si="2"/>
        <v>42125</v>
      </c>
      <c r="S1202" s="49">
        <f t="array" ref="S1202">WEEKDAY(D1202,2)</f>
        <v>7</v>
      </c>
      <c r="T1202" s="46" t="s">
        <v>105</v>
      </c>
      <c r="U1202" s="46" t="str">
        <f t="array" ref="U1202">TEXT(D1202,"dddd")</f>
        <v>Sunday</v>
      </c>
    </row>
    <row r="1203" hidden="1">
      <c r="A1203" s="46">
        <v>9.11891257E8</v>
      </c>
      <c r="B1203" s="137" t="s">
        <v>226</v>
      </c>
      <c r="C1203" s="137">
        <v>2013.0</v>
      </c>
      <c r="D1203" s="138">
        <v>41555.0</v>
      </c>
      <c r="E1203" s="139">
        <v>41579.0</v>
      </c>
      <c r="F1203" s="142" t="s">
        <v>224</v>
      </c>
      <c r="G1203" s="142">
        <v>2013.0</v>
      </c>
      <c r="H1203" s="46">
        <v>4594.0</v>
      </c>
      <c r="I1203" s="46">
        <v>7742.0</v>
      </c>
      <c r="J1203" s="84">
        <v>72232.86</v>
      </c>
      <c r="K1203" s="84">
        <v>53574.64</v>
      </c>
      <c r="L1203" s="84">
        <v>18658.22</v>
      </c>
      <c r="M1203" s="46" t="s">
        <v>156</v>
      </c>
      <c r="N1203" s="46" t="s">
        <v>196</v>
      </c>
      <c r="O1203" s="46" t="s">
        <v>146</v>
      </c>
      <c r="P1203" s="46" t="s">
        <v>155</v>
      </c>
      <c r="Q1203" s="46" t="str">
        <f t="shared" si="1"/>
        <v>October, 2013</v>
      </c>
      <c r="R1203" s="115">
        <f t="shared" si="2"/>
        <v>41548</v>
      </c>
      <c r="S1203" s="49">
        <f t="array" ref="S1203">WEEKDAY(D1203,2)</f>
        <v>2</v>
      </c>
      <c r="T1203" s="46" t="s">
        <v>125</v>
      </c>
      <c r="U1203" s="46" t="str">
        <f t="array" ref="U1203">TEXT(D1203,"dddd")</f>
        <v>Tuesday</v>
      </c>
    </row>
    <row r="1204" hidden="1">
      <c r="A1204" s="46">
        <v>9.13074433E8</v>
      </c>
      <c r="B1204" s="137" t="s">
        <v>224</v>
      </c>
      <c r="C1204" s="137">
        <v>2013.0</v>
      </c>
      <c r="D1204" s="138">
        <v>41580.0</v>
      </c>
      <c r="E1204" s="139">
        <v>41625.0</v>
      </c>
      <c r="F1204" s="142" t="s">
        <v>225</v>
      </c>
      <c r="G1204" s="142">
        <v>2013.0</v>
      </c>
      <c r="H1204" s="46">
        <v>3127.0</v>
      </c>
      <c r="I1204" s="46">
        <v>7870.0</v>
      </c>
      <c r="J1204" s="84">
        <v>643215.1</v>
      </c>
      <c r="K1204" s="84">
        <v>445992.9</v>
      </c>
      <c r="L1204" s="84">
        <v>197222.19999999995</v>
      </c>
      <c r="M1204" s="46" t="s">
        <v>185</v>
      </c>
      <c r="N1204" s="46" t="s">
        <v>195</v>
      </c>
      <c r="O1204" s="46" t="s">
        <v>146</v>
      </c>
      <c r="P1204" s="46" t="s">
        <v>170</v>
      </c>
      <c r="Q1204" s="46" t="str">
        <f t="shared" si="1"/>
        <v>November, 2013</v>
      </c>
      <c r="R1204" s="115">
        <f t="shared" si="2"/>
        <v>41579</v>
      </c>
      <c r="S1204" s="49">
        <f t="array" ref="S1204">WEEKDAY(D1204,2)</f>
        <v>6</v>
      </c>
      <c r="T1204" s="46" t="s">
        <v>124</v>
      </c>
      <c r="U1204" s="46" t="str">
        <f t="array" ref="U1204">TEXT(D1204,"dddd")</f>
        <v>Saturday</v>
      </c>
    </row>
    <row r="1205" hidden="1">
      <c r="A1205" s="46">
        <v>9.13729751E8</v>
      </c>
      <c r="B1205" s="137" t="s">
        <v>223</v>
      </c>
      <c r="C1205" s="137">
        <v>2011.0</v>
      </c>
      <c r="D1205" s="138">
        <v>40651.0</v>
      </c>
      <c r="E1205" s="139">
        <v>40672.0</v>
      </c>
      <c r="F1205" s="142" t="s">
        <v>219</v>
      </c>
      <c r="G1205" s="142">
        <v>2011.0</v>
      </c>
      <c r="H1205" s="46">
        <v>8875.0</v>
      </c>
      <c r="I1205" s="46">
        <v>1793.0</v>
      </c>
      <c r="J1205" s="84">
        <v>756448.77</v>
      </c>
      <c r="K1205" s="84">
        <v>653889.17</v>
      </c>
      <c r="L1205" s="84">
        <v>102559.59999999998</v>
      </c>
      <c r="M1205" s="46" t="s">
        <v>167</v>
      </c>
      <c r="N1205" s="46" t="s">
        <v>168</v>
      </c>
      <c r="O1205" s="46" t="s">
        <v>165</v>
      </c>
      <c r="P1205" s="46" t="s">
        <v>166</v>
      </c>
      <c r="Q1205" s="46" t="str">
        <f t="shared" si="1"/>
        <v>April, 2011</v>
      </c>
      <c r="R1205" s="115">
        <f t="shared" si="2"/>
        <v>40634</v>
      </c>
      <c r="S1205" s="49">
        <f t="array" ref="S1205">WEEKDAY(D1205,2)</f>
        <v>1</v>
      </c>
      <c r="T1205" s="46" t="s">
        <v>102</v>
      </c>
      <c r="U1205" s="46" t="str">
        <f t="array" ref="U1205">TEXT(D1205,"dddd")</f>
        <v>Monday</v>
      </c>
    </row>
    <row r="1206" hidden="1">
      <c r="A1206" s="46">
        <v>9.16089236E8</v>
      </c>
      <c r="B1206" s="137" t="s">
        <v>220</v>
      </c>
      <c r="C1206" s="137">
        <v>2014.0</v>
      </c>
      <c r="D1206" s="138">
        <v>41817.0</v>
      </c>
      <c r="E1206" s="139">
        <v>41848.0</v>
      </c>
      <c r="F1206" s="142" t="s">
        <v>217</v>
      </c>
      <c r="G1206" s="142">
        <v>2014.0</v>
      </c>
      <c r="H1206" s="46">
        <v>8293.0</v>
      </c>
      <c r="I1206" s="46">
        <v>17.0</v>
      </c>
      <c r="J1206" s="84">
        <v>7432.4</v>
      </c>
      <c r="K1206" s="84">
        <v>4476.61</v>
      </c>
      <c r="L1206" s="84">
        <v>2955.79</v>
      </c>
      <c r="M1206" s="46" t="s">
        <v>178</v>
      </c>
      <c r="N1206" s="46" t="s">
        <v>176</v>
      </c>
      <c r="O1206" s="46" t="s">
        <v>146</v>
      </c>
      <c r="P1206" s="46" t="s">
        <v>158</v>
      </c>
      <c r="Q1206" s="46" t="str">
        <f t="shared" si="1"/>
        <v>June, 2014</v>
      </c>
      <c r="R1206" s="115">
        <f t="shared" si="2"/>
        <v>41791</v>
      </c>
      <c r="S1206" s="49">
        <f t="array" ref="S1206">WEEKDAY(D1206,2)</f>
        <v>5</v>
      </c>
      <c r="T1206" s="46" t="s">
        <v>109</v>
      </c>
      <c r="U1206" s="46" t="str">
        <f t="array" ref="U1206">TEXT(D1206,"dddd")</f>
        <v>Friday</v>
      </c>
    </row>
    <row r="1207" hidden="1">
      <c r="A1207" s="46">
        <v>9.17485272E8</v>
      </c>
      <c r="B1207" s="137" t="s">
        <v>221</v>
      </c>
      <c r="C1207" s="137">
        <v>2010.0</v>
      </c>
      <c r="D1207" s="138">
        <v>40422.0</v>
      </c>
      <c r="E1207" s="139">
        <v>40454.0</v>
      </c>
      <c r="F1207" s="142" t="s">
        <v>226</v>
      </c>
      <c r="G1207" s="142">
        <v>2010.0</v>
      </c>
      <c r="H1207" s="46">
        <v>7331.0</v>
      </c>
      <c r="I1207" s="46">
        <v>3136.0</v>
      </c>
      <c r="J1207" s="84">
        <v>800558.08</v>
      </c>
      <c r="K1207" s="84">
        <v>499941.11999999994</v>
      </c>
      <c r="L1207" s="84">
        <v>300616.96</v>
      </c>
      <c r="M1207" s="46" t="s">
        <v>161</v>
      </c>
      <c r="N1207" s="46" t="s">
        <v>195</v>
      </c>
      <c r="O1207" s="46" t="s">
        <v>146</v>
      </c>
      <c r="P1207" s="46" t="s">
        <v>170</v>
      </c>
      <c r="Q1207" s="46" t="str">
        <f t="shared" si="1"/>
        <v>September, 2010</v>
      </c>
      <c r="R1207" s="115">
        <f t="shared" si="2"/>
        <v>40422</v>
      </c>
      <c r="S1207" s="49">
        <f t="array" ref="S1207">WEEKDAY(D1207,2)</f>
        <v>3</v>
      </c>
      <c r="T1207" s="46" t="s">
        <v>124</v>
      </c>
      <c r="U1207" s="46" t="str">
        <f t="array" ref="U1207">TEXT(D1207,"dddd")</f>
        <v>Wednesday</v>
      </c>
    </row>
    <row r="1208" hidden="1">
      <c r="A1208" s="46">
        <v>9.17639768E8</v>
      </c>
      <c r="B1208" s="137" t="s">
        <v>226</v>
      </c>
      <c r="C1208" s="137">
        <v>2013.0</v>
      </c>
      <c r="D1208" s="138">
        <v>41578.0</v>
      </c>
      <c r="E1208" s="139">
        <v>41622.0</v>
      </c>
      <c r="F1208" s="142" t="s">
        <v>225</v>
      </c>
      <c r="G1208" s="142">
        <v>2013.0</v>
      </c>
      <c r="H1208" s="46">
        <v>5988.0</v>
      </c>
      <c r="I1208" s="46">
        <v>8854.0</v>
      </c>
      <c r="J1208" s="84">
        <v>1364047.24</v>
      </c>
      <c r="K1208" s="84">
        <v>805094.2200000001</v>
      </c>
      <c r="L1208" s="84">
        <v>558953.0199999999</v>
      </c>
      <c r="M1208" s="46" t="s">
        <v>159</v>
      </c>
      <c r="N1208" s="46" t="s">
        <v>145</v>
      </c>
      <c r="O1208" s="46" t="s">
        <v>146</v>
      </c>
      <c r="P1208" s="46" t="s">
        <v>147</v>
      </c>
      <c r="Q1208" s="46" t="str">
        <f t="shared" si="1"/>
        <v>October, 2013</v>
      </c>
      <c r="R1208" s="115">
        <f t="shared" si="2"/>
        <v>41548</v>
      </c>
      <c r="S1208" s="49">
        <f t="array" ref="S1208">WEEKDAY(D1208,2)</f>
        <v>4</v>
      </c>
      <c r="T1208" s="46" t="s">
        <v>91</v>
      </c>
      <c r="U1208" s="46" t="str">
        <f t="array" ref="U1208">TEXT(D1208,"dddd")</f>
        <v>Thursday</v>
      </c>
    </row>
    <row r="1209" hidden="1">
      <c r="A1209" s="46">
        <v>9.17792117E8</v>
      </c>
      <c r="B1209" s="137" t="s">
        <v>221</v>
      </c>
      <c r="C1209" s="137">
        <v>2013.0</v>
      </c>
      <c r="D1209" s="138">
        <v>41527.0</v>
      </c>
      <c r="E1209" s="139">
        <v>41554.0</v>
      </c>
      <c r="F1209" s="142" t="s">
        <v>226</v>
      </c>
      <c r="G1209" s="142">
        <v>2013.0</v>
      </c>
      <c r="H1209" s="46">
        <v>2455.0</v>
      </c>
      <c r="I1209" s="46">
        <v>3938.0</v>
      </c>
      <c r="J1209" s="84">
        <v>430344.64</v>
      </c>
      <c r="K1209" s="84">
        <v>141137.92</v>
      </c>
      <c r="L1209" s="84">
        <v>289206.72</v>
      </c>
      <c r="M1209" s="46" t="s">
        <v>150</v>
      </c>
      <c r="N1209" s="46" t="s">
        <v>207</v>
      </c>
      <c r="O1209" s="46" t="s">
        <v>146</v>
      </c>
      <c r="P1209" s="46" t="s">
        <v>170</v>
      </c>
      <c r="Q1209" s="46" t="str">
        <f t="shared" si="1"/>
        <v>September, 2013</v>
      </c>
      <c r="R1209" s="115">
        <f t="shared" si="2"/>
        <v>41518</v>
      </c>
      <c r="S1209" s="49">
        <f t="array" ref="S1209">WEEKDAY(D1209,2)</f>
        <v>2</v>
      </c>
      <c r="T1209" s="46" t="s">
        <v>137</v>
      </c>
      <c r="U1209" s="46" t="str">
        <f t="array" ref="U1209">TEXT(D1209,"dddd")</f>
        <v>Tuesday</v>
      </c>
    </row>
    <row r="1210" hidden="1">
      <c r="A1210" s="46">
        <v>9.17835032E8</v>
      </c>
      <c r="B1210" s="137" t="s">
        <v>216</v>
      </c>
      <c r="C1210" s="137">
        <v>2011.0</v>
      </c>
      <c r="D1210" s="138">
        <v>40772.0</v>
      </c>
      <c r="E1210" s="139">
        <v>40822.0</v>
      </c>
      <c r="F1210" s="142" t="s">
        <v>226</v>
      </c>
      <c r="G1210" s="142">
        <v>2011.0</v>
      </c>
      <c r="H1210" s="46">
        <v>5988.0</v>
      </c>
      <c r="I1210" s="46">
        <v>6637.0</v>
      </c>
      <c r="J1210" s="84">
        <v>1022496.22</v>
      </c>
      <c r="K1210" s="84">
        <v>603502.41</v>
      </c>
      <c r="L1210" s="84">
        <v>418993.80999999994</v>
      </c>
      <c r="M1210" s="46" t="s">
        <v>159</v>
      </c>
      <c r="N1210" s="46" t="s">
        <v>189</v>
      </c>
      <c r="O1210" s="46" t="s">
        <v>146</v>
      </c>
      <c r="P1210" s="46" t="s">
        <v>158</v>
      </c>
      <c r="Q1210" s="46" t="str">
        <f t="shared" si="1"/>
        <v>August, 2011</v>
      </c>
      <c r="R1210" s="115">
        <f t="shared" si="2"/>
        <v>40756</v>
      </c>
      <c r="S1210" s="49">
        <f t="array" ref="S1210">WEEKDAY(D1210,2)</f>
        <v>3</v>
      </c>
      <c r="T1210" s="46" t="s">
        <v>118</v>
      </c>
      <c r="U1210" s="46" t="str">
        <f t="array" ref="U1210">TEXT(D1210,"dddd")</f>
        <v>Wednesday</v>
      </c>
    </row>
    <row r="1211" hidden="1">
      <c r="A1211" s="46">
        <v>9.17874085E8</v>
      </c>
      <c r="B1211" s="137" t="s">
        <v>221</v>
      </c>
      <c r="C1211" s="137">
        <v>2012.0</v>
      </c>
      <c r="D1211" s="138">
        <v>41164.0</v>
      </c>
      <c r="E1211" s="139">
        <v>41175.0</v>
      </c>
      <c r="F1211" s="142" t="s">
        <v>221</v>
      </c>
      <c r="G1211" s="142">
        <v>2012.0</v>
      </c>
      <c r="H1211" s="46">
        <v>8875.0</v>
      </c>
      <c r="I1211" s="46">
        <v>8194.0</v>
      </c>
      <c r="J1211" s="84">
        <v>3456966.6599999997</v>
      </c>
      <c r="K1211" s="84">
        <v>2988269.86</v>
      </c>
      <c r="L1211" s="84">
        <v>468696.7999999998</v>
      </c>
      <c r="M1211" s="46" t="s">
        <v>167</v>
      </c>
      <c r="N1211" s="46" t="s">
        <v>183</v>
      </c>
      <c r="O1211" s="46" t="s">
        <v>146</v>
      </c>
      <c r="P1211" s="46" t="s">
        <v>170</v>
      </c>
      <c r="Q1211" s="46" t="str">
        <f t="shared" si="1"/>
        <v>September, 2012</v>
      </c>
      <c r="R1211" s="115">
        <f t="shared" si="2"/>
        <v>41153</v>
      </c>
      <c r="S1211" s="49">
        <f t="array" ref="S1211">WEEKDAY(D1211,2)</f>
        <v>3</v>
      </c>
      <c r="T1211" s="46" t="s">
        <v>90</v>
      </c>
      <c r="U1211" s="46" t="str">
        <f t="array" ref="U1211">TEXT(D1211,"dddd")</f>
        <v>Wednesday</v>
      </c>
    </row>
    <row r="1212" hidden="1">
      <c r="A1212" s="46">
        <v>9.17904984E8</v>
      </c>
      <c r="B1212" s="137" t="s">
        <v>223</v>
      </c>
      <c r="C1212" s="137">
        <v>2010.0</v>
      </c>
      <c r="D1212" s="138">
        <v>40289.0</v>
      </c>
      <c r="E1212" s="139">
        <v>40292.0</v>
      </c>
      <c r="F1212" s="142" t="s">
        <v>223</v>
      </c>
      <c r="G1212" s="142">
        <v>2010.0</v>
      </c>
      <c r="H1212" s="46">
        <v>3127.0</v>
      </c>
      <c r="I1212" s="46">
        <v>7338.0</v>
      </c>
      <c r="J1212" s="84">
        <v>599734.74</v>
      </c>
      <c r="K1212" s="84">
        <v>415844.46</v>
      </c>
      <c r="L1212" s="84">
        <v>183890.27999999997</v>
      </c>
      <c r="M1212" s="46" t="s">
        <v>185</v>
      </c>
      <c r="N1212" s="46" t="s">
        <v>172</v>
      </c>
      <c r="O1212" s="46" t="s">
        <v>146</v>
      </c>
      <c r="P1212" s="46" t="s">
        <v>155</v>
      </c>
      <c r="Q1212" s="46" t="str">
        <f t="shared" si="1"/>
        <v>April, 2010</v>
      </c>
      <c r="R1212" s="115">
        <f t="shared" si="2"/>
        <v>40269</v>
      </c>
      <c r="S1212" s="49">
        <f t="array" ref="S1212">WEEKDAY(D1212,2)</f>
        <v>3</v>
      </c>
      <c r="T1212" s="46" t="s">
        <v>105</v>
      </c>
      <c r="U1212" s="46" t="str">
        <f t="array" ref="U1212">TEXT(D1212,"dddd")</f>
        <v>Wednesday</v>
      </c>
    </row>
    <row r="1213" hidden="1">
      <c r="A1213" s="46">
        <v>9.18364179E8</v>
      </c>
      <c r="B1213" s="137" t="s">
        <v>222</v>
      </c>
      <c r="C1213" s="137">
        <v>2013.0</v>
      </c>
      <c r="D1213" s="138">
        <v>41343.0</v>
      </c>
      <c r="E1213" s="139">
        <v>41375.0</v>
      </c>
      <c r="F1213" s="142" t="s">
        <v>223</v>
      </c>
      <c r="G1213" s="142">
        <v>2013.0</v>
      </c>
      <c r="H1213" s="46">
        <v>8969.0</v>
      </c>
      <c r="I1213" s="46">
        <v>3223.0</v>
      </c>
      <c r="J1213" s="84">
        <v>491765.34</v>
      </c>
      <c r="K1213" s="84">
        <v>314049.12</v>
      </c>
      <c r="L1213" s="84">
        <v>177716.22000000003</v>
      </c>
      <c r="M1213" s="46" t="s">
        <v>182</v>
      </c>
      <c r="N1213" s="46" t="s">
        <v>201</v>
      </c>
      <c r="O1213" s="46" t="s">
        <v>146</v>
      </c>
      <c r="P1213" s="46" t="s">
        <v>170</v>
      </c>
      <c r="Q1213" s="46" t="str">
        <f t="shared" si="1"/>
        <v>March, 2013</v>
      </c>
      <c r="R1213" s="115">
        <f t="shared" si="2"/>
        <v>41334</v>
      </c>
      <c r="S1213" s="49">
        <f t="array" ref="S1213">WEEKDAY(D1213,2)</f>
        <v>7</v>
      </c>
      <c r="T1213" s="46" t="s">
        <v>130</v>
      </c>
      <c r="U1213" s="46" t="str">
        <f t="array" ref="U1213">TEXT(D1213,"dddd")</f>
        <v>Sunday</v>
      </c>
    </row>
    <row r="1214" hidden="1">
      <c r="A1214" s="46">
        <v>9.19133651E8</v>
      </c>
      <c r="B1214" s="137" t="s">
        <v>226</v>
      </c>
      <c r="C1214" s="137">
        <v>2013.0</v>
      </c>
      <c r="D1214" s="138">
        <v>41561.0</v>
      </c>
      <c r="E1214" s="139">
        <v>41582.0</v>
      </c>
      <c r="F1214" s="142" t="s">
        <v>224</v>
      </c>
      <c r="G1214" s="142">
        <v>2013.0</v>
      </c>
      <c r="H1214" s="46">
        <v>2455.0</v>
      </c>
      <c r="I1214" s="46">
        <v>927.0</v>
      </c>
      <c r="J1214" s="84">
        <v>101302.56</v>
      </c>
      <c r="K1214" s="84">
        <v>33223.68</v>
      </c>
      <c r="L1214" s="84">
        <v>68078.88</v>
      </c>
      <c r="M1214" s="46" t="s">
        <v>150</v>
      </c>
      <c r="N1214" s="46" t="s">
        <v>204</v>
      </c>
      <c r="O1214" s="46" t="s">
        <v>146</v>
      </c>
      <c r="P1214" s="46" t="s">
        <v>147</v>
      </c>
      <c r="Q1214" s="46" t="str">
        <f t="shared" si="1"/>
        <v>October, 2013</v>
      </c>
      <c r="R1214" s="115">
        <f t="shared" si="2"/>
        <v>41548</v>
      </c>
      <c r="S1214" s="49">
        <f t="array" ref="S1214">WEEKDAY(D1214,2)</f>
        <v>1</v>
      </c>
      <c r="T1214" s="46" t="s">
        <v>133</v>
      </c>
      <c r="U1214" s="46" t="str">
        <f t="array" ref="U1214">TEXT(D1214,"dddd")</f>
        <v>Monday</v>
      </c>
    </row>
    <row r="1215">
      <c r="A1215" s="46">
        <v>9.19922006E8</v>
      </c>
      <c r="B1215" s="137" t="s">
        <v>216</v>
      </c>
      <c r="C1215" s="137">
        <v>2011.0</v>
      </c>
      <c r="D1215" s="138">
        <v>40782.0</v>
      </c>
      <c r="E1215" s="139">
        <v>40804.0</v>
      </c>
      <c r="F1215" s="142" t="s">
        <v>221</v>
      </c>
      <c r="G1215" s="142">
        <v>2011.0</v>
      </c>
      <c r="H1215" s="46">
        <v>4594.0</v>
      </c>
      <c r="I1215" s="46">
        <v>4219.0</v>
      </c>
      <c r="J1215" s="84">
        <v>39363.27</v>
      </c>
      <c r="K1215" s="84">
        <v>29195.48</v>
      </c>
      <c r="L1215" s="84">
        <v>10167.789999999997</v>
      </c>
      <c r="M1215" s="46" t="s">
        <v>156</v>
      </c>
      <c r="N1215" s="46" t="s">
        <v>149</v>
      </c>
      <c r="O1215" s="46" t="s">
        <v>149</v>
      </c>
      <c r="P1215" s="46" t="s">
        <v>218</v>
      </c>
      <c r="Q1215" s="46" t="str">
        <f t="shared" si="1"/>
        <v>August, 2011</v>
      </c>
      <c r="R1215" s="115">
        <f t="shared" si="2"/>
        <v>40756</v>
      </c>
      <c r="S1215" s="49">
        <f t="array" ref="S1215">WEEKDAY(D1215,2)</f>
        <v>6</v>
      </c>
      <c r="T1215" s="46" t="s">
        <v>92</v>
      </c>
      <c r="U1215" s="46" t="str">
        <f t="array" ref="U1215">TEXT(D1215,"dddd")</f>
        <v>Saturday</v>
      </c>
    </row>
    <row r="1216" hidden="1">
      <c r="A1216" s="46">
        <v>9.2001127E8</v>
      </c>
      <c r="B1216" s="137" t="s">
        <v>219</v>
      </c>
      <c r="C1216" s="137">
        <v>2017.0</v>
      </c>
      <c r="D1216" s="138">
        <v>42864.0</v>
      </c>
      <c r="E1216" s="139">
        <v>42898.0</v>
      </c>
      <c r="F1216" s="142" t="s">
        <v>220</v>
      </c>
      <c r="G1216" s="142">
        <v>2017.0</v>
      </c>
      <c r="H1216" s="46">
        <v>8875.0</v>
      </c>
      <c r="I1216" s="46">
        <v>634.0</v>
      </c>
      <c r="J1216" s="84">
        <v>267478.26</v>
      </c>
      <c r="K1216" s="84">
        <v>231213.46</v>
      </c>
      <c r="L1216" s="84">
        <v>36264.80000000002</v>
      </c>
      <c r="M1216" s="46" t="s">
        <v>167</v>
      </c>
      <c r="N1216" s="46" t="s">
        <v>184</v>
      </c>
      <c r="O1216" s="46" t="s">
        <v>146</v>
      </c>
      <c r="P1216" s="46" t="s">
        <v>155</v>
      </c>
      <c r="Q1216" s="46" t="str">
        <f t="shared" si="1"/>
        <v>May, 2017</v>
      </c>
      <c r="R1216" s="115">
        <f t="shared" si="2"/>
        <v>42856</v>
      </c>
      <c r="S1216" s="49">
        <f t="array" ref="S1216">WEEKDAY(D1216,2)</f>
        <v>2</v>
      </c>
      <c r="T1216" s="46" t="s">
        <v>114</v>
      </c>
      <c r="U1216" s="46" t="str">
        <f t="array" ref="U1216">TEXT(D1216,"dddd")</f>
        <v>Tuesday</v>
      </c>
    </row>
    <row r="1217" hidden="1">
      <c r="A1217" s="46">
        <v>9.20688903E8</v>
      </c>
      <c r="B1217" s="137" t="s">
        <v>219</v>
      </c>
      <c r="C1217" s="137">
        <v>2014.0</v>
      </c>
      <c r="D1217" s="138">
        <v>41764.0</v>
      </c>
      <c r="E1217" s="139">
        <v>41802.0</v>
      </c>
      <c r="F1217" s="142" t="s">
        <v>220</v>
      </c>
      <c r="G1217" s="142">
        <v>2014.0</v>
      </c>
      <c r="H1217" s="46">
        <v>7331.0</v>
      </c>
      <c r="I1217" s="46">
        <v>1161.0</v>
      </c>
      <c r="J1217" s="84">
        <v>296380.08</v>
      </c>
      <c r="K1217" s="84">
        <v>185086.62</v>
      </c>
      <c r="L1217" s="84">
        <v>111293.46000000002</v>
      </c>
      <c r="M1217" s="46" t="s">
        <v>161</v>
      </c>
      <c r="N1217" s="46" t="s">
        <v>181</v>
      </c>
      <c r="O1217" s="46" t="s">
        <v>146</v>
      </c>
      <c r="P1217" s="46" t="s">
        <v>155</v>
      </c>
      <c r="Q1217" s="46" t="str">
        <f t="shared" si="1"/>
        <v>May, 2014</v>
      </c>
      <c r="R1217" s="115">
        <f t="shared" si="2"/>
        <v>41760</v>
      </c>
      <c r="S1217" s="49">
        <f t="array" ref="S1217">WEEKDAY(D1217,2)</f>
        <v>1</v>
      </c>
      <c r="T1217" s="46" t="s">
        <v>113</v>
      </c>
      <c r="U1217" s="46" t="str">
        <f t="array" ref="U1217">TEXT(D1217,"dddd")</f>
        <v>Monday</v>
      </c>
    </row>
    <row r="1218" hidden="1">
      <c r="A1218" s="46">
        <v>9.21133935E8</v>
      </c>
      <c r="B1218" s="137" t="s">
        <v>216</v>
      </c>
      <c r="C1218" s="137">
        <v>2013.0</v>
      </c>
      <c r="D1218" s="138">
        <v>41491.0</v>
      </c>
      <c r="E1218" s="139">
        <v>41497.0</v>
      </c>
      <c r="F1218" s="142" t="s">
        <v>216</v>
      </c>
      <c r="G1218" s="142">
        <v>2013.0</v>
      </c>
      <c r="H1218" s="46">
        <v>8969.0</v>
      </c>
      <c r="I1218" s="46">
        <v>2856.0</v>
      </c>
      <c r="J1218" s="84">
        <v>435768.48000000004</v>
      </c>
      <c r="K1218" s="84">
        <v>278288.64</v>
      </c>
      <c r="L1218" s="84">
        <v>157479.84000000003</v>
      </c>
      <c r="M1218" s="46" t="s">
        <v>182</v>
      </c>
      <c r="N1218" s="46" t="s">
        <v>176</v>
      </c>
      <c r="O1218" s="46" t="s">
        <v>146</v>
      </c>
      <c r="P1218" s="46" t="s">
        <v>158</v>
      </c>
      <c r="Q1218" s="46" t="str">
        <f t="shared" si="1"/>
        <v>August, 2013</v>
      </c>
      <c r="R1218" s="115">
        <f t="shared" si="2"/>
        <v>41487</v>
      </c>
      <c r="S1218" s="49">
        <f t="array" ref="S1218">WEEKDAY(D1218,2)</f>
        <v>1</v>
      </c>
      <c r="T1218" s="46" t="s">
        <v>109</v>
      </c>
      <c r="U1218" s="46" t="str">
        <f t="array" ref="U1218">TEXT(D1218,"dddd")</f>
        <v>Monday</v>
      </c>
    </row>
    <row r="1219" hidden="1">
      <c r="A1219" s="46">
        <v>9.21230065E8</v>
      </c>
      <c r="B1219" s="137" t="s">
        <v>222</v>
      </c>
      <c r="C1219" s="137">
        <v>2016.0</v>
      </c>
      <c r="D1219" s="138">
        <v>42456.0</v>
      </c>
      <c r="E1219" s="139">
        <v>42506.0</v>
      </c>
      <c r="F1219" s="142" t="s">
        <v>219</v>
      </c>
      <c r="G1219" s="142">
        <v>2016.0</v>
      </c>
      <c r="H1219" s="46">
        <v>7331.0</v>
      </c>
      <c r="I1219" s="46">
        <v>1303.0</v>
      </c>
      <c r="J1219" s="84">
        <v>332629.84</v>
      </c>
      <c r="K1219" s="84">
        <v>207724.25999999998</v>
      </c>
      <c r="L1219" s="84">
        <v>124905.58000000005</v>
      </c>
      <c r="M1219" s="46" t="s">
        <v>161</v>
      </c>
      <c r="N1219" s="46" t="s">
        <v>186</v>
      </c>
      <c r="O1219" s="46" t="s">
        <v>146</v>
      </c>
      <c r="P1219" s="46" t="s">
        <v>147</v>
      </c>
      <c r="Q1219" s="46" t="str">
        <f t="shared" si="1"/>
        <v>March, 2016</v>
      </c>
      <c r="R1219" s="115">
        <f t="shared" si="2"/>
        <v>42430</v>
      </c>
      <c r="S1219" s="49">
        <f t="array" ref="S1219">WEEKDAY(D1219,2)</f>
        <v>7</v>
      </c>
      <c r="T1219" s="46" t="s">
        <v>115</v>
      </c>
      <c r="U1219" s="46" t="str">
        <f t="array" ref="U1219">TEXT(D1219,"dddd")</f>
        <v>Sunday</v>
      </c>
    </row>
    <row r="1220" hidden="1">
      <c r="A1220" s="46">
        <v>9.2169398E8</v>
      </c>
      <c r="B1220" s="137" t="s">
        <v>226</v>
      </c>
      <c r="C1220" s="137">
        <v>2012.0</v>
      </c>
      <c r="D1220" s="138">
        <v>41186.0</v>
      </c>
      <c r="E1220" s="139">
        <v>41217.0</v>
      </c>
      <c r="F1220" s="142" t="s">
        <v>224</v>
      </c>
      <c r="G1220" s="142">
        <v>2012.0</v>
      </c>
      <c r="H1220" s="46">
        <v>5988.0</v>
      </c>
      <c r="I1220" s="46">
        <v>8586.0</v>
      </c>
      <c r="J1220" s="84">
        <v>1322759.16</v>
      </c>
      <c r="K1220" s="84">
        <v>780724.9800000001</v>
      </c>
      <c r="L1220" s="84">
        <v>542034.1799999998</v>
      </c>
      <c r="M1220" s="46" t="s">
        <v>159</v>
      </c>
      <c r="N1220" s="46" t="s">
        <v>208</v>
      </c>
      <c r="O1220" s="46" t="s">
        <v>146</v>
      </c>
      <c r="P1220" s="46" t="s">
        <v>147</v>
      </c>
      <c r="Q1220" s="46" t="str">
        <f t="shared" si="1"/>
        <v>October, 2012</v>
      </c>
      <c r="R1220" s="115">
        <f t="shared" si="2"/>
        <v>41183</v>
      </c>
      <c r="S1220" s="49">
        <f t="array" ref="S1220">WEEKDAY(D1220,2)</f>
        <v>4</v>
      </c>
      <c r="T1220" s="46" t="s">
        <v>138</v>
      </c>
      <c r="U1220" s="46" t="str">
        <f t="array" ref="U1220">TEXT(D1220,"dddd")</f>
        <v>Thursday</v>
      </c>
    </row>
    <row r="1221" hidden="1">
      <c r="A1221" s="46">
        <v>9.2236346E8</v>
      </c>
      <c r="B1221" s="137" t="s">
        <v>224</v>
      </c>
      <c r="C1221" s="137">
        <v>2013.0</v>
      </c>
      <c r="D1221" s="138">
        <v>41585.0</v>
      </c>
      <c r="E1221" s="139">
        <v>41601.0</v>
      </c>
      <c r="F1221" s="142" t="s">
        <v>224</v>
      </c>
      <c r="G1221" s="142">
        <v>2013.0</v>
      </c>
      <c r="H1221" s="46">
        <v>2455.0</v>
      </c>
      <c r="I1221" s="46">
        <v>6700.0</v>
      </c>
      <c r="J1221" s="84">
        <v>732176.0</v>
      </c>
      <c r="K1221" s="84">
        <v>240128.00000000003</v>
      </c>
      <c r="L1221" s="84">
        <v>492048.0</v>
      </c>
      <c r="M1221" s="46" t="s">
        <v>150</v>
      </c>
      <c r="N1221" s="46" t="s">
        <v>174</v>
      </c>
      <c r="O1221" s="46" t="s">
        <v>146</v>
      </c>
      <c r="P1221" s="46" t="s">
        <v>158</v>
      </c>
      <c r="Q1221" s="46" t="str">
        <f t="shared" si="1"/>
        <v>November, 2013</v>
      </c>
      <c r="R1221" s="115">
        <f t="shared" si="2"/>
        <v>41579</v>
      </c>
      <c r="S1221" s="49">
        <f t="array" ref="S1221">WEEKDAY(D1221,2)</f>
        <v>4</v>
      </c>
      <c r="T1221" s="46" t="s">
        <v>107</v>
      </c>
      <c r="U1221" s="46" t="str">
        <f t="array" ref="U1221">TEXT(D1221,"dddd")</f>
        <v>Thursday</v>
      </c>
    </row>
    <row r="1222">
      <c r="A1222" s="46">
        <v>9.22564303E8</v>
      </c>
      <c r="B1222" s="137" t="s">
        <v>222</v>
      </c>
      <c r="C1222" s="137">
        <v>2017.0</v>
      </c>
      <c r="D1222" s="138">
        <v>42811.0</v>
      </c>
      <c r="E1222" s="139">
        <v>42827.0</v>
      </c>
      <c r="F1222" s="142" t="s">
        <v>223</v>
      </c>
      <c r="G1222" s="142">
        <v>2017.0</v>
      </c>
      <c r="H1222" s="46">
        <v>7940.0</v>
      </c>
      <c r="I1222" s="46">
        <v>6134.0</v>
      </c>
      <c r="J1222" s="84">
        <v>4099168.1799999997</v>
      </c>
      <c r="K1222" s="84">
        <v>3082580.3600000003</v>
      </c>
      <c r="L1222" s="84">
        <v>1016587.8199999994</v>
      </c>
      <c r="M1222" s="46" t="s">
        <v>148</v>
      </c>
      <c r="N1222" s="46" t="s">
        <v>149</v>
      </c>
      <c r="O1222" s="46" t="s">
        <v>149</v>
      </c>
      <c r="P1222" s="46" t="s">
        <v>218</v>
      </c>
      <c r="Q1222" s="46" t="str">
        <f t="shared" si="1"/>
        <v>March, 2017</v>
      </c>
      <c r="R1222" s="115">
        <f t="shared" si="2"/>
        <v>42795</v>
      </c>
      <c r="S1222" s="49">
        <f t="array" ref="S1222">WEEKDAY(D1222,2)</f>
        <v>5</v>
      </c>
      <c r="T1222" s="46" t="s">
        <v>92</v>
      </c>
      <c r="U1222" s="46" t="str">
        <f t="array" ref="U1222">TEXT(D1222,"dddd")</f>
        <v>Friday</v>
      </c>
    </row>
    <row r="1223" hidden="1">
      <c r="A1223" s="46">
        <v>9.23160398E8</v>
      </c>
      <c r="B1223" s="137" t="s">
        <v>219</v>
      </c>
      <c r="C1223" s="137">
        <v>2017.0</v>
      </c>
      <c r="D1223" s="138">
        <v>42869.0</v>
      </c>
      <c r="E1223" s="139">
        <v>42901.0</v>
      </c>
      <c r="F1223" s="142" t="s">
        <v>220</v>
      </c>
      <c r="G1223" s="142">
        <v>2017.0</v>
      </c>
      <c r="H1223" s="46">
        <v>2455.0</v>
      </c>
      <c r="I1223" s="46">
        <v>2531.0</v>
      </c>
      <c r="J1223" s="84">
        <v>276587.68</v>
      </c>
      <c r="K1223" s="84">
        <v>90711.04000000001</v>
      </c>
      <c r="L1223" s="84">
        <v>185876.63999999998</v>
      </c>
      <c r="M1223" s="46" t="s">
        <v>150</v>
      </c>
      <c r="N1223" s="46" t="s">
        <v>199</v>
      </c>
      <c r="O1223" s="46" t="s">
        <v>146</v>
      </c>
      <c r="P1223" s="46" t="s">
        <v>147</v>
      </c>
      <c r="Q1223" s="46" t="str">
        <f t="shared" si="1"/>
        <v>May, 2017</v>
      </c>
      <c r="R1223" s="115">
        <f t="shared" si="2"/>
        <v>42856</v>
      </c>
      <c r="S1223" s="49">
        <f t="array" ref="S1223">WEEKDAY(D1223,2)</f>
        <v>7</v>
      </c>
      <c r="T1223" s="46" t="s">
        <v>128</v>
      </c>
      <c r="U1223" s="46" t="str">
        <f t="array" ref="U1223">TEXT(D1223,"dddd")</f>
        <v>Sunday</v>
      </c>
    </row>
    <row r="1224" hidden="1">
      <c r="A1224" s="46">
        <v>9.23922574E8</v>
      </c>
      <c r="B1224" s="137" t="s">
        <v>223</v>
      </c>
      <c r="C1224" s="137">
        <v>2011.0</v>
      </c>
      <c r="D1224" s="138">
        <v>40642.0</v>
      </c>
      <c r="E1224" s="139">
        <v>40686.0</v>
      </c>
      <c r="F1224" s="142" t="s">
        <v>219</v>
      </c>
      <c r="G1224" s="142">
        <v>2011.0</v>
      </c>
      <c r="H1224" s="46">
        <v>5988.0</v>
      </c>
      <c r="I1224" s="46">
        <v>8076.0</v>
      </c>
      <c r="J1224" s="84">
        <v>1244188.56</v>
      </c>
      <c r="K1224" s="84">
        <v>734350.68</v>
      </c>
      <c r="L1224" s="84">
        <v>509837.88</v>
      </c>
      <c r="M1224" s="46" t="s">
        <v>159</v>
      </c>
      <c r="N1224" s="46" t="s">
        <v>198</v>
      </c>
      <c r="O1224" s="46" t="s">
        <v>146</v>
      </c>
      <c r="P1224" s="46" t="s">
        <v>170</v>
      </c>
      <c r="Q1224" s="46" t="str">
        <f t="shared" si="1"/>
        <v>April, 2011</v>
      </c>
      <c r="R1224" s="115">
        <f t="shared" si="2"/>
        <v>40634</v>
      </c>
      <c r="S1224" s="49">
        <f t="array" ref="S1224">WEEKDAY(D1224,2)</f>
        <v>6</v>
      </c>
      <c r="T1224" s="46" t="s">
        <v>127</v>
      </c>
      <c r="U1224" s="46" t="str">
        <f t="array" ref="U1224">TEXT(D1224,"dddd")</f>
        <v>Saturday</v>
      </c>
    </row>
    <row r="1225" hidden="1">
      <c r="A1225" s="46">
        <v>9.26064479E8</v>
      </c>
      <c r="B1225" s="137" t="s">
        <v>228</v>
      </c>
      <c r="C1225" s="137">
        <v>2017.0</v>
      </c>
      <c r="D1225" s="138">
        <v>42784.0</v>
      </c>
      <c r="E1225" s="139">
        <v>42804.0</v>
      </c>
      <c r="F1225" s="142" t="s">
        <v>222</v>
      </c>
      <c r="G1225" s="142">
        <v>2017.0</v>
      </c>
      <c r="H1225" s="46">
        <v>8681.0</v>
      </c>
      <c r="I1225" s="46">
        <v>1913.0</v>
      </c>
      <c r="J1225" s="84">
        <v>1245764.73</v>
      </c>
      <c r="K1225" s="84">
        <v>1004248.4800000001</v>
      </c>
      <c r="L1225" s="84">
        <v>241516.24999999988</v>
      </c>
      <c r="M1225" s="46" t="s">
        <v>153</v>
      </c>
      <c r="N1225" s="46" t="s">
        <v>189</v>
      </c>
      <c r="O1225" s="46" t="s">
        <v>146</v>
      </c>
      <c r="P1225" s="46" t="s">
        <v>158</v>
      </c>
      <c r="Q1225" s="46" t="str">
        <f t="shared" si="1"/>
        <v>February, 2017</v>
      </c>
      <c r="R1225" s="115">
        <f t="shared" si="2"/>
        <v>42767</v>
      </c>
      <c r="S1225" s="49">
        <f t="array" ref="S1225">WEEKDAY(D1225,2)</f>
        <v>6</v>
      </c>
      <c r="T1225" s="46" t="s">
        <v>118</v>
      </c>
      <c r="U1225" s="46" t="str">
        <f t="array" ref="U1225">TEXT(D1225,"dddd")</f>
        <v>Saturday</v>
      </c>
    </row>
    <row r="1226" hidden="1">
      <c r="A1226" s="46">
        <v>9.26280772E8</v>
      </c>
      <c r="B1226" s="137" t="s">
        <v>217</v>
      </c>
      <c r="C1226" s="137">
        <v>2015.0</v>
      </c>
      <c r="D1226" s="138">
        <v>42190.0</v>
      </c>
      <c r="E1226" s="139">
        <v>42206.0</v>
      </c>
      <c r="F1226" s="142" t="s">
        <v>217</v>
      </c>
      <c r="G1226" s="142">
        <v>2015.0</v>
      </c>
      <c r="H1226" s="46">
        <v>1270.0</v>
      </c>
      <c r="I1226" s="46">
        <v>5919.0</v>
      </c>
      <c r="J1226" s="84">
        <v>280856.55</v>
      </c>
      <c r="K1226" s="84">
        <v>188165.01</v>
      </c>
      <c r="L1226" s="84">
        <v>92691.53999999998</v>
      </c>
      <c r="M1226" s="46" t="s">
        <v>152</v>
      </c>
      <c r="N1226" s="46" t="s">
        <v>177</v>
      </c>
      <c r="O1226" s="46" t="s">
        <v>146</v>
      </c>
      <c r="P1226" s="46" t="s">
        <v>170</v>
      </c>
      <c r="Q1226" s="46" t="str">
        <f t="shared" si="1"/>
        <v>July, 2015</v>
      </c>
      <c r="R1226" s="115">
        <f t="shared" si="2"/>
        <v>42186</v>
      </c>
      <c r="S1226" s="49">
        <f t="array" ref="S1226">WEEKDAY(D1226,2)</f>
        <v>7</v>
      </c>
      <c r="T1226" s="46" t="s">
        <v>110</v>
      </c>
      <c r="U1226" s="46" t="str">
        <f t="array" ref="U1226">TEXT(D1226,"dddd")</f>
        <v>Sunday</v>
      </c>
    </row>
    <row r="1227" hidden="1">
      <c r="A1227" s="46">
        <v>9.2676357E8</v>
      </c>
      <c r="B1227" s="137" t="s">
        <v>224</v>
      </c>
      <c r="C1227" s="137">
        <v>2016.0</v>
      </c>
      <c r="D1227" s="138">
        <v>42690.0</v>
      </c>
      <c r="E1227" s="139">
        <v>42699.0</v>
      </c>
      <c r="F1227" s="142" t="s">
        <v>224</v>
      </c>
      <c r="G1227" s="142">
        <v>2016.0</v>
      </c>
      <c r="H1227" s="46">
        <v>2455.0</v>
      </c>
      <c r="I1227" s="46">
        <v>8790.0</v>
      </c>
      <c r="J1227" s="84">
        <v>960571.2</v>
      </c>
      <c r="K1227" s="84">
        <v>315033.60000000003</v>
      </c>
      <c r="L1227" s="84">
        <v>645537.5999999999</v>
      </c>
      <c r="M1227" s="46" t="s">
        <v>150</v>
      </c>
      <c r="N1227" s="46" t="s">
        <v>206</v>
      </c>
      <c r="O1227" s="46" t="s">
        <v>146</v>
      </c>
      <c r="P1227" s="46" t="s">
        <v>158</v>
      </c>
      <c r="Q1227" s="46" t="str">
        <f t="shared" si="1"/>
        <v>November, 2016</v>
      </c>
      <c r="R1227" s="115">
        <f t="shared" si="2"/>
        <v>42675</v>
      </c>
      <c r="S1227" s="49">
        <f t="array" ref="S1227">WEEKDAY(D1227,2)</f>
        <v>3</v>
      </c>
      <c r="T1227" s="46" t="s">
        <v>136</v>
      </c>
      <c r="U1227" s="46" t="str">
        <f t="array" ref="U1227">TEXT(D1227,"dddd")</f>
        <v>Wednesday</v>
      </c>
    </row>
    <row r="1228" hidden="1">
      <c r="A1228" s="46">
        <v>9.26826655E8</v>
      </c>
      <c r="B1228" s="137" t="s">
        <v>227</v>
      </c>
      <c r="C1228" s="137">
        <v>2011.0</v>
      </c>
      <c r="D1228" s="138">
        <v>40558.0</v>
      </c>
      <c r="E1228" s="139">
        <v>40590.0</v>
      </c>
      <c r="F1228" s="142" t="s">
        <v>228</v>
      </c>
      <c r="G1228" s="142">
        <v>2011.0</v>
      </c>
      <c r="H1228" s="46">
        <v>7331.0</v>
      </c>
      <c r="I1228" s="46">
        <v>7458.0</v>
      </c>
      <c r="J1228" s="84">
        <v>1903878.24</v>
      </c>
      <c r="K1228" s="84">
        <v>1188954.3599999999</v>
      </c>
      <c r="L1228" s="84">
        <v>714923.8800000001</v>
      </c>
      <c r="M1228" s="46" t="s">
        <v>161</v>
      </c>
      <c r="N1228" s="46" t="s">
        <v>197</v>
      </c>
      <c r="O1228" s="46" t="s">
        <v>146</v>
      </c>
      <c r="P1228" s="46" t="s">
        <v>147</v>
      </c>
      <c r="Q1228" s="46" t="str">
        <f t="shared" si="1"/>
        <v>January, 2011</v>
      </c>
      <c r="R1228" s="115">
        <f t="shared" si="2"/>
        <v>40544</v>
      </c>
      <c r="S1228" s="49">
        <f t="array" ref="S1228">WEEKDAY(D1228,2)</f>
        <v>6</v>
      </c>
      <c r="T1228" s="46" t="s">
        <v>126</v>
      </c>
      <c r="U1228" s="46" t="str">
        <f t="array" ref="U1228">TEXT(D1228,"dddd")</f>
        <v>Saturday</v>
      </c>
    </row>
    <row r="1229" hidden="1">
      <c r="A1229" s="46">
        <v>9.27351081E8</v>
      </c>
      <c r="B1229" s="137" t="s">
        <v>219</v>
      </c>
      <c r="C1229" s="137">
        <v>2011.0</v>
      </c>
      <c r="D1229" s="138">
        <v>40686.0</v>
      </c>
      <c r="E1229" s="139">
        <v>40696.0</v>
      </c>
      <c r="F1229" s="142" t="s">
        <v>220</v>
      </c>
      <c r="G1229" s="142">
        <v>2011.0</v>
      </c>
      <c r="H1229" s="46">
        <v>5988.0</v>
      </c>
      <c r="I1229" s="46">
        <v>2647.0</v>
      </c>
      <c r="J1229" s="84">
        <v>407796.82</v>
      </c>
      <c r="K1229" s="84">
        <v>240691.71000000002</v>
      </c>
      <c r="L1229" s="84">
        <v>167105.11</v>
      </c>
      <c r="M1229" s="46" t="s">
        <v>159</v>
      </c>
      <c r="N1229" s="46" t="s">
        <v>200</v>
      </c>
      <c r="O1229" s="46" t="s">
        <v>146</v>
      </c>
      <c r="P1229" s="46" t="s">
        <v>158</v>
      </c>
      <c r="Q1229" s="46" t="str">
        <f t="shared" si="1"/>
        <v>May, 2011</v>
      </c>
      <c r="R1229" s="115">
        <f t="shared" si="2"/>
        <v>40664</v>
      </c>
      <c r="S1229" s="49">
        <f t="array" ref="S1229">WEEKDAY(D1229,2)</f>
        <v>1</v>
      </c>
      <c r="T1229" s="46" t="s">
        <v>129</v>
      </c>
      <c r="U1229" s="46" t="str">
        <f t="array" ref="U1229">TEXT(D1229,"dddd")</f>
        <v>Monday</v>
      </c>
    </row>
    <row r="1230" hidden="1">
      <c r="A1230" s="46">
        <v>9.28168189E8</v>
      </c>
      <c r="B1230" s="137" t="s">
        <v>228</v>
      </c>
      <c r="C1230" s="137">
        <v>2011.0</v>
      </c>
      <c r="D1230" s="138">
        <v>40591.0</v>
      </c>
      <c r="E1230" s="139">
        <v>40617.0</v>
      </c>
      <c r="F1230" s="142" t="s">
        <v>222</v>
      </c>
      <c r="G1230" s="142">
        <v>2011.0</v>
      </c>
      <c r="H1230" s="46">
        <v>2103.0</v>
      </c>
      <c r="I1230" s="46">
        <v>4448.0</v>
      </c>
      <c r="J1230" s="84">
        <v>914953.6</v>
      </c>
      <c r="K1230" s="84">
        <v>520905.27999999997</v>
      </c>
      <c r="L1230" s="84">
        <v>394048.32</v>
      </c>
      <c r="M1230" s="46" t="s">
        <v>144</v>
      </c>
      <c r="N1230" s="46" t="s">
        <v>196</v>
      </c>
      <c r="O1230" s="46" t="s">
        <v>146</v>
      </c>
      <c r="P1230" s="46" t="s">
        <v>155</v>
      </c>
      <c r="Q1230" s="46" t="str">
        <f t="shared" si="1"/>
        <v>February, 2011</v>
      </c>
      <c r="R1230" s="115">
        <f t="shared" si="2"/>
        <v>40575</v>
      </c>
      <c r="S1230" s="49">
        <f t="array" ref="S1230">WEEKDAY(D1230,2)</f>
        <v>4</v>
      </c>
      <c r="T1230" s="46" t="s">
        <v>125</v>
      </c>
      <c r="U1230" s="46" t="str">
        <f t="array" ref="U1230">TEXT(D1230,"dddd")</f>
        <v>Thursday</v>
      </c>
    </row>
    <row r="1231" hidden="1">
      <c r="A1231" s="46">
        <v>9.29812705E8</v>
      </c>
      <c r="B1231" s="137" t="s">
        <v>219</v>
      </c>
      <c r="C1231" s="137">
        <v>2017.0</v>
      </c>
      <c r="D1231" s="138">
        <v>42877.0</v>
      </c>
      <c r="E1231" s="139">
        <v>42880.0</v>
      </c>
      <c r="F1231" s="142" t="s">
        <v>219</v>
      </c>
      <c r="G1231" s="142">
        <v>2017.0</v>
      </c>
      <c r="H1231" s="46">
        <v>8875.0</v>
      </c>
      <c r="I1231" s="46">
        <v>1097.0</v>
      </c>
      <c r="J1231" s="84">
        <v>462813.32999999996</v>
      </c>
      <c r="K1231" s="84">
        <v>400064.93</v>
      </c>
      <c r="L1231" s="84">
        <v>62748.399999999965</v>
      </c>
      <c r="M1231" s="46" t="s">
        <v>167</v>
      </c>
      <c r="N1231" s="46" t="s">
        <v>172</v>
      </c>
      <c r="O1231" s="46" t="s">
        <v>146</v>
      </c>
      <c r="P1231" s="46" t="s">
        <v>155</v>
      </c>
      <c r="Q1231" s="46" t="str">
        <f t="shared" si="1"/>
        <v>May, 2017</v>
      </c>
      <c r="R1231" s="115">
        <f t="shared" si="2"/>
        <v>42856</v>
      </c>
      <c r="S1231" s="49">
        <f t="array" ref="S1231">WEEKDAY(D1231,2)</f>
        <v>1</v>
      </c>
      <c r="T1231" s="46" t="s">
        <v>105</v>
      </c>
      <c r="U1231" s="46" t="str">
        <f t="array" ref="U1231">TEXT(D1231,"dddd")</f>
        <v>Monday</v>
      </c>
    </row>
    <row r="1232" hidden="1">
      <c r="A1232" s="46">
        <v>9.30136287E8</v>
      </c>
      <c r="B1232" s="137" t="s">
        <v>219</v>
      </c>
      <c r="C1232" s="137">
        <v>2014.0</v>
      </c>
      <c r="D1232" s="138">
        <v>41779.0</v>
      </c>
      <c r="E1232" s="139">
        <v>41811.0</v>
      </c>
      <c r="F1232" s="142" t="s">
        <v>220</v>
      </c>
      <c r="G1232" s="142">
        <v>2014.0</v>
      </c>
      <c r="H1232" s="46">
        <v>1270.0</v>
      </c>
      <c r="I1232" s="46">
        <v>6852.0</v>
      </c>
      <c r="J1232" s="84">
        <v>325127.4</v>
      </c>
      <c r="K1232" s="84">
        <v>217825.08</v>
      </c>
      <c r="L1232" s="84">
        <v>107302.32000000004</v>
      </c>
      <c r="M1232" s="46" t="s">
        <v>152</v>
      </c>
      <c r="N1232" s="46" t="s">
        <v>194</v>
      </c>
      <c r="O1232" s="46" t="s">
        <v>146</v>
      </c>
      <c r="P1232" s="46" t="s">
        <v>155</v>
      </c>
      <c r="Q1232" s="46" t="str">
        <f t="shared" si="1"/>
        <v>May, 2014</v>
      </c>
      <c r="R1232" s="115">
        <f t="shared" si="2"/>
        <v>41760</v>
      </c>
      <c r="S1232" s="49">
        <f t="array" ref="S1232">WEEKDAY(D1232,2)</f>
        <v>2</v>
      </c>
      <c r="T1232" s="46" t="s">
        <v>123</v>
      </c>
      <c r="U1232" s="46" t="str">
        <f t="array" ref="U1232">TEXT(D1232,"dddd")</f>
        <v>Tuesday</v>
      </c>
    </row>
    <row r="1233" hidden="1">
      <c r="A1233" s="46">
        <v>9.3029679E8</v>
      </c>
      <c r="B1233" s="137" t="s">
        <v>228</v>
      </c>
      <c r="C1233" s="137">
        <v>2010.0</v>
      </c>
      <c r="D1233" s="138">
        <v>40229.0</v>
      </c>
      <c r="E1233" s="139">
        <v>40263.0</v>
      </c>
      <c r="F1233" s="142" t="s">
        <v>222</v>
      </c>
      <c r="G1233" s="142">
        <v>2010.0</v>
      </c>
      <c r="H1233" s="46">
        <v>8875.0</v>
      </c>
      <c r="I1233" s="46">
        <v>4348.0</v>
      </c>
      <c r="J1233" s="84">
        <v>1834377.72</v>
      </c>
      <c r="K1233" s="84">
        <v>1585672.1199999999</v>
      </c>
      <c r="L1233" s="84">
        <v>248705.6000000001</v>
      </c>
      <c r="M1233" s="46" t="s">
        <v>167</v>
      </c>
      <c r="N1233" s="46" t="s">
        <v>177</v>
      </c>
      <c r="O1233" s="46" t="s">
        <v>146</v>
      </c>
      <c r="P1233" s="46" t="s">
        <v>170</v>
      </c>
      <c r="Q1233" s="46" t="str">
        <f t="shared" si="1"/>
        <v>February, 2010</v>
      </c>
      <c r="R1233" s="115">
        <f t="shared" si="2"/>
        <v>40210</v>
      </c>
      <c r="S1233" s="49">
        <f t="array" ref="S1233">WEEKDAY(D1233,2)</f>
        <v>6</v>
      </c>
      <c r="T1233" s="46" t="s">
        <v>110</v>
      </c>
      <c r="U1233" s="46" t="str">
        <f t="array" ref="U1233">TEXT(D1233,"dddd")</f>
        <v>Saturday</v>
      </c>
    </row>
    <row r="1234" hidden="1">
      <c r="A1234" s="46">
        <v>9.30457293E8</v>
      </c>
      <c r="B1234" s="137" t="s">
        <v>220</v>
      </c>
      <c r="C1234" s="137">
        <v>2013.0</v>
      </c>
      <c r="D1234" s="138">
        <v>41445.0</v>
      </c>
      <c r="E1234" s="139">
        <v>41481.0</v>
      </c>
      <c r="F1234" s="142" t="s">
        <v>217</v>
      </c>
      <c r="G1234" s="142">
        <v>2013.0</v>
      </c>
      <c r="H1234" s="46">
        <v>2103.0</v>
      </c>
      <c r="I1234" s="46">
        <v>1845.0</v>
      </c>
      <c r="J1234" s="84">
        <v>379516.5</v>
      </c>
      <c r="K1234" s="84">
        <v>216067.95</v>
      </c>
      <c r="L1234" s="84">
        <v>163448.55</v>
      </c>
      <c r="M1234" s="46" t="s">
        <v>144</v>
      </c>
      <c r="N1234" s="46" t="s">
        <v>151</v>
      </c>
      <c r="O1234" s="46" t="s">
        <v>146</v>
      </c>
      <c r="P1234" s="46" t="s">
        <v>147</v>
      </c>
      <c r="Q1234" s="46" t="str">
        <f t="shared" si="1"/>
        <v>June, 2013</v>
      </c>
      <c r="R1234" s="115">
        <f t="shared" si="2"/>
        <v>41426</v>
      </c>
      <c r="S1234" s="49">
        <f t="array" ref="S1234">WEEKDAY(D1234,2)</f>
        <v>4</v>
      </c>
      <c r="T1234" s="46" t="s">
        <v>94</v>
      </c>
      <c r="U1234" s="46" t="str">
        <f t="array" ref="U1234">TEXT(D1234,"dddd")</f>
        <v>Thursday</v>
      </c>
    </row>
    <row r="1235" hidden="1">
      <c r="A1235" s="46">
        <v>9.30670154E8</v>
      </c>
      <c r="B1235" s="137" t="s">
        <v>228</v>
      </c>
      <c r="C1235" s="137">
        <v>2017.0</v>
      </c>
      <c r="D1235" s="138">
        <v>42792.0</v>
      </c>
      <c r="E1235" s="139">
        <v>42809.0</v>
      </c>
      <c r="F1235" s="142" t="s">
        <v>222</v>
      </c>
      <c r="G1235" s="142">
        <v>2017.0</v>
      </c>
      <c r="H1235" s="46">
        <v>8875.0</v>
      </c>
      <c r="I1235" s="46">
        <v>4835.0</v>
      </c>
      <c r="J1235" s="84">
        <v>2039838.15</v>
      </c>
      <c r="K1235" s="84">
        <v>1763276.15</v>
      </c>
      <c r="L1235" s="84">
        <v>276562.0</v>
      </c>
      <c r="M1235" s="46" t="s">
        <v>167</v>
      </c>
      <c r="N1235" s="46" t="s">
        <v>183</v>
      </c>
      <c r="O1235" s="46" t="s">
        <v>146</v>
      </c>
      <c r="P1235" s="46" t="s">
        <v>170</v>
      </c>
      <c r="Q1235" s="46" t="str">
        <f t="shared" si="1"/>
        <v>February, 2017</v>
      </c>
      <c r="R1235" s="115">
        <f t="shared" si="2"/>
        <v>42767</v>
      </c>
      <c r="S1235" s="49">
        <f t="array" ref="S1235">WEEKDAY(D1235,2)</f>
        <v>7</v>
      </c>
      <c r="T1235" s="46" t="s">
        <v>90</v>
      </c>
      <c r="U1235" s="46" t="str">
        <f t="array" ref="U1235">TEXT(D1235,"dddd")</f>
        <v>Sunday</v>
      </c>
    </row>
    <row r="1236" hidden="1">
      <c r="A1236" s="46">
        <v>9.3147782E8</v>
      </c>
      <c r="B1236" s="137" t="s">
        <v>220</v>
      </c>
      <c r="C1236" s="137">
        <v>2014.0</v>
      </c>
      <c r="D1236" s="138">
        <v>41813.0</v>
      </c>
      <c r="E1236" s="139">
        <v>41839.0</v>
      </c>
      <c r="F1236" s="142" t="s">
        <v>217</v>
      </c>
      <c r="G1236" s="142">
        <v>2014.0</v>
      </c>
      <c r="H1236" s="46">
        <v>1270.0</v>
      </c>
      <c r="I1236" s="46">
        <v>3841.0</v>
      </c>
      <c r="J1236" s="84">
        <v>182255.45</v>
      </c>
      <c r="K1236" s="84">
        <v>122105.39</v>
      </c>
      <c r="L1236" s="84">
        <v>60150.06000000001</v>
      </c>
      <c r="M1236" s="46" t="s">
        <v>152</v>
      </c>
      <c r="N1236" s="46" t="s">
        <v>176</v>
      </c>
      <c r="O1236" s="46" t="s">
        <v>146</v>
      </c>
      <c r="P1236" s="46" t="s">
        <v>158</v>
      </c>
      <c r="Q1236" s="46" t="str">
        <f t="shared" si="1"/>
        <v>June, 2014</v>
      </c>
      <c r="R1236" s="115">
        <f t="shared" si="2"/>
        <v>41791</v>
      </c>
      <c r="S1236" s="49">
        <f t="array" ref="S1236">WEEKDAY(D1236,2)</f>
        <v>1</v>
      </c>
      <c r="T1236" s="46" t="s">
        <v>109</v>
      </c>
      <c r="U1236" s="46" t="str">
        <f t="array" ref="U1236">TEXT(D1236,"dddd")</f>
        <v>Monday</v>
      </c>
    </row>
    <row r="1237" hidden="1">
      <c r="A1237" s="46">
        <v>9.31559789E8</v>
      </c>
      <c r="B1237" s="137" t="s">
        <v>220</v>
      </c>
      <c r="C1237" s="137">
        <v>2013.0</v>
      </c>
      <c r="D1237" s="138">
        <v>41450.0</v>
      </c>
      <c r="E1237" s="139">
        <v>41460.0</v>
      </c>
      <c r="F1237" s="142" t="s">
        <v>217</v>
      </c>
      <c r="G1237" s="142">
        <v>2013.0</v>
      </c>
      <c r="H1237" s="46">
        <v>2455.0</v>
      </c>
      <c r="I1237" s="46">
        <v>8098.0</v>
      </c>
      <c r="J1237" s="84">
        <v>884949.4400000001</v>
      </c>
      <c r="K1237" s="84">
        <v>290232.32</v>
      </c>
      <c r="L1237" s="84">
        <v>594717.1200000001</v>
      </c>
      <c r="M1237" s="46" t="s">
        <v>150</v>
      </c>
      <c r="N1237" s="46" t="s">
        <v>194</v>
      </c>
      <c r="O1237" s="46" t="s">
        <v>146</v>
      </c>
      <c r="P1237" s="46" t="s">
        <v>155</v>
      </c>
      <c r="Q1237" s="46" t="str">
        <f t="shared" si="1"/>
        <v>June, 2013</v>
      </c>
      <c r="R1237" s="115">
        <f t="shared" si="2"/>
        <v>41426</v>
      </c>
      <c r="S1237" s="49">
        <f t="array" ref="S1237">WEEKDAY(D1237,2)</f>
        <v>2</v>
      </c>
      <c r="T1237" s="46" t="s">
        <v>123</v>
      </c>
      <c r="U1237" s="46" t="str">
        <f t="array" ref="U1237">TEXT(D1237,"dddd")</f>
        <v>Tuesday</v>
      </c>
    </row>
    <row r="1238" hidden="1">
      <c r="A1238" s="46">
        <v>9.32475602E8</v>
      </c>
      <c r="B1238" s="137" t="s">
        <v>226</v>
      </c>
      <c r="C1238" s="137">
        <v>2013.0</v>
      </c>
      <c r="D1238" s="138">
        <v>41556.0</v>
      </c>
      <c r="E1238" s="139">
        <v>41599.0</v>
      </c>
      <c r="F1238" s="142" t="s">
        <v>224</v>
      </c>
      <c r="G1238" s="142">
        <v>2013.0</v>
      </c>
      <c r="H1238" s="46">
        <v>1270.0</v>
      </c>
      <c r="I1238" s="46">
        <v>9107.0</v>
      </c>
      <c r="J1238" s="84">
        <v>432127.15</v>
      </c>
      <c r="K1238" s="84">
        <v>289511.52999999997</v>
      </c>
      <c r="L1238" s="84">
        <v>142615.62000000005</v>
      </c>
      <c r="M1238" s="46" t="s">
        <v>152</v>
      </c>
      <c r="N1238" s="46" t="s">
        <v>199</v>
      </c>
      <c r="O1238" s="46" t="s">
        <v>146</v>
      </c>
      <c r="P1238" s="46" t="s">
        <v>147</v>
      </c>
      <c r="Q1238" s="46" t="str">
        <f t="shared" si="1"/>
        <v>October, 2013</v>
      </c>
      <c r="R1238" s="115">
        <f t="shared" si="2"/>
        <v>41548</v>
      </c>
      <c r="S1238" s="49">
        <f t="array" ref="S1238">WEEKDAY(D1238,2)</f>
        <v>3</v>
      </c>
      <c r="T1238" s="46" t="s">
        <v>128</v>
      </c>
      <c r="U1238" s="46" t="str">
        <f t="array" ref="U1238">TEXT(D1238,"dddd")</f>
        <v>Wednesday</v>
      </c>
    </row>
    <row r="1239" hidden="1">
      <c r="A1239" s="46">
        <v>9.33642041E8</v>
      </c>
      <c r="B1239" s="137" t="s">
        <v>223</v>
      </c>
      <c r="C1239" s="137">
        <v>2012.0</v>
      </c>
      <c r="D1239" s="138">
        <v>41018.0</v>
      </c>
      <c r="E1239" s="139">
        <v>41048.0</v>
      </c>
      <c r="F1239" s="142" t="s">
        <v>219</v>
      </c>
      <c r="G1239" s="142">
        <v>2012.0</v>
      </c>
      <c r="H1239" s="46">
        <v>3127.0</v>
      </c>
      <c r="I1239" s="46">
        <v>4282.0</v>
      </c>
      <c r="J1239" s="84">
        <v>349967.86000000004</v>
      </c>
      <c r="K1239" s="84">
        <v>242660.94</v>
      </c>
      <c r="L1239" s="84">
        <v>107306.92000000004</v>
      </c>
      <c r="M1239" s="46" t="s">
        <v>185</v>
      </c>
      <c r="N1239" s="46" t="s">
        <v>151</v>
      </c>
      <c r="O1239" s="46" t="s">
        <v>146</v>
      </c>
      <c r="P1239" s="46" t="s">
        <v>147</v>
      </c>
      <c r="Q1239" s="46" t="str">
        <f t="shared" si="1"/>
        <v>April, 2012</v>
      </c>
      <c r="R1239" s="115">
        <f t="shared" si="2"/>
        <v>41000</v>
      </c>
      <c r="S1239" s="49">
        <f t="array" ref="S1239">WEEKDAY(D1239,2)</f>
        <v>4</v>
      </c>
      <c r="T1239" s="46" t="s">
        <v>94</v>
      </c>
      <c r="U1239" s="46" t="str">
        <f t="array" ref="U1239">TEXT(D1239,"dddd")</f>
        <v>Thursday</v>
      </c>
    </row>
    <row r="1240" hidden="1">
      <c r="A1240" s="46">
        <v>9.33699119E8</v>
      </c>
      <c r="B1240" s="137" t="s">
        <v>224</v>
      </c>
      <c r="C1240" s="137">
        <v>2013.0</v>
      </c>
      <c r="D1240" s="138">
        <v>41591.0</v>
      </c>
      <c r="E1240" s="139">
        <v>41602.0</v>
      </c>
      <c r="F1240" s="142" t="s">
        <v>224</v>
      </c>
      <c r="G1240" s="142">
        <v>2013.0</v>
      </c>
      <c r="H1240" s="46">
        <v>3127.0</v>
      </c>
      <c r="I1240" s="46">
        <v>1173.0</v>
      </c>
      <c r="J1240" s="84">
        <v>95869.29000000001</v>
      </c>
      <c r="K1240" s="84">
        <v>66473.91</v>
      </c>
      <c r="L1240" s="84">
        <v>29395.380000000005</v>
      </c>
      <c r="M1240" s="46" t="s">
        <v>185</v>
      </c>
      <c r="N1240" s="46" t="s">
        <v>192</v>
      </c>
      <c r="O1240" s="46" t="s">
        <v>146</v>
      </c>
      <c r="P1240" s="46" t="s">
        <v>158</v>
      </c>
      <c r="Q1240" s="46" t="str">
        <f t="shared" si="1"/>
        <v>November, 2013</v>
      </c>
      <c r="R1240" s="115">
        <f t="shared" si="2"/>
        <v>41579</v>
      </c>
      <c r="S1240" s="49">
        <f t="array" ref="S1240">WEEKDAY(D1240,2)</f>
        <v>3</v>
      </c>
      <c r="T1240" s="46" t="s">
        <v>121</v>
      </c>
      <c r="U1240" s="46" t="str">
        <f t="array" ref="U1240">TEXT(D1240,"dddd")</f>
        <v>Wednesday</v>
      </c>
    </row>
    <row r="1241" hidden="1">
      <c r="A1241" s="46">
        <v>9.33720576E8</v>
      </c>
      <c r="B1241" s="137" t="s">
        <v>216</v>
      </c>
      <c r="C1241" s="137">
        <v>2016.0</v>
      </c>
      <c r="D1241" s="138">
        <v>42596.0</v>
      </c>
      <c r="E1241" s="139">
        <v>42644.0</v>
      </c>
      <c r="F1241" s="142" t="s">
        <v>226</v>
      </c>
      <c r="G1241" s="142">
        <v>2016.0</v>
      </c>
      <c r="H1241" s="46">
        <v>5988.0</v>
      </c>
      <c r="I1241" s="46">
        <v>7523.0</v>
      </c>
      <c r="J1241" s="84">
        <v>1158993.3800000001</v>
      </c>
      <c r="K1241" s="84">
        <v>684066.39</v>
      </c>
      <c r="L1241" s="84">
        <v>474926.9900000001</v>
      </c>
      <c r="M1241" s="46" t="s">
        <v>159</v>
      </c>
      <c r="N1241" s="46" t="s">
        <v>200</v>
      </c>
      <c r="O1241" s="46" t="s">
        <v>146</v>
      </c>
      <c r="P1241" s="46" t="s">
        <v>158</v>
      </c>
      <c r="Q1241" s="46" t="str">
        <f t="shared" si="1"/>
        <v>August, 2016</v>
      </c>
      <c r="R1241" s="115">
        <f t="shared" si="2"/>
        <v>42583</v>
      </c>
      <c r="S1241" s="49">
        <f t="array" ref="S1241">WEEKDAY(D1241,2)</f>
        <v>7</v>
      </c>
      <c r="T1241" s="46" t="s">
        <v>129</v>
      </c>
      <c r="U1241" s="46" t="str">
        <f t="array" ref="U1241">TEXT(D1241,"dddd")</f>
        <v>Sunday</v>
      </c>
    </row>
    <row r="1242" hidden="1">
      <c r="A1242" s="46">
        <v>9.33963048E8</v>
      </c>
      <c r="B1242" s="137" t="s">
        <v>219</v>
      </c>
      <c r="C1242" s="137">
        <v>2011.0</v>
      </c>
      <c r="D1242" s="138">
        <v>40684.0</v>
      </c>
      <c r="E1242" s="139">
        <v>40718.0</v>
      </c>
      <c r="F1242" s="142" t="s">
        <v>220</v>
      </c>
      <c r="G1242" s="142">
        <v>2011.0</v>
      </c>
      <c r="H1242" s="46">
        <v>2455.0</v>
      </c>
      <c r="I1242" s="46">
        <v>9275.0</v>
      </c>
      <c r="J1242" s="84">
        <v>1013572.0</v>
      </c>
      <c r="K1242" s="84">
        <v>332416.00000000006</v>
      </c>
      <c r="L1242" s="84">
        <v>681156.0</v>
      </c>
      <c r="M1242" s="46" t="s">
        <v>150</v>
      </c>
      <c r="N1242" s="46" t="s">
        <v>193</v>
      </c>
      <c r="O1242" s="46" t="s">
        <v>146</v>
      </c>
      <c r="P1242" s="46" t="s">
        <v>158</v>
      </c>
      <c r="Q1242" s="46" t="str">
        <f t="shared" si="1"/>
        <v>May, 2011</v>
      </c>
      <c r="R1242" s="115">
        <f t="shared" si="2"/>
        <v>40664</v>
      </c>
      <c r="S1242" s="49">
        <f t="array" ref="S1242">WEEKDAY(D1242,2)</f>
        <v>6</v>
      </c>
      <c r="T1242" s="46" t="s">
        <v>122</v>
      </c>
      <c r="U1242" s="46" t="str">
        <f t="array" ref="U1242">TEXT(D1242,"dddd")</f>
        <v>Saturday</v>
      </c>
    </row>
    <row r="1243" hidden="1">
      <c r="A1243" s="46">
        <v>9.34718358E8</v>
      </c>
      <c r="B1243" s="137" t="s">
        <v>225</v>
      </c>
      <c r="C1243" s="137">
        <v>2015.0</v>
      </c>
      <c r="D1243" s="138">
        <v>42340.0</v>
      </c>
      <c r="E1243" s="139">
        <v>42354.0</v>
      </c>
      <c r="F1243" s="142" t="s">
        <v>225</v>
      </c>
      <c r="G1243" s="142">
        <v>2015.0</v>
      </c>
      <c r="H1243" s="46">
        <v>5988.0</v>
      </c>
      <c r="I1243" s="46">
        <v>2789.0</v>
      </c>
      <c r="J1243" s="84">
        <v>429673.34</v>
      </c>
      <c r="K1243" s="84">
        <v>253603.77000000002</v>
      </c>
      <c r="L1243" s="84">
        <v>176069.57</v>
      </c>
      <c r="M1243" s="46" t="s">
        <v>159</v>
      </c>
      <c r="N1243" s="46" t="s">
        <v>198</v>
      </c>
      <c r="O1243" s="46" t="s">
        <v>146</v>
      </c>
      <c r="P1243" s="46" t="s">
        <v>170</v>
      </c>
      <c r="Q1243" s="46" t="str">
        <f t="shared" si="1"/>
        <v>December, 2015</v>
      </c>
      <c r="R1243" s="115">
        <f t="shared" si="2"/>
        <v>42339</v>
      </c>
      <c r="S1243" s="49">
        <f t="array" ref="S1243">WEEKDAY(D1243,2)</f>
        <v>3</v>
      </c>
      <c r="T1243" s="46" t="s">
        <v>127</v>
      </c>
      <c r="U1243" s="46" t="str">
        <f t="array" ref="U1243">TEXT(D1243,"dddd")</f>
        <v>Wednesday</v>
      </c>
    </row>
    <row r="1244" hidden="1">
      <c r="A1244" s="46">
        <v>9.35789954E8</v>
      </c>
      <c r="B1244" s="137" t="s">
        <v>226</v>
      </c>
      <c r="C1244" s="137">
        <v>2010.0</v>
      </c>
      <c r="D1244" s="138">
        <v>40454.0</v>
      </c>
      <c r="E1244" s="139">
        <v>40500.0</v>
      </c>
      <c r="F1244" s="142" t="s">
        <v>224</v>
      </c>
      <c r="G1244" s="142">
        <v>2010.0</v>
      </c>
      <c r="H1244" s="46">
        <v>1270.0</v>
      </c>
      <c r="I1244" s="46">
        <v>9898.0</v>
      </c>
      <c r="J1244" s="84">
        <v>469660.10000000003</v>
      </c>
      <c r="K1244" s="84">
        <v>314657.42</v>
      </c>
      <c r="L1244" s="84">
        <v>155002.68000000005</v>
      </c>
      <c r="M1244" s="46" t="s">
        <v>152</v>
      </c>
      <c r="N1244" s="46" t="s">
        <v>187</v>
      </c>
      <c r="O1244" s="46" t="s">
        <v>146</v>
      </c>
      <c r="P1244" s="46" t="s">
        <v>155</v>
      </c>
      <c r="Q1244" s="46" t="str">
        <f t="shared" si="1"/>
        <v>October, 2010</v>
      </c>
      <c r="R1244" s="115">
        <f t="shared" si="2"/>
        <v>40452</v>
      </c>
      <c r="S1244" s="49">
        <f t="array" ref="S1244">WEEKDAY(D1244,2)</f>
        <v>7</v>
      </c>
      <c r="T1244" s="46" t="s">
        <v>116</v>
      </c>
      <c r="U1244" s="46" t="str">
        <f t="array" ref="U1244">TEXT(D1244,"dddd")</f>
        <v>Sunday</v>
      </c>
    </row>
    <row r="1245" hidden="1">
      <c r="A1245" s="46">
        <v>9.35907542E8</v>
      </c>
      <c r="B1245" s="137" t="s">
        <v>228</v>
      </c>
      <c r="C1245" s="137">
        <v>2016.0</v>
      </c>
      <c r="D1245" s="138">
        <v>42425.0</v>
      </c>
      <c r="E1245" s="139">
        <v>42450.0</v>
      </c>
      <c r="F1245" s="142" t="s">
        <v>222</v>
      </c>
      <c r="G1245" s="142">
        <v>2016.0</v>
      </c>
      <c r="H1245" s="46">
        <v>1270.0</v>
      </c>
      <c r="I1245" s="46">
        <v>4695.0</v>
      </c>
      <c r="J1245" s="84">
        <v>222777.75</v>
      </c>
      <c r="K1245" s="84">
        <v>149254.05</v>
      </c>
      <c r="L1245" s="84">
        <v>73523.70000000001</v>
      </c>
      <c r="M1245" s="46" t="s">
        <v>152</v>
      </c>
      <c r="N1245" s="46" t="s">
        <v>190</v>
      </c>
      <c r="O1245" s="46" t="s">
        <v>146</v>
      </c>
      <c r="P1245" s="46" t="s">
        <v>147</v>
      </c>
      <c r="Q1245" s="46" t="str">
        <f t="shared" si="1"/>
        <v>February, 2016</v>
      </c>
      <c r="R1245" s="115">
        <f t="shared" si="2"/>
        <v>42401</v>
      </c>
      <c r="S1245" s="49">
        <f t="array" ref="S1245">WEEKDAY(D1245,2)</f>
        <v>4</v>
      </c>
      <c r="T1245" s="46" t="s">
        <v>119</v>
      </c>
      <c r="U1245" s="46" t="str">
        <f t="array" ref="U1245">TEXT(D1245,"dddd")</f>
        <v>Thursday</v>
      </c>
    </row>
    <row r="1246" hidden="1">
      <c r="A1246" s="46">
        <v>9.36411798E8</v>
      </c>
      <c r="B1246" s="137" t="s">
        <v>221</v>
      </c>
      <c r="C1246" s="137">
        <v>2012.0</v>
      </c>
      <c r="D1246" s="138">
        <v>41165.0</v>
      </c>
      <c r="E1246" s="139">
        <v>41169.0</v>
      </c>
      <c r="F1246" s="142" t="s">
        <v>221</v>
      </c>
      <c r="G1246" s="142">
        <v>2012.0</v>
      </c>
      <c r="H1246" s="46">
        <v>3127.0</v>
      </c>
      <c r="I1246" s="46">
        <v>3915.0</v>
      </c>
      <c r="J1246" s="84">
        <v>319972.95</v>
      </c>
      <c r="K1246" s="84">
        <v>221863.05000000002</v>
      </c>
      <c r="L1246" s="84">
        <v>98109.9</v>
      </c>
      <c r="M1246" s="46" t="s">
        <v>185</v>
      </c>
      <c r="N1246" s="46" t="s">
        <v>195</v>
      </c>
      <c r="O1246" s="46" t="s">
        <v>146</v>
      </c>
      <c r="P1246" s="46" t="s">
        <v>170</v>
      </c>
      <c r="Q1246" s="46" t="str">
        <f t="shared" si="1"/>
        <v>September, 2012</v>
      </c>
      <c r="R1246" s="115">
        <f t="shared" si="2"/>
        <v>41153</v>
      </c>
      <c r="S1246" s="49">
        <f t="array" ref="S1246">WEEKDAY(D1246,2)</f>
        <v>4</v>
      </c>
      <c r="T1246" s="46" t="s">
        <v>124</v>
      </c>
      <c r="U1246" s="46" t="str">
        <f t="array" ref="U1246">TEXT(D1246,"dddd")</f>
        <v>Thursday</v>
      </c>
    </row>
    <row r="1247" hidden="1">
      <c r="A1247" s="46">
        <v>9.3654741E8</v>
      </c>
      <c r="B1247" s="137" t="s">
        <v>227</v>
      </c>
      <c r="C1247" s="137">
        <v>2011.0</v>
      </c>
      <c r="D1247" s="138">
        <v>40551.0</v>
      </c>
      <c r="E1247" s="139">
        <v>40555.0</v>
      </c>
      <c r="F1247" s="142" t="s">
        <v>227</v>
      </c>
      <c r="G1247" s="142">
        <v>2011.0</v>
      </c>
      <c r="H1247" s="46">
        <v>5988.0</v>
      </c>
      <c r="I1247" s="46">
        <v>4046.0</v>
      </c>
      <c r="J1247" s="84">
        <v>623326.76</v>
      </c>
      <c r="K1247" s="84">
        <v>367902.78</v>
      </c>
      <c r="L1247" s="84">
        <v>255423.97999999998</v>
      </c>
      <c r="M1247" s="46" t="s">
        <v>159</v>
      </c>
      <c r="N1247" s="46" t="s">
        <v>208</v>
      </c>
      <c r="O1247" s="46" t="s">
        <v>146</v>
      </c>
      <c r="P1247" s="46" t="s">
        <v>147</v>
      </c>
      <c r="Q1247" s="46" t="str">
        <f t="shared" si="1"/>
        <v>January, 2011</v>
      </c>
      <c r="R1247" s="115">
        <f t="shared" si="2"/>
        <v>40544</v>
      </c>
      <c r="S1247" s="49">
        <f t="array" ref="S1247">WEEKDAY(D1247,2)</f>
        <v>6</v>
      </c>
      <c r="T1247" s="46" t="s">
        <v>138</v>
      </c>
      <c r="U1247" s="46" t="str">
        <f t="array" ref="U1247">TEXT(D1247,"dddd")</f>
        <v>Saturday</v>
      </c>
    </row>
    <row r="1248" hidden="1">
      <c r="A1248" s="46">
        <v>9.36664998E8</v>
      </c>
      <c r="B1248" s="137" t="s">
        <v>220</v>
      </c>
      <c r="C1248" s="137">
        <v>2016.0</v>
      </c>
      <c r="D1248" s="138">
        <v>42522.0</v>
      </c>
      <c r="E1248" s="139">
        <v>42556.0</v>
      </c>
      <c r="F1248" s="142" t="s">
        <v>217</v>
      </c>
      <c r="G1248" s="142">
        <v>2016.0</v>
      </c>
      <c r="H1248" s="46">
        <v>5988.0</v>
      </c>
      <c r="I1248" s="46">
        <v>8843.0</v>
      </c>
      <c r="J1248" s="84">
        <v>1362352.58</v>
      </c>
      <c r="K1248" s="84">
        <v>804093.9900000001</v>
      </c>
      <c r="L1248" s="84">
        <v>558258.59</v>
      </c>
      <c r="M1248" s="46" t="s">
        <v>159</v>
      </c>
      <c r="N1248" s="46" t="s">
        <v>154</v>
      </c>
      <c r="O1248" s="46" t="s">
        <v>146</v>
      </c>
      <c r="P1248" s="46" t="s">
        <v>155</v>
      </c>
      <c r="Q1248" s="46" t="str">
        <f t="shared" si="1"/>
        <v>June, 2016</v>
      </c>
      <c r="R1248" s="115">
        <f t="shared" si="2"/>
        <v>42522</v>
      </c>
      <c r="S1248" s="49">
        <f t="array" ref="S1248">WEEKDAY(D1248,2)</f>
        <v>3</v>
      </c>
      <c r="T1248" s="46" t="s">
        <v>96</v>
      </c>
      <c r="U1248" s="46" t="str">
        <f t="array" ref="U1248">TEXT(D1248,"dddd")</f>
        <v>Wednesday</v>
      </c>
    </row>
    <row r="1249" hidden="1">
      <c r="A1249" s="46">
        <v>9.3787564E8</v>
      </c>
      <c r="B1249" s="137" t="s">
        <v>226</v>
      </c>
      <c r="C1249" s="137">
        <v>2011.0</v>
      </c>
      <c r="D1249" s="138">
        <v>40846.0</v>
      </c>
      <c r="E1249" s="139">
        <v>40877.0</v>
      </c>
      <c r="F1249" s="142" t="s">
        <v>224</v>
      </c>
      <c r="G1249" s="142">
        <v>2011.0</v>
      </c>
      <c r="H1249" s="46">
        <v>2455.0</v>
      </c>
      <c r="I1249" s="46">
        <v>7098.0</v>
      </c>
      <c r="J1249" s="84">
        <v>775669.4400000001</v>
      </c>
      <c r="K1249" s="84">
        <v>254392.32000000004</v>
      </c>
      <c r="L1249" s="84">
        <v>521277.12</v>
      </c>
      <c r="M1249" s="46" t="s">
        <v>150</v>
      </c>
      <c r="N1249" s="46" t="s">
        <v>191</v>
      </c>
      <c r="O1249" s="46" t="s">
        <v>146</v>
      </c>
      <c r="P1249" s="46" t="s">
        <v>147</v>
      </c>
      <c r="Q1249" s="46" t="str">
        <f t="shared" si="1"/>
        <v>October, 2011</v>
      </c>
      <c r="R1249" s="115">
        <f t="shared" si="2"/>
        <v>40817</v>
      </c>
      <c r="S1249" s="49">
        <f t="array" ref="S1249">WEEKDAY(D1249,2)</f>
        <v>7</v>
      </c>
      <c r="T1249" s="46" t="s">
        <v>120</v>
      </c>
      <c r="U1249" s="46" t="str">
        <f t="array" ref="U1249">TEXT(D1249,"dddd")</f>
        <v>Sunday</v>
      </c>
    </row>
    <row r="1250" hidden="1">
      <c r="A1250" s="46">
        <v>9.3820995E8</v>
      </c>
      <c r="B1250" s="137" t="s">
        <v>222</v>
      </c>
      <c r="C1250" s="137">
        <v>2010.0</v>
      </c>
      <c r="D1250" s="138">
        <v>40251.0</v>
      </c>
      <c r="E1250" s="139">
        <v>40253.0</v>
      </c>
      <c r="F1250" s="142" t="s">
        <v>222</v>
      </c>
      <c r="G1250" s="142">
        <v>2010.0</v>
      </c>
      <c r="H1250" s="46">
        <v>3127.0</v>
      </c>
      <c r="I1250" s="46">
        <v>6028.0</v>
      </c>
      <c r="J1250" s="84">
        <v>492668.44</v>
      </c>
      <c r="K1250" s="84">
        <v>341606.76</v>
      </c>
      <c r="L1250" s="84">
        <v>151061.68</v>
      </c>
      <c r="M1250" s="46" t="s">
        <v>185</v>
      </c>
      <c r="N1250" s="46" t="s">
        <v>163</v>
      </c>
      <c r="O1250" s="46" t="s">
        <v>146</v>
      </c>
      <c r="P1250" s="46" t="s">
        <v>158</v>
      </c>
      <c r="Q1250" s="46" t="str">
        <f t="shared" si="1"/>
        <v>March, 2010</v>
      </c>
      <c r="R1250" s="115">
        <f t="shared" si="2"/>
        <v>40238</v>
      </c>
      <c r="S1250" s="49">
        <f t="array" ref="S1250">WEEKDAY(D1250,2)</f>
        <v>7</v>
      </c>
      <c r="T1250" s="46" t="s">
        <v>100</v>
      </c>
      <c r="U1250" s="46" t="str">
        <f t="array" ref="U1250">TEXT(D1250,"dddd")</f>
        <v>Sunday</v>
      </c>
    </row>
    <row r="1251" hidden="1">
      <c r="A1251" s="46">
        <v>9.40682303E8</v>
      </c>
      <c r="B1251" s="137" t="s">
        <v>227</v>
      </c>
      <c r="C1251" s="137">
        <v>2010.0</v>
      </c>
      <c r="D1251" s="138">
        <v>40179.0</v>
      </c>
      <c r="E1251" s="139">
        <v>40218.0</v>
      </c>
      <c r="F1251" s="142" t="s">
        <v>228</v>
      </c>
      <c r="G1251" s="142">
        <v>2010.0</v>
      </c>
      <c r="H1251" s="46">
        <v>2103.0</v>
      </c>
      <c r="I1251" s="46">
        <v>7652.0</v>
      </c>
      <c r="J1251" s="84">
        <v>1574016.4</v>
      </c>
      <c r="K1251" s="84">
        <v>896125.72</v>
      </c>
      <c r="L1251" s="84">
        <v>677890.6799999999</v>
      </c>
      <c r="M1251" s="46" t="s">
        <v>144</v>
      </c>
      <c r="N1251" s="46" t="s">
        <v>200</v>
      </c>
      <c r="O1251" s="46" t="s">
        <v>146</v>
      </c>
      <c r="P1251" s="46" t="s">
        <v>158</v>
      </c>
      <c r="Q1251" s="46" t="str">
        <f t="shared" si="1"/>
        <v>January, 2010</v>
      </c>
      <c r="R1251" s="115">
        <f t="shared" si="2"/>
        <v>40179</v>
      </c>
      <c r="S1251" s="49">
        <f t="array" ref="S1251">WEEKDAY(D1251,2)</f>
        <v>5</v>
      </c>
      <c r="T1251" s="46" t="s">
        <v>129</v>
      </c>
      <c r="U1251" s="46" t="str">
        <f t="array" ref="U1251">TEXT(D1251,"dddd")</f>
        <v>Friday</v>
      </c>
    </row>
    <row r="1252">
      <c r="A1252" s="46">
        <v>9.41061675E8</v>
      </c>
      <c r="B1252" s="137" t="s">
        <v>222</v>
      </c>
      <c r="C1252" s="137">
        <v>2017.0</v>
      </c>
      <c r="D1252" s="138">
        <v>42802.0</v>
      </c>
      <c r="E1252" s="139">
        <v>42814.0</v>
      </c>
      <c r="F1252" s="142" t="s">
        <v>222</v>
      </c>
      <c r="G1252" s="142">
        <v>2017.0</v>
      </c>
      <c r="H1252" s="46">
        <v>5988.0</v>
      </c>
      <c r="I1252" s="46">
        <v>9917.0</v>
      </c>
      <c r="J1252" s="84">
        <v>1527813.02</v>
      </c>
      <c r="K1252" s="84">
        <v>901752.81</v>
      </c>
      <c r="L1252" s="84">
        <v>626060.21</v>
      </c>
      <c r="M1252" s="46" t="s">
        <v>159</v>
      </c>
      <c r="N1252" s="46" t="s">
        <v>149</v>
      </c>
      <c r="O1252" s="46" t="s">
        <v>149</v>
      </c>
      <c r="P1252" s="46" t="s">
        <v>218</v>
      </c>
      <c r="Q1252" s="46" t="str">
        <f t="shared" si="1"/>
        <v>March, 2017</v>
      </c>
      <c r="R1252" s="115">
        <f t="shared" si="2"/>
        <v>42795</v>
      </c>
      <c r="S1252" s="49">
        <f t="array" ref="S1252">WEEKDAY(D1252,2)</f>
        <v>3</v>
      </c>
      <c r="T1252" s="46" t="s">
        <v>92</v>
      </c>
      <c r="U1252" s="46" t="str">
        <f t="array" ref="U1252">TEXT(D1252,"dddd")</f>
        <v>Wednesday</v>
      </c>
    </row>
    <row r="1253" hidden="1">
      <c r="A1253" s="46">
        <v>9.41524302E8</v>
      </c>
      <c r="B1253" s="137" t="s">
        <v>226</v>
      </c>
      <c r="C1253" s="137">
        <v>2014.0</v>
      </c>
      <c r="D1253" s="138">
        <v>41915.0</v>
      </c>
      <c r="E1253" s="139">
        <v>41921.0</v>
      </c>
      <c r="F1253" s="142" t="s">
        <v>226</v>
      </c>
      <c r="G1253" s="142">
        <v>2014.0</v>
      </c>
      <c r="H1253" s="46">
        <v>3127.0</v>
      </c>
      <c r="I1253" s="46">
        <v>6819.0</v>
      </c>
      <c r="J1253" s="84">
        <v>557316.87</v>
      </c>
      <c r="K1253" s="84">
        <v>386432.73000000004</v>
      </c>
      <c r="L1253" s="84">
        <v>170884.13999999996</v>
      </c>
      <c r="M1253" s="46" t="s">
        <v>185</v>
      </c>
      <c r="N1253" s="46" t="s">
        <v>198</v>
      </c>
      <c r="O1253" s="46" t="s">
        <v>146</v>
      </c>
      <c r="P1253" s="46" t="s">
        <v>170</v>
      </c>
      <c r="Q1253" s="46" t="str">
        <f t="shared" si="1"/>
        <v>October, 2014</v>
      </c>
      <c r="R1253" s="115">
        <f t="shared" si="2"/>
        <v>41913</v>
      </c>
      <c r="S1253" s="49">
        <f t="array" ref="S1253">WEEKDAY(D1253,2)</f>
        <v>5</v>
      </c>
      <c r="T1253" s="46" t="s">
        <v>127</v>
      </c>
      <c r="U1253" s="46" t="str">
        <f t="array" ref="U1253">TEXT(D1253,"dddd")</f>
        <v>Friday</v>
      </c>
    </row>
    <row r="1254" hidden="1">
      <c r="A1254" s="46">
        <v>9.41933286E8</v>
      </c>
      <c r="B1254" s="137" t="s">
        <v>227</v>
      </c>
      <c r="C1254" s="137">
        <v>2013.0</v>
      </c>
      <c r="D1254" s="138">
        <v>41279.0</v>
      </c>
      <c r="E1254" s="139">
        <v>41313.0</v>
      </c>
      <c r="F1254" s="142" t="s">
        <v>228</v>
      </c>
      <c r="G1254" s="142">
        <v>2013.0</v>
      </c>
      <c r="H1254" s="46">
        <v>8969.0</v>
      </c>
      <c r="I1254" s="46">
        <v>7846.0</v>
      </c>
      <c r="J1254" s="84">
        <v>1197142.6800000002</v>
      </c>
      <c r="K1254" s="84">
        <v>764514.24</v>
      </c>
      <c r="L1254" s="84">
        <v>432628.4400000002</v>
      </c>
      <c r="M1254" s="46" t="s">
        <v>182</v>
      </c>
      <c r="N1254" s="46" t="s">
        <v>179</v>
      </c>
      <c r="O1254" s="46" t="s">
        <v>146</v>
      </c>
      <c r="P1254" s="46" t="s">
        <v>155</v>
      </c>
      <c r="Q1254" s="46" t="str">
        <f t="shared" si="1"/>
        <v>January, 2013</v>
      </c>
      <c r="R1254" s="115">
        <f t="shared" si="2"/>
        <v>41275</v>
      </c>
      <c r="S1254" s="49">
        <f t="array" ref="S1254">WEEKDAY(D1254,2)</f>
        <v>6</v>
      </c>
      <c r="T1254" s="46" t="s">
        <v>111</v>
      </c>
      <c r="U1254" s="46" t="str">
        <f t="array" ref="U1254">TEXT(D1254,"dddd")</f>
        <v>Saturday</v>
      </c>
    </row>
    <row r="1255" hidden="1">
      <c r="A1255" s="46">
        <v>9.4237231E8</v>
      </c>
      <c r="B1255" s="137" t="s">
        <v>228</v>
      </c>
      <c r="C1255" s="137">
        <v>2012.0</v>
      </c>
      <c r="D1255" s="138">
        <v>40945.0</v>
      </c>
      <c r="E1255" s="139">
        <v>40958.0</v>
      </c>
      <c r="F1255" s="142" t="s">
        <v>228</v>
      </c>
      <c r="G1255" s="142">
        <v>2012.0</v>
      </c>
      <c r="H1255" s="46">
        <v>5988.0</v>
      </c>
      <c r="I1255" s="46">
        <v>7763.0</v>
      </c>
      <c r="J1255" s="84">
        <v>1195967.78</v>
      </c>
      <c r="K1255" s="84">
        <v>705889.5900000001</v>
      </c>
      <c r="L1255" s="84">
        <v>490078.18999999994</v>
      </c>
      <c r="M1255" s="46" t="s">
        <v>159</v>
      </c>
      <c r="N1255" s="46" t="s">
        <v>204</v>
      </c>
      <c r="O1255" s="46" t="s">
        <v>146</v>
      </c>
      <c r="P1255" s="46" t="s">
        <v>147</v>
      </c>
      <c r="Q1255" s="46" t="str">
        <f t="shared" si="1"/>
        <v>February, 2012</v>
      </c>
      <c r="R1255" s="115">
        <f t="shared" si="2"/>
        <v>40940</v>
      </c>
      <c r="S1255" s="49">
        <f t="array" ref="S1255">WEEKDAY(D1255,2)</f>
        <v>1</v>
      </c>
      <c r="T1255" s="46" t="s">
        <v>133</v>
      </c>
      <c r="U1255" s="46" t="str">
        <f t="array" ref="U1255">TEXT(D1255,"dddd")</f>
        <v>Monday</v>
      </c>
    </row>
    <row r="1256" hidden="1">
      <c r="A1256" s="46">
        <v>9.42454278E8</v>
      </c>
      <c r="B1256" s="137" t="s">
        <v>228</v>
      </c>
      <c r="C1256" s="137">
        <v>2011.0</v>
      </c>
      <c r="D1256" s="138">
        <v>40583.0</v>
      </c>
      <c r="E1256" s="139">
        <v>40631.0</v>
      </c>
      <c r="F1256" s="142" t="s">
        <v>222</v>
      </c>
      <c r="G1256" s="142">
        <v>2011.0</v>
      </c>
      <c r="H1256" s="46">
        <v>8293.0</v>
      </c>
      <c r="I1256" s="46">
        <v>2019.0</v>
      </c>
      <c r="J1256" s="84">
        <v>882706.7999999999</v>
      </c>
      <c r="K1256" s="84">
        <v>531663.27</v>
      </c>
      <c r="L1256" s="84">
        <v>351043.5299999999</v>
      </c>
      <c r="M1256" s="46" t="s">
        <v>178</v>
      </c>
      <c r="N1256" s="46" t="s">
        <v>207</v>
      </c>
      <c r="O1256" s="46" t="s">
        <v>146</v>
      </c>
      <c r="P1256" s="46" t="s">
        <v>170</v>
      </c>
      <c r="Q1256" s="46" t="str">
        <f t="shared" si="1"/>
        <v>February, 2011</v>
      </c>
      <c r="R1256" s="115">
        <f t="shared" si="2"/>
        <v>40575</v>
      </c>
      <c r="S1256" s="49">
        <f t="array" ref="S1256">WEEKDAY(D1256,2)</f>
        <v>3</v>
      </c>
      <c r="T1256" s="46" t="s">
        <v>137</v>
      </c>
      <c r="U1256" s="46" t="str">
        <f t="array" ref="U1256">TEXT(D1256,"dddd")</f>
        <v>Wednesday</v>
      </c>
    </row>
    <row r="1257" hidden="1">
      <c r="A1257" s="46">
        <v>9.43274819E8</v>
      </c>
      <c r="B1257" s="137" t="s">
        <v>228</v>
      </c>
      <c r="C1257" s="137">
        <v>2013.0</v>
      </c>
      <c r="D1257" s="138">
        <v>41313.0</v>
      </c>
      <c r="E1257" s="139">
        <v>41341.0</v>
      </c>
      <c r="F1257" s="142" t="s">
        <v>222</v>
      </c>
      <c r="G1257" s="142">
        <v>2013.0</v>
      </c>
      <c r="H1257" s="46">
        <v>8969.0</v>
      </c>
      <c r="I1257" s="46">
        <v>4836.0</v>
      </c>
      <c r="J1257" s="84">
        <v>737876.88</v>
      </c>
      <c r="K1257" s="84">
        <v>471219.83999999997</v>
      </c>
      <c r="L1257" s="84">
        <v>266657.04000000004</v>
      </c>
      <c r="M1257" s="46" t="s">
        <v>182</v>
      </c>
      <c r="N1257" s="46" t="s">
        <v>195</v>
      </c>
      <c r="O1257" s="46" t="s">
        <v>146</v>
      </c>
      <c r="P1257" s="46" t="s">
        <v>170</v>
      </c>
      <c r="Q1257" s="46" t="str">
        <f t="shared" si="1"/>
        <v>February, 2013</v>
      </c>
      <c r="R1257" s="115">
        <f t="shared" si="2"/>
        <v>41306</v>
      </c>
      <c r="S1257" s="49">
        <f t="array" ref="S1257">WEEKDAY(D1257,2)</f>
        <v>5</v>
      </c>
      <c r="T1257" s="46" t="s">
        <v>124</v>
      </c>
      <c r="U1257" s="46" t="str">
        <f t="array" ref="U1257">TEXT(D1257,"dddd")</f>
        <v>Friday</v>
      </c>
    </row>
    <row r="1258" hidden="1">
      <c r="A1258" s="46">
        <v>9.4424771E8</v>
      </c>
      <c r="B1258" s="137" t="s">
        <v>225</v>
      </c>
      <c r="C1258" s="137">
        <v>2014.0</v>
      </c>
      <c r="D1258" s="138">
        <v>41992.0</v>
      </c>
      <c r="E1258" s="139">
        <v>42035.0</v>
      </c>
      <c r="F1258" s="142" t="s">
        <v>227</v>
      </c>
      <c r="G1258" s="142">
        <v>2015.0</v>
      </c>
      <c r="H1258" s="46">
        <v>7331.0</v>
      </c>
      <c r="I1258" s="46">
        <v>2736.0</v>
      </c>
      <c r="J1258" s="84">
        <v>698446.08</v>
      </c>
      <c r="K1258" s="84">
        <v>436173.11999999994</v>
      </c>
      <c r="L1258" s="84">
        <v>262272.96</v>
      </c>
      <c r="M1258" s="46" t="s">
        <v>161</v>
      </c>
      <c r="N1258" s="46" t="s">
        <v>196</v>
      </c>
      <c r="O1258" s="46" t="s">
        <v>146</v>
      </c>
      <c r="P1258" s="46" t="s">
        <v>155</v>
      </c>
      <c r="Q1258" s="46" t="str">
        <f t="shared" si="1"/>
        <v>December, 2014</v>
      </c>
      <c r="R1258" s="115">
        <f t="shared" si="2"/>
        <v>41974</v>
      </c>
      <c r="S1258" s="49">
        <f t="array" ref="S1258">WEEKDAY(D1258,2)</f>
        <v>5</v>
      </c>
      <c r="T1258" s="46" t="s">
        <v>125</v>
      </c>
      <c r="U1258" s="46" t="str">
        <f t="array" ref="U1258">TEXT(D1258,"dddd")</f>
        <v>Friday</v>
      </c>
    </row>
    <row r="1259" hidden="1">
      <c r="A1259" s="46">
        <v>9.44609057E8</v>
      </c>
      <c r="B1259" s="137" t="s">
        <v>227</v>
      </c>
      <c r="C1259" s="137">
        <v>2014.0</v>
      </c>
      <c r="D1259" s="138">
        <v>41669.0</v>
      </c>
      <c r="E1259" s="139">
        <v>41714.0</v>
      </c>
      <c r="F1259" s="142" t="s">
        <v>222</v>
      </c>
      <c r="G1259" s="142">
        <v>2014.0</v>
      </c>
      <c r="H1259" s="46">
        <v>8875.0</v>
      </c>
      <c r="I1259" s="46">
        <v>9666.0</v>
      </c>
      <c r="J1259" s="84">
        <v>4077988.7399999998</v>
      </c>
      <c r="K1259" s="84">
        <v>3525093.54</v>
      </c>
      <c r="L1259" s="84">
        <v>552895.1999999997</v>
      </c>
      <c r="M1259" s="46" t="s">
        <v>167</v>
      </c>
      <c r="N1259" s="46" t="s">
        <v>186</v>
      </c>
      <c r="O1259" s="46" t="s">
        <v>146</v>
      </c>
      <c r="P1259" s="46" t="s">
        <v>147</v>
      </c>
      <c r="Q1259" s="46" t="str">
        <f t="shared" si="1"/>
        <v>January, 2014</v>
      </c>
      <c r="R1259" s="115">
        <f t="shared" si="2"/>
        <v>41640</v>
      </c>
      <c r="S1259" s="49">
        <f t="array" ref="S1259">WEEKDAY(D1259,2)</f>
        <v>4</v>
      </c>
      <c r="T1259" s="46" t="s">
        <v>115</v>
      </c>
      <c r="U1259" s="46" t="str">
        <f t="array" ref="U1259">TEXT(D1259,"dddd")</f>
        <v>Thursday</v>
      </c>
    </row>
    <row r="1260" hidden="1">
      <c r="A1260" s="46">
        <v>9.46421372E8</v>
      </c>
      <c r="B1260" s="137" t="s">
        <v>222</v>
      </c>
      <c r="C1260" s="137">
        <v>2015.0</v>
      </c>
      <c r="D1260" s="138">
        <v>42082.0</v>
      </c>
      <c r="E1260" s="139">
        <v>42084.0</v>
      </c>
      <c r="F1260" s="142" t="s">
        <v>222</v>
      </c>
      <c r="G1260" s="142">
        <v>2015.0</v>
      </c>
      <c r="H1260" s="46">
        <v>1270.0</v>
      </c>
      <c r="I1260" s="46">
        <v>5971.0</v>
      </c>
      <c r="J1260" s="84">
        <v>283323.95</v>
      </c>
      <c r="K1260" s="84">
        <v>189818.09</v>
      </c>
      <c r="L1260" s="84">
        <v>93505.86000000002</v>
      </c>
      <c r="M1260" s="46" t="s">
        <v>152</v>
      </c>
      <c r="N1260" s="46" t="s">
        <v>181</v>
      </c>
      <c r="O1260" s="46" t="s">
        <v>146</v>
      </c>
      <c r="P1260" s="46" t="s">
        <v>155</v>
      </c>
      <c r="Q1260" s="46" t="str">
        <f t="shared" si="1"/>
        <v>March, 2015</v>
      </c>
      <c r="R1260" s="115">
        <f t="shared" si="2"/>
        <v>42064</v>
      </c>
      <c r="S1260" s="49">
        <f t="array" ref="S1260">WEEKDAY(D1260,2)</f>
        <v>4</v>
      </c>
      <c r="T1260" s="46" t="s">
        <v>113</v>
      </c>
      <c r="U1260" s="46" t="str">
        <f t="array" ref="U1260">TEXT(D1260,"dddd")</f>
        <v>Thursday</v>
      </c>
    </row>
    <row r="1261" hidden="1">
      <c r="A1261" s="46">
        <v>9.46823489E8</v>
      </c>
      <c r="B1261" s="137" t="s">
        <v>217</v>
      </c>
      <c r="C1261" s="137">
        <v>2016.0</v>
      </c>
      <c r="D1261" s="138">
        <v>42563.0</v>
      </c>
      <c r="E1261" s="139">
        <v>42612.0</v>
      </c>
      <c r="F1261" s="142" t="s">
        <v>216</v>
      </c>
      <c r="G1261" s="142">
        <v>2016.0</v>
      </c>
      <c r="H1261" s="46">
        <v>2103.0</v>
      </c>
      <c r="I1261" s="46">
        <v>4966.0</v>
      </c>
      <c r="J1261" s="84">
        <v>1021506.2</v>
      </c>
      <c r="K1261" s="84">
        <v>581568.26</v>
      </c>
      <c r="L1261" s="84">
        <v>439937.93999999994</v>
      </c>
      <c r="M1261" s="46" t="s">
        <v>144</v>
      </c>
      <c r="N1261" s="46" t="s">
        <v>198</v>
      </c>
      <c r="O1261" s="46" t="s">
        <v>146</v>
      </c>
      <c r="P1261" s="46" t="s">
        <v>170</v>
      </c>
      <c r="Q1261" s="46" t="str">
        <f t="shared" si="1"/>
        <v>July, 2016</v>
      </c>
      <c r="R1261" s="115">
        <f t="shared" si="2"/>
        <v>42552</v>
      </c>
      <c r="S1261" s="49">
        <f t="array" ref="S1261">WEEKDAY(D1261,2)</f>
        <v>2</v>
      </c>
      <c r="T1261" s="46" t="s">
        <v>127</v>
      </c>
      <c r="U1261" s="46" t="str">
        <f t="array" ref="U1261">TEXT(D1261,"dddd")</f>
        <v>Tuesday</v>
      </c>
    </row>
    <row r="1262" hidden="1">
      <c r="A1262" s="46">
        <v>9.47073256E8</v>
      </c>
      <c r="B1262" s="137" t="s">
        <v>219</v>
      </c>
      <c r="C1262" s="137">
        <v>2010.0</v>
      </c>
      <c r="D1262" s="138">
        <v>40329.0</v>
      </c>
      <c r="E1262" s="139">
        <v>40341.0</v>
      </c>
      <c r="F1262" s="142" t="s">
        <v>220</v>
      </c>
      <c r="G1262" s="142">
        <v>2010.0</v>
      </c>
      <c r="H1262" s="46">
        <v>8969.0</v>
      </c>
      <c r="I1262" s="46">
        <v>8878.0</v>
      </c>
      <c r="J1262" s="84">
        <v>1354605.2400000002</v>
      </c>
      <c r="K1262" s="84">
        <v>865072.32</v>
      </c>
      <c r="L1262" s="84">
        <v>489532.9200000003</v>
      </c>
      <c r="M1262" s="46" t="s">
        <v>182</v>
      </c>
      <c r="N1262" s="46" t="s">
        <v>168</v>
      </c>
      <c r="O1262" s="46" t="s">
        <v>165</v>
      </c>
      <c r="P1262" s="46" t="s">
        <v>166</v>
      </c>
      <c r="Q1262" s="46" t="str">
        <f t="shared" si="1"/>
        <v>May, 2010</v>
      </c>
      <c r="R1262" s="115">
        <f t="shared" si="2"/>
        <v>40299</v>
      </c>
      <c r="S1262" s="49">
        <f t="array" ref="S1262">WEEKDAY(D1262,2)</f>
        <v>1</v>
      </c>
      <c r="T1262" s="46" t="s">
        <v>102</v>
      </c>
      <c r="U1262" s="46" t="str">
        <f t="array" ref="U1262">TEXT(D1262,"dddd")</f>
        <v>Monday</v>
      </c>
    </row>
    <row r="1263" hidden="1">
      <c r="A1263" s="46">
        <v>9.47507131E8</v>
      </c>
      <c r="B1263" s="137" t="s">
        <v>221</v>
      </c>
      <c r="C1263" s="137">
        <v>2013.0</v>
      </c>
      <c r="D1263" s="138">
        <v>41524.0</v>
      </c>
      <c r="E1263" s="139">
        <v>41567.0</v>
      </c>
      <c r="F1263" s="142" t="s">
        <v>226</v>
      </c>
      <c r="G1263" s="142">
        <v>2013.0</v>
      </c>
      <c r="H1263" s="46">
        <v>1270.0</v>
      </c>
      <c r="I1263" s="46">
        <v>7271.0</v>
      </c>
      <c r="J1263" s="84">
        <v>345008.95</v>
      </c>
      <c r="K1263" s="84">
        <v>231145.09</v>
      </c>
      <c r="L1263" s="84">
        <v>113863.86000000002</v>
      </c>
      <c r="M1263" s="46" t="s">
        <v>152</v>
      </c>
      <c r="N1263" s="46" t="s">
        <v>181</v>
      </c>
      <c r="O1263" s="46" t="s">
        <v>146</v>
      </c>
      <c r="P1263" s="46" t="s">
        <v>155</v>
      </c>
      <c r="Q1263" s="46" t="str">
        <f t="shared" si="1"/>
        <v>September, 2013</v>
      </c>
      <c r="R1263" s="115">
        <f t="shared" si="2"/>
        <v>41518</v>
      </c>
      <c r="S1263" s="49">
        <f t="array" ref="S1263">WEEKDAY(D1263,2)</f>
        <v>6</v>
      </c>
      <c r="T1263" s="46" t="s">
        <v>113</v>
      </c>
      <c r="U1263" s="46" t="str">
        <f t="array" ref="U1263">TEXT(D1263,"dddd")</f>
        <v>Saturday</v>
      </c>
    </row>
    <row r="1264" hidden="1">
      <c r="A1264" s="46">
        <v>9.48075759E8</v>
      </c>
      <c r="B1264" s="137" t="s">
        <v>225</v>
      </c>
      <c r="C1264" s="137">
        <v>2010.0</v>
      </c>
      <c r="D1264" s="138">
        <v>40515.0</v>
      </c>
      <c r="E1264" s="139">
        <v>40547.0</v>
      </c>
      <c r="F1264" s="142" t="s">
        <v>227</v>
      </c>
      <c r="G1264" s="142">
        <v>2011.0</v>
      </c>
      <c r="H1264" s="46">
        <v>1270.0</v>
      </c>
      <c r="I1264" s="46">
        <v>5540.0</v>
      </c>
      <c r="J1264" s="84">
        <v>262873.0</v>
      </c>
      <c r="K1264" s="84">
        <v>176116.6</v>
      </c>
      <c r="L1264" s="84">
        <v>86756.4</v>
      </c>
      <c r="M1264" s="46" t="s">
        <v>152</v>
      </c>
      <c r="N1264" s="46" t="s">
        <v>194</v>
      </c>
      <c r="O1264" s="46" t="s">
        <v>146</v>
      </c>
      <c r="P1264" s="46" t="s">
        <v>155</v>
      </c>
      <c r="Q1264" s="46" t="str">
        <f t="shared" si="1"/>
        <v>December, 2010</v>
      </c>
      <c r="R1264" s="115">
        <f t="shared" si="2"/>
        <v>40513</v>
      </c>
      <c r="S1264" s="49">
        <f t="array" ref="S1264">WEEKDAY(D1264,2)</f>
        <v>5</v>
      </c>
      <c r="T1264" s="46" t="s">
        <v>123</v>
      </c>
      <c r="U1264" s="46" t="str">
        <f t="array" ref="U1264">TEXT(D1264,"dddd")</f>
        <v>Friday</v>
      </c>
    </row>
    <row r="1265" hidden="1">
      <c r="A1265" s="46">
        <v>9.48518216E8</v>
      </c>
      <c r="B1265" s="137" t="s">
        <v>223</v>
      </c>
      <c r="C1265" s="137">
        <v>2012.0</v>
      </c>
      <c r="D1265" s="138">
        <v>41006.0</v>
      </c>
      <c r="E1265" s="139">
        <v>41033.0</v>
      </c>
      <c r="F1265" s="142" t="s">
        <v>219</v>
      </c>
      <c r="G1265" s="142">
        <v>2012.0</v>
      </c>
      <c r="H1265" s="46">
        <v>8875.0</v>
      </c>
      <c r="I1265" s="46">
        <v>6473.0</v>
      </c>
      <c r="J1265" s="84">
        <v>2730893.9699999997</v>
      </c>
      <c r="K1265" s="84">
        <v>2360638.37</v>
      </c>
      <c r="L1265" s="84">
        <v>370255.5999999996</v>
      </c>
      <c r="M1265" s="46" t="s">
        <v>167</v>
      </c>
      <c r="N1265" s="46" t="s">
        <v>196</v>
      </c>
      <c r="O1265" s="46" t="s">
        <v>146</v>
      </c>
      <c r="P1265" s="46" t="s">
        <v>155</v>
      </c>
      <c r="Q1265" s="46" t="str">
        <f t="shared" si="1"/>
        <v>April, 2012</v>
      </c>
      <c r="R1265" s="115">
        <f t="shared" si="2"/>
        <v>41000</v>
      </c>
      <c r="S1265" s="49">
        <f t="array" ref="S1265">WEEKDAY(D1265,2)</f>
        <v>6</v>
      </c>
      <c r="T1265" s="46" t="s">
        <v>125</v>
      </c>
      <c r="U1265" s="46" t="str">
        <f t="array" ref="U1265">TEXT(D1265,"dddd")</f>
        <v>Saturday</v>
      </c>
    </row>
    <row r="1266" hidden="1">
      <c r="A1266" s="46">
        <v>9.49388539E8</v>
      </c>
      <c r="B1266" s="137" t="s">
        <v>221</v>
      </c>
      <c r="C1266" s="137">
        <v>2016.0</v>
      </c>
      <c r="D1266" s="138">
        <v>42631.0</v>
      </c>
      <c r="E1266" s="139">
        <v>42643.0</v>
      </c>
      <c r="F1266" s="142" t="s">
        <v>221</v>
      </c>
      <c r="G1266" s="142">
        <v>2016.0</v>
      </c>
      <c r="H1266" s="46">
        <v>8969.0</v>
      </c>
      <c r="I1266" s="46">
        <v>4021.0</v>
      </c>
      <c r="J1266" s="84">
        <v>613524.18</v>
      </c>
      <c r="K1266" s="84">
        <v>391806.24</v>
      </c>
      <c r="L1266" s="84">
        <v>221717.94000000006</v>
      </c>
      <c r="M1266" s="46" t="s">
        <v>182</v>
      </c>
      <c r="N1266" s="46" t="s">
        <v>179</v>
      </c>
      <c r="O1266" s="46" t="s">
        <v>146</v>
      </c>
      <c r="P1266" s="46" t="s">
        <v>155</v>
      </c>
      <c r="Q1266" s="46" t="str">
        <f t="shared" si="1"/>
        <v>September, 2016</v>
      </c>
      <c r="R1266" s="115">
        <f t="shared" si="2"/>
        <v>42614</v>
      </c>
      <c r="S1266" s="49">
        <f t="array" ref="S1266">WEEKDAY(D1266,2)</f>
        <v>7</v>
      </c>
      <c r="T1266" s="46" t="s">
        <v>111</v>
      </c>
      <c r="U1266" s="46" t="str">
        <f t="array" ref="U1266">TEXT(D1266,"dddd")</f>
        <v>Sunday</v>
      </c>
    </row>
    <row r="1267" hidden="1">
      <c r="A1267" s="46">
        <v>9.49732291E8</v>
      </c>
      <c r="B1267" s="137" t="s">
        <v>217</v>
      </c>
      <c r="C1267" s="137">
        <v>2017.0</v>
      </c>
      <c r="D1267" s="138">
        <v>42921.0</v>
      </c>
      <c r="E1267" s="139">
        <v>42961.0</v>
      </c>
      <c r="F1267" s="142" t="s">
        <v>216</v>
      </c>
      <c r="G1267" s="142">
        <v>2017.0</v>
      </c>
      <c r="H1267" s="46">
        <v>1270.0</v>
      </c>
      <c r="I1267" s="46">
        <v>5745.0</v>
      </c>
      <c r="J1267" s="84">
        <v>272600.25</v>
      </c>
      <c r="K1267" s="84">
        <v>182633.55</v>
      </c>
      <c r="L1267" s="84">
        <v>89966.70000000001</v>
      </c>
      <c r="M1267" s="46" t="s">
        <v>152</v>
      </c>
      <c r="N1267" s="46" t="s">
        <v>190</v>
      </c>
      <c r="O1267" s="46" t="s">
        <v>146</v>
      </c>
      <c r="P1267" s="46" t="s">
        <v>147</v>
      </c>
      <c r="Q1267" s="46" t="str">
        <f t="shared" si="1"/>
        <v>July, 2017</v>
      </c>
      <c r="R1267" s="115">
        <f t="shared" si="2"/>
        <v>42917</v>
      </c>
      <c r="S1267" s="49">
        <f t="array" ref="S1267">WEEKDAY(D1267,2)</f>
        <v>3</v>
      </c>
      <c r="T1267" s="46" t="s">
        <v>119</v>
      </c>
      <c r="U1267" s="46" t="str">
        <f t="array" ref="U1267">TEXT(D1267,"dddd")</f>
        <v>Wednesday</v>
      </c>
    </row>
    <row r="1268" hidden="1">
      <c r="A1268" s="46">
        <v>9.49912965E8</v>
      </c>
      <c r="B1268" s="137" t="s">
        <v>227</v>
      </c>
      <c r="C1268" s="137">
        <v>2017.0</v>
      </c>
      <c r="D1268" s="138">
        <v>42759.0</v>
      </c>
      <c r="E1268" s="139">
        <v>42800.0</v>
      </c>
      <c r="F1268" s="142" t="s">
        <v>222</v>
      </c>
      <c r="G1268" s="142">
        <v>2017.0</v>
      </c>
      <c r="H1268" s="46">
        <v>8293.0</v>
      </c>
      <c r="I1268" s="46">
        <v>9210.0</v>
      </c>
      <c r="J1268" s="84">
        <v>4026612.0</v>
      </c>
      <c r="K1268" s="84">
        <v>2425269.3</v>
      </c>
      <c r="L1268" s="84">
        <v>1601342.7000000002</v>
      </c>
      <c r="M1268" s="46" t="s">
        <v>178</v>
      </c>
      <c r="N1268" s="46" t="s">
        <v>171</v>
      </c>
      <c r="O1268" s="46" t="s">
        <v>146</v>
      </c>
      <c r="P1268" s="46" t="s">
        <v>147</v>
      </c>
      <c r="Q1268" s="46" t="str">
        <f t="shared" si="1"/>
        <v>January, 2017</v>
      </c>
      <c r="R1268" s="115">
        <f t="shared" si="2"/>
        <v>42736</v>
      </c>
      <c r="S1268" s="49">
        <f t="array" ref="S1268">WEEKDAY(D1268,2)</f>
        <v>2</v>
      </c>
      <c r="T1268" s="46" t="s">
        <v>104</v>
      </c>
      <c r="U1268" s="46" t="str">
        <f t="array" ref="U1268">TEXT(D1268,"dddd")</f>
        <v>Tuesday</v>
      </c>
    </row>
    <row r="1269" hidden="1">
      <c r="A1269" s="46">
        <v>9.51698243E8</v>
      </c>
      <c r="B1269" s="137" t="s">
        <v>220</v>
      </c>
      <c r="C1269" s="137">
        <v>2017.0</v>
      </c>
      <c r="D1269" s="138">
        <v>42902.0</v>
      </c>
      <c r="E1269" s="139">
        <v>42919.0</v>
      </c>
      <c r="F1269" s="142" t="s">
        <v>217</v>
      </c>
      <c r="G1269" s="142">
        <v>2017.0</v>
      </c>
      <c r="H1269" s="46">
        <v>8969.0</v>
      </c>
      <c r="I1269" s="46">
        <v>7514.0</v>
      </c>
      <c r="J1269" s="84">
        <v>1146486.12</v>
      </c>
      <c r="K1269" s="84">
        <v>732164.16</v>
      </c>
      <c r="L1269" s="84">
        <v>414321.9600000001</v>
      </c>
      <c r="M1269" s="46" t="s">
        <v>182</v>
      </c>
      <c r="N1269" s="46" t="s">
        <v>164</v>
      </c>
      <c r="O1269" s="46" t="s">
        <v>165</v>
      </c>
      <c r="P1269" s="46" t="s">
        <v>166</v>
      </c>
      <c r="Q1269" s="46" t="str">
        <f t="shared" si="1"/>
        <v>June, 2017</v>
      </c>
      <c r="R1269" s="115">
        <f t="shared" si="2"/>
        <v>42887</v>
      </c>
      <c r="S1269" s="49">
        <f t="array" ref="S1269">WEEKDAY(D1269,2)</f>
        <v>5</v>
      </c>
      <c r="T1269" s="46" t="s">
        <v>101</v>
      </c>
      <c r="U1269" s="46" t="str">
        <f t="array" ref="U1269">TEXT(D1269,"dddd")</f>
        <v>Friday</v>
      </c>
    </row>
    <row r="1270" hidden="1">
      <c r="A1270" s="46">
        <v>9.54040992E8</v>
      </c>
      <c r="B1270" s="137" t="s">
        <v>217</v>
      </c>
      <c r="C1270" s="137">
        <v>2011.0</v>
      </c>
      <c r="D1270" s="138">
        <v>40738.0</v>
      </c>
      <c r="E1270" s="139">
        <v>40782.0</v>
      </c>
      <c r="F1270" s="142" t="s">
        <v>216</v>
      </c>
      <c r="G1270" s="142">
        <v>2011.0</v>
      </c>
      <c r="H1270" s="46">
        <v>8969.0</v>
      </c>
      <c r="I1270" s="46">
        <v>785.0</v>
      </c>
      <c r="J1270" s="84">
        <v>119775.3</v>
      </c>
      <c r="K1270" s="84">
        <v>76490.4</v>
      </c>
      <c r="L1270" s="84">
        <v>43284.90000000001</v>
      </c>
      <c r="M1270" s="46" t="s">
        <v>182</v>
      </c>
      <c r="N1270" s="46" t="s">
        <v>204</v>
      </c>
      <c r="O1270" s="46" t="s">
        <v>146</v>
      </c>
      <c r="P1270" s="46" t="s">
        <v>147</v>
      </c>
      <c r="Q1270" s="46" t="str">
        <f t="shared" si="1"/>
        <v>July, 2011</v>
      </c>
      <c r="R1270" s="115">
        <f t="shared" si="2"/>
        <v>40725</v>
      </c>
      <c r="S1270" s="49">
        <f t="array" ref="S1270">WEEKDAY(D1270,2)</f>
        <v>4</v>
      </c>
      <c r="T1270" s="46" t="s">
        <v>133</v>
      </c>
      <c r="U1270" s="46" t="str">
        <f t="array" ref="U1270">TEXT(D1270,"dddd")</f>
        <v>Thursday</v>
      </c>
    </row>
    <row r="1271" hidden="1">
      <c r="A1271" s="46">
        <v>9.54065883E8</v>
      </c>
      <c r="B1271" s="137" t="s">
        <v>217</v>
      </c>
      <c r="C1271" s="137">
        <v>2016.0</v>
      </c>
      <c r="D1271" s="138">
        <v>42568.0</v>
      </c>
      <c r="E1271" s="139">
        <v>42614.0</v>
      </c>
      <c r="F1271" s="142" t="s">
        <v>221</v>
      </c>
      <c r="G1271" s="142">
        <v>2016.0</v>
      </c>
      <c r="H1271" s="46">
        <v>7940.0</v>
      </c>
      <c r="I1271" s="46">
        <v>8151.0</v>
      </c>
      <c r="J1271" s="84">
        <v>5447068.77</v>
      </c>
      <c r="K1271" s="84">
        <v>4096203.54</v>
      </c>
      <c r="L1271" s="84">
        <v>1350865.2299999995</v>
      </c>
      <c r="M1271" s="46" t="s">
        <v>148</v>
      </c>
      <c r="N1271" s="46" t="s">
        <v>194</v>
      </c>
      <c r="O1271" s="46" t="s">
        <v>146</v>
      </c>
      <c r="P1271" s="46" t="s">
        <v>155</v>
      </c>
      <c r="Q1271" s="46" t="str">
        <f t="shared" si="1"/>
        <v>July, 2016</v>
      </c>
      <c r="R1271" s="115">
        <f t="shared" si="2"/>
        <v>42552</v>
      </c>
      <c r="S1271" s="49">
        <f t="array" ref="S1271">WEEKDAY(D1271,2)</f>
        <v>7</v>
      </c>
      <c r="T1271" s="46" t="s">
        <v>123</v>
      </c>
      <c r="U1271" s="46" t="str">
        <f t="array" ref="U1271">TEXT(D1271,"dddd")</f>
        <v>Sunday</v>
      </c>
    </row>
    <row r="1272" hidden="1">
      <c r="A1272" s="46">
        <v>9.54341828E8</v>
      </c>
      <c r="B1272" s="137" t="s">
        <v>219</v>
      </c>
      <c r="C1272" s="137">
        <v>2014.0</v>
      </c>
      <c r="D1272" s="138">
        <v>41782.0</v>
      </c>
      <c r="E1272" s="139">
        <v>41831.0</v>
      </c>
      <c r="F1272" s="142" t="s">
        <v>217</v>
      </c>
      <c r="G1272" s="142">
        <v>2014.0</v>
      </c>
      <c r="H1272" s="46">
        <v>5988.0</v>
      </c>
      <c r="I1272" s="46">
        <v>9809.0</v>
      </c>
      <c r="J1272" s="84">
        <v>1511174.54</v>
      </c>
      <c r="K1272" s="84">
        <v>891932.3700000001</v>
      </c>
      <c r="L1272" s="84">
        <v>619242.1699999999</v>
      </c>
      <c r="M1272" s="46" t="s">
        <v>159</v>
      </c>
      <c r="N1272" s="46" t="s">
        <v>205</v>
      </c>
      <c r="O1272" s="46" t="s">
        <v>146</v>
      </c>
      <c r="P1272" s="46" t="s">
        <v>170</v>
      </c>
      <c r="Q1272" s="46" t="str">
        <f t="shared" si="1"/>
        <v>May, 2014</v>
      </c>
      <c r="R1272" s="115">
        <f t="shared" si="2"/>
        <v>41760</v>
      </c>
      <c r="S1272" s="49">
        <f t="array" ref="S1272">WEEKDAY(D1272,2)</f>
        <v>5</v>
      </c>
      <c r="T1272" s="46" t="s">
        <v>135</v>
      </c>
      <c r="U1272" s="46" t="str">
        <f t="array" ref="U1272">TEXT(D1272,"dddd")</f>
        <v>Friday</v>
      </c>
    </row>
    <row r="1273" hidden="1">
      <c r="A1273" s="46">
        <v>9.55466639E8</v>
      </c>
      <c r="B1273" s="137" t="s">
        <v>225</v>
      </c>
      <c r="C1273" s="137">
        <v>2013.0</v>
      </c>
      <c r="D1273" s="138">
        <v>41616.0</v>
      </c>
      <c r="E1273" s="139">
        <v>41666.0</v>
      </c>
      <c r="F1273" s="142" t="s">
        <v>227</v>
      </c>
      <c r="G1273" s="142">
        <v>2014.0</v>
      </c>
      <c r="H1273" s="46">
        <v>3127.0</v>
      </c>
      <c r="I1273" s="46">
        <v>2666.0</v>
      </c>
      <c r="J1273" s="84">
        <v>217892.18000000002</v>
      </c>
      <c r="K1273" s="84">
        <v>151082.22</v>
      </c>
      <c r="L1273" s="84">
        <v>66809.96000000002</v>
      </c>
      <c r="M1273" s="46" t="s">
        <v>185</v>
      </c>
      <c r="N1273" s="46" t="s">
        <v>160</v>
      </c>
      <c r="O1273" s="46" t="s">
        <v>146</v>
      </c>
      <c r="P1273" s="46" t="s">
        <v>147</v>
      </c>
      <c r="Q1273" s="46" t="str">
        <f t="shared" si="1"/>
        <v>December, 2013</v>
      </c>
      <c r="R1273" s="115">
        <f t="shared" si="2"/>
        <v>41609</v>
      </c>
      <c r="S1273" s="49">
        <f t="array" ref="S1273">WEEKDAY(D1273,2)</f>
        <v>7</v>
      </c>
      <c r="T1273" s="46" t="s">
        <v>98</v>
      </c>
      <c r="U1273" s="46" t="str">
        <f t="array" ref="U1273">TEXT(D1273,"dddd")</f>
        <v>Sunday</v>
      </c>
    </row>
    <row r="1274" hidden="1">
      <c r="A1274" s="46">
        <v>9.56594026E8</v>
      </c>
      <c r="B1274" s="137" t="s">
        <v>219</v>
      </c>
      <c r="C1274" s="137">
        <v>2011.0</v>
      </c>
      <c r="D1274" s="138">
        <v>40685.0</v>
      </c>
      <c r="E1274" s="139">
        <v>40711.0</v>
      </c>
      <c r="F1274" s="142" t="s">
        <v>220</v>
      </c>
      <c r="G1274" s="142">
        <v>2011.0</v>
      </c>
      <c r="H1274" s="46">
        <v>7331.0</v>
      </c>
      <c r="I1274" s="46">
        <v>6285.0</v>
      </c>
      <c r="J1274" s="84">
        <v>1604434.8</v>
      </c>
      <c r="K1274" s="84">
        <v>1001954.7</v>
      </c>
      <c r="L1274" s="84">
        <v>602480.1000000001</v>
      </c>
      <c r="M1274" s="46" t="s">
        <v>161</v>
      </c>
      <c r="N1274" s="46" t="s">
        <v>160</v>
      </c>
      <c r="O1274" s="46" t="s">
        <v>146</v>
      </c>
      <c r="P1274" s="46" t="s">
        <v>147</v>
      </c>
      <c r="Q1274" s="46" t="str">
        <f t="shared" si="1"/>
        <v>May, 2011</v>
      </c>
      <c r="R1274" s="115">
        <f t="shared" si="2"/>
        <v>40664</v>
      </c>
      <c r="S1274" s="49">
        <f t="array" ref="S1274">WEEKDAY(D1274,2)</f>
        <v>7</v>
      </c>
      <c r="T1274" s="46" t="s">
        <v>98</v>
      </c>
      <c r="U1274" s="46" t="str">
        <f t="array" ref="U1274">TEXT(D1274,"dddd")</f>
        <v>Sunday</v>
      </c>
    </row>
    <row r="1275" hidden="1">
      <c r="A1275" s="46">
        <v>9.56969964E8</v>
      </c>
      <c r="B1275" s="137" t="s">
        <v>223</v>
      </c>
      <c r="C1275" s="137">
        <v>2016.0</v>
      </c>
      <c r="D1275" s="138">
        <v>42484.0</v>
      </c>
      <c r="E1275" s="139">
        <v>42517.0</v>
      </c>
      <c r="F1275" s="142" t="s">
        <v>219</v>
      </c>
      <c r="G1275" s="142">
        <v>2016.0</v>
      </c>
      <c r="H1275" s="46">
        <v>5988.0</v>
      </c>
      <c r="I1275" s="46">
        <v>7533.0</v>
      </c>
      <c r="J1275" s="84">
        <v>1160533.98</v>
      </c>
      <c r="K1275" s="84">
        <v>684975.6900000001</v>
      </c>
      <c r="L1275" s="84">
        <v>475558.2899999999</v>
      </c>
      <c r="M1275" s="46" t="s">
        <v>159</v>
      </c>
      <c r="N1275" s="46" t="s">
        <v>198</v>
      </c>
      <c r="O1275" s="46" t="s">
        <v>146</v>
      </c>
      <c r="P1275" s="46" t="s">
        <v>170</v>
      </c>
      <c r="Q1275" s="46" t="str">
        <f t="shared" si="1"/>
        <v>April, 2016</v>
      </c>
      <c r="R1275" s="115">
        <f t="shared" si="2"/>
        <v>42461</v>
      </c>
      <c r="S1275" s="49">
        <f t="array" ref="S1275">WEEKDAY(D1275,2)</f>
        <v>7</v>
      </c>
      <c r="T1275" s="46" t="s">
        <v>127</v>
      </c>
      <c r="U1275" s="46" t="str">
        <f t="array" ref="U1275">TEXT(D1275,"dddd")</f>
        <v>Sunday</v>
      </c>
    </row>
    <row r="1276" hidden="1">
      <c r="A1276" s="46">
        <v>9.57926118E8</v>
      </c>
      <c r="B1276" s="137" t="s">
        <v>216</v>
      </c>
      <c r="C1276" s="137">
        <v>2016.0</v>
      </c>
      <c r="D1276" s="138">
        <v>42600.0</v>
      </c>
      <c r="E1276" s="139">
        <v>42614.0</v>
      </c>
      <c r="F1276" s="142" t="s">
        <v>221</v>
      </c>
      <c r="G1276" s="142">
        <v>2016.0</v>
      </c>
      <c r="H1276" s="46">
        <v>8969.0</v>
      </c>
      <c r="I1276" s="46">
        <v>480.0</v>
      </c>
      <c r="J1276" s="84">
        <v>73238.40000000001</v>
      </c>
      <c r="K1276" s="84">
        <v>46771.2</v>
      </c>
      <c r="L1276" s="84">
        <v>26467.20000000001</v>
      </c>
      <c r="M1276" s="46" t="s">
        <v>182</v>
      </c>
      <c r="N1276" s="46" t="s">
        <v>208</v>
      </c>
      <c r="O1276" s="46" t="s">
        <v>146</v>
      </c>
      <c r="P1276" s="46" t="s">
        <v>147</v>
      </c>
      <c r="Q1276" s="46" t="str">
        <f t="shared" si="1"/>
        <v>August, 2016</v>
      </c>
      <c r="R1276" s="115">
        <f t="shared" si="2"/>
        <v>42583</v>
      </c>
      <c r="S1276" s="49">
        <f t="array" ref="S1276">WEEKDAY(D1276,2)</f>
        <v>4</v>
      </c>
      <c r="T1276" s="46" t="s">
        <v>138</v>
      </c>
      <c r="U1276" s="46" t="str">
        <f t="array" ref="U1276">TEXT(D1276,"dddd")</f>
        <v>Thursday</v>
      </c>
    </row>
    <row r="1277" hidden="1">
      <c r="A1277" s="46">
        <v>9.58366E8</v>
      </c>
      <c r="B1277" s="137" t="s">
        <v>220</v>
      </c>
      <c r="C1277" s="137">
        <v>2012.0</v>
      </c>
      <c r="D1277" s="138">
        <v>41089.0</v>
      </c>
      <c r="E1277" s="139">
        <v>41124.0</v>
      </c>
      <c r="F1277" s="142" t="s">
        <v>216</v>
      </c>
      <c r="G1277" s="142">
        <v>2012.0</v>
      </c>
      <c r="H1277" s="46">
        <v>2103.0</v>
      </c>
      <c r="I1277" s="46">
        <v>651.0</v>
      </c>
      <c r="J1277" s="84">
        <v>133910.69999999998</v>
      </c>
      <c r="K1277" s="84">
        <v>76238.61</v>
      </c>
      <c r="L1277" s="84">
        <v>57672.08999999998</v>
      </c>
      <c r="M1277" s="46" t="s">
        <v>144</v>
      </c>
      <c r="N1277" s="46" t="s">
        <v>179</v>
      </c>
      <c r="O1277" s="46" t="s">
        <v>146</v>
      </c>
      <c r="P1277" s="46" t="s">
        <v>155</v>
      </c>
      <c r="Q1277" s="46" t="str">
        <f t="shared" si="1"/>
        <v>June, 2012</v>
      </c>
      <c r="R1277" s="115">
        <f t="shared" si="2"/>
        <v>41061</v>
      </c>
      <c r="S1277" s="49">
        <f t="array" ref="S1277">WEEKDAY(D1277,2)</f>
        <v>5</v>
      </c>
      <c r="T1277" s="46" t="s">
        <v>111</v>
      </c>
      <c r="U1277" s="46" t="str">
        <f t="array" ref="U1277">TEXT(D1277,"dddd")</f>
        <v>Friday</v>
      </c>
    </row>
    <row r="1278" hidden="1">
      <c r="A1278" s="46">
        <v>9.60213077E8</v>
      </c>
      <c r="B1278" s="137" t="s">
        <v>216</v>
      </c>
      <c r="C1278" s="137">
        <v>2015.0</v>
      </c>
      <c r="D1278" s="138">
        <v>42247.0</v>
      </c>
      <c r="E1278" s="139">
        <v>42293.0</v>
      </c>
      <c r="F1278" s="142" t="s">
        <v>226</v>
      </c>
      <c r="G1278" s="142">
        <v>2015.0</v>
      </c>
      <c r="H1278" s="46">
        <v>1270.0</v>
      </c>
      <c r="I1278" s="46">
        <v>7242.0</v>
      </c>
      <c r="J1278" s="84">
        <v>343632.9</v>
      </c>
      <c r="K1278" s="84">
        <v>230223.18</v>
      </c>
      <c r="L1278" s="84">
        <v>113409.72000000003</v>
      </c>
      <c r="M1278" s="46" t="s">
        <v>152</v>
      </c>
      <c r="N1278" s="46" t="s">
        <v>176</v>
      </c>
      <c r="O1278" s="46" t="s">
        <v>146</v>
      </c>
      <c r="P1278" s="46" t="s">
        <v>158</v>
      </c>
      <c r="Q1278" s="46" t="str">
        <f t="shared" si="1"/>
        <v>August, 2015</v>
      </c>
      <c r="R1278" s="115">
        <f t="shared" si="2"/>
        <v>42217</v>
      </c>
      <c r="S1278" s="49">
        <f t="array" ref="S1278">WEEKDAY(D1278,2)</f>
        <v>1</v>
      </c>
      <c r="T1278" s="46" t="s">
        <v>109</v>
      </c>
      <c r="U1278" s="46" t="str">
        <f t="array" ref="U1278">TEXT(D1278,"dddd")</f>
        <v>Monday</v>
      </c>
    </row>
    <row r="1279" hidden="1">
      <c r="A1279" s="46">
        <v>9.62560546E8</v>
      </c>
      <c r="B1279" s="137" t="s">
        <v>225</v>
      </c>
      <c r="C1279" s="137">
        <v>2010.0</v>
      </c>
      <c r="D1279" s="138">
        <v>40526.0</v>
      </c>
      <c r="E1279" s="139">
        <v>40551.0</v>
      </c>
      <c r="F1279" s="142" t="s">
        <v>227</v>
      </c>
      <c r="G1279" s="142">
        <v>2011.0</v>
      </c>
      <c r="H1279" s="46">
        <v>2103.0</v>
      </c>
      <c r="I1279" s="46">
        <v>1911.0</v>
      </c>
      <c r="J1279" s="84">
        <v>393092.69999999995</v>
      </c>
      <c r="K1279" s="84">
        <v>223797.21</v>
      </c>
      <c r="L1279" s="84">
        <v>169295.48999999996</v>
      </c>
      <c r="M1279" s="46" t="s">
        <v>144</v>
      </c>
      <c r="N1279" s="46" t="s">
        <v>168</v>
      </c>
      <c r="O1279" s="46" t="s">
        <v>165</v>
      </c>
      <c r="P1279" s="46" t="s">
        <v>166</v>
      </c>
      <c r="Q1279" s="46" t="str">
        <f t="shared" si="1"/>
        <v>December, 2010</v>
      </c>
      <c r="R1279" s="115">
        <f t="shared" si="2"/>
        <v>40513</v>
      </c>
      <c r="S1279" s="49">
        <f t="array" ref="S1279">WEEKDAY(D1279,2)</f>
        <v>2</v>
      </c>
      <c r="T1279" s="46" t="s">
        <v>102</v>
      </c>
      <c r="U1279" s="46" t="str">
        <f t="array" ref="U1279">TEXT(D1279,"dddd")</f>
        <v>Tuesday</v>
      </c>
    </row>
    <row r="1280" hidden="1">
      <c r="A1280" s="46">
        <v>9.63219296E8</v>
      </c>
      <c r="B1280" s="137" t="s">
        <v>221</v>
      </c>
      <c r="C1280" s="137">
        <v>2010.0</v>
      </c>
      <c r="D1280" s="138">
        <v>40422.0</v>
      </c>
      <c r="E1280" s="139">
        <v>40439.0</v>
      </c>
      <c r="F1280" s="142" t="s">
        <v>221</v>
      </c>
      <c r="G1280" s="142">
        <v>2010.0</v>
      </c>
      <c r="H1280" s="46">
        <v>2103.0</v>
      </c>
      <c r="I1280" s="46">
        <v>6850.0</v>
      </c>
      <c r="J1280" s="84">
        <v>1409045.0</v>
      </c>
      <c r="K1280" s="84">
        <v>802203.5</v>
      </c>
      <c r="L1280" s="84">
        <v>606841.5</v>
      </c>
      <c r="M1280" s="46" t="s">
        <v>144</v>
      </c>
      <c r="N1280" s="46" t="s">
        <v>190</v>
      </c>
      <c r="O1280" s="46" t="s">
        <v>146</v>
      </c>
      <c r="P1280" s="46" t="s">
        <v>147</v>
      </c>
      <c r="Q1280" s="46" t="str">
        <f t="shared" si="1"/>
        <v>September, 2010</v>
      </c>
      <c r="R1280" s="115">
        <f t="shared" si="2"/>
        <v>40422</v>
      </c>
      <c r="S1280" s="49">
        <f t="array" ref="S1280">WEEKDAY(D1280,2)</f>
        <v>3</v>
      </c>
      <c r="T1280" s="46" t="s">
        <v>119</v>
      </c>
      <c r="U1280" s="46" t="str">
        <f t="array" ref="U1280">TEXT(D1280,"dddd")</f>
        <v>Wednesday</v>
      </c>
    </row>
    <row r="1281" hidden="1">
      <c r="A1281" s="46">
        <v>9.65796363E8</v>
      </c>
      <c r="B1281" s="137" t="s">
        <v>222</v>
      </c>
      <c r="C1281" s="137">
        <v>2011.0</v>
      </c>
      <c r="D1281" s="138">
        <v>40611.0</v>
      </c>
      <c r="E1281" s="139">
        <v>40621.0</v>
      </c>
      <c r="F1281" s="142" t="s">
        <v>222</v>
      </c>
      <c r="G1281" s="142">
        <v>2011.0</v>
      </c>
      <c r="H1281" s="46">
        <v>4594.0</v>
      </c>
      <c r="I1281" s="46">
        <v>9461.0</v>
      </c>
      <c r="J1281" s="84">
        <v>88271.13</v>
      </c>
      <c r="K1281" s="84">
        <v>65470.12</v>
      </c>
      <c r="L1281" s="84">
        <v>22801.010000000002</v>
      </c>
      <c r="M1281" s="46" t="s">
        <v>156</v>
      </c>
      <c r="N1281" s="46" t="s">
        <v>177</v>
      </c>
      <c r="O1281" s="46" t="s">
        <v>146</v>
      </c>
      <c r="P1281" s="46" t="s">
        <v>170</v>
      </c>
      <c r="Q1281" s="46" t="str">
        <f t="shared" si="1"/>
        <v>March, 2011</v>
      </c>
      <c r="R1281" s="115">
        <f t="shared" si="2"/>
        <v>40603</v>
      </c>
      <c r="S1281" s="49">
        <f t="array" ref="S1281">WEEKDAY(D1281,2)</f>
        <v>3</v>
      </c>
      <c r="T1281" s="46" t="s">
        <v>110</v>
      </c>
      <c r="U1281" s="46" t="str">
        <f t="array" ref="U1281">TEXT(D1281,"dddd")</f>
        <v>Wednesday</v>
      </c>
    </row>
    <row r="1282" hidden="1">
      <c r="A1282" s="46">
        <v>9.66800153E8</v>
      </c>
      <c r="B1282" s="137" t="s">
        <v>216</v>
      </c>
      <c r="C1282" s="137">
        <v>2010.0</v>
      </c>
      <c r="D1282" s="138">
        <v>40415.0</v>
      </c>
      <c r="E1282" s="139">
        <v>40431.0</v>
      </c>
      <c r="F1282" s="142" t="s">
        <v>221</v>
      </c>
      <c r="G1282" s="142">
        <v>2010.0</v>
      </c>
      <c r="H1282" s="46">
        <v>8875.0</v>
      </c>
      <c r="I1282" s="46">
        <v>6505.0</v>
      </c>
      <c r="J1282" s="84">
        <v>2744394.4499999997</v>
      </c>
      <c r="K1282" s="84">
        <v>2372308.45</v>
      </c>
      <c r="L1282" s="84">
        <v>372085.99999999953</v>
      </c>
      <c r="M1282" s="46" t="s">
        <v>167</v>
      </c>
      <c r="N1282" s="46" t="s">
        <v>188</v>
      </c>
      <c r="O1282" s="46" t="s">
        <v>146</v>
      </c>
      <c r="P1282" s="46" t="s">
        <v>170</v>
      </c>
      <c r="Q1282" s="46" t="str">
        <f t="shared" si="1"/>
        <v>August, 2010</v>
      </c>
      <c r="R1282" s="115">
        <f t="shared" si="2"/>
        <v>40391</v>
      </c>
      <c r="S1282" s="49">
        <f t="array" ref="S1282">WEEKDAY(D1282,2)</f>
        <v>3</v>
      </c>
      <c r="T1282" s="46" t="s">
        <v>117</v>
      </c>
      <c r="U1282" s="46" t="str">
        <f t="array" ref="U1282">TEXT(D1282,"dddd")</f>
        <v>Wednesday</v>
      </c>
    </row>
    <row r="1283" hidden="1">
      <c r="A1283" s="46">
        <v>9.67258059E8</v>
      </c>
      <c r="B1283" s="137" t="s">
        <v>217</v>
      </c>
      <c r="C1283" s="137">
        <v>2014.0</v>
      </c>
      <c r="D1283" s="138">
        <v>41851.0</v>
      </c>
      <c r="E1283" s="139">
        <v>41859.0</v>
      </c>
      <c r="F1283" s="142" t="s">
        <v>216</v>
      </c>
      <c r="G1283" s="142">
        <v>2014.0</v>
      </c>
      <c r="H1283" s="46">
        <v>3127.0</v>
      </c>
      <c r="I1283" s="46">
        <v>2009.0</v>
      </c>
      <c r="J1283" s="84">
        <v>164195.57</v>
      </c>
      <c r="K1283" s="84">
        <v>113850.03</v>
      </c>
      <c r="L1283" s="84">
        <v>50345.54000000001</v>
      </c>
      <c r="M1283" s="46" t="s">
        <v>185</v>
      </c>
      <c r="N1283" s="46" t="s">
        <v>189</v>
      </c>
      <c r="O1283" s="46" t="s">
        <v>146</v>
      </c>
      <c r="P1283" s="46" t="s">
        <v>158</v>
      </c>
      <c r="Q1283" s="46" t="str">
        <f t="shared" si="1"/>
        <v>July, 2014</v>
      </c>
      <c r="R1283" s="115">
        <f t="shared" si="2"/>
        <v>41821</v>
      </c>
      <c r="S1283" s="49">
        <f t="array" ref="S1283">WEEKDAY(D1283,2)</f>
        <v>4</v>
      </c>
      <c r="T1283" s="46" t="s">
        <v>118</v>
      </c>
      <c r="U1283" s="46" t="str">
        <f t="array" ref="U1283">TEXT(D1283,"dddd")</f>
        <v>Thursday</v>
      </c>
    </row>
    <row r="1284" hidden="1">
      <c r="A1284" s="46">
        <v>9.67679059E8</v>
      </c>
      <c r="B1284" s="137" t="s">
        <v>222</v>
      </c>
      <c r="C1284" s="137">
        <v>2013.0</v>
      </c>
      <c r="D1284" s="138">
        <v>41336.0</v>
      </c>
      <c r="E1284" s="139">
        <v>41352.0</v>
      </c>
      <c r="F1284" s="142" t="s">
        <v>222</v>
      </c>
      <c r="G1284" s="142">
        <v>2013.0</v>
      </c>
      <c r="H1284" s="46">
        <v>5988.0</v>
      </c>
      <c r="I1284" s="46">
        <v>6592.0</v>
      </c>
      <c r="J1284" s="84">
        <v>1015563.52</v>
      </c>
      <c r="K1284" s="84">
        <v>599410.56</v>
      </c>
      <c r="L1284" s="84">
        <v>416152.95999999996</v>
      </c>
      <c r="M1284" s="46" t="s">
        <v>159</v>
      </c>
      <c r="N1284" s="46" t="s">
        <v>199</v>
      </c>
      <c r="O1284" s="46" t="s">
        <v>146</v>
      </c>
      <c r="P1284" s="46" t="s">
        <v>147</v>
      </c>
      <c r="Q1284" s="46" t="str">
        <f t="shared" si="1"/>
        <v>March, 2013</v>
      </c>
      <c r="R1284" s="115">
        <f t="shared" si="2"/>
        <v>41334</v>
      </c>
      <c r="S1284" s="49">
        <f t="array" ref="S1284">WEEKDAY(D1284,2)</f>
        <v>7</v>
      </c>
      <c r="T1284" s="46" t="s">
        <v>128</v>
      </c>
      <c r="U1284" s="46" t="str">
        <f t="array" ref="U1284">TEXT(D1284,"dddd")</f>
        <v>Sunday</v>
      </c>
    </row>
    <row r="1285" hidden="1">
      <c r="A1285" s="46">
        <v>9.6818546E8</v>
      </c>
      <c r="B1285" s="137" t="s">
        <v>227</v>
      </c>
      <c r="C1285" s="137">
        <v>2013.0</v>
      </c>
      <c r="D1285" s="138">
        <v>41283.0</v>
      </c>
      <c r="E1285" s="139">
        <v>41308.0</v>
      </c>
      <c r="F1285" s="142" t="s">
        <v>228</v>
      </c>
      <c r="G1285" s="142">
        <v>2013.0</v>
      </c>
      <c r="H1285" s="46">
        <v>8969.0</v>
      </c>
      <c r="I1285" s="46">
        <v>6448.0</v>
      </c>
      <c r="J1285" s="84">
        <v>983835.8400000001</v>
      </c>
      <c r="K1285" s="84">
        <v>628293.12</v>
      </c>
      <c r="L1285" s="84">
        <v>355542.7200000001</v>
      </c>
      <c r="M1285" s="46" t="s">
        <v>182</v>
      </c>
      <c r="N1285" s="46" t="s">
        <v>173</v>
      </c>
      <c r="O1285" s="46" t="s">
        <v>146</v>
      </c>
      <c r="P1285" s="46" t="s">
        <v>155</v>
      </c>
      <c r="Q1285" s="46" t="str">
        <f t="shared" si="1"/>
        <v>January, 2013</v>
      </c>
      <c r="R1285" s="115">
        <f t="shared" si="2"/>
        <v>41275</v>
      </c>
      <c r="S1285" s="49">
        <f t="array" ref="S1285">WEEKDAY(D1285,2)</f>
        <v>3</v>
      </c>
      <c r="T1285" s="46" t="s">
        <v>106</v>
      </c>
      <c r="U1285" s="46" t="str">
        <f t="array" ref="U1285">TEXT(D1285,"dddd")</f>
        <v>Wednesday</v>
      </c>
    </row>
    <row r="1286" hidden="1">
      <c r="A1286" s="46">
        <v>9.69195258E8</v>
      </c>
      <c r="B1286" s="137" t="s">
        <v>216</v>
      </c>
      <c r="C1286" s="137">
        <v>2012.0</v>
      </c>
      <c r="D1286" s="138">
        <v>41147.0</v>
      </c>
      <c r="E1286" s="139">
        <v>41169.0</v>
      </c>
      <c r="F1286" s="142" t="s">
        <v>221</v>
      </c>
      <c r="G1286" s="142">
        <v>2012.0</v>
      </c>
      <c r="H1286" s="46">
        <v>5988.0</v>
      </c>
      <c r="I1286" s="46">
        <v>5269.0</v>
      </c>
      <c r="J1286" s="84">
        <v>811742.14</v>
      </c>
      <c r="K1286" s="84">
        <v>479110.17000000004</v>
      </c>
      <c r="L1286" s="84">
        <v>332631.97</v>
      </c>
      <c r="M1286" s="46" t="s">
        <v>159</v>
      </c>
      <c r="N1286" s="46" t="s">
        <v>205</v>
      </c>
      <c r="O1286" s="46" t="s">
        <v>146</v>
      </c>
      <c r="P1286" s="46" t="s">
        <v>170</v>
      </c>
      <c r="Q1286" s="46" t="str">
        <f t="shared" si="1"/>
        <v>August, 2012</v>
      </c>
      <c r="R1286" s="115">
        <f t="shared" si="2"/>
        <v>41122</v>
      </c>
      <c r="S1286" s="49">
        <f t="array" ref="S1286">WEEKDAY(D1286,2)</f>
        <v>7</v>
      </c>
      <c r="T1286" s="46" t="s">
        <v>135</v>
      </c>
      <c r="U1286" s="46" t="str">
        <f t="array" ref="U1286">TEXT(D1286,"dddd")</f>
        <v>Sunday</v>
      </c>
    </row>
    <row r="1287" hidden="1">
      <c r="A1287" s="46">
        <v>9.69199979E8</v>
      </c>
      <c r="B1287" s="137" t="s">
        <v>224</v>
      </c>
      <c r="C1287" s="137">
        <v>2013.0</v>
      </c>
      <c r="D1287" s="138">
        <v>41590.0</v>
      </c>
      <c r="E1287" s="139">
        <v>41615.0</v>
      </c>
      <c r="F1287" s="142" t="s">
        <v>225</v>
      </c>
      <c r="G1287" s="142">
        <v>2013.0</v>
      </c>
      <c r="H1287" s="46">
        <v>8875.0</v>
      </c>
      <c r="I1287" s="46">
        <v>6666.0</v>
      </c>
      <c r="J1287" s="84">
        <v>2812318.7399999998</v>
      </c>
      <c r="K1287" s="84">
        <v>2431023.54</v>
      </c>
      <c r="L1287" s="84">
        <v>381295.1999999997</v>
      </c>
      <c r="M1287" s="46" t="s">
        <v>167</v>
      </c>
      <c r="N1287" s="46" t="s">
        <v>208</v>
      </c>
      <c r="O1287" s="46" t="s">
        <v>146</v>
      </c>
      <c r="P1287" s="46" t="s">
        <v>147</v>
      </c>
      <c r="Q1287" s="46" t="str">
        <f t="shared" si="1"/>
        <v>November, 2013</v>
      </c>
      <c r="R1287" s="115">
        <f t="shared" si="2"/>
        <v>41579</v>
      </c>
      <c r="S1287" s="49">
        <f t="array" ref="S1287">WEEKDAY(D1287,2)</f>
        <v>2</v>
      </c>
      <c r="T1287" s="46" t="s">
        <v>138</v>
      </c>
      <c r="U1287" s="46" t="str">
        <f t="array" ref="U1287">TEXT(D1287,"dddd")</f>
        <v>Tuesday</v>
      </c>
    </row>
    <row r="1288" hidden="1">
      <c r="A1288" s="46">
        <v>9.69289243E8</v>
      </c>
      <c r="B1288" s="137" t="s">
        <v>225</v>
      </c>
      <c r="C1288" s="137">
        <v>2011.0</v>
      </c>
      <c r="D1288" s="138">
        <v>40905.0</v>
      </c>
      <c r="E1288" s="139">
        <v>40941.0</v>
      </c>
      <c r="F1288" s="142" t="s">
        <v>228</v>
      </c>
      <c r="G1288" s="142">
        <v>2012.0</v>
      </c>
      <c r="H1288" s="46">
        <v>7940.0</v>
      </c>
      <c r="I1288" s="46">
        <v>3082.0</v>
      </c>
      <c r="J1288" s="84">
        <v>2059608.14</v>
      </c>
      <c r="K1288" s="84">
        <v>1548828.28</v>
      </c>
      <c r="L1288" s="84">
        <v>510779.85999999987</v>
      </c>
      <c r="M1288" s="46" t="s">
        <v>148</v>
      </c>
      <c r="N1288" s="46" t="s">
        <v>204</v>
      </c>
      <c r="O1288" s="46" t="s">
        <v>146</v>
      </c>
      <c r="P1288" s="46" t="s">
        <v>147</v>
      </c>
      <c r="Q1288" s="46" t="str">
        <f t="shared" si="1"/>
        <v>December, 2011</v>
      </c>
      <c r="R1288" s="115">
        <f t="shared" si="2"/>
        <v>40878</v>
      </c>
      <c r="S1288" s="49">
        <f t="array" ref="S1288">WEEKDAY(D1288,2)</f>
        <v>3</v>
      </c>
      <c r="T1288" s="46" t="s">
        <v>133</v>
      </c>
      <c r="U1288" s="46" t="str">
        <f t="array" ref="U1288">TEXT(D1288,"dddd")</f>
        <v>Wednesday</v>
      </c>
    </row>
    <row r="1289" hidden="1">
      <c r="A1289" s="46">
        <v>9.70427358E8</v>
      </c>
      <c r="B1289" s="137" t="s">
        <v>226</v>
      </c>
      <c r="C1289" s="137">
        <v>2010.0</v>
      </c>
      <c r="D1289" s="138">
        <v>40477.0</v>
      </c>
      <c r="E1289" s="139">
        <v>40482.0</v>
      </c>
      <c r="F1289" s="142" t="s">
        <v>226</v>
      </c>
      <c r="G1289" s="142">
        <v>2010.0</v>
      </c>
      <c r="H1289" s="46">
        <v>8875.0</v>
      </c>
      <c r="I1289" s="46">
        <v>9875.0</v>
      </c>
      <c r="J1289" s="84">
        <v>4166163.75</v>
      </c>
      <c r="K1289" s="84">
        <v>3601313.75</v>
      </c>
      <c r="L1289" s="84">
        <v>564850.0</v>
      </c>
      <c r="M1289" s="46" t="s">
        <v>167</v>
      </c>
      <c r="N1289" s="46" t="s">
        <v>164</v>
      </c>
      <c r="O1289" s="46" t="s">
        <v>165</v>
      </c>
      <c r="P1289" s="46" t="s">
        <v>166</v>
      </c>
      <c r="Q1289" s="46" t="str">
        <f t="shared" si="1"/>
        <v>October, 2010</v>
      </c>
      <c r="R1289" s="115">
        <f t="shared" si="2"/>
        <v>40452</v>
      </c>
      <c r="S1289" s="49">
        <f t="array" ref="S1289">WEEKDAY(D1289,2)</f>
        <v>2</v>
      </c>
      <c r="T1289" s="46" t="s">
        <v>101</v>
      </c>
      <c r="U1289" s="46" t="str">
        <f t="array" ref="U1289">TEXT(D1289,"dddd")</f>
        <v>Tuesday</v>
      </c>
    </row>
    <row r="1290" hidden="1">
      <c r="A1290" s="46">
        <v>9.71578347E8</v>
      </c>
      <c r="B1290" s="137" t="s">
        <v>223</v>
      </c>
      <c r="C1290" s="137">
        <v>2014.0</v>
      </c>
      <c r="D1290" s="138">
        <v>41759.0</v>
      </c>
      <c r="E1290" s="139">
        <v>41806.0</v>
      </c>
      <c r="F1290" s="142" t="s">
        <v>220</v>
      </c>
      <c r="G1290" s="142">
        <v>2014.0</v>
      </c>
      <c r="H1290" s="46">
        <v>7940.0</v>
      </c>
      <c r="I1290" s="46">
        <v>478.0</v>
      </c>
      <c r="J1290" s="84">
        <v>319433.06</v>
      </c>
      <c r="K1290" s="84">
        <v>240214.12</v>
      </c>
      <c r="L1290" s="84">
        <v>79218.94</v>
      </c>
      <c r="M1290" s="46" t="s">
        <v>148</v>
      </c>
      <c r="N1290" s="46" t="s">
        <v>206</v>
      </c>
      <c r="O1290" s="46" t="s">
        <v>146</v>
      </c>
      <c r="P1290" s="46" t="s">
        <v>158</v>
      </c>
      <c r="Q1290" s="46" t="str">
        <f t="shared" si="1"/>
        <v>April, 2014</v>
      </c>
      <c r="R1290" s="115">
        <f t="shared" si="2"/>
        <v>41730</v>
      </c>
      <c r="S1290" s="49">
        <f t="array" ref="S1290">WEEKDAY(D1290,2)</f>
        <v>3</v>
      </c>
      <c r="T1290" s="46" t="s">
        <v>136</v>
      </c>
      <c r="U1290" s="46" t="str">
        <f t="array" ref="U1290">TEXT(D1290,"dddd")</f>
        <v>Wednesday</v>
      </c>
    </row>
    <row r="1291" hidden="1">
      <c r="A1291" s="46">
        <v>9.71899354E8</v>
      </c>
      <c r="B1291" s="137" t="s">
        <v>220</v>
      </c>
      <c r="C1291" s="137">
        <v>2013.0</v>
      </c>
      <c r="D1291" s="138">
        <v>41426.0</v>
      </c>
      <c r="E1291" s="139">
        <v>41426.0</v>
      </c>
      <c r="F1291" s="142" t="s">
        <v>220</v>
      </c>
      <c r="G1291" s="142">
        <v>2013.0</v>
      </c>
      <c r="H1291" s="46">
        <v>8969.0</v>
      </c>
      <c r="I1291" s="46">
        <v>5471.0</v>
      </c>
      <c r="J1291" s="84">
        <v>834765.18</v>
      </c>
      <c r="K1291" s="84">
        <v>533094.24</v>
      </c>
      <c r="L1291" s="84">
        <v>301670.94000000006</v>
      </c>
      <c r="M1291" s="46" t="s">
        <v>182</v>
      </c>
      <c r="N1291" s="46" t="s">
        <v>203</v>
      </c>
      <c r="O1291" s="46" t="s">
        <v>146</v>
      </c>
      <c r="P1291" s="46" t="s">
        <v>170</v>
      </c>
      <c r="Q1291" s="46" t="str">
        <f t="shared" si="1"/>
        <v>June, 2013</v>
      </c>
      <c r="R1291" s="115">
        <f t="shared" si="2"/>
        <v>41426</v>
      </c>
      <c r="S1291" s="49">
        <f t="array" ref="S1291">WEEKDAY(D1291,2)</f>
        <v>6</v>
      </c>
      <c r="T1291" s="46" t="s">
        <v>132</v>
      </c>
      <c r="U1291" s="46" t="str">
        <f t="array" ref="U1291">TEXT(D1291,"dddd")</f>
        <v>Saturday</v>
      </c>
    </row>
    <row r="1292" hidden="1">
      <c r="A1292" s="46">
        <v>9.72419059E8</v>
      </c>
      <c r="B1292" s="137" t="s">
        <v>217</v>
      </c>
      <c r="C1292" s="137">
        <v>2012.0</v>
      </c>
      <c r="D1292" s="138">
        <v>41112.0</v>
      </c>
      <c r="E1292" s="139">
        <v>41138.0</v>
      </c>
      <c r="F1292" s="142" t="s">
        <v>216</v>
      </c>
      <c r="G1292" s="142">
        <v>2012.0</v>
      </c>
      <c r="H1292" s="46">
        <v>2103.0</v>
      </c>
      <c r="I1292" s="46">
        <v>9264.0</v>
      </c>
      <c r="J1292" s="84">
        <v>1905604.7999999998</v>
      </c>
      <c r="K1292" s="84">
        <v>1084907.04</v>
      </c>
      <c r="L1292" s="84">
        <v>820697.7599999998</v>
      </c>
      <c r="M1292" s="46" t="s">
        <v>144</v>
      </c>
      <c r="N1292" s="46" t="s">
        <v>171</v>
      </c>
      <c r="O1292" s="46" t="s">
        <v>146</v>
      </c>
      <c r="P1292" s="46" t="s">
        <v>147</v>
      </c>
      <c r="Q1292" s="46" t="str">
        <f t="shared" si="1"/>
        <v>July, 2012</v>
      </c>
      <c r="R1292" s="115">
        <f t="shared" si="2"/>
        <v>41091</v>
      </c>
      <c r="S1292" s="49">
        <f t="array" ref="S1292">WEEKDAY(D1292,2)</f>
        <v>7</v>
      </c>
      <c r="T1292" s="46" t="s">
        <v>104</v>
      </c>
      <c r="U1292" s="46" t="str">
        <f t="array" ref="U1292">TEXT(D1292,"dddd")</f>
        <v>Sunday</v>
      </c>
    </row>
    <row r="1293" hidden="1">
      <c r="A1293" s="46">
        <v>9.72452533E8</v>
      </c>
      <c r="B1293" s="137" t="s">
        <v>216</v>
      </c>
      <c r="C1293" s="137">
        <v>2015.0</v>
      </c>
      <c r="D1293" s="138">
        <v>42238.0</v>
      </c>
      <c r="E1293" s="139">
        <v>42281.0</v>
      </c>
      <c r="F1293" s="142" t="s">
        <v>226</v>
      </c>
      <c r="G1293" s="142">
        <v>2015.0</v>
      </c>
      <c r="H1293" s="46">
        <v>5988.0</v>
      </c>
      <c r="I1293" s="46">
        <v>9169.0</v>
      </c>
      <c r="J1293" s="84">
        <v>1412576.1400000001</v>
      </c>
      <c r="K1293" s="84">
        <v>833737.17</v>
      </c>
      <c r="L1293" s="84">
        <v>578838.9700000001</v>
      </c>
      <c r="M1293" s="46" t="s">
        <v>159</v>
      </c>
      <c r="N1293" s="46" t="s">
        <v>201</v>
      </c>
      <c r="O1293" s="46" t="s">
        <v>146</v>
      </c>
      <c r="P1293" s="46" t="s">
        <v>170</v>
      </c>
      <c r="Q1293" s="46" t="str">
        <f t="shared" si="1"/>
        <v>August, 2015</v>
      </c>
      <c r="R1293" s="115">
        <f t="shared" si="2"/>
        <v>42217</v>
      </c>
      <c r="S1293" s="49">
        <f t="array" ref="S1293">WEEKDAY(D1293,2)</f>
        <v>6</v>
      </c>
      <c r="T1293" s="46" t="s">
        <v>130</v>
      </c>
      <c r="U1293" s="46" t="str">
        <f t="array" ref="U1293">TEXT(D1293,"dddd")</f>
        <v>Saturday</v>
      </c>
    </row>
    <row r="1294" hidden="1">
      <c r="A1294" s="46">
        <v>9.72981679E8</v>
      </c>
      <c r="B1294" s="137" t="s">
        <v>222</v>
      </c>
      <c r="C1294" s="137">
        <v>2017.0</v>
      </c>
      <c r="D1294" s="138">
        <v>42809.0</v>
      </c>
      <c r="E1294" s="139">
        <v>42834.0</v>
      </c>
      <c r="F1294" s="142" t="s">
        <v>223</v>
      </c>
      <c r="G1294" s="142">
        <v>2017.0</v>
      </c>
      <c r="H1294" s="46">
        <v>8969.0</v>
      </c>
      <c r="I1294" s="46">
        <v>5755.0</v>
      </c>
      <c r="J1294" s="84">
        <v>878097.9</v>
      </c>
      <c r="K1294" s="84">
        <v>560767.2</v>
      </c>
      <c r="L1294" s="84">
        <v>317330.70000000007</v>
      </c>
      <c r="M1294" s="46" t="s">
        <v>182</v>
      </c>
      <c r="N1294" s="46" t="s">
        <v>195</v>
      </c>
      <c r="O1294" s="46" t="s">
        <v>146</v>
      </c>
      <c r="P1294" s="46" t="s">
        <v>170</v>
      </c>
      <c r="Q1294" s="46" t="str">
        <f t="shared" si="1"/>
        <v>March, 2017</v>
      </c>
      <c r="R1294" s="115">
        <f t="shared" si="2"/>
        <v>42795</v>
      </c>
      <c r="S1294" s="49">
        <f t="array" ref="S1294">WEEKDAY(D1294,2)</f>
        <v>3</v>
      </c>
      <c r="T1294" s="46" t="s">
        <v>124</v>
      </c>
      <c r="U1294" s="46" t="str">
        <f t="array" ref="U1294">TEXT(D1294,"dddd")</f>
        <v>Wednesday</v>
      </c>
    </row>
    <row r="1295" hidden="1">
      <c r="A1295" s="46">
        <v>9.73268353E8</v>
      </c>
      <c r="B1295" s="137" t="s">
        <v>220</v>
      </c>
      <c r="C1295" s="137">
        <v>2016.0</v>
      </c>
      <c r="D1295" s="138">
        <v>42526.0</v>
      </c>
      <c r="E1295" s="139">
        <v>42547.0</v>
      </c>
      <c r="F1295" s="142" t="s">
        <v>220</v>
      </c>
      <c r="G1295" s="142">
        <v>2016.0</v>
      </c>
      <c r="H1295" s="46">
        <v>1270.0</v>
      </c>
      <c r="I1295" s="46">
        <v>589.0</v>
      </c>
      <c r="J1295" s="84">
        <v>27948.050000000003</v>
      </c>
      <c r="K1295" s="84">
        <v>18724.31</v>
      </c>
      <c r="L1295" s="84">
        <v>9223.740000000002</v>
      </c>
      <c r="M1295" s="46" t="s">
        <v>152</v>
      </c>
      <c r="N1295" s="46" t="s">
        <v>205</v>
      </c>
      <c r="O1295" s="46" t="s">
        <v>146</v>
      </c>
      <c r="P1295" s="46" t="s">
        <v>170</v>
      </c>
      <c r="Q1295" s="46" t="str">
        <f t="shared" si="1"/>
        <v>June, 2016</v>
      </c>
      <c r="R1295" s="115">
        <f t="shared" si="2"/>
        <v>42522</v>
      </c>
      <c r="S1295" s="49">
        <f t="array" ref="S1295">WEEKDAY(D1295,2)</f>
        <v>7</v>
      </c>
      <c r="T1295" s="46" t="s">
        <v>135</v>
      </c>
      <c r="U1295" s="46" t="str">
        <f t="array" ref="U1295">TEXT(D1295,"dddd")</f>
        <v>Sunday</v>
      </c>
    </row>
    <row r="1296" hidden="1">
      <c r="A1296" s="46">
        <v>9.7414726E8</v>
      </c>
      <c r="B1296" s="137" t="s">
        <v>219</v>
      </c>
      <c r="C1296" s="137">
        <v>2011.0</v>
      </c>
      <c r="D1296" s="138">
        <v>40681.0</v>
      </c>
      <c r="E1296" s="139">
        <v>40702.0</v>
      </c>
      <c r="F1296" s="142" t="s">
        <v>220</v>
      </c>
      <c r="G1296" s="142">
        <v>2011.0</v>
      </c>
      <c r="H1296" s="46">
        <v>2455.0</v>
      </c>
      <c r="I1296" s="46">
        <v>677.0</v>
      </c>
      <c r="J1296" s="84">
        <v>73982.56</v>
      </c>
      <c r="K1296" s="84">
        <v>24263.680000000004</v>
      </c>
      <c r="L1296" s="84">
        <v>49718.87999999999</v>
      </c>
      <c r="M1296" s="46" t="s">
        <v>150</v>
      </c>
      <c r="N1296" s="46" t="s">
        <v>199</v>
      </c>
      <c r="O1296" s="46" t="s">
        <v>146</v>
      </c>
      <c r="P1296" s="46" t="s">
        <v>147</v>
      </c>
      <c r="Q1296" s="46" t="str">
        <f t="shared" si="1"/>
        <v>May, 2011</v>
      </c>
      <c r="R1296" s="115">
        <f t="shared" si="2"/>
        <v>40664</v>
      </c>
      <c r="S1296" s="49">
        <f t="array" ref="S1296">WEEKDAY(D1296,2)</f>
        <v>3</v>
      </c>
      <c r="T1296" s="46" t="s">
        <v>128</v>
      </c>
      <c r="U1296" s="46" t="str">
        <f t="array" ref="U1296">TEXT(D1296,"dddd")</f>
        <v>Wednesday</v>
      </c>
    </row>
    <row r="1297" hidden="1">
      <c r="A1297" s="46">
        <v>9.7442063E8</v>
      </c>
      <c r="B1297" s="137" t="s">
        <v>223</v>
      </c>
      <c r="C1297" s="137">
        <v>2011.0</v>
      </c>
      <c r="D1297" s="138">
        <v>40659.0</v>
      </c>
      <c r="E1297" s="139">
        <v>40709.0</v>
      </c>
      <c r="F1297" s="142" t="s">
        <v>220</v>
      </c>
      <c r="G1297" s="142">
        <v>2011.0</v>
      </c>
      <c r="H1297" s="46">
        <v>4594.0</v>
      </c>
      <c r="I1297" s="46">
        <v>1573.0</v>
      </c>
      <c r="J1297" s="84">
        <v>14676.09</v>
      </c>
      <c r="K1297" s="84">
        <v>10885.16</v>
      </c>
      <c r="L1297" s="84">
        <v>3790.9300000000003</v>
      </c>
      <c r="M1297" s="46" t="s">
        <v>156</v>
      </c>
      <c r="N1297" s="46" t="s">
        <v>200</v>
      </c>
      <c r="O1297" s="46" t="s">
        <v>146</v>
      </c>
      <c r="P1297" s="46" t="s">
        <v>158</v>
      </c>
      <c r="Q1297" s="46" t="str">
        <f t="shared" si="1"/>
        <v>April, 2011</v>
      </c>
      <c r="R1297" s="115">
        <f t="shared" si="2"/>
        <v>40634</v>
      </c>
      <c r="S1297" s="49">
        <f t="array" ref="S1297">WEEKDAY(D1297,2)</f>
        <v>2</v>
      </c>
      <c r="T1297" s="46" t="s">
        <v>129</v>
      </c>
      <c r="U1297" s="46" t="str">
        <f t="array" ref="U1297">TEXT(D1297,"dddd")</f>
        <v>Tuesday</v>
      </c>
    </row>
    <row r="1298">
      <c r="A1298" s="46">
        <v>9.75080668E8</v>
      </c>
      <c r="B1298" s="137" t="s">
        <v>217</v>
      </c>
      <c r="C1298" s="137">
        <v>2017.0</v>
      </c>
      <c r="D1298" s="138">
        <v>42939.0</v>
      </c>
      <c r="E1298" s="139">
        <v>42967.0</v>
      </c>
      <c r="F1298" s="142" t="s">
        <v>216</v>
      </c>
      <c r="G1298" s="142">
        <v>2017.0</v>
      </c>
      <c r="H1298" s="46">
        <v>5988.0</v>
      </c>
      <c r="I1298" s="46">
        <v>6893.0</v>
      </c>
      <c r="J1298" s="84">
        <v>1061935.58</v>
      </c>
      <c r="K1298" s="84">
        <v>626780.49</v>
      </c>
      <c r="L1298" s="84">
        <v>435155.0900000001</v>
      </c>
      <c r="M1298" s="46" t="s">
        <v>159</v>
      </c>
      <c r="N1298" s="46" t="s">
        <v>149</v>
      </c>
      <c r="O1298" s="46" t="s">
        <v>149</v>
      </c>
      <c r="P1298" s="46" t="s">
        <v>218</v>
      </c>
      <c r="Q1298" s="46" t="str">
        <f t="shared" si="1"/>
        <v>July, 2017</v>
      </c>
      <c r="R1298" s="115">
        <f t="shared" si="2"/>
        <v>42917</v>
      </c>
      <c r="S1298" s="49">
        <f t="array" ref="S1298">WEEKDAY(D1298,2)</f>
        <v>7</v>
      </c>
      <c r="T1298" s="46" t="s">
        <v>92</v>
      </c>
      <c r="U1298" s="46" t="str">
        <f t="array" ref="U1298">TEXT(D1298,"dddd")</f>
        <v>Sunday</v>
      </c>
    </row>
    <row r="1299" hidden="1">
      <c r="A1299" s="46">
        <v>9.75823962E8</v>
      </c>
      <c r="B1299" s="137" t="s">
        <v>222</v>
      </c>
      <c r="C1299" s="137">
        <v>2014.0</v>
      </c>
      <c r="D1299" s="138">
        <v>41709.0</v>
      </c>
      <c r="E1299" s="139">
        <v>41737.0</v>
      </c>
      <c r="F1299" s="142" t="s">
        <v>223</v>
      </c>
      <c r="G1299" s="142">
        <v>2014.0</v>
      </c>
      <c r="H1299" s="46">
        <v>8681.0</v>
      </c>
      <c r="I1299" s="46">
        <v>6850.0</v>
      </c>
      <c r="J1299" s="84">
        <v>4460788.5</v>
      </c>
      <c r="K1299" s="84">
        <v>3595976.0000000005</v>
      </c>
      <c r="L1299" s="84">
        <v>864812.4999999995</v>
      </c>
      <c r="M1299" s="46" t="s">
        <v>153</v>
      </c>
      <c r="N1299" s="46" t="s">
        <v>208</v>
      </c>
      <c r="O1299" s="46" t="s">
        <v>146</v>
      </c>
      <c r="P1299" s="46" t="s">
        <v>147</v>
      </c>
      <c r="Q1299" s="46" t="str">
        <f t="shared" si="1"/>
        <v>March, 2014</v>
      </c>
      <c r="R1299" s="115">
        <f t="shared" si="2"/>
        <v>41699</v>
      </c>
      <c r="S1299" s="49">
        <f t="array" ref="S1299">WEEKDAY(D1299,2)</f>
        <v>2</v>
      </c>
      <c r="T1299" s="46" t="s">
        <v>138</v>
      </c>
      <c r="U1299" s="46" t="str">
        <f t="array" ref="U1299">TEXT(D1299,"dddd")</f>
        <v>Tuesday</v>
      </c>
    </row>
    <row r="1300" hidden="1">
      <c r="A1300" s="46">
        <v>9.76323497E8</v>
      </c>
      <c r="B1300" s="137" t="s">
        <v>228</v>
      </c>
      <c r="C1300" s="137">
        <v>2017.0</v>
      </c>
      <c r="D1300" s="138">
        <v>42772.0</v>
      </c>
      <c r="E1300" s="139">
        <v>42776.0</v>
      </c>
      <c r="F1300" s="142" t="s">
        <v>228</v>
      </c>
      <c r="G1300" s="142">
        <v>2017.0</v>
      </c>
      <c r="H1300" s="46">
        <v>1270.0</v>
      </c>
      <c r="I1300" s="46">
        <v>4674.0</v>
      </c>
      <c r="J1300" s="84">
        <v>221781.30000000002</v>
      </c>
      <c r="K1300" s="84">
        <v>148586.46</v>
      </c>
      <c r="L1300" s="84">
        <v>73194.84000000003</v>
      </c>
      <c r="M1300" s="46" t="s">
        <v>152</v>
      </c>
      <c r="N1300" s="46" t="s">
        <v>162</v>
      </c>
      <c r="O1300" s="46" t="s">
        <v>146</v>
      </c>
      <c r="P1300" s="46" t="s">
        <v>147</v>
      </c>
      <c r="Q1300" s="46" t="str">
        <f t="shared" si="1"/>
        <v>February, 2017</v>
      </c>
      <c r="R1300" s="115">
        <f t="shared" si="2"/>
        <v>42767</v>
      </c>
      <c r="S1300" s="49">
        <f t="array" ref="S1300">WEEKDAY(D1300,2)</f>
        <v>1</v>
      </c>
      <c r="T1300" s="46" t="s">
        <v>99</v>
      </c>
      <c r="U1300" s="46" t="str">
        <f t="array" ref="U1300">TEXT(D1300,"dddd")</f>
        <v>Monday</v>
      </c>
    </row>
    <row r="1301" hidden="1">
      <c r="A1301" s="46">
        <v>9.77324712E8</v>
      </c>
      <c r="B1301" s="137" t="s">
        <v>228</v>
      </c>
      <c r="C1301" s="137">
        <v>2011.0</v>
      </c>
      <c r="D1301" s="138">
        <v>40575.0</v>
      </c>
      <c r="E1301" s="139">
        <v>40612.0</v>
      </c>
      <c r="F1301" s="142" t="s">
        <v>222</v>
      </c>
      <c r="G1301" s="142">
        <v>2011.0</v>
      </c>
      <c r="H1301" s="46">
        <v>8969.0</v>
      </c>
      <c r="I1301" s="46">
        <v>955.0</v>
      </c>
      <c r="J1301" s="84">
        <v>145713.90000000002</v>
      </c>
      <c r="K1301" s="84">
        <v>93055.2</v>
      </c>
      <c r="L1301" s="84">
        <v>52658.700000000026</v>
      </c>
      <c r="M1301" s="46" t="s">
        <v>182</v>
      </c>
      <c r="N1301" s="46" t="s">
        <v>174</v>
      </c>
      <c r="O1301" s="46" t="s">
        <v>146</v>
      </c>
      <c r="P1301" s="46" t="s">
        <v>158</v>
      </c>
      <c r="Q1301" s="46" t="str">
        <f t="shared" si="1"/>
        <v>February, 2011</v>
      </c>
      <c r="R1301" s="115">
        <f t="shared" si="2"/>
        <v>40575</v>
      </c>
      <c r="S1301" s="49">
        <f t="array" ref="S1301">WEEKDAY(D1301,2)</f>
        <v>2</v>
      </c>
      <c r="T1301" s="46" t="s">
        <v>107</v>
      </c>
      <c r="U1301" s="46" t="str">
        <f t="array" ref="U1301">TEXT(D1301,"dddd")</f>
        <v>Tuesday</v>
      </c>
    </row>
    <row r="1302" hidden="1">
      <c r="A1302" s="46">
        <v>9.79073941E8</v>
      </c>
      <c r="B1302" s="137" t="s">
        <v>220</v>
      </c>
      <c r="C1302" s="137">
        <v>2010.0</v>
      </c>
      <c r="D1302" s="138">
        <v>40355.0</v>
      </c>
      <c r="E1302" s="139">
        <v>40377.0</v>
      </c>
      <c r="F1302" s="142" t="s">
        <v>217</v>
      </c>
      <c r="G1302" s="142">
        <v>2010.0</v>
      </c>
      <c r="H1302" s="46">
        <v>7331.0</v>
      </c>
      <c r="I1302" s="46">
        <v>8591.0</v>
      </c>
      <c r="J1302" s="84">
        <v>2193110.48</v>
      </c>
      <c r="K1302" s="84">
        <v>1369577.22</v>
      </c>
      <c r="L1302" s="84">
        <v>823533.26</v>
      </c>
      <c r="M1302" s="46" t="s">
        <v>161</v>
      </c>
      <c r="N1302" s="46" t="s">
        <v>193</v>
      </c>
      <c r="O1302" s="46" t="s">
        <v>146</v>
      </c>
      <c r="P1302" s="46" t="s">
        <v>158</v>
      </c>
      <c r="Q1302" s="46" t="str">
        <f t="shared" si="1"/>
        <v>June, 2010</v>
      </c>
      <c r="R1302" s="115">
        <f t="shared" si="2"/>
        <v>40330</v>
      </c>
      <c r="S1302" s="49">
        <f t="array" ref="S1302">WEEKDAY(D1302,2)</f>
        <v>6</v>
      </c>
      <c r="T1302" s="46" t="s">
        <v>122</v>
      </c>
      <c r="U1302" s="46" t="str">
        <f t="array" ref="U1302">TEXT(D1302,"dddd")</f>
        <v>Saturday</v>
      </c>
    </row>
    <row r="1303" hidden="1">
      <c r="A1303" s="46">
        <v>9.79200112E8</v>
      </c>
      <c r="B1303" s="137" t="s">
        <v>225</v>
      </c>
      <c r="C1303" s="137">
        <v>2013.0</v>
      </c>
      <c r="D1303" s="138">
        <v>41622.0</v>
      </c>
      <c r="E1303" s="139">
        <v>41638.0</v>
      </c>
      <c r="F1303" s="142" t="s">
        <v>225</v>
      </c>
      <c r="G1303" s="142">
        <v>2013.0</v>
      </c>
      <c r="H1303" s="46">
        <v>8875.0</v>
      </c>
      <c r="I1303" s="46">
        <v>5928.0</v>
      </c>
      <c r="J1303" s="84">
        <v>2500963.92</v>
      </c>
      <c r="K1303" s="84">
        <v>2161882.32</v>
      </c>
      <c r="L1303" s="84">
        <v>339081.6000000001</v>
      </c>
      <c r="M1303" s="46" t="s">
        <v>167</v>
      </c>
      <c r="N1303" s="46" t="s">
        <v>190</v>
      </c>
      <c r="O1303" s="46" t="s">
        <v>146</v>
      </c>
      <c r="P1303" s="46" t="s">
        <v>147</v>
      </c>
      <c r="Q1303" s="46" t="str">
        <f t="shared" si="1"/>
        <v>December, 2013</v>
      </c>
      <c r="R1303" s="115">
        <f t="shared" si="2"/>
        <v>41609</v>
      </c>
      <c r="S1303" s="49">
        <f t="array" ref="S1303">WEEKDAY(D1303,2)</f>
        <v>6</v>
      </c>
      <c r="T1303" s="46" t="s">
        <v>119</v>
      </c>
      <c r="U1303" s="46" t="str">
        <f t="array" ref="U1303">TEXT(D1303,"dddd")</f>
        <v>Saturday</v>
      </c>
    </row>
    <row r="1304" hidden="1">
      <c r="A1304" s="46">
        <v>9.80381143E8</v>
      </c>
      <c r="B1304" s="137" t="s">
        <v>221</v>
      </c>
      <c r="C1304" s="137">
        <v>2010.0</v>
      </c>
      <c r="D1304" s="138">
        <v>40439.0</v>
      </c>
      <c r="E1304" s="139">
        <v>40447.0</v>
      </c>
      <c r="F1304" s="142" t="s">
        <v>221</v>
      </c>
      <c r="G1304" s="142">
        <v>2010.0</v>
      </c>
      <c r="H1304" s="46">
        <v>7331.0</v>
      </c>
      <c r="I1304" s="46">
        <v>5421.0</v>
      </c>
      <c r="J1304" s="84">
        <v>1383872.8800000001</v>
      </c>
      <c r="K1304" s="84">
        <v>864215.82</v>
      </c>
      <c r="L1304" s="84">
        <v>519657.0600000002</v>
      </c>
      <c r="M1304" s="46" t="s">
        <v>161</v>
      </c>
      <c r="N1304" s="46" t="s">
        <v>196</v>
      </c>
      <c r="O1304" s="46" t="s">
        <v>146</v>
      </c>
      <c r="P1304" s="46" t="s">
        <v>155</v>
      </c>
      <c r="Q1304" s="46" t="str">
        <f t="shared" si="1"/>
        <v>September, 2010</v>
      </c>
      <c r="R1304" s="115">
        <f t="shared" si="2"/>
        <v>40422</v>
      </c>
      <c r="S1304" s="49">
        <f t="array" ref="S1304">WEEKDAY(D1304,2)</f>
        <v>6</v>
      </c>
      <c r="T1304" s="46" t="s">
        <v>125</v>
      </c>
      <c r="U1304" s="46" t="str">
        <f t="array" ref="U1304">TEXT(D1304,"dddd")</f>
        <v>Saturday</v>
      </c>
    </row>
    <row r="1305" hidden="1">
      <c r="A1305" s="46">
        <v>9.80598723E8</v>
      </c>
      <c r="B1305" s="137" t="s">
        <v>216</v>
      </c>
      <c r="C1305" s="137">
        <v>2015.0</v>
      </c>
      <c r="D1305" s="138">
        <v>42229.0</v>
      </c>
      <c r="E1305" s="139">
        <v>42271.0</v>
      </c>
      <c r="F1305" s="142" t="s">
        <v>221</v>
      </c>
      <c r="G1305" s="142">
        <v>2015.0</v>
      </c>
      <c r="H1305" s="46">
        <v>3127.0</v>
      </c>
      <c r="I1305" s="46">
        <v>9808.0</v>
      </c>
      <c r="J1305" s="84">
        <v>801607.8400000001</v>
      </c>
      <c r="K1305" s="84">
        <v>555819.36</v>
      </c>
      <c r="L1305" s="84">
        <v>245788.4800000001</v>
      </c>
      <c r="M1305" s="46" t="s">
        <v>185</v>
      </c>
      <c r="N1305" s="46" t="s">
        <v>157</v>
      </c>
      <c r="O1305" s="46" t="s">
        <v>146</v>
      </c>
      <c r="P1305" s="46" t="s">
        <v>158</v>
      </c>
      <c r="Q1305" s="46" t="str">
        <f t="shared" si="1"/>
        <v>August, 2015</v>
      </c>
      <c r="R1305" s="115">
        <f t="shared" si="2"/>
        <v>42217</v>
      </c>
      <c r="S1305" s="49">
        <f t="array" ref="S1305">WEEKDAY(D1305,2)</f>
        <v>4</v>
      </c>
      <c r="T1305" s="46" t="s">
        <v>97</v>
      </c>
      <c r="U1305" s="46" t="str">
        <f t="array" ref="U1305">TEXT(D1305,"dddd")</f>
        <v>Thursday</v>
      </c>
    </row>
    <row r="1306" hidden="1">
      <c r="A1306" s="46">
        <v>9.80961358E8</v>
      </c>
      <c r="B1306" s="137" t="s">
        <v>221</v>
      </c>
      <c r="C1306" s="137">
        <v>2013.0</v>
      </c>
      <c r="D1306" s="138">
        <v>41523.0</v>
      </c>
      <c r="E1306" s="139">
        <v>41555.0</v>
      </c>
      <c r="F1306" s="142" t="s">
        <v>226</v>
      </c>
      <c r="G1306" s="142">
        <v>2013.0</v>
      </c>
      <c r="H1306" s="46">
        <v>8293.0</v>
      </c>
      <c r="I1306" s="46">
        <v>7120.0</v>
      </c>
      <c r="J1306" s="84">
        <v>3112864.0</v>
      </c>
      <c r="K1306" s="84">
        <v>1874909.5999999999</v>
      </c>
      <c r="L1306" s="84">
        <v>1237954.4000000001</v>
      </c>
      <c r="M1306" s="46" t="s">
        <v>178</v>
      </c>
      <c r="N1306" s="46" t="s">
        <v>174</v>
      </c>
      <c r="O1306" s="46" t="s">
        <v>146</v>
      </c>
      <c r="P1306" s="46" t="s">
        <v>158</v>
      </c>
      <c r="Q1306" s="46" t="str">
        <f t="shared" si="1"/>
        <v>September, 2013</v>
      </c>
      <c r="R1306" s="115">
        <f t="shared" si="2"/>
        <v>41518</v>
      </c>
      <c r="S1306" s="49">
        <f t="array" ref="S1306">WEEKDAY(D1306,2)</f>
        <v>5</v>
      </c>
      <c r="T1306" s="46" t="s">
        <v>107</v>
      </c>
      <c r="U1306" s="46" t="str">
        <f t="array" ref="U1306">TEXT(D1306,"dddd")</f>
        <v>Friday</v>
      </c>
    </row>
    <row r="1307" hidden="1">
      <c r="A1307" s="46">
        <v>9.81154048E8</v>
      </c>
      <c r="B1307" s="137" t="s">
        <v>217</v>
      </c>
      <c r="C1307" s="137">
        <v>2013.0</v>
      </c>
      <c r="D1307" s="138">
        <v>41482.0</v>
      </c>
      <c r="E1307" s="139">
        <v>41495.0</v>
      </c>
      <c r="F1307" s="142" t="s">
        <v>216</v>
      </c>
      <c r="G1307" s="142">
        <v>2013.0</v>
      </c>
      <c r="H1307" s="46">
        <v>1270.0</v>
      </c>
      <c r="I1307" s="46">
        <v>4141.0</v>
      </c>
      <c r="J1307" s="84">
        <v>196490.45</v>
      </c>
      <c r="K1307" s="84">
        <v>131642.38999999998</v>
      </c>
      <c r="L1307" s="84">
        <v>64848.06000000003</v>
      </c>
      <c r="M1307" s="46" t="s">
        <v>152</v>
      </c>
      <c r="N1307" s="46" t="s">
        <v>197</v>
      </c>
      <c r="O1307" s="46" t="s">
        <v>146</v>
      </c>
      <c r="P1307" s="46" t="s">
        <v>147</v>
      </c>
      <c r="Q1307" s="46" t="str">
        <f t="shared" si="1"/>
        <v>July, 2013</v>
      </c>
      <c r="R1307" s="115">
        <f t="shared" si="2"/>
        <v>41456</v>
      </c>
      <c r="S1307" s="49">
        <f t="array" ref="S1307">WEEKDAY(D1307,2)</f>
        <v>6</v>
      </c>
      <c r="T1307" s="46" t="s">
        <v>126</v>
      </c>
      <c r="U1307" s="46" t="str">
        <f t="array" ref="U1307">TEXT(D1307,"dddd")</f>
        <v>Saturday</v>
      </c>
    </row>
    <row r="1308" hidden="1">
      <c r="A1308" s="46">
        <v>9.81808078E8</v>
      </c>
      <c r="B1308" s="137" t="s">
        <v>227</v>
      </c>
      <c r="C1308" s="137">
        <v>2012.0</v>
      </c>
      <c r="D1308" s="138">
        <v>40935.0</v>
      </c>
      <c r="E1308" s="139">
        <v>40936.0</v>
      </c>
      <c r="F1308" s="142" t="s">
        <v>227</v>
      </c>
      <c r="G1308" s="142">
        <v>2012.0</v>
      </c>
      <c r="H1308" s="46">
        <v>8969.0</v>
      </c>
      <c r="I1308" s="46">
        <v>7683.0</v>
      </c>
      <c r="J1308" s="84">
        <v>1172272.1400000001</v>
      </c>
      <c r="K1308" s="84">
        <v>748631.52</v>
      </c>
      <c r="L1308" s="84">
        <v>423640.6200000001</v>
      </c>
      <c r="M1308" s="46" t="s">
        <v>182</v>
      </c>
      <c r="N1308" s="46" t="s">
        <v>180</v>
      </c>
      <c r="O1308" s="46" t="s">
        <v>146</v>
      </c>
      <c r="P1308" s="46" t="s">
        <v>147</v>
      </c>
      <c r="Q1308" s="46" t="str">
        <f t="shared" si="1"/>
        <v>January, 2012</v>
      </c>
      <c r="R1308" s="115">
        <f t="shared" si="2"/>
        <v>40909</v>
      </c>
      <c r="S1308" s="49">
        <f t="array" ref="S1308">WEEKDAY(D1308,2)</f>
        <v>5</v>
      </c>
      <c r="T1308" s="46" t="s">
        <v>112</v>
      </c>
      <c r="U1308" s="46" t="str">
        <f t="array" ref="U1308">TEXT(D1308,"dddd")</f>
        <v>Friday</v>
      </c>
    </row>
    <row r="1309" hidden="1">
      <c r="A1309" s="46">
        <v>9.82566821E8</v>
      </c>
      <c r="B1309" s="137" t="s">
        <v>223</v>
      </c>
      <c r="C1309" s="137">
        <v>2011.0</v>
      </c>
      <c r="D1309" s="138">
        <v>40650.0</v>
      </c>
      <c r="E1309" s="139">
        <v>40699.0</v>
      </c>
      <c r="F1309" s="142" t="s">
        <v>220</v>
      </c>
      <c r="G1309" s="142">
        <v>2011.0</v>
      </c>
      <c r="H1309" s="46">
        <v>8681.0</v>
      </c>
      <c r="I1309" s="46">
        <v>2212.0</v>
      </c>
      <c r="J1309" s="84">
        <v>1440476.52</v>
      </c>
      <c r="K1309" s="84">
        <v>1161211.52</v>
      </c>
      <c r="L1309" s="84">
        <v>279265.0</v>
      </c>
      <c r="M1309" s="46" t="s">
        <v>153</v>
      </c>
      <c r="N1309" s="46" t="s">
        <v>177</v>
      </c>
      <c r="O1309" s="46" t="s">
        <v>146</v>
      </c>
      <c r="P1309" s="46" t="s">
        <v>170</v>
      </c>
      <c r="Q1309" s="46" t="str">
        <f t="shared" si="1"/>
        <v>April, 2011</v>
      </c>
      <c r="R1309" s="115">
        <f t="shared" si="2"/>
        <v>40634</v>
      </c>
      <c r="S1309" s="49">
        <f t="array" ref="S1309">WEEKDAY(D1309,2)</f>
        <v>7</v>
      </c>
      <c r="T1309" s="46" t="s">
        <v>110</v>
      </c>
      <c r="U1309" s="46" t="str">
        <f t="array" ref="U1309">TEXT(D1309,"dddd")</f>
        <v>Sunday</v>
      </c>
    </row>
    <row r="1310" hidden="1">
      <c r="A1310" s="46">
        <v>9.85039174E8</v>
      </c>
      <c r="B1310" s="137" t="s">
        <v>228</v>
      </c>
      <c r="C1310" s="137">
        <v>2011.0</v>
      </c>
      <c r="D1310" s="138">
        <v>40578.0</v>
      </c>
      <c r="E1310" s="139">
        <v>40612.0</v>
      </c>
      <c r="F1310" s="142" t="s">
        <v>222</v>
      </c>
      <c r="G1310" s="142">
        <v>2011.0</v>
      </c>
      <c r="H1310" s="46">
        <v>1270.0</v>
      </c>
      <c r="I1310" s="46">
        <v>3836.0</v>
      </c>
      <c r="J1310" s="84">
        <v>182018.2</v>
      </c>
      <c r="K1310" s="84">
        <v>121946.44</v>
      </c>
      <c r="L1310" s="84">
        <v>60071.76000000001</v>
      </c>
      <c r="M1310" s="46" t="s">
        <v>152</v>
      </c>
      <c r="N1310" s="46" t="s">
        <v>192</v>
      </c>
      <c r="O1310" s="46" t="s">
        <v>146</v>
      </c>
      <c r="P1310" s="46" t="s">
        <v>158</v>
      </c>
      <c r="Q1310" s="46" t="str">
        <f t="shared" si="1"/>
        <v>February, 2011</v>
      </c>
      <c r="R1310" s="115">
        <f t="shared" si="2"/>
        <v>40575</v>
      </c>
      <c r="S1310" s="49">
        <f t="array" ref="S1310">WEEKDAY(D1310,2)</f>
        <v>5</v>
      </c>
      <c r="T1310" s="46" t="s">
        <v>121</v>
      </c>
      <c r="U1310" s="46" t="str">
        <f t="array" ref="U1310">TEXT(D1310,"dddd")</f>
        <v>Friday</v>
      </c>
    </row>
    <row r="1311" hidden="1">
      <c r="A1311" s="46">
        <v>9.85417258E8</v>
      </c>
      <c r="B1311" s="137" t="s">
        <v>226</v>
      </c>
      <c r="C1311" s="137">
        <v>2011.0</v>
      </c>
      <c r="D1311" s="138">
        <v>40817.0</v>
      </c>
      <c r="E1311" s="139">
        <v>40837.0</v>
      </c>
      <c r="F1311" s="142" t="s">
        <v>226</v>
      </c>
      <c r="G1311" s="142">
        <v>2011.0</v>
      </c>
      <c r="H1311" s="46">
        <v>2103.0</v>
      </c>
      <c r="I1311" s="46">
        <v>5720.0</v>
      </c>
      <c r="J1311" s="84">
        <v>1176604.0</v>
      </c>
      <c r="K1311" s="84">
        <v>669869.2</v>
      </c>
      <c r="L1311" s="84">
        <v>506734.80000000005</v>
      </c>
      <c r="M1311" s="46" t="s">
        <v>144</v>
      </c>
      <c r="N1311" s="46" t="s">
        <v>169</v>
      </c>
      <c r="O1311" s="46" t="s">
        <v>146</v>
      </c>
      <c r="P1311" s="46" t="s">
        <v>170</v>
      </c>
      <c r="Q1311" s="46" t="str">
        <f t="shared" si="1"/>
        <v>October, 2011</v>
      </c>
      <c r="R1311" s="115">
        <f t="shared" si="2"/>
        <v>40817</v>
      </c>
      <c r="S1311" s="49">
        <f t="array" ref="S1311">WEEKDAY(D1311,2)</f>
        <v>6</v>
      </c>
      <c r="T1311" s="46" t="s">
        <v>103</v>
      </c>
      <c r="U1311" s="46" t="str">
        <f t="array" ref="U1311">TEXT(D1311,"dddd")</f>
        <v>Saturday</v>
      </c>
    </row>
    <row r="1312" hidden="1">
      <c r="A1312" s="46">
        <v>9.86449801E8</v>
      </c>
      <c r="B1312" s="137" t="s">
        <v>227</v>
      </c>
      <c r="C1312" s="137">
        <v>2013.0</v>
      </c>
      <c r="D1312" s="138">
        <v>41305.0</v>
      </c>
      <c r="E1312" s="139">
        <v>41346.0</v>
      </c>
      <c r="F1312" s="142" t="s">
        <v>222</v>
      </c>
      <c r="G1312" s="142">
        <v>2013.0</v>
      </c>
      <c r="H1312" s="46">
        <v>8875.0</v>
      </c>
      <c r="I1312" s="46">
        <v>1272.0</v>
      </c>
      <c r="J1312" s="84">
        <v>536644.08</v>
      </c>
      <c r="K1312" s="84">
        <v>463885.68</v>
      </c>
      <c r="L1312" s="84">
        <v>72758.39999999997</v>
      </c>
      <c r="M1312" s="46" t="s">
        <v>167</v>
      </c>
      <c r="N1312" s="46" t="s">
        <v>202</v>
      </c>
      <c r="O1312" s="46" t="s">
        <v>146</v>
      </c>
      <c r="P1312" s="46" t="s">
        <v>147</v>
      </c>
      <c r="Q1312" s="46" t="str">
        <f t="shared" si="1"/>
        <v>January, 2013</v>
      </c>
      <c r="R1312" s="115">
        <f t="shared" si="2"/>
        <v>41275</v>
      </c>
      <c r="S1312" s="49">
        <f t="array" ref="S1312">WEEKDAY(D1312,2)</f>
        <v>4</v>
      </c>
      <c r="T1312" s="46" t="s">
        <v>131</v>
      </c>
      <c r="U1312" s="46" t="str">
        <f t="array" ref="U1312">TEXT(D1312,"dddd")</f>
        <v>Thursday</v>
      </c>
    </row>
    <row r="1313" hidden="1">
      <c r="A1313" s="46">
        <v>9.87050187E8</v>
      </c>
      <c r="B1313" s="137" t="s">
        <v>223</v>
      </c>
      <c r="C1313" s="137">
        <v>2012.0</v>
      </c>
      <c r="D1313" s="138">
        <v>41011.0</v>
      </c>
      <c r="E1313" s="139">
        <v>41024.0</v>
      </c>
      <c r="F1313" s="142" t="s">
        <v>223</v>
      </c>
      <c r="G1313" s="142">
        <v>2012.0</v>
      </c>
      <c r="H1313" s="46">
        <v>5988.0</v>
      </c>
      <c r="I1313" s="46">
        <v>8940.0</v>
      </c>
      <c r="J1313" s="84">
        <v>1377296.4</v>
      </c>
      <c r="K1313" s="84">
        <v>812914.2000000001</v>
      </c>
      <c r="L1313" s="84">
        <v>564382.1999999998</v>
      </c>
      <c r="M1313" s="46" t="s">
        <v>159</v>
      </c>
      <c r="N1313" s="46" t="s">
        <v>190</v>
      </c>
      <c r="O1313" s="46" t="s">
        <v>146</v>
      </c>
      <c r="P1313" s="46" t="s">
        <v>147</v>
      </c>
      <c r="Q1313" s="46" t="str">
        <f t="shared" si="1"/>
        <v>April, 2012</v>
      </c>
      <c r="R1313" s="115">
        <f t="shared" si="2"/>
        <v>41000</v>
      </c>
      <c r="S1313" s="49">
        <f t="array" ref="S1313">WEEKDAY(D1313,2)</f>
        <v>4</v>
      </c>
      <c r="T1313" s="46" t="s">
        <v>119</v>
      </c>
      <c r="U1313" s="46" t="str">
        <f t="array" ref="U1313">TEXT(D1313,"dddd")</f>
        <v>Thursday</v>
      </c>
    </row>
    <row r="1314" hidden="1">
      <c r="A1314" s="46">
        <v>9.87410676E8</v>
      </c>
      <c r="B1314" s="137" t="s">
        <v>216</v>
      </c>
      <c r="C1314" s="137">
        <v>2014.0</v>
      </c>
      <c r="D1314" s="138">
        <v>41864.0</v>
      </c>
      <c r="E1314" s="139">
        <v>41888.0</v>
      </c>
      <c r="F1314" s="142" t="s">
        <v>221</v>
      </c>
      <c r="G1314" s="142">
        <v>2014.0</v>
      </c>
      <c r="H1314" s="46">
        <v>2103.0</v>
      </c>
      <c r="I1314" s="46">
        <v>5616.0</v>
      </c>
      <c r="J1314" s="84">
        <v>1155211.2</v>
      </c>
      <c r="K1314" s="84">
        <v>657689.76</v>
      </c>
      <c r="L1314" s="84">
        <v>497521.43999999994</v>
      </c>
      <c r="M1314" s="46" t="s">
        <v>144</v>
      </c>
      <c r="N1314" s="46" t="s">
        <v>189</v>
      </c>
      <c r="O1314" s="46" t="s">
        <v>146</v>
      </c>
      <c r="P1314" s="46" t="s">
        <v>158</v>
      </c>
      <c r="Q1314" s="46" t="str">
        <f t="shared" si="1"/>
        <v>August, 2014</v>
      </c>
      <c r="R1314" s="115">
        <f t="shared" si="2"/>
        <v>41852</v>
      </c>
      <c r="S1314" s="49">
        <f t="array" ref="S1314">WEEKDAY(D1314,2)</f>
        <v>3</v>
      </c>
      <c r="T1314" s="46" t="s">
        <v>118</v>
      </c>
      <c r="U1314" s="46" t="str">
        <f t="array" ref="U1314">TEXT(D1314,"dddd")</f>
        <v>Wednesday</v>
      </c>
    </row>
    <row r="1315" hidden="1">
      <c r="A1315" s="46">
        <v>9.8745917E8</v>
      </c>
      <c r="B1315" s="137" t="s">
        <v>217</v>
      </c>
      <c r="C1315" s="137">
        <v>2010.0</v>
      </c>
      <c r="D1315" s="138">
        <v>40375.0</v>
      </c>
      <c r="E1315" s="139">
        <v>40417.0</v>
      </c>
      <c r="F1315" s="142" t="s">
        <v>216</v>
      </c>
      <c r="G1315" s="142">
        <v>2010.0</v>
      </c>
      <c r="H1315" s="46">
        <v>3127.0</v>
      </c>
      <c r="I1315" s="46">
        <v>9967.0</v>
      </c>
      <c r="J1315" s="84">
        <v>814602.91</v>
      </c>
      <c r="K1315" s="84">
        <v>564829.89</v>
      </c>
      <c r="L1315" s="84">
        <v>249773.02000000002</v>
      </c>
      <c r="M1315" s="46" t="s">
        <v>185</v>
      </c>
      <c r="N1315" s="46" t="s">
        <v>181</v>
      </c>
      <c r="O1315" s="46" t="s">
        <v>146</v>
      </c>
      <c r="P1315" s="46" t="s">
        <v>155</v>
      </c>
      <c r="Q1315" s="46" t="str">
        <f t="shared" si="1"/>
        <v>July, 2010</v>
      </c>
      <c r="R1315" s="115">
        <f t="shared" si="2"/>
        <v>40360</v>
      </c>
      <c r="S1315" s="49">
        <f t="array" ref="S1315">WEEKDAY(D1315,2)</f>
        <v>5</v>
      </c>
      <c r="T1315" s="46" t="s">
        <v>113</v>
      </c>
      <c r="U1315" s="46" t="str">
        <f t="array" ref="U1315">TEXT(D1315,"dddd")</f>
        <v>Friday</v>
      </c>
    </row>
    <row r="1316" hidden="1">
      <c r="A1316" s="46">
        <v>9.87767302E8</v>
      </c>
      <c r="B1316" s="137" t="s">
        <v>217</v>
      </c>
      <c r="C1316" s="137">
        <v>2012.0</v>
      </c>
      <c r="D1316" s="138">
        <v>41098.0</v>
      </c>
      <c r="E1316" s="139">
        <v>41122.0</v>
      </c>
      <c r="F1316" s="142" t="s">
        <v>216</v>
      </c>
      <c r="G1316" s="142">
        <v>2012.0</v>
      </c>
      <c r="H1316" s="46">
        <v>8681.0</v>
      </c>
      <c r="I1316" s="46">
        <v>1150.0</v>
      </c>
      <c r="J1316" s="84">
        <v>748891.5</v>
      </c>
      <c r="K1316" s="84">
        <v>603704.0</v>
      </c>
      <c r="L1316" s="84">
        <v>145187.5</v>
      </c>
      <c r="M1316" s="46" t="s">
        <v>153</v>
      </c>
      <c r="N1316" s="46" t="s">
        <v>177</v>
      </c>
      <c r="O1316" s="46" t="s">
        <v>146</v>
      </c>
      <c r="P1316" s="46" t="s">
        <v>170</v>
      </c>
      <c r="Q1316" s="46" t="str">
        <f t="shared" si="1"/>
        <v>July, 2012</v>
      </c>
      <c r="R1316" s="115">
        <f t="shared" si="2"/>
        <v>41091</v>
      </c>
      <c r="S1316" s="49">
        <f t="array" ref="S1316">WEEKDAY(D1316,2)</f>
        <v>7</v>
      </c>
      <c r="T1316" s="46" t="s">
        <v>110</v>
      </c>
      <c r="U1316" s="46" t="str">
        <f t="array" ref="U1316">TEXT(D1316,"dddd")</f>
        <v>Sunday</v>
      </c>
    </row>
    <row r="1317" hidden="1">
      <c r="A1317" s="46">
        <v>9.8859986E8</v>
      </c>
      <c r="B1317" s="137" t="s">
        <v>224</v>
      </c>
      <c r="C1317" s="137">
        <v>2014.0</v>
      </c>
      <c r="D1317" s="138">
        <v>41949.0</v>
      </c>
      <c r="E1317" s="139">
        <v>41984.0</v>
      </c>
      <c r="F1317" s="142" t="s">
        <v>225</v>
      </c>
      <c r="G1317" s="142">
        <v>2014.0</v>
      </c>
      <c r="H1317" s="46">
        <v>7940.0</v>
      </c>
      <c r="I1317" s="46">
        <v>7522.0</v>
      </c>
      <c r="J1317" s="84">
        <v>5026726.9399999995</v>
      </c>
      <c r="K1317" s="84">
        <v>3780105.8800000004</v>
      </c>
      <c r="L1317" s="84">
        <v>1246621.0599999991</v>
      </c>
      <c r="M1317" s="46" t="s">
        <v>148</v>
      </c>
      <c r="N1317" s="46" t="s">
        <v>184</v>
      </c>
      <c r="O1317" s="46" t="s">
        <v>146</v>
      </c>
      <c r="P1317" s="46" t="s">
        <v>155</v>
      </c>
      <c r="Q1317" s="46" t="str">
        <f t="shared" si="1"/>
        <v>November, 2014</v>
      </c>
      <c r="R1317" s="115">
        <f t="shared" si="2"/>
        <v>41944</v>
      </c>
      <c r="S1317" s="49">
        <f t="array" ref="S1317">WEEKDAY(D1317,2)</f>
        <v>4</v>
      </c>
      <c r="T1317" s="46" t="s">
        <v>114</v>
      </c>
      <c r="U1317" s="46" t="str">
        <f t="array" ref="U1317">TEXT(D1317,"dddd")</f>
        <v>Thursday</v>
      </c>
    </row>
    <row r="1318" hidden="1">
      <c r="A1318" s="46">
        <v>9.88614022E8</v>
      </c>
      <c r="B1318" s="137" t="s">
        <v>224</v>
      </c>
      <c r="C1318" s="137">
        <v>2010.0</v>
      </c>
      <c r="D1318" s="138">
        <v>40510.0</v>
      </c>
      <c r="E1318" s="139">
        <v>40554.0</v>
      </c>
      <c r="F1318" s="142" t="s">
        <v>227</v>
      </c>
      <c r="G1318" s="142">
        <v>2011.0</v>
      </c>
      <c r="H1318" s="46">
        <v>2103.0</v>
      </c>
      <c r="I1318" s="46">
        <v>1713.0</v>
      </c>
      <c r="J1318" s="84">
        <v>352364.1</v>
      </c>
      <c r="K1318" s="84">
        <v>200609.43</v>
      </c>
      <c r="L1318" s="84">
        <v>151754.66999999998</v>
      </c>
      <c r="M1318" s="46" t="s">
        <v>144</v>
      </c>
      <c r="N1318" s="46" t="s">
        <v>190</v>
      </c>
      <c r="O1318" s="46" t="s">
        <v>146</v>
      </c>
      <c r="P1318" s="46" t="s">
        <v>147</v>
      </c>
      <c r="Q1318" s="46" t="str">
        <f t="shared" si="1"/>
        <v>November, 2010</v>
      </c>
      <c r="R1318" s="115">
        <f t="shared" si="2"/>
        <v>40483</v>
      </c>
      <c r="S1318" s="49">
        <f t="array" ref="S1318">WEEKDAY(D1318,2)</f>
        <v>7</v>
      </c>
      <c r="T1318" s="46" t="s">
        <v>119</v>
      </c>
      <c r="U1318" s="46" t="str">
        <f t="array" ref="U1318">TEXT(D1318,"dddd")</f>
        <v>Sunday</v>
      </c>
    </row>
    <row r="1319">
      <c r="A1319" s="46">
        <v>9.89102828E8</v>
      </c>
      <c r="B1319" s="137" t="s">
        <v>220</v>
      </c>
      <c r="C1319" s="137">
        <v>2012.0</v>
      </c>
      <c r="D1319" s="138">
        <v>41071.0</v>
      </c>
      <c r="E1319" s="139">
        <v>41098.0</v>
      </c>
      <c r="F1319" s="142" t="s">
        <v>217</v>
      </c>
      <c r="G1319" s="142">
        <v>2012.0</v>
      </c>
      <c r="H1319" s="46">
        <v>4594.0</v>
      </c>
      <c r="I1319" s="46">
        <v>6362.0</v>
      </c>
      <c r="J1319" s="84">
        <v>59357.46</v>
      </c>
      <c r="K1319" s="84">
        <v>44025.04</v>
      </c>
      <c r="L1319" s="84">
        <v>15332.419999999998</v>
      </c>
      <c r="M1319" s="46" t="s">
        <v>156</v>
      </c>
      <c r="N1319" s="46" t="s">
        <v>149</v>
      </c>
      <c r="O1319" s="46" t="s">
        <v>149</v>
      </c>
      <c r="P1319" s="46" t="s">
        <v>218</v>
      </c>
      <c r="Q1319" s="46" t="str">
        <f t="shared" si="1"/>
        <v>June, 2012</v>
      </c>
      <c r="R1319" s="115">
        <f t="shared" si="2"/>
        <v>41061</v>
      </c>
      <c r="S1319" s="49">
        <f t="array" ref="S1319">WEEKDAY(D1319,2)</f>
        <v>1</v>
      </c>
      <c r="T1319" s="46" t="s">
        <v>92</v>
      </c>
      <c r="U1319" s="46" t="str">
        <f t="array" ref="U1319">TEXT(D1319,"dddd")</f>
        <v>Monday</v>
      </c>
    </row>
    <row r="1320" hidden="1">
      <c r="A1320" s="46">
        <v>9.89403665E8</v>
      </c>
      <c r="B1320" s="137" t="s">
        <v>223</v>
      </c>
      <c r="C1320" s="137">
        <v>2015.0</v>
      </c>
      <c r="D1320" s="138">
        <v>42116.0</v>
      </c>
      <c r="E1320" s="139">
        <v>42149.0</v>
      </c>
      <c r="F1320" s="142" t="s">
        <v>219</v>
      </c>
      <c r="G1320" s="142">
        <v>2015.0</v>
      </c>
      <c r="H1320" s="46">
        <v>2455.0</v>
      </c>
      <c r="I1320" s="46">
        <v>5386.0</v>
      </c>
      <c r="J1320" s="84">
        <v>588582.08</v>
      </c>
      <c r="K1320" s="84">
        <v>193034.24000000002</v>
      </c>
      <c r="L1320" s="84">
        <v>395547.83999999997</v>
      </c>
      <c r="M1320" s="46" t="s">
        <v>150</v>
      </c>
      <c r="N1320" s="46" t="s">
        <v>190</v>
      </c>
      <c r="O1320" s="46" t="s">
        <v>146</v>
      </c>
      <c r="P1320" s="46" t="s">
        <v>147</v>
      </c>
      <c r="Q1320" s="46" t="str">
        <f t="shared" si="1"/>
        <v>April, 2015</v>
      </c>
      <c r="R1320" s="115">
        <f t="shared" si="2"/>
        <v>42095</v>
      </c>
      <c r="S1320" s="49">
        <f t="array" ref="S1320">WEEKDAY(D1320,2)</f>
        <v>3</v>
      </c>
      <c r="T1320" s="46" t="s">
        <v>119</v>
      </c>
      <c r="U1320" s="46" t="str">
        <f t="array" ref="U1320">TEXT(D1320,"dddd")</f>
        <v>Wednesday</v>
      </c>
    </row>
    <row r="1321" hidden="1">
      <c r="A1321" s="46">
        <v>9.9045509E8</v>
      </c>
      <c r="B1321" s="137" t="s">
        <v>224</v>
      </c>
      <c r="C1321" s="137">
        <v>2013.0</v>
      </c>
      <c r="D1321" s="138">
        <v>41608.0</v>
      </c>
      <c r="E1321" s="139">
        <v>41622.0</v>
      </c>
      <c r="F1321" s="142" t="s">
        <v>225</v>
      </c>
      <c r="G1321" s="142">
        <v>2013.0</v>
      </c>
      <c r="H1321" s="46">
        <v>7940.0</v>
      </c>
      <c r="I1321" s="46">
        <v>6526.0</v>
      </c>
      <c r="J1321" s="84">
        <v>4361130.02</v>
      </c>
      <c r="K1321" s="84">
        <v>3279576.04</v>
      </c>
      <c r="L1321" s="84">
        <v>1081553.9799999995</v>
      </c>
      <c r="M1321" s="46" t="s">
        <v>148</v>
      </c>
      <c r="N1321" s="46" t="s">
        <v>187</v>
      </c>
      <c r="O1321" s="46" t="s">
        <v>146</v>
      </c>
      <c r="P1321" s="46" t="s">
        <v>155</v>
      </c>
      <c r="Q1321" s="46" t="str">
        <f t="shared" si="1"/>
        <v>November, 2013</v>
      </c>
      <c r="R1321" s="115">
        <f t="shared" si="2"/>
        <v>41579</v>
      </c>
      <c r="S1321" s="49">
        <f t="array" ref="S1321">WEEKDAY(D1321,2)</f>
        <v>6</v>
      </c>
      <c r="T1321" s="46" t="s">
        <v>116</v>
      </c>
      <c r="U1321" s="46" t="str">
        <f t="array" ref="U1321">TEXT(D1321,"dddd")</f>
        <v>Saturday</v>
      </c>
    </row>
    <row r="1322" hidden="1">
      <c r="A1322" s="46">
        <v>9.9077481E8</v>
      </c>
      <c r="B1322" s="137" t="s">
        <v>227</v>
      </c>
      <c r="C1322" s="137">
        <v>2014.0</v>
      </c>
      <c r="D1322" s="138">
        <v>41656.0</v>
      </c>
      <c r="E1322" s="139">
        <v>41688.0</v>
      </c>
      <c r="F1322" s="142" t="s">
        <v>228</v>
      </c>
      <c r="G1322" s="142">
        <v>2014.0</v>
      </c>
      <c r="H1322" s="46">
        <v>7940.0</v>
      </c>
      <c r="I1322" s="46">
        <v>1138.0</v>
      </c>
      <c r="J1322" s="84">
        <v>760491.26</v>
      </c>
      <c r="K1322" s="84">
        <v>571890.52</v>
      </c>
      <c r="L1322" s="84">
        <v>188600.74</v>
      </c>
      <c r="M1322" s="46" t="s">
        <v>148</v>
      </c>
      <c r="N1322" s="46" t="s">
        <v>192</v>
      </c>
      <c r="O1322" s="46" t="s">
        <v>146</v>
      </c>
      <c r="P1322" s="46" t="s">
        <v>158</v>
      </c>
      <c r="Q1322" s="46" t="str">
        <f t="shared" si="1"/>
        <v>January, 2014</v>
      </c>
      <c r="R1322" s="115">
        <f t="shared" si="2"/>
        <v>41640</v>
      </c>
      <c r="S1322" s="49">
        <f t="array" ref="S1322">WEEKDAY(D1322,2)</f>
        <v>5</v>
      </c>
      <c r="T1322" s="46" t="s">
        <v>121</v>
      </c>
      <c r="U1322" s="46" t="str">
        <f t="array" ref="U1322">TEXT(D1322,"dddd")</f>
        <v>Friday</v>
      </c>
    </row>
    <row r="1323" hidden="1">
      <c r="A1323" s="46">
        <v>9.91761863E8</v>
      </c>
      <c r="B1323" s="137" t="s">
        <v>225</v>
      </c>
      <c r="C1323" s="137">
        <v>2011.0</v>
      </c>
      <c r="D1323" s="138">
        <v>40897.0</v>
      </c>
      <c r="E1323" s="139">
        <v>40901.0</v>
      </c>
      <c r="F1323" s="142" t="s">
        <v>225</v>
      </c>
      <c r="G1323" s="142">
        <v>2011.0</v>
      </c>
      <c r="H1323" s="46">
        <v>4594.0</v>
      </c>
      <c r="I1323" s="46">
        <v>3229.0</v>
      </c>
      <c r="J1323" s="84">
        <v>30126.57</v>
      </c>
      <c r="K1323" s="84">
        <v>22344.68</v>
      </c>
      <c r="L1323" s="84">
        <v>7781.889999999999</v>
      </c>
      <c r="M1323" s="46" t="s">
        <v>156</v>
      </c>
      <c r="N1323" s="46" t="s">
        <v>183</v>
      </c>
      <c r="O1323" s="46" t="s">
        <v>146</v>
      </c>
      <c r="P1323" s="46" t="s">
        <v>170</v>
      </c>
      <c r="Q1323" s="46" t="str">
        <f t="shared" si="1"/>
        <v>December, 2011</v>
      </c>
      <c r="R1323" s="115">
        <f t="shared" si="2"/>
        <v>40878</v>
      </c>
      <c r="S1323" s="49">
        <f t="array" ref="S1323">WEEKDAY(D1323,2)</f>
        <v>2</v>
      </c>
      <c r="T1323" s="46" t="s">
        <v>90</v>
      </c>
      <c r="U1323" s="46" t="str">
        <f t="array" ref="U1323">TEXT(D1323,"dddd")</f>
        <v>Tuesday</v>
      </c>
    </row>
    <row r="1324" hidden="1">
      <c r="A1324" s="46">
        <v>9.92992675E8</v>
      </c>
      <c r="B1324" s="137" t="s">
        <v>222</v>
      </c>
      <c r="C1324" s="137">
        <v>2011.0</v>
      </c>
      <c r="D1324" s="138">
        <v>40610.0</v>
      </c>
      <c r="E1324" s="139">
        <v>40611.0</v>
      </c>
      <c r="F1324" s="142" t="s">
        <v>222</v>
      </c>
      <c r="G1324" s="142">
        <v>2011.0</v>
      </c>
      <c r="H1324" s="46">
        <v>5988.0</v>
      </c>
      <c r="I1324" s="46">
        <v>7454.0</v>
      </c>
      <c r="J1324" s="84">
        <v>1148363.24</v>
      </c>
      <c r="K1324" s="84">
        <v>677792.2200000001</v>
      </c>
      <c r="L1324" s="84">
        <v>470571.0199999999</v>
      </c>
      <c r="M1324" s="46" t="s">
        <v>159</v>
      </c>
      <c r="N1324" s="46" t="s">
        <v>145</v>
      </c>
      <c r="O1324" s="46" t="s">
        <v>146</v>
      </c>
      <c r="P1324" s="46" t="s">
        <v>147</v>
      </c>
      <c r="Q1324" s="46" t="str">
        <f t="shared" si="1"/>
        <v>March, 2011</v>
      </c>
      <c r="R1324" s="115">
        <f t="shared" si="2"/>
        <v>40603</v>
      </c>
      <c r="S1324" s="49">
        <f t="array" ref="S1324">WEEKDAY(D1324,2)</f>
        <v>2</v>
      </c>
      <c r="T1324" s="46" t="s">
        <v>91</v>
      </c>
      <c r="U1324" s="46" t="str">
        <f t="array" ref="U1324">TEXT(D1324,"dddd")</f>
        <v>Tuesday</v>
      </c>
    </row>
    <row r="1325" hidden="1">
      <c r="A1325" s="46">
        <v>9.93368613E8</v>
      </c>
      <c r="B1325" s="137" t="s">
        <v>228</v>
      </c>
      <c r="C1325" s="137">
        <v>2016.0</v>
      </c>
      <c r="D1325" s="138">
        <v>42408.0</v>
      </c>
      <c r="E1325" s="139">
        <v>42416.0</v>
      </c>
      <c r="F1325" s="142" t="s">
        <v>228</v>
      </c>
      <c r="G1325" s="142">
        <v>2016.0</v>
      </c>
      <c r="H1325" s="46">
        <v>3127.0</v>
      </c>
      <c r="I1325" s="46">
        <v>8702.0</v>
      </c>
      <c r="J1325" s="84">
        <v>711214.4600000001</v>
      </c>
      <c r="K1325" s="84">
        <v>493142.34</v>
      </c>
      <c r="L1325" s="84">
        <v>218072.12000000005</v>
      </c>
      <c r="M1325" s="46" t="s">
        <v>185</v>
      </c>
      <c r="N1325" s="46" t="s">
        <v>163</v>
      </c>
      <c r="O1325" s="46" t="s">
        <v>146</v>
      </c>
      <c r="P1325" s="46" t="s">
        <v>158</v>
      </c>
      <c r="Q1325" s="46" t="str">
        <f t="shared" si="1"/>
        <v>February, 2016</v>
      </c>
      <c r="R1325" s="115">
        <f t="shared" si="2"/>
        <v>42401</v>
      </c>
      <c r="S1325" s="49">
        <f t="array" ref="S1325">WEEKDAY(D1325,2)</f>
        <v>1</v>
      </c>
      <c r="T1325" s="46" t="s">
        <v>100</v>
      </c>
      <c r="U1325" s="46" t="str">
        <f t="array" ref="U1325">TEXT(D1325,"dddd")</f>
        <v>Monday</v>
      </c>
    </row>
    <row r="1326" hidden="1">
      <c r="A1326" s="46">
        <v>9.94406735E8</v>
      </c>
      <c r="B1326" s="137" t="s">
        <v>220</v>
      </c>
      <c r="C1326" s="137">
        <v>2015.0</v>
      </c>
      <c r="D1326" s="138">
        <v>42162.0</v>
      </c>
      <c r="E1326" s="139">
        <v>42185.0</v>
      </c>
      <c r="F1326" s="142" t="s">
        <v>220</v>
      </c>
      <c r="G1326" s="142">
        <v>2015.0</v>
      </c>
      <c r="H1326" s="46">
        <v>1270.0</v>
      </c>
      <c r="I1326" s="46">
        <v>5906.0</v>
      </c>
      <c r="J1326" s="84">
        <v>280239.7</v>
      </c>
      <c r="K1326" s="84">
        <v>187751.74</v>
      </c>
      <c r="L1326" s="84">
        <v>92487.96000000002</v>
      </c>
      <c r="M1326" s="46" t="s">
        <v>152</v>
      </c>
      <c r="N1326" s="46" t="s">
        <v>180</v>
      </c>
      <c r="O1326" s="46" t="s">
        <v>146</v>
      </c>
      <c r="P1326" s="46" t="s">
        <v>147</v>
      </c>
      <c r="Q1326" s="46" t="str">
        <f t="shared" si="1"/>
        <v>June, 2015</v>
      </c>
      <c r="R1326" s="115">
        <f t="shared" si="2"/>
        <v>42156</v>
      </c>
      <c r="S1326" s="49">
        <f t="array" ref="S1326">WEEKDAY(D1326,2)</f>
        <v>7</v>
      </c>
      <c r="T1326" s="46" t="s">
        <v>112</v>
      </c>
      <c r="U1326" s="46" t="str">
        <f t="array" ref="U1326">TEXT(D1326,"dddd")</f>
        <v>Sunday</v>
      </c>
    </row>
    <row r="1327" hidden="1">
      <c r="A1327" s="46">
        <v>9.94504153E8</v>
      </c>
      <c r="B1327" s="137" t="s">
        <v>227</v>
      </c>
      <c r="C1327" s="137">
        <v>2017.0</v>
      </c>
      <c r="D1327" s="138">
        <v>42745.0</v>
      </c>
      <c r="E1327" s="139">
        <v>42748.0</v>
      </c>
      <c r="F1327" s="142" t="s">
        <v>227</v>
      </c>
      <c r="G1327" s="142">
        <v>2017.0</v>
      </c>
      <c r="H1327" s="46">
        <v>4594.0</v>
      </c>
      <c r="I1327" s="46">
        <v>4734.0</v>
      </c>
      <c r="J1327" s="84">
        <v>44168.22</v>
      </c>
      <c r="K1327" s="84">
        <v>32759.28</v>
      </c>
      <c r="L1327" s="84">
        <v>11408.940000000002</v>
      </c>
      <c r="M1327" s="46" t="s">
        <v>156</v>
      </c>
      <c r="N1327" s="46" t="s">
        <v>203</v>
      </c>
      <c r="O1327" s="46" t="s">
        <v>146</v>
      </c>
      <c r="P1327" s="46" t="s">
        <v>170</v>
      </c>
      <c r="Q1327" s="46" t="str">
        <f t="shared" si="1"/>
        <v>January, 2017</v>
      </c>
      <c r="R1327" s="115">
        <f t="shared" si="2"/>
        <v>42736</v>
      </c>
      <c r="S1327" s="49">
        <f t="array" ref="S1327">WEEKDAY(D1327,2)</f>
        <v>2</v>
      </c>
      <c r="T1327" s="46" t="s">
        <v>132</v>
      </c>
      <c r="U1327" s="46" t="str">
        <f t="array" ref="U1327">TEXT(D1327,"dddd")</f>
        <v>Tuesday</v>
      </c>
    </row>
    <row r="1328" hidden="1">
      <c r="A1328" s="46">
        <v>9.94978797E8</v>
      </c>
      <c r="B1328" s="137" t="s">
        <v>225</v>
      </c>
      <c r="C1328" s="137">
        <v>2014.0</v>
      </c>
      <c r="D1328" s="138">
        <v>41978.0</v>
      </c>
      <c r="E1328" s="139">
        <v>42006.0</v>
      </c>
      <c r="F1328" s="142" t="s">
        <v>227</v>
      </c>
      <c r="G1328" s="142">
        <v>2015.0</v>
      </c>
      <c r="H1328" s="46">
        <v>1270.0</v>
      </c>
      <c r="I1328" s="46">
        <v>5192.0</v>
      </c>
      <c r="J1328" s="84">
        <v>246360.40000000002</v>
      </c>
      <c r="K1328" s="84">
        <v>165053.68</v>
      </c>
      <c r="L1328" s="84">
        <v>81306.72000000003</v>
      </c>
      <c r="M1328" s="46" t="s">
        <v>152</v>
      </c>
      <c r="N1328" s="46" t="s">
        <v>197</v>
      </c>
      <c r="O1328" s="46" t="s">
        <v>146</v>
      </c>
      <c r="P1328" s="46" t="s">
        <v>147</v>
      </c>
      <c r="Q1328" s="46" t="str">
        <f t="shared" si="1"/>
        <v>December, 2014</v>
      </c>
      <c r="R1328" s="115">
        <f t="shared" si="2"/>
        <v>41974</v>
      </c>
      <c r="S1328" s="49">
        <f t="array" ref="S1328">WEEKDAY(D1328,2)</f>
        <v>5</v>
      </c>
      <c r="T1328" s="46" t="s">
        <v>126</v>
      </c>
      <c r="U1328" s="46" t="str">
        <f t="array" ref="U1328">TEXT(D1328,"dddd")</f>
        <v>Friday</v>
      </c>
    </row>
    <row r="1329" hidden="1">
      <c r="A1329" s="46">
        <v>9.96754205E8</v>
      </c>
      <c r="B1329" s="137" t="s">
        <v>221</v>
      </c>
      <c r="C1329" s="137">
        <v>2010.0</v>
      </c>
      <c r="D1329" s="138">
        <v>40441.0</v>
      </c>
      <c r="E1329" s="139">
        <v>40443.0</v>
      </c>
      <c r="F1329" s="142" t="s">
        <v>221</v>
      </c>
      <c r="G1329" s="142">
        <v>2010.0</v>
      </c>
      <c r="H1329" s="46">
        <v>7331.0</v>
      </c>
      <c r="I1329" s="46">
        <v>574.0</v>
      </c>
      <c r="J1329" s="84">
        <v>146530.72</v>
      </c>
      <c r="K1329" s="84">
        <v>91507.07999999999</v>
      </c>
      <c r="L1329" s="84">
        <v>55023.640000000014</v>
      </c>
      <c r="M1329" s="46" t="s">
        <v>161</v>
      </c>
      <c r="N1329" s="46" t="s">
        <v>179</v>
      </c>
      <c r="O1329" s="46" t="s">
        <v>146</v>
      </c>
      <c r="P1329" s="46" t="s">
        <v>155</v>
      </c>
      <c r="Q1329" s="46" t="str">
        <f t="shared" si="1"/>
        <v>September, 2010</v>
      </c>
      <c r="R1329" s="115">
        <f t="shared" si="2"/>
        <v>40422</v>
      </c>
      <c r="S1329" s="49">
        <f t="array" ref="S1329">WEEKDAY(D1329,2)</f>
        <v>1</v>
      </c>
      <c r="T1329" s="46" t="s">
        <v>111</v>
      </c>
      <c r="U1329" s="46" t="str">
        <f t="array" ref="U1329">TEXT(D1329,"dddd")</f>
        <v>Monday</v>
      </c>
    </row>
    <row r="1330" hidden="1">
      <c r="A1330" s="46">
        <v>9.98043382E8</v>
      </c>
      <c r="B1330" s="137" t="s">
        <v>220</v>
      </c>
      <c r="C1330" s="137">
        <v>2010.0</v>
      </c>
      <c r="D1330" s="138">
        <v>40344.0</v>
      </c>
      <c r="E1330" s="139">
        <v>40362.0</v>
      </c>
      <c r="F1330" s="142" t="s">
        <v>217</v>
      </c>
      <c r="G1330" s="142">
        <v>2010.0</v>
      </c>
      <c r="H1330" s="46">
        <v>8293.0</v>
      </c>
      <c r="I1330" s="46">
        <v>2070.0</v>
      </c>
      <c r="J1330" s="84">
        <v>905004.0</v>
      </c>
      <c r="K1330" s="84">
        <v>545093.1</v>
      </c>
      <c r="L1330" s="84">
        <v>359910.9</v>
      </c>
      <c r="M1330" s="46" t="s">
        <v>178</v>
      </c>
      <c r="N1330" s="46" t="s">
        <v>180</v>
      </c>
      <c r="O1330" s="46" t="s">
        <v>146</v>
      </c>
      <c r="P1330" s="46" t="s">
        <v>147</v>
      </c>
      <c r="Q1330" s="46" t="str">
        <f t="shared" si="1"/>
        <v>June, 2010</v>
      </c>
      <c r="R1330" s="115">
        <f t="shared" si="2"/>
        <v>40330</v>
      </c>
      <c r="S1330" s="49">
        <f t="array" ref="S1330">WEEKDAY(D1330,2)</f>
        <v>2</v>
      </c>
      <c r="T1330" s="46" t="s">
        <v>112</v>
      </c>
      <c r="U1330" s="46" t="str">
        <f t="array" ref="U1330">TEXT(D1330,"dddd")</f>
        <v>Tuesday</v>
      </c>
    </row>
    <row r="1331" hidden="1">
      <c r="A1331" s="46">
        <v>9.99879729E8</v>
      </c>
      <c r="B1331" s="137" t="s">
        <v>222</v>
      </c>
      <c r="C1331" s="137">
        <v>2012.0</v>
      </c>
      <c r="D1331" s="138">
        <v>40999.0</v>
      </c>
      <c r="E1331" s="139">
        <v>41035.0</v>
      </c>
      <c r="F1331" s="142" t="s">
        <v>219</v>
      </c>
      <c r="G1331" s="142">
        <v>2012.0</v>
      </c>
      <c r="H1331" s="46">
        <v>7940.0</v>
      </c>
      <c r="I1331" s="46">
        <v>5486.0</v>
      </c>
      <c r="J1331" s="84">
        <v>3666129.2199999997</v>
      </c>
      <c r="K1331" s="84">
        <v>2756934.44</v>
      </c>
      <c r="L1331" s="84">
        <v>909194.7799999998</v>
      </c>
      <c r="M1331" s="46" t="s">
        <v>148</v>
      </c>
      <c r="N1331" s="46" t="s">
        <v>202</v>
      </c>
      <c r="O1331" s="46" t="s">
        <v>146</v>
      </c>
      <c r="P1331" s="46" t="s">
        <v>147</v>
      </c>
      <c r="Q1331" s="46" t="str">
        <f t="shared" si="1"/>
        <v>March, 2012</v>
      </c>
      <c r="R1331" s="115">
        <f t="shared" si="2"/>
        <v>40969</v>
      </c>
      <c r="S1331" s="49">
        <f t="array" ref="S1331">WEEKDAY(D1331,2)</f>
        <v>6</v>
      </c>
      <c r="T1331" s="46" t="s">
        <v>131</v>
      </c>
      <c r="U1331" s="46" t="str">
        <f t="array" ref="U1331">TEXT(D1331,"dddd")</f>
        <v>Saturday</v>
      </c>
    </row>
    <row r="1332">
      <c r="B1332" s="137"/>
      <c r="C1332" s="137"/>
      <c r="D1332" s="138"/>
      <c r="F1332" s="142"/>
      <c r="G1332" s="142"/>
    </row>
    <row r="1333">
      <c r="B1333" s="137"/>
      <c r="C1333" s="137"/>
      <c r="D1333" s="138"/>
      <c r="F1333" s="142"/>
      <c r="G1333" s="142"/>
    </row>
    <row r="1334">
      <c r="B1334" s="137"/>
      <c r="C1334" s="137"/>
      <c r="D1334" s="138"/>
      <c r="F1334" s="142"/>
      <c r="G1334" s="142"/>
    </row>
    <row r="1335">
      <c r="B1335" s="137"/>
      <c r="C1335" s="137"/>
      <c r="D1335" s="138"/>
      <c r="F1335" s="142"/>
      <c r="G1335" s="142"/>
    </row>
    <row r="1336">
      <c r="B1336" s="137"/>
      <c r="C1336" s="137"/>
      <c r="D1336" s="138"/>
      <c r="F1336" s="142"/>
      <c r="G1336" s="142"/>
    </row>
    <row r="1337">
      <c r="B1337" s="137"/>
      <c r="C1337" s="137"/>
      <c r="D1337" s="138"/>
      <c r="F1337" s="142"/>
      <c r="G1337" s="142"/>
    </row>
    <row r="1338">
      <c r="B1338" s="137"/>
      <c r="C1338" s="137"/>
      <c r="D1338" s="138"/>
      <c r="F1338" s="142"/>
      <c r="G1338" s="142"/>
    </row>
    <row r="1339">
      <c r="B1339" s="137"/>
      <c r="C1339" s="137"/>
      <c r="D1339" s="138"/>
      <c r="F1339" s="142"/>
      <c r="G1339" s="142"/>
    </row>
    <row r="1340">
      <c r="B1340" s="137"/>
      <c r="C1340" s="137"/>
      <c r="D1340" s="138"/>
      <c r="F1340" s="142"/>
      <c r="G1340" s="142"/>
    </row>
    <row r="1341">
      <c r="B1341" s="137"/>
      <c r="C1341" s="137"/>
      <c r="D1341" s="138"/>
      <c r="F1341" s="142"/>
      <c r="G1341" s="142"/>
    </row>
    <row r="1342">
      <c r="B1342" s="137"/>
      <c r="C1342" s="137"/>
      <c r="D1342" s="138"/>
      <c r="F1342" s="142"/>
      <c r="G1342" s="142"/>
    </row>
    <row r="1343">
      <c r="B1343" s="137"/>
      <c r="C1343" s="137"/>
      <c r="D1343" s="138"/>
      <c r="F1343" s="142"/>
      <c r="G1343" s="142"/>
    </row>
    <row r="1344">
      <c r="B1344" s="137"/>
      <c r="C1344" s="137"/>
      <c r="D1344" s="138"/>
      <c r="F1344" s="142"/>
      <c r="G1344" s="142"/>
    </row>
    <row r="1345">
      <c r="B1345" s="137"/>
      <c r="C1345" s="137"/>
      <c r="D1345" s="138"/>
      <c r="F1345" s="142"/>
      <c r="G1345" s="142"/>
    </row>
    <row r="1346">
      <c r="B1346" s="137"/>
      <c r="C1346" s="137"/>
      <c r="D1346" s="138"/>
      <c r="F1346" s="142"/>
      <c r="G1346" s="142"/>
    </row>
    <row r="1347">
      <c r="B1347" s="137"/>
      <c r="C1347" s="137"/>
      <c r="D1347" s="138"/>
      <c r="F1347" s="142"/>
      <c r="G1347" s="142"/>
    </row>
    <row r="1348">
      <c r="B1348" s="137"/>
      <c r="C1348" s="137"/>
      <c r="D1348" s="138"/>
      <c r="F1348" s="142"/>
      <c r="G1348" s="142"/>
    </row>
    <row r="1349">
      <c r="B1349" s="137"/>
      <c r="C1349" s="137"/>
      <c r="D1349" s="138"/>
      <c r="F1349" s="142"/>
      <c r="G1349" s="142"/>
    </row>
    <row r="1350">
      <c r="B1350" s="137"/>
      <c r="C1350" s="137"/>
      <c r="D1350" s="138"/>
      <c r="F1350" s="142"/>
      <c r="G1350" s="142"/>
    </row>
    <row r="1351">
      <c r="B1351" s="137"/>
      <c r="C1351" s="137"/>
      <c r="D1351" s="138"/>
      <c r="F1351" s="142"/>
      <c r="G1351" s="142"/>
    </row>
    <row r="1352">
      <c r="B1352" s="137"/>
      <c r="C1352" s="137"/>
      <c r="D1352" s="138"/>
      <c r="F1352" s="142"/>
      <c r="G1352" s="142"/>
    </row>
    <row r="1353">
      <c r="B1353" s="137"/>
      <c r="C1353" s="137"/>
      <c r="D1353" s="138"/>
      <c r="F1353" s="142"/>
      <c r="G1353" s="142"/>
    </row>
    <row r="1354">
      <c r="B1354" s="137"/>
      <c r="C1354" s="137"/>
      <c r="D1354" s="138"/>
      <c r="F1354" s="142"/>
      <c r="G1354" s="142"/>
    </row>
    <row r="1355">
      <c r="B1355" s="137"/>
      <c r="C1355" s="137"/>
      <c r="D1355" s="138"/>
      <c r="F1355" s="142"/>
      <c r="G1355" s="142"/>
    </row>
    <row r="1356">
      <c r="B1356" s="137"/>
      <c r="C1356" s="137"/>
      <c r="D1356" s="138"/>
      <c r="F1356" s="142"/>
      <c r="G1356" s="142"/>
    </row>
    <row r="1357">
      <c r="B1357" s="137"/>
      <c r="C1357" s="137"/>
      <c r="D1357" s="138"/>
      <c r="F1357" s="142"/>
      <c r="G1357" s="142"/>
    </row>
    <row r="1358">
      <c r="B1358" s="137"/>
      <c r="C1358" s="137"/>
      <c r="D1358" s="138"/>
      <c r="F1358" s="142"/>
      <c r="G1358" s="142"/>
    </row>
    <row r="1359">
      <c r="B1359" s="137"/>
      <c r="C1359" s="137"/>
      <c r="D1359" s="138"/>
      <c r="F1359" s="142"/>
      <c r="G1359" s="142"/>
    </row>
    <row r="1360">
      <c r="B1360" s="137"/>
      <c r="C1360" s="137"/>
      <c r="D1360" s="138"/>
      <c r="F1360" s="142"/>
      <c r="G1360" s="142"/>
    </row>
    <row r="1361">
      <c r="B1361" s="137"/>
      <c r="C1361" s="137"/>
      <c r="D1361" s="138"/>
      <c r="F1361" s="142"/>
      <c r="G1361" s="142"/>
    </row>
    <row r="1362">
      <c r="B1362" s="137"/>
      <c r="C1362" s="137"/>
      <c r="D1362" s="138"/>
      <c r="F1362" s="142"/>
      <c r="G1362" s="142"/>
    </row>
    <row r="1363">
      <c r="B1363" s="137"/>
      <c r="C1363" s="137"/>
      <c r="D1363" s="138"/>
      <c r="F1363" s="142"/>
      <c r="G1363" s="142"/>
    </row>
    <row r="1364">
      <c r="B1364" s="137"/>
      <c r="C1364" s="137"/>
      <c r="D1364" s="138"/>
      <c r="F1364" s="142"/>
      <c r="G1364" s="142"/>
    </row>
    <row r="1365">
      <c r="B1365" s="137"/>
      <c r="C1365" s="137"/>
      <c r="D1365" s="138"/>
      <c r="F1365" s="142"/>
      <c r="G1365" s="142"/>
    </row>
    <row r="1366">
      <c r="B1366" s="137"/>
      <c r="C1366" s="137"/>
      <c r="D1366" s="138"/>
      <c r="F1366" s="142"/>
      <c r="G1366" s="142"/>
    </row>
    <row r="1367">
      <c r="B1367" s="137"/>
      <c r="C1367" s="137"/>
      <c r="D1367" s="138"/>
      <c r="F1367" s="142"/>
      <c r="G1367" s="142"/>
    </row>
    <row r="1368">
      <c r="B1368" s="137"/>
      <c r="C1368" s="137"/>
      <c r="D1368" s="138"/>
      <c r="F1368" s="142"/>
      <c r="G1368" s="142"/>
    </row>
    <row r="1369">
      <c r="B1369" s="137"/>
      <c r="C1369" s="137"/>
      <c r="D1369" s="138"/>
      <c r="F1369" s="142"/>
      <c r="G1369" s="142"/>
    </row>
    <row r="1370">
      <c r="B1370" s="137"/>
      <c r="C1370" s="137"/>
      <c r="D1370" s="138"/>
      <c r="F1370" s="142"/>
      <c r="G1370" s="142"/>
    </row>
    <row r="1371">
      <c r="B1371" s="137"/>
      <c r="C1371" s="137"/>
      <c r="D1371" s="138"/>
      <c r="F1371" s="142"/>
      <c r="G1371" s="142"/>
    </row>
    <row r="1372">
      <c r="B1372" s="137"/>
      <c r="C1372" s="137"/>
      <c r="D1372" s="138"/>
      <c r="F1372" s="142"/>
      <c r="G1372" s="142"/>
    </row>
    <row r="1373">
      <c r="B1373" s="137"/>
      <c r="C1373" s="137"/>
      <c r="D1373" s="138"/>
      <c r="F1373" s="142"/>
      <c r="G1373" s="142"/>
    </row>
    <row r="1374">
      <c r="B1374" s="137"/>
      <c r="C1374" s="137"/>
      <c r="D1374" s="138"/>
      <c r="F1374" s="142"/>
      <c r="G1374" s="142"/>
    </row>
    <row r="1375">
      <c r="B1375" s="137"/>
      <c r="C1375" s="137"/>
      <c r="D1375" s="138"/>
      <c r="F1375" s="142"/>
      <c r="G1375" s="142"/>
    </row>
    <row r="1376">
      <c r="B1376" s="137"/>
      <c r="C1376" s="137"/>
      <c r="D1376" s="138"/>
      <c r="F1376" s="142"/>
      <c r="G1376" s="142"/>
    </row>
    <row r="1377">
      <c r="B1377" s="137"/>
      <c r="C1377" s="137"/>
      <c r="D1377" s="138"/>
      <c r="F1377" s="142"/>
      <c r="G1377" s="142"/>
    </row>
    <row r="1378">
      <c r="B1378" s="137"/>
      <c r="C1378" s="137"/>
      <c r="D1378" s="138"/>
      <c r="F1378" s="142"/>
      <c r="G1378" s="142"/>
    </row>
    <row r="1379">
      <c r="B1379" s="137"/>
      <c r="C1379" s="137"/>
      <c r="D1379" s="138"/>
      <c r="F1379" s="142"/>
      <c r="G1379" s="142"/>
    </row>
    <row r="1380">
      <c r="B1380" s="137"/>
      <c r="C1380" s="137"/>
      <c r="D1380" s="138"/>
      <c r="F1380" s="142"/>
      <c r="G1380" s="142"/>
    </row>
    <row r="1381">
      <c r="B1381" s="137"/>
      <c r="C1381" s="137"/>
      <c r="D1381" s="138"/>
      <c r="F1381" s="142"/>
      <c r="G1381" s="142"/>
    </row>
    <row r="1382">
      <c r="B1382" s="137"/>
      <c r="C1382" s="137"/>
      <c r="D1382" s="138"/>
      <c r="F1382" s="142"/>
      <c r="G1382" s="142"/>
    </row>
    <row r="1383">
      <c r="B1383" s="137"/>
      <c r="C1383" s="137"/>
      <c r="D1383" s="138"/>
      <c r="F1383" s="142"/>
      <c r="G1383" s="142"/>
    </row>
    <row r="1384">
      <c r="B1384" s="137"/>
      <c r="C1384" s="137"/>
      <c r="D1384" s="138"/>
      <c r="F1384" s="142"/>
      <c r="G1384" s="142"/>
    </row>
    <row r="1385">
      <c r="B1385" s="137"/>
      <c r="C1385" s="137"/>
      <c r="D1385" s="138"/>
      <c r="F1385" s="142"/>
      <c r="G1385" s="142"/>
    </row>
    <row r="1386">
      <c r="B1386" s="137"/>
      <c r="C1386" s="137"/>
      <c r="D1386" s="138"/>
      <c r="F1386" s="142"/>
      <c r="G1386" s="142"/>
    </row>
    <row r="1387">
      <c r="B1387" s="137"/>
      <c r="C1387" s="137"/>
      <c r="D1387" s="138"/>
      <c r="F1387" s="142"/>
      <c r="G1387" s="142"/>
    </row>
    <row r="1388">
      <c r="B1388" s="137"/>
      <c r="C1388" s="137"/>
      <c r="D1388" s="138"/>
      <c r="F1388" s="142"/>
      <c r="G1388" s="142"/>
    </row>
    <row r="1389">
      <c r="B1389" s="137"/>
      <c r="C1389" s="137"/>
      <c r="D1389" s="138"/>
      <c r="F1389" s="142"/>
      <c r="G1389" s="142"/>
    </row>
    <row r="1390">
      <c r="B1390" s="137"/>
      <c r="C1390" s="137"/>
      <c r="D1390" s="138"/>
      <c r="F1390" s="142"/>
      <c r="G1390" s="142"/>
    </row>
    <row r="1391">
      <c r="B1391" s="137"/>
      <c r="C1391" s="137"/>
      <c r="D1391" s="138"/>
      <c r="F1391" s="142"/>
      <c r="G1391" s="142"/>
    </row>
    <row r="1392">
      <c r="B1392" s="137"/>
      <c r="C1392" s="137"/>
      <c r="D1392" s="138"/>
      <c r="F1392" s="142"/>
      <c r="G1392" s="142"/>
    </row>
    <row r="1393">
      <c r="B1393" s="137"/>
      <c r="C1393" s="137"/>
      <c r="D1393" s="138"/>
      <c r="F1393" s="142"/>
      <c r="G1393" s="142"/>
    </row>
    <row r="1394">
      <c r="B1394" s="137"/>
      <c r="C1394" s="137"/>
      <c r="D1394" s="138"/>
      <c r="F1394" s="142"/>
      <c r="G1394" s="142"/>
    </row>
    <row r="1395">
      <c r="B1395" s="137"/>
      <c r="C1395" s="137"/>
      <c r="D1395" s="138"/>
      <c r="F1395" s="142"/>
      <c r="G1395" s="142"/>
    </row>
    <row r="1396">
      <c r="B1396" s="137"/>
      <c r="C1396" s="137"/>
      <c r="D1396" s="138"/>
      <c r="F1396" s="142"/>
      <c r="G1396" s="142"/>
    </row>
    <row r="1397">
      <c r="B1397" s="137"/>
      <c r="C1397" s="137"/>
      <c r="D1397" s="138"/>
      <c r="F1397" s="142"/>
      <c r="G1397" s="142"/>
    </row>
    <row r="1398">
      <c r="B1398" s="137"/>
      <c r="C1398" s="137"/>
      <c r="D1398" s="138"/>
      <c r="F1398" s="142"/>
      <c r="G1398" s="142"/>
    </row>
    <row r="1399">
      <c r="B1399" s="137"/>
      <c r="C1399" s="137"/>
      <c r="D1399" s="138"/>
      <c r="F1399" s="142"/>
      <c r="G1399" s="142"/>
    </row>
    <row r="1400">
      <c r="B1400" s="137"/>
      <c r="C1400" s="137"/>
      <c r="D1400" s="138"/>
      <c r="F1400" s="142"/>
      <c r="G1400" s="142"/>
    </row>
    <row r="1401">
      <c r="B1401" s="137"/>
      <c r="C1401" s="137"/>
      <c r="D1401" s="138"/>
      <c r="F1401" s="142"/>
      <c r="G1401" s="142"/>
    </row>
    <row r="1402">
      <c r="B1402" s="137"/>
      <c r="C1402" s="137"/>
      <c r="D1402" s="138"/>
      <c r="F1402" s="142"/>
      <c r="G1402" s="142"/>
    </row>
    <row r="1403">
      <c r="B1403" s="137"/>
      <c r="C1403" s="137"/>
      <c r="D1403" s="138"/>
      <c r="F1403" s="142"/>
      <c r="G1403" s="142"/>
    </row>
    <row r="1404">
      <c r="B1404" s="137"/>
      <c r="C1404" s="137"/>
      <c r="D1404" s="138"/>
      <c r="F1404" s="142"/>
      <c r="G1404" s="142"/>
    </row>
    <row r="1405">
      <c r="B1405" s="137"/>
      <c r="C1405" s="137"/>
      <c r="D1405" s="138"/>
      <c r="F1405" s="142"/>
      <c r="G1405" s="142"/>
    </row>
    <row r="1406">
      <c r="B1406" s="137"/>
      <c r="C1406" s="137"/>
      <c r="D1406" s="138"/>
      <c r="F1406" s="142"/>
      <c r="G1406" s="142"/>
    </row>
    <row r="1407">
      <c r="B1407" s="137"/>
      <c r="C1407" s="137"/>
      <c r="D1407" s="138"/>
      <c r="F1407" s="142"/>
      <c r="G1407" s="142"/>
    </row>
    <row r="1408">
      <c r="B1408" s="137"/>
      <c r="C1408" s="137"/>
      <c r="D1408" s="138"/>
      <c r="F1408" s="142"/>
      <c r="G1408" s="142"/>
    </row>
    <row r="1409">
      <c r="B1409" s="137"/>
      <c r="C1409" s="137"/>
      <c r="D1409" s="138"/>
      <c r="F1409" s="142"/>
      <c r="G1409" s="142"/>
    </row>
    <row r="1410">
      <c r="B1410" s="137"/>
      <c r="C1410" s="137"/>
      <c r="D1410" s="138"/>
      <c r="F1410" s="142"/>
      <c r="G1410" s="142"/>
    </row>
    <row r="1411">
      <c r="B1411" s="137"/>
      <c r="C1411" s="137"/>
      <c r="D1411" s="138"/>
      <c r="F1411" s="142"/>
      <c r="G1411" s="142"/>
    </row>
    <row r="1412">
      <c r="B1412" s="137"/>
      <c r="C1412" s="137"/>
      <c r="D1412" s="138"/>
      <c r="F1412" s="142"/>
      <c r="G1412" s="142"/>
    </row>
    <row r="1413">
      <c r="B1413" s="137"/>
      <c r="C1413" s="137"/>
      <c r="D1413" s="138"/>
      <c r="F1413" s="142"/>
      <c r="G1413" s="142"/>
    </row>
    <row r="1414">
      <c r="B1414" s="137"/>
      <c r="C1414" s="137"/>
      <c r="D1414" s="138"/>
      <c r="F1414" s="142"/>
      <c r="G1414" s="142"/>
    </row>
    <row r="1415">
      <c r="B1415" s="137"/>
      <c r="C1415" s="137"/>
      <c r="D1415" s="138"/>
      <c r="F1415" s="142"/>
      <c r="G1415" s="142"/>
    </row>
    <row r="1416">
      <c r="B1416" s="137"/>
      <c r="C1416" s="137"/>
      <c r="D1416" s="138"/>
      <c r="F1416" s="142"/>
      <c r="G1416" s="142"/>
    </row>
    <row r="1417">
      <c r="B1417" s="137"/>
      <c r="C1417" s="137"/>
      <c r="D1417" s="138"/>
      <c r="F1417" s="142"/>
      <c r="G1417" s="142"/>
    </row>
    <row r="1418">
      <c r="B1418" s="137"/>
      <c r="C1418" s="137"/>
      <c r="D1418" s="138"/>
      <c r="F1418" s="142"/>
      <c r="G1418" s="142"/>
    </row>
    <row r="1419">
      <c r="B1419" s="137"/>
      <c r="C1419" s="137"/>
      <c r="D1419" s="138"/>
      <c r="F1419" s="142"/>
      <c r="G1419" s="142"/>
    </row>
    <row r="1420">
      <c r="B1420" s="137"/>
      <c r="C1420" s="137"/>
      <c r="D1420" s="138"/>
      <c r="F1420" s="142"/>
      <c r="G1420" s="142"/>
    </row>
    <row r="1421">
      <c r="B1421" s="137"/>
      <c r="C1421" s="137"/>
      <c r="D1421" s="138"/>
      <c r="F1421" s="142"/>
      <c r="G1421" s="142"/>
    </row>
    <row r="1422">
      <c r="B1422" s="137"/>
      <c r="C1422" s="137"/>
      <c r="D1422" s="138"/>
      <c r="F1422" s="142"/>
      <c r="G1422" s="142"/>
    </row>
    <row r="1423">
      <c r="B1423" s="137"/>
      <c r="C1423" s="137"/>
      <c r="D1423" s="138"/>
      <c r="F1423" s="142"/>
      <c r="G1423" s="142"/>
    </row>
    <row r="1424">
      <c r="B1424" s="137"/>
      <c r="C1424" s="137"/>
      <c r="D1424" s="138"/>
      <c r="F1424" s="142"/>
      <c r="G1424" s="142"/>
    </row>
    <row r="1425">
      <c r="B1425" s="137"/>
      <c r="C1425" s="137"/>
      <c r="D1425" s="138"/>
      <c r="F1425" s="142"/>
      <c r="G1425" s="142"/>
    </row>
    <row r="1426">
      <c r="B1426" s="137"/>
      <c r="C1426" s="137"/>
      <c r="D1426" s="138"/>
      <c r="F1426" s="142"/>
      <c r="G1426" s="142"/>
    </row>
    <row r="1427">
      <c r="B1427" s="137"/>
      <c r="C1427" s="137"/>
      <c r="D1427" s="138"/>
      <c r="F1427" s="142"/>
      <c r="G1427" s="142"/>
    </row>
    <row r="1428">
      <c r="B1428" s="137"/>
      <c r="C1428" s="137"/>
      <c r="D1428" s="138"/>
      <c r="F1428" s="142"/>
      <c r="G1428" s="142"/>
    </row>
    <row r="1429">
      <c r="B1429" s="137"/>
      <c r="C1429" s="137"/>
      <c r="D1429" s="138"/>
      <c r="F1429" s="142"/>
      <c r="G1429" s="142"/>
    </row>
    <row r="1430">
      <c r="B1430" s="137"/>
      <c r="C1430" s="137"/>
      <c r="D1430" s="138"/>
      <c r="F1430" s="142"/>
      <c r="G1430" s="142"/>
    </row>
    <row r="1431">
      <c r="B1431" s="137"/>
      <c r="C1431" s="137"/>
      <c r="D1431" s="138"/>
      <c r="F1431" s="142"/>
      <c r="G1431" s="142"/>
    </row>
    <row r="1432">
      <c r="B1432" s="137"/>
      <c r="C1432" s="137"/>
      <c r="D1432" s="138"/>
      <c r="F1432" s="142"/>
      <c r="G1432" s="142"/>
    </row>
    <row r="1433">
      <c r="B1433" s="137"/>
      <c r="C1433" s="137"/>
      <c r="D1433" s="138"/>
      <c r="F1433" s="142"/>
      <c r="G1433" s="142"/>
    </row>
    <row r="1434">
      <c r="B1434" s="137"/>
      <c r="C1434" s="137"/>
      <c r="D1434" s="138"/>
      <c r="F1434" s="142"/>
      <c r="G1434" s="142"/>
    </row>
    <row r="1435">
      <c r="B1435" s="137"/>
      <c r="C1435" s="137"/>
      <c r="D1435" s="138"/>
      <c r="F1435" s="142"/>
      <c r="G1435" s="142"/>
    </row>
    <row r="1436">
      <c r="B1436" s="137"/>
      <c r="C1436" s="137"/>
      <c r="D1436" s="138"/>
      <c r="F1436" s="142"/>
      <c r="G1436" s="142"/>
    </row>
    <row r="1437">
      <c r="B1437" s="137"/>
      <c r="C1437" s="137"/>
      <c r="D1437" s="138"/>
      <c r="F1437" s="142"/>
      <c r="G1437" s="142"/>
    </row>
    <row r="1438">
      <c r="B1438" s="137"/>
      <c r="C1438" s="137"/>
      <c r="D1438" s="138"/>
      <c r="F1438" s="142"/>
      <c r="G1438" s="142"/>
    </row>
    <row r="1439">
      <c r="B1439" s="137"/>
      <c r="C1439" s="137"/>
      <c r="D1439" s="138"/>
      <c r="F1439" s="142"/>
      <c r="G1439" s="142"/>
    </row>
    <row r="1440">
      <c r="B1440" s="137"/>
      <c r="C1440" s="137"/>
      <c r="D1440" s="138"/>
      <c r="F1440" s="142"/>
      <c r="G1440" s="142"/>
    </row>
    <row r="1441">
      <c r="B1441" s="137"/>
      <c r="C1441" s="137"/>
      <c r="D1441" s="138"/>
      <c r="F1441" s="142"/>
      <c r="G1441" s="142"/>
    </row>
    <row r="1442">
      <c r="B1442" s="137"/>
      <c r="C1442" s="137"/>
      <c r="D1442" s="138"/>
      <c r="F1442" s="142"/>
      <c r="G1442" s="142"/>
    </row>
    <row r="1443">
      <c r="B1443" s="137"/>
      <c r="C1443" s="137"/>
      <c r="D1443" s="138"/>
      <c r="F1443" s="142"/>
      <c r="G1443" s="142"/>
    </row>
    <row r="1444">
      <c r="B1444" s="137"/>
      <c r="C1444" s="137"/>
      <c r="D1444" s="138"/>
      <c r="F1444" s="142"/>
      <c r="G1444" s="142"/>
    </row>
    <row r="1445">
      <c r="B1445" s="137"/>
      <c r="C1445" s="137"/>
      <c r="D1445" s="138"/>
      <c r="F1445" s="142"/>
      <c r="G1445" s="142"/>
    </row>
    <row r="1446">
      <c r="B1446" s="137"/>
      <c r="C1446" s="137"/>
      <c r="D1446" s="138"/>
      <c r="F1446" s="142"/>
      <c r="G1446" s="142"/>
    </row>
    <row r="1447">
      <c r="B1447" s="137"/>
      <c r="C1447" s="137"/>
      <c r="D1447" s="138"/>
      <c r="F1447" s="142"/>
      <c r="G1447" s="142"/>
    </row>
    <row r="1448">
      <c r="B1448" s="137"/>
      <c r="C1448" s="137"/>
      <c r="D1448" s="138"/>
      <c r="F1448" s="142"/>
      <c r="G1448" s="142"/>
    </row>
    <row r="1449">
      <c r="B1449" s="137"/>
      <c r="C1449" s="137"/>
      <c r="D1449" s="138"/>
      <c r="F1449" s="142"/>
      <c r="G1449" s="142"/>
    </row>
    <row r="1450">
      <c r="B1450" s="137"/>
      <c r="C1450" s="137"/>
      <c r="D1450" s="138"/>
      <c r="F1450" s="142"/>
      <c r="G1450" s="142"/>
    </row>
    <row r="1451">
      <c r="B1451" s="137"/>
      <c r="C1451" s="137"/>
      <c r="D1451" s="138"/>
      <c r="F1451" s="142"/>
      <c r="G1451" s="142"/>
    </row>
    <row r="1452">
      <c r="B1452" s="137"/>
      <c r="C1452" s="137"/>
      <c r="D1452" s="138"/>
      <c r="F1452" s="142"/>
      <c r="G1452" s="142"/>
    </row>
    <row r="1453">
      <c r="B1453" s="137"/>
      <c r="C1453" s="137"/>
      <c r="D1453" s="138"/>
      <c r="F1453" s="142"/>
      <c r="G1453" s="142"/>
    </row>
    <row r="1454">
      <c r="B1454" s="137"/>
      <c r="C1454" s="137"/>
      <c r="D1454" s="138"/>
      <c r="F1454" s="142"/>
      <c r="G1454" s="142"/>
    </row>
    <row r="1455">
      <c r="B1455" s="137"/>
      <c r="C1455" s="137"/>
      <c r="D1455" s="138"/>
      <c r="F1455" s="142"/>
      <c r="G1455" s="142"/>
    </row>
    <row r="1456">
      <c r="B1456" s="137"/>
      <c r="C1456" s="137"/>
      <c r="D1456" s="138"/>
      <c r="F1456" s="142"/>
      <c r="G1456" s="142"/>
    </row>
    <row r="1457">
      <c r="B1457" s="137"/>
      <c r="C1457" s="137"/>
      <c r="D1457" s="138"/>
      <c r="F1457" s="142"/>
      <c r="G1457" s="142"/>
    </row>
    <row r="1458">
      <c r="B1458" s="137"/>
      <c r="C1458" s="137"/>
      <c r="D1458" s="138"/>
      <c r="F1458" s="142"/>
      <c r="G1458" s="142"/>
    </row>
    <row r="1459">
      <c r="B1459" s="137"/>
      <c r="C1459" s="137"/>
      <c r="D1459" s="138"/>
      <c r="F1459" s="142"/>
      <c r="G1459" s="142"/>
    </row>
    <row r="1460">
      <c r="B1460" s="137"/>
      <c r="C1460" s="137"/>
      <c r="D1460" s="138"/>
      <c r="F1460" s="142"/>
      <c r="G1460" s="142"/>
    </row>
    <row r="1461">
      <c r="B1461" s="137"/>
      <c r="C1461" s="137"/>
      <c r="D1461" s="138"/>
      <c r="F1461" s="142"/>
      <c r="G1461" s="142"/>
    </row>
    <row r="1462">
      <c r="B1462" s="137"/>
      <c r="C1462" s="137"/>
      <c r="D1462" s="138"/>
      <c r="F1462" s="142"/>
      <c r="G1462" s="142"/>
    </row>
    <row r="1463">
      <c r="B1463" s="137"/>
      <c r="C1463" s="137"/>
      <c r="D1463" s="138"/>
      <c r="F1463" s="142"/>
      <c r="G1463" s="142"/>
    </row>
    <row r="1464">
      <c r="B1464" s="137"/>
      <c r="C1464" s="137"/>
      <c r="D1464" s="138"/>
      <c r="F1464" s="142"/>
      <c r="G1464" s="142"/>
    </row>
    <row r="1465">
      <c r="B1465" s="137"/>
      <c r="C1465" s="137"/>
      <c r="D1465" s="138"/>
      <c r="F1465" s="142"/>
      <c r="G1465" s="142"/>
    </row>
    <row r="1466">
      <c r="B1466" s="137"/>
      <c r="C1466" s="137"/>
      <c r="D1466" s="138"/>
      <c r="F1466" s="142"/>
      <c r="G1466" s="142"/>
    </row>
    <row r="1467">
      <c r="B1467" s="137"/>
      <c r="C1467" s="137"/>
      <c r="D1467" s="138"/>
      <c r="F1467" s="142"/>
      <c r="G1467" s="142"/>
    </row>
    <row r="1468">
      <c r="B1468" s="137"/>
      <c r="C1468" s="137"/>
      <c r="D1468" s="138"/>
      <c r="F1468" s="142"/>
      <c r="G1468" s="142"/>
    </row>
    <row r="1469">
      <c r="B1469" s="137"/>
      <c r="C1469" s="137"/>
      <c r="D1469" s="138"/>
      <c r="F1469" s="142"/>
      <c r="G1469" s="142"/>
    </row>
    <row r="1470">
      <c r="B1470" s="137"/>
      <c r="C1470" s="137"/>
      <c r="D1470" s="138"/>
      <c r="F1470" s="142"/>
      <c r="G1470" s="142"/>
    </row>
    <row r="1471">
      <c r="B1471" s="137"/>
      <c r="C1471" s="137"/>
      <c r="D1471" s="138"/>
      <c r="F1471" s="142"/>
      <c r="G1471" s="142"/>
    </row>
    <row r="1472">
      <c r="B1472" s="137"/>
      <c r="C1472" s="137"/>
      <c r="D1472" s="138"/>
      <c r="F1472" s="142"/>
      <c r="G1472" s="142"/>
    </row>
    <row r="1473">
      <c r="B1473" s="137"/>
      <c r="C1473" s="137"/>
      <c r="D1473" s="138"/>
      <c r="F1473" s="142"/>
      <c r="G1473" s="142"/>
    </row>
    <row r="1474">
      <c r="B1474" s="137"/>
      <c r="C1474" s="137"/>
      <c r="D1474" s="138"/>
      <c r="F1474" s="142"/>
      <c r="G1474" s="142"/>
    </row>
    <row r="1475">
      <c r="B1475" s="137"/>
      <c r="C1475" s="137"/>
      <c r="D1475" s="138"/>
      <c r="F1475" s="142"/>
      <c r="G1475" s="142"/>
    </row>
    <row r="1476">
      <c r="B1476" s="137"/>
      <c r="C1476" s="137"/>
      <c r="D1476" s="138"/>
      <c r="F1476" s="142"/>
      <c r="G1476" s="142"/>
    </row>
    <row r="1477">
      <c r="B1477" s="137"/>
      <c r="C1477" s="137"/>
      <c r="D1477" s="138"/>
      <c r="F1477" s="142"/>
      <c r="G1477" s="142"/>
    </row>
    <row r="1478">
      <c r="B1478" s="137"/>
      <c r="C1478" s="137"/>
      <c r="D1478" s="138"/>
      <c r="F1478" s="142"/>
      <c r="G1478" s="142"/>
    </row>
    <row r="1479">
      <c r="B1479" s="137"/>
      <c r="C1479" s="137"/>
      <c r="D1479" s="138"/>
      <c r="F1479" s="142"/>
      <c r="G1479" s="142"/>
    </row>
    <row r="1480">
      <c r="B1480" s="137"/>
      <c r="C1480" s="137"/>
      <c r="D1480" s="138"/>
      <c r="F1480" s="142"/>
      <c r="G1480" s="142"/>
    </row>
    <row r="1481">
      <c r="B1481" s="137"/>
      <c r="C1481" s="137"/>
      <c r="D1481" s="138"/>
      <c r="F1481" s="142"/>
      <c r="G1481" s="142"/>
    </row>
    <row r="1482">
      <c r="B1482" s="137"/>
      <c r="C1482" s="137"/>
      <c r="D1482" s="138"/>
      <c r="F1482" s="142"/>
      <c r="G1482" s="142"/>
    </row>
    <row r="1483">
      <c r="B1483" s="137"/>
      <c r="C1483" s="137"/>
      <c r="D1483" s="138"/>
      <c r="F1483" s="142"/>
      <c r="G1483" s="142"/>
    </row>
    <row r="1484">
      <c r="B1484" s="137"/>
      <c r="C1484" s="137"/>
      <c r="D1484" s="138"/>
      <c r="F1484" s="142"/>
      <c r="G1484" s="142"/>
    </row>
    <row r="1485">
      <c r="B1485" s="137"/>
      <c r="C1485" s="137"/>
      <c r="D1485" s="138"/>
      <c r="F1485" s="142"/>
      <c r="G1485" s="142"/>
    </row>
    <row r="1486">
      <c r="B1486" s="137"/>
      <c r="C1486" s="137"/>
      <c r="D1486" s="138"/>
      <c r="F1486" s="142"/>
      <c r="G1486" s="142"/>
    </row>
    <row r="1487">
      <c r="B1487" s="137"/>
      <c r="C1487" s="137"/>
      <c r="D1487" s="138"/>
      <c r="F1487" s="142"/>
      <c r="G1487" s="142"/>
    </row>
    <row r="1488">
      <c r="B1488" s="137"/>
      <c r="C1488" s="137"/>
      <c r="D1488" s="138"/>
      <c r="F1488" s="142"/>
      <c r="G1488" s="142"/>
    </row>
    <row r="1489">
      <c r="B1489" s="137"/>
      <c r="C1489" s="137"/>
      <c r="D1489" s="138"/>
      <c r="F1489" s="142"/>
      <c r="G1489" s="142"/>
    </row>
    <row r="1490">
      <c r="B1490" s="137"/>
      <c r="C1490" s="137"/>
      <c r="D1490" s="138"/>
      <c r="F1490" s="142"/>
      <c r="G1490" s="142"/>
    </row>
    <row r="1491">
      <c r="B1491" s="137"/>
      <c r="C1491" s="137"/>
      <c r="D1491" s="138"/>
      <c r="F1491" s="142"/>
      <c r="G1491" s="142"/>
    </row>
    <row r="1492">
      <c r="B1492" s="137"/>
      <c r="C1492" s="137"/>
      <c r="D1492" s="138"/>
      <c r="F1492" s="142"/>
      <c r="G1492" s="142"/>
    </row>
    <row r="1493">
      <c r="B1493" s="137"/>
      <c r="C1493" s="137"/>
      <c r="D1493" s="138"/>
      <c r="F1493" s="142"/>
      <c r="G1493" s="142"/>
    </row>
    <row r="1494">
      <c r="B1494" s="137"/>
      <c r="C1494" s="137"/>
      <c r="D1494" s="138"/>
      <c r="F1494" s="142"/>
      <c r="G1494" s="142"/>
    </row>
    <row r="1495">
      <c r="B1495" s="137"/>
      <c r="C1495" s="137"/>
      <c r="D1495" s="138"/>
      <c r="F1495" s="142"/>
      <c r="G1495" s="142"/>
    </row>
    <row r="1496">
      <c r="B1496" s="137"/>
      <c r="C1496" s="137"/>
      <c r="D1496" s="138"/>
      <c r="F1496" s="142"/>
      <c r="G1496" s="142"/>
    </row>
    <row r="1497">
      <c r="B1497" s="137"/>
      <c r="C1497" s="137"/>
      <c r="D1497" s="138"/>
      <c r="F1497" s="142"/>
      <c r="G1497" s="142"/>
    </row>
    <row r="1498">
      <c r="B1498" s="137"/>
      <c r="C1498" s="137"/>
      <c r="D1498" s="138"/>
      <c r="F1498" s="142"/>
      <c r="G1498" s="142"/>
    </row>
    <row r="1499">
      <c r="B1499" s="137"/>
      <c r="C1499" s="137"/>
      <c r="D1499" s="138"/>
      <c r="F1499" s="142"/>
      <c r="G1499" s="142"/>
    </row>
    <row r="1500">
      <c r="B1500" s="137"/>
      <c r="C1500" s="137"/>
      <c r="D1500" s="138"/>
      <c r="F1500" s="142"/>
      <c r="G1500" s="142"/>
    </row>
    <row r="1501">
      <c r="B1501" s="137"/>
      <c r="C1501" s="137"/>
      <c r="D1501" s="138"/>
      <c r="F1501" s="142"/>
      <c r="G1501" s="142"/>
    </row>
    <row r="1502">
      <c r="B1502" s="137"/>
      <c r="C1502" s="137"/>
      <c r="D1502" s="138"/>
      <c r="F1502" s="142"/>
      <c r="G1502" s="142"/>
    </row>
    <row r="1503">
      <c r="B1503" s="137"/>
      <c r="C1503" s="137"/>
      <c r="D1503" s="138"/>
      <c r="F1503" s="142"/>
      <c r="G1503" s="142"/>
    </row>
    <row r="1504">
      <c r="B1504" s="137"/>
      <c r="C1504" s="137"/>
      <c r="D1504" s="138"/>
      <c r="F1504" s="142"/>
      <c r="G1504" s="142"/>
    </row>
    <row r="1505">
      <c r="B1505" s="137"/>
      <c r="C1505" s="137"/>
      <c r="D1505" s="138"/>
      <c r="F1505" s="142"/>
      <c r="G1505" s="142"/>
    </row>
    <row r="1506">
      <c r="B1506" s="137"/>
      <c r="C1506" s="137"/>
      <c r="D1506" s="138"/>
      <c r="F1506" s="142"/>
      <c r="G1506" s="142"/>
    </row>
    <row r="1507">
      <c r="B1507" s="137"/>
      <c r="C1507" s="137"/>
      <c r="D1507" s="138"/>
      <c r="F1507" s="142"/>
      <c r="G1507" s="142"/>
    </row>
    <row r="1508">
      <c r="B1508" s="137"/>
      <c r="C1508" s="137"/>
      <c r="D1508" s="138"/>
      <c r="F1508" s="142"/>
      <c r="G1508" s="142"/>
    </row>
    <row r="1509">
      <c r="B1509" s="137"/>
      <c r="C1509" s="137"/>
      <c r="D1509" s="138"/>
      <c r="F1509" s="142"/>
      <c r="G1509" s="142"/>
    </row>
    <row r="1510">
      <c r="B1510" s="137"/>
      <c r="C1510" s="137"/>
      <c r="D1510" s="138"/>
      <c r="F1510" s="142"/>
      <c r="G1510" s="142"/>
    </row>
    <row r="1511">
      <c r="B1511" s="137"/>
      <c r="C1511" s="137"/>
      <c r="D1511" s="138"/>
      <c r="F1511" s="142"/>
      <c r="G1511" s="142"/>
    </row>
    <row r="1512">
      <c r="B1512" s="137"/>
      <c r="C1512" s="137"/>
      <c r="D1512" s="138"/>
      <c r="F1512" s="142"/>
      <c r="G1512" s="142"/>
    </row>
    <row r="1513">
      <c r="B1513" s="137"/>
      <c r="C1513" s="137"/>
      <c r="D1513" s="138"/>
      <c r="F1513" s="142"/>
      <c r="G1513" s="142"/>
    </row>
    <row r="1514">
      <c r="B1514" s="137"/>
      <c r="C1514" s="137"/>
      <c r="D1514" s="138"/>
      <c r="F1514" s="142"/>
      <c r="G1514" s="142"/>
    </row>
    <row r="1515">
      <c r="B1515" s="137"/>
      <c r="C1515" s="137"/>
      <c r="D1515" s="138"/>
      <c r="F1515" s="142"/>
      <c r="G1515" s="142"/>
    </row>
    <row r="1516">
      <c r="B1516" s="137"/>
      <c r="C1516" s="137"/>
      <c r="D1516" s="138"/>
      <c r="F1516" s="142"/>
      <c r="G1516" s="142"/>
    </row>
    <row r="1517">
      <c r="B1517" s="137"/>
      <c r="C1517" s="137"/>
      <c r="D1517" s="138"/>
      <c r="F1517" s="142"/>
      <c r="G1517" s="142"/>
    </row>
    <row r="1518">
      <c r="B1518" s="137"/>
      <c r="C1518" s="137"/>
      <c r="D1518" s="138"/>
      <c r="F1518" s="142"/>
      <c r="G1518" s="142"/>
    </row>
    <row r="1519">
      <c r="B1519" s="137"/>
      <c r="C1519" s="137"/>
      <c r="D1519" s="138"/>
      <c r="F1519" s="142"/>
      <c r="G1519" s="142"/>
    </row>
    <row r="1520">
      <c r="B1520" s="137"/>
      <c r="C1520" s="137"/>
      <c r="D1520" s="138"/>
      <c r="F1520" s="142"/>
      <c r="G1520" s="142"/>
    </row>
    <row r="1521">
      <c r="B1521" s="137"/>
      <c r="C1521" s="137"/>
      <c r="D1521" s="138"/>
      <c r="F1521" s="142"/>
      <c r="G1521" s="142"/>
    </row>
    <row r="1522">
      <c r="B1522" s="137"/>
      <c r="C1522" s="137"/>
      <c r="D1522" s="138"/>
      <c r="F1522" s="142"/>
      <c r="G1522" s="142"/>
    </row>
    <row r="1523">
      <c r="B1523" s="137"/>
      <c r="C1523" s="137"/>
      <c r="D1523" s="138"/>
      <c r="F1523" s="142"/>
      <c r="G1523" s="142"/>
    </row>
    <row r="1524">
      <c r="B1524" s="137"/>
      <c r="C1524" s="137"/>
      <c r="D1524" s="138"/>
      <c r="F1524" s="142"/>
      <c r="G1524" s="142"/>
    </row>
    <row r="1525">
      <c r="B1525" s="137"/>
      <c r="C1525" s="137"/>
      <c r="D1525" s="138"/>
      <c r="F1525" s="142"/>
      <c r="G1525" s="142"/>
    </row>
    <row r="1526">
      <c r="B1526" s="137"/>
      <c r="C1526" s="137"/>
      <c r="D1526" s="138"/>
      <c r="F1526" s="142"/>
      <c r="G1526" s="142"/>
    </row>
    <row r="1527">
      <c r="B1527" s="137"/>
      <c r="C1527" s="137"/>
      <c r="D1527" s="138"/>
      <c r="F1527" s="142"/>
      <c r="G1527" s="142"/>
    </row>
    <row r="1528">
      <c r="B1528" s="137"/>
      <c r="C1528" s="137"/>
      <c r="D1528" s="138"/>
      <c r="F1528" s="142"/>
      <c r="G1528" s="142"/>
    </row>
    <row r="1529">
      <c r="B1529" s="137"/>
      <c r="C1529" s="137"/>
      <c r="D1529" s="138"/>
      <c r="F1529" s="142"/>
      <c r="G1529" s="142"/>
    </row>
    <row r="1530">
      <c r="B1530" s="137"/>
      <c r="C1530" s="137"/>
      <c r="D1530" s="138"/>
      <c r="F1530" s="142"/>
      <c r="G1530" s="142"/>
    </row>
    <row r="1531">
      <c r="B1531" s="137"/>
      <c r="C1531" s="137"/>
      <c r="D1531" s="138"/>
      <c r="F1531" s="142"/>
      <c r="G1531" s="142"/>
    </row>
    <row r="1532">
      <c r="B1532" s="137"/>
      <c r="C1532" s="137"/>
      <c r="D1532" s="138"/>
      <c r="F1532" s="142"/>
      <c r="G1532" s="142"/>
    </row>
    <row r="1533">
      <c r="B1533" s="137"/>
      <c r="C1533" s="137"/>
      <c r="D1533" s="138"/>
      <c r="F1533" s="142"/>
      <c r="G1533" s="142"/>
    </row>
    <row r="1534">
      <c r="B1534" s="137"/>
      <c r="C1534" s="137"/>
      <c r="D1534" s="138"/>
      <c r="F1534" s="142"/>
      <c r="G1534" s="142"/>
    </row>
    <row r="1535">
      <c r="B1535" s="137"/>
      <c r="C1535" s="137"/>
      <c r="D1535" s="138"/>
      <c r="F1535" s="142"/>
      <c r="G1535" s="142"/>
    </row>
    <row r="1536">
      <c r="B1536" s="137"/>
      <c r="C1536" s="137"/>
      <c r="D1536" s="138"/>
      <c r="F1536" s="142"/>
      <c r="G1536" s="142"/>
    </row>
    <row r="1537">
      <c r="B1537" s="137"/>
      <c r="C1537" s="137"/>
      <c r="D1537" s="138"/>
      <c r="F1537" s="142"/>
      <c r="G1537" s="142"/>
    </row>
    <row r="1538">
      <c r="B1538" s="137"/>
      <c r="C1538" s="137"/>
      <c r="D1538" s="138"/>
      <c r="F1538" s="142"/>
      <c r="G1538" s="142"/>
    </row>
    <row r="1539">
      <c r="B1539" s="137"/>
      <c r="C1539" s="137"/>
      <c r="D1539" s="138"/>
      <c r="F1539" s="142"/>
      <c r="G1539" s="142"/>
    </row>
    <row r="1540">
      <c r="B1540" s="137"/>
      <c r="C1540" s="137"/>
      <c r="D1540" s="138"/>
      <c r="F1540" s="142"/>
      <c r="G1540" s="142"/>
    </row>
    <row r="1541">
      <c r="B1541" s="137"/>
      <c r="C1541" s="137"/>
      <c r="D1541" s="138"/>
      <c r="F1541" s="142"/>
      <c r="G1541" s="142"/>
    </row>
    <row r="1542">
      <c r="B1542" s="137"/>
      <c r="C1542" s="137"/>
      <c r="D1542" s="138"/>
      <c r="F1542" s="142"/>
      <c r="G1542" s="142"/>
    </row>
    <row r="1543">
      <c r="B1543" s="137"/>
      <c r="C1543" s="137"/>
      <c r="D1543" s="138"/>
      <c r="F1543" s="142"/>
      <c r="G1543" s="142"/>
    </row>
    <row r="1544">
      <c r="B1544" s="137"/>
      <c r="C1544" s="137"/>
      <c r="D1544" s="138"/>
      <c r="F1544" s="142"/>
      <c r="G1544" s="142"/>
    </row>
    <row r="1545">
      <c r="B1545" s="137"/>
      <c r="C1545" s="137"/>
      <c r="D1545" s="138"/>
      <c r="F1545" s="142"/>
      <c r="G1545" s="142"/>
    </row>
    <row r="1546">
      <c r="B1546" s="137"/>
      <c r="C1546" s="137"/>
      <c r="D1546" s="138"/>
      <c r="F1546" s="142"/>
      <c r="G1546" s="142"/>
    </row>
    <row r="1547">
      <c r="B1547" s="137"/>
      <c r="C1547" s="137"/>
      <c r="D1547" s="138"/>
      <c r="F1547" s="142"/>
      <c r="G1547" s="142"/>
    </row>
    <row r="1548">
      <c r="B1548" s="137"/>
      <c r="C1548" s="137"/>
      <c r="D1548" s="138"/>
      <c r="F1548" s="142"/>
      <c r="G1548" s="142"/>
    </row>
    <row r="1549">
      <c r="B1549" s="137"/>
      <c r="C1549" s="137"/>
      <c r="D1549" s="138"/>
      <c r="F1549" s="142"/>
      <c r="G1549" s="142"/>
    </row>
    <row r="1550">
      <c r="B1550" s="137"/>
      <c r="C1550" s="137"/>
      <c r="D1550" s="138"/>
      <c r="F1550" s="142"/>
      <c r="G1550" s="142"/>
    </row>
    <row r="1551">
      <c r="B1551" s="137"/>
      <c r="C1551" s="137"/>
      <c r="D1551" s="138"/>
      <c r="F1551" s="142"/>
      <c r="G1551" s="142"/>
    </row>
    <row r="1552">
      <c r="B1552" s="137"/>
      <c r="C1552" s="137"/>
      <c r="D1552" s="138"/>
      <c r="F1552" s="142"/>
      <c r="G1552" s="142"/>
    </row>
    <row r="1553">
      <c r="B1553" s="137"/>
      <c r="C1553" s="137"/>
      <c r="D1553" s="138"/>
      <c r="F1553" s="142"/>
      <c r="G1553" s="142"/>
    </row>
    <row r="1554">
      <c r="B1554" s="137"/>
      <c r="C1554" s="137"/>
      <c r="D1554" s="138"/>
      <c r="F1554" s="142"/>
      <c r="G1554" s="142"/>
    </row>
    <row r="1555">
      <c r="B1555" s="137"/>
      <c r="C1555" s="137"/>
      <c r="D1555" s="138"/>
      <c r="F1555" s="142"/>
      <c r="G1555" s="142"/>
    </row>
    <row r="1556">
      <c r="B1556" s="137"/>
      <c r="C1556" s="137"/>
      <c r="D1556" s="138"/>
      <c r="F1556" s="142"/>
      <c r="G1556" s="142"/>
    </row>
    <row r="1557">
      <c r="B1557" s="137"/>
      <c r="C1557" s="137"/>
      <c r="D1557" s="138"/>
      <c r="F1557" s="142"/>
      <c r="G1557" s="142"/>
    </row>
    <row r="1558">
      <c r="B1558" s="137"/>
      <c r="C1558" s="137"/>
      <c r="D1558" s="138"/>
      <c r="F1558" s="142"/>
      <c r="G1558" s="142"/>
    </row>
    <row r="1559">
      <c r="B1559" s="137"/>
      <c r="C1559" s="137"/>
      <c r="D1559" s="138"/>
      <c r="F1559" s="142"/>
      <c r="G1559" s="142"/>
    </row>
    <row r="1560">
      <c r="B1560" s="137"/>
      <c r="C1560" s="137"/>
      <c r="D1560" s="138"/>
      <c r="F1560" s="142"/>
      <c r="G1560" s="142"/>
    </row>
    <row r="1561">
      <c r="B1561" s="137"/>
      <c r="C1561" s="137"/>
      <c r="D1561" s="138"/>
      <c r="F1561" s="142"/>
      <c r="G1561" s="142"/>
    </row>
    <row r="1562">
      <c r="B1562" s="137"/>
      <c r="C1562" s="137"/>
      <c r="D1562" s="138"/>
      <c r="F1562" s="142"/>
      <c r="G1562" s="142"/>
    </row>
    <row r="1563">
      <c r="B1563" s="137"/>
      <c r="C1563" s="137"/>
      <c r="D1563" s="138"/>
      <c r="F1563" s="142"/>
      <c r="G1563" s="142"/>
    </row>
    <row r="1564">
      <c r="B1564" s="137"/>
      <c r="C1564" s="137"/>
      <c r="D1564" s="138"/>
      <c r="F1564" s="142"/>
      <c r="G1564" s="142"/>
    </row>
    <row r="1565">
      <c r="B1565" s="137"/>
      <c r="C1565" s="137"/>
      <c r="D1565" s="138"/>
      <c r="F1565" s="142"/>
      <c r="G1565" s="142"/>
    </row>
    <row r="1566">
      <c r="B1566" s="137"/>
      <c r="C1566" s="137"/>
      <c r="D1566" s="138"/>
      <c r="F1566" s="142"/>
      <c r="G1566" s="142"/>
    </row>
    <row r="1567">
      <c r="B1567" s="137"/>
      <c r="C1567" s="137"/>
      <c r="D1567" s="138"/>
      <c r="F1567" s="142"/>
      <c r="G1567" s="142"/>
    </row>
    <row r="1568">
      <c r="B1568" s="137"/>
      <c r="C1568" s="137"/>
      <c r="D1568" s="138"/>
      <c r="F1568" s="142"/>
      <c r="G1568" s="142"/>
    </row>
    <row r="1569">
      <c r="B1569" s="137"/>
      <c r="C1569" s="137"/>
      <c r="D1569" s="138"/>
      <c r="F1569" s="142"/>
      <c r="G1569" s="142"/>
    </row>
    <row r="1570">
      <c r="B1570" s="137"/>
      <c r="C1570" s="137"/>
      <c r="D1570" s="138"/>
      <c r="F1570" s="142"/>
      <c r="G1570" s="142"/>
    </row>
    <row r="1571">
      <c r="B1571" s="137"/>
      <c r="C1571" s="137"/>
      <c r="D1571" s="138"/>
      <c r="F1571" s="142"/>
      <c r="G1571" s="142"/>
    </row>
    <row r="1572">
      <c r="B1572" s="137"/>
      <c r="C1572" s="137"/>
      <c r="D1572" s="138"/>
      <c r="F1572" s="142"/>
      <c r="G1572" s="142"/>
    </row>
    <row r="1573">
      <c r="B1573" s="137"/>
      <c r="C1573" s="137"/>
      <c r="D1573" s="138"/>
      <c r="F1573" s="142"/>
      <c r="G1573" s="142"/>
    </row>
    <row r="1574">
      <c r="B1574" s="137"/>
      <c r="C1574" s="137"/>
      <c r="D1574" s="138"/>
      <c r="F1574" s="142"/>
      <c r="G1574" s="142"/>
    </row>
    <row r="1575">
      <c r="B1575" s="137"/>
      <c r="C1575" s="137"/>
      <c r="D1575" s="138"/>
      <c r="F1575" s="142"/>
      <c r="G1575" s="142"/>
    </row>
    <row r="1576">
      <c r="B1576" s="137"/>
      <c r="C1576" s="137"/>
      <c r="D1576" s="138"/>
      <c r="F1576" s="142"/>
      <c r="G1576" s="142"/>
    </row>
    <row r="1577">
      <c r="B1577" s="137"/>
      <c r="C1577" s="137"/>
      <c r="D1577" s="138"/>
      <c r="F1577" s="142"/>
      <c r="G1577" s="142"/>
    </row>
    <row r="1578">
      <c r="B1578" s="137"/>
      <c r="C1578" s="137"/>
      <c r="D1578" s="138"/>
      <c r="F1578" s="142"/>
      <c r="G1578" s="142"/>
    </row>
    <row r="1579">
      <c r="B1579" s="137"/>
      <c r="C1579" s="137"/>
      <c r="D1579" s="138"/>
      <c r="F1579" s="142"/>
      <c r="G1579" s="142"/>
    </row>
    <row r="1580">
      <c r="B1580" s="137"/>
      <c r="C1580" s="137"/>
      <c r="D1580" s="138"/>
      <c r="F1580" s="142"/>
      <c r="G1580" s="142"/>
    </row>
    <row r="1581">
      <c r="B1581" s="137"/>
      <c r="C1581" s="137"/>
      <c r="D1581" s="138"/>
      <c r="F1581" s="142"/>
      <c r="G1581" s="142"/>
    </row>
    <row r="1582">
      <c r="B1582" s="137"/>
      <c r="C1582" s="137"/>
      <c r="D1582" s="138"/>
      <c r="F1582" s="142"/>
      <c r="G1582" s="142"/>
    </row>
    <row r="1583">
      <c r="B1583" s="137"/>
      <c r="C1583" s="137"/>
      <c r="D1583" s="138"/>
      <c r="F1583" s="142"/>
      <c r="G1583" s="142"/>
    </row>
    <row r="1584">
      <c r="B1584" s="137"/>
      <c r="C1584" s="137"/>
      <c r="D1584" s="138"/>
      <c r="F1584" s="142"/>
      <c r="G1584" s="142"/>
    </row>
    <row r="1585">
      <c r="B1585" s="137"/>
      <c r="C1585" s="137"/>
      <c r="D1585" s="138"/>
      <c r="F1585" s="142"/>
      <c r="G1585" s="142"/>
    </row>
    <row r="1586">
      <c r="B1586" s="137"/>
      <c r="C1586" s="137"/>
      <c r="D1586" s="138"/>
      <c r="F1586" s="142"/>
      <c r="G1586" s="142"/>
    </row>
    <row r="1587">
      <c r="B1587" s="137"/>
      <c r="C1587" s="137"/>
      <c r="D1587" s="138"/>
      <c r="F1587" s="142"/>
      <c r="G1587" s="142"/>
    </row>
    <row r="1588">
      <c r="B1588" s="137"/>
      <c r="C1588" s="137"/>
      <c r="D1588" s="138"/>
      <c r="F1588" s="142"/>
      <c r="G1588" s="142"/>
    </row>
    <row r="1589">
      <c r="B1589" s="137"/>
      <c r="C1589" s="137"/>
      <c r="D1589" s="138"/>
      <c r="F1589" s="142"/>
      <c r="G1589" s="142"/>
    </row>
    <row r="1590">
      <c r="B1590" s="137"/>
      <c r="C1590" s="137"/>
      <c r="D1590" s="138"/>
      <c r="F1590" s="142"/>
      <c r="G1590" s="142"/>
    </row>
    <row r="1591">
      <c r="B1591" s="137"/>
      <c r="C1591" s="137"/>
      <c r="D1591" s="138"/>
      <c r="F1591" s="142"/>
      <c r="G1591" s="142"/>
    </row>
    <row r="1592">
      <c r="B1592" s="137"/>
      <c r="C1592" s="137"/>
      <c r="D1592" s="138"/>
      <c r="F1592" s="142"/>
      <c r="G1592" s="142"/>
    </row>
    <row r="1593">
      <c r="B1593" s="137"/>
      <c r="C1593" s="137"/>
      <c r="D1593" s="138"/>
      <c r="F1593" s="142"/>
      <c r="G1593" s="142"/>
    </row>
    <row r="1594">
      <c r="B1594" s="137"/>
      <c r="C1594" s="137"/>
      <c r="D1594" s="138"/>
      <c r="F1594" s="142"/>
      <c r="G1594" s="142"/>
    </row>
    <row r="1595">
      <c r="B1595" s="137"/>
      <c r="C1595" s="137"/>
      <c r="D1595" s="138"/>
      <c r="F1595" s="142"/>
      <c r="G1595" s="142"/>
    </row>
    <row r="1596">
      <c r="B1596" s="137"/>
      <c r="C1596" s="137"/>
      <c r="D1596" s="138"/>
      <c r="F1596" s="142"/>
      <c r="G1596" s="142"/>
    </row>
    <row r="1597">
      <c r="B1597" s="137"/>
      <c r="C1597" s="137"/>
      <c r="D1597" s="138"/>
      <c r="F1597" s="142"/>
      <c r="G1597" s="142"/>
    </row>
    <row r="1598">
      <c r="B1598" s="137"/>
      <c r="C1598" s="137"/>
      <c r="D1598" s="138"/>
      <c r="F1598" s="142"/>
      <c r="G1598" s="142"/>
    </row>
    <row r="1599">
      <c r="B1599" s="137"/>
      <c r="C1599" s="137"/>
      <c r="D1599" s="138"/>
      <c r="F1599" s="142"/>
      <c r="G1599" s="142"/>
    </row>
    <row r="1600">
      <c r="B1600" s="137"/>
      <c r="C1600" s="137"/>
      <c r="D1600" s="138"/>
      <c r="F1600" s="142"/>
      <c r="G1600" s="142"/>
    </row>
    <row r="1601">
      <c r="B1601" s="137"/>
      <c r="C1601" s="137"/>
      <c r="D1601" s="138"/>
      <c r="F1601" s="142"/>
      <c r="G1601" s="142"/>
    </row>
    <row r="1602">
      <c r="B1602" s="137"/>
      <c r="C1602" s="137"/>
      <c r="D1602" s="138"/>
      <c r="F1602" s="142"/>
      <c r="G1602" s="142"/>
    </row>
    <row r="1603">
      <c r="B1603" s="137"/>
      <c r="C1603" s="137"/>
      <c r="D1603" s="138"/>
      <c r="F1603" s="142"/>
      <c r="G1603" s="142"/>
    </row>
    <row r="1604">
      <c r="B1604" s="137"/>
      <c r="C1604" s="137"/>
      <c r="D1604" s="138"/>
      <c r="F1604" s="142"/>
      <c r="G1604" s="142"/>
    </row>
    <row r="1605">
      <c r="B1605" s="137"/>
      <c r="C1605" s="137"/>
      <c r="D1605" s="138"/>
      <c r="F1605" s="142"/>
      <c r="G1605" s="142"/>
    </row>
    <row r="1606">
      <c r="B1606" s="137"/>
      <c r="C1606" s="137"/>
      <c r="D1606" s="138"/>
      <c r="F1606" s="142"/>
      <c r="G1606" s="142"/>
    </row>
    <row r="1607">
      <c r="B1607" s="137"/>
      <c r="C1607" s="137"/>
      <c r="D1607" s="138"/>
      <c r="F1607" s="142"/>
      <c r="G1607" s="142"/>
    </row>
    <row r="1608">
      <c r="B1608" s="137"/>
      <c r="C1608" s="137"/>
      <c r="D1608" s="138"/>
      <c r="F1608" s="142"/>
      <c r="G1608" s="142"/>
    </row>
    <row r="1609">
      <c r="B1609" s="137"/>
      <c r="C1609" s="137"/>
      <c r="D1609" s="138"/>
      <c r="F1609" s="142"/>
      <c r="G1609" s="142"/>
    </row>
    <row r="1610">
      <c r="B1610" s="137"/>
      <c r="C1610" s="137"/>
      <c r="D1610" s="138"/>
      <c r="F1610" s="142"/>
      <c r="G1610" s="142"/>
    </row>
    <row r="1611">
      <c r="B1611" s="137"/>
      <c r="C1611" s="137"/>
      <c r="D1611" s="138"/>
      <c r="F1611" s="142"/>
      <c r="G1611" s="142"/>
    </row>
    <row r="1612">
      <c r="B1612" s="137"/>
      <c r="C1612" s="137"/>
      <c r="D1612" s="138"/>
      <c r="F1612" s="142"/>
      <c r="G1612" s="142"/>
    </row>
    <row r="1613">
      <c r="B1613" s="137"/>
      <c r="C1613" s="137"/>
      <c r="D1613" s="138"/>
      <c r="F1613" s="142"/>
      <c r="G1613" s="142"/>
    </row>
    <row r="1614">
      <c r="B1614" s="137"/>
      <c r="C1614" s="137"/>
      <c r="D1614" s="138"/>
      <c r="F1614" s="142"/>
      <c r="G1614" s="142"/>
    </row>
    <row r="1615">
      <c r="B1615" s="137"/>
      <c r="C1615" s="137"/>
      <c r="D1615" s="138"/>
      <c r="F1615" s="142"/>
      <c r="G1615" s="142"/>
    </row>
    <row r="1616">
      <c r="B1616" s="137"/>
      <c r="C1616" s="137"/>
      <c r="D1616" s="138"/>
      <c r="F1616" s="142"/>
      <c r="G1616" s="142"/>
    </row>
    <row r="1617">
      <c r="B1617" s="137"/>
      <c r="C1617" s="137"/>
      <c r="D1617" s="138"/>
      <c r="F1617" s="142"/>
      <c r="G1617" s="142"/>
    </row>
    <row r="1618">
      <c r="B1618" s="137"/>
      <c r="C1618" s="137"/>
      <c r="D1618" s="138"/>
      <c r="F1618" s="142"/>
      <c r="G1618" s="142"/>
    </row>
    <row r="1619">
      <c r="B1619" s="137"/>
      <c r="C1619" s="137"/>
      <c r="D1619" s="138"/>
      <c r="F1619" s="142"/>
      <c r="G1619" s="142"/>
    </row>
    <row r="1620">
      <c r="B1620" s="137"/>
      <c r="C1620" s="137"/>
      <c r="D1620" s="138"/>
      <c r="F1620" s="142"/>
      <c r="G1620" s="142"/>
    </row>
    <row r="1621">
      <c r="B1621" s="137"/>
      <c r="C1621" s="137"/>
      <c r="D1621" s="138"/>
      <c r="F1621" s="142"/>
      <c r="G1621" s="142"/>
    </row>
    <row r="1622">
      <c r="B1622" s="137"/>
      <c r="C1622" s="137"/>
      <c r="D1622" s="138"/>
      <c r="F1622" s="142"/>
      <c r="G1622" s="142"/>
    </row>
    <row r="1623">
      <c r="B1623" s="137"/>
      <c r="C1623" s="137"/>
      <c r="D1623" s="138"/>
      <c r="F1623" s="142"/>
      <c r="G1623" s="142"/>
    </row>
    <row r="1624">
      <c r="B1624" s="137"/>
      <c r="C1624" s="137"/>
      <c r="D1624" s="138"/>
      <c r="F1624" s="142"/>
      <c r="G1624" s="142"/>
    </row>
    <row r="1625">
      <c r="B1625" s="137"/>
      <c r="C1625" s="137"/>
      <c r="D1625" s="138"/>
      <c r="F1625" s="142"/>
      <c r="G1625" s="142"/>
    </row>
    <row r="1626">
      <c r="B1626" s="137"/>
      <c r="C1626" s="137"/>
      <c r="D1626" s="138"/>
      <c r="F1626" s="142"/>
      <c r="G1626" s="142"/>
    </row>
    <row r="1627">
      <c r="B1627" s="137"/>
      <c r="C1627" s="137"/>
      <c r="D1627" s="138"/>
      <c r="F1627" s="142"/>
      <c r="G1627" s="142"/>
    </row>
    <row r="1628">
      <c r="B1628" s="137"/>
      <c r="C1628" s="137"/>
      <c r="D1628" s="138"/>
      <c r="F1628" s="142"/>
      <c r="G1628" s="142"/>
    </row>
    <row r="1629">
      <c r="B1629" s="137"/>
      <c r="C1629" s="137"/>
      <c r="D1629" s="138"/>
      <c r="F1629" s="142"/>
      <c r="G1629" s="142"/>
    </row>
    <row r="1630">
      <c r="B1630" s="137"/>
      <c r="C1630" s="137"/>
      <c r="D1630" s="138"/>
      <c r="F1630" s="142"/>
      <c r="G1630" s="142"/>
    </row>
    <row r="1631">
      <c r="B1631" s="137"/>
      <c r="C1631" s="137"/>
      <c r="D1631" s="138"/>
      <c r="F1631" s="142"/>
      <c r="G1631" s="142"/>
    </row>
    <row r="1632">
      <c r="B1632" s="137"/>
      <c r="C1632" s="137"/>
      <c r="D1632" s="138"/>
      <c r="F1632" s="142"/>
      <c r="G1632" s="142"/>
    </row>
    <row r="1633">
      <c r="B1633" s="137"/>
      <c r="C1633" s="137"/>
      <c r="D1633" s="138"/>
      <c r="F1633" s="142"/>
      <c r="G1633" s="142"/>
    </row>
    <row r="1634">
      <c r="B1634" s="137"/>
      <c r="C1634" s="137"/>
      <c r="D1634" s="138"/>
      <c r="F1634" s="142"/>
      <c r="G1634" s="142"/>
    </row>
    <row r="1635">
      <c r="B1635" s="137"/>
      <c r="C1635" s="137"/>
      <c r="D1635" s="138"/>
      <c r="F1635" s="142"/>
      <c r="G1635" s="142"/>
    </row>
    <row r="1636">
      <c r="B1636" s="137"/>
      <c r="C1636" s="137"/>
      <c r="D1636" s="138"/>
      <c r="F1636" s="142"/>
      <c r="G1636" s="142"/>
    </row>
    <row r="1637">
      <c r="B1637" s="137"/>
      <c r="C1637" s="137"/>
      <c r="D1637" s="138"/>
      <c r="F1637" s="142"/>
      <c r="G1637" s="142"/>
    </row>
    <row r="1638">
      <c r="B1638" s="137"/>
      <c r="C1638" s="137"/>
      <c r="D1638" s="138"/>
      <c r="F1638" s="142"/>
      <c r="G1638" s="142"/>
    </row>
    <row r="1639">
      <c r="B1639" s="137"/>
      <c r="C1639" s="137"/>
      <c r="D1639" s="138"/>
      <c r="F1639" s="142"/>
      <c r="G1639" s="142"/>
    </row>
    <row r="1640">
      <c r="B1640" s="137"/>
      <c r="C1640" s="137"/>
      <c r="D1640" s="138"/>
      <c r="F1640" s="142"/>
      <c r="G1640" s="142"/>
    </row>
    <row r="1641">
      <c r="B1641" s="137"/>
      <c r="C1641" s="137"/>
      <c r="D1641" s="138"/>
      <c r="F1641" s="142"/>
      <c r="G1641" s="142"/>
    </row>
    <row r="1642">
      <c r="B1642" s="137"/>
      <c r="C1642" s="137"/>
      <c r="D1642" s="138"/>
      <c r="F1642" s="142"/>
      <c r="G1642" s="142"/>
    </row>
    <row r="1643">
      <c r="B1643" s="137"/>
      <c r="C1643" s="137"/>
      <c r="D1643" s="138"/>
      <c r="F1643" s="142"/>
      <c r="G1643" s="142"/>
    </row>
    <row r="1644">
      <c r="B1644" s="137"/>
      <c r="C1644" s="137"/>
      <c r="D1644" s="138"/>
      <c r="F1644" s="142"/>
      <c r="G1644" s="142"/>
    </row>
    <row r="1645">
      <c r="B1645" s="137"/>
      <c r="C1645" s="137"/>
      <c r="D1645" s="138"/>
      <c r="F1645" s="142"/>
      <c r="G1645" s="142"/>
    </row>
    <row r="1646">
      <c r="B1646" s="137"/>
      <c r="C1646" s="137"/>
      <c r="D1646" s="138"/>
      <c r="F1646" s="142"/>
      <c r="G1646" s="142"/>
    </row>
    <row r="1647">
      <c r="B1647" s="137"/>
      <c r="C1647" s="137"/>
      <c r="D1647" s="138"/>
      <c r="F1647" s="142"/>
      <c r="G1647" s="142"/>
    </row>
    <row r="1648">
      <c r="B1648" s="137"/>
      <c r="C1648" s="137"/>
      <c r="D1648" s="138"/>
      <c r="F1648" s="142"/>
      <c r="G1648" s="142"/>
    </row>
    <row r="1649">
      <c r="B1649" s="137"/>
      <c r="C1649" s="137"/>
      <c r="D1649" s="138"/>
      <c r="F1649" s="142"/>
      <c r="G1649" s="142"/>
    </row>
    <row r="1650">
      <c r="B1650" s="137"/>
      <c r="C1650" s="137"/>
      <c r="D1650" s="138"/>
      <c r="F1650" s="142"/>
      <c r="G1650" s="142"/>
    </row>
    <row r="1651">
      <c r="B1651" s="137"/>
      <c r="C1651" s="137"/>
      <c r="D1651" s="138"/>
      <c r="F1651" s="142"/>
      <c r="G1651" s="142"/>
    </row>
    <row r="1652">
      <c r="B1652" s="137"/>
      <c r="C1652" s="137"/>
      <c r="D1652" s="138"/>
      <c r="F1652" s="142"/>
      <c r="G1652" s="142"/>
    </row>
    <row r="1653">
      <c r="B1653" s="137"/>
      <c r="C1653" s="137"/>
      <c r="D1653" s="138"/>
      <c r="F1653" s="142"/>
      <c r="G1653" s="142"/>
    </row>
    <row r="1654">
      <c r="B1654" s="137"/>
      <c r="C1654" s="137"/>
      <c r="D1654" s="138"/>
      <c r="F1654" s="142"/>
      <c r="G1654" s="142"/>
    </row>
    <row r="1655">
      <c r="B1655" s="137"/>
      <c r="C1655" s="137"/>
      <c r="D1655" s="138"/>
      <c r="F1655" s="142"/>
      <c r="G1655" s="142"/>
    </row>
    <row r="1656">
      <c r="B1656" s="137"/>
      <c r="C1656" s="137"/>
      <c r="D1656" s="138"/>
      <c r="F1656" s="142"/>
      <c r="G1656" s="142"/>
    </row>
    <row r="1657">
      <c r="B1657" s="137"/>
      <c r="C1657" s="137"/>
      <c r="D1657" s="138"/>
      <c r="F1657" s="142"/>
      <c r="G1657" s="142"/>
    </row>
    <row r="1658">
      <c r="B1658" s="137"/>
      <c r="C1658" s="137"/>
      <c r="D1658" s="138"/>
      <c r="F1658" s="142"/>
      <c r="G1658" s="142"/>
    </row>
    <row r="1659">
      <c r="B1659" s="137"/>
      <c r="C1659" s="137"/>
      <c r="D1659" s="138"/>
      <c r="F1659" s="142"/>
      <c r="G1659" s="142"/>
    </row>
    <row r="1660">
      <c r="B1660" s="137"/>
      <c r="C1660" s="137"/>
      <c r="D1660" s="138"/>
      <c r="F1660" s="142"/>
      <c r="G1660" s="142"/>
    </row>
    <row r="1661">
      <c r="B1661" s="137"/>
      <c r="C1661" s="137"/>
      <c r="D1661" s="138"/>
      <c r="F1661" s="142"/>
      <c r="G1661" s="142"/>
    </row>
    <row r="1662">
      <c r="B1662" s="137"/>
      <c r="C1662" s="137"/>
      <c r="D1662" s="138"/>
      <c r="F1662" s="142"/>
      <c r="G1662" s="142"/>
    </row>
    <row r="1663">
      <c r="B1663" s="137"/>
      <c r="C1663" s="137"/>
      <c r="D1663" s="138"/>
      <c r="F1663" s="142"/>
      <c r="G1663" s="142"/>
    </row>
    <row r="1664">
      <c r="B1664" s="137"/>
      <c r="C1664" s="137"/>
      <c r="D1664" s="138"/>
      <c r="F1664" s="142"/>
      <c r="G1664" s="142"/>
    </row>
    <row r="1665">
      <c r="B1665" s="137"/>
      <c r="C1665" s="137"/>
      <c r="D1665" s="138"/>
      <c r="F1665" s="142"/>
      <c r="G1665" s="142"/>
    </row>
    <row r="1666">
      <c r="B1666" s="137"/>
      <c r="C1666" s="137"/>
      <c r="D1666" s="138"/>
      <c r="F1666" s="142"/>
      <c r="G1666" s="142"/>
    </row>
    <row r="1667">
      <c r="B1667" s="137"/>
      <c r="C1667" s="137"/>
      <c r="D1667" s="138"/>
      <c r="F1667" s="142"/>
      <c r="G1667" s="142"/>
    </row>
    <row r="1668">
      <c r="B1668" s="137"/>
      <c r="C1668" s="137"/>
      <c r="D1668" s="138"/>
      <c r="F1668" s="142"/>
      <c r="G1668" s="142"/>
    </row>
    <row r="1669">
      <c r="B1669" s="137"/>
      <c r="C1669" s="137"/>
      <c r="D1669" s="138"/>
      <c r="F1669" s="142"/>
      <c r="G1669" s="142"/>
    </row>
    <row r="1670">
      <c r="B1670" s="137"/>
      <c r="C1670" s="137"/>
      <c r="D1670" s="138"/>
      <c r="F1670" s="142"/>
      <c r="G1670" s="142"/>
    </row>
    <row r="1671">
      <c r="B1671" s="137"/>
      <c r="C1671" s="137"/>
      <c r="D1671" s="138"/>
      <c r="F1671" s="142"/>
      <c r="G1671" s="142"/>
    </row>
    <row r="1672">
      <c r="B1672" s="137"/>
      <c r="C1672" s="137"/>
      <c r="D1672" s="138"/>
      <c r="F1672" s="142"/>
      <c r="G1672" s="142"/>
    </row>
    <row r="1673">
      <c r="B1673" s="137"/>
      <c r="C1673" s="137"/>
      <c r="D1673" s="138"/>
      <c r="F1673" s="142"/>
      <c r="G1673" s="142"/>
    </row>
    <row r="1674">
      <c r="B1674" s="137"/>
      <c r="C1674" s="137"/>
      <c r="D1674" s="138"/>
      <c r="F1674" s="142"/>
      <c r="G1674" s="142"/>
    </row>
    <row r="1675">
      <c r="B1675" s="137"/>
      <c r="C1675" s="137"/>
      <c r="D1675" s="138"/>
      <c r="F1675" s="142"/>
      <c r="G1675" s="142"/>
    </row>
    <row r="1676">
      <c r="B1676" s="137"/>
      <c r="C1676" s="137"/>
      <c r="D1676" s="138"/>
      <c r="F1676" s="142"/>
      <c r="G1676" s="142"/>
    </row>
    <row r="1677">
      <c r="B1677" s="137"/>
      <c r="C1677" s="137"/>
      <c r="D1677" s="138"/>
      <c r="F1677" s="142"/>
      <c r="G1677" s="142"/>
    </row>
    <row r="1678">
      <c r="B1678" s="137"/>
      <c r="C1678" s="137"/>
      <c r="D1678" s="138"/>
      <c r="F1678" s="142"/>
      <c r="G1678" s="142"/>
    </row>
    <row r="1679">
      <c r="B1679" s="137"/>
      <c r="C1679" s="137"/>
      <c r="D1679" s="138"/>
      <c r="F1679" s="142"/>
      <c r="G1679" s="142"/>
    </row>
    <row r="1680">
      <c r="B1680" s="137"/>
      <c r="C1680" s="137"/>
      <c r="D1680" s="138"/>
      <c r="F1680" s="142"/>
      <c r="G1680" s="142"/>
    </row>
    <row r="1681">
      <c r="B1681" s="137"/>
      <c r="C1681" s="137"/>
      <c r="D1681" s="138"/>
      <c r="F1681" s="142"/>
      <c r="G1681" s="142"/>
    </row>
    <row r="1682">
      <c r="B1682" s="137"/>
      <c r="C1682" s="137"/>
      <c r="D1682" s="138"/>
      <c r="F1682" s="142"/>
      <c r="G1682" s="142"/>
    </row>
    <row r="1683">
      <c r="B1683" s="137"/>
      <c r="C1683" s="137"/>
      <c r="D1683" s="138"/>
      <c r="F1683" s="142"/>
      <c r="G1683" s="142"/>
    </row>
    <row r="1684">
      <c r="B1684" s="137"/>
      <c r="C1684" s="137"/>
      <c r="D1684" s="138"/>
      <c r="F1684" s="142"/>
      <c r="G1684" s="142"/>
    </row>
    <row r="1685">
      <c r="B1685" s="137"/>
      <c r="C1685" s="137"/>
      <c r="D1685" s="138"/>
      <c r="F1685" s="142"/>
      <c r="G1685" s="142"/>
    </row>
    <row r="1686">
      <c r="B1686" s="137"/>
      <c r="C1686" s="137"/>
      <c r="D1686" s="138"/>
      <c r="F1686" s="142"/>
      <c r="G1686" s="142"/>
    </row>
    <row r="1687">
      <c r="B1687" s="137"/>
      <c r="C1687" s="137"/>
      <c r="D1687" s="138"/>
      <c r="F1687" s="142"/>
      <c r="G1687" s="142"/>
    </row>
    <row r="1688">
      <c r="B1688" s="137"/>
      <c r="C1688" s="137"/>
      <c r="D1688" s="138"/>
      <c r="F1688" s="142"/>
      <c r="G1688" s="142"/>
    </row>
    <row r="1689">
      <c r="B1689" s="137"/>
      <c r="C1689" s="137"/>
      <c r="D1689" s="138"/>
      <c r="F1689" s="142"/>
      <c r="G1689" s="142"/>
    </row>
    <row r="1690">
      <c r="B1690" s="137"/>
      <c r="C1690" s="137"/>
      <c r="D1690" s="138"/>
      <c r="F1690" s="142"/>
      <c r="G1690" s="142"/>
    </row>
    <row r="1691">
      <c r="B1691" s="137"/>
      <c r="C1691" s="137"/>
      <c r="D1691" s="138"/>
      <c r="F1691" s="142"/>
      <c r="G1691" s="142"/>
    </row>
    <row r="1692">
      <c r="B1692" s="137"/>
      <c r="C1692" s="137"/>
      <c r="D1692" s="138"/>
      <c r="F1692" s="142"/>
      <c r="G1692" s="142"/>
    </row>
    <row r="1693">
      <c r="B1693" s="137"/>
      <c r="C1693" s="137"/>
      <c r="D1693" s="138"/>
      <c r="F1693" s="142"/>
      <c r="G1693" s="142"/>
    </row>
    <row r="1694">
      <c r="B1694" s="137"/>
      <c r="C1694" s="137"/>
      <c r="D1694" s="138"/>
      <c r="F1694" s="142"/>
      <c r="G1694" s="142"/>
    </row>
    <row r="1695">
      <c r="B1695" s="137"/>
      <c r="C1695" s="137"/>
      <c r="D1695" s="138"/>
      <c r="F1695" s="142"/>
      <c r="G1695" s="142"/>
    </row>
    <row r="1696">
      <c r="B1696" s="137"/>
      <c r="C1696" s="137"/>
      <c r="D1696" s="138"/>
      <c r="F1696" s="142"/>
      <c r="G1696" s="142"/>
    </row>
    <row r="1697">
      <c r="B1697" s="137"/>
      <c r="C1697" s="137"/>
      <c r="D1697" s="138"/>
      <c r="F1697" s="142"/>
      <c r="G1697" s="142"/>
    </row>
    <row r="1698">
      <c r="B1698" s="137"/>
      <c r="C1698" s="137"/>
      <c r="D1698" s="138"/>
      <c r="F1698" s="142"/>
      <c r="G1698" s="142"/>
    </row>
    <row r="1699">
      <c r="B1699" s="137"/>
      <c r="C1699" s="137"/>
      <c r="D1699" s="138"/>
      <c r="F1699" s="142"/>
      <c r="G1699" s="142"/>
    </row>
    <row r="1700">
      <c r="B1700" s="137"/>
      <c r="C1700" s="137"/>
      <c r="D1700" s="138"/>
      <c r="F1700" s="142"/>
      <c r="G1700" s="142"/>
    </row>
    <row r="1701">
      <c r="B1701" s="137"/>
      <c r="C1701" s="137"/>
      <c r="D1701" s="138"/>
      <c r="F1701" s="142"/>
      <c r="G1701" s="142"/>
    </row>
    <row r="1702">
      <c r="B1702" s="137"/>
      <c r="C1702" s="137"/>
      <c r="D1702" s="138"/>
      <c r="F1702" s="142"/>
      <c r="G1702" s="142"/>
    </row>
    <row r="1703">
      <c r="B1703" s="137"/>
      <c r="C1703" s="137"/>
      <c r="D1703" s="138"/>
      <c r="F1703" s="142"/>
      <c r="G1703" s="142"/>
    </row>
    <row r="1704">
      <c r="B1704" s="137"/>
      <c r="C1704" s="137"/>
      <c r="D1704" s="138"/>
      <c r="F1704" s="142"/>
      <c r="G1704" s="142"/>
    </row>
    <row r="1705">
      <c r="B1705" s="137"/>
      <c r="C1705" s="137"/>
      <c r="D1705" s="138"/>
      <c r="F1705" s="142"/>
      <c r="G1705" s="142"/>
    </row>
    <row r="1706">
      <c r="B1706" s="137"/>
      <c r="C1706" s="137"/>
      <c r="D1706" s="138"/>
      <c r="F1706" s="142"/>
      <c r="G1706" s="142"/>
    </row>
    <row r="1707">
      <c r="B1707" s="137"/>
      <c r="C1707" s="137"/>
      <c r="D1707" s="138"/>
      <c r="F1707" s="142"/>
      <c r="G1707" s="142"/>
    </row>
    <row r="1708">
      <c r="B1708" s="137"/>
      <c r="C1708" s="137"/>
      <c r="D1708" s="138"/>
      <c r="F1708" s="142"/>
      <c r="G1708" s="142"/>
    </row>
    <row r="1709">
      <c r="B1709" s="137"/>
      <c r="C1709" s="137"/>
      <c r="D1709" s="138"/>
      <c r="F1709" s="142"/>
      <c r="G1709" s="142"/>
    </row>
    <row r="1710">
      <c r="B1710" s="137"/>
      <c r="C1710" s="137"/>
      <c r="D1710" s="138"/>
      <c r="F1710" s="142"/>
      <c r="G1710" s="142"/>
    </row>
    <row r="1711">
      <c r="B1711" s="137"/>
      <c r="C1711" s="137"/>
      <c r="D1711" s="138"/>
      <c r="F1711" s="142"/>
      <c r="G1711" s="142"/>
    </row>
    <row r="1712">
      <c r="B1712" s="137"/>
      <c r="C1712" s="137"/>
      <c r="D1712" s="138"/>
      <c r="F1712" s="142"/>
      <c r="G1712" s="142"/>
    </row>
    <row r="1713">
      <c r="B1713" s="137"/>
      <c r="C1713" s="137"/>
      <c r="D1713" s="138"/>
      <c r="F1713" s="142"/>
      <c r="G1713" s="142"/>
    </row>
    <row r="1714">
      <c r="B1714" s="137"/>
      <c r="C1714" s="137"/>
      <c r="D1714" s="138"/>
      <c r="F1714" s="142"/>
      <c r="G1714" s="142"/>
    </row>
    <row r="1715">
      <c r="B1715" s="137"/>
      <c r="C1715" s="137"/>
      <c r="D1715" s="138"/>
      <c r="F1715" s="142"/>
      <c r="G1715" s="142"/>
    </row>
    <row r="1716">
      <c r="B1716" s="137"/>
      <c r="C1716" s="137"/>
      <c r="D1716" s="138"/>
      <c r="F1716" s="142"/>
      <c r="G1716" s="142"/>
    </row>
    <row r="1717">
      <c r="B1717" s="137"/>
      <c r="C1717" s="137"/>
      <c r="D1717" s="138"/>
      <c r="F1717" s="142"/>
      <c r="G1717" s="142"/>
    </row>
    <row r="1718">
      <c r="B1718" s="137"/>
      <c r="C1718" s="137"/>
      <c r="D1718" s="138"/>
      <c r="F1718" s="142"/>
      <c r="G1718" s="142"/>
    </row>
    <row r="1719">
      <c r="B1719" s="137"/>
      <c r="C1719" s="137"/>
      <c r="D1719" s="138"/>
      <c r="F1719" s="142"/>
      <c r="G1719" s="142"/>
    </row>
    <row r="1720">
      <c r="B1720" s="137"/>
      <c r="C1720" s="137"/>
      <c r="D1720" s="138"/>
      <c r="F1720" s="142"/>
      <c r="G1720" s="142"/>
    </row>
    <row r="1721">
      <c r="B1721" s="137"/>
      <c r="C1721" s="137"/>
      <c r="D1721" s="138"/>
      <c r="F1721" s="142"/>
      <c r="G1721" s="142"/>
    </row>
    <row r="1722">
      <c r="B1722" s="137"/>
      <c r="C1722" s="137"/>
      <c r="D1722" s="138"/>
      <c r="F1722" s="142"/>
      <c r="G1722" s="142"/>
    </row>
    <row r="1723">
      <c r="B1723" s="137"/>
      <c r="C1723" s="137"/>
      <c r="D1723" s="138"/>
      <c r="F1723" s="142"/>
      <c r="G1723" s="142"/>
    </row>
    <row r="1724">
      <c r="B1724" s="137"/>
      <c r="C1724" s="137"/>
      <c r="D1724" s="138"/>
      <c r="F1724" s="142"/>
      <c r="G1724" s="142"/>
    </row>
    <row r="1725">
      <c r="B1725" s="137"/>
      <c r="C1725" s="137"/>
      <c r="D1725" s="138"/>
      <c r="F1725" s="142"/>
      <c r="G1725" s="142"/>
    </row>
    <row r="1726">
      <c r="B1726" s="137"/>
      <c r="C1726" s="137"/>
      <c r="D1726" s="138"/>
      <c r="F1726" s="142"/>
      <c r="G1726" s="142"/>
    </row>
    <row r="1727">
      <c r="B1727" s="137"/>
      <c r="C1727" s="137"/>
      <c r="D1727" s="138"/>
      <c r="F1727" s="142"/>
      <c r="G1727" s="142"/>
    </row>
    <row r="1728">
      <c r="B1728" s="137"/>
      <c r="C1728" s="137"/>
      <c r="D1728" s="138"/>
      <c r="F1728" s="142"/>
      <c r="G1728" s="142"/>
    </row>
    <row r="1729">
      <c r="B1729" s="137"/>
      <c r="C1729" s="137"/>
      <c r="D1729" s="138"/>
      <c r="F1729" s="142"/>
      <c r="G1729" s="142"/>
    </row>
    <row r="1730">
      <c r="B1730" s="137"/>
      <c r="C1730" s="137"/>
      <c r="D1730" s="138"/>
      <c r="F1730" s="142"/>
      <c r="G1730" s="142"/>
    </row>
    <row r="1731">
      <c r="B1731" s="137"/>
      <c r="C1731" s="137"/>
      <c r="D1731" s="138"/>
      <c r="F1731" s="142"/>
      <c r="G1731" s="142"/>
    </row>
    <row r="1732">
      <c r="B1732" s="137"/>
      <c r="C1732" s="137"/>
      <c r="D1732" s="138"/>
      <c r="F1732" s="142"/>
      <c r="G1732" s="142"/>
    </row>
    <row r="1733">
      <c r="B1733" s="137"/>
      <c r="C1733" s="137"/>
      <c r="D1733" s="138"/>
      <c r="F1733" s="142"/>
      <c r="G1733" s="142"/>
    </row>
    <row r="1734">
      <c r="B1734" s="137"/>
      <c r="C1734" s="137"/>
      <c r="D1734" s="138"/>
      <c r="F1734" s="142"/>
      <c r="G1734" s="142"/>
    </row>
    <row r="1735">
      <c r="B1735" s="137"/>
      <c r="C1735" s="137"/>
      <c r="D1735" s="138"/>
      <c r="F1735" s="142"/>
      <c r="G1735" s="142"/>
    </row>
    <row r="1736">
      <c r="B1736" s="137"/>
      <c r="C1736" s="137"/>
      <c r="D1736" s="138"/>
      <c r="F1736" s="142"/>
      <c r="G1736" s="142"/>
    </row>
    <row r="1737">
      <c r="B1737" s="137"/>
      <c r="C1737" s="137"/>
      <c r="D1737" s="138"/>
      <c r="F1737" s="142"/>
      <c r="G1737" s="142"/>
    </row>
    <row r="1738">
      <c r="B1738" s="137"/>
      <c r="C1738" s="137"/>
      <c r="D1738" s="138"/>
      <c r="F1738" s="142"/>
      <c r="G1738" s="142"/>
    </row>
    <row r="1739">
      <c r="B1739" s="137"/>
      <c r="C1739" s="137"/>
      <c r="D1739" s="138"/>
      <c r="F1739" s="142"/>
      <c r="G1739" s="142"/>
    </row>
    <row r="1740">
      <c r="B1740" s="137"/>
      <c r="C1740" s="137"/>
      <c r="D1740" s="138"/>
      <c r="F1740" s="142"/>
      <c r="G1740" s="142"/>
    </row>
    <row r="1741">
      <c r="B1741" s="137"/>
      <c r="C1741" s="137"/>
      <c r="D1741" s="138"/>
      <c r="F1741" s="142"/>
      <c r="G1741" s="142"/>
    </row>
    <row r="1742">
      <c r="B1742" s="137"/>
      <c r="C1742" s="137"/>
      <c r="D1742" s="138"/>
      <c r="F1742" s="142"/>
      <c r="G1742" s="142"/>
    </row>
    <row r="1743">
      <c r="B1743" s="137"/>
      <c r="C1743" s="137"/>
      <c r="D1743" s="138"/>
      <c r="F1743" s="142"/>
      <c r="G1743" s="142"/>
    </row>
    <row r="1744">
      <c r="B1744" s="137"/>
      <c r="C1744" s="137"/>
      <c r="D1744" s="138"/>
      <c r="F1744" s="142"/>
      <c r="G1744" s="142"/>
    </row>
    <row r="1745">
      <c r="B1745" s="137"/>
      <c r="C1745" s="137"/>
      <c r="D1745" s="138"/>
      <c r="F1745" s="142"/>
      <c r="G1745" s="142"/>
    </row>
    <row r="1746">
      <c r="B1746" s="137"/>
      <c r="C1746" s="137"/>
      <c r="D1746" s="138"/>
      <c r="F1746" s="142"/>
      <c r="G1746" s="142"/>
    </row>
    <row r="1747">
      <c r="B1747" s="137"/>
      <c r="C1747" s="137"/>
      <c r="D1747" s="138"/>
      <c r="F1747" s="142"/>
      <c r="G1747" s="142"/>
    </row>
    <row r="1748">
      <c r="B1748" s="137"/>
      <c r="C1748" s="137"/>
      <c r="D1748" s="138"/>
      <c r="F1748" s="142"/>
      <c r="G1748" s="142"/>
    </row>
    <row r="1749">
      <c r="B1749" s="137"/>
      <c r="C1749" s="137"/>
      <c r="D1749" s="138"/>
      <c r="F1749" s="142"/>
      <c r="G1749" s="142"/>
    </row>
    <row r="1750">
      <c r="B1750" s="137"/>
      <c r="C1750" s="137"/>
      <c r="D1750" s="138"/>
      <c r="F1750" s="142"/>
      <c r="G1750" s="142"/>
    </row>
    <row r="1751">
      <c r="B1751" s="137"/>
      <c r="C1751" s="137"/>
      <c r="D1751" s="138"/>
      <c r="F1751" s="142"/>
      <c r="G1751" s="142"/>
    </row>
    <row r="1752">
      <c r="B1752" s="137"/>
      <c r="C1752" s="137"/>
      <c r="D1752" s="138"/>
      <c r="F1752" s="142"/>
      <c r="G1752" s="142"/>
    </row>
    <row r="1753">
      <c r="B1753" s="137"/>
      <c r="C1753" s="137"/>
      <c r="D1753" s="138"/>
      <c r="F1753" s="142"/>
      <c r="G1753" s="142"/>
    </row>
    <row r="1754">
      <c r="B1754" s="137"/>
      <c r="C1754" s="137"/>
      <c r="D1754" s="138"/>
      <c r="F1754" s="142"/>
      <c r="G1754" s="142"/>
    </row>
    <row r="1755">
      <c r="B1755" s="137"/>
      <c r="C1755" s="137"/>
      <c r="D1755" s="138"/>
      <c r="F1755" s="142"/>
      <c r="G1755" s="142"/>
    </row>
    <row r="1756">
      <c r="B1756" s="137"/>
      <c r="C1756" s="137"/>
      <c r="D1756" s="138"/>
      <c r="F1756" s="142"/>
      <c r="G1756" s="142"/>
    </row>
    <row r="1757">
      <c r="B1757" s="137"/>
      <c r="C1757" s="137"/>
      <c r="D1757" s="138"/>
      <c r="F1757" s="142"/>
      <c r="G1757" s="142"/>
    </row>
    <row r="1758">
      <c r="B1758" s="137"/>
      <c r="C1758" s="137"/>
      <c r="D1758" s="138"/>
      <c r="F1758" s="142"/>
      <c r="G1758" s="142"/>
    </row>
    <row r="1759">
      <c r="B1759" s="137"/>
      <c r="C1759" s="137"/>
      <c r="D1759" s="138"/>
      <c r="F1759" s="142"/>
      <c r="G1759" s="142"/>
    </row>
    <row r="1760">
      <c r="B1760" s="137"/>
      <c r="C1760" s="137"/>
      <c r="D1760" s="138"/>
      <c r="F1760" s="142"/>
      <c r="G1760" s="142"/>
    </row>
    <row r="1761">
      <c r="B1761" s="137"/>
      <c r="C1761" s="137"/>
      <c r="D1761" s="138"/>
      <c r="F1761" s="142"/>
      <c r="G1761" s="142"/>
    </row>
    <row r="1762">
      <c r="B1762" s="137"/>
      <c r="C1762" s="137"/>
      <c r="D1762" s="138"/>
      <c r="F1762" s="142"/>
      <c r="G1762" s="142"/>
    </row>
    <row r="1763">
      <c r="B1763" s="137"/>
      <c r="C1763" s="137"/>
      <c r="D1763" s="138"/>
      <c r="F1763" s="142"/>
      <c r="G1763" s="142"/>
    </row>
    <row r="1764">
      <c r="B1764" s="137"/>
      <c r="C1764" s="137"/>
      <c r="D1764" s="138"/>
      <c r="F1764" s="142"/>
      <c r="G1764" s="142"/>
    </row>
    <row r="1765">
      <c r="B1765" s="137"/>
      <c r="C1765" s="137"/>
      <c r="D1765" s="138"/>
      <c r="F1765" s="142"/>
      <c r="G1765" s="142"/>
    </row>
    <row r="1766">
      <c r="B1766" s="137"/>
      <c r="C1766" s="137"/>
      <c r="D1766" s="138"/>
      <c r="F1766" s="142"/>
      <c r="G1766" s="142"/>
    </row>
    <row r="1767">
      <c r="B1767" s="137"/>
      <c r="C1767" s="137"/>
      <c r="D1767" s="138"/>
      <c r="F1767" s="142"/>
      <c r="G1767" s="142"/>
    </row>
    <row r="1768">
      <c r="B1768" s="137"/>
      <c r="C1768" s="137"/>
      <c r="D1768" s="138"/>
      <c r="F1768" s="142"/>
      <c r="G1768" s="142"/>
    </row>
    <row r="1769">
      <c r="B1769" s="137"/>
      <c r="C1769" s="137"/>
      <c r="D1769" s="138"/>
      <c r="F1769" s="142"/>
      <c r="G1769" s="142"/>
    </row>
    <row r="1770">
      <c r="B1770" s="137"/>
      <c r="C1770" s="137"/>
      <c r="D1770" s="138"/>
      <c r="F1770" s="142"/>
      <c r="G1770" s="142"/>
    </row>
    <row r="1771">
      <c r="B1771" s="137"/>
      <c r="C1771" s="137"/>
      <c r="D1771" s="138"/>
      <c r="F1771" s="142"/>
      <c r="G1771" s="142"/>
    </row>
    <row r="1772">
      <c r="B1772" s="137"/>
      <c r="C1772" s="137"/>
      <c r="D1772" s="138"/>
      <c r="F1772" s="142"/>
      <c r="G1772" s="142"/>
    </row>
    <row r="1773">
      <c r="B1773" s="137"/>
      <c r="C1773" s="137"/>
      <c r="D1773" s="138"/>
      <c r="F1773" s="142"/>
      <c r="G1773" s="142"/>
    </row>
    <row r="1774">
      <c r="B1774" s="137"/>
      <c r="C1774" s="137"/>
      <c r="D1774" s="138"/>
      <c r="F1774" s="142"/>
      <c r="G1774" s="142"/>
    </row>
    <row r="1775">
      <c r="B1775" s="137"/>
      <c r="C1775" s="137"/>
      <c r="D1775" s="138"/>
      <c r="F1775" s="142"/>
      <c r="G1775" s="142"/>
    </row>
    <row r="1776">
      <c r="B1776" s="137"/>
      <c r="C1776" s="137"/>
      <c r="D1776" s="138"/>
      <c r="F1776" s="142"/>
      <c r="G1776" s="142"/>
    </row>
    <row r="1777">
      <c r="B1777" s="137"/>
      <c r="C1777" s="137"/>
      <c r="D1777" s="138"/>
      <c r="F1777" s="142"/>
      <c r="G1777" s="142"/>
    </row>
    <row r="1778">
      <c r="B1778" s="137"/>
      <c r="C1778" s="137"/>
      <c r="D1778" s="138"/>
      <c r="F1778" s="142"/>
      <c r="G1778" s="142"/>
    </row>
    <row r="1779">
      <c r="B1779" s="137"/>
      <c r="C1779" s="137"/>
      <c r="D1779" s="138"/>
      <c r="F1779" s="142"/>
      <c r="G1779" s="142"/>
    </row>
    <row r="1780">
      <c r="B1780" s="137"/>
      <c r="C1780" s="137"/>
      <c r="D1780" s="138"/>
      <c r="F1780" s="142"/>
      <c r="G1780" s="142"/>
    </row>
    <row r="1781">
      <c r="B1781" s="137"/>
      <c r="C1781" s="137"/>
      <c r="D1781" s="138"/>
      <c r="F1781" s="142"/>
      <c r="G1781" s="142"/>
    </row>
    <row r="1782">
      <c r="B1782" s="137"/>
      <c r="C1782" s="137"/>
      <c r="D1782" s="138"/>
      <c r="F1782" s="142"/>
      <c r="G1782" s="142"/>
    </row>
    <row r="1783">
      <c r="B1783" s="137"/>
      <c r="C1783" s="137"/>
      <c r="D1783" s="138"/>
      <c r="F1783" s="142"/>
      <c r="G1783" s="142"/>
    </row>
    <row r="1784">
      <c r="B1784" s="137"/>
      <c r="C1784" s="137"/>
      <c r="D1784" s="138"/>
      <c r="F1784" s="142"/>
      <c r="G1784" s="142"/>
    </row>
    <row r="1785">
      <c r="B1785" s="137"/>
      <c r="C1785" s="137"/>
      <c r="D1785" s="138"/>
      <c r="F1785" s="142"/>
      <c r="G1785" s="142"/>
    </row>
    <row r="1786">
      <c r="B1786" s="137"/>
      <c r="C1786" s="137"/>
      <c r="D1786" s="138"/>
      <c r="F1786" s="142"/>
      <c r="G1786" s="142"/>
    </row>
    <row r="1787">
      <c r="B1787" s="137"/>
      <c r="C1787" s="137"/>
      <c r="D1787" s="138"/>
      <c r="F1787" s="142"/>
      <c r="G1787" s="142"/>
    </row>
    <row r="1788">
      <c r="B1788" s="137"/>
      <c r="C1788" s="137"/>
      <c r="D1788" s="138"/>
      <c r="F1788" s="142"/>
      <c r="G1788" s="142"/>
    </row>
    <row r="1789">
      <c r="B1789" s="137"/>
      <c r="C1789" s="137"/>
      <c r="D1789" s="138"/>
      <c r="F1789" s="142"/>
      <c r="G1789" s="142"/>
    </row>
    <row r="1790">
      <c r="B1790" s="137"/>
      <c r="C1790" s="137"/>
      <c r="D1790" s="138"/>
      <c r="F1790" s="142"/>
      <c r="G1790" s="142"/>
    </row>
    <row r="1791">
      <c r="B1791" s="137"/>
      <c r="C1791" s="137"/>
      <c r="D1791" s="138"/>
      <c r="F1791" s="142"/>
      <c r="G1791" s="142"/>
    </row>
    <row r="1792">
      <c r="B1792" s="137"/>
      <c r="C1792" s="137"/>
      <c r="D1792" s="138"/>
      <c r="F1792" s="142"/>
      <c r="G1792" s="142"/>
    </row>
    <row r="1793">
      <c r="B1793" s="137"/>
      <c r="C1793" s="137"/>
      <c r="D1793" s="138"/>
      <c r="F1793" s="142"/>
      <c r="G1793" s="142"/>
    </row>
    <row r="1794">
      <c r="B1794" s="137"/>
      <c r="C1794" s="137"/>
      <c r="D1794" s="138"/>
      <c r="F1794" s="142"/>
      <c r="G1794" s="142"/>
    </row>
    <row r="1795">
      <c r="B1795" s="137"/>
      <c r="C1795" s="137"/>
      <c r="D1795" s="138"/>
      <c r="F1795" s="142"/>
      <c r="G1795" s="142"/>
    </row>
    <row r="1796">
      <c r="B1796" s="137"/>
      <c r="C1796" s="137"/>
      <c r="D1796" s="138"/>
      <c r="F1796" s="142"/>
      <c r="G1796" s="142"/>
    </row>
    <row r="1797">
      <c r="B1797" s="137"/>
      <c r="C1797" s="137"/>
      <c r="D1797" s="138"/>
      <c r="F1797" s="142"/>
      <c r="G1797" s="142"/>
    </row>
    <row r="1798">
      <c r="B1798" s="137"/>
      <c r="C1798" s="137"/>
      <c r="D1798" s="138"/>
      <c r="F1798" s="142"/>
      <c r="G1798" s="142"/>
    </row>
    <row r="1799">
      <c r="B1799" s="137"/>
      <c r="C1799" s="137"/>
      <c r="D1799" s="138"/>
      <c r="F1799" s="142"/>
      <c r="G1799" s="142"/>
    </row>
    <row r="1800">
      <c r="B1800" s="137"/>
      <c r="C1800" s="137"/>
      <c r="D1800" s="138"/>
      <c r="F1800" s="142"/>
      <c r="G1800" s="142"/>
    </row>
    <row r="1801">
      <c r="B1801" s="137"/>
      <c r="C1801" s="137"/>
      <c r="D1801" s="138"/>
      <c r="F1801" s="142"/>
      <c r="G1801" s="142"/>
    </row>
    <row r="1802">
      <c r="B1802" s="137"/>
      <c r="C1802" s="137"/>
      <c r="D1802" s="138"/>
      <c r="F1802" s="142"/>
      <c r="G1802" s="142"/>
    </row>
    <row r="1803">
      <c r="B1803" s="137"/>
      <c r="C1803" s="137"/>
      <c r="D1803" s="138"/>
      <c r="F1803" s="142"/>
      <c r="G1803" s="142"/>
    </row>
    <row r="1804">
      <c r="B1804" s="137"/>
      <c r="C1804" s="137"/>
      <c r="D1804" s="138"/>
      <c r="F1804" s="142"/>
      <c r="G1804" s="142"/>
    </row>
    <row r="1805">
      <c r="B1805" s="137"/>
      <c r="C1805" s="137"/>
      <c r="D1805" s="138"/>
      <c r="F1805" s="142"/>
      <c r="G1805" s="142"/>
    </row>
    <row r="1806">
      <c r="B1806" s="137"/>
      <c r="C1806" s="137"/>
      <c r="D1806" s="138"/>
      <c r="F1806" s="142"/>
      <c r="G1806" s="142"/>
    </row>
    <row r="1807">
      <c r="B1807" s="137"/>
      <c r="C1807" s="137"/>
      <c r="D1807" s="138"/>
      <c r="F1807" s="142"/>
      <c r="G1807" s="142"/>
    </row>
    <row r="1808">
      <c r="B1808" s="137"/>
      <c r="C1808" s="137"/>
      <c r="D1808" s="138"/>
      <c r="F1808" s="142"/>
      <c r="G1808" s="142"/>
    </row>
    <row r="1809">
      <c r="B1809" s="137"/>
      <c r="C1809" s="137"/>
      <c r="D1809" s="138"/>
      <c r="F1809" s="142"/>
      <c r="G1809" s="142"/>
    </row>
    <row r="1810">
      <c r="B1810" s="137"/>
      <c r="C1810" s="137"/>
      <c r="D1810" s="138"/>
      <c r="F1810" s="142"/>
      <c r="G1810" s="142"/>
    </row>
    <row r="1811">
      <c r="B1811" s="137"/>
      <c r="C1811" s="137"/>
      <c r="D1811" s="138"/>
      <c r="F1811" s="142"/>
      <c r="G1811" s="142"/>
    </row>
    <row r="1812">
      <c r="B1812" s="137"/>
      <c r="C1812" s="137"/>
      <c r="D1812" s="138"/>
      <c r="F1812" s="142"/>
      <c r="G1812" s="142"/>
    </row>
    <row r="1813">
      <c r="B1813" s="137"/>
      <c r="C1813" s="137"/>
      <c r="D1813" s="138"/>
      <c r="F1813" s="142"/>
      <c r="G1813" s="142"/>
    </row>
    <row r="1814">
      <c r="B1814" s="137"/>
      <c r="C1814" s="137"/>
      <c r="D1814" s="138"/>
      <c r="F1814" s="142"/>
      <c r="G1814" s="142"/>
    </row>
    <row r="1815">
      <c r="B1815" s="137"/>
      <c r="C1815" s="137"/>
      <c r="D1815" s="138"/>
      <c r="F1815" s="142"/>
      <c r="G1815" s="142"/>
    </row>
    <row r="1816">
      <c r="B1816" s="137"/>
      <c r="C1816" s="137"/>
      <c r="D1816" s="138"/>
      <c r="F1816" s="142"/>
      <c r="G1816" s="142"/>
    </row>
    <row r="1817">
      <c r="B1817" s="137"/>
      <c r="C1817" s="137"/>
      <c r="D1817" s="138"/>
      <c r="F1817" s="142"/>
      <c r="G1817" s="142"/>
    </row>
    <row r="1818">
      <c r="B1818" s="137"/>
      <c r="C1818" s="137"/>
      <c r="D1818" s="138"/>
      <c r="F1818" s="142"/>
      <c r="G1818" s="142"/>
    </row>
    <row r="1819">
      <c r="B1819" s="137"/>
      <c r="C1819" s="137"/>
      <c r="D1819" s="138"/>
      <c r="F1819" s="142"/>
      <c r="G1819" s="142"/>
    </row>
    <row r="1820">
      <c r="B1820" s="137"/>
      <c r="C1820" s="137"/>
      <c r="D1820" s="138"/>
      <c r="F1820" s="142"/>
      <c r="G1820" s="142"/>
    </row>
    <row r="1821">
      <c r="B1821" s="137"/>
      <c r="C1821" s="137"/>
      <c r="D1821" s="138"/>
      <c r="F1821" s="142"/>
      <c r="G1821" s="142"/>
    </row>
    <row r="1822">
      <c r="B1822" s="137"/>
      <c r="C1822" s="137"/>
      <c r="D1822" s="138"/>
      <c r="F1822" s="142"/>
      <c r="G1822" s="142"/>
    </row>
    <row r="1823">
      <c r="B1823" s="137"/>
      <c r="C1823" s="137"/>
      <c r="D1823" s="138"/>
      <c r="F1823" s="142"/>
      <c r="G1823" s="142"/>
    </row>
    <row r="1824">
      <c r="B1824" s="137"/>
      <c r="C1824" s="137"/>
      <c r="D1824" s="138"/>
      <c r="F1824" s="142"/>
      <c r="G1824" s="142"/>
    </row>
    <row r="1825">
      <c r="B1825" s="137"/>
      <c r="C1825" s="137"/>
      <c r="D1825" s="138"/>
      <c r="F1825" s="142"/>
      <c r="G1825" s="142"/>
    </row>
    <row r="1826">
      <c r="B1826" s="137"/>
      <c r="C1826" s="137"/>
      <c r="D1826" s="138"/>
      <c r="F1826" s="142"/>
      <c r="G1826" s="142"/>
    </row>
    <row r="1827">
      <c r="B1827" s="137"/>
      <c r="C1827" s="137"/>
      <c r="D1827" s="138"/>
      <c r="F1827" s="142"/>
      <c r="G1827" s="142"/>
    </row>
    <row r="1828">
      <c r="B1828" s="137"/>
      <c r="C1828" s="137"/>
      <c r="D1828" s="138"/>
      <c r="F1828" s="142"/>
      <c r="G1828" s="142"/>
    </row>
    <row r="1829">
      <c r="B1829" s="137"/>
      <c r="C1829" s="137"/>
      <c r="D1829" s="138"/>
      <c r="F1829" s="142"/>
      <c r="G1829" s="142"/>
    </row>
    <row r="1830">
      <c r="B1830" s="137"/>
      <c r="C1830" s="137"/>
      <c r="D1830" s="138"/>
      <c r="F1830" s="142"/>
      <c r="G1830" s="142"/>
    </row>
    <row r="1831">
      <c r="B1831" s="137"/>
      <c r="C1831" s="137"/>
      <c r="D1831" s="138"/>
      <c r="F1831" s="142"/>
      <c r="G1831" s="142"/>
    </row>
    <row r="1832">
      <c r="B1832" s="137"/>
      <c r="C1832" s="137"/>
      <c r="D1832" s="138"/>
      <c r="F1832" s="142"/>
      <c r="G1832" s="142"/>
    </row>
    <row r="1833">
      <c r="B1833" s="137"/>
      <c r="C1833" s="137"/>
      <c r="D1833" s="138"/>
      <c r="F1833" s="142"/>
      <c r="G1833" s="142"/>
    </row>
    <row r="1834">
      <c r="B1834" s="137"/>
      <c r="C1834" s="137"/>
      <c r="D1834" s="138"/>
      <c r="F1834" s="142"/>
      <c r="G1834" s="142"/>
    </row>
    <row r="1835">
      <c r="B1835" s="137"/>
      <c r="C1835" s="137"/>
      <c r="D1835" s="138"/>
      <c r="F1835" s="142"/>
      <c r="G1835" s="142"/>
    </row>
    <row r="1836">
      <c r="B1836" s="137"/>
      <c r="C1836" s="137"/>
      <c r="D1836" s="138"/>
      <c r="F1836" s="142"/>
      <c r="G1836" s="142"/>
    </row>
    <row r="1837">
      <c r="B1837" s="137"/>
      <c r="C1837" s="137"/>
      <c r="D1837" s="138"/>
      <c r="F1837" s="142"/>
      <c r="G1837" s="142"/>
    </row>
    <row r="1838">
      <c r="B1838" s="137"/>
      <c r="C1838" s="137"/>
      <c r="D1838" s="138"/>
      <c r="F1838" s="142"/>
      <c r="G1838" s="142"/>
    </row>
    <row r="1839">
      <c r="B1839" s="137"/>
      <c r="C1839" s="137"/>
      <c r="D1839" s="138"/>
      <c r="F1839" s="142"/>
      <c r="G1839" s="142"/>
    </row>
    <row r="1840">
      <c r="B1840" s="137"/>
      <c r="C1840" s="137"/>
      <c r="D1840" s="138"/>
      <c r="F1840" s="142"/>
      <c r="G1840" s="142"/>
    </row>
    <row r="1841">
      <c r="B1841" s="137"/>
      <c r="C1841" s="137"/>
      <c r="D1841" s="138"/>
      <c r="F1841" s="142"/>
      <c r="G1841" s="142"/>
    </row>
    <row r="1842">
      <c r="B1842" s="137"/>
      <c r="C1842" s="137"/>
      <c r="D1842" s="138"/>
      <c r="F1842" s="142"/>
      <c r="G1842" s="142"/>
    </row>
    <row r="1843">
      <c r="B1843" s="137"/>
      <c r="C1843" s="137"/>
      <c r="D1843" s="138"/>
      <c r="F1843" s="142"/>
      <c r="G1843" s="142"/>
    </row>
    <row r="1844">
      <c r="B1844" s="137"/>
      <c r="C1844" s="137"/>
      <c r="D1844" s="138"/>
      <c r="F1844" s="142"/>
      <c r="G1844" s="142"/>
    </row>
  </sheetData>
  <autoFilter ref="$A$1:$U$1331">
    <filterColumn colId="13">
      <filters>
        <filter val="Undefined"/>
      </filters>
    </filterColumn>
  </autoFilter>
  <conditionalFormatting sqref="N1:N1331">
    <cfRule type="cellIs" dxfId="4" priority="1" operator="equal">
      <formula>"Undefined"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5" t="s">
        <v>229</v>
      </c>
      <c r="B1" s="125" t="s">
        <v>230</v>
      </c>
      <c r="C1" s="125" t="s">
        <v>231</v>
      </c>
      <c r="D1" s="125" t="s">
        <v>29</v>
      </c>
      <c r="E1" s="125" t="s">
        <v>232</v>
      </c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</row>
    <row r="2">
      <c r="A2" s="56" t="s">
        <v>233</v>
      </c>
      <c r="B2" s="56" t="s">
        <v>234</v>
      </c>
      <c r="C2" s="56" t="s">
        <v>235</v>
      </c>
      <c r="D2" s="56" t="s">
        <v>165</v>
      </c>
      <c r="E2" s="56" t="s">
        <v>236</v>
      </c>
    </row>
    <row r="3">
      <c r="A3" s="56" t="s">
        <v>237</v>
      </c>
      <c r="B3" s="56" t="s">
        <v>238</v>
      </c>
      <c r="C3" s="56" t="s">
        <v>239</v>
      </c>
      <c r="D3" s="56" t="s">
        <v>146</v>
      </c>
      <c r="E3" s="56" t="s">
        <v>170</v>
      </c>
    </row>
    <row r="4">
      <c r="A4" s="56" t="s">
        <v>131</v>
      </c>
      <c r="B4" s="56" t="s">
        <v>240</v>
      </c>
      <c r="C4" s="56" t="s">
        <v>202</v>
      </c>
      <c r="D4" s="56" t="s">
        <v>146</v>
      </c>
      <c r="E4" s="56" t="s">
        <v>147</v>
      </c>
    </row>
    <row r="5">
      <c r="A5" s="56" t="s">
        <v>241</v>
      </c>
      <c r="B5" s="56" t="s">
        <v>242</v>
      </c>
      <c r="C5" s="56" t="s">
        <v>243</v>
      </c>
      <c r="D5" s="56" t="s">
        <v>244</v>
      </c>
      <c r="E5" s="56" t="s">
        <v>245</v>
      </c>
    </row>
    <row r="6">
      <c r="A6" s="56" t="s">
        <v>246</v>
      </c>
      <c r="B6" s="56" t="s">
        <v>247</v>
      </c>
      <c r="C6" s="56" t="s">
        <v>248</v>
      </c>
      <c r="D6" s="56" t="s">
        <v>249</v>
      </c>
      <c r="E6" s="56" t="s">
        <v>250</v>
      </c>
    </row>
    <row r="7">
      <c r="A7" s="56" t="s">
        <v>128</v>
      </c>
      <c r="B7" s="56" t="s">
        <v>251</v>
      </c>
      <c r="C7" s="56" t="s">
        <v>199</v>
      </c>
      <c r="D7" s="56" t="s">
        <v>146</v>
      </c>
      <c r="E7" s="56" t="s">
        <v>147</v>
      </c>
    </row>
    <row r="8">
      <c r="A8" s="56" t="s">
        <v>252</v>
      </c>
      <c r="B8" s="56" t="s">
        <v>253</v>
      </c>
      <c r="C8" s="56" t="s">
        <v>254</v>
      </c>
      <c r="D8" s="56" t="s">
        <v>244</v>
      </c>
      <c r="E8" s="56" t="s">
        <v>255</v>
      </c>
    </row>
    <row r="9">
      <c r="A9" s="56" t="s">
        <v>256</v>
      </c>
      <c r="B9" s="56" t="s">
        <v>257</v>
      </c>
      <c r="C9" s="56" t="s">
        <v>258</v>
      </c>
      <c r="D9" s="56" t="s">
        <v>259</v>
      </c>
      <c r="E9" s="56" t="s">
        <v>260</v>
      </c>
    </row>
    <row r="10">
      <c r="A10" s="56" t="s">
        <v>261</v>
      </c>
      <c r="B10" s="56" t="s">
        <v>262</v>
      </c>
      <c r="C10" s="56" t="s">
        <v>263</v>
      </c>
    </row>
    <row r="11">
      <c r="A11" s="56" t="s">
        <v>264</v>
      </c>
      <c r="B11" s="56" t="s">
        <v>265</v>
      </c>
      <c r="C11" s="56" t="s">
        <v>266</v>
      </c>
      <c r="D11" s="56" t="s">
        <v>259</v>
      </c>
      <c r="E11" s="56" t="s">
        <v>260</v>
      </c>
    </row>
    <row r="12">
      <c r="A12" s="56" t="s">
        <v>267</v>
      </c>
      <c r="B12" s="56" t="s">
        <v>268</v>
      </c>
      <c r="C12" s="56" t="s">
        <v>269</v>
      </c>
      <c r="D12" s="56" t="s">
        <v>259</v>
      </c>
      <c r="E12" s="56" t="s">
        <v>260</v>
      </c>
    </row>
    <row r="13">
      <c r="A13" s="56" t="s">
        <v>101</v>
      </c>
      <c r="B13" s="56" t="s">
        <v>270</v>
      </c>
      <c r="C13" s="56" t="s">
        <v>164</v>
      </c>
      <c r="D13" s="56" t="s">
        <v>165</v>
      </c>
      <c r="E13" s="56" t="s">
        <v>166</v>
      </c>
    </row>
    <row r="14">
      <c r="A14" s="56" t="s">
        <v>271</v>
      </c>
      <c r="B14" s="56" t="s">
        <v>272</v>
      </c>
      <c r="C14" s="56" t="s">
        <v>273</v>
      </c>
      <c r="D14" s="56" t="s">
        <v>259</v>
      </c>
      <c r="E14" s="56" t="s">
        <v>260</v>
      </c>
    </row>
    <row r="15">
      <c r="A15" s="56" t="s">
        <v>274</v>
      </c>
      <c r="B15" s="56" t="s">
        <v>275</v>
      </c>
      <c r="C15" s="56" t="s">
        <v>276</v>
      </c>
      <c r="D15" s="56" t="s">
        <v>249</v>
      </c>
      <c r="E15" s="56" t="s">
        <v>277</v>
      </c>
    </row>
    <row r="16">
      <c r="A16" s="56" t="s">
        <v>118</v>
      </c>
      <c r="B16" s="56" t="s">
        <v>278</v>
      </c>
      <c r="C16" s="56" t="s">
        <v>189</v>
      </c>
      <c r="D16" s="56" t="s">
        <v>146</v>
      </c>
      <c r="E16" s="56" t="s">
        <v>158</v>
      </c>
    </row>
    <row r="17">
      <c r="A17" s="56" t="s">
        <v>279</v>
      </c>
      <c r="B17" s="56" t="s">
        <v>280</v>
      </c>
      <c r="C17" s="56" t="s">
        <v>281</v>
      </c>
      <c r="D17" s="56" t="s">
        <v>165</v>
      </c>
      <c r="E17" s="56" t="s">
        <v>166</v>
      </c>
    </row>
    <row r="18">
      <c r="A18" s="56" t="s">
        <v>282</v>
      </c>
      <c r="B18" s="56" t="s">
        <v>283</v>
      </c>
      <c r="C18" s="56" t="s">
        <v>284</v>
      </c>
      <c r="D18" s="56" t="s">
        <v>259</v>
      </c>
      <c r="E18" s="56" t="s">
        <v>260</v>
      </c>
    </row>
    <row r="19">
      <c r="A19" s="56" t="s">
        <v>285</v>
      </c>
      <c r="B19" s="56" t="s">
        <v>286</v>
      </c>
      <c r="C19" s="56" t="s">
        <v>287</v>
      </c>
      <c r="D19" s="56" t="s">
        <v>165</v>
      </c>
      <c r="E19" s="56" t="s">
        <v>166</v>
      </c>
    </row>
    <row r="20">
      <c r="A20" s="56" t="s">
        <v>288</v>
      </c>
      <c r="B20" s="56" t="s">
        <v>289</v>
      </c>
      <c r="C20" s="56" t="s">
        <v>290</v>
      </c>
      <c r="D20" s="56" t="s">
        <v>165</v>
      </c>
      <c r="E20" s="56" t="s">
        <v>236</v>
      </c>
    </row>
    <row r="21">
      <c r="A21" s="56" t="s">
        <v>291</v>
      </c>
      <c r="B21" s="56" t="s">
        <v>292</v>
      </c>
      <c r="C21" s="56" t="s">
        <v>293</v>
      </c>
      <c r="D21" s="56" t="s">
        <v>259</v>
      </c>
      <c r="E21" s="56" t="s">
        <v>260</v>
      </c>
    </row>
    <row r="22">
      <c r="A22" s="56" t="s">
        <v>116</v>
      </c>
      <c r="B22" s="56" t="s">
        <v>294</v>
      </c>
      <c r="C22" s="56" t="s">
        <v>187</v>
      </c>
      <c r="D22" s="56" t="s">
        <v>146</v>
      </c>
      <c r="E22" s="56" t="s">
        <v>155</v>
      </c>
    </row>
    <row r="23">
      <c r="A23" s="56" t="s">
        <v>109</v>
      </c>
      <c r="B23" s="56" t="s">
        <v>295</v>
      </c>
      <c r="C23" s="56" t="s">
        <v>176</v>
      </c>
      <c r="D23" s="56" t="s">
        <v>146</v>
      </c>
      <c r="E23" s="56" t="s">
        <v>158</v>
      </c>
    </row>
    <row r="24">
      <c r="A24" s="56" t="s">
        <v>296</v>
      </c>
      <c r="B24" s="56" t="s">
        <v>297</v>
      </c>
      <c r="C24" s="56" t="s">
        <v>298</v>
      </c>
      <c r="D24" s="56" t="s">
        <v>259</v>
      </c>
      <c r="E24" s="56" t="s">
        <v>260</v>
      </c>
    </row>
    <row r="25">
      <c r="A25" s="56" t="s">
        <v>299</v>
      </c>
      <c r="B25" s="56" t="s">
        <v>300</v>
      </c>
      <c r="C25" s="56" t="s">
        <v>301</v>
      </c>
      <c r="D25" s="56" t="s">
        <v>244</v>
      </c>
      <c r="E25" s="56" t="s">
        <v>255</v>
      </c>
    </row>
    <row r="26">
      <c r="A26" s="56" t="s">
        <v>302</v>
      </c>
      <c r="B26" s="56" t="s">
        <v>303</v>
      </c>
      <c r="C26" s="56" t="s">
        <v>304</v>
      </c>
      <c r="D26" s="56" t="s">
        <v>259</v>
      </c>
      <c r="E26" s="56" t="s">
        <v>305</v>
      </c>
    </row>
    <row r="27">
      <c r="A27" s="56" t="s">
        <v>306</v>
      </c>
      <c r="B27" s="56" t="s">
        <v>307</v>
      </c>
      <c r="C27" s="56" t="s">
        <v>308</v>
      </c>
      <c r="D27" s="56" t="s">
        <v>165</v>
      </c>
      <c r="E27" s="56" t="s">
        <v>236</v>
      </c>
    </row>
    <row r="28">
      <c r="A28" s="56" t="s">
        <v>309</v>
      </c>
      <c r="B28" s="56" t="s">
        <v>310</v>
      </c>
      <c r="C28" s="56" t="s">
        <v>311</v>
      </c>
      <c r="D28" s="56" t="s">
        <v>259</v>
      </c>
      <c r="E28" s="56" t="s">
        <v>260</v>
      </c>
    </row>
    <row r="29">
      <c r="A29" s="56" t="s">
        <v>312</v>
      </c>
      <c r="B29" s="56" t="s">
        <v>313</v>
      </c>
      <c r="C29" s="56" t="s">
        <v>314</v>
      </c>
      <c r="D29" s="56" t="s">
        <v>259</v>
      </c>
      <c r="E29" s="56" t="s">
        <v>260</v>
      </c>
    </row>
    <row r="30">
      <c r="A30" s="56" t="s">
        <v>133</v>
      </c>
      <c r="B30" s="56" t="s">
        <v>315</v>
      </c>
      <c r="C30" s="56" t="s">
        <v>204</v>
      </c>
      <c r="D30" s="56" t="s">
        <v>146</v>
      </c>
      <c r="E30" s="56" t="s">
        <v>147</v>
      </c>
    </row>
    <row r="31">
      <c r="A31" s="56" t="s">
        <v>316</v>
      </c>
      <c r="B31" s="56" t="s">
        <v>317</v>
      </c>
      <c r="C31" s="56" t="s">
        <v>318</v>
      </c>
      <c r="D31" s="56" t="s">
        <v>244</v>
      </c>
      <c r="E31" s="56" t="s">
        <v>255</v>
      </c>
    </row>
    <row r="32">
      <c r="A32" s="56" t="s">
        <v>319</v>
      </c>
      <c r="B32" s="56" t="s">
        <v>320</v>
      </c>
      <c r="C32" s="56" t="s">
        <v>321</v>
      </c>
      <c r="D32" s="56" t="s">
        <v>259</v>
      </c>
      <c r="E32" s="56" t="s">
        <v>260</v>
      </c>
    </row>
    <row r="33">
      <c r="A33" s="56" t="s">
        <v>322</v>
      </c>
      <c r="B33" s="56" t="s">
        <v>323</v>
      </c>
      <c r="C33" s="56" t="s">
        <v>324</v>
      </c>
      <c r="D33" s="56" t="s">
        <v>259</v>
      </c>
      <c r="E33" s="56" t="s">
        <v>260</v>
      </c>
    </row>
    <row r="34">
      <c r="A34" s="56" t="s">
        <v>325</v>
      </c>
      <c r="B34" s="56" t="s">
        <v>326</v>
      </c>
      <c r="C34" s="56" t="s">
        <v>327</v>
      </c>
      <c r="D34" s="56" t="s">
        <v>244</v>
      </c>
      <c r="E34" s="56" t="s">
        <v>255</v>
      </c>
    </row>
    <row r="35">
      <c r="A35" s="56" t="s">
        <v>328</v>
      </c>
      <c r="B35" s="56" t="s">
        <v>329</v>
      </c>
      <c r="C35" s="56" t="s">
        <v>330</v>
      </c>
      <c r="D35" s="56" t="s">
        <v>165</v>
      </c>
      <c r="E35" s="56" t="s">
        <v>331</v>
      </c>
    </row>
    <row r="36">
      <c r="A36" s="56" t="s">
        <v>125</v>
      </c>
      <c r="B36" s="56" t="s">
        <v>332</v>
      </c>
      <c r="C36" s="56" t="s">
        <v>196</v>
      </c>
      <c r="D36" s="56" t="s">
        <v>146</v>
      </c>
      <c r="E36" s="56" t="s">
        <v>155</v>
      </c>
    </row>
    <row r="37">
      <c r="A37" s="56" t="s">
        <v>333</v>
      </c>
      <c r="B37" s="56" t="s">
        <v>334</v>
      </c>
      <c r="C37" s="56" t="s">
        <v>335</v>
      </c>
      <c r="D37" s="56" t="s">
        <v>244</v>
      </c>
      <c r="E37" s="56" t="s">
        <v>255</v>
      </c>
    </row>
    <row r="38">
      <c r="A38" s="56" t="s">
        <v>336</v>
      </c>
      <c r="B38" s="56" t="s">
        <v>337</v>
      </c>
      <c r="C38" s="56" t="s">
        <v>338</v>
      </c>
      <c r="D38" s="56" t="s">
        <v>244</v>
      </c>
      <c r="E38" s="56" t="s">
        <v>255</v>
      </c>
    </row>
    <row r="39">
      <c r="A39" s="56" t="s">
        <v>339</v>
      </c>
      <c r="B39" s="56" t="s">
        <v>340</v>
      </c>
      <c r="C39" s="56" t="s">
        <v>341</v>
      </c>
      <c r="D39" s="56" t="s">
        <v>244</v>
      </c>
      <c r="E39" s="56" t="s">
        <v>255</v>
      </c>
    </row>
    <row r="40">
      <c r="A40" s="56" t="s">
        <v>342</v>
      </c>
      <c r="B40" s="56" t="s">
        <v>343</v>
      </c>
      <c r="C40" s="56" t="s">
        <v>344</v>
      </c>
      <c r="D40" s="56" t="s">
        <v>165</v>
      </c>
      <c r="E40" s="56" t="s">
        <v>331</v>
      </c>
    </row>
    <row r="41">
      <c r="A41" s="56" t="s">
        <v>345</v>
      </c>
      <c r="B41" s="56" t="s">
        <v>346</v>
      </c>
      <c r="C41" s="56" t="s">
        <v>347</v>
      </c>
      <c r="D41" s="56" t="s">
        <v>244</v>
      </c>
      <c r="E41" s="56" t="s">
        <v>255</v>
      </c>
    </row>
    <row r="42">
      <c r="A42" s="56" t="s">
        <v>348</v>
      </c>
      <c r="B42" s="56" t="s">
        <v>349</v>
      </c>
      <c r="C42" s="56" t="s">
        <v>350</v>
      </c>
      <c r="D42" s="56" t="s">
        <v>259</v>
      </c>
      <c r="E42" s="56" t="s">
        <v>305</v>
      </c>
    </row>
    <row r="43">
      <c r="A43" s="56" t="s">
        <v>351</v>
      </c>
      <c r="B43" s="56" t="s">
        <v>352</v>
      </c>
      <c r="C43" s="56" t="s">
        <v>353</v>
      </c>
      <c r="D43" s="56" t="s">
        <v>259</v>
      </c>
      <c r="E43" s="56" t="s">
        <v>260</v>
      </c>
    </row>
    <row r="44">
      <c r="A44" s="56" t="s">
        <v>354</v>
      </c>
      <c r="B44" s="56" t="s">
        <v>355</v>
      </c>
      <c r="C44" s="56" t="s">
        <v>356</v>
      </c>
      <c r="D44" s="56" t="s">
        <v>244</v>
      </c>
      <c r="E44" s="56" t="s">
        <v>255</v>
      </c>
    </row>
    <row r="45">
      <c r="A45" s="56" t="s">
        <v>357</v>
      </c>
      <c r="B45" s="56" t="s">
        <v>358</v>
      </c>
      <c r="C45" s="56" t="s">
        <v>359</v>
      </c>
      <c r="D45" s="56" t="s">
        <v>244</v>
      </c>
      <c r="E45" s="56" t="s">
        <v>255</v>
      </c>
    </row>
    <row r="46">
      <c r="A46" s="56" t="s">
        <v>360</v>
      </c>
      <c r="B46" s="56" t="s">
        <v>361</v>
      </c>
      <c r="C46" s="56" t="s">
        <v>362</v>
      </c>
      <c r="D46" s="56" t="s">
        <v>259</v>
      </c>
      <c r="E46" s="56" t="s">
        <v>260</v>
      </c>
    </row>
    <row r="47">
      <c r="A47" s="56" t="s">
        <v>363</v>
      </c>
      <c r="B47" s="56" t="s">
        <v>364</v>
      </c>
      <c r="C47" s="56" t="s">
        <v>365</v>
      </c>
      <c r="D47" s="56" t="s">
        <v>165</v>
      </c>
      <c r="E47" s="56" t="s">
        <v>366</v>
      </c>
    </row>
    <row r="48">
      <c r="A48" s="56" t="s">
        <v>367</v>
      </c>
      <c r="B48" s="56" t="s">
        <v>368</v>
      </c>
      <c r="C48" s="56" t="s">
        <v>369</v>
      </c>
      <c r="D48" s="56" t="s">
        <v>249</v>
      </c>
      <c r="E48" s="56" t="s">
        <v>277</v>
      </c>
    </row>
    <row r="49">
      <c r="A49" s="56" t="s">
        <v>370</v>
      </c>
      <c r="B49" s="56" t="s">
        <v>371</v>
      </c>
      <c r="C49" s="56" t="s">
        <v>372</v>
      </c>
      <c r="D49" s="56" t="s">
        <v>249</v>
      </c>
      <c r="E49" s="56" t="s">
        <v>277</v>
      </c>
    </row>
    <row r="50">
      <c r="A50" s="56" t="s">
        <v>373</v>
      </c>
      <c r="B50" s="56" t="s">
        <v>374</v>
      </c>
      <c r="C50" s="56" t="s">
        <v>375</v>
      </c>
      <c r="D50" s="56" t="s">
        <v>259</v>
      </c>
      <c r="E50" s="56" t="s">
        <v>260</v>
      </c>
    </row>
    <row r="51">
      <c r="A51" s="56" t="s">
        <v>376</v>
      </c>
      <c r="B51" s="56" t="s">
        <v>377</v>
      </c>
      <c r="C51" s="56" t="s">
        <v>378</v>
      </c>
      <c r="D51" s="56" t="s">
        <v>244</v>
      </c>
      <c r="E51" s="56" t="s">
        <v>255</v>
      </c>
    </row>
    <row r="52">
      <c r="A52" s="56" t="s">
        <v>379</v>
      </c>
      <c r="B52" s="56" t="s">
        <v>380</v>
      </c>
      <c r="C52" s="56" t="s">
        <v>381</v>
      </c>
      <c r="D52" s="56" t="s">
        <v>244</v>
      </c>
      <c r="E52" s="56" t="s">
        <v>255</v>
      </c>
    </row>
    <row r="53">
      <c r="A53" s="56" t="s">
        <v>382</v>
      </c>
      <c r="B53" s="56" t="s">
        <v>383</v>
      </c>
      <c r="C53" s="56" t="s">
        <v>384</v>
      </c>
      <c r="D53" s="56" t="s">
        <v>244</v>
      </c>
      <c r="E53" s="56" t="s">
        <v>255</v>
      </c>
    </row>
    <row r="54">
      <c r="A54" s="56" t="s">
        <v>385</v>
      </c>
      <c r="B54" s="56" t="s">
        <v>386</v>
      </c>
      <c r="C54" s="56" t="s">
        <v>387</v>
      </c>
      <c r="D54" s="56" t="s">
        <v>249</v>
      </c>
      <c r="E54" s="56" t="s">
        <v>250</v>
      </c>
    </row>
    <row r="55">
      <c r="A55" s="56" t="s">
        <v>388</v>
      </c>
      <c r="B55" s="56" t="s">
        <v>389</v>
      </c>
      <c r="C55" s="56" t="s">
        <v>390</v>
      </c>
      <c r="D55" s="56" t="s">
        <v>259</v>
      </c>
      <c r="E55" s="56" t="s">
        <v>260</v>
      </c>
    </row>
    <row r="56">
      <c r="A56" s="56" t="s">
        <v>391</v>
      </c>
      <c r="B56" s="56" t="s">
        <v>392</v>
      </c>
      <c r="C56" s="56" t="s">
        <v>393</v>
      </c>
      <c r="D56" s="56" t="s">
        <v>244</v>
      </c>
      <c r="E56" s="56" t="s">
        <v>255</v>
      </c>
    </row>
    <row r="57">
      <c r="A57" s="56" t="s">
        <v>99</v>
      </c>
      <c r="B57" s="56" t="s">
        <v>394</v>
      </c>
      <c r="C57" s="56" t="s">
        <v>162</v>
      </c>
      <c r="D57" s="56" t="s">
        <v>146</v>
      </c>
      <c r="E57" s="56" t="s">
        <v>147</v>
      </c>
    </row>
    <row r="58">
      <c r="A58" s="56" t="s">
        <v>395</v>
      </c>
      <c r="B58" s="56" t="s">
        <v>396</v>
      </c>
      <c r="C58" s="56" t="s">
        <v>397</v>
      </c>
      <c r="D58" s="56" t="s">
        <v>259</v>
      </c>
      <c r="E58" s="56" t="s">
        <v>260</v>
      </c>
    </row>
    <row r="59">
      <c r="A59" s="56" t="s">
        <v>398</v>
      </c>
      <c r="B59" s="56" t="s">
        <v>399</v>
      </c>
      <c r="C59" s="56" t="s">
        <v>400</v>
      </c>
      <c r="D59" s="56" t="s">
        <v>259</v>
      </c>
      <c r="E59" s="56" t="s">
        <v>260</v>
      </c>
    </row>
    <row r="60">
      <c r="A60" s="56" t="s">
        <v>108</v>
      </c>
      <c r="B60" s="56" t="s">
        <v>401</v>
      </c>
      <c r="C60" s="56" t="s">
        <v>175</v>
      </c>
      <c r="D60" s="56" t="s">
        <v>165</v>
      </c>
      <c r="E60" s="56" t="s">
        <v>166</v>
      </c>
    </row>
    <row r="61">
      <c r="A61" s="56" t="s">
        <v>114</v>
      </c>
      <c r="B61" s="56" t="s">
        <v>402</v>
      </c>
      <c r="C61" s="56" t="s">
        <v>184</v>
      </c>
      <c r="D61" s="56" t="s">
        <v>146</v>
      </c>
      <c r="E61" s="56" t="s">
        <v>155</v>
      </c>
    </row>
    <row r="62">
      <c r="A62" s="56" t="s">
        <v>135</v>
      </c>
      <c r="B62" s="56" t="s">
        <v>403</v>
      </c>
      <c r="C62" s="56" t="s">
        <v>205</v>
      </c>
      <c r="D62" s="56" t="s">
        <v>146</v>
      </c>
      <c r="E62" s="56" t="s">
        <v>170</v>
      </c>
    </row>
    <row r="63">
      <c r="A63" s="56" t="s">
        <v>404</v>
      </c>
      <c r="B63" s="56" t="s">
        <v>405</v>
      </c>
      <c r="C63" s="56" t="s">
        <v>406</v>
      </c>
      <c r="D63" s="56" t="s">
        <v>244</v>
      </c>
      <c r="E63" s="56" t="s">
        <v>255</v>
      </c>
    </row>
    <row r="64">
      <c r="A64" s="56" t="s">
        <v>407</v>
      </c>
      <c r="B64" s="56" t="s">
        <v>408</v>
      </c>
      <c r="C64" s="56" t="s">
        <v>409</v>
      </c>
      <c r="D64" s="56" t="s">
        <v>259</v>
      </c>
      <c r="E64" s="56" t="s">
        <v>260</v>
      </c>
    </row>
    <row r="65">
      <c r="A65" s="56" t="s">
        <v>410</v>
      </c>
      <c r="B65" s="56" t="s">
        <v>411</v>
      </c>
      <c r="C65" s="56" t="s">
        <v>412</v>
      </c>
      <c r="D65" s="56" t="s">
        <v>259</v>
      </c>
      <c r="E65" s="56" t="s">
        <v>260</v>
      </c>
    </row>
    <row r="66">
      <c r="A66" s="56" t="s">
        <v>413</v>
      </c>
      <c r="B66" s="56" t="s">
        <v>414</v>
      </c>
      <c r="C66" s="56" t="s">
        <v>415</v>
      </c>
      <c r="D66" s="56" t="s">
        <v>259</v>
      </c>
      <c r="E66" s="56" t="s">
        <v>260</v>
      </c>
    </row>
    <row r="67">
      <c r="A67" s="56" t="s">
        <v>416</v>
      </c>
      <c r="B67" s="56" t="s">
        <v>417</v>
      </c>
      <c r="C67" s="56" t="s">
        <v>418</v>
      </c>
      <c r="D67" s="56" t="s">
        <v>244</v>
      </c>
      <c r="E67" s="56" t="s">
        <v>245</v>
      </c>
    </row>
    <row r="68">
      <c r="A68" s="56" t="s">
        <v>419</v>
      </c>
      <c r="B68" s="56" t="s">
        <v>420</v>
      </c>
      <c r="C68" s="56" t="s">
        <v>421</v>
      </c>
      <c r="D68" s="56" t="s">
        <v>259</v>
      </c>
      <c r="E68" s="56" t="s">
        <v>260</v>
      </c>
    </row>
    <row r="69">
      <c r="A69" s="56" t="s">
        <v>422</v>
      </c>
      <c r="B69" s="56" t="s">
        <v>423</v>
      </c>
      <c r="C69" s="56" t="s">
        <v>424</v>
      </c>
      <c r="D69" s="56" t="s">
        <v>244</v>
      </c>
      <c r="E69" s="56" t="s">
        <v>255</v>
      </c>
    </row>
    <row r="70">
      <c r="A70" s="56" t="s">
        <v>425</v>
      </c>
      <c r="B70" s="56" t="s">
        <v>426</v>
      </c>
      <c r="C70" s="56" t="s">
        <v>427</v>
      </c>
      <c r="D70" s="56" t="s">
        <v>244</v>
      </c>
      <c r="E70" s="56" t="s">
        <v>255</v>
      </c>
    </row>
    <row r="71">
      <c r="A71" s="56" t="s">
        <v>117</v>
      </c>
      <c r="B71" s="56" t="s">
        <v>428</v>
      </c>
      <c r="C71" s="56" t="s">
        <v>188</v>
      </c>
      <c r="D71" s="56" t="s">
        <v>146</v>
      </c>
      <c r="E71" s="56" t="s">
        <v>170</v>
      </c>
    </row>
    <row r="72">
      <c r="A72" s="56" t="s">
        <v>429</v>
      </c>
      <c r="B72" s="56" t="s">
        <v>430</v>
      </c>
      <c r="C72" s="56" t="s">
        <v>431</v>
      </c>
      <c r="D72" s="56" t="s">
        <v>244</v>
      </c>
      <c r="E72" s="56" t="s">
        <v>255</v>
      </c>
    </row>
    <row r="73">
      <c r="A73" s="56" t="s">
        <v>432</v>
      </c>
      <c r="B73" s="56" t="s">
        <v>433</v>
      </c>
      <c r="C73" s="56" t="s">
        <v>434</v>
      </c>
      <c r="D73" s="56" t="s">
        <v>244</v>
      </c>
      <c r="E73" s="56" t="s">
        <v>255</v>
      </c>
    </row>
    <row r="74">
      <c r="A74" s="56" t="s">
        <v>435</v>
      </c>
      <c r="B74" s="56" t="s">
        <v>436</v>
      </c>
      <c r="C74" s="56" t="s">
        <v>437</v>
      </c>
      <c r="D74" s="56" t="s">
        <v>259</v>
      </c>
      <c r="E74" s="56" t="s">
        <v>260</v>
      </c>
    </row>
    <row r="75">
      <c r="A75" s="56" t="s">
        <v>438</v>
      </c>
      <c r="B75" s="56" t="s">
        <v>439</v>
      </c>
      <c r="C75" s="56" t="s">
        <v>440</v>
      </c>
      <c r="D75" s="56" t="s">
        <v>146</v>
      </c>
      <c r="E75" s="56" t="s">
        <v>170</v>
      </c>
    </row>
    <row r="76">
      <c r="A76" s="56" t="s">
        <v>441</v>
      </c>
      <c r="B76" s="56" t="s">
        <v>442</v>
      </c>
      <c r="C76" s="56" t="s">
        <v>443</v>
      </c>
      <c r="D76" s="56" t="s">
        <v>249</v>
      </c>
      <c r="E76" s="56" t="s">
        <v>444</v>
      </c>
    </row>
    <row r="77">
      <c r="A77" s="56" t="s">
        <v>130</v>
      </c>
      <c r="B77" s="56" t="s">
        <v>445</v>
      </c>
      <c r="C77" s="56" t="s">
        <v>201</v>
      </c>
      <c r="D77" s="56" t="s">
        <v>146</v>
      </c>
      <c r="E77" s="56" t="s">
        <v>170</v>
      </c>
    </row>
    <row r="78">
      <c r="A78" s="56" t="s">
        <v>97</v>
      </c>
      <c r="B78" s="56" t="s">
        <v>446</v>
      </c>
      <c r="C78" s="56" t="s">
        <v>157</v>
      </c>
      <c r="D78" s="56" t="s">
        <v>146</v>
      </c>
      <c r="E78" s="56" t="s">
        <v>158</v>
      </c>
    </row>
    <row r="79">
      <c r="A79" s="56" t="s">
        <v>447</v>
      </c>
      <c r="B79" s="56" t="s">
        <v>448</v>
      </c>
      <c r="C79" s="56" t="s">
        <v>449</v>
      </c>
      <c r="D79" s="56" t="s">
        <v>259</v>
      </c>
      <c r="E79" s="56" t="s">
        <v>260</v>
      </c>
    </row>
    <row r="80">
      <c r="A80" s="56" t="s">
        <v>450</v>
      </c>
      <c r="B80" s="56" t="s">
        <v>451</v>
      </c>
      <c r="C80" s="56" t="s">
        <v>452</v>
      </c>
      <c r="D80" s="56" t="s">
        <v>249</v>
      </c>
      <c r="E80" s="56" t="s">
        <v>250</v>
      </c>
    </row>
    <row r="81">
      <c r="A81" s="56" t="s">
        <v>453</v>
      </c>
      <c r="B81" s="56" t="s">
        <v>454</v>
      </c>
      <c r="C81" s="56" t="s">
        <v>455</v>
      </c>
      <c r="D81" s="56" t="s">
        <v>244</v>
      </c>
      <c r="E81" s="56" t="s">
        <v>255</v>
      </c>
    </row>
    <row r="82">
      <c r="A82" s="56" t="s">
        <v>456</v>
      </c>
      <c r="B82" s="56" t="s">
        <v>457</v>
      </c>
      <c r="C82" s="56" t="s">
        <v>458</v>
      </c>
      <c r="D82" s="56" t="s">
        <v>244</v>
      </c>
      <c r="E82" s="56" t="s">
        <v>255</v>
      </c>
    </row>
    <row r="83">
      <c r="A83" s="56" t="s">
        <v>459</v>
      </c>
      <c r="B83" s="56" t="s">
        <v>460</v>
      </c>
      <c r="C83" s="56" t="s">
        <v>461</v>
      </c>
      <c r="D83" s="56" t="s">
        <v>244</v>
      </c>
      <c r="E83" s="56" t="s">
        <v>255</v>
      </c>
    </row>
    <row r="84">
      <c r="A84" s="56" t="s">
        <v>102</v>
      </c>
      <c r="B84" s="56" t="s">
        <v>462</v>
      </c>
      <c r="C84" s="56" t="s">
        <v>168</v>
      </c>
      <c r="D84" s="56" t="s">
        <v>165</v>
      </c>
      <c r="E84" s="56" t="s">
        <v>166</v>
      </c>
    </row>
    <row r="85">
      <c r="A85" s="56" t="s">
        <v>100</v>
      </c>
      <c r="B85" s="56" t="s">
        <v>463</v>
      </c>
      <c r="C85" s="56" t="s">
        <v>163</v>
      </c>
      <c r="D85" s="56" t="s">
        <v>146</v>
      </c>
      <c r="E85" s="56" t="s">
        <v>158</v>
      </c>
    </row>
    <row r="86">
      <c r="A86" s="56" t="s">
        <v>464</v>
      </c>
      <c r="B86" s="56" t="s">
        <v>465</v>
      </c>
      <c r="C86" s="56" t="s">
        <v>466</v>
      </c>
      <c r="D86" s="56" t="s">
        <v>244</v>
      </c>
      <c r="E86" s="56" t="s">
        <v>255</v>
      </c>
    </row>
    <row r="87">
      <c r="A87" s="56" t="s">
        <v>467</v>
      </c>
      <c r="B87" s="56" t="s">
        <v>468</v>
      </c>
      <c r="C87" s="56" t="s">
        <v>469</v>
      </c>
      <c r="D87" s="56" t="s">
        <v>146</v>
      </c>
      <c r="E87" s="56" t="s">
        <v>147</v>
      </c>
    </row>
    <row r="88">
      <c r="A88" s="56" t="s">
        <v>138</v>
      </c>
      <c r="B88" s="56" t="s">
        <v>470</v>
      </c>
      <c r="C88" s="56" t="s">
        <v>208</v>
      </c>
      <c r="D88" s="56" t="s">
        <v>146</v>
      </c>
      <c r="E88" s="56" t="s">
        <v>147</v>
      </c>
    </row>
    <row r="89">
      <c r="A89" s="56" t="s">
        <v>471</v>
      </c>
      <c r="B89" s="56" t="s">
        <v>472</v>
      </c>
      <c r="C89" s="56" t="s">
        <v>473</v>
      </c>
      <c r="D89" s="56" t="s">
        <v>259</v>
      </c>
      <c r="E89" s="56" t="s">
        <v>305</v>
      </c>
    </row>
    <row r="90">
      <c r="A90" s="56" t="s">
        <v>474</v>
      </c>
      <c r="B90" s="56" t="s">
        <v>475</v>
      </c>
      <c r="C90" s="56" t="s">
        <v>476</v>
      </c>
      <c r="D90" s="56" t="s">
        <v>259</v>
      </c>
      <c r="E90" s="56" t="s">
        <v>260</v>
      </c>
    </row>
    <row r="91">
      <c r="A91" s="56" t="s">
        <v>477</v>
      </c>
      <c r="B91" s="56" t="s">
        <v>478</v>
      </c>
      <c r="C91" s="56" t="s">
        <v>479</v>
      </c>
      <c r="D91" s="56" t="s">
        <v>259</v>
      </c>
      <c r="E91" s="56" t="s">
        <v>260</v>
      </c>
    </row>
    <row r="92">
      <c r="A92" s="56" t="s">
        <v>480</v>
      </c>
      <c r="B92" s="56" t="s">
        <v>481</v>
      </c>
      <c r="C92" s="56" t="s">
        <v>482</v>
      </c>
      <c r="D92" s="56" t="s">
        <v>249</v>
      </c>
      <c r="E92" s="56" t="s">
        <v>483</v>
      </c>
    </row>
    <row r="93">
      <c r="A93" s="56" t="s">
        <v>484</v>
      </c>
      <c r="B93" s="56" t="s">
        <v>485</v>
      </c>
      <c r="C93" s="56" t="s">
        <v>486</v>
      </c>
      <c r="D93" s="56" t="s">
        <v>259</v>
      </c>
      <c r="E93" s="56" t="s">
        <v>260</v>
      </c>
    </row>
    <row r="94">
      <c r="A94" s="56" t="s">
        <v>487</v>
      </c>
      <c r="B94" s="56" t="s">
        <v>488</v>
      </c>
      <c r="C94" s="56" t="s">
        <v>489</v>
      </c>
      <c r="D94" s="56" t="s">
        <v>146</v>
      </c>
      <c r="E94" s="56" t="s">
        <v>170</v>
      </c>
    </row>
    <row r="95">
      <c r="A95" s="56" t="s">
        <v>490</v>
      </c>
      <c r="B95" s="56" t="s">
        <v>491</v>
      </c>
      <c r="C95" s="56" t="s">
        <v>492</v>
      </c>
      <c r="D95" s="56" t="s">
        <v>244</v>
      </c>
      <c r="E95" s="56" t="s">
        <v>255</v>
      </c>
    </row>
    <row r="96">
      <c r="A96" s="56" t="s">
        <v>493</v>
      </c>
      <c r="B96" s="56" t="s">
        <v>494</v>
      </c>
      <c r="C96" s="56" t="s">
        <v>495</v>
      </c>
      <c r="D96" s="56" t="s">
        <v>244</v>
      </c>
      <c r="E96" s="56" t="s">
        <v>255</v>
      </c>
    </row>
    <row r="97">
      <c r="A97" s="56" t="s">
        <v>496</v>
      </c>
      <c r="B97" s="56" t="s">
        <v>497</v>
      </c>
      <c r="C97" s="56" t="s">
        <v>498</v>
      </c>
      <c r="D97" s="56" t="s">
        <v>259</v>
      </c>
      <c r="E97" s="56" t="s">
        <v>260</v>
      </c>
    </row>
    <row r="98">
      <c r="A98" s="56" t="s">
        <v>499</v>
      </c>
      <c r="B98" s="56" t="s">
        <v>500</v>
      </c>
      <c r="C98" s="56" t="s">
        <v>501</v>
      </c>
      <c r="D98" s="56" t="s">
        <v>259</v>
      </c>
      <c r="E98" s="56" t="s">
        <v>260</v>
      </c>
    </row>
    <row r="99">
      <c r="A99" s="56" t="s">
        <v>502</v>
      </c>
      <c r="B99" s="56" t="s">
        <v>503</v>
      </c>
      <c r="C99" s="56" t="s">
        <v>504</v>
      </c>
      <c r="D99" s="56" t="s">
        <v>249</v>
      </c>
      <c r="E99" s="56" t="s">
        <v>277</v>
      </c>
    </row>
    <row r="100">
      <c r="A100" s="56" t="s">
        <v>505</v>
      </c>
      <c r="B100" s="56" t="s">
        <v>506</v>
      </c>
      <c r="C100" s="56" t="s">
        <v>507</v>
      </c>
      <c r="D100" s="56" t="s">
        <v>146</v>
      </c>
      <c r="E100" s="56" t="s">
        <v>147</v>
      </c>
    </row>
    <row r="101">
      <c r="A101" s="56" t="s">
        <v>508</v>
      </c>
      <c r="B101" s="56" t="s">
        <v>509</v>
      </c>
      <c r="C101" s="56" t="s">
        <v>510</v>
      </c>
      <c r="D101" s="56" t="s">
        <v>259</v>
      </c>
      <c r="E101" s="56" t="s">
        <v>260</v>
      </c>
    </row>
    <row r="102">
      <c r="A102" s="56" t="s">
        <v>511</v>
      </c>
      <c r="B102" s="56" t="s">
        <v>512</v>
      </c>
      <c r="C102" s="56" t="s">
        <v>513</v>
      </c>
      <c r="D102" s="56" t="s">
        <v>165</v>
      </c>
      <c r="E102" s="56" t="s">
        <v>366</v>
      </c>
    </row>
    <row r="103">
      <c r="A103" s="56" t="s">
        <v>123</v>
      </c>
      <c r="B103" s="56" t="s">
        <v>514</v>
      </c>
      <c r="C103" s="56" t="s">
        <v>194</v>
      </c>
      <c r="D103" s="56" t="s">
        <v>146</v>
      </c>
      <c r="E103" s="56" t="s">
        <v>155</v>
      </c>
    </row>
    <row r="104">
      <c r="A104" s="56" t="s">
        <v>137</v>
      </c>
      <c r="B104" s="56" t="s">
        <v>515</v>
      </c>
      <c r="C104" s="56" t="s">
        <v>207</v>
      </c>
      <c r="D104" s="56" t="s">
        <v>146</v>
      </c>
      <c r="E104" s="56" t="s">
        <v>170</v>
      </c>
    </row>
    <row r="105">
      <c r="A105" s="56" t="s">
        <v>516</v>
      </c>
      <c r="B105" s="56" t="s">
        <v>517</v>
      </c>
      <c r="C105" s="56" t="s">
        <v>518</v>
      </c>
      <c r="D105" s="56" t="s">
        <v>165</v>
      </c>
      <c r="E105" s="56" t="s">
        <v>236</v>
      </c>
    </row>
    <row r="106">
      <c r="A106" s="56" t="s">
        <v>519</v>
      </c>
      <c r="B106" s="56" t="s">
        <v>520</v>
      </c>
      <c r="C106" s="56" t="s">
        <v>521</v>
      </c>
      <c r="D106" s="56" t="s">
        <v>165</v>
      </c>
      <c r="E106" s="56" t="s">
        <v>331</v>
      </c>
    </row>
    <row r="107">
      <c r="A107" s="56" t="s">
        <v>522</v>
      </c>
      <c r="B107" s="56" t="s">
        <v>523</v>
      </c>
      <c r="C107" s="56" t="s">
        <v>524</v>
      </c>
      <c r="D107" s="56" t="s">
        <v>165</v>
      </c>
      <c r="E107" s="56" t="s">
        <v>236</v>
      </c>
    </row>
    <row r="108">
      <c r="A108" s="56" t="s">
        <v>525</v>
      </c>
      <c r="B108" s="56" t="s">
        <v>526</v>
      </c>
      <c r="C108" s="56" t="s">
        <v>527</v>
      </c>
      <c r="D108" s="56" t="s">
        <v>165</v>
      </c>
      <c r="E108" s="56" t="s">
        <v>166</v>
      </c>
    </row>
    <row r="109">
      <c r="A109" s="56" t="s">
        <v>127</v>
      </c>
      <c r="B109" s="56" t="s">
        <v>528</v>
      </c>
      <c r="C109" s="56" t="s">
        <v>198</v>
      </c>
      <c r="D109" s="56" t="s">
        <v>146</v>
      </c>
      <c r="E109" s="56" t="s">
        <v>170</v>
      </c>
    </row>
    <row r="110">
      <c r="A110" s="56" t="s">
        <v>529</v>
      </c>
      <c r="B110" s="56" t="s">
        <v>530</v>
      </c>
      <c r="C110" s="56" t="s">
        <v>531</v>
      </c>
      <c r="D110" s="56" t="s">
        <v>146</v>
      </c>
      <c r="E110" s="56" t="s">
        <v>170</v>
      </c>
    </row>
    <row r="111">
      <c r="A111" s="56" t="s">
        <v>532</v>
      </c>
      <c r="B111" s="56" t="s">
        <v>533</v>
      </c>
      <c r="C111" s="56" t="s">
        <v>534</v>
      </c>
      <c r="D111" s="56" t="s">
        <v>165</v>
      </c>
      <c r="E111" s="56" t="s">
        <v>166</v>
      </c>
    </row>
    <row r="112">
      <c r="A112" s="56" t="s">
        <v>126</v>
      </c>
      <c r="B112" s="56" t="s">
        <v>535</v>
      </c>
      <c r="C112" s="56" t="s">
        <v>197</v>
      </c>
      <c r="D112" s="56" t="s">
        <v>146</v>
      </c>
      <c r="E112" s="56" t="s">
        <v>147</v>
      </c>
    </row>
    <row r="113">
      <c r="A113" s="56" t="s">
        <v>536</v>
      </c>
      <c r="B113" s="56" t="s">
        <v>537</v>
      </c>
      <c r="C113" s="56" t="s">
        <v>538</v>
      </c>
      <c r="D113" s="56" t="s">
        <v>259</v>
      </c>
      <c r="E113" s="56" t="s">
        <v>260</v>
      </c>
    </row>
    <row r="114">
      <c r="A114" s="56" t="s">
        <v>539</v>
      </c>
      <c r="B114" s="56" t="s">
        <v>540</v>
      </c>
      <c r="C114" s="56" t="s">
        <v>541</v>
      </c>
      <c r="D114" s="56" t="s">
        <v>165</v>
      </c>
      <c r="E114" s="56" t="s">
        <v>366</v>
      </c>
    </row>
    <row r="115">
      <c r="A115" s="56" t="s">
        <v>542</v>
      </c>
      <c r="B115" s="56" t="s">
        <v>543</v>
      </c>
      <c r="C115" s="56" t="s">
        <v>544</v>
      </c>
      <c r="D115" s="56" t="s">
        <v>146</v>
      </c>
      <c r="E115" s="56" t="s">
        <v>170</v>
      </c>
    </row>
    <row r="116">
      <c r="A116" s="56" t="s">
        <v>545</v>
      </c>
      <c r="B116" s="56" t="s">
        <v>546</v>
      </c>
      <c r="C116" s="56" t="s">
        <v>547</v>
      </c>
      <c r="D116" s="56" t="s">
        <v>165</v>
      </c>
      <c r="E116" s="56" t="s">
        <v>166</v>
      </c>
    </row>
    <row r="117">
      <c r="A117" s="56" t="s">
        <v>548</v>
      </c>
      <c r="B117" s="56" t="s">
        <v>549</v>
      </c>
      <c r="C117" s="56" t="s">
        <v>550</v>
      </c>
      <c r="D117" s="56" t="s">
        <v>165</v>
      </c>
      <c r="E117" s="56" t="s">
        <v>551</v>
      </c>
    </row>
    <row r="118">
      <c r="A118" s="56" t="s">
        <v>552</v>
      </c>
      <c r="B118" s="56" t="s">
        <v>553</v>
      </c>
      <c r="C118" s="56" t="s">
        <v>554</v>
      </c>
      <c r="D118" s="56" t="s">
        <v>244</v>
      </c>
      <c r="E118" s="56" t="s">
        <v>255</v>
      </c>
    </row>
    <row r="119">
      <c r="A119" s="56" t="s">
        <v>555</v>
      </c>
      <c r="B119" s="56" t="s">
        <v>556</v>
      </c>
      <c r="C119" s="56" t="s">
        <v>557</v>
      </c>
      <c r="D119" s="56" t="s">
        <v>249</v>
      </c>
      <c r="E119" s="56" t="s">
        <v>483</v>
      </c>
    </row>
    <row r="120">
      <c r="A120" s="56" t="s">
        <v>558</v>
      </c>
      <c r="B120" s="56" t="s">
        <v>559</v>
      </c>
      <c r="C120" s="56" t="s">
        <v>560</v>
      </c>
      <c r="D120" s="56" t="s">
        <v>165</v>
      </c>
      <c r="E120" s="56" t="s">
        <v>366</v>
      </c>
    </row>
    <row r="121">
      <c r="A121" s="56" t="s">
        <v>561</v>
      </c>
      <c r="B121" s="56" t="s">
        <v>562</v>
      </c>
      <c r="C121" s="56" t="s">
        <v>563</v>
      </c>
      <c r="D121" s="56" t="s">
        <v>165</v>
      </c>
      <c r="E121" s="56" t="s">
        <v>366</v>
      </c>
    </row>
    <row r="122">
      <c r="A122" s="56" t="s">
        <v>564</v>
      </c>
      <c r="B122" s="56" t="s">
        <v>565</v>
      </c>
      <c r="C122" s="56" t="s">
        <v>566</v>
      </c>
      <c r="D122" s="56" t="s">
        <v>165</v>
      </c>
      <c r="E122" s="56" t="s">
        <v>166</v>
      </c>
    </row>
    <row r="123">
      <c r="A123" s="56" t="s">
        <v>567</v>
      </c>
      <c r="B123" s="56" t="s">
        <v>568</v>
      </c>
      <c r="C123" s="56" t="s">
        <v>569</v>
      </c>
      <c r="D123" s="56" t="s">
        <v>165</v>
      </c>
      <c r="E123" s="56" t="s">
        <v>551</v>
      </c>
    </row>
    <row r="124">
      <c r="A124" s="56" t="s">
        <v>570</v>
      </c>
      <c r="B124" s="56" t="s">
        <v>571</v>
      </c>
      <c r="C124" s="56" t="s">
        <v>572</v>
      </c>
      <c r="D124" s="56" t="s">
        <v>165</v>
      </c>
      <c r="E124" s="56" t="s">
        <v>331</v>
      </c>
    </row>
    <row r="125">
      <c r="A125" s="56" t="s">
        <v>124</v>
      </c>
      <c r="B125" s="56" t="s">
        <v>573</v>
      </c>
      <c r="C125" s="56" t="s">
        <v>195</v>
      </c>
      <c r="D125" s="56" t="s">
        <v>146</v>
      </c>
      <c r="E125" s="56" t="s">
        <v>170</v>
      </c>
    </row>
    <row r="126">
      <c r="A126" s="56" t="s">
        <v>574</v>
      </c>
      <c r="B126" s="56" t="s">
        <v>575</v>
      </c>
      <c r="C126" s="56" t="s">
        <v>576</v>
      </c>
      <c r="D126" s="56" t="s">
        <v>165</v>
      </c>
      <c r="E126" s="56" t="s">
        <v>166</v>
      </c>
    </row>
    <row r="127">
      <c r="A127" s="56" t="s">
        <v>577</v>
      </c>
      <c r="B127" s="56" t="s">
        <v>578</v>
      </c>
      <c r="C127" s="56" t="s">
        <v>579</v>
      </c>
      <c r="D127" s="56" t="s">
        <v>244</v>
      </c>
      <c r="E127" s="56" t="s">
        <v>255</v>
      </c>
    </row>
    <row r="128">
      <c r="A128" s="56" t="s">
        <v>580</v>
      </c>
      <c r="B128" s="56" t="s">
        <v>581</v>
      </c>
      <c r="C128" s="56" t="s">
        <v>582</v>
      </c>
      <c r="D128" s="56" t="s">
        <v>244</v>
      </c>
      <c r="E128" s="56" t="s">
        <v>255</v>
      </c>
    </row>
    <row r="129">
      <c r="A129" s="56" t="s">
        <v>583</v>
      </c>
      <c r="B129" s="56" t="s">
        <v>584</v>
      </c>
      <c r="C129" s="56" t="s">
        <v>585</v>
      </c>
      <c r="D129" s="56" t="s">
        <v>244</v>
      </c>
      <c r="E129" s="56" t="s">
        <v>245</v>
      </c>
    </row>
    <row r="130">
      <c r="A130" s="56" t="s">
        <v>129</v>
      </c>
      <c r="B130" s="56" t="s">
        <v>586</v>
      </c>
      <c r="C130" s="56" t="s">
        <v>200</v>
      </c>
      <c r="D130" s="56" t="s">
        <v>146</v>
      </c>
      <c r="E130" s="56" t="s">
        <v>158</v>
      </c>
    </row>
    <row r="131">
      <c r="A131" s="56" t="s">
        <v>110</v>
      </c>
      <c r="B131" s="56" t="s">
        <v>587</v>
      </c>
      <c r="C131" s="56" t="s">
        <v>177</v>
      </c>
      <c r="D131" s="56" t="s">
        <v>146</v>
      </c>
      <c r="E131" s="56" t="s">
        <v>170</v>
      </c>
    </row>
    <row r="132">
      <c r="A132" s="56" t="s">
        <v>107</v>
      </c>
      <c r="B132" s="56" t="s">
        <v>588</v>
      </c>
      <c r="C132" s="56" t="s">
        <v>174</v>
      </c>
      <c r="D132" s="56" t="s">
        <v>146</v>
      </c>
      <c r="E132" s="56" t="s">
        <v>158</v>
      </c>
    </row>
    <row r="133">
      <c r="A133" s="56" t="s">
        <v>589</v>
      </c>
      <c r="B133" s="56" t="s">
        <v>590</v>
      </c>
      <c r="C133" s="56" t="s">
        <v>591</v>
      </c>
      <c r="D133" s="56" t="s">
        <v>165</v>
      </c>
      <c r="E133" s="56" t="s">
        <v>366</v>
      </c>
    </row>
    <row r="134">
      <c r="A134" s="56" t="s">
        <v>592</v>
      </c>
      <c r="B134" s="56" t="s">
        <v>593</v>
      </c>
      <c r="C134" s="56" t="s">
        <v>594</v>
      </c>
      <c r="D134" s="56" t="s">
        <v>244</v>
      </c>
      <c r="E134" s="56" t="s">
        <v>255</v>
      </c>
    </row>
    <row r="135">
      <c r="A135" s="56" t="s">
        <v>595</v>
      </c>
      <c r="B135" s="56" t="s">
        <v>596</v>
      </c>
      <c r="C135" s="56" t="s">
        <v>597</v>
      </c>
      <c r="D135" s="56" t="s">
        <v>244</v>
      </c>
      <c r="E135" s="56" t="s">
        <v>255</v>
      </c>
    </row>
    <row r="136">
      <c r="A136" s="56" t="s">
        <v>598</v>
      </c>
      <c r="B136" s="56" t="s">
        <v>599</v>
      </c>
      <c r="C136" s="56" t="s">
        <v>600</v>
      </c>
      <c r="D136" s="56" t="s">
        <v>165</v>
      </c>
      <c r="E136" s="56" t="s">
        <v>331</v>
      </c>
    </row>
    <row r="137">
      <c r="A137" s="56" t="s">
        <v>601</v>
      </c>
      <c r="B137" s="56" t="s">
        <v>602</v>
      </c>
      <c r="C137" s="56" t="s">
        <v>603</v>
      </c>
      <c r="D137" s="56" t="s">
        <v>165</v>
      </c>
      <c r="E137" s="56" t="s">
        <v>236</v>
      </c>
    </row>
    <row r="138">
      <c r="A138" s="56" t="s">
        <v>604</v>
      </c>
      <c r="B138" s="56" t="s">
        <v>605</v>
      </c>
      <c r="C138" s="56" t="s">
        <v>606</v>
      </c>
      <c r="D138" s="56" t="s">
        <v>244</v>
      </c>
      <c r="E138" s="56" t="s">
        <v>255</v>
      </c>
    </row>
    <row r="139">
      <c r="A139" s="56" t="s">
        <v>112</v>
      </c>
      <c r="B139" s="56" t="s">
        <v>607</v>
      </c>
      <c r="C139" s="56" t="s">
        <v>180</v>
      </c>
      <c r="D139" s="56" t="s">
        <v>146</v>
      </c>
      <c r="E139" s="56" t="s">
        <v>147</v>
      </c>
    </row>
    <row r="140">
      <c r="A140" s="56" t="s">
        <v>608</v>
      </c>
      <c r="B140" s="56" t="s">
        <v>609</v>
      </c>
      <c r="C140" s="56" t="s">
        <v>610</v>
      </c>
      <c r="D140" s="56" t="s">
        <v>249</v>
      </c>
      <c r="E140" s="56" t="s">
        <v>483</v>
      </c>
    </row>
    <row r="141">
      <c r="A141" s="56" t="s">
        <v>611</v>
      </c>
      <c r="B141" s="56" t="s">
        <v>612</v>
      </c>
      <c r="C141" s="56" t="s">
        <v>613</v>
      </c>
      <c r="D141" s="56" t="s">
        <v>259</v>
      </c>
      <c r="E141" s="56" t="s">
        <v>260</v>
      </c>
    </row>
    <row r="142">
      <c r="A142" s="56" t="s">
        <v>614</v>
      </c>
      <c r="B142" s="56" t="s">
        <v>615</v>
      </c>
      <c r="C142" s="56" t="s">
        <v>616</v>
      </c>
      <c r="D142" s="56" t="s">
        <v>244</v>
      </c>
      <c r="E142" s="56" t="s">
        <v>255</v>
      </c>
    </row>
    <row r="143">
      <c r="A143" s="56" t="s">
        <v>617</v>
      </c>
      <c r="B143" s="56" t="s">
        <v>618</v>
      </c>
      <c r="C143" s="56" t="s">
        <v>619</v>
      </c>
      <c r="D143" s="56" t="s">
        <v>244</v>
      </c>
      <c r="E143" s="56" t="s">
        <v>255</v>
      </c>
    </row>
    <row r="144">
      <c r="A144" s="56" t="s">
        <v>620</v>
      </c>
      <c r="B144" s="56" t="s">
        <v>621</v>
      </c>
      <c r="C144" s="56" t="s">
        <v>622</v>
      </c>
      <c r="D144" s="56" t="s">
        <v>244</v>
      </c>
      <c r="E144" s="56" t="s">
        <v>255</v>
      </c>
    </row>
    <row r="145">
      <c r="A145" s="56" t="s">
        <v>623</v>
      </c>
      <c r="B145" s="56" t="s">
        <v>624</v>
      </c>
      <c r="C145" s="56" t="s">
        <v>625</v>
      </c>
      <c r="D145" s="56" t="s">
        <v>259</v>
      </c>
      <c r="E145" s="56" t="s">
        <v>260</v>
      </c>
    </row>
    <row r="146">
      <c r="A146" s="56" t="s">
        <v>626</v>
      </c>
      <c r="B146" s="56" t="s">
        <v>627</v>
      </c>
      <c r="C146" s="56" t="s">
        <v>628</v>
      </c>
      <c r="D146" s="56" t="s">
        <v>249</v>
      </c>
      <c r="E146" s="56" t="s">
        <v>483</v>
      </c>
    </row>
    <row r="147">
      <c r="A147" s="56" t="s">
        <v>629</v>
      </c>
      <c r="B147" s="56" t="s">
        <v>630</v>
      </c>
      <c r="C147" s="56" t="s">
        <v>631</v>
      </c>
      <c r="D147" s="56" t="s">
        <v>146</v>
      </c>
      <c r="E147" s="56" t="s">
        <v>155</v>
      </c>
    </row>
    <row r="148">
      <c r="A148" s="56" t="s">
        <v>136</v>
      </c>
      <c r="B148" s="56" t="s">
        <v>632</v>
      </c>
      <c r="C148" s="56" t="s">
        <v>206</v>
      </c>
      <c r="D148" s="56" t="s">
        <v>146</v>
      </c>
      <c r="E148" s="56" t="s">
        <v>158</v>
      </c>
    </row>
    <row r="149">
      <c r="A149" s="56" t="s">
        <v>633</v>
      </c>
      <c r="B149" s="56" t="s">
        <v>634</v>
      </c>
      <c r="C149" s="56" t="s">
        <v>635</v>
      </c>
      <c r="D149" s="56" t="s">
        <v>165</v>
      </c>
      <c r="E149" s="56" t="s">
        <v>366</v>
      </c>
    </row>
    <row r="150">
      <c r="A150" s="56" t="s">
        <v>94</v>
      </c>
      <c r="B150" s="56" t="s">
        <v>636</v>
      </c>
      <c r="C150" s="56" t="s">
        <v>151</v>
      </c>
      <c r="D150" s="56" t="s">
        <v>146</v>
      </c>
      <c r="E150" s="56" t="s">
        <v>147</v>
      </c>
    </row>
    <row r="151">
      <c r="A151" s="56" t="s">
        <v>637</v>
      </c>
      <c r="B151" s="56" t="s">
        <v>638</v>
      </c>
      <c r="C151" s="56" t="s">
        <v>639</v>
      </c>
      <c r="D151" s="56" t="s">
        <v>259</v>
      </c>
      <c r="E151" s="56" t="s">
        <v>260</v>
      </c>
    </row>
    <row r="152">
      <c r="A152" s="56" t="s">
        <v>640</v>
      </c>
      <c r="B152" s="56" t="s">
        <v>641</v>
      </c>
      <c r="C152" s="56" t="s">
        <v>642</v>
      </c>
      <c r="D152" s="56" t="s">
        <v>244</v>
      </c>
      <c r="E152" s="56" t="s">
        <v>245</v>
      </c>
    </row>
    <row r="153">
      <c r="A153" s="56" t="s">
        <v>643</v>
      </c>
      <c r="B153" s="56" t="s">
        <v>644</v>
      </c>
      <c r="C153" s="56" t="s">
        <v>645</v>
      </c>
      <c r="D153" s="56" t="s">
        <v>244</v>
      </c>
      <c r="E153" s="56" t="s">
        <v>255</v>
      </c>
    </row>
    <row r="154">
      <c r="A154" s="56" t="s">
        <v>646</v>
      </c>
      <c r="B154" s="56" t="s">
        <v>647</v>
      </c>
      <c r="C154" s="56" t="s">
        <v>648</v>
      </c>
      <c r="D154" s="56" t="s">
        <v>165</v>
      </c>
      <c r="E154" s="56" t="s">
        <v>331</v>
      </c>
    </row>
    <row r="155">
      <c r="A155" s="56" t="s">
        <v>649</v>
      </c>
      <c r="B155" s="56" t="s">
        <v>650</v>
      </c>
      <c r="C155" s="56" t="s">
        <v>651</v>
      </c>
      <c r="D155" s="56" t="s">
        <v>244</v>
      </c>
      <c r="E155" s="56" t="s">
        <v>255</v>
      </c>
    </row>
    <row r="156">
      <c r="A156" s="56" t="s">
        <v>652</v>
      </c>
      <c r="B156" s="56" t="s">
        <v>653</v>
      </c>
      <c r="C156" s="56" t="s">
        <v>654</v>
      </c>
      <c r="D156" s="56" t="s">
        <v>249</v>
      </c>
      <c r="E156" s="56" t="s">
        <v>483</v>
      </c>
    </row>
    <row r="157">
      <c r="A157" s="56" t="s">
        <v>655</v>
      </c>
      <c r="B157" s="56" t="s">
        <v>656</v>
      </c>
      <c r="C157" s="56" t="s">
        <v>657</v>
      </c>
      <c r="D157" s="56" t="s">
        <v>165</v>
      </c>
      <c r="E157" s="56" t="s">
        <v>236</v>
      </c>
    </row>
    <row r="158">
      <c r="A158" s="56" t="s">
        <v>121</v>
      </c>
      <c r="B158" s="56" t="s">
        <v>658</v>
      </c>
      <c r="C158" s="56" t="s">
        <v>192</v>
      </c>
      <c r="D158" s="56" t="s">
        <v>146</v>
      </c>
      <c r="E158" s="56" t="s">
        <v>158</v>
      </c>
    </row>
    <row r="159">
      <c r="A159" s="56" t="s">
        <v>659</v>
      </c>
      <c r="B159" s="56" t="s">
        <v>660</v>
      </c>
      <c r="C159" s="56" t="s">
        <v>661</v>
      </c>
      <c r="D159" s="56" t="s">
        <v>249</v>
      </c>
      <c r="E159" s="56" t="s">
        <v>444</v>
      </c>
    </row>
    <row r="160">
      <c r="A160" s="56" t="s">
        <v>662</v>
      </c>
      <c r="B160" s="56" t="s">
        <v>663</v>
      </c>
      <c r="C160" s="56" t="s">
        <v>664</v>
      </c>
      <c r="D160" s="56" t="s">
        <v>249</v>
      </c>
      <c r="E160" s="56" t="s">
        <v>277</v>
      </c>
    </row>
    <row r="161">
      <c r="A161" s="56" t="s">
        <v>665</v>
      </c>
      <c r="B161" s="56" t="s">
        <v>666</v>
      </c>
      <c r="C161" s="56" t="s">
        <v>667</v>
      </c>
      <c r="D161" s="56" t="s">
        <v>259</v>
      </c>
      <c r="E161" s="56" t="s">
        <v>260</v>
      </c>
    </row>
    <row r="162">
      <c r="A162" s="56" t="s">
        <v>668</v>
      </c>
      <c r="B162" s="56" t="s">
        <v>669</v>
      </c>
      <c r="C162" s="56" t="s">
        <v>670</v>
      </c>
      <c r="D162" s="56" t="s">
        <v>244</v>
      </c>
      <c r="E162" s="56" t="s">
        <v>255</v>
      </c>
    </row>
    <row r="163">
      <c r="A163" s="56" t="s">
        <v>671</v>
      </c>
      <c r="B163" s="56" t="s">
        <v>672</v>
      </c>
      <c r="C163" s="56" t="s">
        <v>673</v>
      </c>
      <c r="D163" s="56" t="s">
        <v>244</v>
      </c>
      <c r="E163" s="56" t="s">
        <v>255</v>
      </c>
    </row>
    <row r="164">
      <c r="A164" s="56" t="s">
        <v>674</v>
      </c>
      <c r="B164" s="56" t="s">
        <v>675</v>
      </c>
      <c r="C164" s="56" t="s">
        <v>676</v>
      </c>
      <c r="D164" s="56" t="s">
        <v>249</v>
      </c>
      <c r="E164" s="56" t="s">
        <v>250</v>
      </c>
    </row>
    <row r="165">
      <c r="A165" s="56" t="s">
        <v>677</v>
      </c>
      <c r="B165" s="56" t="s">
        <v>678</v>
      </c>
      <c r="C165" s="56" t="s">
        <v>679</v>
      </c>
      <c r="D165" s="56" t="s">
        <v>249</v>
      </c>
      <c r="E165" s="56" t="s">
        <v>277</v>
      </c>
    </row>
    <row r="166">
      <c r="A166" s="56" t="s">
        <v>119</v>
      </c>
      <c r="B166" s="56" t="s">
        <v>680</v>
      </c>
      <c r="C166" s="56" t="s">
        <v>190</v>
      </c>
      <c r="D166" s="56" t="s">
        <v>146</v>
      </c>
      <c r="E166" s="56" t="s">
        <v>147</v>
      </c>
    </row>
    <row r="167">
      <c r="A167" s="56" t="s">
        <v>681</v>
      </c>
      <c r="B167" s="56" t="s">
        <v>682</v>
      </c>
      <c r="C167" s="56" t="s">
        <v>683</v>
      </c>
      <c r="D167" s="56" t="s">
        <v>249</v>
      </c>
      <c r="E167" s="56" t="s">
        <v>483</v>
      </c>
    </row>
    <row r="168">
      <c r="A168" s="56" t="s">
        <v>90</v>
      </c>
      <c r="B168" s="56" t="s">
        <v>684</v>
      </c>
      <c r="C168" s="56" t="s">
        <v>183</v>
      </c>
      <c r="D168" s="56" t="s">
        <v>146</v>
      </c>
      <c r="E168" s="56" t="s">
        <v>170</v>
      </c>
    </row>
    <row r="169">
      <c r="A169" s="56" t="s">
        <v>685</v>
      </c>
      <c r="B169" s="56" t="s">
        <v>686</v>
      </c>
      <c r="C169" s="56" t="s">
        <v>687</v>
      </c>
      <c r="D169" s="56" t="s">
        <v>165</v>
      </c>
      <c r="E169" s="56" t="s">
        <v>166</v>
      </c>
    </row>
    <row r="170">
      <c r="A170" s="56" t="s">
        <v>688</v>
      </c>
      <c r="B170" s="56" t="s">
        <v>689</v>
      </c>
      <c r="C170" s="56" t="s">
        <v>690</v>
      </c>
      <c r="D170" s="56" t="s">
        <v>165</v>
      </c>
      <c r="E170" s="56" t="s">
        <v>236</v>
      </c>
    </row>
    <row r="171">
      <c r="A171" s="56" t="s">
        <v>691</v>
      </c>
      <c r="B171" s="56" t="s">
        <v>692</v>
      </c>
      <c r="C171" s="56" t="s">
        <v>693</v>
      </c>
      <c r="D171" s="56" t="s">
        <v>249</v>
      </c>
      <c r="E171" s="56" t="s">
        <v>483</v>
      </c>
    </row>
    <row r="172">
      <c r="A172" s="56" t="s">
        <v>694</v>
      </c>
      <c r="B172" s="56" t="s">
        <v>695</v>
      </c>
      <c r="C172" s="56" t="s">
        <v>696</v>
      </c>
      <c r="D172" s="56" t="s">
        <v>165</v>
      </c>
      <c r="E172" s="56" t="s">
        <v>166</v>
      </c>
    </row>
    <row r="173">
      <c r="A173" s="56" t="s">
        <v>697</v>
      </c>
      <c r="B173" s="56" t="s">
        <v>698</v>
      </c>
      <c r="C173" s="56" t="s">
        <v>699</v>
      </c>
      <c r="D173" s="56" t="s">
        <v>259</v>
      </c>
      <c r="E173" s="56" t="s">
        <v>260</v>
      </c>
    </row>
    <row r="174">
      <c r="A174" s="56" t="s">
        <v>700</v>
      </c>
      <c r="B174" s="56" t="s">
        <v>701</v>
      </c>
      <c r="C174" s="56" t="s">
        <v>702</v>
      </c>
      <c r="D174" s="56" t="s">
        <v>249</v>
      </c>
      <c r="E174" s="56" t="s">
        <v>444</v>
      </c>
    </row>
    <row r="175">
      <c r="A175" s="56" t="s">
        <v>703</v>
      </c>
      <c r="B175" s="56" t="s">
        <v>704</v>
      </c>
      <c r="C175" s="56" t="s">
        <v>705</v>
      </c>
      <c r="D175" s="56" t="s">
        <v>259</v>
      </c>
      <c r="E175" s="56" t="s">
        <v>260</v>
      </c>
    </row>
    <row r="176">
      <c r="A176" s="56" t="s">
        <v>706</v>
      </c>
      <c r="B176" s="56" t="s">
        <v>707</v>
      </c>
      <c r="C176" s="56" t="s">
        <v>708</v>
      </c>
      <c r="D176" s="56" t="s">
        <v>259</v>
      </c>
      <c r="E176" s="56" t="s">
        <v>260</v>
      </c>
    </row>
    <row r="177">
      <c r="A177" s="56" t="s">
        <v>709</v>
      </c>
      <c r="B177" s="56" t="s">
        <v>710</v>
      </c>
      <c r="C177" s="56" t="s">
        <v>711</v>
      </c>
      <c r="D177" s="56" t="s">
        <v>165</v>
      </c>
      <c r="E177" s="56" t="s">
        <v>331</v>
      </c>
    </row>
    <row r="178">
      <c r="A178" s="56" t="s">
        <v>712</v>
      </c>
      <c r="B178" s="56" t="s">
        <v>713</v>
      </c>
      <c r="C178" s="56" t="s">
        <v>714</v>
      </c>
      <c r="D178" s="56" t="s">
        <v>249</v>
      </c>
      <c r="E178" s="56" t="s">
        <v>250</v>
      </c>
    </row>
    <row r="179">
      <c r="A179" s="56" t="s">
        <v>106</v>
      </c>
      <c r="B179" s="56" t="s">
        <v>715</v>
      </c>
      <c r="C179" s="56" t="s">
        <v>173</v>
      </c>
      <c r="D179" s="56" t="s">
        <v>146</v>
      </c>
      <c r="E179" s="56" t="s">
        <v>155</v>
      </c>
    </row>
    <row r="180">
      <c r="A180" s="56" t="s">
        <v>115</v>
      </c>
      <c r="B180" s="56" t="s">
        <v>716</v>
      </c>
      <c r="C180" s="56" t="s">
        <v>186</v>
      </c>
      <c r="D180" s="56" t="s">
        <v>146</v>
      </c>
      <c r="E180" s="56" t="s">
        <v>147</v>
      </c>
    </row>
    <row r="181">
      <c r="A181" s="56" t="s">
        <v>717</v>
      </c>
      <c r="B181" s="56" t="s">
        <v>718</v>
      </c>
      <c r="C181" s="56" t="s">
        <v>719</v>
      </c>
      <c r="D181" s="56" t="s">
        <v>259</v>
      </c>
      <c r="E181" s="56" t="s">
        <v>260</v>
      </c>
    </row>
    <row r="182">
      <c r="A182" s="56" t="s">
        <v>720</v>
      </c>
      <c r="B182" s="56" t="s">
        <v>721</v>
      </c>
      <c r="C182" s="56" t="s">
        <v>722</v>
      </c>
      <c r="D182" s="56" t="s">
        <v>165</v>
      </c>
      <c r="E182" s="56" t="s">
        <v>166</v>
      </c>
    </row>
    <row r="183">
      <c r="A183" s="56" t="s">
        <v>723</v>
      </c>
      <c r="B183" s="56" t="s">
        <v>724</v>
      </c>
      <c r="C183" s="56" t="s">
        <v>725</v>
      </c>
      <c r="D183" s="56" t="s">
        <v>244</v>
      </c>
      <c r="E183" s="56" t="s">
        <v>255</v>
      </c>
    </row>
    <row r="184">
      <c r="A184" s="56" t="s">
        <v>105</v>
      </c>
      <c r="B184" s="56" t="s">
        <v>726</v>
      </c>
      <c r="C184" s="56" t="s">
        <v>172</v>
      </c>
      <c r="D184" s="56" t="s">
        <v>146</v>
      </c>
      <c r="E184" s="56" t="s">
        <v>155</v>
      </c>
    </row>
    <row r="185">
      <c r="A185" s="56" t="s">
        <v>111</v>
      </c>
      <c r="B185" s="56" t="s">
        <v>727</v>
      </c>
      <c r="C185" s="56" t="s">
        <v>179</v>
      </c>
      <c r="D185" s="56" t="s">
        <v>146</v>
      </c>
      <c r="E185" s="56" t="s">
        <v>155</v>
      </c>
    </row>
    <row r="186">
      <c r="A186" s="56" t="s">
        <v>728</v>
      </c>
      <c r="B186" s="56" t="s">
        <v>729</v>
      </c>
      <c r="C186" s="56" t="s">
        <v>730</v>
      </c>
      <c r="D186" s="56" t="s">
        <v>244</v>
      </c>
      <c r="E186" s="56" t="s">
        <v>255</v>
      </c>
    </row>
    <row r="187">
      <c r="A187" s="56" t="s">
        <v>731</v>
      </c>
      <c r="B187" s="56" t="s">
        <v>732</v>
      </c>
      <c r="C187" s="56" t="s">
        <v>733</v>
      </c>
      <c r="D187" s="56" t="s">
        <v>259</v>
      </c>
      <c r="E187" s="56" t="s">
        <v>260</v>
      </c>
    </row>
    <row r="188">
      <c r="A188" s="56" t="s">
        <v>734</v>
      </c>
      <c r="B188" s="56" t="s">
        <v>735</v>
      </c>
      <c r="C188" s="56" t="s">
        <v>736</v>
      </c>
      <c r="D188" s="56" t="s">
        <v>244</v>
      </c>
      <c r="E188" s="56" t="s">
        <v>255</v>
      </c>
    </row>
    <row r="189">
      <c r="A189" s="56" t="s">
        <v>737</v>
      </c>
      <c r="B189" s="56" t="s">
        <v>738</v>
      </c>
      <c r="C189" s="56" t="s">
        <v>739</v>
      </c>
      <c r="D189" s="56" t="s">
        <v>259</v>
      </c>
      <c r="E189" s="56" t="s">
        <v>260</v>
      </c>
    </row>
    <row r="190">
      <c r="A190" s="56" t="s">
        <v>740</v>
      </c>
      <c r="B190" s="56" t="s">
        <v>741</v>
      </c>
      <c r="C190" s="56" t="s">
        <v>742</v>
      </c>
      <c r="D190" s="56" t="s">
        <v>259</v>
      </c>
      <c r="E190" s="56" t="s">
        <v>260</v>
      </c>
    </row>
    <row r="191">
      <c r="A191" s="56" t="s">
        <v>743</v>
      </c>
      <c r="B191" s="56" t="s">
        <v>744</v>
      </c>
      <c r="C191" s="56" t="s">
        <v>745</v>
      </c>
      <c r="D191" s="56" t="s">
        <v>259</v>
      </c>
      <c r="E191" s="56" t="s">
        <v>260</v>
      </c>
    </row>
    <row r="192">
      <c r="A192" s="56" t="s">
        <v>746</v>
      </c>
      <c r="B192" s="56" t="s">
        <v>747</v>
      </c>
      <c r="C192" s="56" t="s">
        <v>748</v>
      </c>
      <c r="D192" s="56" t="s">
        <v>259</v>
      </c>
      <c r="E192" s="56" t="s">
        <v>305</v>
      </c>
    </row>
    <row r="193">
      <c r="A193" s="56" t="s">
        <v>749</v>
      </c>
      <c r="B193" s="56" t="s">
        <v>750</v>
      </c>
      <c r="C193" s="56" t="s">
        <v>751</v>
      </c>
      <c r="D193" s="56" t="s">
        <v>259</v>
      </c>
      <c r="E193" s="56" t="s">
        <v>260</v>
      </c>
    </row>
    <row r="194">
      <c r="A194" s="56" t="s">
        <v>752</v>
      </c>
      <c r="B194" s="56" t="s">
        <v>753</v>
      </c>
      <c r="C194" s="56" t="s">
        <v>754</v>
      </c>
      <c r="D194" s="56" t="s">
        <v>249</v>
      </c>
      <c r="E194" s="56" t="s">
        <v>250</v>
      </c>
    </row>
    <row r="195">
      <c r="A195" s="56" t="s">
        <v>120</v>
      </c>
      <c r="B195" s="56" t="s">
        <v>755</v>
      </c>
      <c r="C195" s="56" t="s">
        <v>191</v>
      </c>
      <c r="D195" s="56" t="s">
        <v>146</v>
      </c>
      <c r="E195" s="56" t="s">
        <v>147</v>
      </c>
    </row>
    <row r="196">
      <c r="A196" s="56" t="s">
        <v>756</v>
      </c>
      <c r="B196" s="56" t="s">
        <v>757</v>
      </c>
      <c r="C196" s="56" t="s">
        <v>758</v>
      </c>
      <c r="D196" s="56" t="s">
        <v>244</v>
      </c>
      <c r="E196" s="56" t="s">
        <v>255</v>
      </c>
    </row>
    <row r="197">
      <c r="A197" s="56" t="s">
        <v>759</v>
      </c>
      <c r="B197" s="56" t="s">
        <v>760</v>
      </c>
      <c r="C197" s="56" t="s">
        <v>761</v>
      </c>
      <c r="D197" s="56" t="s">
        <v>165</v>
      </c>
      <c r="E197" s="56" t="s">
        <v>166</v>
      </c>
    </row>
    <row r="198">
      <c r="A198" s="56" t="s">
        <v>762</v>
      </c>
      <c r="B198" s="56" t="s">
        <v>763</v>
      </c>
      <c r="C198" s="56" t="s">
        <v>764</v>
      </c>
      <c r="D198" s="56" t="s">
        <v>244</v>
      </c>
      <c r="E198" s="56" t="s">
        <v>255</v>
      </c>
    </row>
    <row r="199">
      <c r="A199" s="56" t="s">
        <v>91</v>
      </c>
      <c r="B199" s="56" t="s">
        <v>765</v>
      </c>
      <c r="C199" s="56" t="s">
        <v>145</v>
      </c>
      <c r="D199" s="56" t="s">
        <v>146</v>
      </c>
      <c r="E199" s="56" t="s">
        <v>147</v>
      </c>
    </row>
    <row r="200">
      <c r="A200" s="56" t="s">
        <v>766</v>
      </c>
      <c r="B200" s="56" t="s">
        <v>767</v>
      </c>
      <c r="C200" s="56" t="s">
        <v>768</v>
      </c>
      <c r="D200" s="56" t="s">
        <v>244</v>
      </c>
      <c r="E200" s="56" t="s">
        <v>255</v>
      </c>
    </row>
    <row r="201">
      <c r="A201" s="56" t="s">
        <v>769</v>
      </c>
      <c r="B201" s="56" t="s">
        <v>770</v>
      </c>
      <c r="C201" s="56" t="s">
        <v>771</v>
      </c>
      <c r="D201" s="56" t="s">
        <v>244</v>
      </c>
      <c r="E201" s="56" t="s">
        <v>255</v>
      </c>
    </row>
    <row r="202">
      <c r="A202" s="56" t="s">
        <v>772</v>
      </c>
      <c r="B202" s="56" t="s">
        <v>773</v>
      </c>
      <c r="C202" s="56" t="s">
        <v>774</v>
      </c>
      <c r="D202" s="56" t="s">
        <v>165</v>
      </c>
      <c r="E202" s="56" t="s">
        <v>331</v>
      </c>
    </row>
    <row r="203">
      <c r="A203" s="56" t="s">
        <v>775</v>
      </c>
      <c r="B203" s="56" t="s">
        <v>776</v>
      </c>
      <c r="C203" s="56" t="s">
        <v>777</v>
      </c>
      <c r="D203" s="56" t="s">
        <v>259</v>
      </c>
      <c r="E203" s="56" t="s">
        <v>260</v>
      </c>
    </row>
    <row r="204">
      <c r="A204" s="56" t="s">
        <v>96</v>
      </c>
      <c r="B204" s="56" t="s">
        <v>778</v>
      </c>
      <c r="C204" s="56" t="s">
        <v>154</v>
      </c>
      <c r="D204" s="56" t="s">
        <v>146</v>
      </c>
      <c r="E204" s="56" t="s">
        <v>155</v>
      </c>
    </row>
    <row r="205">
      <c r="A205" s="56" t="s">
        <v>104</v>
      </c>
      <c r="B205" s="56" t="s">
        <v>779</v>
      </c>
      <c r="C205" s="56" t="s">
        <v>171</v>
      </c>
      <c r="D205" s="56" t="s">
        <v>146</v>
      </c>
      <c r="E205" s="56" t="s">
        <v>147</v>
      </c>
    </row>
    <row r="206">
      <c r="A206" s="56" t="s">
        <v>780</v>
      </c>
      <c r="B206" s="56" t="s">
        <v>781</v>
      </c>
      <c r="C206" s="56" t="s">
        <v>782</v>
      </c>
      <c r="D206" s="56" t="s">
        <v>249</v>
      </c>
      <c r="E206" s="56" t="s">
        <v>444</v>
      </c>
    </row>
    <row r="207">
      <c r="A207" s="56" t="s">
        <v>783</v>
      </c>
      <c r="B207" s="56" t="s">
        <v>784</v>
      </c>
      <c r="C207" s="56" t="s">
        <v>785</v>
      </c>
      <c r="D207" s="56" t="s">
        <v>244</v>
      </c>
      <c r="E207" s="56" t="s">
        <v>255</v>
      </c>
    </row>
    <row r="208">
      <c r="A208" s="56" t="s">
        <v>786</v>
      </c>
      <c r="B208" s="56" t="s">
        <v>787</v>
      </c>
      <c r="C208" s="56" t="s">
        <v>788</v>
      </c>
      <c r="D208" s="56" t="s">
        <v>244</v>
      </c>
      <c r="E208" s="56" t="s">
        <v>255</v>
      </c>
    </row>
    <row r="209">
      <c r="A209" s="56" t="s">
        <v>789</v>
      </c>
      <c r="B209" s="56" t="s">
        <v>790</v>
      </c>
      <c r="C209" s="56" t="s">
        <v>791</v>
      </c>
      <c r="D209" s="56" t="s">
        <v>259</v>
      </c>
      <c r="E209" s="56" t="s">
        <v>260</v>
      </c>
    </row>
    <row r="210">
      <c r="A210" s="56" t="s">
        <v>792</v>
      </c>
      <c r="B210" s="56" t="s">
        <v>793</v>
      </c>
      <c r="C210" s="56" t="s">
        <v>794</v>
      </c>
      <c r="D210" s="56" t="s">
        <v>244</v>
      </c>
      <c r="E210" s="56" t="s">
        <v>255</v>
      </c>
    </row>
    <row r="211">
      <c r="A211" s="56" t="s">
        <v>98</v>
      </c>
      <c r="B211" s="56" t="s">
        <v>795</v>
      </c>
      <c r="C211" s="56" t="s">
        <v>160</v>
      </c>
      <c r="D211" s="56" t="s">
        <v>146</v>
      </c>
      <c r="E211" s="56" t="s">
        <v>147</v>
      </c>
    </row>
    <row r="212">
      <c r="A212" s="56" t="s">
        <v>796</v>
      </c>
      <c r="B212" s="56" t="s">
        <v>797</v>
      </c>
      <c r="C212" s="56" t="s">
        <v>798</v>
      </c>
      <c r="D212" s="56" t="s">
        <v>165</v>
      </c>
      <c r="E212" s="56" t="s">
        <v>236</v>
      </c>
    </row>
    <row r="213">
      <c r="A213" s="56" t="s">
        <v>799</v>
      </c>
      <c r="B213" s="56" t="s">
        <v>800</v>
      </c>
      <c r="C213" s="56" t="s">
        <v>801</v>
      </c>
      <c r="D213" s="56" t="s">
        <v>244</v>
      </c>
      <c r="E213" s="56" t="s">
        <v>245</v>
      </c>
    </row>
    <row r="214">
      <c r="A214" s="56" t="s">
        <v>802</v>
      </c>
      <c r="B214" s="56" t="s">
        <v>803</v>
      </c>
      <c r="C214" s="56" t="s">
        <v>804</v>
      </c>
      <c r="D214" s="56" t="s">
        <v>259</v>
      </c>
      <c r="E214" s="56" t="s">
        <v>260</v>
      </c>
    </row>
    <row r="215">
      <c r="A215" s="56" t="s">
        <v>805</v>
      </c>
      <c r="B215" s="56" t="s">
        <v>806</v>
      </c>
      <c r="C215" s="56" t="s">
        <v>807</v>
      </c>
      <c r="D215" s="56" t="s">
        <v>146</v>
      </c>
      <c r="E215" s="56" t="s">
        <v>170</v>
      </c>
    </row>
    <row r="216">
      <c r="A216" s="56" t="s">
        <v>132</v>
      </c>
      <c r="B216" s="56" t="s">
        <v>808</v>
      </c>
      <c r="C216" s="56" t="s">
        <v>203</v>
      </c>
      <c r="D216" s="56" t="s">
        <v>146</v>
      </c>
      <c r="E216" s="56" t="s">
        <v>170</v>
      </c>
    </row>
    <row r="217">
      <c r="A217" s="56" t="s">
        <v>122</v>
      </c>
      <c r="B217" s="56" t="s">
        <v>809</v>
      </c>
      <c r="C217" s="56" t="s">
        <v>193</v>
      </c>
      <c r="D217" s="56" t="s">
        <v>146</v>
      </c>
      <c r="E217" s="56" t="s">
        <v>158</v>
      </c>
    </row>
    <row r="218">
      <c r="A218" s="56" t="s">
        <v>810</v>
      </c>
      <c r="B218" s="56" t="s">
        <v>811</v>
      </c>
      <c r="C218" s="56" t="s">
        <v>812</v>
      </c>
      <c r="D218" s="56" t="s">
        <v>165</v>
      </c>
      <c r="E218" s="56" t="s">
        <v>166</v>
      </c>
    </row>
    <row r="219">
      <c r="A219" s="56" t="s">
        <v>813</v>
      </c>
      <c r="B219" s="56" t="s">
        <v>814</v>
      </c>
      <c r="C219" s="56" t="s">
        <v>815</v>
      </c>
      <c r="D219" s="56" t="s">
        <v>165</v>
      </c>
      <c r="E219" s="56" t="s">
        <v>366</v>
      </c>
    </row>
    <row r="220">
      <c r="A220" s="56" t="s">
        <v>816</v>
      </c>
      <c r="B220" s="56" t="s">
        <v>817</v>
      </c>
      <c r="C220" s="56" t="s">
        <v>818</v>
      </c>
      <c r="D220" s="56" t="s">
        <v>165</v>
      </c>
      <c r="E220" s="56" t="s">
        <v>551</v>
      </c>
    </row>
    <row r="221">
      <c r="A221" s="56" t="s">
        <v>819</v>
      </c>
      <c r="B221" s="56" t="s">
        <v>820</v>
      </c>
      <c r="C221" s="56" t="s">
        <v>821</v>
      </c>
      <c r="D221" s="56" t="s">
        <v>244</v>
      </c>
      <c r="E221" s="56" t="s">
        <v>255</v>
      </c>
    </row>
    <row r="222">
      <c r="A222" s="56" t="s">
        <v>822</v>
      </c>
      <c r="B222" s="56" t="s">
        <v>823</v>
      </c>
      <c r="C222" s="56" t="s">
        <v>824</v>
      </c>
      <c r="D222" s="56" t="s">
        <v>165</v>
      </c>
      <c r="E222" s="56" t="s">
        <v>331</v>
      </c>
    </row>
    <row r="223">
      <c r="A223" s="56" t="s">
        <v>825</v>
      </c>
      <c r="B223" s="56" t="s">
        <v>826</v>
      </c>
      <c r="C223" s="56" t="s">
        <v>827</v>
      </c>
      <c r="D223" s="56" t="s">
        <v>165</v>
      </c>
      <c r="E223" s="56" t="s">
        <v>331</v>
      </c>
    </row>
    <row r="224">
      <c r="A224" s="56" t="s">
        <v>828</v>
      </c>
      <c r="B224" s="56" t="s">
        <v>829</v>
      </c>
      <c r="C224" s="56" t="s">
        <v>830</v>
      </c>
      <c r="D224" s="56" t="s">
        <v>244</v>
      </c>
      <c r="E224" s="56" t="s">
        <v>255</v>
      </c>
    </row>
    <row r="225">
      <c r="A225" s="56" t="s">
        <v>831</v>
      </c>
      <c r="B225" s="56" t="s">
        <v>832</v>
      </c>
      <c r="C225" s="56" t="s">
        <v>833</v>
      </c>
      <c r="D225" s="56" t="s">
        <v>249</v>
      </c>
      <c r="E225" s="56" t="s">
        <v>250</v>
      </c>
    </row>
    <row r="226">
      <c r="A226" s="56" t="s">
        <v>834</v>
      </c>
      <c r="B226" s="56" t="s">
        <v>835</v>
      </c>
      <c r="C226" s="56" t="s">
        <v>836</v>
      </c>
      <c r="D226" s="56" t="s">
        <v>249</v>
      </c>
      <c r="E226" s="56" t="s">
        <v>250</v>
      </c>
    </row>
    <row r="227">
      <c r="A227" s="56" t="s">
        <v>837</v>
      </c>
      <c r="B227" s="56" t="s">
        <v>838</v>
      </c>
      <c r="C227" s="56" t="s">
        <v>839</v>
      </c>
      <c r="D227" s="56" t="s">
        <v>259</v>
      </c>
      <c r="E227" s="56" t="s">
        <v>260</v>
      </c>
    </row>
    <row r="228">
      <c r="A228" s="56" t="s">
        <v>840</v>
      </c>
      <c r="B228" s="56" t="s">
        <v>841</v>
      </c>
      <c r="C228" s="56" t="s">
        <v>842</v>
      </c>
      <c r="D228" s="56" t="s">
        <v>244</v>
      </c>
      <c r="E228" s="56" t="s">
        <v>245</v>
      </c>
    </row>
    <row r="229">
      <c r="A229" s="56" t="s">
        <v>843</v>
      </c>
      <c r="B229" s="56" t="s">
        <v>844</v>
      </c>
      <c r="C229" s="56" t="s">
        <v>845</v>
      </c>
      <c r="D229" s="56" t="s">
        <v>165</v>
      </c>
      <c r="E229" s="56" t="s">
        <v>166</v>
      </c>
    </row>
    <row r="230">
      <c r="A230" s="56" t="s">
        <v>846</v>
      </c>
      <c r="B230" s="56" t="s">
        <v>847</v>
      </c>
      <c r="C230" s="56" t="s">
        <v>848</v>
      </c>
      <c r="D230" s="56" t="s">
        <v>165</v>
      </c>
      <c r="E230" s="56" t="s">
        <v>551</v>
      </c>
    </row>
    <row r="231">
      <c r="A231" s="56" t="s">
        <v>849</v>
      </c>
      <c r="B231" s="56" t="s">
        <v>850</v>
      </c>
      <c r="C231" s="56" t="s">
        <v>851</v>
      </c>
      <c r="D231" s="56" t="s">
        <v>259</v>
      </c>
      <c r="E231" s="56" t="s">
        <v>260</v>
      </c>
    </row>
    <row r="232">
      <c r="A232" s="56" t="s">
        <v>852</v>
      </c>
      <c r="B232" s="56" t="s">
        <v>853</v>
      </c>
      <c r="C232" s="56" t="s">
        <v>854</v>
      </c>
      <c r="D232" s="56" t="s">
        <v>249</v>
      </c>
      <c r="E232" s="56" t="s">
        <v>250</v>
      </c>
    </row>
    <row r="233">
      <c r="A233" s="56" t="s">
        <v>855</v>
      </c>
      <c r="B233" s="56" t="s">
        <v>856</v>
      </c>
      <c r="C233" s="56" t="s">
        <v>857</v>
      </c>
      <c r="D233" s="56" t="s">
        <v>244</v>
      </c>
      <c r="E233" s="56" t="s">
        <v>255</v>
      </c>
    </row>
    <row r="234">
      <c r="A234" s="56" t="s">
        <v>113</v>
      </c>
      <c r="B234" s="56" t="s">
        <v>858</v>
      </c>
      <c r="C234" s="56" t="s">
        <v>181</v>
      </c>
      <c r="D234" s="56" t="s">
        <v>146</v>
      </c>
      <c r="E234" s="56" t="s">
        <v>155</v>
      </c>
    </row>
    <row r="235">
      <c r="A235" s="56" t="s">
        <v>859</v>
      </c>
      <c r="B235" s="56" t="s">
        <v>860</v>
      </c>
      <c r="C235" s="56" t="s">
        <v>861</v>
      </c>
      <c r="D235" s="56" t="s">
        <v>165</v>
      </c>
      <c r="E235" s="56" t="s">
        <v>166</v>
      </c>
    </row>
    <row r="236">
      <c r="A236" s="56" t="s">
        <v>103</v>
      </c>
      <c r="B236" s="56" t="s">
        <v>862</v>
      </c>
      <c r="C236" s="56" t="s">
        <v>169</v>
      </c>
      <c r="D236" s="56" t="s">
        <v>146</v>
      </c>
      <c r="E236" s="56" t="s">
        <v>170</v>
      </c>
    </row>
    <row r="237">
      <c r="A237" s="56" t="s">
        <v>863</v>
      </c>
      <c r="B237" s="56" t="s">
        <v>864</v>
      </c>
      <c r="C237" s="56" t="s">
        <v>865</v>
      </c>
      <c r="D237" s="56" t="s">
        <v>259</v>
      </c>
      <c r="E237" s="56" t="s">
        <v>305</v>
      </c>
    </row>
    <row r="238">
      <c r="A238" s="56" t="s">
        <v>866</v>
      </c>
      <c r="B238" s="56" t="s">
        <v>867</v>
      </c>
      <c r="C238" s="56" t="s">
        <v>868</v>
      </c>
      <c r="D238" s="56" t="s">
        <v>249</v>
      </c>
      <c r="E238" s="56" t="s">
        <v>483</v>
      </c>
    </row>
    <row r="239">
      <c r="A239" s="56" t="s">
        <v>869</v>
      </c>
      <c r="B239" s="56" t="s">
        <v>870</v>
      </c>
      <c r="C239" s="56" t="s">
        <v>871</v>
      </c>
      <c r="D239" s="56" t="s">
        <v>259</v>
      </c>
      <c r="E239" s="56" t="s">
        <v>260</v>
      </c>
    </row>
    <row r="240">
      <c r="A240" s="56" t="s">
        <v>872</v>
      </c>
      <c r="B240" s="56" t="s">
        <v>873</v>
      </c>
      <c r="C240" s="56" t="s">
        <v>874</v>
      </c>
      <c r="D240" s="56" t="s">
        <v>165</v>
      </c>
      <c r="E240" s="56" t="s">
        <v>551</v>
      </c>
    </row>
    <row r="241">
      <c r="A241" s="56" t="s">
        <v>875</v>
      </c>
      <c r="B241" s="56" t="s">
        <v>876</v>
      </c>
      <c r="C241" s="56" t="s">
        <v>877</v>
      </c>
      <c r="D241" s="56" t="s">
        <v>249</v>
      </c>
      <c r="E241" s="56" t="s">
        <v>444</v>
      </c>
    </row>
    <row r="242">
      <c r="A242" s="56" t="s">
        <v>878</v>
      </c>
      <c r="B242" s="56" t="s">
        <v>879</v>
      </c>
      <c r="C242" s="56" t="s">
        <v>880</v>
      </c>
      <c r="D242" s="56" t="s">
        <v>259</v>
      </c>
      <c r="E242" s="56" t="s">
        <v>260</v>
      </c>
    </row>
    <row r="243">
      <c r="A243" s="56" t="s">
        <v>881</v>
      </c>
      <c r="B243" s="56" t="s">
        <v>882</v>
      </c>
      <c r="C243" s="56" t="s">
        <v>883</v>
      </c>
      <c r="D243" s="56" t="s">
        <v>165</v>
      </c>
      <c r="E243" s="56" t="s">
        <v>331</v>
      </c>
    </row>
    <row r="244">
      <c r="A244" s="56" t="s">
        <v>884</v>
      </c>
      <c r="B244" s="56" t="s">
        <v>885</v>
      </c>
      <c r="C244" s="56" t="s">
        <v>886</v>
      </c>
      <c r="D244" s="56" t="s">
        <v>259</v>
      </c>
      <c r="E244" s="56" t="s">
        <v>260</v>
      </c>
    </row>
    <row r="245">
      <c r="A245" s="56" t="s">
        <v>887</v>
      </c>
      <c r="B245" s="56" t="s">
        <v>888</v>
      </c>
      <c r="C245" s="56" t="s">
        <v>889</v>
      </c>
      <c r="D245" s="56" t="s">
        <v>259</v>
      </c>
      <c r="E245" s="56" t="s">
        <v>260</v>
      </c>
    </row>
    <row r="246">
      <c r="A246" s="56" t="s">
        <v>890</v>
      </c>
      <c r="B246" s="56" t="s">
        <v>891</v>
      </c>
      <c r="C246" s="56" t="s">
        <v>892</v>
      </c>
      <c r="D246" s="56" t="s">
        <v>249</v>
      </c>
      <c r="E246" s="56" t="s">
        <v>250</v>
      </c>
    </row>
    <row r="247">
      <c r="A247" s="56" t="s">
        <v>893</v>
      </c>
      <c r="B247" s="56" t="s">
        <v>894</v>
      </c>
      <c r="C247" s="56" t="s">
        <v>895</v>
      </c>
      <c r="D247" s="56" t="s">
        <v>244</v>
      </c>
      <c r="E247" s="56" t="s">
        <v>245</v>
      </c>
    </row>
    <row r="248">
      <c r="A248" s="56" t="s">
        <v>896</v>
      </c>
      <c r="B248" s="56" t="s">
        <v>897</v>
      </c>
      <c r="C248" s="56" t="s">
        <v>898</v>
      </c>
      <c r="D248" s="56" t="s">
        <v>165</v>
      </c>
      <c r="E248" s="56" t="s">
        <v>166</v>
      </c>
    </row>
    <row r="249">
      <c r="A249" s="56" t="s">
        <v>899</v>
      </c>
      <c r="B249" s="56" t="s">
        <v>900</v>
      </c>
      <c r="C249" s="56" t="s">
        <v>901</v>
      </c>
      <c r="D249" s="56" t="s">
        <v>244</v>
      </c>
      <c r="E249" s="56" t="s">
        <v>255</v>
      </c>
    </row>
    <row r="250">
      <c r="A250" s="56" t="s">
        <v>902</v>
      </c>
      <c r="B250" s="56" t="s">
        <v>903</v>
      </c>
      <c r="C250" s="56" t="s">
        <v>904</v>
      </c>
      <c r="D250" s="56" t="s">
        <v>244</v>
      </c>
      <c r="E250" s="56" t="s">
        <v>255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5" t="s">
        <v>905</v>
      </c>
      <c r="B1" s="125" t="s">
        <v>906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</row>
    <row r="2">
      <c r="A2" s="56">
        <v>2103.0</v>
      </c>
      <c r="B2" s="56" t="s">
        <v>144</v>
      </c>
    </row>
    <row r="3">
      <c r="A3" s="56">
        <v>7940.0</v>
      </c>
      <c r="B3" s="56" t="s">
        <v>148</v>
      </c>
    </row>
    <row r="4">
      <c r="A4" s="56">
        <v>2455.0</v>
      </c>
      <c r="B4" s="56" t="s">
        <v>150</v>
      </c>
    </row>
    <row r="5">
      <c r="A5" s="56">
        <v>1270.0</v>
      </c>
      <c r="B5" s="56" t="s">
        <v>152</v>
      </c>
    </row>
    <row r="6">
      <c r="A6" s="56">
        <v>8681.0</v>
      </c>
      <c r="B6" s="56" t="s">
        <v>153</v>
      </c>
    </row>
    <row r="7">
      <c r="A7" s="56">
        <v>4594.0</v>
      </c>
      <c r="B7" s="56" t="s">
        <v>156</v>
      </c>
    </row>
    <row r="8">
      <c r="A8" s="56">
        <v>5988.0</v>
      </c>
      <c r="B8" s="56" t="s">
        <v>159</v>
      </c>
    </row>
    <row r="9">
      <c r="A9" s="56">
        <v>7331.0</v>
      </c>
      <c r="B9" s="56" t="s">
        <v>161</v>
      </c>
    </row>
    <row r="10">
      <c r="A10" s="56">
        <v>8875.0</v>
      </c>
      <c r="B10" s="56" t="s">
        <v>167</v>
      </c>
    </row>
    <row r="11">
      <c r="A11" s="56">
        <v>8293.0</v>
      </c>
      <c r="B11" s="56" t="s">
        <v>178</v>
      </c>
    </row>
    <row r="12">
      <c r="A12" s="56">
        <v>8969.0</v>
      </c>
      <c r="B12" s="56" t="s">
        <v>182</v>
      </c>
    </row>
    <row r="13">
      <c r="A13" s="56">
        <v>3127.0</v>
      </c>
      <c r="B13" s="56" t="s">
        <v>185</v>
      </c>
    </row>
  </sheetData>
  <drawing r:id="rId1"/>
</worksheet>
</file>